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00849117437\Desktop\"/>
    </mc:Choice>
  </mc:AlternateContent>
  <xr:revisionPtr revIDLastSave="0" documentId="13_ncr:1_{B25837A8-BF3C-4CBF-A492-474E6B97E3E0}" xr6:coauthVersionLast="41" xr6:coauthVersionMax="41" xr10:uidLastSave="{00000000-0000-0000-0000-000000000000}"/>
  <bookViews>
    <workbookView xWindow="28680" yWindow="-120" windowWidth="13740" windowHeight="21240" tabRatio="839" xr2:uid="{00000000-000D-0000-FFFF-FFFF00000000}"/>
  </bookViews>
  <sheets>
    <sheet name="MENU" sheetId="8" r:id="rId1"/>
    <sheet name="(I) Plano de Trabalho" sheetId="2" r:id="rId2"/>
    <sheet name="(II) Cronograma" sheetId="9" r:id="rId3"/>
    <sheet name="(III) Formulário Orçamentário" sheetId="3" r:id="rId4"/>
    <sheet name="(IV) Termo de Referência" sheetId="10" r:id="rId5"/>
    <sheet name="(V) Ações de Educação" sheetId="12" r:id="rId6"/>
    <sheet name="Verificação de Pendências" sheetId="11" r:id="rId7"/>
    <sheet name="Elementos de Despesa" sheetId="5" r:id="rId8"/>
    <sheet name="Nota Técnica" sheetId="15" state="hidden" r:id="rId9"/>
    <sheet name="APOIO" sheetId="4" state="hidden" r:id="rId10"/>
  </sheets>
  <definedNames>
    <definedName name="_xlnm.Print_Area" localSheetId="1">'(I) Plano de Trabalho'!$A$1:$BB$1307</definedName>
    <definedName name="_xlnm.Print_Area" localSheetId="2">'(II) Cronograma'!$A$1:$BB$388</definedName>
    <definedName name="_xlnm.Print_Area" localSheetId="3">'(III) Formulário Orçamentário'!$A$1:$BB$1617</definedName>
    <definedName name="_xlnm.Print_Area" localSheetId="4">'(IV) Termo de Referência'!$A$1:$BB$1407</definedName>
    <definedName name="_xlnm.Print_Area" localSheetId="5">'(V) Ações de Educação'!$A$1:$BB$720</definedName>
    <definedName name="_xlnm.Print_Area" localSheetId="0">MENU!$A$1:$BC$47</definedName>
    <definedName name="_xlnm.Print_Area" localSheetId="8">'Nota Técnica'!$A$1:$BC$368</definedName>
    <definedName name="_xlnm.Print_Area" localSheetId="6">'Verificação de Pendências'!$A$1:$BF$114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93" i="3" l="1"/>
  <c r="B76" i="9"/>
  <c r="AE79" i="9"/>
  <c r="AE82" i="9"/>
  <c r="AE85" i="9"/>
  <c r="B88" i="9"/>
  <c r="AE91" i="9"/>
  <c r="AE94" i="9"/>
  <c r="AE97" i="9"/>
  <c r="B100" i="9"/>
  <c r="AE103" i="9"/>
  <c r="AE106" i="9"/>
  <c r="AE109" i="9"/>
  <c r="B112" i="9"/>
  <c r="AE115" i="9"/>
  <c r="AE118" i="9"/>
  <c r="AE121" i="9"/>
  <c r="B124" i="9"/>
  <c r="AE127" i="9"/>
  <c r="AE130" i="9"/>
  <c r="AE133" i="9"/>
  <c r="B139" i="9"/>
  <c r="AE142" i="9"/>
  <c r="AE145" i="9"/>
  <c r="AE148" i="9"/>
  <c r="B151" i="9"/>
  <c r="AE154" i="9"/>
  <c r="AE157" i="9"/>
  <c r="AE160" i="9"/>
  <c r="B163" i="9"/>
  <c r="AE166" i="9"/>
  <c r="AE169" i="9"/>
  <c r="AE172" i="9"/>
  <c r="B175" i="9"/>
  <c r="AE178" i="9"/>
  <c r="AE181" i="9"/>
  <c r="AE184" i="9"/>
  <c r="B187" i="9"/>
  <c r="AE190" i="9"/>
  <c r="AE193" i="9"/>
  <c r="AE196" i="9"/>
  <c r="B202" i="9"/>
  <c r="AE205" i="9"/>
  <c r="AE208" i="9"/>
  <c r="AE211" i="9"/>
  <c r="B214" i="9"/>
  <c r="AE217" i="9"/>
  <c r="AE220" i="9"/>
  <c r="AE223" i="9"/>
  <c r="B226" i="9"/>
  <c r="AE229" i="9"/>
  <c r="AE232" i="9"/>
  <c r="AE235" i="9"/>
  <c r="B238" i="9"/>
  <c r="AE241" i="9"/>
  <c r="AE244" i="9"/>
  <c r="AE247" i="9"/>
  <c r="B250" i="9"/>
  <c r="AE253" i="9"/>
  <c r="AE256" i="9"/>
  <c r="AE259" i="9"/>
  <c r="B265" i="9"/>
  <c r="AE268" i="9"/>
  <c r="AE271" i="9"/>
  <c r="AE274" i="9"/>
  <c r="B277" i="9"/>
  <c r="AE280" i="9"/>
  <c r="AE283" i="9"/>
  <c r="AE286" i="9"/>
  <c r="B289" i="9"/>
  <c r="AE292" i="9"/>
  <c r="AE295" i="9"/>
  <c r="AE298" i="9"/>
  <c r="B301" i="9"/>
  <c r="AE304" i="9"/>
  <c r="AE307" i="9"/>
  <c r="AE310" i="9"/>
  <c r="B313" i="9"/>
  <c r="AE316" i="9"/>
  <c r="AE319" i="9"/>
  <c r="AE322" i="9"/>
  <c r="B328" i="9"/>
  <c r="AE331" i="9"/>
  <c r="AE334" i="9"/>
  <c r="AE337" i="9"/>
  <c r="B340" i="9"/>
  <c r="AE343" i="9"/>
  <c r="AE346" i="9"/>
  <c r="AE349" i="9"/>
  <c r="B352" i="9"/>
  <c r="AE355" i="9"/>
  <c r="AE358" i="9"/>
  <c r="AE361" i="9"/>
  <c r="B364" i="9"/>
  <c r="AE367" i="9"/>
  <c r="AE370" i="9"/>
  <c r="AE373" i="9"/>
  <c r="B376" i="9"/>
  <c r="AE379" i="9"/>
  <c r="AE382" i="9"/>
  <c r="AE385" i="9"/>
  <c r="H385" i="9"/>
  <c r="H382" i="9"/>
  <c r="H379" i="9"/>
  <c r="H373" i="9"/>
  <c r="H370" i="9"/>
  <c r="H367" i="9"/>
  <c r="H361" i="9"/>
  <c r="H358" i="9"/>
  <c r="H355" i="9"/>
  <c r="H349" i="9"/>
  <c r="H346" i="9"/>
  <c r="H343" i="9"/>
  <c r="H337" i="9"/>
  <c r="H334" i="9"/>
  <c r="H331" i="9"/>
  <c r="H322" i="9"/>
  <c r="H319" i="9"/>
  <c r="H316" i="9"/>
  <c r="H310" i="9"/>
  <c r="H307" i="9"/>
  <c r="H304" i="9"/>
  <c r="H298" i="9"/>
  <c r="H295" i="9"/>
  <c r="H292" i="9"/>
  <c r="H286" i="9"/>
  <c r="H283" i="9"/>
  <c r="H280" i="9"/>
  <c r="H274" i="9"/>
  <c r="H271" i="9"/>
  <c r="H268" i="9"/>
  <c r="H259" i="9"/>
  <c r="H256" i="9"/>
  <c r="H253" i="9"/>
  <c r="H247" i="9"/>
  <c r="H244" i="9"/>
  <c r="H241" i="9"/>
  <c r="H235" i="9"/>
  <c r="H232" i="9"/>
  <c r="H229" i="9"/>
  <c r="H223" i="9"/>
  <c r="H220" i="9"/>
  <c r="H217" i="9"/>
  <c r="H211" i="9"/>
  <c r="H208" i="9"/>
  <c r="H205" i="9"/>
  <c r="H196" i="9"/>
  <c r="H193" i="9"/>
  <c r="H190" i="9"/>
  <c r="H184" i="9"/>
  <c r="H181" i="9"/>
  <c r="H178" i="9"/>
  <c r="H172" i="9"/>
  <c r="H169" i="9"/>
  <c r="H166" i="9"/>
  <c r="H160" i="9"/>
  <c r="H157" i="9"/>
  <c r="H154" i="9"/>
  <c r="H148" i="9"/>
  <c r="H145" i="9"/>
  <c r="H142" i="9"/>
  <c r="H133" i="9"/>
  <c r="H130" i="9"/>
  <c r="H127" i="9"/>
  <c r="H121" i="9"/>
  <c r="H118" i="9"/>
  <c r="H115" i="9"/>
  <c r="H109" i="9"/>
  <c r="H106" i="9"/>
  <c r="H103" i="9"/>
  <c r="H97" i="9"/>
  <c r="H94" i="9"/>
  <c r="H91" i="9"/>
  <c r="H85" i="9"/>
  <c r="H82" i="9"/>
  <c r="H79" i="9"/>
  <c r="AT1231" i="10"/>
  <c r="AT1232" i="10"/>
  <c r="AT1233" i="10"/>
  <c r="AT1234" i="10"/>
  <c r="AT1194" i="10"/>
  <c r="AT1154" i="10"/>
  <c r="AT1114" i="10"/>
  <c r="AT1074" i="10"/>
  <c r="AT1034" i="10"/>
  <c r="AT994" i="10"/>
  <c r="AT954" i="10"/>
  <c r="AT914" i="10"/>
  <c r="AT874" i="10"/>
  <c r="AT834" i="10"/>
  <c r="AT794" i="10"/>
  <c r="AT754" i="10"/>
  <c r="AT714" i="10"/>
  <c r="AT674" i="10"/>
  <c r="AT634" i="10"/>
  <c r="AT594" i="10"/>
  <c r="AT554" i="10"/>
  <c r="AT514" i="10"/>
  <c r="AT471" i="10"/>
  <c r="AT472" i="10"/>
  <c r="AT473" i="10"/>
  <c r="AT474" i="10"/>
  <c r="AT431" i="10"/>
  <c r="AT432" i="10"/>
  <c r="AT433" i="10"/>
  <c r="AT434" i="10"/>
  <c r="AT391" i="10"/>
  <c r="AT392" i="10"/>
  <c r="AT393" i="10"/>
  <c r="AT394" i="10"/>
  <c r="AT351" i="10"/>
  <c r="AT352" i="10"/>
  <c r="AT353" i="10"/>
  <c r="AT354" i="10"/>
  <c r="AT311" i="10"/>
  <c r="AT312" i="10"/>
  <c r="AT313" i="10"/>
  <c r="AT314" i="10"/>
  <c r="AT271" i="10"/>
  <c r="AT274" i="10"/>
  <c r="AT231" i="10"/>
  <c r="AT232" i="10"/>
  <c r="AT233" i="10"/>
  <c r="AT234" i="10"/>
  <c r="AT191" i="10"/>
  <c r="AT192" i="10"/>
  <c r="AT194" i="10"/>
  <c r="AT151" i="10"/>
  <c r="AT152" i="10"/>
  <c r="AT153" i="10"/>
  <c r="AT154" i="10"/>
  <c r="AT111" i="10"/>
  <c r="AT112" i="10"/>
  <c r="AT113" i="10"/>
  <c r="AT114" i="10"/>
  <c r="AT73" i="10"/>
  <c r="AT72" i="10"/>
  <c r="AT71" i="10"/>
  <c r="AT74" i="10"/>
  <c r="D1649" i="3"/>
  <c r="E1649" i="3"/>
  <c r="F1649" i="3"/>
  <c r="G1649" i="3"/>
  <c r="H1649" i="3"/>
  <c r="I1649" i="3"/>
  <c r="J1649" i="3"/>
  <c r="K1649" i="3"/>
  <c r="L1649" i="3"/>
  <c r="M1649" i="3"/>
  <c r="N1649" i="3"/>
  <c r="O1649" i="3"/>
  <c r="P1649" i="3"/>
  <c r="Q1649" i="3"/>
  <c r="R1649" i="3"/>
  <c r="S1649" i="3"/>
  <c r="T1649" i="3"/>
  <c r="V1649" i="3"/>
  <c r="U1649" i="3"/>
  <c r="BB1649" i="3"/>
  <c r="AV58" i="3"/>
  <c r="AG22" i="10"/>
  <c r="BB22" i="10"/>
  <c r="D1651" i="3"/>
  <c r="E1651" i="3"/>
  <c r="F1651" i="3"/>
  <c r="G1651" i="3"/>
  <c r="H1651" i="3"/>
  <c r="I1651" i="3"/>
  <c r="J1651" i="3"/>
  <c r="K1651" i="3"/>
  <c r="L1651" i="3"/>
  <c r="M1651" i="3"/>
  <c r="N1651" i="3"/>
  <c r="O1651" i="3"/>
  <c r="P1651" i="3"/>
  <c r="Q1651" i="3"/>
  <c r="R1651" i="3"/>
  <c r="S1651" i="3"/>
  <c r="T1651" i="3"/>
  <c r="Q712" i="3"/>
  <c r="V1651" i="3"/>
  <c r="U1651" i="3"/>
  <c r="BB1651" i="3"/>
  <c r="AV60" i="3"/>
  <c r="AG23" i="10"/>
  <c r="K1275" i="10"/>
  <c r="E1276" i="10"/>
  <c r="K1276" i="10"/>
  <c r="E1277" i="10"/>
  <c r="K1277" i="10"/>
  <c r="E1278" i="10"/>
  <c r="K1278" i="10"/>
  <c r="E1279" i="10"/>
  <c r="K1279" i="10"/>
  <c r="E1280" i="10"/>
  <c r="K1280" i="10"/>
  <c r="E1281" i="10"/>
  <c r="K1281" i="10"/>
  <c r="E1282" i="10"/>
  <c r="K1282" i="10"/>
  <c r="E1283" i="10"/>
  <c r="K1283" i="10"/>
  <c r="E1284" i="10"/>
  <c r="K1284" i="10"/>
  <c r="E1285" i="10"/>
  <c r="K1285" i="10"/>
  <c r="E1286" i="10"/>
  <c r="BB510" i="10"/>
  <c r="AL1251" i="10"/>
  <c r="AH1251" i="10"/>
  <c r="AT1251" i="10"/>
  <c r="G1286" i="10"/>
  <c r="K1286" i="10"/>
  <c r="K1287" i="10"/>
  <c r="K1288" i="10"/>
  <c r="K1289" i="10"/>
  <c r="K1290" i="10"/>
  <c r="K1291" i="10"/>
  <c r="K1292" i="10"/>
  <c r="K1293" i="10"/>
  <c r="K1294" i="10"/>
  <c r="K1295" i="10"/>
  <c r="K1296" i="10"/>
  <c r="K1297" i="10"/>
  <c r="K1298" i="10"/>
  <c r="K1299" i="10"/>
  <c r="K1300" i="10"/>
  <c r="K1301" i="10"/>
  <c r="K1302" i="10"/>
  <c r="K1303" i="10"/>
  <c r="K1304" i="10"/>
  <c r="K1305" i="10"/>
  <c r="AO23" i="10"/>
  <c r="BB23" i="10"/>
  <c r="D1654" i="3"/>
  <c r="E1654" i="3"/>
  <c r="F1654" i="3"/>
  <c r="G1654" i="3"/>
  <c r="H1654" i="3"/>
  <c r="I1654" i="3"/>
  <c r="J1654" i="3"/>
  <c r="K1654" i="3"/>
  <c r="L1654" i="3"/>
  <c r="M1654" i="3"/>
  <c r="N1654" i="3"/>
  <c r="O1654" i="3"/>
  <c r="P1654" i="3"/>
  <c r="Q1654" i="3"/>
  <c r="R1654" i="3"/>
  <c r="S1654" i="3"/>
  <c r="T1654" i="3"/>
  <c r="V1654" i="3"/>
  <c r="U1654" i="3"/>
  <c r="BB1654" i="3"/>
  <c r="AV63" i="3"/>
  <c r="AG24" i="10"/>
  <c r="BB24" i="10"/>
  <c r="D1655" i="3"/>
  <c r="E1655" i="3"/>
  <c r="F1655" i="3"/>
  <c r="G1655" i="3"/>
  <c r="H1655" i="3"/>
  <c r="I1655" i="3"/>
  <c r="J1655" i="3"/>
  <c r="K1655" i="3"/>
  <c r="L1655" i="3"/>
  <c r="M1655" i="3"/>
  <c r="N1655" i="3"/>
  <c r="O1655" i="3"/>
  <c r="P1655" i="3"/>
  <c r="Q1655" i="3"/>
  <c r="R1655" i="3"/>
  <c r="S1655" i="3"/>
  <c r="T1655" i="3"/>
  <c r="V1655" i="3"/>
  <c r="U1655" i="3"/>
  <c r="BB1655" i="3"/>
  <c r="AV64" i="3"/>
  <c r="AG25" i="10"/>
  <c r="BB25" i="10"/>
  <c r="D1658" i="3"/>
  <c r="E1658" i="3"/>
  <c r="F1658" i="3"/>
  <c r="G1658" i="3"/>
  <c r="H1658" i="3"/>
  <c r="I1658" i="3"/>
  <c r="J1658" i="3"/>
  <c r="K1658" i="3"/>
  <c r="L1658" i="3"/>
  <c r="M1658" i="3"/>
  <c r="N1658" i="3"/>
  <c r="O1658" i="3"/>
  <c r="P1658" i="3"/>
  <c r="Q1658" i="3"/>
  <c r="R1658" i="3"/>
  <c r="S1658" i="3"/>
  <c r="Q654" i="3"/>
  <c r="T1658" i="3"/>
  <c r="V1658" i="3"/>
  <c r="U1658" i="3"/>
  <c r="BB1658" i="3"/>
  <c r="AV67" i="3"/>
  <c r="AG26" i="10"/>
  <c r="BB190" i="10"/>
  <c r="AL1243" i="10"/>
  <c r="AH1243" i="10"/>
  <c r="AT1243" i="10"/>
  <c r="G1278" i="10"/>
  <c r="Q1278" i="10"/>
  <c r="Q1275" i="10"/>
  <c r="Q1279" i="10"/>
  <c r="Q1276" i="10"/>
  <c r="Q1277" i="10"/>
  <c r="Q1280" i="10"/>
  <c r="Q1281" i="10"/>
  <c r="Q1282" i="10"/>
  <c r="Q1283" i="10"/>
  <c r="Q1284" i="10"/>
  <c r="Q1285" i="10"/>
  <c r="Q1286" i="10"/>
  <c r="Q1287" i="10"/>
  <c r="Q1288" i="10"/>
  <c r="Q1289" i="10"/>
  <c r="Q1290" i="10"/>
  <c r="Q1291" i="10"/>
  <c r="Q1292" i="10"/>
  <c r="Q1293" i="10"/>
  <c r="Q1294" i="10"/>
  <c r="Q1295" i="10"/>
  <c r="Q1296" i="10"/>
  <c r="Q1297" i="10"/>
  <c r="Q1298" i="10"/>
  <c r="Q1299" i="10"/>
  <c r="Q1300" i="10"/>
  <c r="Q1301" i="10"/>
  <c r="Q1302" i="10"/>
  <c r="Q1303" i="10"/>
  <c r="Q1304" i="10"/>
  <c r="Q1305" i="10"/>
  <c r="AO26" i="10"/>
  <c r="BB26" i="10"/>
  <c r="Q190" i="3"/>
  <c r="D1659" i="3"/>
  <c r="Q219" i="3"/>
  <c r="E1659" i="3"/>
  <c r="Q248" i="3"/>
  <c r="F1659" i="3"/>
  <c r="Q277" i="3"/>
  <c r="G1659" i="3"/>
  <c r="Q306" i="3"/>
  <c r="H1659" i="3"/>
  <c r="Q335" i="3"/>
  <c r="I1659" i="3"/>
  <c r="Q364" i="3"/>
  <c r="J1659" i="3"/>
  <c r="K1659" i="3"/>
  <c r="Q422" i="3"/>
  <c r="L1659" i="3"/>
  <c r="Q451" i="3"/>
  <c r="M1659" i="3"/>
  <c r="N1659" i="3"/>
  <c r="O1659" i="3"/>
  <c r="P1659" i="3"/>
  <c r="Q1659" i="3"/>
  <c r="R1659" i="3"/>
  <c r="S1659" i="3"/>
  <c r="T1659" i="3"/>
  <c r="V1659" i="3"/>
  <c r="Q683" i="3"/>
  <c r="U1659" i="3"/>
  <c r="BB1659" i="3"/>
  <c r="AV68" i="3"/>
  <c r="AG27" i="10"/>
  <c r="BB70" i="10"/>
  <c r="AL1240" i="10"/>
  <c r="AH1240" i="10"/>
  <c r="AT1240" i="10"/>
  <c r="G1275" i="10"/>
  <c r="S1275" i="10"/>
  <c r="BB110" i="10"/>
  <c r="AL1241" i="10"/>
  <c r="AH1241" i="10"/>
  <c r="AT1241" i="10"/>
  <c r="G1276" i="10"/>
  <c r="S1276" i="10"/>
  <c r="BB150" i="10"/>
  <c r="AL1242" i="10"/>
  <c r="AH1242" i="10"/>
  <c r="AT1242" i="10"/>
  <c r="G1277" i="10"/>
  <c r="S1277" i="10"/>
  <c r="S1278" i="10"/>
  <c r="BB230" i="10"/>
  <c r="AL1244" i="10"/>
  <c r="AH1244" i="10"/>
  <c r="AT1244" i="10"/>
  <c r="G1279" i="10"/>
  <c r="S1279" i="10"/>
  <c r="S1280" i="10"/>
  <c r="S1281" i="10"/>
  <c r="S1282" i="10"/>
  <c r="S1283" i="10"/>
  <c r="S1284" i="10"/>
  <c r="S1285" i="10"/>
  <c r="S1286" i="10"/>
  <c r="S1287" i="10"/>
  <c r="S1288" i="10"/>
  <c r="S1289" i="10"/>
  <c r="S1290" i="10"/>
  <c r="S1291" i="10"/>
  <c r="S1292" i="10"/>
  <c r="S1293" i="10"/>
  <c r="S1294" i="10"/>
  <c r="S1295" i="10"/>
  <c r="S1296" i="10"/>
  <c r="S1297" i="10"/>
  <c r="S1298" i="10"/>
  <c r="S1299" i="10"/>
  <c r="S1300" i="10"/>
  <c r="S1301" i="10"/>
  <c r="S1302" i="10"/>
  <c r="S1303" i="10"/>
  <c r="S1304" i="10"/>
  <c r="S1305" i="10"/>
  <c r="AO27" i="10"/>
  <c r="BB27" i="10"/>
  <c r="D1669" i="3"/>
  <c r="E1669" i="3"/>
  <c r="F1669" i="3"/>
  <c r="G1669" i="3"/>
  <c r="H1669" i="3"/>
  <c r="I1669" i="3"/>
  <c r="J1669" i="3"/>
  <c r="K1669" i="3"/>
  <c r="L1669" i="3"/>
  <c r="M1669" i="3"/>
  <c r="Q480" i="3"/>
  <c r="N1669" i="3"/>
  <c r="Q509" i="3"/>
  <c r="O1669" i="3"/>
  <c r="Q538" i="3"/>
  <c r="P1669" i="3"/>
  <c r="Q567" i="3"/>
  <c r="Q1669" i="3"/>
  <c r="Q596" i="3"/>
  <c r="R1669" i="3"/>
  <c r="Q625" i="3"/>
  <c r="S1669" i="3"/>
  <c r="T1669" i="3"/>
  <c r="V1669" i="3"/>
  <c r="U1669" i="3"/>
  <c r="BB1669" i="3"/>
  <c r="AV78" i="3"/>
  <c r="AG28" i="10"/>
  <c r="U1275" i="10"/>
  <c r="U1276" i="10"/>
  <c r="U1277" i="10"/>
  <c r="U1278" i="10"/>
  <c r="U1279" i="10"/>
  <c r="BB270" i="10"/>
  <c r="AL1245" i="10"/>
  <c r="AH1245" i="10"/>
  <c r="AT1245" i="10"/>
  <c r="G1280" i="10"/>
  <c r="U1280" i="10"/>
  <c r="BB310" i="10"/>
  <c r="AL1246" i="10"/>
  <c r="AH1246" i="10"/>
  <c r="AT1246" i="10"/>
  <c r="G1281" i="10"/>
  <c r="U1281" i="10"/>
  <c r="BB350" i="10"/>
  <c r="AL1247" i="10"/>
  <c r="AH1247" i="10"/>
  <c r="AT1247" i="10"/>
  <c r="G1282" i="10"/>
  <c r="U1282" i="10"/>
  <c r="BB390" i="10"/>
  <c r="AL1248" i="10"/>
  <c r="AH1248" i="10"/>
  <c r="AT1248" i="10"/>
  <c r="G1283" i="10"/>
  <c r="U1283" i="10"/>
  <c r="BB430" i="10"/>
  <c r="AL1249" i="10"/>
  <c r="AH1249" i="10"/>
  <c r="AT1249" i="10"/>
  <c r="G1284" i="10"/>
  <c r="U1284" i="10"/>
  <c r="BB470" i="10"/>
  <c r="AL1250" i="10"/>
  <c r="AH1250" i="10"/>
  <c r="AT1250" i="10"/>
  <c r="G1285" i="10"/>
  <c r="U1285" i="10"/>
  <c r="U1286" i="10"/>
  <c r="U1287" i="10"/>
  <c r="U1288" i="10"/>
  <c r="U1289" i="10"/>
  <c r="U1290" i="10"/>
  <c r="U1291" i="10"/>
  <c r="U1292" i="10"/>
  <c r="U1293" i="10"/>
  <c r="U1294" i="10"/>
  <c r="U1295" i="10"/>
  <c r="U1296" i="10"/>
  <c r="U1297" i="10"/>
  <c r="U1298" i="10"/>
  <c r="U1299" i="10"/>
  <c r="U1300" i="10"/>
  <c r="U1301" i="10"/>
  <c r="U1302" i="10"/>
  <c r="U1303" i="10"/>
  <c r="U1304" i="10"/>
  <c r="U1305" i="10"/>
  <c r="AO28" i="10"/>
  <c r="BB28" i="10"/>
  <c r="BB29" i="10"/>
  <c r="BJ87" i="11"/>
  <c r="AU87" i="11"/>
  <c r="BH87" i="11"/>
  <c r="O298" i="15"/>
  <c r="O290" i="15"/>
  <c r="O274" i="15"/>
  <c r="O266" i="15"/>
  <c r="O258" i="15"/>
  <c r="O250" i="15"/>
  <c r="O242" i="15"/>
  <c r="O163" i="15"/>
  <c r="O114" i="15"/>
  <c r="O87" i="15"/>
  <c r="O32" i="15"/>
  <c r="AJ208" i="2"/>
  <c r="AU18" i="15"/>
  <c r="AZ27" i="15"/>
  <c r="O27" i="15"/>
  <c r="O25" i="15"/>
  <c r="O22" i="15"/>
  <c r="AU20" i="15"/>
  <c r="AE20" i="15"/>
  <c r="O218" i="2"/>
  <c r="O20" i="15"/>
  <c r="AE18" i="15"/>
  <c r="O5" i="15"/>
  <c r="O9" i="15"/>
  <c r="O18" i="15"/>
  <c r="O16" i="15"/>
  <c r="O29" i="15"/>
  <c r="AP270" i="12"/>
  <c r="AP220" i="12"/>
  <c r="AP170" i="12"/>
  <c r="AP120" i="12"/>
  <c r="AP70" i="12"/>
  <c r="AP20" i="12"/>
  <c r="B702" i="2"/>
  <c r="B25" i="9"/>
  <c r="N9" i="9"/>
  <c r="Q16" i="9"/>
  <c r="R16" i="9"/>
  <c r="S16" i="9"/>
  <c r="T16" i="9"/>
  <c r="U16" i="9"/>
  <c r="N25" i="9"/>
  <c r="O25" i="9"/>
  <c r="U25" i="9"/>
  <c r="AO22" i="10"/>
  <c r="AO24" i="10"/>
  <c r="AO25" i="10"/>
  <c r="AB115" i="3"/>
  <c r="AG115" i="3"/>
  <c r="AQ115" i="3"/>
  <c r="AL115" i="3"/>
  <c r="N15" i="3"/>
  <c r="BJ81" i="11"/>
  <c r="AU81" i="11"/>
  <c r="BH81" i="11"/>
  <c r="D1622" i="3"/>
  <c r="E1622" i="3"/>
  <c r="F1622" i="3"/>
  <c r="G1622" i="3"/>
  <c r="H1622" i="3"/>
  <c r="I1622" i="3"/>
  <c r="J1622" i="3"/>
  <c r="K1622" i="3"/>
  <c r="L1622" i="3"/>
  <c r="M1622" i="3"/>
  <c r="N1622" i="3"/>
  <c r="O1622" i="3"/>
  <c r="P1622" i="3"/>
  <c r="Q1622" i="3"/>
  <c r="R1622" i="3"/>
  <c r="S1622" i="3"/>
  <c r="T1622" i="3"/>
  <c r="V1622" i="3"/>
  <c r="U1622" i="3"/>
  <c r="BB1622" i="3"/>
  <c r="AV31" i="3"/>
  <c r="D1623" i="3"/>
  <c r="E1623" i="3"/>
  <c r="F1623" i="3"/>
  <c r="G1623" i="3"/>
  <c r="H1623" i="3"/>
  <c r="I1623" i="3"/>
  <c r="J1623" i="3"/>
  <c r="K1623" i="3"/>
  <c r="L1623" i="3"/>
  <c r="M1623" i="3"/>
  <c r="N1623" i="3"/>
  <c r="O1623" i="3"/>
  <c r="P1623" i="3"/>
  <c r="Q1623" i="3"/>
  <c r="R1623" i="3"/>
  <c r="S1623" i="3"/>
  <c r="T1623" i="3"/>
  <c r="V1623" i="3"/>
  <c r="U1623" i="3"/>
  <c r="BB1623" i="3"/>
  <c r="AV32" i="3"/>
  <c r="D1624" i="3"/>
  <c r="E1624" i="3"/>
  <c r="F1624" i="3"/>
  <c r="G1624" i="3"/>
  <c r="H1624" i="3"/>
  <c r="I1624" i="3"/>
  <c r="J1624" i="3"/>
  <c r="K1624" i="3"/>
  <c r="L1624" i="3"/>
  <c r="M1624" i="3"/>
  <c r="N1624" i="3"/>
  <c r="O1624" i="3"/>
  <c r="P1624" i="3"/>
  <c r="Q1624" i="3"/>
  <c r="R1624" i="3"/>
  <c r="S1624" i="3"/>
  <c r="T1624" i="3"/>
  <c r="V1624" i="3"/>
  <c r="U1624" i="3"/>
  <c r="BB1624" i="3"/>
  <c r="AV33" i="3"/>
  <c r="D1625" i="3"/>
  <c r="E1625" i="3"/>
  <c r="F1625" i="3"/>
  <c r="G1625" i="3"/>
  <c r="H1625" i="3"/>
  <c r="I1625" i="3"/>
  <c r="J1625" i="3"/>
  <c r="K1625" i="3"/>
  <c r="L1625" i="3"/>
  <c r="M1625" i="3"/>
  <c r="N1625" i="3"/>
  <c r="O1625" i="3"/>
  <c r="P1625" i="3"/>
  <c r="Q1625" i="3"/>
  <c r="R1625" i="3"/>
  <c r="S1625" i="3"/>
  <c r="T1625" i="3"/>
  <c r="V1625" i="3"/>
  <c r="U1625" i="3"/>
  <c r="BB1625" i="3"/>
  <c r="AV34" i="3"/>
  <c r="D1626" i="3"/>
  <c r="E1626" i="3"/>
  <c r="F1626" i="3"/>
  <c r="G1626" i="3"/>
  <c r="H1626" i="3"/>
  <c r="I1626" i="3"/>
  <c r="J1626" i="3"/>
  <c r="K1626" i="3"/>
  <c r="L1626" i="3"/>
  <c r="M1626" i="3"/>
  <c r="N1626" i="3"/>
  <c r="O1626" i="3"/>
  <c r="P1626" i="3"/>
  <c r="Q1626" i="3"/>
  <c r="R1626" i="3"/>
  <c r="S1626" i="3"/>
  <c r="T1626" i="3"/>
  <c r="V1626" i="3"/>
  <c r="U1626" i="3"/>
  <c r="BB1626" i="3"/>
  <c r="AV35" i="3"/>
  <c r="D1627" i="3"/>
  <c r="E1627" i="3"/>
  <c r="F1627" i="3"/>
  <c r="G1627" i="3"/>
  <c r="H1627" i="3"/>
  <c r="I1627" i="3"/>
  <c r="J1627" i="3"/>
  <c r="K1627" i="3"/>
  <c r="L1627" i="3"/>
  <c r="M1627" i="3"/>
  <c r="N1627" i="3"/>
  <c r="O1627" i="3"/>
  <c r="P1627" i="3"/>
  <c r="Q1627" i="3"/>
  <c r="R1627" i="3"/>
  <c r="S1627" i="3"/>
  <c r="T1627" i="3"/>
  <c r="V1627" i="3"/>
  <c r="U1627" i="3"/>
  <c r="BB1627" i="3"/>
  <c r="AV36" i="3"/>
  <c r="D1628" i="3"/>
  <c r="E1628" i="3"/>
  <c r="F1628" i="3"/>
  <c r="G1628" i="3"/>
  <c r="H1628" i="3"/>
  <c r="I1628" i="3"/>
  <c r="J1628" i="3"/>
  <c r="K1628" i="3"/>
  <c r="L1628" i="3"/>
  <c r="M1628" i="3"/>
  <c r="N1628" i="3"/>
  <c r="O1628" i="3"/>
  <c r="P1628" i="3"/>
  <c r="Q1628" i="3"/>
  <c r="R1628" i="3"/>
  <c r="S1628" i="3"/>
  <c r="T1628" i="3"/>
  <c r="V1628" i="3"/>
  <c r="U1628" i="3"/>
  <c r="BB1628" i="3"/>
  <c r="AV37" i="3"/>
  <c r="D1629" i="3"/>
  <c r="E1629" i="3"/>
  <c r="F1629" i="3"/>
  <c r="G1629" i="3"/>
  <c r="H1629" i="3"/>
  <c r="I1629" i="3"/>
  <c r="J1629" i="3"/>
  <c r="K1629" i="3"/>
  <c r="L1629" i="3"/>
  <c r="M1629" i="3"/>
  <c r="N1629" i="3"/>
  <c r="O1629" i="3"/>
  <c r="P1629" i="3"/>
  <c r="Q1629" i="3"/>
  <c r="R1629" i="3"/>
  <c r="S1629" i="3"/>
  <c r="T1629" i="3"/>
  <c r="V1629" i="3"/>
  <c r="U1629" i="3"/>
  <c r="BB1629" i="3"/>
  <c r="AV38" i="3"/>
  <c r="D1630" i="3"/>
  <c r="E1630" i="3"/>
  <c r="F1630" i="3"/>
  <c r="G1630" i="3"/>
  <c r="H1630" i="3"/>
  <c r="I1630" i="3"/>
  <c r="J1630" i="3"/>
  <c r="K1630" i="3"/>
  <c r="L1630" i="3"/>
  <c r="M1630" i="3"/>
  <c r="N1630" i="3"/>
  <c r="O1630" i="3"/>
  <c r="P1630" i="3"/>
  <c r="Q1630" i="3"/>
  <c r="R1630" i="3"/>
  <c r="S1630" i="3"/>
  <c r="T1630" i="3"/>
  <c r="V1630" i="3"/>
  <c r="U1630" i="3"/>
  <c r="BB1630" i="3"/>
  <c r="AV39" i="3"/>
  <c r="D1631" i="3"/>
  <c r="E1631" i="3"/>
  <c r="F1631" i="3"/>
  <c r="G1631" i="3"/>
  <c r="H1631" i="3"/>
  <c r="I1631" i="3"/>
  <c r="J1631" i="3"/>
  <c r="K1631" i="3"/>
  <c r="L1631" i="3"/>
  <c r="M1631" i="3"/>
  <c r="N1631" i="3"/>
  <c r="O1631" i="3"/>
  <c r="P1631" i="3"/>
  <c r="Q1631" i="3"/>
  <c r="R1631" i="3"/>
  <c r="S1631" i="3"/>
  <c r="T1631" i="3"/>
  <c r="V1631" i="3"/>
  <c r="U1631" i="3"/>
  <c r="BB1631" i="3"/>
  <c r="AV40" i="3"/>
  <c r="D1632" i="3"/>
  <c r="E1632" i="3"/>
  <c r="F1632" i="3"/>
  <c r="G1632" i="3"/>
  <c r="H1632" i="3"/>
  <c r="I1632" i="3"/>
  <c r="J1632" i="3"/>
  <c r="K1632" i="3"/>
  <c r="L1632" i="3"/>
  <c r="M1632" i="3"/>
  <c r="N1632" i="3"/>
  <c r="O1632" i="3"/>
  <c r="P1632" i="3"/>
  <c r="Q1632" i="3"/>
  <c r="R1632" i="3"/>
  <c r="S1632" i="3"/>
  <c r="T1632" i="3"/>
  <c r="V1632" i="3"/>
  <c r="U1632" i="3"/>
  <c r="BB1632" i="3"/>
  <c r="AV41" i="3"/>
  <c r="D1633" i="3"/>
  <c r="E1633" i="3"/>
  <c r="F1633" i="3"/>
  <c r="G1633" i="3"/>
  <c r="H1633" i="3"/>
  <c r="I1633" i="3"/>
  <c r="J1633" i="3"/>
  <c r="K1633" i="3"/>
  <c r="L1633" i="3"/>
  <c r="M1633" i="3"/>
  <c r="N1633" i="3"/>
  <c r="O1633" i="3"/>
  <c r="P1633" i="3"/>
  <c r="Q1633" i="3"/>
  <c r="R1633" i="3"/>
  <c r="S1633" i="3"/>
  <c r="T1633" i="3"/>
  <c r="V1633" i="3"/>
  <c r="U1633" i="3"/>
  <c r="BB1633" i="3"/>
  <c r="AV42" i="3"/>
  <c r="D1634" i="3"/>
  <c r="E1634" i="3"/>
  <c r="F1634" i="3"/>
  <c r="G1634" i="3"/>
  <c r="H1634" i="3"/>
  <c r="I1634" i="3"/>
  <c r="J1634" i="3"/>
  <c r="K1634" i="3"/>
  <c r="L1634" i="3"/>
  <c r="M1634" i="3"/>
  <c r="N1634" i="3"/>
  <c r="O1634" i="3"/>
  <c r="P1634" i="3"/>
  <c r="Q1634" i="3"/>
  <c r="R1634" i="3"/>
  <c r="S1634" i="3"/>
  <c r="T1634" i="3"/>
  <c r="V1634" i="3"/>
  <c r="U1634" i="3"/>
  <c r="BB1634" i="3"/>
  <c r="AV43" i="3"/>
  <c r="D1635" i="3"/>
  <c r="E1635" i="3"/>
  <c r="F1635" i="3"/>
  <c r="G1635" i="3"/>
  <c r="H1635" i="3"/>
  <c r="I1635" i="3"/>
  <c r="J1635" i="3"/>
  <c r="K1635" i="3"/>
  <c r="L1635" i="3"/>
  <c r="M1635" i="3"/>
  <c r="N1635" i="3"/>
  <c r="O1635" i="3"/>
  <c r="P1635" i="3"/>
  <c r="Q1635" i="3"/>
  <c r="R1635" i="3"/>
  <c r="S1635" i="3"/>
  <c r="T1635" i="3"/>
  <c r="V1635" i="3"/>
  <c r="U1635" i="3"/>
  <c r="BB1635" i="3"/>
  <c r="AV44" i="3"/>
  <c r="D1636" i="3"/>
  <c r="E1636" i="3"/>
  <c r="F1636" i="3"/>
  <c r="G1636" i="3"/>
  <c r="H1636" i="3"/>
  <c r="I1636" i="3"/>
  <c r="J1636" i="3"/>
  <c r="K1636" i="3"/>
  <c r="L1636" i="3"/>
  <c r="M1636" i="3"/>
  <c r="N1636" i="3"/>
  <c r="O1636" i="3"/>
  <c r="P1636" i="3"/>
  <c r="Q1636" i="3"/>
  <c r="R1636" i="3"/>
  <c r="S1636" i="3"/>
  <c r="T1636" i="3"/>
  <c r="V1636" i="3"/>
  <c r="U1636" i="3"/>
  <c r="BB1636" i="3"/>
  <c r="AV45" i="3"/>
  <c r="D1637" i="3"/>
  <c r="E1637" i="3"/>
  <c r="F1637" i="3"/>
  <c r="G1637" i="3"/>
  <c r="H1637" i="3"/>
  <c r="I1637" i="3"/>
  <c r="J1637" i="3"/>
  <c r="K1637" i="3"/>
  <c r="L1637" i="3"/>
  <c r="M1637" i="3"/>
  <c r="N1637" i="3"/>
  <c r="O1637" i="3"/>
  <c r="P1637" i="3"/>
  <c r="Q1637" i="3"/>
  <c r="R1637" i="3"/>
  <c r="S1637" i="3"/>
  <c r="T1637" i="3"/>
  <c r="V1637" i="3"/>
  <c r="U1637" i="3"/>
  <c r="BB1637" i="3"/>
  <c r="AV46" i="3"/>
  <c r="D1638" i="3"/>
  <c r="E1638" i="3"/>
  <c r="F1638" i="3"/>
  <c r="G1638" i="3"/>
  <c r="H1638" i="3"/>
  <c r="I1638" i="3"/>
  <c r="J1638" i="3"/>
  <c r="K1638" i="3"/>
  <c r="L1638" i="3"/>
  <c r="M1638" i="3"/>
  <c r="N1638" i="3"/>
  <c r="O1638" i="3"/>
  <c r="P1638" i="3"/>
  <c r="Q1638" i="3"/>
  <c r="R1638" i="3"/>
  <c r="S1638" i="3"/>
  <c r="T1638" i="3"/>
  <c r="V1638" i="3"/>
  <c r="U1638" i="3"/>
  <c r="BB1638" i="3"/>
  <c r="AV47" i="3"/>
  <c r="D1639" i="3"/>
  <c r="E1639" i="3"/>
  <c r="F1639" i="3"/>
  <c r="G1639" i="3"/>
  <c r="H1639" i="3"/>
  <c r="I1639" i="3"/>
  <c r="J1639" i="3"/>
  <c r="K1639" i="3"/>
  <c r="L1639" i="3"/>
  <c r="M1639" i="3"/>
  <c r="N1639" i="3"/>
  <c r="O1639" i="3"/>
  <c r="P1639" i="3"/>
  <c r="Q1639" i="3"/>
  <c r="R1639" i="3"/>
  <c r="S1639" i="3"/>
  <c r="T1639" i="3"/>
  <c r="V1639" i="3"/>
  <c r="U1639" i="3"/>
  <c r="BB1639" i="3"/>
  <c r="AV48" i="3"/>
  <c r="D1640" i="3"/>
  <c r="E1640" i="3"/>
  <c r="F1640" i="3"/>
  <c r="G1640" i="3"/>
  <c r="H1640" i="3"/>
  <c r="I1640" i="3"/>
  <c r="J1640" i="3"/>
  <c r="K1640" i="3"/>
  <c r="L1640" i="3"/>
  <c r="M1640" i="3"/>
  <c r="N1640" i="3"/>
  <c r="O1640" i="3"/>
  <c r="P1640" i="3"/>
  <c r="Q1640" i="3"/>
  <c r="R1640" i="3"/>
  <c r="S1640" i="3"/>
  <c r="T1640" i="3"/>
  <c r="V1640" i="3"/>
  <c r="U1640" i="3"/>
  <c r="BB1640" i="3"/>
  <c r="AV49" i="3"/>
  <c r="D1641" i="3"/>
  <c r="E1641" i="3"/>
  <c r="F1641" i="3"/>
  <c r="G1641" i="3"/>
  <c r="H1641" i="3"/>
  <c r="I1641" i="3"/>
  <c r="J1641" i="3"/>
  <c r="K1641" i="3"/>
  <c r="L1641" i="3"/>
  <c r="M1641" i="3"/>
  <c r="N1641" i="3"/>
  <c r="O1641" i="3"/>
  <c r="P1641" i="3"/>
  <c r="Q1641" i="3"/>
  <c r="R1641" i="3"/>
  <c r="S1641" i="3"/>
  <c r="T1641" i="3"/>
  <c r="V1641" i="3"/>
  <c r="U1641" i="3"/>
  <c r="BB1641" i="3"/>
  <c r="AV50" i="3"/>
  <c r="D1642" i="3"/>
  <c r="E1642" i="3"/>
  <c r="F1642" i="3"/>
  <c r="G1642" i="3"/>
  <c r="H1642" i="3"/>
  <c r="I1642" i="3"/>
  <c r="J1642" i="3"/>
  <c r="K1642" i="3"/>
  <c r="L1642" i="3"/>
  <c r="M1642" i="3"/>
  <c r="N1642" i="3"/>
  <c r="O1642" i="3"/>
  <c r="P1642" i="3"/>
  <c r="Q1642" i="3"/>
  <c r="R1642" i="3"/>
  <c r="S1642" i="3"/>
  <c r="T1642" i="3"/>
  <c r="V1642" i="3"/>
  <c r="U1642" i="3"/>
  <c r="BB1642" i="3"/>
  <c r="AV51" i="3"/>
  <c r="D1643" i="3"/>
  <c r="E1643" i="3"/>
  <c r="F1643" i="3"/>
  <c r="G1643" i="3"/>
  <c r="H1643" i="3"/>
  <c r="I1643" i="3"/>
  <c r="J1643" i="3"/>
  <c r="K1643" i="3"/>
  <c r="L1643" i="3"/>
  <c r="M1643" i="3"/>
  <c r="N1643" i="3"/>
  <c r="O1643" i="3"/>
  <c r="P1643" i="3"/>
  <c r="Q1643" i="3"/>
  <c r="R1643" i="3"/>
  <c r="S1643" i="3"/>
  <c r="T1643" i="3"/>
  <c r="V1643" i="3"/>
  <c r="U1643" i="3"/>
  <c r="BB1643" i="3"/>
  <c r="AV52" i="3"/>
  <c r="D1644" i="3"/>
  <c r="E1644" i="3"/>
  <c r="F1644" i="3"/>
  <c r="G1644" i="3"/>
  <c r="H1644" i="3"/>
  <c r="I1644" i="3"/>
  <c r="J1644" i="3"/>
  <c r="K1644" i="3"/>
  <c r="L1644" i="3"/>
  <c r="M1644" i="3"/>
  <c r="N1644" i="3"/>
  <c r="O1644" i="3"/>
  <c r="P1644" i="3"/>
  <c r="Q1644" i="3"/>
  <c r="R1644" i="3"/>
  <c r="S1644" i="3"/>
  <c r="T1644" i="3"/>
  <c r="V1644" i="3"/>
  <c r="U1644" i="3"/>
  <c r="BB1644" i="3"/>
  <c r="AV53" i="3"/>
  <c r="D1645" i="3"/>
  <c r="E1645" i="3"/>
  <c r="F1645" i="3"/>
  <c r="G1645" i="3"/>
  <c r="H1645" i="3"/>
  <c r="I1645" i="3"/>
  <c r="J1645" i="3"/>
  <c r="K1645" i="3"/>
  <c r="L1645" i="3"/>
  <c r="M1645" i="3"/>
  <c r="N1645" i="3"/>
  <c r="O1645" i="3"/>
  <c r="P1645" i="3"/>
  <c r="Q1645" i="3"/>
  <c r="R1645" i="3"/>
  <c r="S1645" i="3"/>
  <c r="T1645" i="3"/>
  <c r="V1645" i="3"/>
  <c r="U1645" i="3"/>
  <c r="BB1645" i="3"/>
  <c r="AV54" i="3"/>
  <c r="D1646" i="3"/>
  <c r="E1646" i="3"/>
  <c r="F1646" i="3"/>
  <c r="G1646" i="3"/>
  <c r="H1646" i="3"/>
  <c r="I1646" i="3"/>
  <c r="J1646" i="3"/>
  <c r="K1646" i="3"/>
  <c r="L1646" i="3"/>
  <c r="M1646" i="3"/>
  <c r="N1646" i="3"/>
  <c r="O1646" i="3"/>
  <c r="P1646" i="3"/>
  <c r="Q1646" i="3"/>
  <c r="R1646" i="3"/>
  <c r="S1646" i="3"/>
  <c r="T1646" i="3"/>
  <c r="V1646" i="3"/>
  <c r="U1646" i="3"/>
  <c r="BB1646" i="3"/>
  <c r="AV55" i="3"/>
  <c r="D1647" i="3"/>
  <c r="E1647" i="3"/>
  <c r="F1647" i="3"/>
  <c r="G1647" i="3"/>
  <c r="H1647" i="3"/>
  <c r="I1647" i="3"/>
  <c r="J1647" i="3"/>
  <c r="K1647" i="3"/>
  <c r="L1647" i="3"/>
  <c r="M1647" i="3"/>
  <c r="N1647" i="3"/>
  <c r="O1647" i="3"/>
  <c r="P1647" i="3"/>
  <c r="Q1647" i="3"/>
  <c r="R1647" i="3"/>
  <c r="S1647" i="3"/>
  <c r="T1647" i="3"/>
  <c r="V1647" i="3"/>
  <c r="U1647" i="3"/>
  <c r="BB1647" i="3"/>
  <c r="AV56" i="3"/>
  <c r="D1648" i="3"/>
  <c r="E1648" i="3"/>
  <c r="F1648" i="3"/>
  <c r="G1648" i="3"/>
  <c r="H1648" i="3"/>
  <c r="I1648" i="3"/>
  <c r="J1648" i="3"/>
  <c r="K1648" i="3"/>
  <c r="L1648" i="3"/>
  <c r="M1648" i="3"/>
  <c r="N1648" i="3"/>
  <c r="O1648" i="3"/>
  <c r="P1648" i="3"/>
  <c r="Q1648" i="3"/>
  <c r="R1648" i="3"/>
  <c r="S1648" i="3"/>
  <c r="T1648" i="3"/>
  <c r="V1648" i="3"/>
  <c r="U1648" i="3"/>
  <c r="BB1648" i="3"/>
  <c r="AV57" i="3"/>
  <c r="D1650" i="3"/>
  <c r="E1650" i="3"/>
  <c r="F1650" i="3"/>
  <c r="G1650" i="3"/>
  <c r="H1650" i="3"/>
  <c r="I1650" i="3"/>
  <c r="J1650" i="3"/>
  <c r="K1650" i="3"/>
  <c r="L1650" i="3"/>
  <c r="M1650" i="3"/>
  <c r="N1650" i="3"/>
  <c r="O1650" i="3"/>
  <c r="P1650" i="3"/>
  <c r="Q1650" i="3"/>
  <c r="R1650" i="3"/>
  <c r="S1650" i="3"/>
  <c r="T1650" i="3"/>
  <c r="V1650" i="3"/>
  <c r="U1650" i="3"/>
  <c r="BB1650" i="3"/>
  <c r="AV59" i="3"/>
  <c r="D1652" i="3"/>
  <c r="E1652" i="3"/>
  <c r="F1652" i="3"/>
  <c r="G1652" i="3"/>
  <c r="H1652" i="3"/>
  <c r="I1652" i="3"/>
  <c r="J1652" i="3"/>
  <c r="K1652" i="3"/>
  <c r="L1652" i="3"/>
  <c r="M1652" i="3"/>
  <c r="N1652" i="3"/>
  <c r="O1652" i="3"/>
  <c r="P1652" i="3"/>
  <c r="Q1652" i="3"/>
  <c r="R1652" i="3"/>
  <c r="S1652" i="3"/>
  <c r="T1652" i="3"/>
  <c r="V1652" i="3"/>
  <c r="U1652" i="3"/>
  <c r="BB1652" i="3"/>
  <c r="AV61" i="3"/>
  <c r="D1653" i="3"/>
  <c r="E1653" i="3"/>
  <c r="F1653" i="3"/>
  <c r="G1653" i="3"/>
  <c r="H1653" i="3"/>
  <c r="I1653" i="3"/>
  <c r="J1653" i="3"/>
  <c r="K1653" i="3"/>
  <c r="L1653" i="3"/>
  <c r="M1653" i="3"/>
  <c r="N1653" i="3"/>
  <c r="O1653" i="3"/>
  <c r="P1653" i="3"/>
  <c r="Q1653" i="3"/>
  <c r="R1653" i="3"/>
  <c r="S1653" i="3"/>
  <c r="T1653" i="3"/>
  <c r="V1653" i="3"/>
  <c r="U1653" i="3"/>
  <c r="BB1653" i="3"/>
  <c r="AV62" i="3"/>
  <c r="D1656" i="3"/>
  <c r="E1656" i="3"/>
  <c r="F1656" i="3"/>
  <c r="G1656" i="3"/>
  <c r="H1656" i="3"/>
  <c r="I1656" i="3"/>
  <c r="J1656" i="3"/>
  <c r="K1656" i="3"/>
  <c r="L1656" i="3"/>
  <c r="M1656" i="3"/>
  <c r="N1656" i="3"/>
  <c r="O1656" i="3"/>
  <c r="P1656" i="3"/>
  <c r="Q1656" i="3"/>
  <c r="R1656" i="3"/>
  <c r="S1656" i="3"/>
  <c r="T1656" i="3"/>
  <c r="V1656" i="3"/>
  <c r="U1656" i="3"/>
  <c r="BB1656" i="3"/>
  <c r="AV65" i="3"/>
  <c r="D1657" i="3"/>
  <c r="E1657" i="3"/>
  <c r="F1657" i="3"/>
  <c r="G1657" i="3"/>
  <c r="H1657" i="3"/>
  <c r="I1657" i="3"/>
  <c r="J1657" i="3"/>
  <c r="K1657" i="3"/>
  <c r="L1657" i="3"/>
  <c r="M1657" i="3"/>
  <c r="N1657" i="3"/>
  <c r="O1657" i="3"/>
  <c r="P1657" i="3"/>
  <c r="Q1657" i="3"/>
  <c r="R1657" i="3"/>
  <c r="S1657" i="3"/>
  <c r="T1657" i="3"/>
  <c r="V1657" i="3"/>
  <c r="U1657" i="3"/>
  <c r="BB1657" i="3"/>
  <c r="AV66" i="3"/>
  <c r="D1660" i="3"/>
  <c r="E1660" i="3"/>
  <c r="F1660" i="3"/>
  <c r="G1660" i="3"/>
  <c r="H1660" i="3"/>
  <c r="I1660" i="3"/>
  <c r="J1660" i="3"/>
  <c r="K1660" i="3"/>
  <c r="L1660" i="3"/>
  <c r="M1660" i="3"/>
  <c r="N1660" i="3"/>
  <c r="O1660" i="3"/>
  <c r="P1660" i="3"/>
  <c r="Q1660" i="3"/>
  <c r="R1660" i="3"/>
  <c r="S1660" i="3"/>
  <c r="T1660" i="3"/>
  <c r="V1660" i="3"/>
  <c r="U1660" i="3"/>
  <c r="BB1660" i="3"/>
  <c r="AV69" i="3"/>
  <c r="D1661" i="3"/>
  <c r="E1661" i="3"/>
  <c r="F1661" i="3"/>
  <c r="G1661" i="3"/>
  <c r="H1661" i="3"/>
  <c r="I1661" i="3"/>
  <c r="J1661" i="3"/>
  <c r="K1661" i="3"/>
  <c r="L1661" i="3"/>
  <c r="M1661" i="3"/>
  <c r="N1661" i="3"/>
  <c r="O1661" i="3"/>
  <c r="P1661" i="3"/>
  <c r="Q1661" i="3"/>
  <c r="R1661" i="3"/>
  <c r="S1661" i="3"/>
  <c r="T1661" i="3"/>
  <c r="V1661" i="3"/>
  <c r="U1661" i="3"/>
  <c r="BB1661" i="3"/>
  <c r="AV70" i="3"/>
  <c r="D1662" i="3"/>
  <c r="E1662" i="3"/>
  <c r="F1662" i="3"/>
  <c r="G1662" i="3"/>
  <c r="H1662" i="3"/>
  <c r="I1662" i="3"/>
  <c r="J1662" i="3"/>
  <c r="K1662" i="3"/>
  <c r="L1662" i="3"/>
  <c r="M1662" i="3"/>
  <c r="N1662" i="3"/>
  <c r="O1662" i="3"/>
  <c r="P1662" i="3"/>
  <c r="Q1662" i="3"/>
  <c r="R1662" i="3"/>
  <c r="S1662" i="3"/>
  <c r="T1662" i="3"/>
  <c r="V1662" i="3"/>
  <c r="U1662" i="3"/>
  <c r="BB1662" i="3"/>
  <c r="AV71" i="3"/>
  <c r="D1663" i="3"/>
  <c r="E1663" i="3"/>
  <c r="F1663" i="3"/>
  <c r="G1663" i="3"/>
  <c r="H1663" i="3"/>
  <c r="I1663" i="3"/>
  <c r="J1663" i="3"/>
  <c r="K1663" i="3"/>
  <c r="L1663" i="3"/>
  <c r="M1663" i="3"/>
  <c r="N1663" i="3"/>
  <c r="O1663" i="3"/>
  <c r="P1663" i="3"/>
  <c r="Q1663" i="3"/>
  <c r="R1663" i="3"/>
  <c r="S1663" i="3"/>
  <c r="T1663" i="3"/>
  <c r="V1663" i="3"/>
  <c r="U1663" i="3"/>
  <c r="BB1663" i="3"/>
  <c r="AV72" i="3"/>
  <c r="D1664" i="3"/>
  <c r="E1664" i="3"/>
  <c r="F1664" i="3"/>
  <c r="G1664" i="3"/>
  <c r="H1664" i="3"/>
  <c r="I1664" i="3"/>
  <c r="J1664" i="3"/>
  <c r="K1664" i="3"/>
  <c r="L1664" i="3"/>
  <c r="M1664" i="3"/>
  <c r="N1664" i="3"/>
  <c r="O1664" i="3"/>
  <c r="P1664" i="3"/>
  <c r="Q1664" i="3"/>
  <c r="R1664" i="3"/>
  <c r="S1664" i="3"/>
  <c r="T1664" i="3"/>
  <c r="V1664" i="3"/>
  <c r="U1664" i="3"/>
  <c r="BB1664" i="3"/>
  <c r="AV73" i="3"/>
  <c r="D1665" i="3"/>
  <c r="E1665" i="3"/>
  <c r="F1665" i="3"/>
  <c r="G1665" i="3"/>
  <c r="H1665" i="3"/>
  <c r="I1665" i="3"/>
  <c r="J1665" i="3"/>
  <c r="K1665" i="3"/>
  <c r="L1665" i="3"/>
  <c r="M1665" i="3"/>
  <c r="N1665" i="3"/>
  <c r="O1665" i="3"/>
  <c r="P1665" i="3"/>
  <c r="Q1665" i="3"/>
  <c r="R1665" i="3"/>
  <c r="S1665" i="3"/>
  <c r="T1665" i="3"/>
  <c r="V1665" i="3"/>
  <c r="U1665" i="3"/>
  <c r="BB1665" i="3"/>
  <c r="AV74" i="3"/>
  <c r="D1666" i="3"/>
  <c r="E1666" i="3"/>
  <c r="F1666" i="3"/>
  <c r="G1666" i="3"/>
  <c r="H1666" i="3"/>
  <c r="I1666" i="3"/>
  <c r="J1666" i="3"/>
  <c r="K1666" i="3"/>
  <c r="L1666" i="3"/>
  <c r="M1666" i="3"/>
  <c r="N1666" i="3"/>
  <c r="O1666" i="3"/>
  <c r="P1666" i="3"/>
  <c r="Q1666" i="3"/>
  <c r="R1666" i="3"/>
  <c r="S1666" i="3"/>
  <c r="T1666" i="3"/>
  <c r="V1666" i="3"/>
  <c r="U1666" i="3"/>
  <c r="BB1666" i="3"/>
  <c r="AV75" i="3"/>
  <c r="D1667" i="3"/>
  <c r="E1667" i="3"/>
  <c r="F1667" i="3"/>
  <c r="G1667" i="3"/>
  <c r="H1667" i="3"/>
  <c r="I1667" i="3"/>
  <c r="J1667" i="3"/>
  <c r="K1667" i="3"/>
  <c r="L1667" i="3"/>
  <c r="M1667" i="3"/>
  <c r="N1667" i="3"/>
  <c r="O1667" i="3"/>
  <c r="P1667" i="3"/>
  <c r="Q1667" i="3"/>
  <c r="R1667" i="3"/>
  <c r="S1667" i="3"/>
  <c r="T1667" i="3"/>
  <c r="V1667" i="3"/>
  <c r="U1667" i="3"/>
  <c r="BB1667" i="3"/>
  <c r="AV76" i="3"/>
  <c r="D1668" i="3"/>
  <c r="E1668" i="3"/>
  <c r="F1668" i="3"/>
  <c r="G1668" i="3"/>
  <c r="H1668" i="3"/>
  <c r="I1668" i="3"/>
  <c r="J1668" i="3"/>
  <c r="K1668" i="3"/>
  <c r="L1668" i="3"/>
  <c r="M1668" i="3"/>
  <c r="N1668" i="3"/>
  <c r="O1668" i="3"/>
  <c r="P1668" i="3"/>
  <c r="Q1668" i="3"/>
  <c r="R1668" i="3"/>
  <c r="S1668" i="3"/>
  <c r="T1668" i="3"/>
  <c r="V1668" i="3"/>
  <c r="U1668" i="3"/>
  <c r="BB1668" i="3"/>
  <c r="AV77" i="3"/>
  <c r="D1670" i="3"/>
  <c r="E1670" i="3"/>
  <c r="F1670" i="3"/>
  <c r="G1670" i="3"/>
  <c r="H1670" i="3"/>
  <c r="I1670" i="3"/>
  <c r="J1670" i="3"/>
  <c r="K1670" i="3"/>
  <c r="L1670" i="3"/>
  <c r="M1670" i="3"/>
  <c r="N1670" i="3"/>
  <c r="O1670" i="3"/>
  <c r="P1670" i="3"/>
  <c r="Q1670" i="3"/>
  <c r="R1670" i="3"/>
  <c r="S1670" i="3"/>
  <c r="T1670" i="3"/>
  <c r="V1670" i="3"/>
  <c r="U1670" i="3"/>
  <c r="BB1670" i="3"/>
  <c r="AV79" i="3"/>
  <c r="D1671" i="3"/>
  <c r="E1671" i="3"/>
  <c r="F1671" i="3"/>
  <c r="G1671" i="3"/>
  <c r="H1671" i="3"/>
  <c r="I1671" i="3"/>
  <c r="J1671" i="3"/>
  <c r="K1671" i="3"/>
  <c r="L1671" i="3"/>
  <c r="M1671" i="3"/>
  <c r="N1671" i="3"/>
  <c r="O1671" i="3"/>
  <c r="P1671" i="3"/>
  <c r="Q1671" i="3"/>
  <c r="R1671" i="3"/>
  <c r="S1671" i="3"/>
  <c r="T1671" i="3"/>
  <c r="V1671" i="3"/>
  <c r="U1671" i="3"/>
  <c r="BB1671" i="3"/>
  <c r="AV80" i="3"/>
  <c r="D1672" i="3"/>
  <c r="E1672" i="3"/>
  <c r="F1672" i="3"/>
  <c r="G1672" i="3"/>
  <c r="H1672" i="3"/>
  <c r="I1672" i="3"/>
  <c r="J1672" i="3"/>
  <c r="K1672" i="3"/>
  <c r="L1672" i="3"/>
  <c r="M1672" i="3"/>
  <c r="N1672" i="3"/>
  <c r="O1672" i="3"/>
  <c r="P1672" i="3"/>
  <c r="Q1672" i="3"/>
  <c r="R1672" i="3"/>
  <c r="S1672" i="3"/>
  <c r="T1672" i="3"/>
  <c r="V1672" i="3"/>
  <c r="U1672" i="3"/>
  <c r="BB1672" i="3"/>
  <c r="AV81" i="3"/>
  <c r="D1673" i="3"/>
  <c r="E1673" i="3"/>
  <c r="F1673" i="3"/>
  <c r="G1673" i="3"/>
  <c r="H1673" i="3"/>
  <c r="I1673" i="3"/>
  <c r="J1673" i="3"/>
  <c r="K1673" i="3"/>
  <c r="L1673" i="3"/>
  <c r="M1673" i="3"/>
  <c r="N1673" i="3"/>
  <c r="O1673" i="3"/>
  <c r="P1673" i="3"/>
  <c r="Q1673" i="3"/>
  <c r="R1673" i="3"/>
  <c r="S1673" i="3"/>
  <c r="T1673" i="3"/>
  <c r="V1673" i="3"/>
  <c r="U1673" i="3"/>
  <c r="BB1673" i="3"/>
  <c r="AV82" i="3"/>
  <c r="D1674" i="3"/>
  <c r="E1674" i="3"/>
  <c r="F1674" i="3"/>
  <c r="G1674" i="3"/>
  <c r="H1674" i="3"/>
  <c r="I1674" i="3"/>
  <c r="J1674" i="3"/>
  <c r="K1674" i="3"/>
  <c r="L1674" i="3"/>
  <c r="M1674" i="3"/>
  <c r="N1674" i="3"/>
  <c r="O1674" i="3"/>
  <c r="P1674" i="3"/>
  <c r="Q1674" i="3"/>
  <c r="R1674" i="3"/>
  <c r="S1674" i="3"/>
  <c r="T1674" i="3"/>
  <c r="V1674" i="3"/>
  <c r="U1674" i="3"/>
  <c r="BB1674" i="3"/>
  <c r="AV83" i="3"/>
  <c r="D1675" i="3"/>
  <c r="E1675" i="3"/>
  <c r="F1675" i="3"/>
  <c r="G1675" i="3"/>
  <c r="H1675" i="3"/>
  <c r="I1675" i="3"/>
  <c r="J1675" i="3"/>
  <c r="K1675" i="3"/>
  <c r="L1675" i="3"/>
  <c r="M1675" i="3"/>
  <c r="N1675" i="3"/>
  <c r="O1675" i="3"/>
  <c r="P1675" i="3"/>
  <c r="Q1675" i="3"/>
  <c r="R1675" i="3"/>
  <c r="S1675" i="3"/>
  <c r="T1675" i="3"/>
  <c r="V1675" i="3"/>
  <c r="U1675" i="3"/>
  <c r="BB1675" i="3"/>
  <c r="AV84" i="3"/>
  <c r="D1676" i="3"/>
  <c r="E1676" i="3"/>
  <c r="F1676" i="3"/>
  <c r="G1676" i="3"/>
  <c r="H1676" i="3"/>
  <c r="I1676" i="3"/>
  <c r="J1676" i="3"/>
  <c r="K1676" i="3"/>
  <c r="L1676" i="3"/>
  <c r="M1676" i="3"/>
  <c r="N1676" i="3"/>
  <c r="O1676" i="3"/>
  <c r="P1676" i="3"/>
  <c r="Q1676" i="3"/>
  <c r="R1676" i="3"/>
  <c r="S1676" i="3"/>
  <c r="T1676" i="3"/>
  <c r="V1676" i="3"/>
  <c r="U1676" i="3"/>
  <c r="BB1676" i="3"/>
  <c r="AV85" i="3"/>
  <c r="D1677" i="3"/>
  <c r="E1677" i="3"/>
  <c r="F1677" i="3"/>
  <c r="G1677" i="3"/>
  <c r="H1677" i="3"/>
  <c r="I1677" i="3"/>
  <c r="J1677" i="3"/>
  <c r="K1677" i="3"/>
  <c r="L1677" i="3"/>
  <c r="M1677" i="3"/>
  <c r="N1677" i="3"/>
  <c r="O1677" i="3"/>
  <c r="P1677" i="3"/>
  <c r="Q1677" i="3"/>
  <c r="R1677" i="3"/>
  <c r="S1677" i="3"/>
  <c r="T1677" i="3"/>
  <c r="V1677" i="3"/>
  <c r="U1677" i="3"/>
  <c r="BB1677" i="3"/>
  <c r="AV86" i="3"/>
  <c r="D1678" i="3"/>
  <c r="E1678" i="3"/>
  <c r="F1678" i="3"/>
  <c r="G1678" i="3"/>
  <c r="H1678" i="3"/>
  <c r="I1678" i="3"/>
  <c r="J1678" i="3"/>
  <c r="K1678" i="3"/>
  <c r="L1678" i="3"/>
  <c r="M1678" i="3"/>
  <c r="N1678" i="3"/>
  <c r="O1678" i="3"/>
  <c r="P1678" i="3"/>
  <c r="Q1678" i="3"/>
  <c r="R1678" i="3"/>
  <c r="S1678" i="3"/>
  <c r="T1678" i="3"/>
  <c r="V1678" i="3"/>
  <c r="U1678" i="3"/>
  <c r="BB1678" i="3"/>
  <c r="AV87" i="3"/>
  <c r="D1679" i="3"/>
  <c r="E1679" i="3"/>
  <c r="F1679" i="3"/>
  <c r="G1679" i="3"/>
  <c r="H1679" i="3"/>
  <c r="I1679" i="3"/>
  <c r="J1679" i="3"/>
  <c r="K1679" i="3"/>
  <c r="L1679" i="3"/>
  <c r="M1679" i="3"/>
  <c r="N1679" i="3"/>
  <c r="O1679" i="3"/>
  <c r="P1679" i="3"/>
  <c r="Q1679" i="3"/>
  <c r="R1679" i="3"/>
  <c r="S1679" i="3"/>
  <c r="T1679" i="3"/>
  <c r="V1679" i="3"/>
  <c r="U1679" i="3"/>
  <c r="BB1679" i="3"/>
  <c r="AV88" i="3"/>
  <c r="D1680" i="3"/>
  <c r="E1680" i="3"/>
  <c r="F1680" i="3"/>
  <c r="G1680" i="3"/>
  <c r="H1680" i="3"/>
  <c r="I1680" i="3"/>
  <c r="J1680" i="3"/>
  <c r="K1680" i="3"/>
  <c r="L1680" i="3"/>
  <c r="M1680" i="3"/>
  <c r="N1680" i="3"/>
  <c r="O1680" i="3"/>
  <c r="P1680" i="3"/>
  <c r="Q1680" i="3"/>
  <c r="R1680" i="3"/>
  <c r="S1680" i="3"/>
  <c r="T1680" i="3"/>
  <c r="V1680" i="3"/>
  <c r="U1680" i="3"/>
  <c r="BB1680" i="3"/>
  <c r="AV89" i="3"/>
  <c r="D1681" i="3"/>
  <c r="E1681" i="3"/>
  <c r="F1681" i="3"/>
  <c r="G1681" i="3"/>
  <c r="H1681" i="3"/>
  <c r="I1681" i="3"/>
  <c r="J1681" i="3"/>
  <c r="K1681" i="3"/>
  <c r="L1681" i="3"/>
  <c r="M1681" i="3"/>
  <c r="N1681" i="3"/>
  <c r="O1681" i="3"/>
  <c r="P1681" i="3"/>
  <c r="Q1681" i="3"/>
  <c r="R1681" i="3"/>
  <c r="S1681" i="3"/>
  <c r="T1681" i="3"/>
  <c r="V1681" i="3"/>
  <c r="U1681" i="3"/>
  <c r="BB1681" i="3"/>
  <c r="AV90" i="3"/>
  <c r="D1682" i="3"/>
  <c r="E1682" i="3"/>
  <c r="F1682" i="3"/>
  <c r="G1682" i="3"/>
  <c r="H1682" i="3"/>
  <c r="I1682" i="3"/>
  <c r="J1682" i="3"/>
  <c r="K1682" i="3"/>
  <c r="L1682" i="3"/>
  <c r="M1682" i="3"/>
  <c r="N1682" i="3"/>
  <c r="O1682" i="3"/>
  <c r="P1682" i="3"/>
  <c r="Q1682" i="3"/>
  <c r="R1682" i="3"/>
  <c r="S1682" i="3"/>
  <c r="T1682" i="3"/>
  <c r="V1682" i="3"/>
  <c r="U1682" i="3"/>
  <c r="BB1682" i="3"/>
  <c r="AV91" i="3"/>
  <c r="D1683" i="3"/>
  <c r="E1683" i="3"/>
  <c r="F1683" i="3"/>
  <c r="G1683" i="3"/>
  <c r="H1683" i="3"/>
  <c r="I1683" i="3"/>
  <c r="J1683" i="3"/>
  <c r="K1683" i="3"/>
  <c r="L1683" i="3"/>
  <c r="M1683" i="3"/>
  <c r="N1683" i="3"/>
  <c r="O1683" i="3"/>
  <c r="P1683" i="3"/>
  <c r="Q1683" i="3"/>
  <c r="R1683" i="3"/>
  <c r="S1683" i="3"/>
  <c r="T1683" i="3"/>
  <c r="V1683" i="3"/>
  <c r="U1683" i="3"/>
  <c r="BB1683" i="3"/>
  <c r="AV92" i="3"/>
  <c r="D1684" i="3"/>
  <c r="E1684" i="3"/>
  <c r="F1684" i="3"/>
  <c r="G1684" i="3"/>
  <c r="H1684" i="3"/>
  <c r="I1684" i="3"/>
  <c r="J1684" i="3"/>
  <c r="K1684" i="3"/>
  <c r="L1684" i="3"/>
  <c r="M1684" i="3"/>
  <c r="N1684" i="3"/>
  <c r="O1684" i="3"/>
  <c r="P1684" i="3"/>
  <c r="Q1684" i="3"/>
  <c r="R1684" i="3"/>
  <c r="S1684" i="3"/>
  <c r="T1684" i="3"/>
  <c r="V1684" i="3"/>
  <c r="U1684" i="3"/>
  <c r="BB1684" i="3"/>
  <c r="AV93" i="3"/>
  <c r="D1685" i="3"/>
  <c r="E1685" i="3"/>
  <c r="F1685" i="3"/>
  <c r="G1685" i="3"/>
  <c r="H1685" i="3"/>
  <c r="I1685" i="3"/>
  <c r="J1685" i="3"/>
  <c r="K1685" i="3"/>
  <c r="L1685" i="3"/>
  <c r="M1685" i="3"/>
  <c r="N1685" i="3"/>
  <c r="O1685" i="3"/>
  <c r="P1685" i="3"/>
  <c r="Q1685" i="3"/>
  <c r="R1685" i="3"/>
  <c r="S1685" i="3"/>
  <c r="T1685" i="3"/>
  <c r="V1685" i="3"/>
  <c r="U1685" i="3"/>
  <c r="BB1685" i="3"/>
  <c r="AV94" i="3"/>
  <c r="D1686" i="3"/>
  <c r="E1686" i="3"/>
  <c r="F1686" i="3"/>
  <c r="G1686" i="3"/>
  <c r="H1686" i="3"/>
  <c r="I1686" i="3"/>
  <c r="J1686" i="3"/>
  <c r="K1686" i="3"/>
  <c r="L1686" i="3"/>
  <c r="M1686" i="3"/>
  <c r="N1686" i="3"/>
  <c r="O1686" i="3"/>
  <c r="P1686" i="3"/>
  <c r="Q1686" i="3"/>
  <c r="R1686" i="3"/>
  <c r="S1686" i="3"/>
  <c r="T1686" i="3"/>
  <c r="V1686" i="3"/>
  <c r="U1686" i="3"/>
  <c r="BB1686" i="3"/>
  <c r="AV95" i="3"/>
  <c r="D1687" i="3"/>
  <c r="E1687" i="3"/>
  <c r="F1687" i="3"/>
  <c r="G1687" i="3"/>
  <c r="H1687" i="3"/>
  <c r="I1687" i="3"/>
  <c r="J1687" i="3"/>
  <c r="K1687" i="3"/>
  <c r="L1687" i="3"/>
  <c r="M1687" i="3"/>
  <c r="N1687" i="3"/>
  <c r="O1687" i="3"/>
  <c r="P1687" i="3"/>
  <c r="Q1687" i="3"/>
  <c r="R1687" i="3"/>
  <c r="S1687" i="3"/>
  <c r="T1687" i="3"/>
  <c r="V1687" i="3"/>
  <c r="U1687" i="3"/>
  <c r="BB1687" i="3"/>
  <c r="AV96" i="3"/>
  <c r="D1688" i="3"/>
  <c r="E1688" i="3"/>
  <c r="F1688" i="3"/>
  <c r="G1688" i="3"/>
  <c r="H1688" i="3"/>
  <c r="I1688" i="3"/>
  <c r="J1688" i="3"/>
  <c r="K1688" i="3"/>
  <c r="L1688" i="3"/>
  <c r="M1688" i="3"/>
  <c r="N1688" i="3"/>
  <c r="O1688" i="3"/>
  <c r="P1688" i="3"/>
  <c r="Q1688" i="3"/>
  <c r="R1688" i="3"/>
  <c r="S1688" i="3"/>
  <c r="T1688" i="3"/>
  <c r="V1688" i="3"/>
  <c r="U1688" i="3"/>
  <c r="BB1688" i="3"/>
  <c r="AV97" i="3"/>
  <c r="D1689" i="3"/>
  <c r="E1689" i="3"/>
  <c r="F1689" i="3"/>
  <c r="G1689" i="3"/>
  <c r="H1689" i="3"/>
  <c r="I1689" i="3"/>
  <c r="J1689" i="3"/>
  <c r="K1689" i="3"/>
  <c r="L1689" i="3"/>
  <c r="M1689" i="3"/>
  <c r="N1689" i="3"/>
  <c r="O1689" i="3"/>
  <c r="P1689" i="3"/>
  <c r="Q1689" i="3"/>
  <c r="R1689" i="3"/>
  <c r="S1689" i="3"/>
  <c r="T1689" i="3"/>
  <c r="V1689" i="3"/>
  <c r="U1689" i="3"/>
  <c r="BB1689" i="3"/>
  <c r="AV98" i="3"/>
  <c r="D1690" i="3"/>
  <c r="E1690" i="3"/>
  <c r="F1690" i="3"/>
  <c r="G1690" i="3"/>
  <c r="H1690" i="3"/>
  <c r="I1690" i="3"/>
  <c r="J1690" i="3"/>
  <c r="K1690" i="3"/>
  <c r="L1690" i="3"/>
  <c r="M1690" i="3"/>
  <c r="N1690" i="3"/>
  <c r="O1690" i="3"/>
  <c r="P1690" i="3"/>
  <c r="Q1690" i="3"/>
  <c r="R1690" i="3"/>
  <c r="S1690" i="3"/>
  <c r="T1690" i="3"/>
  <c r="V1690" i="3"/>
  <c r="U1690" i="3"/>
  <c r="BB1690" i="3"/>
  <c r="AV99" i="3"/>
  <c r="D1691" i="3"/>
  <c r="E1691" i="3"/>
  <c r="F1691" i="3"/>
  <c r="G1691" i="3"/>
  <c r="H1691" i="3"/>
  <c r="I1691" i="3"/>
  <c r="J1691" i="3"/>
  <c r="K1691" i="3"/>
  <c r="L1691" i="3"/>
  <c r="M1691" i="3"/>
  <c r="N1691" i="3"/>
  <c r="O1691" i="3"/>
  <c r="P1691" i="3"/>
  <c r="Q1691" i="3"/>
  <c r="R1691" i="3"/>
  <c r="S1691" i="3"/>
  <c r="T1691" i="3"/>
  <c r="V1691" i="3"/>
  <c r="U1691" i="3"/>
  <c r="BB1691" i="3"/>
  <c r="AV100" i="3"/>
  <c r="D1692" i="3"/>
  <c r="E1692" i="3"/>
  <c r="F1692" i="3"/>
  <c r="G1692" i="3"/>
  <c r="H1692" i="3"/>
  <c r="I1692" i="3"/>
  <c r="J1692" i="3"/>
  <c r="K1692" i="3"/>
  <c r="L1692" i="3"/>
  <c r="M1692" i="3"/>
  <c r="N1692" i="3"/>
  <c r="O1692" i="3"/>
  <c r="P1692" i="3"/>
  <c r="Q1692" i="3"/>
  <c r="R1692" i="3"/>
  <c r="S1692" i="3"/>
  <c r="T1692" i="3"/>
  <c r="V1692" i="3"/>
  <c r="U1692" i="3"/>
  <c r="BB1692" i="3"/>
  <c r="AV101" i="3"/>
  <c r="D1693" i="3"/>
  <c r="E1693" i="3"/>
  <c r="F1693" i="3"/>
  <c r="G1693" i="3"/>
  <c r="H1693" i="3"/>
  <c r="I1693" i="3"/>
  <c r="J1693" i="3"/>
  <c r="K1693" i="3"/>
  <c r="L1693" i="3"/>
  <c r="M1693" i="3"/>
  <c r="N1693" i="3"/>
  <c r="O1693" i="3"/>
  <c r="P1693" i="3"/>
  <c r="Q1693" i="3"/>
  <c r="R1693" i="3"/>
  <c r="S1693" i="3"/>
  <c r="T1693" i="3"/>
  <c r="V1693" i="3"/>
  <c r="U1693" i="3"/>
  <c r="BB1693" i="3"/>
  <c r="AV102" i="3"/>
  <c r="D1694" i="3"/>
  <c r="E1694" i="3"/>
  <c r="F1694" i="3"/>
  <c r="G1694" i="3"/>
  <c r="H1694" i="3"/>
  <c r="I1694" i="3"/>
  <c r="J1694" i="3"/>
  <c r="K1694" i="3"/>
  <c r="L1694" i="3"/>
  <c r="M1694" i="3"/>
  <c r="N1694" i="3"/>
  <c r="O1694" i="3"/>
  <c r="P1694" i="3"/>
  <c r="Q1694" i="3"/>
  <c r="R1694" i="3"/>
  <c r="S1694" i="3"/>
  <c r="T1694" i="3"/>
  <c r="V1694" i="3"/>
  <c r="U1694" i="3"/>
  <c r="BB1694" i="3"/>
  <c r="AV103" i="3"/>
  <c r="D1695" i="3"/>
  <c r="E1695" i="3"/>
  <c r="F1695" i="3"/>
  <c r="G1695" i="3"/>
  <c r="H1695" i="3"/>
  <c r="I1695" i="3"/>
  <c r="J1695" i="3"/>
  <c r="K1695" i="3"/>
  <c r="L1695" i="3"/>
  <c r="M1695" i="3"/>
  <c r="N1695" i="3"/>
  <c r="O1695" i="3"/>
  <c r="P1695" i="3"/>
  <c r="Q1695" i="3"/>
  <c r="R1695" i="3"/>
  <c r="S1695" i="3"/>
  <c r="T1695" i="3"/>
  <c r="V1695" i="3"/>
  <c r="U1695" i="3"/>
  <c r="BB1695" i="3"/>
  <c r="AV104" i="3"/>
  <c r="D1696" i="3"/>
  <c r="E1696" i="3"/>
  <c r="F1696" i="3"/>
  <c r="G1696" i="3"/>
  <c r="H1696" i="3"/>
  <c r="I1696" i="3"/>
  <c r="J1696" i="3"/>
  <c r="K1696" i="3"/>
  <c r="L1696" i="3"/>
  <c r="M1696" i="3"/>
  <c r="N1696" i="3"/>
  <c r="O1696" i="3"/>
  <c r="P1696" i="3"/>
  <c r="Q1696" i="3"/>
  <c r="R1696" i="3"/>
  <c r="S1696" i="3"/>
  <c r="T1696" i="3"/>
  <c r="V1696" i="3"/>
  <c r="U1696" i="3"/>
  <c r="BB1696" i="3"/>
  <c r="AV105" i="3"/>
  <c r="D1697" i="3"/>
  <c r="E1697" i="3"/>
  <c r="F1697" i="3"/>
  <c r="G1697" i="3"/>
  <c r="H1697" i="3"/>
  <c r="I1697" i="3"/>
  <c r="J1697" i="3"/>
  <c r="K1697" i="3"/>
  <c r="L1697" i="3"/>
  <c r="M1697" i="3"/>
  <c r="N1697" i="3"/>
  <c r="O1697" i="3"/>
  <c r="P1697" i="3"/>
  <c r="Q1697" i="3"/>
  <c r="R1697" i="3"/>
  <c r="S1697" i="3"/>
  <c r="T1697" i="3"/>
  <c r="V1697" i="3"/>
  <c r="U1697" i="3"/>
  <c r="BB1697" i="3"/>
  <c r="AV106" i="3"/>
  <c r="D1698" i="3"/>
  <c r="E1698" i="3"/>
  <c r="F1698" i="3"/>
  <c r="G1698" i="3"/>
  <c r="H1698" i="3"/>
  <c r="I1698" i="3"/>
  <c r="J1698" i="3"/>
  <c r="K1698" i="3"/>
  <c r="L1698" i="3"/>
  <c r="M1698" i="3"/>
  <c r="N1698" i="3"/>
  <c r="O1698" i="3"/>
  <c r="P1698" i="3"/>
  <c r="Q1698" i="3"/>
  <c r="R1698" i="3"/>
  <c r="S1698" i="3"/>
  <c r="T1698" i="3"/>
  <c r="V1698" i="3"/>
  <c r="U1698" i="3"/>
  <c r="BB1698" i="3"/>
  <c r="AV107" i="3"/>
  <c r="D1699" i="3"/>
  <c r="E1699" i="3"/>
  <c r="F1699" i="3"/>
  <c r="G1699" i="3"/>
  <c r="H1699" i="3"/>
  <c r="I1699" i="3"/>
  <c r="J1699" i="3"/>
  <c r="K1699" i="3"/>
  <c r="L1699" i="3"/>
  <c r="M1699" i="3"/>
  <c r="N1699" i="3"/>
  <c r="O1699" i="3"/>
  <c r="P1699" i="3"/>
  <c r="Q1699" i="3"/>
  <c r="R1699" i="3"/>
  <c r="S1699" i="3"/>
  <c r="T1699" i="3"/>
  <c r="V1699" i="3"/>
  <c r="U1699" i="3"/>
  <c r="BB1699" i="3"/>
  <c r="AV108" i="3"/>
  <c r="D1700" i="3"/>
  <c r="E1700" i="3"/>
  <c r="F1700" i="3"/>
  <c r="G1700" i="3"/>
  <c r="H1700" i="3"/>
  <c r="I1700" i="3"/>
  <c r="J1700" i="3"/>
  <c r="K1700" i="3"/>
  <c r="L1700" i="3"/>
  <c r="M1700" i="3"/>
  <c r="N1700" i="3"/>
  <c r="O1700" i="3"/>
  <c r="P1700" i="3"/>
  <c r="Q1700" i="3"/>
  <c r="R1700" i="3"/>
  <c r="S1700" i="3"/>
  <c r="T1700" i="3"/>
  <c r="V1700" i="3"/>
  <c r="U1700" i="3"/>
  <c r="BB1700" i="3"/>
  <c r="AV109" i="3"/>
  <c r="D1701" i="3"/>
  <c r="E1701" i="3"/>
  <c r="F1701" i="3"/>
  <c r="G1701" i="3"/>
  <c r="H1701" i="3"/>
  <c r="I1701" i="3"/>
  <c r="J1701" i="3"/>
  <c r="K1701" i="3"/>
  <c r="L1701" i="3"/>
  <c r="M1701" i="3"/>
  <c r="N1701" i="3"/>
  <c r="O1701" i="3"/>
  <c r="P1701" i="3"/>
  <c r="Q1701" i="3"/>
  <c r="R1701" i="3"/>
  <c r="S1701" i="3"/>
  <c r="T1701" i="3"/>
  <c r="V1701" i="3"/>
  <c r="U1701" i="3"/>
  <c r="BB1701" i="3"/>
  <c r="AV110" i="3"/>
  <c r="D1702" i="3"/>
  <c r="E1702" i="3"/>
  <c r="F1702" i="3"/>
  <c r="G1702" i="3"/>
  <c r="H1702" i="3"/>
  <c r="I1702" i="3"/>
  <c r="J1702" i="3"/>
  <c r="K1702" i="3"/>
  <c r="L1702" i="3"/>
  <c r="M1702" i="3"/>
  <c r="N1702" i="3"/>
  <c r="O1702" i="3"/>
  <c r="P1702" i="3"/>
  <c r="Q1702" i="3"/>
  <c r="R1702" i="3"/>
  <c r="S1702" i="3"/>
  <c r="T1702" i="3"/>
  <c r="V1702" i="3"/>
  <c r="U1702" i="3"/>
  <c r="BB1702" i="3"/>
  <c r="AV111" i="3"/>
  <c r="D1703" i="3"/>
  <c r="E1703" i="3"/>
  <c r="F1703" i="3"/>
  <c r="G1703" i="3"/>
  <c r="H1703" i="3"/>
  <c r="I1703" i="3"/>
  <c r="J1703" i="3"/>
  <c r="K1703" i="3"/>
  <c r="L1703" i="3"/>
  <c r="M1703" i="3"/>
  <c r="N1703" i="3"/>
  <c r="O1703" i="3"/>
  <c r="P1703" i="3"/>
  <c r="Q1703" i="3"/>
  <c r="R1703" i="3"/>
  <c r="S1703" i="3"/>
  <c r="T1703" i="3"/>
  <c r="V1703" i="3"/>
  <c r="U1703" i="3"/>
  <c r="BB1703" i="3"/>
  <c r="AV112" i="3"/>
  <c r="D1704" i="3"/>
  <c r="E1704" i="3"/>
  <c r="F1704" i="3"/>
  <c r="G1704" i="3"/>
  <c r="H1704" i="3"/>
  <c r="I1704" i="3"/>
  <c r="J1704" i="3"/>
  <c r="K1704" i="3"/>
  <c r="L1704" i="3"/>
  <c r="M1704" i="3"/>
  <c r="N1704" i="3"/>
  <c r="O1704" i="3"/>
  <c r="P1704" i="3"/>
  <c r="Q1704" i="3"/>
  <c r="R1704" i="3"/>
  <c r="S1704" i="3"/>
  <c r="T1704" i="3"/>
  <c r="V1704" i="3"/>
  <c r="U1704" i="3"/>
  <c r="BB1704" i="3"/>
  <c r="AV113" i="3"/>
  <c r="AV115" i="3"/>
  <c r="BJ78" i="11"/>
  <c r="AU78" i="11"/>
  <c r="BH78" i="11"/>
  <c r="BJ36" i="11"/>
  <c r="BK36" i="11"/>
  <c r="BL36" i="11"/>
  <c r="BM36" i="11"/>
  <c r="AU36" i="11"/>
  <c r="BH36" i="11"/>
  <c r="BJ39" i="11"/>
  <c r="BK39" i="11"/>
  <c r="BM39" i="11"/>
  <c r="AU39" i="11"/>
  <c r="BH39" i="11"/>
  <c r="BJ72" i="11"/>
  <c r="AU72" i="11"/>
  <c r="BH72" i="11"/>
  <c r="BJ75" i="11"/>
  <c r="AU75" i="11"/>
  <c r="BH75" i="11"/>
  <c r="AG147" i="3"/>
  <c r="BJ84" i="11"/>
  <c r="AU84" i="11"/>
  <c r="BH84" i="11"/>
  <c r="AS632" i="2"/>
  <c r="AS655" i="2"/>
  <c r="AS679" i="2"/>
  <c r="AS702" i="2"/>
  <c r="AS725" i="2"/>
  <c r="AS626" i="2"/>
  <c r="AS755" i="2"/>
  <c r="AS778" i="2"/>
  <c r="AS749" i="2"/>
  <c r="AS877" i="2"/>
  <c r="AS901" i="2"/>
  <c r="AS871" i="2"/>
  <c r="AS1000" i="2"/>
  <c r="AS1023" i="2"/>
  <c r="AS1047" i="2"/>
  <c r="AS994" i="2"/>
  <c r="AS1123" i="2"/>
  <c r="AS1146" i="2"/>
  <c r="AS1117" i="2"/>
  <c r="AU63" i="11"/>
  <c r="BH63" i="11"/>
  <c r="BJ15" i="11"/>
  <c r="BK15" i="11"/>
  <c r="BL15" i="11"/>
  <c r="BM15" i="11"/>
  <c r="AU15" i="11"/>
  <c r="BH15" i="11"/>
  <c r="BJ18" i="11"/>
  <c r="BK18" i="11"/>
  <c r="BL18" i="11"/>
  <c r="BM18" i="11"/>
  <c r="AU18" i="11"/>
  <c r="BH18" i="11"/>
  <c r="BJ21" i="11"/>
  <c r="BK21" i="11"/>
  <c r="BM21" i="11"/>
  <c r="AU21" i="11"/>
  <c r="BH21" i="11"/>
  <c r="BJ24" i="11"/>
  <c r="BK24" i="11"/>
  <c r="BL24" i="11"/>
  <c r="BM24" i="11"/>
  <c r="AU24" i="11"/>
  <c r="BH24" i="11"/>
  <c r="BJ27" i="11"/>
  <c r="BK27" i="11"/>
  <c r="BL27" i="11"/>
  <c r="BM27" i="11"/>
  <c r="AU27" i="11"/>
  <c r="BH27" i="11"/>
  <c r="BJ30" i="11"/>
  <c r="BK30" i="11"/>
  <c r="BM30" i="11"/>
  <c r="AU30" i="11"/>
  <c r="BH30" i="11"/>
  <c r="BJ42" i="11"/>
  <c r="BK42" i="11"/>
  <c r="BM42" i="11"/>
  <c r="AU42" i="11"/>
  <c r="BH42" i="11"/>
  <c r="BJ48" i="11"/>
  <c r="BK48" i="11"/>
  <c r="BL48" i="11"/>
  <c r="BM48" i="11"/>
  <c r="AU48" i="11"/>
  <c r="BH48" i="11"/>
  <c r="BJ54" i="11"/>
  <c r="BK54" i="11"/>
  <c r="BM54" i="11"/>
  <c r="AU54" i="11"/>
  <c r="BH54" i="11"/>
  <c r="BR12" i="11"/>
  <c r="BN58" i="11"/>
  <c r="BJ58" i="11"/>
  <c r="BM57" i="11"/>
  <c r="AU57" i="11"/>
  <c r="BH57" i="11"/>
  <c r="BS19" i="11"/>
  <c r="BT19" i="11"/>
  <c r="BS18" i="11"/>
  <c r="BT18" i="11"/>
  <c r="BS17" i="11"/>
  <c r="BT17" i="11"/>
  <c r="BS16" i="11"/>
  <c r="BT16" i="11"/>
  <c r="BS15" i="11"/>
  <c r="BT15" i="11"/>
  <c r="BU15" i="11"/>
  <c r="BU16" i="11"/>
  <c r="BU17" i="11"/>
  <c r="BU18" i="11"/>
  <c r="BV19" i="11"/>
  <c r="BW19" i="11"/>
  <c r="BX19" i="11"/>
  <c r="BY19" i="11"/>
  <c r="BZ19" i="11"/>
  <c r="BU19" i="11"/>
  <c r="BS25" i="11"/>
  <c r="BT25" i="11"/>
  <c r="BS24" i="11"/>
  <c r="BT24" i="11"/>
  <c r="BS23" i="11"/>
  <c r="BT23" i="11"/>
  <c r="BS22" i="11"/>
  <c r="BT22" i="11"/>
  <c r="BS21" i="11"/>
  <c r="BT21" i="11"/>
  <c r="BU21" i="11"/>
  <c r="BV22" i="11"/>
  <c r="BW22" i="11"/>
  <c r="BU22" i="11"/>
  <c r="BU23" i="11"/>
  <c r="BU24" i="11"/>
  <c r="BU25" i="11"/>
  <c r="BS31" i="11"/>
  <c r="BT31" i="11"/>
  <c r="BS30" i="11"/>
  <c r="BT30" i="11"/>
  <c r="BS29" i="11"/>
  <c r="BT29" i="11"/>
  <c r="BS28" i="11"/>
  <c r="BT28" i="11"/>
  <c r="BS27" i="11"/>
  <c r="BT27" i="11"/>
  <c r="BV27" i="11"/>
  <c r="BU27" i="11"/>
  <c r="BV28" i="11"/>
  <c r="BW28" i="11"/>
  <c r="BU28" i="11"/>
  <c r="BU29" i="11"/>
  <c r="BU30" i="11"/>
  <c r="BU31" i="11"/>
  <c r="BS38" i="11"/>
  <c r="BT38" i="11"/>
  <c r="BS37" i="11"/>
  <c r="BT37" i="11"/>
  <c r="BS36" i="11"/>
  <c r="BT36" i="11"/>
  <c r="BS35" i="11"/>
  <c r="BT35" i="11"/>
  <c r="BS34" i="11"/>
  <c r="BT34" i="11"/>
  <c r="BU34" i="11"/>
  <c r="BU35" i="11"/>
  <c r="BV36" i="11"/>
  <c r="BW36" i="11"/>
  <c r="BX36" i="11"/>
  <c r="BU36" i="11"/>
  <c r="BU37" i="11"/>
  <c r="BU38" i="11"/>
  <c r="BS44" i="11"/>
  <c r="BT44" i="11"/>
  <c r="BS43" i="11"/>
  <c r="BT43" i="11"/>
  <c r="BS42" i="11"/>
  <c r="BT42" i="11"/>
  <c r="BS41" i="11"/>
  <c r="BT41" i="11"/>
  <c r="BS40" i="11"/>
  <c r="BT40" i="11"/>
  <c r="BU40" i="11"/>
  <c r="BV41" i="11"/>
  <c r="BW41" i="11"/>
  <c r="BU41" i="11"/>
  <c r="BU42" i="11"/>
  <c r="BU43" i="11"/>
  <c r="BU44" i="11"/>
  <c r="BU12" i="11"/>
  <c r="BU11" i="11"/>
  <c r="BM60" i="11"/>
  <c r="AU60" i="11"/>
  <c r="BH60" i="11"/>
  <c r="BS58" i="11"/>
  <c r="BT58" i="11"/>
  <c r="BS57" i="11"/>
  <c r="BT57" i="11"/>
  <c r="BS56" i="11"/>
  <c r="BT56" i="11"/>
  <c r="BS55" i="11"/>
  <c r="BT55" i="11"/>
  <c r="BS54" i="11"/>
  <c r="BT54" i="11"/>
  <c r="BU54" i="11"/>
  <c r="BU55" i="11"/>
  <c r="BU56" i="11"/>
  <c r="BU57" i="11"/>
  <c r="BV58" i="11"/>
  <c r="BW58" i="11"/>
  <c r="BX58" i="11"/>
  <c r="BY58" i="11"/>
  <c r="BZ58" i="11"/>
  <c r="BU58" i="11"/>
  <c r="BS64" i="11"/>
  <c r="BT64" i="11"/>
  <c r="BS63" i="11"/>
  <c r="BT63" i="11"/>
  <c r="BS62" i="11"/>
  <c r="BT62" i="11"/>
  <c r="BS61" i="11"/>
  <c r="BT61" i="11"/>
  <c r="BS60" i="11"/>
  <c r="BT60" i="11"/>
  <c r="BU60" i="11"/>
  <c r="BV61" i="11"/>
  <c r="BW61" i="11"/>
  <c r="BU61" i="11"/>
  <c r="BU62" i="11"/>
  <c r="BU63" i="11"/>
  <c r="BU64" i="11"/>
  <c r="BS70" i="11"/>
  <c r="BT70" i="11"/>
  <c r="BS69" i="11"/>
  <c r="BT69" i="11"/>
  <c r="BS68" i="11"/>
  <c r="BT68" i="11"/>
  <c r="BS67" i="11"/>
  <c r="BT67" i="11"/>
  <c r="BS66" i="11"/>
  <c r="BT66" i="11"/>
  <c r="BU66" i="11"/>
  <c r="BV67" i="11"/>
  <c r="BW67" i="11"/>
  <c r="BU67" i="11"/>
  <c r="BU68" i="11"/>
  <c r="BU69" i="11"/>
  <c r="BU70" i="11"/>
  <c r="BS76" i="11"/>
  <c r="BT76" i="11"/>
  <c r="BS75" i="11"/>
  <c r="BT75" i="11"/>
  <c r="BS74" i="11"/>
  <c r="BT74" i="11"/>
  <c r="BS73" i="11"/>
  <c r="BT73" i="11"/>
  <c r="BS72" i="11"/>
  <c r="BT72" i="11"/>
  <c r="BU72" i="11"/>
  <c r="BU73" i="11"/>
  <c r="BV74" i="11"/>
  <c r="BW74" i="11"/>
  <c r="BX74" i="11"/>
  <c r="BU74" i="11"/>
  <c r="BU75" i="11"/>
  <c r="BU76" i="11"/>
  <c r="BS82" i="11"/>
  <c r="BT82" i="11"/>
  <c r="BS81" i="11"/>
  <c r="BT81" i="11"/>
  <c r="BS80" i="11"/>
  <c r="BT80" i="11"/>
  <c r="BS79" i="11"/>
  <c r="BT79" i="11"/>
  <c r="BS78" i="11"/>
  <c r="BT78" i="11"/>
  <c r="BU78" i="11"/>
  <c r="BV79" i="11"/>
  <c r="BW79" i="11"/>
  <c r="BU79" i="11"/>
  <c r="BU80" i="11"/>
  <c r="BU81" i="11"/>
  <c r="BU82" i="11"/>
  <c r="BU51" i="11"/>
  <c r="BU50" i="11"/>
  <c r="BM66" i="11"/>
  <c r="AU66" i="11"/>
  <c r="BH66" i="11"/>
  <c r="BJ45" i="11"/>
  <c r="BM45" i="11"/>
  <c r="AU45" i="11"/>
  <c r="BH45" i="11"/>
  <c r="AG7" i="11"/>
  <c r="BB1230" i="10"/>
  <c r="AL1269" i="10"/>
  <c r="AT1269" i="10"/>
  <c r="BB1190" i="10"/>
  <c r="AL1268" i="10"/>
  <c r="AT1268" i="10"/>
  <c r="AL1267" i="10"/>
  <c r="AT1267" i="10"/>
  <c r="AL1266" i="10"/>
  <c r="AT1266" i="10"/>
  <c r="AL1265" i="10"/>
  <c r="AT1265" i="10"/>
  <c r="AL1264" i="10"/>
  <c r="AT1264" i="10"/>
  <c r="AL1263" i="10"/>
  <c r="AT1263" i="10"/>
  <c r="AL1262" i="10"/>
  <c r="AT1262" i="10"/>
  <c r="AL1261" i="10"/>
  <c r="AT1261" i="10"/>
  <c r="AL1260" i="10"/>
  <c r="AT1260" i="10"/>
  <c r="AL1259" i="10"/>
  <c r="AT1259" i="10"/>
  <c r="AL1258" i="10"/>
  <c r="AT1258" i="10"/>
  <c r="AL1257" i="10"/>
  <c r="AT1257" i="10"/>
  <c r="AL1256" i="10"/>
  <c r="AT1256" i="10"/>
  <c r="AL1255" i="10"/>
  <c r="AT1255" i="10"/>
  <c r="AL1254" i="10"/>
  <c r="AT1254" i="10"/>
  <c r="AL1253" i="10"/>
  <c r="AT1253" i="10"/>
  <c r="AL1252" i="10"/>
  <c r="AT1252" i="10"/>
  <c r="E1275" i="10"/>
  <c r="O1275" i="10"/>
  <c r="O1276" i="10"/>
  <c r="O1277" i="10"/>
  <c r="O1278" i="10"/>
  <c r="O1279" i="10"/>
  <c r="O1280" i="10"/>
  <c r="O1281" i="10"/>
  <c r="O1282" i="10"/>
  <c r="O1283" i="10"/>
  <c r="O1284" i="10"/>
  <c r="O1285" i="10"/>
  <c r="O1286" i="10"/>
  <c r="O1287" i="10"/>
  <c r="O1288" i="10"/>
  <c r="O1289" i="10"/>
  <c r="O1290" i="10"/>
  <c r="O1291" i="10"/>
  <c r="O1292" i="10"/>
  <c r="O1293" i="10"/>
  <c r="O1294" i="10"/>
  <c r="O1295" i="10"/>
  <c r="O1296" i="10"/>
  <c r="O1297" i="10"/>
  <c r="O1298" i="10"/>
  <c r="O1299" i="10"/>
  <c r="O1300" i="10"/>
  <c r="O1301" i="10"/>
  <c r="O1302" i="10"/>
  <c r="O1303" i="10"/>
  <c r="O1304" i="10"/>
  <c r="O1305" i="10"/>
  <c r="M1275" i="10"/>
  <c r="M1276" i="10"/>
  <c r="M1277" i="10"/>
  <c r="M1278" i="10"/>
  <c r="M1279" i="10"/>
  <c r="M1280" i="10"/>
  <c r="M1281" i="10"/>
  <c r="M1282" i="10"/>
  <c r="M1283" i="10"/>
  <c r="M1284" i="10"/>
  <c r="M1285" i="10"/>
  <c r="M1286" i="10"/>
  <c r="M1287" i="10"/>
  <c r="M1288" i="10"/>
  <c r="M1289" i="10"/>
  <c r="M1290" i="10"/>
  <c r="M1291" i="10"/>
  <c r="M1292" i="10"/>
  <c r="M1293" i="10"/>
  <c r="M1294" i="10"/>
  <c r="M1295" i="10"/>
  <c r="M1296" i="10"/>
  <c r="M1297" i="10"/>
  <c r="M1298" i="10"/>
  <c r="M1299" i="10"/>
  <c r="M1300" i="10"/>
  <c r="M1301" i="10"/>
  <c r="M1302" i="10"/>
  <c r="M1303" i="10"/>
  <c r="M1304" i="10"/>
  <c r="M1305"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BB550" i="10"/>
  <c r="AH1252" i="10"/>
  <c r="G1287" i="10"/>
  <c r="E1287" i="10"/>
  <c r="E1288" i="10"/>
  <c r="E1289" i="10"/>
  <c r="E1290" i="10"/>
  <c r="E1291" i="10"/>
  <c r="E1292" i="10"/>
  <c r="E1293" i="10"/>
  <c r="E1294" i="10"/>
  <c r="E1295" i="10"/>
  <c r="E1296" i="10"/>
  <c r="BB950" i="10"/>
  <c r="AH1262" i="10"/>
  <c r="G1297" i="10"/>
  <c r="E1297" i="10"/>
  <c r="E1298" i="10"/>
  <c r="E1299" i="10"/>
  <c r="BB1070" i="10"/>
  <c r="AH1265" i="10"/>
  <c r="G1300" i="10"/>
  <c r="E1300" i="10"/>
  <c r="E1301" i="10"/>
  <c r="BB1150" i="10"/>
  <c r="AH1267" i="10"/>
  <c r="G1302" i="10"/>
  <c r="E1302" i="10"/>
  <c r="AH1268" i="10"/>
  <c r="G1303" i="10"/>
  <c r="E1303" i="10"/>
  <c r="E1304" i="10"/>
  <c r="BB630" i="10"/>
  <c r="AH1254" i="10"/>
  <c r="G1289" i="10"/>
  <c r="BB830" i="10"/>
  <c r="AH1259" i="10"/>
  <c r="G1294" i="10"/>
  <c r="BB870" i="10"/>
  <c r="AH1260" i="10"/>
  <c r="G1295" i="10"/>
  <c r="BB1110" i="10"/>
  <c r="AH1266" i="10"/>
  <c r="G1301" i="10"/>
  <c r="BB710" i="10"/>
  <c r="AH1256" i="10"/>
  <c r="G1291" i="10"/>
  <c r="BB790" i="10"/>
  <c r="AH1258" i="10"/>
  <c r="G1293" i="10"/>
  <c r="BB910" i="10"/>
  <c r="AH1261" i="10"/>
  <c r="G1296" i="10"/>
  <c r="BB990" i="10"/>
  <c r="AH1263" i="10"/>
  <c r="G1298" i="10"/>
  <c r="BB590" i="10"/>
  <c r="AH1253" i="10"/>
  <c r="G1288" i="10"/>
  <c r="BB670" i="10"/>
  <c r="AH1255" i="10"/>
  <c r="G1290" i="10"/>
  <c r="BB750" i="10"/>
  <c r="AH1257" i="10"/>
  <c r="G1292" i="10"/>
  <c r="BB1030" i="10"/>
  <c r="AH1264" i="10"/>
  <c r="G1299" i="10"/>
  <c r="AH1269" i="10"/>
  <c r="G1304" i="10"/>
  <c r="X1305"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B1269" i="10"/>
  <c r="E1240"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29" i="10"/>
  <c r="B1189" i="10"/>
  <c r="B1149" i="10"/>
  <c r="B1109" i="10"/>
  <c r="B1069" i="10"/>
  <c r="B1029" i="10"/>
  <c r="B989" i="10"/>
  <c r="B949" i="10"/>
  <c r="B909" i="10"/>
  <c r="B869" i="10"/>
  <c r="B829" i="10"/>
  <c r="B789" i="10"/>
  <c r="B749" i="10"/>
  <c r="B709" i="10"/>
  <c r="B669" i="10"/>
  <c r="B629" i="10"/>
  <c r="B589" i="10"/>
  <c r="B549" i="10"/>
  <c r="B509" i="10"/>
  <c r="B469" i="10"/>
  <c r="B429" i="10"/>
  <c r="B389" i="10"/>
  <c r="B349" i="10"/>
  <c r="B309" i="10"/>
  <c r="B269" i="10"/>
  <c r="B229" i="10"/>
  <c r="B189" i="10"/>
  <c r="B149" i="10"/>
  <c r="B109" i="10"/>
  <c r="B69" i="10"/>
  <c r="X1229" i="10"/>
  <c r="X1189" i="10"/>
  <c r="X1149" i="10"/>
  <c r="X1109" i="10"/>
  <c r="X1069" i="10"/>
  <c r="X1029" i="10"/>
  <c r="X989" i="10"/>
  <c r="X949" i="10"/>
  <c r="X909" i="10"/>
  <c r="X869" i="10"/>
  <c r="X829" i="10"/>
  <c r="X789" i="10"/>
  <c r="X749" i="10"/>
  <c r="X709" i="10"/>
  <c r="X669" i="10"/>
  <c r="X629" i="10"/>
  <c r="X589" i="10"/>
  <c r="X549" i="10"/>
  <c r="X509" i="10"/>
  <c r="X469" i="10"/>
  <c r="X429" i="10"/>
  <c r="X389" i="10"/>
  <c r="X349" i="10"/>
  <c r="X309" i="10"/>
  <c r="X269" i="10"/>
  <c r="X229" i="10"/>
  <c r="X189" i="10"/>
  <c r="X149" i="10"/>
  <c r="X109" i="10"/>
  <c r="X69" i="10"/>
  <c r="B1196" i="10"/>
  <c r="AG1226" i="10"/>
  <c r="B1156" i="10"/>
  <c r="AG1186" i="10"/>
  <c r="B1116" i="10"/>
  <c r="AG1146" i="10"/>
  <c r="B1076" i="10"/>
  <c r="AG1106" i="10"/>
  <c r="B1036" i="10"/>
  <c r="AG1066" i="10"/>
  <c r="B996" i="10"/>
  <c r="AG1026" i="10"/>
  <c r="B956" i="10"/>
  <c r="AG986" i="10"/>
  <c r="B916" i="10"/>
  <c r="AG946" i="10"/>
  <c r="B876" i="10"/>
  <c r="AG906" i="10"/>
  <c r="B836" i="10"/>
  <c r="AG866" i="10"/>
  <c r="B796" i="10"/>
  <c r="AG826" i="10"/>
  <c r="B756" i="10"/>
  <c r="AG786" i="10"/>
  <c r="B716" i="10"/>
  <c r="AG746" i="10"/>
  <c r="B676" i="10"/>
  <c r="AG706" i="10"/>
  <c r="B636" i="10"/>
  <c r="AG666" i="10"/>
  <c r="B596" i="10"/>
  <c r="AG626" i="10"/>
  <c r="B556" i="10"/>
  <c r="AG586" i="10"/>
  <c r="B516" i="10"/>
  <c r="AG546" i="10"/>
  <c r="B476" i="10"/>
  <c r="AG506" i="10"/>
  <c r="B436" i="10"/>
  <c r="AG466" i="10"/>
  <c r="B396" i="10"/>
  <c r="AG426" i="10"/>
  <c r="B356" i="10"/>
  <c r="AG386" i="10"/>
  <c r="B316" i="10"/>
  <c r="AG346" i="10"/>
  <c r="B276" i="10"/>
  <c r="AG306" i="10"/>
  <c r="B236" i="10"/>
  <c r="AG266" i="10"/>
  <c r="B196" i="10"/>
  <c r="AG226" i="10"/>
  <c r="B156" i="10"/>
  <c r="AG186" i="10"/>
  <c r="B116" i="10"/>
  <c r="AG146" i="10"/>
  <c r="B76" i="10"/>
  <c r="AG106" i="10"/>
  <c r="O1226" i="10"/>
  <c r="O1186" i="10"/>
  <c r="O1146" i="10"/>
  <c r="O1106" i="10"/>
  <c r="O1066" i="10"/>
  <c r="O1026" i="10"/>
  <c r="O986" i="10"/>
  <c r="O946" i="10"/>
  <c r="O906" i="10"/>
  <c r="O866" i="10"/>
  <c r="O826" i="10"/>
  <c r="O786" i="10"/>
  <c r="O746" i="10"/>
  <c r="O706" i="10"/>
  <c r="O666" i="10"/>
  <c r="O626" i="10"/>
  <c r="O586" i="10"/>
  <c r="O546" i="10"/>
  <c r="O506" i="10"/>
  <c r="O466" i="10"/>
  <c r="O426" i="10"/>
  <c r="O386" i="10"/>
  <c r="O346" i="10"/>
  <c r="O306" i="10"/>
  <c r="O266" i="10"/>
  <c r="O226" i="10"/>
  <c r="O186" i="10"/>
  <c r="O146" i="10"/>
  <c r="O106" i="10"/>
  <c r="B1223" i="10"/>
  <c r="B1216" i="10"/>
  <c r="B1207" i="10"/>
  <c r="B1202" i="10"/>
  <c r="B1199" i="10"/>
  <c r="B1183" i="10"/>
  <c r="B1176" i="10"/>
  <c r="B1167" i="10"/>
  <c r="B1162" i="10"/>
  <c r="B1159" i="10"/>
  <c r="B1143" i="10"/>
  <c r="B1136" i="10"/>
  <c r="B1127" i="10"/>
  <c r="B1122" i="10"/>
  <c r="B1119" i="10"/>
  <c r="B1103" i="10"/>
  <c r="B1096" i="10"/>
  <c r="B1087" i="10"/>
  <c r="B1082" i="10"/>
  <c r="B1079" i="10"/>
  <c r="B1063" i="10"/>
  <c r="B1056" i="10"/>
  <c r="B1047" i="10"/>
  <c r="B1042" i="10"/>
  <c r="B1039" i="10"/>
  <c r="B1023" i="10"/>
  <c r="B1016" i="10"/>
  <c r="B1007" i="10"/>
  <c r="B1002" i="10"/>
  <c r="B999" i="10"/>
  <c r="B983" i="10"/>
  <c r="B976" i="10"/>
  <c r="B967" i="10"/>
  <c r="B962" i="10"/>
  <c r="B959" i="10"/>
  <c r="B943" i="10"/>
  <c r="B936" i="10"/>
  <c r="B927" i="10"/>
  <c r="B922" i="10"/>
  <c r="B919" i="10"/>
  <c r="B903" i="10"/>
  <c r="B896" i="10"/>
  <c r="B887" i="10"/>
  <c r="B882" i="10"/>
  <c r="B879" i="10"/>
  <c r="B863" i="10"/>
  <c r="B856" i="10"/>
  <c r="B847" i="10"/>
  <c r="B842" i="10"/>
  <c r="B839" i="10"/>
  <c r="B823" i="10"/>
  <c r="B816" i="10"/>
  <c r="B807" i="10"/>
  <c r="B802" i="10"/>
  <c r="B799" i="10"/>
  <c r="B783" i="10"/>
  <c r="B776" i="10"/>
  <c r="B767" i="10"/>
  <c r="B762" i="10"/>
  <c r="B759" i="10"/>
  <c r="B743" i="10"/>
  <c r="B736" i="10"/>
  <c r="B727" i="10"/>
  <c r="B722" i="10"/>
  <c r="B719" i="10"/>
  <c r="B703" i="10"/>
  <c r="B696" i="10"/>
  <c r="B687" i="10"/>
  <c r="B682" i="10"/>
  <c r="B679" i="10"/>
  <c r="B663" i="10"/>
  <c r="B656" i="10"/>
  <c r="B647" i="10"/>
  <c r="B642" i="10"/>
  <c r="B639" i="10"/>
  <c r="B623" i="10"/>
  <c r="B616" i="10"/>
  <c r="B607" i="10"/>
  <c r="B602" i="10"/>
  <c r="B599" i="10"/>
  <c r="B583" i="10"/>
  <c r="B576" i="10"/>
  <c r="B567" i="10"/>
  <c r="B562" i="10"/>
  <c r="B559" i="10"/>
  <c r="B543" i="10"/>
  <c r="B536" i="10"/>
  <c r="B527" i="10"/>
  <c r="B522" i="10"/>
  <c r="B519" i="10"/>
  <c r="B503" i="10"/>
  <c r="B496" i="10"/>
  <c r="B487" i="10"/>
  <c r="B482" i="10"/>
  <c r="B479" i="10"/>
  <c r="B463" i="10"/>
  <c r="B456" i="10"/>
  <c r="B447" i="10"/>
  <c r="B442" i="10"/>
  <c r="B439" i="10"/>
  <c r="B423" i="10"/>
  <c r="B416" i="10"/>
  <c r="B407" i="10"/>
  <c r="B402" i="10"/>
  <c r="B399" i="10"/>
  <c r="B383" i="10"/>
  <c r="B376" i="10"/>
  <c r="B367" i="10"/>
  <c r="B362" i="10"/>
  <c r="B359" i="10"/>
  <c r="B343" i="10"/>
  <c r="B336" i="10"/>
  <c r="B327" i="10"/>
  <c r="B322" i="10"/>
  <c r="B319" i="10"/>
  <c r="B303" i="10"/>
  <c r="B296" i="10"/>
  <c r="B287" i="10"/>
  <c r="B282" i="10"/>
  <c r="B279" i="10"/>
  <c r="B263" i="10"/>
  <c r="B256" i="10"/>
  <c r="B247" i="10"/>
  <c r="B242" i="10"/>
  <c r="B239" i="10"/>
  <c r="B223" i="10"/>
  <c r="B216" i="10"/>
  <c r="B207" i="10"/>
  <c r="B202" i="10"/>
  <c r="B199" i="10"/>
  <c r="B183" i="10"/>
  <c r="B176" i="10"/>
  <c r="B167" i="10"/>
  <c r="B162" i="10"/>
  <c r="B159" i="10"/>
  <c r="B143" i="10"/>
  <c r="B136" i="10"/>
  <c r="B127" i="10"/>
  <c r="B122" i="10"/>
  <c r="B119" i="10"/>
  <c r="B103" i="10"/>
  <c r="B96" i="10"/>
  <c r="B87" i="10"/>
  <c r="B82" i="10"/>
  <c r="B79" i="10"/>
  <c r="B36" i="10"/>
  <c r="AG66" i="10"/>
  <c r="O66" i="10"/>
  <c r="B63" i="10"/>
  <c r="B56" i="10"/>
  <c r="B47" i="10"/>
  <c r="B42" i="10"/>
  <c r="B39" i="10"/>
  <c r="AT1229" i="10"/>
  <c r="AL1229" i="10"/>
  <c r="AH1229" i="10"/>
  <c r="AT1193" i="10"/>
  <c r="AT1192" i="10"/>
  <c r="AT1191" i="10"/>
  <c r="AT1189" i="10"/>
  <c r="AL1189" i="10"/>
  <c r="AH1189" i="10"/>
  <c r="AT1153" i="10"/>
  <c r="AT1152" i="10"/>
  <c r="AT1151" i="10"/>
  <c r="AT1149" i="10"/>
  <c r="AL1149" i="10"/>
  <c r="AH1149" i="10"/>
  <c r="AT1113" i="10"/>
  <c r="AT1112" i="10"/>
  <c r="AT1111" i="10"/>
  <c r="AT1109" i="10"/>
  <c r="AL1109" i="10"/>
  <c r="AH1109" i="10"/>
  <c r="AT1073" i="10"/>
  <c r="AT1072" i="10"/>
  <c r="AT1071" i="10"/>
  <c r="AT1069" i="10"/>
  <c r="AL1069" i="10"/>
  <c r="AH1069" i="10"/>
  <c r="AT1033" i="10"/>
  <c r="AT1032" i="10"/>
  <c r="AT1031" i="10"/>
  <c r="AT1029" i="10"/>
  <c r="AL1029" i="10"/>
  <c r="AH1029" i="10"/>
  <c r="AT993" i="10"/>
  <c r="AT992" i="10"/>
  <c r="AT991" i="10"/>
  <c r="AT989" i="10"/>
  <c r="AL989" i="10"/>
  <c r="AH989" i="10"/>
  <c r="AT953" i="10"/>
  <c r="AT952" i="10"/>
  <c r="AT951" i="10"/>
  <c r="AT949" i="10"/>
  <c r="AL949" i="10"/>
  <c r="AH949" i="10"/>
  <c r="AT913" i="10"/>
  <c r="AT912" i="10"/>
  <c r="AT911" i="10"/>
  <c r="AT909" i="10"/>
  <c r="AL909" i="10"/>
  <c r="AH909" i="10"/>
  <c r="AT873" i="10"/>
  <c r="AT872" i="10"/>
  <c r="AT871" i="10"/>
  <c r="AT869" i="10"/>
  <c r="AL869" i="10"/>
  <c r="AH869" i="10"/>
  <c r="B13" i="10"/>
  <c r="AB147" i="3"/>
  <c r="AL147" i="3"/>
  <c r="AQ147" i="3"/>
  <c r="AV147" i="3"/>
  <c r="W1622" i="3"/>
  <c r="X1622" i="3"/>
  <c r="Y1622" i="3"/>
  <c r="Z1622" i="3"/>
  <c r="AA1622" i="3"/>
  <c r="AB1622" i="3"/>
  <c r="AC1622" i="3"/>
  <c r="AD1622" i="3"/>
  <c r="AE1622" i="3"/>
  <c r="AF1622" i="3"/>
  <c r="AG1622" i="3"/>
  <c r="AH1622" i="3"/>
  <c r="AI1622" i="3"/>
  <c r="AJ1622" i="3"/>
  <c r="AK1622" i="3"/>
  <c r="AL1622" i="3"/>
  <c r="AM1622" i="3"/>
  <c r="AN1622" i="3"/>
  <c r="AO1622" i="3"/>
  <c r="AP1622" i="3"/>
  <c r="AQ1622" i="3"/>
  <c r="AR1622" i="3"/>
  <c r="AS1622" i="3"/>
  <c r="AT1622" i="3"/>
  <c r="AU1622" i="3"/>
  <c r="AV1622" i="3"/>
  <c r="AW1622" i="3"/>
  <c r="AX1622" i="3"/>
  <c r="AY1622" i="3"/>
  <c r="AZ1622" i="3"/>
  <c r="BA1622" i="3"/>
  <c r="W1623" i="3"/>
  <c r="X1623" i="3"/>
  <c r="Y1623" i="3"/>
  <c r="Z1623" i="3"/>
  <c r="AA1623" i="3"/>
  <c r="AB1623" i="3"/>
  <c r="AC1623" i="3"/>
  <c r="AD1623" i="3"/>
  <c r="AE1623" i="3"/>
  <c r="AF1623" i="3"/>
  <c r="AG1623" i="3"/>
  <c r="AH1623" i="3"/>
  <c r="AI1623" i="3"/>
  <c r="AJ1623" i="3"/>
  <c r="AK1623" i="3"/>
  <c r="AL1623" i="3"/>
  <c r="AM1623" i="3"/>
  <c r="AN1623" i="3"/>
  <c r="AO1623" i="3"/>
  <c r="AP1623" i="3"/>
  <c r="AQ1623" i="3"/>
  <c r="AR1623" i="3"/>
  <c r="AS1623" i="3"/>
  <c r="AT1623" i="3"/>
  <c r="AU1623" i="3"/>
  <c r="AV1623" i="3"/>
  <c r="AW1623" i="3"/>
  <c r="AX1623" i="3"/>
  <c r="AY1623" i="3"/>
  <c r="AZ1623" i="3"/>
  <c r="BA1623" i="3"/>
  <c r="W1624" i="3"/>
  <c r="X1624" i="3"/>
  <c r="Y1624" i="3"/>
  <c r="Z1624" i="3"/>
  <c r="AA1624" i="3"/>
  <c r="AB1624" i="3"/>
  <c r="AC1624" i="3"/>
  <c r="AD1624" i="3"/>
  <c r="AE1624" i="3"/>
  <c r="AF1624" i="3"/>
  <c r="AG1624" i="3"/>
  <c r="AH1624" i="3"/>
  <c r="AI1624" i="3"/>
  <c r="AJ1624" i="3"/>
  <c r="AK1624" i="3"/>
  <c r="AL1624" i="3"/>
  <c r="AM1624" i="3"/>
  <c r="AN1624" i="3"/>
  <c r="AO1624" i="3"/>
  <c r="AP1624" i="3"/>
  <c r="AQ1624" i="3"/>
  <c r="AR1624" i="3"/>
  <c r="AS1624" i="3"/>
  <c r="AT1624" i="3"/>
  <c r="AU1624" i="3"/>
  <c r="AV1624" i="3"/>
  <c r="AW1624" i="3"/>
  <c r="AX1624" i="3"/>
  <c r="AY1624" i="3"/>
  <c r="AZ1624" i="3"/>
  <c r="BA1624" i="3"/>
  <c r="W1625" i="3"/>
  <c r="X1625" i="3"/>
  <c r="Y1625" i="3"/>
  <c r="Z1625" i="3"/>
  <c r="AA1625" i="3"/>
  <c r="AB1625" i="3"/>
  <c r="AC1625" i="3"/>
  <c r="AD1625" i="3"/>
  <c r="AE1625" i="3"/>
  <c r="AF1625" i="3"/>
  <c r="AG1625" i="3"/>
  <c r="AH1625" i="3"/>
  <c r="AI1625" i="3"/>
  <c r="AJ1625" i="3"/>
  <c r="AK1625" i="3"/>
  <c r="AL1625" i="3"/>
  <c r="AM1625" i="3"/>
  <c r="AN1625" i="3"/>
  <c r="AO1625" i="3"/>
  <c r="AP1625" i="3"/>
  <c r="AQ1625" i="3"/>
  <c r="AR1625" i="3"/>
  <c r="AS1625" i="3"/>
  <c r="AT1625" i="3"/>
  <c r="AU1625" i="3"/>
  <c r="AV1625" i="3"/>
  <c r="AW1625" i="3"/>
  <c r="AX1625" i="3"/>
  <c r="AY1625" i="3"/>
  <c r="AZ1625" i="3"/>
  <c r="BA1625" i="3"/>
  <c r="W1626" i="3"/>
  <c r="X1626" i="3"/>
  <c r="Y1626" i="3"/>
  <c r="Z1626" i="3"/>
  <c r="AA1626" i="3"/>
  <c r="AB1626" i="3"/>
  <c r="AC1626" i="3"/>
  <c r="AD1626" i="3"/>
  <c r="AE1626" i="3"/>
  <c r="AF1626" i="3"/>
  <c r="AG1626" i="3"/>
  <c r="AH1626" i="3"/>
  <c r="AI1626" i="3"/>
  <c r="AJ1626" i="3"/>
  <c r="AK1626" i="3"/>
  <c r="AL1626" i="3"/>
  <c r="AM1626" i="3"/>
  <c r="AN1626" i="3"/>
  <c r="AO1626" i="3"/>
  <c r="AP1626" i="3"/>
  <c r="AQ1626" i="3"/>
  <c r="AR1626" i="3"/>
  <c r="AS1626" i="3"/>
  <c r="AT1626" i="3"/>
  <c r="AU1626" i="3"/>
  <c r="AV1626" i="3"/>
  <c r="AW1626" i="3"/>
  <c r="AX1626" i="3"/>
  <c r="AY1626" i="3"/>
  <c r="AZ1626" i="3"/>
  <c r="BA1626" i="3"/>
  <c r="W1627" i="3"/>
  <c r="X1627" i="3"/>
  <c r="Y1627" i="3"/>
  <c r="Z1627" i="3"/>
  <c r="AA1627" i="3"/>
  <c r="AB1627" i="3"/>
  <c r="AC1627" i="3"/>
  <c r="AD1627" i="3"/>
  <c r="AE1627" i="3"/>
  <c r="AF1627" i="3"/>
  <c r="AG1627" i="3"/>
  <c r="AH1627" i="3"/>
  <c r="AI1627" i="3"/>
  <c r="AJ1627" i="3"/>
  <c r="AK1627" i="3"/>
  <c r="AL1627" i="3"/>
  <c r="AM1627" i="3"/>
  <c r="AN1627" i="3"/>
  <c r="AO1627" i="3"/>
  <c r="AP1627" i="3"/>
  <c r="AQ1627" i="3"/>
  <c r="AR1627" i="3"/>
  <c r="AS1627" i="3"/>
  <c r="AT1627" i="3"/>
  <c r="AU1627" i="3"/>
  <c r="AV1627" i="3"/>
  <c r="AW1627" i="3"/>
  <c r="AX1627" i="3"/>
  <c r="AY1627" i="3"/>
  <c r="AZ1627" i="3"/>
  <c r="BA1627" i="3"/>
  <c r="W1628" i="3"/>
  <c r="X1628" i="3"/>
  <c r="Y1628" i="3"/>
  <c r="Z1628" i="3"/>
  <c r="AA1628" i="3"/>
  <c r="AB1628" i="3"/>
  <c r="AC1628" i="3"/>
  <c r="AD1628" i="3"/>
  <c r="AE1628" i="3"/>
  <c r="AF1628" i="3"/>
  <c r="AG1628" i="3"/>
  <c r="AH1628" i="3"/>
  <c r="AI1628" i="3"/>
  <c r="AJ1628" i="3"/>
  <c r="AK1628" i="3"/>
  <c r="AL1628" i="3"/>
  <c r="AM1628" i="3"/>
  <c r="AN1628" i="3"/>
  <c r="AO1628" i="3"/>
  <c r="AP1628" i="3"/>
  <c r="AQ1628" i="3"/>
  <c r="AR1628" i="3"/>
  <c r="AS1628" i="3"/>
  <c r="AT1628" i="3"/>
  <c r="AU1628" i="3"/>
  <c r="AV1628" i="3"/>
  <c r="AW1628" i="3"/>
  <c r="AX1628" i="3"/>
  <c r="AY1628" i="3"/>
  <c r="AZ1628" i="3"/>
  <c r="BA1628" i="3"/>
  <c r="W1629" i="3"/>
  <c r="X1629" i="3"/>
  <c r="Y1629" i="3"/>
  <c r="Z1629" i="3"/>
  <c r="AA1629" i="3"/>
  <c r="AB1629" i="3"/>
  <c r="AC1629" i="3"/>
  <c r="AD1629" i="3"/>
  <c r="AE1629" i="3"/>
  <c r="AF1629" i="3"/>
  <c r="AG1629" i="3"/>
  <c r="AH1629" i="3"/>
  <c r="AI1629" i="3"/>
  <c r="AJ1629" i="3"/>
  <c r="AK1629" i="3"/>
  <c r="AL1629" i="3"/>
  <c r="AM1629" i="3"/>
  <c r="AN1629" i="3"/>
  <c r="AO1629" i="3"/>
  <c r="AP1629" i="3"/>
  <c r="AQ1629" i="3"/>
  <c r="AR1629" i="3"/>
  <c r="AS1629" i="3"/>
  <c r="AT1629" i="3"/>
  <c r="AU1629" i="3"/>
  <c r="AV1629" i="3"/>
  <c r="AW1629" i="3"/>
  <c r="AX1629" i="3"/>
  <c r="AY1629" i="3"/>
  <c r="AZ1629" i="3"/>
  <c r="BA1629" i="3"/>
  <c r="W1630" i="3"/>
  <c r="X1630" i="3"/>
  <c r="Y1630" i="3"/>
  <c r="Z1630" i="3"/>
  <c r="AA1630" i="3"/>
  <c r="AB1630" i="3"/>
  <c r="AC1630" i="3"/>
  <c r="AD1630" i="3"/>
  <c r="AE1630" i="3"/>
  <c r="AF1630" i="3"/>
  <c r="AG1630" i="3"/>
  <c r="AH1630" i="3"/>
  <c r="AI1630" i="3"/>
  <c r="AJ1630" i="3"/>
  <c r="AK1630" i="3"/>
  <c r="AL1630" i="3"/>
  <c r="AM1630" i="3"/>
  <c r="AN1630" i="3"/>
  <c r="AO1630" i="3"/>
  <c r="AP1630" i="3"/>
  <c r="AQ1630" i="3"/>
  <c r="AR1630" i="3"/>
  <c r="AS1630" i="3"/>
  <c r="AT1630" i="3"/>
  <c r="AU1630" i="3"/>
  <c r="AV1630" i="3"/>
  <c r="AW1630" i="3"/>
  <c r="AX1630" i="3"/>
  <c r="AY1630" i="3"/>
  <c r="AZ1630" i="3"/>
  <c r="BA1630" i="3"/>
  <c r="W1631" i="3"/>
  <c r="X1631" i="3"/>
  <c r="Y1631" i="3"/>
  <c r="Z1631" i="3"/>
  <c r="AA1631" i="3"/>
  <c r="AB1631" i="3"/>
  <c r="AC1631" i="3"/>
  <c r="AD1631" i="3"/>
  <c r="AE1631" i="3"/>
  <c r="AF1631" i="3"/>
  <c r="AG1631" i="3"/>
  <c r="AH1631" i="3"/>
  <c r="AI1631" i="3"/>
  <c r="AJ1631" i="3"/>
  <c r="AK1631" i="3"/>
  <c r="AL1631" i="3"/>
  <c r="AM1631" i="3"/>
  <c r="AN1631" i="3"/>
  <c r="AO1631" i="3"/>
  <c r="AP1631" i="3"/>
  <c r="AQ1631" i="3"/>
  <c r="AR1631" i="3"/>
  <c r="AS1631" i="3"/>
  <c r="AT1631" i="3"/>
  <c r="AU1631" i="3"/>
  <c r="AV1631" i="3"/>
  <c r="AW1631" i="3"/>
  <c r="AX1631" i="3"/>
  <c r="AY1631" i="3"/>
  <c r="AZ1631" i="3"/>
  <c r="BA1631" i="3"/>
  <c r="W1632" i="3"/>
  <c r="X1632" i="3"/>
  <c r="Y1632" i="3"/>
  <c r="Z1632" i="3"/>
  <c r="AA1632" i="3"/>
  <c r="AB1632" i="3"/>
  <c r="AC1632" i="3"/>
  <c r="AD1632" i="3"/>
  <c r="AE1632" i="3"/>
  <c r="AF1632" i="3"/>
  <c r="AG1632" i="3"/>
  <c r="AH1632" i="3"/>
  <c r="AI1632" i="3"/>
  <c r="AJ1632" i="3"/>
  <c r="AK1632" i="3"/>
  <c r="AL1632" i="3"/>
  <c r="AM1632" i="3"/>
  <c r="AN1632" i="3"/>
  <c r="AO1632" i="3"/>
  <c r="AP1632" i="3"/>
  <c r="AQ1632" i="3"/>
  <c r="AR1632" i="3"/>
  <c r="AS1632" i="3"/>
  <c r="AT1632" i="3"/>
  <c r="AU1632" i="3"/>
  <c r="AV1632" i="3"/>
  <c r="AW1632" i="3"/>
  <c r="AX1632" i="3"/>
  <c r="AY1632" i="3"/>
  <c r="AZ1632" i="3"/>
  <c r="BA1632" i="3"/>
  <c r="W1633" i="3"/>
  <c r="X1633" i="3"/>
  <c r="Y1633" i="3"/>
  <c r="Z1633" i="3"/>
  <c r="AA1633" i="3"/>
  <c r="AB1633" i="3"/>
  <c r="AC1633" i="3"/>
  <c r="AD1633" i="3"/>
  <c r="AE1633" i="3"/>
  <c r="AF1633" i="3"/>
  <c r="AG1633" i="3"/>
  <c r="AH1633" i="3"/>
  <c r="AI1633" i="3"/>
  <c r="AJ1633" i="3"/>
  <c r="AK1633" i="3"/>
  <c r="AL1633" i="3"/>
  <c r="AM1633" i="3"/>
  <c r="AN1633" i="3"/>
  <c r="AO1633" i="3"/>
  <c r="AP1633" i="3"/>
  <c r="AQ1633" i="3"/>
  <c r="AR1633" i="3"/>
  <c r="AS1633" i="3"/>
  <c r="AT1633" i="3"/>
  <c r="AU1633" i="3"/>
  <c r="AV1633" i="3"/>
  <c r="AW1633" i="3"/>
  <c r="AX1633" i="3"/>
  <c r="AY1633" i="3"/>
  <c r="AZ1633" i="3"/>
  <c r="BA1633" i="3"/>
  <c r="W1634" i="3"/>
  <c r="X1634" i="3"/>
  <c r="Y1634" i="3"/>
  <c r="Z1634" i="3"/>
  <c r="AA1634" i="3"/>
  <c r="AB1634" i="3"/>
  <c r="AC1634" i="3"/>
  <c r="AD1634" i="3"/>
  <c r="AE1634" i="3"/>
  <c r="AF1634" i="3"/>
  <c r="AG1634" i="3"/>
  <c r="AH1634" i="3"/>
  <c r="AI1634" i="3"/>
  <c r="AJ1634" i="3"/>
  <c r="AK1634" i="3"/>
  <c r="AL1634" i="3"/>
  <c r="AM1634" i="3"/>
  <c r="AN1634" i="3"/>
  <c r="AO1634" i="3"/>
  <c r="AP1634" i="3"/>
  <c r="AQ1634" i="3"/>
  <c r="AR1634" i="3"/>
  <c r="AS1634" i="3"/>
  <c r="AT1634" i="3"/>
  <c r="AU1634" i="3"/>
  <c r="AV1634" i="3"/>
  <c r="AW1634" i="3"/>
  <c r="AX1634" i="3"/>
  <c r="AY1634" i="3"/>
  <c r="AZ1634" i="3"/>
  <c r="BA1634" i="3"/>
  <c r="W1635" i="3"/>
  <c r="X1635" i="3"/>
  <c r="Y1635" i="3"/>
  <c r="Z1635" i="3"/>
  <c r="AA1635" i="3"/>
  <c r="AB1635" i="3"/>
  <c r="AC1635" i="3"/>
  <c r="AD1635" i="3"/>
  <c r="AE1635" i="3"/>
  <c r="AF1635" i="3"/>
  <c r="AG1635" i="3"/>
  <c r="AH1635" i="3"/>
  <c r="AI1635" i="3"/>
  <c r="AJ1635" i="3"/>
  <c r="AK1635" i="3"/>
  <c r="AL1635" i="3"/>
  <c r="AM1635" i="3"/>
  <c r="AN1635" i="3"/>
  <c r="AO1635" i="3"/>
  <c r="AP1635" i="3"/>
  <c r="AQ1635" i="3"/>
  <c r="AR1635" i="3"/>
  <c r="AS1635" i="3"/>
  <c r="AT1635" i="3"/>
  <c r="AU1635" i="3"/>
  <c r="AV1635" i="3"/>
  <c r="AW1635" i="3"/>
  <c r="AX1635" i="3"/>
  <c r="AY1635" i="3"/>
  <c r="AZ1635" i="3"/>
  <c r="BA1635" i="3"/>
  <c r="W1636" i="3"/>
  <c r="X1636" i="3"/>
  <c r="Y1636" i="3"/>
  <c r="Z1636" i="3"/>
  <c r="AA1636" i="3"/>
  <c r="AB1636" i="3"/>
  <c r="AC1636" i="3"/>
  <c r="AD1636" i="3"/>
  <c r="AE1636" i="3"/>
  <c r="AF1636" i="3"/>
  <c r="AG1636" i="3"/>
  <c r="AH1636" i="3"/>
  <c r="AI1636" i="3"/>
  <c r="AJ1636" i="3"/>
  <c r="AK1636" i="3"/>
  <c r="AL1636" i="3"/>
  <c r="AM1636" i="3"/>
  <c r="AN1636" i="3"/>
  <c r="AO1636" i="3"/>
  <c r="AP1636" i="3"/>
  <c r="AQ1636" i="3"/>
  <c r="AR1636" i="3"/>
  <c r="AS1636" i="3"/>
  <c r="AT1636" i="3"/>
  <c r="AU1636" i="3"/>
  <c r="AV1636" i="3"/>
  <c r="AW1636" i="3"/>
  <c r="AX1636" i="3"/>
  <c r="AY1636" i="3"/>
  <c r="AZ1636" i="3"/>
  <c r="BA1636" i="3"/>
  <c r="W1637" i="3"/>
  <c r="X1637" i="3"/>
  <c r="Y1637" i="3"/>
  <c r="Z1637" i="3"/>
  <c r="AA1637" i="3"/>
  <c r="AB1637" i="3"/>
  <c r="AC1637" i="3"/>
  <c r="AD1637" i="3"/>
  <c r="AE1637" i="3"/>
  <c r="AF1637" i="3"/>
  <c r="AG1637" i="3"/>
  <c r="AH1637" i="3"/>
  <c r="AI1637" i="3"/>
  <c r="AJ1637" i="3"/>
  <c r="AK1637" i="3"/>
  <c r="AL1637" i="3"/>
  <c r="AM1637" i="3"/>
  <c r="AN1637" i="3"/>
  <c r="AO1637" i="3"/>
  <c r="AP1637" i="3"/>
  <c r="AQ1637" i="3"/>
  <c r="AR1637" i="3"/>
  <c r="AS1637" i="3"/>
  <c r="AT1637" i="3"/>
  <c r="AU1637" i="3"/>
  <c r="AV1637" i="3"/>
  <c r="AW1637" i="3"/>
  <c r="AX1637" i="3"/>
  <c r="AY1637" i="3"/>
  <c r="AZ1637" i="3"/>
  <c r="BA1637" i="3"/>
  <c r="W1638" i="3"/>
  <c r="X1638" i="3"/>
  <c r="Y1638" i="3"/>
  <c r="Z1638" i="3"/>
  <c r="AA1638" i="3"/>
  <c r="AB1638" i="3"/>
  <c r="AC1638" i="3"/>
  <c r="AD1638" i="3"/>
  <c r="AE1638" i="3"/>
  <c r="AF1638" i="3"/>
  <c r="AG1638" i="3"/>
  <c r="AH1638" i="3"/>
  <c r="AI1638" i="3"/>
  <c r="AJ1638" i="3"/>
  <c r="AK1638" i="3"/>
  <c r="AL1638" i="3"/>
  <c r="AM1638" i="3"/>
  <c r="AN1638" i="3"/>
  <c r="AO1638" i="3"/>
  <c r="AP1638" i="3"/>
  <c r="AQ1638" i="3"/>
  <c r="AR1638" i="3"/>
  <c r="AS1638" i="3"/>
  <c r="AT1638" i="3"/>
  <c r="AU1638" i="3"/>
  <c r="AV1638" i="3"/>
  <c r="AW1638" i="3"/>
  <c r="AX1638" i="3"/>
  <c r="AY1638" i="3"/>
  <c r="AZ1638" i="3"/>
  <c r="BA1638" i="3"/>
  <c r="W1639" i="3"/>
  <c r="X1639" i="3"/>
  <c r="Y1639" i="3"/>
  <c r="Z1639" i="3"/>
  <c r="AA1639" i="3"/>
  <c r="AB1639" i="3"/>
  <c r="AC1639" i="3"/>
  <c r="AD1639" i="3"/>
  <c r="AE1639" i="3"/>
  <c r="AF1639" i="3"/>
  <c r="AG1639" i="3"/>
  <c r="AH1639" i="3"/>
  <c r="AI1639" i="3"/>
  <c r="AJ1639" i="3"/>
  <c r="AK1639" i="3"/>
  <c r="AL1639" i="3"/>
  <c r="AM1639" i="3"/>
  <c r="AN1639" i="3"/>
  <c r="AO1639" i="3"/>
  <c r="AP1639" i="3"/>
  <c r="AQ1639" i="3"/>
  <c r="AR1639" i="3"/>
  <c r="AS1639" i="3"/>
  <c r="AT1639" i="3"/>
  <c r="AU1639" i="3"/>
  <c r="AV1639" i="3"/>
  <c r="AW1639" i="3"/>
  <c r="AX1639" i="3"/>
  <c r="AY1639" i="3"/>
  <c r="AZ1639" i="3"/>
  <c r="BA1639" i="3"/>
  <c r="W1640" i="3"/>
  <c r="X1640" i="3"/>
  <c r="Y1640" i="3"/>
  <c r="Z1640" i="3"/>
  <c r="AA1640" i="3"/>
  <c r="AB1640" i="3"/>
  <c r="AC1640" i="3"/>
  <c r="AD1640" i="3"/>
  <c r="AE1640" i="3"/>
  <c r="AF1640" i="3"/>
  <c r="AG1640" i="3"/>
  <c r="AH1640" i="3"/>
  <c r="AI1640" i="3"/>
  <c r="AJ1640" i="3"/>
  <c r="AK1640" i="3"/>
  <c r="AL1640" i="3"/>
  <c r="AM1640" i="3"/>
  <c r="AN1640" i="3"/>
  <c r="AO1640" i="3"/>
  <c r="AP1640" i="3"/>
  <c r="AQ1640" i="3"/>
  <c r="AR1640" i="3"/>
  <c r="AS1640" i="3"/>
  <c r="AT1640" i="3"/>
  <c r="AU1640" i="3"/>
  <c r="AV1640" i="3"/>
  <c r="AW1640" i="3"/>
  <c r="AX1640" i="3"/>
  <c r="AY1640" i="3"/>
  <c r="AZ1640" i="3"/>
  <c r="BA1640" i="3"/>
  <c r="W1641" i="3"/>
  <c r="X1641" i="3"/>
  <c r="Y1641" i="3"/>
  <c r="Z1641" i="3"/>
  <c r="AA1641" i="3"/>
  <c r="AB1641" i="3"/>
  <c r="AC1641" i="3"/>
  <c r="AD1641" i="3"/>
  <c r="AE1641" i="3"/>
  <c r="AF1641" i="3"/>
  <c r="AG1641" i="3"/>
  <c r="AH1641" i="3"/>
  <c r="AI1641" i="3"/>
  <c r="AJ1641" i="3"/>
  <c r="AK1641" i="3"/>
  <c r="AL1641" i="3"/>
  <c r="AM1641" i="3"/>
  <c r="AN1641" i="3"/>
  <c r="AO1641" i="3"/>
  <c r="AP1641" i="3"/>
  <c r="AQ1641" i="3"/>
  <c r="AR1641" i="3"/>
  <c r="AS1641" i="3"/>
  <c r="AT1641" i="3"/>
  <c r="AU1641" i="3"/>
  <c r="AV1641" i="3"/>
  <c r="AW1641" i="3"/>
  <c r="AX1641" i="3"/>
  <c r="AY1641" i="3"/>
  <c r="AZ1641" i="3"/>
  <c r="BA1641" i="3"/>
  <c r="W1642" i="3"/>
  <c r="X1642" i="3"/>
  <c r="Y1642" i="3"/>
  <c r="Z1642" i="3"/>
  <c r="AA1642" i="3"/>
  <c r="AB1642" i="3"/>
  <c r="AC1642" i="3"/>
  <c r="AD1642" i="3"/>
  <c r="AE1642" i="3"/>
  <c r="AF1642" i="3"/>
  <c r="AG1642" i="3"/>
  <c r="AH1642" i="3"/>
  <c r="AI1642" i="3"/>
  <c r="AJ1642" i="3"/>
  <c r="AK1642" i="3"/>
  <c r="AL1642" i="3"/>
  <c r="AM1642" i="3"/>
  <c r="AN1642" i="3"/>
  <c r="AO1642" i="3"/>
  <c r="AP1642" i="3"/>
  <c r="AQ1642" i="3"/>
  <c r="AR1642" i="3"/>
  <c r="AS1642" i="3"/>
  <c r="AT1642" i="3"/>
  <c r="AU1642" i="3"/>
  <c r="AV1642" i="3"/>
  <c r="AW1642" i="3"/>
  <c r="AX1642" i="3"/>
  <c r="AY1642" i="3"/>
  <c r="AZ1642" i="3"/>
  <c r="BA1642" i="3"/>
  <c r="W1643" i="3"/>
  <c r="X1643" i="3"/>
  <c r="Y1643" i="3"/>
  <c r="Z1643" i="3"/>
  <c r="AA1643" i="3"/>
  <c r="AB1643" i="3"/>
  <c r="AC1643" i="3"/>
  <c r="AD1643" i="3"/>
  <c r="AE1643" i="3"/>
  <c r="AF1643" i="3"/>
  <c r="AG1643" i="3"/>
  <c r="AH1643" i="3"/>
  <c r="AI1643" i="3"/>
  <c r="AJ1643" i="3"/>
  <c r="AK1643" i="3"/>
  <c r="AL1643" i="3"/>
  <c r="AM1643" i="3"/>
  <c r="AN1643" i="3"/>
  <c r="AO1643" i="3"/>
  <c r="AP1643" i="3"/>
  <c r="AQ1643" i="3"/>
  <c r="AR1643" i="3"/>
  <c r="AS1643" i="3"/>
  <c r="AT1643" i="3"/>
  <c r="AU1643" i="3"/>
  <c r="AV1643" i="3"/>
  <c r="AW1643" i="3"/>
  <c r="AX1643" i="3"/>
  <c r="AY1643" i="3"/>
  <c r="AZ1643" i="3"/>
  <c r="BA1643" i="3"/>
  <c r="W1644" i="3"/>
  <c r="X1644" i="3"/>
  <c r="Y1644" i="3"/>
  <c r="Z1644" i="3"/>
  <c r="AA1644" i="3"/>
  <c r="AB1644" i="3"/>
  <c r="AC1644" i="3"/>
  <c r="AD1644" i="3"/>
  <c r="AE1644" i="3"/>
  <c r="AF1644" i="3"/>
  <c r="AG1644" i="3"/>
  <c r="AH1644" i="3"/>
  <c r="AI1644" i="3"/>
  <c r="AJ1644" i="3"/>
  <c r="AK1644" i="3"/>
  <c r="AL1644" i="3"/>
  <c r="AM1644" i="3"/>
  <c r="AN1644" i="3"/>
  <c r="AO1644" i="3"/>
  <c r="AP1644" i="3"/>
  <c r="AQ1644" i="3"/>
  <c r="AR1644" i="3"/>
  <c r="AS1644" i="3"/>
  <c r="AT1644" i="3"/>
  <c r="AU1644" i="3"/>
  <c r="AV1644" i="3"/>
  <c r="AW1644" i="3"/>
  <c r="AX1644" i="3"/>
  <c r="AY1644" i="3"/>
  <c r="AZ1644" i="3"/>
  <c r="BA1644" i="3"/>
  <c r="W1645" i="3"/>
  <c r="X1645" i="3"/>
  <c r="Y1645" i="3"/>
  <c r="Z1645" i="3"/>
  <c r="AA1645" i="3"/>
  <c r="AB1645" i="3"/>
  <c r="AC1645" i="3"/>
  <c r="AD1645" i="3"/>
  <c r="AE1645" i="3"/>
  <c r="AF1645" i="3"/>
  <c r="AG1645" i="3"/>
  <c r="AH1645" i="3"/>
  <c r="AI1645" i="3"/>
  <c r="AJ1645" i="3"/>
  <c r="AK1645" i="3"/>
  <c r="AL1645" i="3"/>
  <c r="AM1645" i="3"/>
  <c r="AN1645" i="3"/>
  <c r="AO1645" i="3"/>
  <c r="AP1645" i="3"/>
  <c r="AQ1645" i="3"/>
  <c r="AR1645" i="3"/>
  <c r="AS1645" i="3"/>
  <c r="AT1645" i="3"/>
  <c r="AU1645" i="3"/>
  <c r="AV1645" i="3"/>
  <c r="AW1645" i="3"/>
  <c r="AX1645" i="3"/>
  <c r="AY1645" i="3"/>
  <c r="AZ1645" i="3"/>
  <c r="BA1645" i="3"/>
  <c r="W1646" i="3"/>
  <c r="X1646" i="3"/>
  <c r="Y1646" i="3"/>
  <c r="Z1646" i="3"/>
  <c r="AA1646" i="3"/>
  <c r="AB1646" i="3"/>
  <c r="AC1646" i="3"/>
  <c r="AD1646" i="3"/>
  <c r="AE1646" i="3"/>
  <c r="AF1646" i="3"/>
  <c r="AG1646" i="3"/>
  <c r="AH1646" i="3"/>
  <c r="AI1646" i="3"/>
  <c r="AJ1646" i="3"/>
  <c r="AK1646" i="3"/>
  <c r="AL1646" i="3"/>
  <c r="AM1646" i="3"/>
  <c r="AN1646" i="3"/>
  <c r="AO1646" i="3"/>
  <c r="AP1646" i="3"/>
  <c r="AQ1646" i="3"/>
  <c r="AR1646" i="3"/>
  <c r="AS1646" i="3"/>
  <c r="AT1646" i="3"/>
  <c r="AU1646" i="3"/>
  <c r="AV1646" i="3"/>
  <c r="AW1646" i="3"/>
  <c r="AX1646" i="3"/>
  <c r="AY1646" i="3"/>
  <c r="AZ1646" i="3"/>
  <c r="BA1646" i="3"/>
  <c r="W1647" i="3"/>
  <c r="X1647" i="3"/>
  <c r="Y1647" i="3"/>
  <c r="Z1647" i="3"/>
  <c r="AA1647" i="3"/>
  <c r="AB1647" i="3"/>
  <c r="AC1647" i="3"/>
  <c r="AD1647" i="3"/>
  <c r="AE1647" i="3"/>
  <c r="AF1647" i="3"/>
  <c r="AG1647" i="3"/>
  <c r="AH1647" i="3"/>
  <c r="AI1647" i="3"/>
  <c r="AJ1647" i="3"/>
  <c r="AK1647" i="3"/>
  <c r="AL1647" i="3"/>
  <c r="AM1647" i="3"/>
  <c r="AN1647" i="3"/>
  <c r="AO1647" i="3"/>
  <c r="AP1647" i="3"/>
  <c r="AQ1647" i="3"/>
  <c r="AR1647" i="3"/>
  <c r="AS1647" i="3"/>
  <c r="AT1647" i="3"/>
  <c r="AU1647" i="3"/>
  <c r="AV1647" i="3"/>
  <c r="AW1647" i="3"/>
  <c r="AX1647" i="3"/>
  <c r="AY1647" i="3"/>
  <c r="AZ1647" i="3"/>
  <c r="BA1647" i="3"/>
  <c r="W1648" i="3"/>
  <c r="X1648" i="3"/>
  <c r="Y1648" i="3"/>
  <c r="Z1648" i="3"/>
  <c r="AA1648" i="3"/>
  <c r="AB1648" i="3"/>
  <c r="AC1648" i="3"/>
  <c r="AD1648" i="3"/>
  <c r="AE1648" i="3"/>
  <c r="AF1648" i="3"/>
  <c r="AG1648" i="3"/>
  <c r="AH1648" i="3"/>
  <c r="AI1648" i="3"/>
  <c r="AJ1648" i="3"/>
  <c r="AK1648" i="3"/>
  <c r="AL1648" i="3"/>
  <c r="AM1648" i="3"/>
  <c r="AN1648" i="3"/>
  <c r="AO1648" i="3"/>
  <c r="AP1648" i="3"/>
  <c r="AQ1648" i="3"/>
  <c r="AR1648" i="3"/>
  <c r="AS1648" i="3"/>
  <c r="AT1648" i="3"/>
  <c r="AU1648" i="3"/>
  <c r="AV1648" i="3"/>
  <c r="AW1648" i="3"/>
  <c r="AX1648" i="3"/>
  <c r="AY1648" i="3"/>
  <c r="AZ1648" i="3"/>
  <c r="BA1648" i="3"/>
  <c r="W1649" i="3"/>
  <c r="X1649" i="3"/>
  <c r="Y1649" i="3"/>
  <c r="Z1649" i="3"/>
  <c r="AA1649" i="3"/>
  <c r="AB1649" i="3"/>
  <c r="AC1649" i="3"/>
  <c r="AD1649" i="3"/>
  <c r="AE1649" i="3"/>
  <c r="AF1649" i="3"/>
  <c r="AG1649" i="3"/>
  <c r="AH1649" i="3"/>
  <c r="AI1649" i="3"/>
  <c r="AJ1649" i="3"/>
  <c r="AK1649" i="3"/>
  <c r="AL1649" i="3"/>
  <c r="AM1649" i="3"/>
  <c r="AN1649" i="3"/>
  <c r="AO1649" i="3"/>
  <c r="AP1649" i="3"/>
  <c r="AQ1649" i="3"/>
  <c r="AR1649" i="3"/>
  <c r="AS1649" i="3"/>
  <c r="AT1649" i="3"/>
  <c r="AU1649" i="3"/>
  <c r="AV1649" i="3"/>
  <c r="AW1649" i="3"/>
  <c r="AX1649" i="3"/>
  <c r="AY1649" i="3"/>
  <c r="AZ1649" i="3"/>
  <c r="BA1649" i="3"/>
  <c r="W1650" i="3"/>
  <c r="X1650" i="3"/>
  <c r="Y1650" i="3"/>
  <c r="Z1650" i="3"/>
  <c r="AA1650" i="3"/>
  <c r="AB1650" i="3"/>
  <c r="AC1650" i="3"/>
  <c r="AD1650" i="3"/>
  <c r="AE1650" i="3"/>
  <c r="AF1650" i="3"/>
  <c r="AG1650" i="3"/>
  <c r="AH1650" i="3"/>
  <c r="AI1650" i="3"/>
  <c r="AJ1650" i="3"/>
  <c r="AK1650" i="3"/>
  <c r="AL1650" i="3"/>
  <c r="AM1650" i="3"/>
  <c r="AN1650" i="3"/>
  <c r="AO1650" i="3"/>
  <c r="AP1650" i="3"/>
  <c r="AQ1650" i="3"/>
  <c r="AR1650" i="3"/>
  <c r="AS1650" i="3"/>
  <c r="AT1650" i="3"/>
  <c r="AU1650" i="3"/>
  <c r="AV1650" i="3"/>
  <c r="AW1650" i="3"/>
  <c r="AX1650" i="3"/>
  <c r="AY1650" i="3"/>
  <c r="AZ1650" i="3"/>
  <c r="BA1650" i="3"/>
  <c r="W1651" i="3"/>
  <c r="X1651" i="3"/>
  <c r="Y1651" i="3"/>
  <c r="Z1651" i="3"/>
  <c r="AA1651" i="3"/>
  <c r="AB1651" i="3"/>
  <c r="AC1651" i="3"/>
  <c r="AD1651" i="3"/>
  <c r="AE1651" i="3"/>
  <c r="AF1651" i="3"/>
  <c r="AG1651" i="3"/>
  <c r="AH1651" i="3"/>
  <c r="AI1651" i="3"/>
  <c r="AJ1651" i="3"/>
  <c r="AK1651" i="3"/>
  <c r="AL1651" i="3"/>
  <c r="AM1651" i="3"/>
  <c r="AN1651" i="3"/>
  <c r="AO1651" i="3"/>
  <c r="AP1651" i="3"/>
  <c r="AQ1651" i="3"/>
  <c r="AR1651" i="3"/>
  <c r="AS1651" i="3"/>
  <c r="AT1651" i="3"/>
  <c r="AU1651" i="3"/>
  <c r="AV1651" i="3"/>
  <c r="AW1651" i="3"/>
  <c r="AX1651" i="3"/>
  <c r="AY1651" i="3"/>
  <c r="AZ1651" i="3"/>
  <c r="BA1651" i="3"/>
  <c r="W1652" i="3"/>
  <c r="X1652" i="3"/>
  <c r="Y1652" i="3"/>
  <c r="Z1652" i="3"/>
  <c r="AA1652" i="3"/>
  <c r="AB1652" i="3"/>
  <c r="AC1652" i="3"/>
  <c r="AD1652" i="3"/>
  <c r="AE1652" i="3"/>
  <c r="AF1652" i="3"/>
  <c r="AG1652" i="3"/>
  <c r="AH1652" i="3"/>
  <c r="AI1652" i="3"/>
  <c r="AJ1652" i="3"/>
  <c r="AK1652" i="3"/>
  <c r="AL1652" i="3"/>
  <c r="AM1652" i="3"/>
  <c r="AN1652" i="3"/>
  <c r="AO1652" i="3"/>
  <c r="AP1652" i="3"/>
  <c r="AQ1652" i="3"/>
  <c r="AR1652" i="3"/>
  <c r="AS1652" i="3"/>
  <c r="AT1652" i="3"/>
  <c r="AU1652" i="3"/>
  <c r="AV1652" i="3"/>
  <c r="AW1652" i="3"/>
  <c r="AX1652" i="3"/>
  <c r="AY1652" i="3"/>
  <c r="AZ1652" i="3"/>
  <c r="BA1652" i="3"/>
  <c r="W1653" i="3"/>
  <c r="X1653" i="3"/>
  <c r="Y1653" i="3"/>
  <c r="Z1653" i="3"/>
  <c r="AA1653" i="3"/>
  <c r="AB1653" i="3"/>
  <c r="AC1653" i="3"/>
  <c r="AD1653" i="3"/>
  <c r="AE1653" i="3"/>
  <c r="AF1653" i="3"/>
  <c r="AG1653" i="3"/>
  <c r="AH1653" i="3"/>
  <c r="AI1653" i="3"/>
  <c r="AJ1653" i="3"/>
  <c r="AK1653" i="3"/>
  <c r="AL1653" i="3"/>
  <c r="AM1653" i="3"/>
  <c r="AN1653" i="3"/>
  <c r="AO1653" i="3"/>
  <c r="AP1653" i="3"/>
  <c r="AQ1653" i="3"/>
  <c r="AR1653" i="3"/>
  <c r="AS1653" i="3"/>
  <c r="AT1653" i="3"/>
  <c r="AU1653" i="3"/>
  <c r="AV1653" i="3"/>
  <c r="AW1653" i="3"/>
  <c r="AX1653" i="3"/>
  <c r="AY1653" i="3"/>
  <c r="AZ1653" i="3"/>
  <c r="BA1653" i="3"/>
  <c r="W1654" i="3"/>
  <c r="X1654" i="3"/>
  <c r="Y1654" i="3"/>
  <c r="Z1654" i="3"/>
  <c r="AA1654" i="3"/>
  <c r="AB1654" i="3"/>
  <c r="AC1654" i="3"/>
  <c r="AD1654" i="3"/>
  <c r="AE1654" i="3"/>
  <c r="AF1654" i="3"/>
  <c r="AG1654" i="3"/>
  <c r="AH1654" i="3"/>
  <c r="AI1654" i="3"/>
  <c r="AJ1654" i="3"/>
  <c r="AK1654" i="3"/>
  <c r="AL1654" i="3"/>
  <c r="AM1654" i="3"/>
  <c r="AN1654" i="3"/>
  <c r="AO1654" i="3"/>
  <c r="AP1654" i="3"/>
  <c r="AQ1654" i="3"/>
  <c r="AR1654" i="3"/>
  <c r="AS1654" i="3"/>
  <c r="AT1654" i="3"/>
  <c r="AU1654" i="3"/>
  <c r="AV1654" i="3"/>
  <c r="AW1654" i="3"/>
  <c r="AX1654" i="3"/>
  <c r="AY1654" i="3"/>
  <c r="AZ1654" i="3"/>
  <c r="BA1654" i="3"/>
  <c r="W1655" i="3"/>
  <c r="X1655" i="3"/>
  <c r="Y1655" i="3"/>
  <c r="Z1655" i="3"/>
  <c r="AA1655" i="3"/>
  <c r="AB1655" i="3"/>
  <c r="AC1655" i="3"/>
  <c r="AD1655" i="3"/>
  <c r="AE1655" i="3"/>
  <c r="AF1655" i="3"/>
  <c r="AG1655" i="3"/>
  <c r="AH1655" i="3"/>
  <c r="AI1655" i="3"/>
  <c r="AJ1655" i="3"/>
  <c r="AK1655" i="3"/>
  <c r="AL1655" i="3"/>
  <c r="AM1655" i="3"/>
  <c r="AN1655" i="3"/>
  <c r="AO1655" i="3"/>
  <c r="AP1655" i="3"/>
  <c r="AQ1655" i="3"/>
  <c r="AR1655" i="3"/>
  <c r="AS1655" i="3"/>
  <c r="AT1655" i="3"/>
  <c r="AU1655" i="3"/>
  <c r="AV1655" i="3"/>
  <c r="AW1655" i="3"/>
  <c r="AX1655" i="3"/>
  <c r="AY1655" i="3"/>
  <c r="AZ1655" i="3"/>
  <c r="BA1655" i="3"/>
  <c r="W1656" i="3"/>
  <c r="X1656" i="3"/>
  <c r="Y1656" i="3"/>
  <c r="Z1656" i="3"/>
  <c r="AA1656" i="3"/>
  <c r="AB1656" i="3"/>
  <c r="AC1656" i="3"/>
  <c r="AD1656" i="3"/>
  <c r="AE1656" i="3"/>
  <c r="AF1656" i="3"/>
  <c r="AG1656" i="3"/>
  <c r="AH1656" i="3"/>
  <c r="AI1656" i="3"/>
  <c r="AJ1656" i="3"/>
  <c r="AK1656" i="3"/>
  <c r="AL1656" i="3"/>
  <c r="AM1656" i="3"/>
  <c r="AN1656" i="3"/>
  <c r="AO1656" i="3"/>
  <c r="AP1656" i="3"/>
  <c r="AQ1656" i="3"/>
  <c r="AR1656" i="3"/>
  <c r="AS1656" i="3"/>
  <c r="AT1656" i="3"/>
  <c r="AU1656" i="3"/>
  <c r="AV1656" i="3"/>
  <c r="AW1656" i="3"/>
  <c r="AX1656" i="3"/>
  <c r="AY1656" i="3"/>
  <c r="AZ1656" i="3"/>
  <c r="BA1656" i="3"/>
  <c r="W1657" i="3"/>
  <c r="X1657" i="3"/>
  <c r="Y1657" i="3"/>
  <c r="Z1657" i="3"/>
  <c r="AA1657" i="3"/>
  <c r="AB1657" i="3"/>
  <c r="AC1657" i="3"/>
  <c r="AD1657" i="3"/>
  <c r="AE1657" i="3"/>
  <c r="AF1657" i="3"/>
  <c r="AG1657" i="3"/>
  <c r="AH1657" i="3"/>
  <c r="AI1657" i="3"/>
  <c r="AJ1657" i="3"/>
  <c r="AK1657" i="3"/>
  <c r="AL1657" i="3"/>
  <c r="AM1657" i="3"/>
  <c r="AN1657" i="3"/>
  <c r="AO1657" i="3"/>
  <c r="AP1657" i="3"/>
  <c r="AQ1657" i="3"/>
  <c r="AR1657" i="3"/>
  <c r="AS1657" i="3"/>
  <c r="AT1657" i="3"/>
  <c r="AU1657" i="3"/>
  <c r="AV1657" i="3"/>
  <c r="AW1657" i="3"/>
  <c r="AX1657" i="3"/>
  <c r="AY1657" i="3"/>
  <c r="AZ1657" i="3"/>
  <c r="BA1657" i="3"/>
  <c r="W1658" i="3"/>
  <c r="X1658" i="3"/>
  <c r="Y1658" i="3"/>
  <c r="Z1658" i="3"/>
  <c r="AA1658" i="3"/>
  <c r="AB1658" i="3"/>
  <c r="AC1658" i="3"/>
  <c r="AD1658" i="3"/>
  <c r="AE1658" i="3"/>
  <c r="AF1658" i="3"/>
  <c r="AG1658" i="3"/>
  <c r="AH1658" i="3"/>
  <c r="AI1658" i="3"/>
  <c r="AJ1658" i="3"/>
  <c r="AK1658" i="3"/>
  <c r="AL1658" i="3"/>
  <c r="AM1658" i="3"/>
  <c r="AN1658" i="3"/>
  <c r="AO1658" i="3"/>
  <c r="AP1658" i="3"/>
  <c r="AQ1658" i="3"/>
  <c r="AR1658" i="3"/>
  <c r="AS1658" i="3"/>
  <c r="AT1658" i="3"/>
  <c r="AU1658" i="3"/>
  <c r="AV1658" i="3"/>
  <c r="AW1658" i="3"/>
  <c r="AX1658" i="3"/>
  <c r="AY1658" i="3"/>
  <c r="AZ1658" i="3"/>
  <c r="BA1658" i="3"/>
  <c r="W1659" i="3"/>
  <c r="X1659" i="3"/>
  <c r="Y1659" i="3"/>
  <c r="Z1659" i="3"/>
  <c r="AA1659" i="3"/>
  <c r="AB1659" i="3"/>
  <c r="AC1659" i="3"/>
  <c r="AD1659" i="3"/>
  <c r="AE1659" i="3"/>
  <c r="AF1659" i="3"/>
  <c r="AG1659" i="3"/>
  <c r="AH1659" i="3"/>
  <c r="AI1659" i="3"/>
  <c r="AJ1659" i="3"/>
  <c r="AK1659" i="3"/>
  <c r="AL1659" i="3"/>
  <c r="AM1659" i="3"/>
  <c r="AN1659" i="3"/>
  <c r="AO1659" i="3"/>
  <c r="AP1659" i="3"/>
  <c r="AQ1659" i="3"/>
  <c r="AR1659" i="3"/>
  <c r="AS1659" i="3"/>
  <c r="AT1659" i="3"/>
  <c r="AU1659" i="3"/>
  <c r="AV1659" i="3"/>
  <c r="AW1659" i="3"/>
  <c r="AX1659" i="3"/>
  <c r="AY1659" i="3"/>
  <c r="AZ1659" i="3"/>
  <c r="BA1659" i="3"/>
  <c r="W1660" i="3"/>
  <c r="X1660" i="3"/>
  <c r="Y1660" i="3"/>
  <c r="Z1660" i="3"/>
  <c r="AA1660" i="3"/>
  <c r="AB1660" i="3"/>
  <c r="AC1660" i="3"/>
  <c r="AD1660" i="3"/>
  <c r="AE1660" i="3"/>
  <c r="AF1660" i="3"/>
  <c r="AG1660" i="3"/>
  <c r="AH1660" i="3"/>
  <c r="AI1660" i="3"/>
  <c r="AJ1660" i="3"/>
  <c r="AK1660" i="3"/>
  <c r="AL1660" i="3"/>
  <c r="AM1660" i="3"/>
  <c r="AN1660" i="3"/>
  <c r="AO1660" i="3"/>
  <c r="AP1660" i="3"/>
  <c r="AQ1660" i="3"/>
  <c r="AR1660" i="3"/>
  <c r="AS1660" i="3"/>
  <c r="AT1660" i="3"/>
  <c r="AU1660" i="3"/>
  <c r="AV1660" i="3"/>
  <c r="AW1660" i="3"/>
  <c r="AX1660" i="3"/>
  <c r="AY1660" i="3"/>
  <c r="AZ1660" i="3"/>
  <c r="BA1660" i="3"/>
  <c r="W1661" i="3"/>
  <c r="X1661" i="3"/>
  <c r="Y1661" i="3"/>
  <c r="Z1661" i="3"/>
  <c r="AA1661" i="3"/>
  <c r="AB1661" i="3"/>
  <c r="AC1661" i="3"/>
  <c r="AD1661" i="3"/>
  <c r="AE1661" i="3"/>
  <c r="AF1661" i="3"/>
  <c r="AG1661" i="3"/>
  <c r="AH1661" i="3"/>
  <c r="AI1661" i="3"/>
  <c r="AJ1661" i="3"/>
  <c r="AK1661" i="3"/>
  <c r="AL1661" i="3"/>
  <c r="AM1661" i="3"/>
  <c r="AN1661" i="3"/>
  <c r="AO1661" i="3"/>
  <c r="AP1661" i="3"/>
  <c r="AQ1661" i="3"/>
  <c r="AR1661" i="3"/>
  <c r="AS1661" i="3"/>
  <c r="AT1661" i="3"/>
  <c r="AU1661" i="3"/>
  <c r="AV1661" i="3"/>
  <c r="AW1661" i="3"/>
  <c r="AX1661" i="3"/>
  <c r="AY1661" i="3"/>
  <c r="AZ1661" i="3"/>
  <c r="BA1661" i="3"/>
  <c r="W1662" i="3"/>
  <c r="X1662" i="3"/>
  <c r="Y1662" i="3"/>
  <c r="Z1662" i="3"/>
  <c r="AA1662" i="3"/>
  <c r="AB1662" i="3"/>
  <c r="AC1662" i="3"/>
  <c r="AD1662" i="3"/>
  <c r="AE1662" i="3"/>
  <c r="AF1662" i="3"/>
  <c r="AG1662" i="3"/>
  <c r="AH1662" i="3"/>
  <c r="AI1662" i="3"/>
  <c r="AJ1662" i="3"/>
  <c r="AK1662" i="3"/>
  <c r="AL1662" i="3"/>
  <c r="AM1662" i="3"/>
  <c r="AN1662" i="3"/>
  <c r="AO1662" i="3"/>
  <c r="AP1662" i="3"/>
  <c r="AQ1662" i="3"/>
  <c r="AR1662" i="3"/>
  <c r="AS1662" i="3"/>
  <c r="AT1662" i="3"/>
  <c r="AU1662" i="3"/>
  <c r="AV1662" i="3"/>
  <c r="AW1662" i="3"/>
  <c r="AX1662" i="3"/>
  <c r="AY1662" i="3"/>
  <c r="AZ1662" i="3"/>
  <c r="BA1662" i="3"/>
  <c r="W1663" i="3"/>
  <c r="X1663" i="3"/>
  <c r="Y1663" i="3"/>
  <c r="Z1663" i="3"/>
  <c r="AA1663" i="3"/>
  <c r="AB1663" i="3"/>
  <c r="AC1663" i="3"/>
  <c r="AD1663" i="3"/>
  <c r="AE1663" i="3"/>
  <c r="AF1663" i="3"/>
  <c r="AG1663" i="3"/>
  <c r="AH1663" i="3"/>
  <c r="AI1663" i="3"/>
  <c r="AJ1663" i="3"/>
  <c r="AK1663" i="3"/>
  <c r="AL1663" i="3"/>
  <c r="AM1663" i="3"/>
  <c r="AN1663" i="3"/>
  <c r="AO1663" i="3"/>
  <c r="AP1663" i="3"/>
  <c r="AQ1663" i="3"/>
  <c r="AR1663" i="3"/>
  <c r="AS1663" i="3"/>
  <c r="AT1663" i="3"/>
  <c r="AU1663" i="3"/>
  <c r="AV1663" i="3"/>
  <c r="AW1663" i="3"/>
  <c r="AX1663" i="3"/>
  <c r="AY1663" i="3"/>
  <c r="AZ1663" i="3"/>
  <c r="BA1663" i="3"/>
  <c r="W1664" i="3"/>
  <c r="X1664" i="3"/>
  <c r="Y1664" i="3"/>
  <c r="Z1664" i="3"/>
  <c r="AA1664" i="3"/>
  <c r="AB1664" i="3"/>
  <c r="AC1664" i="3"/>
  <c r="AD1664" i="3"/>
  <c r="AE1664" i="3"/>
  <c r="AF1664" i="3"/>
  <c r="AG1664" i="3"/>
  <c r="AH1664" i="3"/>
  <c r="AI1664" i="3"/>
  <c r="AJ1664" i="3"/>
  <c r="AK1664" i="3"/>
  <c r="AL1664" i="3"/>
  <c r="AM1664" i="3"/>
  <c r="AN1664" i="3"/>
  <c r="AO1664" i="3"/>
  <c r="AP1664" i="3"/>
  <c r="AQ1664" i="3"/>
  <c r="AR1664" i="3"/>
  <c r="AS1664" i="3"/>
  <c r="AT1664" i="3"/>
  <c r="AU1664" i="3"/>
  <c r="AV1664" i="3"/>
  <c r="AW1664" i="3"/>
  <c r="AX1664" i="3"/>
  <c r="AY1664" i="3"/>
  <c r="AZ1664" i="3"/>
  <c r="BA1664" i="3"/>
  <c r="W1665" i="3"/>
  <c r="X1665" i="3"/>
  <c r="Y1665" i="3"/>
  <c r="Z1665" i="3"/>
  <c r="AA1665" i="3"/>
  <c r="AB1665" i="3"/>
  <c r="AC1665" i="3"/>
  <c r="AD1665" i="3"/>
  <c r="AE1665" i="3"/>
  <c r="AF1665" i="3"/>
  <c r="AG1665" i="3"/>
  <c r="AH1665" i="3"/>
  <c r="AI1665" i="3"/>
  <c r="AJ1665" i="3"/>
  <c r="AK1665" i="3"/>
  <c r="AL1665" i="3"/>
  <c r="AM1665" i="3"/>
  <c r="AN1665" i="3"/>
  <c r="AO1665" i="3"/>
  <c r="AP1665" i="3"/>
  <c r="AQ1665" i="3"/>
  <c r="AR1665" i="3"/>
  <c r="AS1665" i="3"/>
  <c r="AT1665" i="3"/>
  <c r="AU1665" i="3"/>
  <c r="AV1665" i="3"/>
  <c r="AW1665" i="3"/>
  <c r="AX1665" i="3"/>
  <c r="AY1665" i="3"/>
  <c r="AZ1665" i="3"/>
  <c r="BA1665" i="3"/>
  <c r="W1666" i="3"/>
  <c r="X1666" i="3"/>
  <c r="Y1666" i="3"/>
  <c r="Z1666" i="3"/>
  <c r="AA1666" i="3"/>
  <c r="AB1666" i="3"/>
  <c r="AC1666" i="3"/>
  <c r="AD1666" i="3"/>
  <c r="AE1666" i="3"/>
  <c r="AF1666" i="3"/>
  <c r="AG1666" i="3"/>
  <c r="AH1666" i="3"/>
  <c r="AI1666" i="3"/>
  <c r="AJ1666" i="3"/>
  <c r="AK1666" i="3"/>
  <c r="AL1666" i="3"/>
  <c r="AM1666" i="3"/>
  <c r="AN1666" i="3"/>
  <c r="AO1666" i="3"/>
  <c r="AP1666" i="3"/>
  <c r="AQ1666" i="3"/>
  <c r="AR1666" i="3"/>
  <c r="AS1666" i="3"/>
  <c r="AT1666" i="3"/>
  <c r="AU1666" i="3"/>
  <c r="AV1666" i="3"/>
  <c r="AW1666" i="3"/>
  <c r="AX1666" i="3"/>
  <c r="AY1666" i="3"/>
  <c r="AZ1666" i="3"/>
  <c r="BA1666" i="3"/>
  <c r="W1667" i="3"/>
  <c r="X1667" i="3"/>
  <c r="Y1667" i="3"/>
  <c r="Z1667" i="3"/>
  <c r="AA1667" i="3"/>
  <c r="AB1667" i="3"/>
  <c r="AC1667" i="3"/>
  <c r="AD1667" i="3"/>
  <c r="AE1667" i="3"/>
  <c r="AF1667" i="3"/>
  <c r="AG1667" i="3"/>
  <c r="AH1667" i="3"/>
  <c r="AI1667" i="3"/>
  <c r="AJ1667" i="3"/>
  <c r="AK1667" i="3"/>
  <c r="AL1667" i="3"/>
  <c r="AM1667" i="3"/>
  <c r="AN1667" i="3"/>
  <c r="AO1667" i="3"/>
  <c r="AP1667" i="3"/>
  <c r="AQ1667" i="3"/>
  <c r="AR1667" i="3"/>
  <c r="AS1667" i="3"/>
  <c r="AT1667" i="3"/>
  <c r="AU1667" i="3"/>
  <c r="AV1667" i="3"/>
  <c r="AW1667" i="3"/>
  <c r="AX1667" i="3"/>
  <c r="AY1667" i="3"/>
  <c r="AZ1667" i="3"/>
  <c r="BA1667" i="3"/>
  <c r="W1668" i="3"/>
  <c r="X1668" i="3"/>
  <c r="Y1668" i="3"/>
  <c r="Z1668" i="3"/>
  <c r="AA1668" i="3"/>
  <c r="AB1668" i="3"/>
  <c r="AC1668" i="3"/>
  <c r="AD1668" i="3"/>
  <c r="AE1668" i="3"/>
  <c r="AF1668" i="3"/>
  <c r="AG1668" i="3"/>
  <c r="AH1668" i="3"/>
  <c r="AI1668" i="3"/>
  <c r="AJ1668" i="3"/>
  <c r="AK1668" i="3"/>
  <c r="AL1668" i="3"/>
  <c r="AM1668" i="3"/>
  <c r="AN1668" i="3"/>
  <c r="AO1668" i="3"/>
  <c r="AP1668" i="3"/>
  <c r="AQ1668" i="3"/>
  <c r="AR1668" i="3"/>
  <c r="AS1668" i="3"/>
  <c r="AT1668" i="3"/>
  <c r="AU1668" i="3"/>
  <c r="AV1668" i="3"/>
  <c r="AW1668" i="3"/>
  <c r="AX1668" i="3"/>
  <c r="AY1668" i="3"/>
  <c r="AZ1668" i="3"/>
  <c r="BA1668" i="3"/>
  <c r="W1669" i="3"/>
  <c r="X1669" i="3"/>
  <c r="Y1669" i="3"/>
  <c r="Z1669" i="3"/>
  <c r="AA1669" i="3"/>
  <c r="AB1669" i="3"/>
  <c r="AC1669" i="3"/>
  <c r="AD1669" i="3"/>
  <c r="AE1669" i="3"/>
  <c r="AF1669" i="3"/>
  <c r="AG1669" i="3"/>
  <c r="AH1669" i="3"/>
  <c r="AI1669" i="3"/>
  <c r="AJ1669" i="3"/>
  <c r="AK1669" i="3"/>
  <c r="AL1669" i="3"/>
  <c r="AM1669" i="3"/>
  <c r="AN1669" i="3"/>
  <c r="AO1669" i="3"/>
  <c r="AP1669" i="3"/>
  <c r="AQ1669" i="3"/>
  <c r="AR1669" i="3"/>
  <c r="AS1669" i="3"/>
  <c r="AT1669" i="3"/>
  <c r="AU1669" i="3"/>
  <c r="AV1669" i="3"/>
  <c r="AW1669" i="3"/>
  <c r="AX1669" i="3"/>
  <c r="AY1669" i="3"/>
  <c r="AZ1669" i="3"/>
  <c r="BA1669" i="3"/>
  <c r="W1670" i="3"/>
  <c r="X1670" i="3"/>
  <c r="Y1670" i="3"/>
  <c r="Z1670" i="3"/>
  <c r="AA1670" i="3"/>
  <c r="AB1670" i="3"/>
  <c r="AC1670" i="3"/>
  <c r="AD1670" i="3"/>
  <c r="AE1670" i="3"/>
  <c r="AF1670" i="3"/>
  <c r="AG1670" i="3"/>
  <c r="AH1670" i="3"/>
  <c r="AI1670" i="3"/>
  <c r="AJ1670" i="3"/>
  <c r="AK1670" i="3"/>
  <c r="AL1670" i="3"/>
  <c r="AM1670" i="3"/>
  <c r="AN1670" i="3"/>
  <c r="AO1670" i="3"/>
  <c r="AP1670" i="3"/>
  <c r="AQ1670" i="3"/>
  <c r="AR1670" i="3"/>
  <c r="AS1670" i="3"/>
  <c r="AT1670" i="3"/>
  <c r="AU1670" i="3"/>
  <c r="AV1670" i="3"/>
  <c r="AW1670" i="3"/>
  <c r="AX1670" i="3"/>
  <c r="AY1670" i="3"/>
  <c r="AZ1670" i="3"/>
  <c r="BA1670" i="3"/>
  <c r="W1671" i="3"/>
  <c r="X1671" i="3"/>
  <c r="Y1671" i="3"/>
  <c r="Z1671" i="3"/>
  <c r="AA1671" i="3"/>
  <c r="AB1671" i="3"/>
  <c r="AC1671" i="3"/>
  <c r="AD1671" i="3"/>
  <c r="AE1671" i="3"/>
  <c r="AF1671" i="3"/>
  <c r="AG1671" i="3"/>
  <c r="AH1671" i="3"/>
  <c r="AI1671" i="3"/>
  <c r="AJ1671" i="3"/>
  <c r="AK1671" i="3"/>
  <c r="AL1671" i="3"/>
  <c r="AM1671" i="3"/>
  <c r="AN1671" i="3"/>
  <c r="AO1671" i="3"/>
  <c r="AP1671" i="3"/>
  <c r="AQ1671" i="3"/>
  <c r="AR1671" i="3"/>
  <c r="AS1671" i="3"/>
  <c r="AT1671" i="3"/>
  <c r="AU1671" i="3"/>
  <c r="AV1671" i="3"/>
  <c r="AW1671" i="3"/>
  <c r="AX1671" i="3"/>
  <c r="AY1671" i="3"/>
  <c r="AZ1671" i="3"/>
  <c r="BA1671" i="3"/>
  <c r="W1672" i="3"/>
  <c r="X1672" i="3"/>
  <c r="Y1672" i="3"/>
  <c r="Z1672" i="3"/>
  <c r="AA1672" i="3"/>
  <c r="AB1672" i="3"/>
  <c r="AC1672" i="3"/>
  <c r="AD1672" i="3"/>
  <c r="AE1672" i="3"/>
  <c r="AF1672" i="3"/>
  <c r="AG1672" i="3"/>
  <c r="AH1672" i="3"/>
  <c r="AI1672" i="3"/>
  <c r="AJ1672" i="3"/>
  <c r="AK1672" i="3"/>
  <c r="AL1672" i="3"/>
  <c r="AM1672" i="3"/>
  <c r="AN1672" i="3"/>
  <c r="AO1672" i="3"/>
  <c r="AP1672" i="3"/>
  <c r="AQ1672" i="3"/>
  <c r="AR1672" i="3"/>
  <c r="AS1672" i="3"/>
  <c r="AT1672" i="3"/>
  <c r="AU1672" i="3"/>
  <c r="AV1672" i="3"/>
  <c r="AW1672" i="3"/>
  <c r="AX1672" i="3"/>
  <c r="AY1672" i="3"/>
  <c r="AZ1672" i="3"/>
  <c r="BA1672" i="3"/>
  <c r="W1673" i="3"/>
  <c r="X1673" i="3"/>
  <c r="Y1673" i="3"/>
  <c r="Z1673" i="3"/>
  <c r="AA1673" i="3"/>
  <c r="AB1673" i="3"/>
  <c r="AC1673" i="3"/>
  <c r="AD1673" i="3"/>
  <c r="AE1673" i="3"/>
  <c r="AF1673" i="3"/>
  <c r="AG1673" i="3"/>
  <c r="AH1673" i="3"/>
  <c r="AI1673" i="3"/>
  <c r="AJ1673" i="3"/>
  <c r="AK1673" i="3"/>
  <c r="AL1673" i="3"/>
  <c r="AM1673" i="3"/>
  <c r="AN1673" i="3"/>
  <c r="AO1673" i="3"/>
  <c r="AP1673" i="3"/>
  <c r="AQ1673" i="3"/>
  <c r="AR1673" i="3"/>
  <c r="AS1673" i="3"/>
  <c r="AT1673" i="3"/>
  <c r="AU1673" i="3"/>
  <c r="AV1673" i="3"/>
  <c r="AW1673" i="3"/>
  <c r="AX1673" i="3"/>
  <c r="AY1673" i="3"/>
  <c r="AZ1673" i="3"/>
  <c r="BA1673" i="3"/>
  <c r="W1674" i="3"/>
  <c r="X1674" i="3"/>
  <c r="Y1674" i="3"/>
  <c r="Z1674" i="3"/>
  <c r="AA1674" i="3"/>
  <c r="AB1674" i="3"/>
  <c r="AC1674" i="3"/>
  <c r="AD1674" i="3"/>
  <c r="AE1674" i="3"/>
  <c r="AF1674" i="3"/>
  <c r="AG1674" i="3"/>
  <c r="AH1674" i="3"/>
  <c r="AI1674" i="3"/>
  <c r="AJ1674" i="3"/>
  <c r="AK1674" i="3"/>
  <c r="AL1674" i="3"/>
  <c r="AM1674" i="3"/>
  <c r="AN1674" i="3"/>
  <c r="AO1674" i="3"/>
  <c r="AP1674" i="3"/>
  <c r="AQ1674" i="3"/>
  <c r="AR1674" i="3"/>
  <c r="AS1674" i="3"/>
  <c r="AT1674" i="3"/>
  <c r="AU1674" i="3"/>
  <c r="AV1674" i="3"/>
  <c r="AW1674" i="3"/>
  <c r="AX1674" i="3"/>
  <c r="AY1674" i="3"/>
  <c r="AZ1674" i="3"/>
  <c r="BA1674" i="3"/>
  <c r="W1675" i="3"/>
  <c r="X1675" i="3"/>
  <c r="Y1675" i="3"/>
  <c r="Z1675" i="3"/>
  <c r="AA1675" i="3"/>
  <c r="AB1675" i="3"/>
  <c r="AC1675" i="3"/>
  <c r="AD1675" i="3"/>
  <c r="AE1675" i="3"/>
  <c r="AF1675" i="3"/>
  <c r="AG1675" i="3"/>
  <c r="AH1675" i="3"/>
  <c r="AI1675" i="3"/>
  <c r="AJ1675" i="3"/>
  <c r="AK1675" i="3"/>
  <c r="AL1675" i="3"/>
  <c r="AM1675" i="3"/>
  <c r="AN1675" i="3"/>
  <c r="AO1675" i="3"/>
  <c r="AP1675" i="3"/>
  <c r="AQ1675" i="3"/>
  <c r="AR1675" i="3"/>
  <c r="AS1675" i="3"/>
  <c r="AT1675" i="3"/>
  <c r="AU1675" i="3"/>
  <c r="AV1675" i="3"/>
  <c r="AW1675" i="3"/>
  <c r="AX1675" i="3"/>
  <c r="AY1675" i="3"/>
  <c r="AZ1675" i="3"/>
  <c r="BA1675" i="3"/>
  <c r="W1676" i="3"/>
  <c r="X1676" i="3"/>
  <c r="Y1676" i="3"/>
  <c r="Z1676" i="3"/>
  <c r="AA1676" i="3"/>
  <c r="AB1676" i="3"/>
  <c r="AC1676" i="3"/>
  <c r="AD1676" i="3"/>
  <c r="AE1676" i="3"/>
  <c r="AF1676" i="3"/>
  <c r="AG1676" i="3"/>
  <c r="AH1676" i="3"/>
  <c r="AI1676" i="3"/>
  <c r="AJ1676" i="3"/>
  <c r="AK1676" i="3"/>
  <c r="AL1676" i="3"/>
  <c r="AM1676" i="3"/>
  <c r="AN1676" i="3"/>
  <c r="AO1676" i="3"/>
  <c r="AP1676" i="3"/>
  <c r="AQ1676" i="3"/>
  <c r="AR1676" i="3"/>
  <c r="AS1676" i="3"/>
  <c r="AT1676" i="3"/>
  <c r="AU1676" i="3"/>
  <c r="AV1676" i="3"/>
  <c r="AW1676" i="3"/>
  <c r="AX1676" i="3"/>
  <c r="AY1676" i="3"/>
  <c r="AZ1676" i="3"/>
  <c r="BA1676" i="3"/>
  <c r="W1677" i="3"/>
  <c r="X1677" i="3"/>
  <c r="Y1677" i="3"/>
  <c r="Z1677" i="3"/>
  <c r="AA1677" i="3"/>
  <c r="AB1677" i="3"/>
  <c r="AC1677" i="3"/>
  <c r="AD1677" i="3"/>
  <c r="AE1677" i="3"/>
  <c r="AF1677" i="3"/>
  <c r="AG1677" i="3"/>
  <c r="AH1677" i="3"/>
  <c r="AI1677" i="3"/>
  <c r="AJ1677" i="3"/>
  <c r="AK1677" i="3"/>
  <c r="AL1677" i="3"/>
  <c r="AM1677" i="3"/>
  <c r="AN1677" i="3"/>
  <c r="AO1677" i="3"/>
  <c r="AP1677" i="3"/>
  <c r="AQ1677" i="3"/>
  <c r="AR1677" i="3"/>
  <c r="AS1677" i="3"/>
  <c r="AT1677" i="3"/>
  <c r="AU1677" i="3"/>
  <c r="AV1677" i="3"/>
  <c r="AW1677" i="3"/>
  <c r="AX1677" i="3"/>
  <c r="AY1677" i="3"/>
  <c r="AZ1677" i="3"/>
  <c r="BA1677" i="3"/>
  <c r="W1678" i="3"/>
  <c r="X1678" i="3"/>
  <c r="Y1678" i="3"/>
  <c r="Z1678" i="3"/>
  <c r="AA1678" i="3"/>
  <c r="AB1678" i="3"/>
  <c r="AC1678" i="3"/>
  <c r="AD1678" i="3"/>
  <c r="AE1678" i="3"/>
  <c r="AF1678" i="3"/>
  <c r="AG1678" i="3"/>
  <c r="AH1678" i="3"/>
  <c r="AI1678" i="3"/>
  <c r="AJ1678" i="3"/>
  <c r="AK1678" i="3"/>
  <c r="AL1678" i="3"/>
  <c r="AM1678" i="3"/>
  <c r="AN1678" i="3"/>
  <c r="AO1678" i="3"/>
  <c r="AP1678" i="3"/>
  <c r="AQ1678" i="3"/>
  <c r="AR1678" i="3"/>
  <c r="AS1678" i="3"/>
  <c r="AT1678" i="3"/>
  <c r="AU1678" i="3"/>
  <c r="AV1678" i="3"/>
  <c r="AW1678" i="3"/>
  <c r="AX1678" i="3"/>
  <c r="AY1678" i="3"/>
  <c r="AZ1678" i="3"/>
  <c r="BA1678" i="3"/>
  <c r="W1679" i="3"/>
  <c r="X1679" i="3"/>
  <c r="Y1679" i="3"/>
  <c r="Z1679" i="3"/>
  <c r="AA1679" i="3"/>
  <c r="AB1679" i="3"/>
  <c r="AC1679" i="3"/>
  <c r="AD1679" i="3"/>
  <c r="AE1679" i="3"/>
  <c r="AF1679" i="3"/>
  <c r="AG1679" i="3"/>
  <c r="AH1679" i="3"/>
  <c r="AI1679" i="3"/>
  <c r="AJ1679" i="3"/>
  <c r="AK1679" i="3"/>
  <c r="AL1679" i="3"/>
  <c r="AM1679" i="3"/>
  <c r="AN1679" i="3"/>
  <c r="AO1679" i="3"/>
  <c r="AP1679" i="3"/>
  <c r="AQ1679" i="3"/>
  <c r="AR1679" i="3"/>
  <c r="AS1679" i="3"/>
  <c r="AT1679" i="3"/>
  <c r="AU1679" i="3"/>
  <c r="AV1679" i="3"/>
  <c r="AW1679" i="3"/>
  <c r="AX1679" i="3"/>
  <c r="AY1679" i="3"/>
  <c r="AZ1679" i="3"/>
  <c r="BA1679" i="3"/>
  <c r="W1680" i="3"/>
  <c r="X1680" i="3"/>
  <c r="Y1680" i="3"/>
  <c r="Z1680" i="3"/>
  <c r="AA1680" i="3"/>
  <c r="AB1680" i="3"/>
  <c r="AC1680" i="3"/>
  <c r="AD1680" i="3"/>
  <c r="AE1680" i="3"/>
  <c r="AF1680" i="3"/>
  <c r="AG1680" i="3"/>
  <c r="AH1680" i="3"/>
  <c r="AI1680" i="3"/>
  <c r="AJ1680" i="3"/>
  <c r="AK1680" i="3"/>
  <c r="AL1680" i="3"/>
  <c r="AM1680" i="3"/>
  <c r="AN1680" i="3"/>
  <c r="AO1680" i="3"/>
  <c r="AP1680" i="3"/>
  <c r="AQ1680" i="3"/>
  <c r="AR1680" i="3"/>
  <c r="AS1680" i="3"/>
  <c r="AT1680" i="3"/>
  <c r="AU1680" i="3"/>
  <c r="AV1680" i="3"/>
  <c r="AW1680" i="3"/>
  <c r="AX1680" i="3"/>
  <c r="AY1680" i="3"/>
  <c r="AZ1680" i="3"/>
  <c r="BA1680" i="3"/>
  <c r="W1681" i="3"/>
  <c r="X1681" i="3"/>
  <c r="Y1681" i="3"/>
  <c r="Z1681" i="3"/>
  <c r="AA1681" i="3"/>
  <c r="AB1681" i="3"/>
  <c r="AC1681" i="3"/>
  <c r="AD1681" i="3"/>
  <c r="AE1681" i="3"/>
  <c r="AF1681" i="3"/>
  <c r="AG1681" i="3"/>
  <c r="AH1681" i="3"/>
  <c r="AI1681" i="3"/>
  <c r="AJ1681" i="3"/>
  <c r="AK1681" i="3"/>
  <c r="AL1681" i="3"/>
  <c r="AM1681" i="3"/>
  <c r="AN1681" i="3"/>
  <c r="AO1681" i="3"/>
  <c r="AP1681" i="3"/>
  <c r="AQ1681" i="3"/>
  <c r="AR1681" i="3"/>
  <c r="AS1681" i="3"/>
  <c r="AT1681" i="3"/>
  <c r="AU1681" i="3"/>
  <c r="AV1681" i="3"/>
  <c r="AW1681" i="3"/>
  <c r="AX1681" i="3"/>
  <c r="AY1681" i="3"/>
  <c r="AZ1681" i="3"/>
  <c r="BA1681" i="3"/>
  <c r="W1682" i="3"/>
  <c r="X1682" i="3"/>
  <c r="Y1682" i="3"/>
  <c r="Z1682" i="3"/>
  <c r="AA1682" i="3"/>
  <c r="AB1682" i="3"/>
  <c r="AC1682" i="3"/>
  <c r="AD1682" i="3"/>
  <c r="AE1682" i="3"/>
  <c r="AF1682" i="3"/>
  <c r="AG1682" i="3"/>
  <c r="AH1682" i="3"/>
  <c r="AI1682" i="3"/>
  <c r="AJ1682" i="3"/>
  <c r="AK1682" i="3"/>
  <c r="AL1682" i="3"/>
  <c r="AM1682" i="3"/>
  <c r="AN1682" i="3"/>
  <c r="AO1682" i="3"/>
  <c r="AP1682" i="3"/>
  <c r="AQ1682" i="3"/>
  <c r="AR1682" i="3"/>
  <c r="AS1682" i="3"/>
  <c r="AT1682" i="3"/>
  <c r="AU1682" i="3"/>
  <c r="AV1682" i="3"/>
  <c r="AW1682" i="3"/>
  <c r="AX1682" i="3"/>
  <c r="AY1682" i="3"/>
  <c r="AZ1682" i="3"/>
  <c r="BA1682" i="3"/>
  <c r="W1683" i="3"/>
  <c r="X1683" i="3"/>
  <c r="Y1683" i="3"/>
  <c r="Z1683" i="3"/>
  <c r="AA1683" i="3"/>
  <c r="AB1683" i="3"/>
  <c r="AC1683" i="3"/>
  <c r="AD1683" i="3"/>
  <c r="AE1683" i="3"/>
  <c r="AF1683" i="3"/>
  <c r="AG1683" i="3"/>
  <c r="AH1683" i="3"/>
  <c r="AI1683" i="3"/>
  <c r="AJ1683" i="3"/>
  <c r="AK1683" i="3"/>
  <c r="AL1683" i="3"/>
  <c r="AM1683" i="3"/>
  <c r="AN1683" i="3"/>
  <c r="AO1683" i="3"/>
  <c r="AP1683" i="3"/>
  <c r="AQ1683" i="3"/>
  <c r="AR1683" i="3"/>
  <c r="AS1683" i="3"/>
  <c r="AT1683" i="3"/>
  <c r="AU1683" i="3"/>
  <c r="AV1683" i="3"/>
  <c r="AW1683" i="3"/>
  <c r="AX1683" i="3"/>
  <c r="AY1683" i="3"/>
  <c r="AZ1683" i="3"/>
  <c r="BA1683" i="3"/>
  <c r="W1684" i="3"/>
  <c r="X1684" i="3"/>
  <c r="Y1684" i="3"/>
  <c r="Z1684" i="3"/>
  <c r="AA1684" i="3"/>
  <c r="AB1684" i="3"/>
  <c r="AC1684" i="3"/>
  <c r="AD1684" i="3"/>
  <c r="AE1684" i="3"/>
  <c r="AF1684" i="3"/>
  <c r="AG1684" i="3"/>
  <c r="AH1684" i="3"/>
  <c r="AI1684" i="3"/>
  <c r="AJ1684" i="3"/>
  <c r="AK1684" i="3"/>
  <c r="AL1684" i="3"/>
  <c r="AM1684" i="3"/>
  <c r="AN1684" i="3"/>
  <c r="AO1684" i="3"/>
  <c r="AP1684" i="3"/>
  <c r="AQ1684" i="3"/>
  <c r="AR1684" i="3"/>
  <c r="AS1684" i="3"/>
  <c r="AT1684" i="3"/>
  <c r="AU1684" i="3"/>
  <c r="AV1684" i="3"/>
  <c r="AW1684" i="3"/>
  <c r="AX1684" i="3"/>
  <c r="AY1684" i="3"/>
  <c r="AZ1684" i="3"/>
  <c r="BA1684" i="3"/>
  <c r="W1685" i="3"/>
  <c r="X1685" i="3"/>
  <c r="Y1685" i="3"/>
  <c r="Z1685" i="3"/>
  <c r="AA1685" i="3"/>
  <c r="AB1685" i="3"/>
  <c r="AC1685" i="3"/>
  <c r="AD1685" i="3"/>
  <c r="AE1685" i="3"/>
  <c r="AF1685" i="3"/>
  <c r="AG1685" i="3"/>
  <c r="AH1685" i="3"/>
  <c r="AI1685" i="3"/>
  <c r="AJ1685" i="3"/>
  <c r="AK1685" i="3"/>
  <c r="AL1685" i="3"/>
  <c r="AM1685" i="3"/>
  <c r="AN1685" i="3"/>
  <c r="AO1685" i="3"/>
  <c r="AP1685" i="3"/>
  <c r="AQ1685" i="3"/>
  <c r="AR1685" i="3"/>
  <c r="AS1685" i="3"/>
  <c r="AT1685" i="3"/>
  <c r="AU1685" i="3"/>
  <c r="AV1685" i="3"/>
  <c r="AW1685" i="3"/>
  <c r="AX1685" i="3"/>
  <c r="AY1685" i="3"/>
  <c r="AZ1685" i="3"/>
  <c r="BA1685" i="3"/>
  <c r="W1686" i="3"/>
  <c r="X1686" i="3"/>
  <c r="Y1686" i="3"/>
  <c r="Z1686" i="3"/>
  <c r="AA1686" i="3"/>
  <c r="AB1686" i="3"/>
  <c r="AC1686" i="3"/>
  <c r="AD1686" i="3"/>
  <c r="AE1686" i="3"/>
  <c r="AF1686" i="3"/>
  <c r="AG1686" i="3"/>
  <c r="AH1686" i="3"/>
  <c r="AI1686" i="3"/>
  <c r="AJ1686" i="3"/>
  <c r="AK1686" i="3"/>
  <c r="AL1686" i="3"/>
  <c r="AM1686" i="3"/>
  <c r="AN1686" i="3"/>
  <c r="AO1686" i="3"/>
  <c r="AP1686" i="3"/>
  <c r="AQ1686" i="3"/>
  <c r="AR1686" i="3"/>
  <c r="AS1686" i="3"/>
  <c r="AT1686" i="3"/>
  <c r="AU1686" i="3"/>
  <c r="AV1686" i="3"/>
  <c r="AW1686" i="3"/>
  <c r="AX1686" i="3"/>
  <c r="AY1686" i="3"/>
  <c r="AZ1686" i="3"/>
  <c r="BA1686" i="3"/>
  <c r="W1687" i="3"/>
  <c r="X1687" i="3"/>
  <c r="Y1687" i="3"/>
  <c r="Z1687" i="3"/>
  <c r="AA1687" i="3"/>
  <c r="AB1687" i="3"/>
  <c r="AC1687" i="3"/>
  <c r="AD1687" i="3"/>
  <c r="AE1687" i="3"/>
  <c r="AF1687" i="3"/>
  <c r="AG1687" i="3"/>
  <c r="AH1687" i="3"/>
  <c r="AI1687" i="3"/>
  <c r="AJ1687" i="3"/>
  <c r="AK1687" i="3"/>
  <c r="AL1687" i="3"/>
  <c r="AM1687" i="3"/>
  <c r="AN1687" i="3"/>
  <c r="AO1687" i="3"/>
  <c r="AP1687" i="3"/>
  <c r="AQ1687" i="3"/>
  <c r="AR1687" i="3"/>
  <c r="AS1687" i="3"/>
  <c r="AT1687" i="3"/>
  <c r="AU1687" i="3"/>
  <c r="AV1687" i="3"/>
  <c r="AW1687" i="3"/>
  <c r="AX1687" i="3"/>
  <c r="AY1687" i="3"/>
  <c r="AZ1687" i="3"/>
  <c r="BA1687" i="3"/>
  <c r="W1688" i="3"/>
  <c r="X1688" i="3"/>
  <c r="Y1688" i="3"/>
  <c r="Z1688" i="3"/>
  <c r="AA1688" i="3"/>
  <c r="AB1688" i="3"/>
  <c r="AC1688" i="3"/>
  <c r="AD1688" i="3"/>
  <c r="AE1688" i="3"/>
  <c r="AF1688" i="3"/>
  <c r="AG1688" i="3"/>
  <c r="AH1688" i="3"/>
  <c r="AI1688" i="3"/>
  <c r="AJ1688" i="3"/>
  <c r="AK1688" i="3"/>
  <c r="AL1688" i="3"/>
  <c r="AM1688" i="3"/>
  <c r="AN1688" i="3"/>
  <c r="AO1688" i="3"/>
  <c r="AP1688" i="3"/>
  <c r="AQ1688" i="3"/>
  <c r="AR1688" i="3"/>
  <c r="AS1688" i="3"/>
  <c r="AT1688" i="3"/>
  <c r="AU1688" i="3"/>
  <c r="AV1688" i="3"/>
  <c r="AW1688" i="3"/>
  <c r="AX1688" i="3"/>
  <c r="AY1688" i="3"/>
  <c r="AZ1688" i="3"/>
  <c r="BA1688" i="3"/>
  <c r="W1689" i="3"/>
  <c r="X1689" i="3"/>
  <c r="Y1689" i="3"/>
  <c r="Z1689" i="3"/>
  <c r="AA1689" i="3"/>
  <c r="AB1689" i="3"/>
  <c r="AC1689" i="3"/>
  <c r="AD1689" i="3"/>
  <c r="AE1689" i="3"/>
  <c r="AF1689" i="3"/>
  <c r="AG1689" i="3"/>
  <c r="AH1689" i="3"/>
  <c r="AI1689" i="3"/>
  <c r="AJ1689" i="3"/>
  <c r="AK1689" i="3"/>
  <c r="AL1689" i="3"/>
  <c r="AM1689" i="3"/>
  <c r="AN1689" i="3"/>
  <c r="AO1689" i="3"/>
  <c r="AP1689" i="3"/>
  <c r="AQ1689" i="3"/>
  <c r="AR1689" i="3"/>
  <c r="AS1689" i="3"/>
  <c r="AT1689" i="3"/>
  <c r="AU1689" i="3"/>
  <c r="AV1689" i="3"/>
  <c r="AW1689" i="3"/>
  <c r="AX1689" i="3"/>
  <c r="AY1689" i="3"/>
  <c r="AZ1689" i="3"/>
  <c r="BA1689" i="3"/>
  <c r="W1690" i="3"/>
  <c r="X1690" i="3"/>
  <c r="Y1690" i="3"/>
  <c r="Z1690" i="3"/>
  <c r="AA1690" i="3"/>
  <c r="AB1690" i="3"/>
  <c r="AC1690" i="3"/>
  <c r="AD1690" i="3"/>
  <c r="AE1690" i="3"/>
  <c r="AF1690" i="3"/>
  <c r="AG1690" i="3"/>
  <c r="AH1690" i="3"/>
  <c r="AI1690" i="3"/>
  <c r="AJ1690" i="3"/>
  <c r="AK1690" i="3"/>
  <c r="AL1690" i="3"/>
  <c r="AM1690" i="3"/>
  <c r="AN1690" i="3"/>
  <c r="AO1690" i="3"/>
  <c r="AP1690" i="3"/>
  <c r="AQ1690" i="3"/>
  <c r="AR1690" i="3"/>
  <c r="AS1690" i="3"/>
  <c r="AT1690" i="3"/>
  <c r="AU1690" i="3"/>
  <c r="AV1690" i="3"/>
  <c r="AW1690" i="3"/>
  <c r="AX1690" i="3"/>
  <c r="AY1690" i="3"/>
  <c r="AZ1690" i="3"/>
  <c r="BA1690" i="3"/>
  <c r="W1691" i="3"/>
  <c r="X1691" i="3"/>
  <c r="Y1691" i="3"/>
  <c r="Z1691" i="3"/>
  <c r="AA1691" i="3"/>
  <c r="AB1691" i="3"/>
  <c r="AC1691" i="3"/>
  <c r="AD1691" i="3"/>
  <c r="AE1691" i="3"/>
  <c r="AF1691" i="3"/>
  <c r="AG1691" i="3"/>
  <c r="AH1691" i="3"/>
  <c r="AI1691" i="3"/>
  <c r="AJ1691" i="3"/>
  <c r="AK1691" i="3"/>
  <c r="AL1691" i="3"/>
  <c r="AM1691" i="3"/>
  <c r="AN1691" i="3"/>
  <c r="AO1691" i="3"/>
  <c r="AP1691" i="3"/>
  <c r="AQ1691" i="3"/>
  <c r="AR1691" i="3"/>
  <c r="AS1691" i="3"/>
  <c r="AT1691" i="3"/>
  <c r="AU1691" i="3"/>
  <c r="AV1691" i="3"/>
  <c r="AW1691" i="3"/>
  <c r="AX1691" i="3"/>
  <c r="AY1691" i="3"/>
  <c r="AZ1691" i="3"/>
  <c r="BA1691" i="3"/>
  <c r="W1692" i="3"/>
  <c r="X1692" i="3"/>
  <c r="Y1692" i="3"/>
  <c r="Z1692" i="3"/>
  <c r="AA1692" i="3"/>
  <c r="AB1692" i="3"/>
  <c r="AC1692" i="3"/>
  <c r="AD1692" i="3"/>
  <c r="AE1692" i="3"/>
  <c r="AF1692" i="3"/>
  <c r="AG1692" i="3"/>
  <c r="AH1692" i="3"/>
  <c r="AI1692" i="3"/>
  <c r="AJ1692" i="3"/>
  <c r="AK1692" i="3"/>
  <c r="AL1692" i="3"/>
  <c r="AM1692" i="3"/>
  <c r="AN1692" i="3"/>
  <c r="AO1692" i="3"/>
  <c r="AP1692" i="3"/>
  <c r="AQ1692" i="3"/>
  <c r="AR1692" i="3"/>
  <c r="AS1692" i="3"/>
  <c r="AT1692" i="3"/>
  <c r="AU1692" i="3"/>
  <c r="AV1692" i="3"/>
  <c r="AW1692" i="3"/>
  <c r="AX1692" i="3"/>
  <c r="AY1692" i="3"/>
  <c r="AZ1692" i="3"/>
  <c r="BA1692" i="3"/>
  <c r="W1693" i="3"/>
  <c r="X1693" i="3"/>
  <c r="Y1693" i="3"/>
  <c r="Z1693" i="3"/>
  <c r="AA1693" i="3"/>
  <c r="AB1693" i="3"/>
  <c r="AC1693" i="3"/>
  <c r="AD1693" i="3"/>
  <c r="AE1693" i="3"/>
  <c r="AF1693" i="3"/>
  <c r="AG1693" i="3"/>
  <c r="AH1693" i="3"/>
  <c r="AI1693" i="3"/>
  <c r="AJ1693" i="3"/>
  <c r="AK1693" i="3"/>
  <c r="AL1693" i="3"/>
  <c r="AM1693" i="3"/>
  <c r="AN1693" i="3"/>
  <c r="AO1693" i="3"/>
  <c r="AP1693" i="3"/>
  <c r="AQ1693" i="3"/>
  <c r="AR1693" i="3"/>
  <c r="AS1693" i="3"/>
  <c r="AT1693" i="3"/>
  <c r="AU1693" i="3"/>
  <c r="AV1693" i="3"/>
  <c r="AW1693" i="3"/>
  <c r="AX1693" i="3"/>
  <c r="AY1693" i="3"/>
  <c r="AZ1693" i="3"/>
  <c r="BA1693" i="3"/>
  <c r="W1694" i="3"/>
  <c r="X1694" i="3"/>
  <c r="Y1694" i="3"/>
  <c r="Z1694" i="3"/>
  <c r="AA1694" i="3"/>
  <c r="AB1694" i="3"/>
  <c r="AC1694" i="3"/>
  <c r="AD1694" i="3"/>
  <c r="AE1694" i="3"/>
  <c r="AF1694" i="3"/>
  <c r="AG1694" i="3"/>
  <c r="AH1694" i="3"/>
  <c r="AI1694" i="3"/>
  <c r="AJ1694" i="3"/>
  <c r="AK1694" i="3"/>
  <c r="AL1694" i="3"/>
  <c r="AM1694" i="3"/>
  <c r="AN1694" i="3"/>
  <c r="AO1694" i="3"/>
  <c r="AP1694" i="3"/>
  <c r="AQ1694" i="3"/>
  <c r="AR1694" i="3"/>
  <c r="AS1694" i="3"/>
  <c r="AT1694" i="3"/>
  <c r="AU1694" i="3"/>
  <c r="AV1694" i="3"/>
  <c r="AW1694" i="3"/>
  <c r="AX1694" i="3"/>
  <c r="AY1694" i="3"/>
  <c r="AZ1694" i="3"/>
  <c r="BA1694" i="3"/>
  <c r="W1695" i="3"/>
  <c r="X1695" i="3"/>
  <c r="Y1695" i="3"/>
  <c r="Z1695" i="3"/>
  <c r="AA1695" i="3"/>
  <c r="AB1695" i="3"/>
  <c r="AC1695" i="3"/>
  <c r="AD1695" i="3"/>
  <c r="AE1695" i="3"/>
  <c r="AF1695" i="3"/>
  <c r="AG1695" i="3"/>
  <c r="AH1695" i="3"/>
  <c r="AI1695" i="3"/>
  <c r="AJ1695" i="3"/>
  <c r="AK1695" i="3"/>
  <c r="AL1695" i="3"/>
  <c r="AM1695" i="3"/>
  <c r="AN1695" i="3"/>
  <c r="AO1695" i="3"/>
  <c r="AP1695" i="3"/>
  <c r="AQ1695" i="3"/>
  <c r="AR1695" i="3"/>
  <c r="AS1695" i="3"/>
  <c r="AT1695" i="3"/>
  <c r="AU1695" i="3"/>
  <c r="AV1695" i="3"/>
  <c r="AW1695" i="3"/>
  <c r="AX1695" i="3"/>
  <c r="AY1695" i="3"/>
  <c r="AZ1695" i="3"/>
  <c r="BA1695" i="3"/>
  <c r="W1696" i="3"/>
  <c r="X1696" i="3"/>
  <c r="Y1696" i="3"/>
  <c r="Z1696" i="3"/>
  <c r="AA1696" i="3"/>
  <c r="AB1696" i="3"/>
  <c r="AC1696" i="3"/>
  <c r="AD1696" i="3"/>
  <c r="AE1696" i="3"/>
  <c r="AF1696" i="3"/>
  <c r="AG1696" i="3"/>
  <c r="AH1696" i="3"/>
  <c r="AI1696" i="3"/>
  <c r="AJ1696" i="3"/>
  <c r="AK1696" i="3"/>
  <c r="AL1696" i="3"/>
  <c r="AM1696" i="3"/>
  <c r="AN1696" i="3"/>
  <c r="AO1696" i="3"/>
  <c r="AP1696" i="3"/>
  <c r="AQ1696" i="3"/>
  <c r="AR1696" i="3"/>
  <c r="AS1696" i="3"/>
  <c r="AT1696" i="3"/>
  <c r="AU1696" i="3"/>
  <c r="AV1696" i="3"/>
  <c r="AW1696" i="3"/>
  <c r="AX1696" i="3"/>
  <c r="AY1696" i="3"/>
  <c r="AZ1696" i="3"/>
  <c r="BA1696" i="3"/>
  <c r="W1697" i="3"/>
  <c r="X1697" i="3"/>
  <c r="Y1697" i="3"/>
  <c r="Z1697" i="3"/>
  <c r="AA1697" i="3"/>
  <c r="AB1697" i="3"/>
  <c r="AC1697" i="3"/>
  <c r="AD1697" i="3"/>
  <c r="AE1697" i="3"/>
  <c r="AF1697" i="3"/>
  <c r="AG1697" i="3"/>
  <c r="AH1697" i="3"/>
  <c r="AI1697" i="3"/>
  <c r="AJ1697" i="3"/>
  <c r="AK1697" i="3"/>
  <c r="AL1697" i="3"/>
  <c r="AM1697" i="3"/>
  <c r="AN1697" i="3"/>
  <c r="AO1697" i="3"/>
  <c r="AP1697" i="3"/>
  <c r="AQ1697" i="3"/>
  <c r="AR1697" i="3"/>
  <c r="AS1697" i="3"/>
  <c r="AT1697" i="3"/>
  <c r="AU1697" i="3"/>
  <c r="AV1697" i="3"/>
  <c r="AW1697" i="3"/>
  <c r="AX1697" i="3"/>
  <c r="AY1697" i="3"/>
  <c r="AZ1697" i="3"/>
  <c r="BA1697" i="3"/>
  <c r="W1698" i="3"/>
  <c r="X1698" i="3"/>
  <c r="Y1698" i="3"/>
  <c r="Z1698" i="3"/>
  <c r="AA1698" i="3"/>
  <c r="AB1698" i="3"/>
  <c r="AC1698" i="3"/>
  <c r="AD1698" i="3"/>
  <c r="AE1698" i="3"/>
  <c r="AF1698" i="3"/>
  <c r="AG1698" i="3"/>
  <c r="AH1698" i="3"/>
  <c r="AI1698" i="3"/>
  <c r="AJ1698" i="3"/>
  <c r="AK1698" i="3"/>
  <c r="AL1698" i="3"/>
  <c r="AM1698" i="3"/>
  <c r="AN1698" i="3"/>
  <c r="AO1698" i="3"/>
  <c r="AP1698" i="3"/>
  <c r="AQ1698" i="3"/>
  <c r="AR1698" i="3"/>
  <c r="AS1698" i="3"/>
  <c r="AT1698" i="3"/>
  <c r="AU1698" i="3"/>
  <c r="AV1698" i="3"/>
  <c r="AW1698" i="3"/>
  <c r="AX1698" i="3"/>
  <c r="AY1698" i="3"/>
  <c r="AZ1698" i="3"/>
  <c r="BA1698" i="3"/>
  <c r="W1699" i="3"/>
  <c r="X1699" i="3"/>
  <c r="Y1699" i="3"/>
  <c r="Z1699" i="3"/>
  <c r="AA1699" i="3"/>
  <c r="AB1699" i="3"/>
  <c r="AC1699" i="3"/>
  <c r="AD1699" i="3"/>
  <c r="AE1699" i="3"/>
  <c r="AF1699" i="3"/>
  <c r="AG1699" i="3"/>
  <c r="AH1699" i="3"/>
  <c r="AI1699" i="3"/>
  <c r="AJ1699" i="3"/>
  <c r="AK1699" i="3"/>
  <c r="AL1699" i="3"/>
  <c r="AM1699" i="3"/>
  <c r="AN1699" i="3"/>
  <c r="AO1699" i="3"/>
  <c r="AP1699" i="3"/>
  <c r="AQ1699" i="3"/>
  <c r="AR1699" i="3"/>
  <c r="AS1699" i="3"/>
  <c r="AT1699" i="3"/>
  <c r="AU1699" i="3"/>
  <c r="AV1699" i="3"/>
  <c r="AW1699" i="3"/>
  <c r="AX1699" i="3"/>
  <c r="AY1699" i="3"/>
  <c r="AZ1699" i="3"/>
  <c r="BA1699" i="3"/>
  <c r="W1700" i="3"/>
  <c r="X1700" i="3"/>
  <c r="Y1700" i="3"/>
  <c r="Z1700" i="3"/>
  <c r="AA1700" i="3"/>
  <c r="AB1700" i="3"/>
  <c r="AC1700" i="3"/>
  <c r="AD1700" i="3"/>
  <c r="AE1700" i="3"/>
  <c r="AF1700" i="3"/>
  <c r="AG1700" i="3"/>
  <c r="AH1700" i="3"/>
  <c r="AI1700" i="3"/>
  <c r="AJ1700" i="3"/>
  <c r="AK1700" i="3"/>
  <c r="AL1700" i="3"/>
  <c r="AM1700" i="3"/>
  <c r="AN1700" i="3"/>
  <c r="AO1700" i="3"/>
  <c r="AP1700" i="3"/>
  <c r="AQ1700" i="3"/>
  <c r="AR1700" i="3"/>
  <c r="AS1700" i="3"/>
  <c r="AT1700" i="3"/>
  <c r="AU1700" i="3"/>
  <c r="AV1700" i="3"/>
  <c r="AW1700" i="3"/>
  <c r="AX1700" i="3"/>
  <c r="AY1700" i="3"/>
  <c r="AZ1700" i="3"/>
  <c r="BA1700" i="3"/>
  <c r="W1701" i="3"/>
  <c r="X1701" i="3"/>
  <c r="Y1701" i="3"/>
  <c r="Z1701" i="3"/>
  <c r="AA1701" i="3"/>
  <c r="AB1701" i="3"/>
  <c r="AC1701" i="3"/>
  <c r="AD1701" i="3"/>
  <c r="AE1701" i="3"/>
  <c r="AF1701" i="3"/>
  <c r="AG1701" i="3"/>
  <c r="AH1701" i="3"/>
  <c r="AI1701" i="3"/>
  <c r="AJ1701" i="3"/>
  <c r="AK1701" i="3"/>
  <c r="AL1701" i="3"/>
  <c r="AM1701" i="3"/>
  <c r="AN1701" i="3"/>
  <c r="AO1701" i="3"/>
  <c r="AP1701" i="3"/>
  <c r="AQ1701" i="3"/>
  <c r="AR1701" i="3"/>
  <c r="AS1701" i="3"/>
  <c r="AT1701" i="3"/>
  <c r="AU1701" i="3"/>
  <c r="AV1701" i="3"/>
  <c r="AW1701" i="3"/>
  <c r="AX1701" i="3"/>
  <c r="AY1701" i="3"/>
  <c r="AZ1701" i="3"/>
  <c r="BA1701" i="3"/>
  <c r="W1702" i="3"/>
  <c r="X1702" i="3"/>
  <c r="Y1702" i="3"/>
  <c r="Z1702" i="3"/>
  <c r="AA1702" i="3"/>
  <c r="AB1702" i="3"/>
  <c r="AC1702" i="3"/>
  <c r="AD1702" i="3"/>
  <c r="AE1702" i="3"/>
  <c r="AF1702" i="3"/>
  <c r="AG1702" i="3"/>
  <c r="AH1702" i="3"/>
  <c r="AI1702" i="3"/>
  <c r="AJ1702" i="3"/>
  <c r="AK1702" i="3"/>
  <c r="AL1702" i="3"/>
  <c r="AM1702" i="3"/>
  <c r="AN1702" i="3"/>
  <c r="AO1702" i="3"/>
  <c r="AP1702" i="3"/>
  <c r="AQ1702" i="3"/>
  <c r="AR1702" i="3"/>
  <c r="AS1702" i="3"/>
  <c r="AT1702" i="3"/>
  <c r="AU1702" i="3"/>
  <c r="AV1702" i="3"/>
  <c r="AW1702" i="3"/>
  <c r="AX1702" i="3"/>
  <c r="AY1702" i="3"/>
  <c r="AZ1702" i="3"/>
  <c r="BA1702" i="3"/>
  <c r="W1703" i="3"/>
  <c r="X1703" i="3"/>
  <c r="Y1703" i="3"/>
  <c r="Z1703" i="3"/>
  <c r="AA1703" i="3"/>
  <c r="AB1703" i="3"/>
  <c r="AC1703" i="3"/>
  <c r="AD1703" i="3"/>
  <c r="AE1703" i="3"/>
  <c r="AF1703" i="3"/>
  <c r="AG1703" i="3"/>
  <c r="AH1703" i="3"/>
  <c r="AI1703" i="3"/>
  <c r="AJ1703" i="3"/>
  <c r="AK1703" i="3"/>
  <c r="AL1703" i="3"/>
  <c r="AM1703" i="3"/>
  <c r="AN1703" i="3"/>
  <c r="AO1703" i="3"/>
  <c r="AP1703" i="3"/>
  <c r="AQ1703" i="3"/>
  <c r="AR1703" i="3"/>
  <c r="AS1703" i="3"/>
  <c r="AT1703" i="3"/>
  <c r="AU1703" i="3"/>
  <c r="AV1703" i="3"/>
  <c r="AW1703" i="3"/>
  <c r="AX1703" i="3"/>
  <c r="AY1703" i="3"/>
  <c r="AZ1703" i="3"/>
  <c r="BA1703" i="3"/>
  <c r="W1704" i="3"/>
  <c r="X1704" i="3"/>
  <c r="Y1704" i="3"/>
  <c r="Z1704" i="3"/>
  <c r="AA1704" i="3"/>
  <c r="AB1704" i="3"/>
  <c r="AC1704" i="3"/>
  <c r="AD1704" i="3"/>
  <c r="AE1704" i="3"/>
  <c r="AF1704" i="3"/>
  <c r="AG1704" i="3"/>
  <c r="AH1704" i="3"/>
  <c r="AI1704" i="3"/>
  <c r="AJ1704" i="3"/>
  <c r="AK1704" i="3"/>
  <c r="AL1704" i="3"/>
  <c r="AM1704" i="3"/>
  <c r="AN1704" i="3"/>
  <c r="AO1704" i="3"/>
  <c r="AP1704" i="3"/>
  <c r="AQ1704" i="3"/>
  <c r="AR1704" i="3"/>
  <c r="AS1704" i="3"/>
  <c r="AT1704" i="3"/>
  <c r="AU1704" i="3"/>
  <c r="AV1704" i="3"/>
  <c r="AW1704" i="3"/>
  <c r="AX1704" i="3"/>
  <c r="AY1704" i="3"/>
  <c r="AZ1704" i="3"/>
  <c r="BA1704" i="3"/>
  <c r="A178" i="3"/>
  <c r="E1709" i="3"/>
  <c r="D1735" i="3"/>
  <c r="E1735" i="3"/>
  <c r="A207" i="3"/>
  <c r="F1709" i="3"/>
  <c r="F1735" i="3"/>
  <c r="A468" i="3"/>
  <c r="O1709" i="3"/>
  <c r="O1735" i="3"/>
  <c r="A497" i="3"/>
  <c r="P1709" i="3"/>
  <c r="P1735" i="3"/>
  <c r="A526" i="3"/>
  <c r="Q1709" i="3"/>
  <c r="Q1735" i="3"/>
  <c r="A555" i="3"/>
  <c r="R1709" i="3"/>
  <c r="R1735" i="3"/>
  <c r="A584" i="3"/>
  <c r="S1709" i="3"/>
  <c r="S1735" i="3"/>
  <c r="A613" i="3"/>
  <c r="T1709" i="3"/>
  <c r="T1735" i="3"/>
  <c r="A642" i="3"/>
  <c r="U1709" i="3"/>
  <c r="U1735" i="3"/>
  <c r="A671" i="3"/>
  <c r="V1709" i="3"/>
  <c r="V1735" i="3"/>
  <c r="A700" i="3"/>
  <c r="W1709" i="3"/>
  <c r="W1735" i="3"/>
  <c r="A729" i="3"/>
  <c r="X1709" i="3"/>
  <c r="X1735" i="3"/>
  <c r="A758" i="3"/>
  <c r="Y1709" i="3"/>
  <c r="Y1735" i="3"/>
  <c r="A787" i="3"/>
  <c r="Z1709" i="3"/>
  <c r="Z1735" i="3"/>
  <c r="A816" i="3"/>
  <c r="AA1709" i="3"/>
  <c r="AA1735" i="3"/>
  <c r="A845" i="3"/>
  <c r="AB1709" i="3"/>
  <c r="AB1735" i="3"/>
  <c r="A874" i="3"/>
  <c r="AC1709" i="3"/>
  <c r="AC1735" i="3"/>
  <c r="A903" i="3"/>
  <c r="AD1709" i="3"/>
  <c r="AD1735" i="3"/>
  <c r="A932" i="3"/>
  <c r="AE1709" i="3"/>
  <c r="AE1735" i="3"/>
  <c r="A961" i="3"/>
  <c r="AF1709" i="3"/>
  <c r="AF1735" i="3"/>
  <c r="A990" i="3"/>
  <c r="AG1709" i="3"/>
  <c r="AG1735" i="3"/>
  <c r="A1019" i="3"/>
  <c r="AH1709" i="3"/>
  <c r="AH1735" i="3"/>
  <c r="A1048" i="3"/>
  <c r="AI1709" i="3"/>
  <c r="AI1735" i="3"/>
  <c r="A1077" i="3"/>
  <c r="AJ1709" i="3"/>
  <c r="AJ1735" i="3"/>
  <c r="A1106" i="3"/>
  <c r="AK1709" i="3"/>
  <c r="AK1735" i="3"/>
  <c r="A1135" i="3"/>
  <c r="AL1709" i="3"/>
  <c r="AL1735" i="3"/>
  <c r="A1164" i="3"/>
  <c r="AM1709" i="3"/>
  <c r="AM1735" i="3"/>
  <c r="A1193" i="3"/>
  <c r="AN1709" i="3"/>
  <c r="AN1735" i="3"/>
  <c r="A1222" i="3"/>
  <c r="AO1709" i="3"/>
  <c r="AO1735" i="3"/>
  <c r="A1251" i="3"/>
  <c r="AP1709" i="3"/>
  <c r="AP1735" i="3"/>
  <c r="A1280" i="3"/>
  <c r="AQ1709" i="3"/>
  <c r="AQ1735" i="3"/>
  <c r="A1309" i="3"/>
  <c r="AR1709" i="3"/>
  <c r="AR1735" i="3"/>
  <c r="A1338" i="3"/>
  <c r="AS1709" i="3"/>
  <c r="AS1735" i="3"/>
  <c r="A1367" i="3"/>
  <c r="AT1709" i="3"/>
  <c r="AT1735" i="3"/>
  <c r="A1396" i="3"/>
  <c r="AU1709" i="3"/>
  <c r="AU1735" i="3"/>
  <c r="A1425" i="3"/>
  <c r="AV1709" i="3"/>
  <c r="AV1735" i="3"/>
  <c r="A1454" i="3"/>
  <c r="AW1709" i="3"/>
  <c r="AW1735" i="3"/>
  <c r="A1483" i="3"/>
  <c r="AX1709" i="3"/>
  <c r="AX1735" i="3"/>
  <c r="A1512" i="3"/>
  <c r="AY1709" i="3"/>
  <c r="AY1735" i="3"/>
  <c r="A1541" i="3"/>
  <c r="AZ1709" i="3"/>
  <c r="AZ1735" i="3"/>
  <c r="A1570" i="3"/>
  <c r="BA1709" i="3"/>
  <c r="BA1735" i="3"/>
  <c r="A1599" i="3"/>
  <c r="BB1709" i="3"/>
  <c r="BB1735" i="3"/>
  <c r="A236" i="3"/>
  <c r="G1709" i="3"/>
  <c r="G1735" i="3"/>
  <c r="A265" i="3"/>
  <c r="H1709" i="3"/>
  <c r="H1735" i="3"/>
  <c r="A294" i="3"/>
  <c r="I1709" i="3"/>
  <c r="I1735" i="3"/>
  <c r="A323" i="3"/>
  <c r="J1709" i="3"/>
  <c r="J1735" i="3"/>
  <c r="A352" i="3"/>
  <c r="K1709" i="3"/>
  <c r="K1735" i="3"/>
  <c r="A381" i="3"/>
  <c r="L1709" i="3"/>
  <c r="L1735" i="3"/>
  <c r="A410" i="3"/>
  <c r="M1709" i="3"/>
  <c r="M1735" i="3"/>
  <c r="A439" i="3"/>
  <c r="N1709" i="3"/>
  <c r="N1735" i="3"/>
  <c r="BD1735" i="3"/>
  <c r="D1734" i="3"/>
  <c r="E1734" i="3"/>
  <c r="F1734" i="3"/>
  <c r="O1734" i="3"/>
  <c r="P1734" i="3"/>
  <c r="Q1734" i="3"/>
  <c r="R1734" i="3"/>
  <c r="S1734" i="3"/>
  <c r="T1734" i="3"/>
  <c r="U1734" i="3"/>
  <c r="V1734" i="3"/>
  <c r="W1734" i="3"/>
  <c r="X1734" i="3"/>
  <c r="Y1734" i="3"/>
  <c r="Z1734" i="3"/>
  <c r="AA1734" i="3"/>
  <c r="AB1734" i="3"/>
  <c r="AC1734" i="3"/>
  <c r="AD1734" i="3"/>
  <c r="AE1734" i="3"/>
  <c r="AF1734" i="3"/>
  <c r="AG1734" i="3"/>
  <c r="AH1734" i="3"/>
  <c r="AI1734" i="3"/>
  <c r="AJ1734" i="3"/>
  <c r="AK1734" i="3"/>
  <c r="AL1734" i="3"/>
  <c r="AM1734" i="3"/>
  <c r="AN1734" i="3"/>
  <c r="AO1734" i="3"/>
  <c r="AP1734" i="3"/>
  <c r="AQ1734" i="3"/>
  <c r="AR1734" i="3"/>
  <c r="AS1734" i="3"/>
  <c r="AT1734" i="3"/>
  <c r="AU1734" i="3"/>
  <c r="AV1734" i="3"/>
  <c r="AW1734" i="3"/>
  <c r="AX1734" i="3"/>
  <c r="AY1734" i="3"/>
  <c r="AZ1734" i="3"/>
  <c r="BA1734" i="3"/>
  <c r="BB1734" i="3"/>
  <c r="G1734" i="3"/>
  <c r="H1734" i="3"/>
  <c r="I1734" i="3"/>
  <c r="J1734" i="3"/>
  <c r="K1734" i="3"/>
  <c r="L1734" i="3"/>
  <c r="M1734" i="3"/>
  <c r="N1734" i="3"/>
  <c r="BD1734" i="3"/>
  <c r="D1733" i="3"/>
  <c r="E1733" i="3"/>
  <c r="F1733" i="3"/>
  <c r="O1733" i="3"/>
  <c r="P1733" i="3"/>
  <c r="Q1733" i="3"/>
  <c r="R1733" i="3"/>
  <c r="S1733" i="3"/>
  <c r="T1733" i="3"/>
  <c r="U1733" i="3"/>
  <c r="V1733" i="3"/>
  <c r="W1733" i="3"/>
  <c r="X1733" i="3"/>
  <c r="Y1733" i="3"/>
  <c r="Z1733" i="3"/>
  <c r="AA1733" i="3"/>
  <c r="AB1733" i="3"/>
  <c r="AC1733" i="3"/>
  <c r="AD1733" i="3"/>
  <c r="AE1733" i="3"/>
  <c r="AF1733" i="3"/>
  <c r="AG1733" i="3"/>
  <c r="AH1733" i="3"/>
  <c r="AI1733" i="3"/>
  <c r="AJ1733" i="3"/>
  <c r="AK1733" i="3"/>
  <c r="AL1733" i="3"/>
  <c r="AM1733" i="3"/>
  <c r="AN1733" i="3"/>
  <c r="AO1733" i="3"/>
  <c r="AP1733" i="3"/>
  <c r="AQ1733" i="3"/>
  <c r="AR1733" i="3"/>
  <c r="AS1733" i="3"/>
  <c r="AT1733" i="3"/>
  <c r="AU1733" i="3"/>
  <c r="AV1733" i="3"/>
  <c r="AW1733" i="3"/>
  <c r="AX1733" i="3"/>
  <c r="AY1733" i="3"/>
  <c r="AZ1733" i="3"/>
  <c r="BA1733" i="3"/>
  <c r="BB1733" i="3"/>
  <c r="G1733" i="3"/>
  <c r="H1733" i="3"/>
  <c r="I1733" i="3"/>
  <c r="J1733" i="3"/>
  <c r="K1733" i="3"/>
  <c r="L1733" i="3"/>
  <c r="M1733" i="3"/>
  <c r="N1733" i="3"/>
  <c r="BD1733" i="3"/>
  <c r="D1732" i="3"/>
  <c r="E1732" i="3"/>
  <c r="F1732" i="3"/>
  <c r="O1732" i="3"/>
  <c r="P1732" i="3"/>
  <c r="Q1732" i="3"/>
  <c r="R1732" i="3"/>
  <c r="S1732" i="3"/>
  <c r="T1732" i="3"/>
  <c r="U1732" i="3"/>
  <c r="V1710" i="3"/>
  <c r="V1732" i="3"/>
  <c r="W1710" i="3"/>
  <c r="W1732" i="3"/>
  <c r="X1732" i="3"/>
  <c r="Y1732" i="3"/>
  <c r="Z1732" i="3"/>
  <c r="AA1732" i="3"/>
  <c r="AB1732" i="3"/>
  <c r="AC1732" i="3"/>
  <c r="AD1732" i="3"/>
  <c r="AE1732" i="3"/>
  <c r="AF1732" i="3"/>
  <c r="AG1732" i="3"/>
  <c r="AH1732" i="3"/>
  <c r="AI1732" i="3"/>
  <c r="AJ1732" i="3"/>
  <c r="AK1732" i="3"/>
  <c r="AL1732" i="3"/>
  <c r="AM1732" i="3"/>
  <c r="AN1732" i="3"/>
  <c r="AO1732" i="3"/>
  <c r="AP1732" i="3"/>
  <c r="AQ1732" i="3"/>
  <c r="AR1732" i="3"/>
  <c r="AS1732" i="3"/>
  <c r="AT1732" i="3"/>
  <c r="AU1732" i="3"/>
  <c r="AV1732" i="3"/>
  <c r="AW1732" i="3"/>
  <c r="AX1732" i="3"/>
  <c r="AY1732" i="3"/>
  <c r="AZ1732" i="3"/>
  <c r="BA1732" i="3"/>
  <c r="BB1732" i="3"/>
  <c r="G1732" i="3"/>
  <c r="H1732" i="3"/>
  <c r="I1732" i="3"/>
  <c r="J1732" i="3"/>
  <c r="K1732" i="3"/>
  <c r="L1732" i="3"/>
  <c r="M1732" i="3"/>
  <c r="N1732" i="3"/>
  <c r="BD1732" i="3"/>
  <c r="D1731" i="3"/>
  <c r="E1731" i="3"/>
  <c r="F1731" i="3"/>
  <c r="O1731" i="3"/>
  <c r="P1731" i="3"/>
  <c r="Q1731" i="3"/>
  <c r="R1731" i="3"/>
  <c r="S1731" i="3"/>
  <c r="T1731" i="3"/>
  <c r="U1710" i="3"/>
  <c r="U1731" i="3"/>
  <c r="V1731" i="3"/>
  <c r="W1731" i="3"/>
  <c r="X1731" i="3"/>
  <c r="Y1731" i="3"/>
  <c r="Z1731" i="3"/>
  <c r="AA1731" i="3"/>
  <c r="AB1731" i="3"/>
  <c r="AC1731" i="3"/>
  <c r="AD1731" i="3"/>
  <c r="AE1731" i="3"/>
  <c r="AF1731" i="3"/>
  <c r="AG1731" i="3"/>
  <c r="AH1731" i="3"/>
  <c r="AI1731" i="3"/>
  <c r="AJ1731" i="3"/>
  <c r="AK1731" i="3"/>
  <c r="AL1731" i="3"/>
  <c r="AM1731" i="3"/>
  <c r="AN1731" i="3"/>
  <c r="AO1731" i="3"/>
  <c r="AP1731" i="3"/>
  <c r="AQ1731" i="3"/>
  <c r="AR1731" i="3"/>
  <c r="AS1731" i="3"/>
  <c r="AT1731" i="3"/>
  <c r="AU1731" i="3"/>
  <c r="AV1731" i="3"/>
  <c r="AW1731" i="3"/>
  <c r="AX1731" i="3"/>
  <c r="AY1731" i="3"/>
  <c r="AZ1731" i="3"/>
  <c r="BA1731" i="3"/>
  <c r="BB1731" i="3"/>
  <c r="G1731" i="3"/>
  <c r="H1731" i="3"/>
  <c r="I1731" i="3"/>
  <c r="J1731" i="3"/>
  <c r="K1731" i="3"/>
  <c r="L1731" i="3"/>
  <c r="M1731" i="3"/>
  <c r="N1731" i="3"/>
  <c r="BD1731" i="3"/>
  <c r="D1730" i="3"/>
  <c r="E1730" i="3"/>
  <c r="F1730" i="3"/>
  <c r="O1730" i="3"/>
  <c r="P1730" i="3"/>
  <c r="Q1730" i="3"/>
  <c r="R1730" i="3"/>
  <c r="S1730" i="3"/>
  <c r="T1730" i="3"/>
  <c r="U1730" i="3"/>
  <c r="V1730" i="3"/>
  <c r="W1730" i="3"/>
  <c r="X1730" i="3"/>
  <c r="Y1730" i="3"/>
  <c r="Z1730" i="3"/>
  <c r="AA1730" i="3"/>
  <c r="AB1730" i="3"/>
  <c r="AC1730" i="3"/>
  <c r="AD1730" i="3"/>
  <c r="AE1730" i="3"/>
  <c r="AF1730" i="3"/>
  <c r="AG1730" i="3"/>
  <c r="AH1730" i="3"/>
  <c r="AI1730" i="3"/>
  <c r="AJ1730" i="3"/>
  <c r="AK1730" i="3"/>
  <c r="AL1730" i="3"/>
  <c r="AM1730" i="3"/>
  <c r="AN1730" i="3"/>
  <c r="AO1730" i="3"/>
  <c r="AP1730" i="3"/>
  <c r="AQ1730" i="3"/>
  <c r="AR1730" i="3"/>
  <c r="AS1730" i="3"/>
  <c r="AT1730" i="3"/>
  <c r="AU1730" i="3"/>
  <c r="AV1730" i="3"/>
  <c r="AW1730" i="3"/>
  <c r="AX1730" i="3"/>
  <c r="AY1730" i="3"/>
  <c r="AZ1730" i="3"/>
  <c r="BA1730" i="3"/>
  <c r="BB1730" i="3"/>
  <c r="G1730" i="3"/>
  <c r="H1730" i="3"/>
  <c r="I1730" i="3"/>
  <c r="J1730" i="3"/>
  <c r="K1730" i="3"/>
  <c r="L1730" i="3"/>
  <c r="M1730" i="3"/>
  <c r="N1730" i="3"/>
  <c r="BD1730" i="3"/>
  <c r="D1729" i="3"/>
  <c r="E1729" i="3"/>
  <c r="F1729" i="3"/>
  <c r="O1729" i="3"/>
  <c r="P1729" i="3"/>
  <c r="Q1729" i="3"/>
  <c r="R1729" i="3"/>
  <c r="S1729" i="3"/>
  <c r="T1729" i="3"/>
  <c r="U1729" i="3"/>
  <c r="V1729" i="3"/>
  <c r="W1729" i="3"/>
  <c r="X1729" i="3"/>
  <c r="Y1729" i="3"/>
  <c r="Z1729" i="3"/>
  <c r="AA1729" i="3"/>
  <c r="AB1729" i="3"/>
  <c r="AC1729" i="3"/>
  <c r="AD1729" i="3"/>
  <c r="AE1729" i="3"/>
  <c r="AF1729" i="3"/>
  <c r="AG1729" i="3"/>
  <c r="AH1729" i="3"/>
  <c r="AI1729" i="3"/>
  <c r="AJ1729" i="3"/>
  <c r="AK1729" i="3"/>
  <c r="AL1729" i="3"/>
  <c r="AM1729" i="3"/>
  <c r="AN1729" i="3"/>
  <c r="AO1729" i="3"/>
  <c r="AP1729" i="3"/>
  <c r="AQ1729" i="3"/>
  <c r="AR1729" i="3"/>
  <c r="AS1729" i="3"/>
  <c r="AT1729" i="3"/>
  <c r="AU1729" i="3"/>
  <c r="AV1729" i="3"/>
  <c r="AW1729" i="3"/>
  <c r="AX1729" i="3"/>
  <c r="AY1729" i="3"/>
  <c r="AZ1729" i="3"/>
  <c r="BA1729" i="3"/>
  <c r="BB1729" i="3"/>
  <c r="G1729" i="3"/>
  <c r="H1729" i="3"/>
  <c r="I1729" i="3"/>
  <c r="J1729" i="3"/>
  <c r="K1729" i="3"/>
  <c r="L1729" i="3"/>
  <c r="M1729" i="3"/>
  <c r="N1729" i="3"/>
  <c r="BD1729" i="3"/>
  <c r="D1728" i="3"/>
  <c r="E1728" i="3"/>
  <c r="F1728" i="3"/>
  <c r="O1728" i="3"/>
  <c r="P1710" i="3"/>
  <c r="P1728" i="3"/>
  <c r="Q1710" i="3"/>
  <c r="Q1728" i="3"/>
  <c r="R1710" i="3"/>
  <c r="R1728" i="3"/>
  <c r="S1710" i="3"/>
  <c r="S1728" i="3"/>
  <c r="T1710" i="3"/>
  <c r="T1728" i="3"/>
  <c r="U1728" i="3"/>
  <c r="V1728" i="3"/>
  <c r="W1728" i="3"/>
  <c r="X1728" i="3"/>
  <c r="Y1728" i="3"/>
  <c r="Z1728" i="3"/>
  <c r="AA1728" i="3"/>
  <c r="AB1728" i="3"/>
  <c r="AC1728" i="3"/>
  <c r="AD1728" i="3"/>
  <c r="AE1728" i="3"/>
  <c r="AF1728" i="3"/>
  <c r="AG1728" i="3"/>
  <c r="AH1728" i="3"/>
  <c r="AI1728" i="3"/>
  <c r="AJ1728" i="3"/>
  <c r="AK1728" i="3"/>
  <c r="AL1728" i="3"/>
  <c r="AM1728" i="3"/>
  <c r="AN1728" i="3"/>
  <c r="AO1728" i="3"/>
  <c r="AP1728" i="3"/>
  <c r="AQ1728" i="3"/>
  <c r="AR1728" i="3"/>
  <c r="AS1728" i="3"/>
  <c r="AT1728" i="3"/>
  <c r="AU1728" i="3"/>
  <c r="AV1728" i="3"/>
  <c r="AW1728" i="3"/>
  <c r="AX1728" i="3"/>
  <c r="AY1728" i="3"/>
  <c r="AZ1728" i="3"/>
  <c r="BA1728" i="3"/>
  <c r="BB1728" i="3"/>
  <c r="G1728" i="3"/>
  <c r="H1728" i="3"/>
  <c r="I1728" i="3"/>
  <c r="J1728" i="3"/>
  <c r="K1728" i="3"/>
  <c r="L1728" i="3"/>
  <c r="M1728" i="3"/>
  <c r="N1728" i="3"/>
  <c r="BD1728" i="3"/>
  <c r="D1727" i="3"/>
  <c r="E1727" i="3"/>
  <c r="F1727" i="3"/>
  <c r="O1710" i="3"/>
  <c r="O1727" i="3"/>
  <c r="P1727" i="3"/>
  <c r="Q1727" i="3"/>
  <c r="R1727" i="3"/>
  <c r="S1727" i="3"/>
  <c r="T1727" i="3"/>
  <c r="U1727" i="3"/>
  <c r="V1727" i="3"/>
  <c r="W1727" i="3"/>
  <c r="X1727" i="3"/>
  <c r="Y1727" i="3"/>
  <c r="Z1727" i="3"/>
  <c r="AA1727" i="3"/>
  <c r="AB1727" i="3"/>
  <c r="AC1727" i="3"/>
  <c r="AD1727" i="3"/>
  <c r="AE1727" i="3"/>
  <c r="AF1727" i="3"/>
  <c r="AG1727" i="3"/>
  <c r="AH1727" i="3"/>
  <c r="AI1727" i="3"/>
  <c r="AJ1727" i="3"/>
  <c r="AK1727" i="3"/>
  <c r="AL1727" i="3"/>
  <c r="AM1727" i="3"/>
  <c r="AN1727" i="3"/>
  <c r="AO1727" i="3"/>
  <c r="AP1727" i="3"/>
  <c r="AQ1727" i="3"/>
  <c r="AR1727" i="3"/>
  <c r="AS1727" i="3"/>
  <c r="AT1727" i="3"/>
  <c r="AU1727" i="3"/>
  <c r="AV1727" i="3"/>
  <c r="AW1727" i="3"/>
  <c r="AX1727" i="3"/>
  <c r="AY1727" i="3"/>
  <c r="AZ1727" i="3"/>
  <c r="BA1727" i="3"/>
  <c r="BB1727" i="3"/>
  <c r="G1727" i="3"/>
  <c r="H1727" i="3"/>
  <c r="I1727" i="3"/>
  <c r="J1727" i="3"/>
  <c r="K1727" i="3"/>
  <c r="L1727" i="3"/>
  <c r="M1727" i="3"/>
  <c r="N1727" i="3"/>
  <c r="BD1727" i="3"/>
  <c r="D1726" i="3"/>
  <c r="E1726" i="3"/>
  <c r="F1726" i="3"/>
  <c r="O1726" i="3"/>
  <c r="P1726" i="3"/>
  <c r="Q1726" i="3"/>
  <c r="R1726" i="3"/>
  <c r="S1726" i="3"/>
  <c r="T1726" i="3"/>
  <c r="U1726" i="3"/>
  <c r="V1726" i="3"/>
  <c r="W1726" i="3"/>
  <c r="X1726" i="3"/>
  <c r="Y1726" i="3"/>
  <c r="Z1726" i="3"/>
  <c r="AA1726" i="3"/>
  <c r="AB1726" i="3"/>
  <c r="AC1726" i="3"/>
  <c r="AD1726" i="3"/>
  <c r="AE1726" i="3"/>
  <c r="AF1726" i="3"/>
  <c r="AG1726" i="3"/>
  <c r="AH1726" i="3"/>
  <c r="AI1726" i="3"/>
  <c r="AJ1726" i="3"/>
  <c r="AK1726" i="3"/>
  <c r="AL1726" i="3"/>
  <c r="AM1726" i="3"/>
  <c r="AN1726" i="3"/>
  <c r="AO1726" i="3"/>
  <c r="AP1726" i="3"/>
  <c r="AQ1726" i="3"/>
  <c r="AR1726" i="3"/>
  <c r="AS1726" i="3"/>
  <c r="AT1726" i="3"/>
  <c r="AU1726" i="3"/>
  <c r="AV1726" i="3"/>
  <c r="AW1726" i="3"/>
  <c r="AX1726" i="3"/>
  <c r="AY1726" i="3"/>
  <c r="AZ1726" i="3"/>
  <c r="BA1726" i="3"/>
  <c r="BB1726" i="3"/>
  <c r="G1726" i="3"/>
  <c r="H1726" i="3"/>
  <c r="I1726" i="3"/>
  <c r="J1726" i="3"/>
  <c r="K1726" i="3"/>
  <c r="L1726" i="3"/>
  <c r="M1726" i="3"/>
  <c r="N1710" i="3"/>
  <c r="N1726" i="3"/>
  <c r="BD1726" i="3"/>
  <c r="D1725" i="3"/>
  <c r="E1725" i="3"/>
  <c r="F1725" i="3"/>
  <c r="O1725" i="3"/>
  <c r="P1725" i="3"/>
  <c r="Q1725" i="3"/>
  <c r="R1725" i="3"/>
  <c r="S1725" i="3"/>
  <c r="T1725" i="3"/>
  <c r="U1725" i="3"/>
  <c r="V1725" i="3"/>
  <c r="W1725" i="3"/>
  <c r="X1725" i="3"/>
  <c r="Y1725" i="3"/>
  <c r="Z1725" i="3"/>
  <c r="AA1725" i="3"/>
  <c r="AB1725" i="3"/>
  <c r="AC1725" i="3"/>
  <c r="AD1725" i="3"/>
  <c r="AE1725" i="3"/>
  <c r="AF1725" i="3"/>
  <c r="AG1725" i="3"/>
  <c r="AH1725" i="3"/>
  <c r="AI1725" i="3"/>
  <c r="AJ1725" i="3"/>
  <c r="AK1725" i="3"/>
  <c r="AL1725" i="3"/>
  <c r="AM1725" i="3"/>
  <c r="AN1725" i="3"/>
  <c r="AO1725" i="3"/>
  <c r="AP1725" i="3"/>
  <c r="AQ1725" i="3"/>
  <c r="AR1725" i="3"/>
  <c r="AS1725" i="3"/>
  <c r="AT1725" i="3"/>
  <c r="AU1725" i="3"/>
  <c r="AV1725" i="3"/>
  <c r="AW1725" i="3"/>
  <c r="AX1725" i="3"/>
  <c r="AY1725" i="3"/>
  <c r="AZ1725" i="3"/>
  <c r="BA1725" i="3"/>
  <c r="BB1725" i="3"/>
  <c r="G1725" i="3"/>
  <c r="H1725" i="3"/>
  <c r="I1725" i="3"/>
  <c r="J1725" i="3"/>
  <c r="K1725" i="3"/>
  <c r="L1725" i="3"/>
  <c r="M1725" i="3"/>
  <c r="N1725" i="3"/>
  <c r="BD1725" i="3"/>
  <c r="D1724" i="3"/>
  <c r="E1724" i="3"/>
  <c r="F1724" i="3"/>
  <c r="O1724" i="3"/>
  <c r="P1724" i="3"/>
  <c r="Q1724" i="3"/>
  <c r="R1724" i="3"/>
  <c r="S1724" i="3"/>
  <c r="T1724" i="3"/>
  <c r="U1724" i="3"/>
  <c r="V1724" i="3"/>
  <c r="W1724" i="3"/>
  <c r="X1724" i="3"/>
  <c r="Y1724" i="3"/>
  <c r="Z1724" i="3"/>
  <c r="AA1724" i="3"/>
  <c r="AB1724" i="3"/>
  <c r="AC1724" i="3"/>
  <c r="AD1724" i="3"/>
  <c r="AE1724" i="3"/>
  <c r="AF1724" i="3"/>
  <c r="AG1724" i="3"/>
  <c r="AH1724" i="3"/>
  <c r="AI1724" i="3"/>
  <c r="AJ1724" i="3"/>
  <c r="AK1724" i="3"/>
  <c r="AL1724" i="3"/>
  <c r="AM1724" i="3"/>
  <c r="AN1724" i="3"/>
  <c r="AO1724" i="3"/>
  <c r="AP1724" i="3"/>
  <c r="AQ1724" i="3"/>
  <c r="AR1724" i="3"/>
  <c r="AS1724" i="3"/>
  <c r="AT1724" i="3"/>
  <c r="AU1724" i="3"/>
  <c r="AV1724" i="3"/>
  <c r="AW1724" i="3"/>
  <c r="AX1724" i="3"/>
  <c r="AY1724" i="3"/>
  <c r="AZ1724" i="3"/>
  <c r="BA1724" i="3"/>
  <c r="BB1724" i="3"/>
  <c r="G1724" i="3"/>
  <c r="H1724" i="3"/>
  <c r="I1724" i="3"/>
  <c r="J1724" i="3"/>
  <c r="K1724" i="3"/>
  <c r="L1724" i="3"/>
  <c r="M1724" i="3"/>
  <c r="N1724" i="3"/>
  <c r="BD1724" i="3"/>
  <c r="D1723" i="3"/>
  <c r="E1723" i="3"/>
  <c r="F1723" i="3"/>
  <c r="O1723" i="3"/>
  <c r="P1723" i="3"/>
  <c r="Q1723" i="3"/>
  <c r="R1723" i="3"/>
  <c r="S1723" i="3"/>
  <c r="T1723" i="3"/>
  <c r="U1723" i="3"/>
  <c r="V1723" i="3"/>
  <c r="W1723" i="3"/>
  <c r="X1723" i="3"/>
  <c r="Y1723" i="3"/>
  <c r="Z1723" i="3"/>
  <c r="AA1723" i="3"/>
  <c r="AB1723" i="3"/>
  <c r="AC1723" i="3"/>
  <c r="AD1723" i="3"/>
  <c r="AE1723" i="3"/>
  <c r="AF1723" i="3"/>
  <c r="AG1723" i="3"/>
  <c r="AH1723" i="3"/>
  <c r="AI1723" i="3"/>
  <c r="AJ1723" i="3"/>
  <c r="AK1723" i="3"/>
  <c r="AL1723" i="3"/>
  <c r="AM1723" i="3"/>
  <c r="AN1723" i="3"/>
  <c r="AO1723" i="3"/>
  <c r="AP1723" i="3"/>
  <c r="AQ1723" i="3"/>
  <c r="AR1723" i="3"/>
  <c r="AS1723" i="3"/>
  <c r="AT1723" i="3"/>
  <c r="AU1723" i="3"/>
  <c r="AV1723" i="3"/>
  <c r="AW1723" i="3"/>
  <c r="AX1723" i="3"/>
  <c r="AY1723" i="3"/>
  <c r="AZ1723" i="3"/>
  <c r="BA1723" i="3"/>
  <c r="BB1723" i="3"/>
  <c r="G1723" i="3"/>
  <c r="H1723" i="3"/>
  <c r="I1723" i="3"/>
  <c r="J1723" i="3"/>
  <c r="K1723" i="3"/>
  <c r="L1723" i="3"/>
  <c r="M1723" i="3"/>
  <c r="N1723" i="3"/>
  <c r="BD1723" i="3"/>
  <c r="D1722" i="3"/>
  <c r="E1722" i="3"/>
  <c r="F1722" i="3"/>
  <c r="O1722" i="3"/>
  <c r="P1722" i="3"/>
  <c r="Q1722" i="3"/>
  <c r="R1722" i="3"/>
  <c r="S1722" i="3"/>
  <c r="T1722" i="3"/>
  <c r="U1722" i="3"/>
  <c r="V1722" i="3"/>
  <c r="W1722" i="3"/>
  <c r="X1722" i="3"/>
  <c r="Y1722" i="3"/>
  <c r="Z1722" i="3"/>
  <c r="AA1722" i="3"/>
  <c r="AB1722" i="3"/>
  <c r="AC1722" i="3"/>
  <c r="AD1722" i="3"/>
  <c r="AE1722" i="3"/>
  <c r="AF1722" i="3"/>
  <c r="AG1722" i="3"/>
  <c r="AH1722" i="3"/>
  <c r="AI1722" i="3"/>
  <c r="AJ1722" i="3"/>
  <c r="AK1722" i="3"/>
  <c r="AL1722" i="3"/>
  <c r="AM1722" i="3"/>
  <c r="AN1722" i="3"/>
  <c r="AO1722" i="3"/>
  <c r="AP1722" i="3"/>
  <c r="AQ1722" i="3"/>
  <c r="AR1722" i="3"/>
  <c r="AS1722" i="3"/>
  <c r="AT1722" i="3"/>
  <c r="AU1722" i="3"/>
  <c r="AV1722" i="3"/>
  <c r="AW1722" i="3"/>
  <c r="AX1722" i="3"/>
  <c r="AY1722" i="3"/>
  <c r="AZ1722" i="3"/>
  <c r="BA1722" i="3"/>
  <c r="BB1722" i="3"/>
  <c r="G1722" i="3"/>
  <c r="H1722" i="3"/>
  <c r="I1722" i="3"/>
  <c r="J1722" i="3"/>
  <c r="K1722" i="3"/>
  <c r="L1722" i="3"/>
  <c r="M1710" i="3"/>
  <c r="M1722" i="3"/>
  <c r="N1722" i="3"/>
  <c r="BD1722" i="3"/>
  <c r="D1721" i="3"/>
  <c r="E1721" i="3"/>
  <c r="F1721" i="3"/>
  <c r="O1721" i="3"/>
  <c r="P1721" i="3"/>
  <c r="Q1721" i="3"/>
  <c r="R1721" i="3"/>
  <c r="S1721" i="3"/>
  <c r="T1721" i="3"/>
  <c r="U1721" i="3"/>
  <c r="V1721" i="3"/>
  <c r="W1721" i="3"/>
  <c r="X1721" i="3"/>
  <c r="Y1721" i="3"/>
  <c r="Z1721" i="3"/>
  <c r="AA1721" i="3"/>
  <c r="AB1721" i="3"/>
  <c r="AC1721" i="3"/>
  <c r="AD1721" i="3"/>
  <c r="AE1721" i="3"/>
  <c r="AF1721" i="3"/>
  <c r="AG1721" i="3"/>
  <c r="AH1721" i="3"/>
  <c r="AI1721" i="3"/>
  <c r="AJ1721" i="3"/>
  <c r="AK1721" i="3"/>
  <c r="AL1721" i="3"/>
  <c r="AM1721" i="3"/>
  <c r="AN1721" i="3"/>
  <c r="AO1721" i="3"/>
  <c r="AP1721" i="3"/>
  <c r="AQ1721" i="3"/>
  <c r="AR1721" i="3"/>
  <c r="AS1721" i="3"/>
  <c r="AT1721" i="3"/>
  <c r="AU1721" i="3"/>
  <c r="AV1721" i="3"/>
  <c r="AW1721" i="3"/>
  <c r="AX1721" i="3"/>
  <c r="AY1721" i="3"/>
  <c r="AZ1721" i="3"/>
  <c r="BA1721" i="3"/>
  <c r="BB1721" i="3"/>
  <c r="G1721" i="3"/>
  <c r="H1721" i="3"/>
  <c r="I1721" i="3"/>
  <c r="J1721" i="3"/>
  <c r="K1721" i="3"/>
  <c r="L1710" i="3"/>
  <c r="L1721" i="3"/>
  <c r="M1721" i="3"/>
  <c r="N1721" i="3"/>
  <c r="BD1721" i="3"/>
  <c r="D1720" i="3"/>
  <c r="E1720" i="3"/>
  <c r="F1720" i="3"/>
  <c r="O1720" i="3"/>
  <c r="P1720" i="3"/>
  <c r="Q1720" i="3"/>
  <c r="R1720" i="3"/>
  <c r="S1720" i="3"/>
  <c r="T1720" i="3"/>
  <c r="U1720" i="3"/>
  <c r="V1720" i="3"/>
  <c r="W1720" i="3"/>
  <c r="X1720" i="3"/>
  <c r="Y1720" i="3"/>
  <c r="Z1720" i="3"/>
  <c r="AA1720" i="3"/>
  <c r="AB1720" i="3"/>
  <c r="AC1720" i="3"/>
  <c r="AD1720" i="3"/>
  <c r="AE1720" i="3"/>
  <c r="AF1720" i="3"/>
  <c r="AG1720" i="3"/>
  <c r="AH1720" i="3"/>
  <c r="AI1720" i="3"/>
  <c r="AJ1720" i="3"/>
  <c r="AK1720" i="3"/>
  <c r="AL1720" i="3"/>
  <c r="AM1720" i="3"/>
  <c r="AN1720" i="3"/>
  <c r="AO1720" i="3"/>
  <c r="AP1720" i="3"/>
  <c r="AQ1720" i="3"/>
  <c r="AR1720" i="3"/>
  <c r="AS1720" i="3"/>
  <c r="AT1720" i="3"/>
  <c r="AU1720" i="3"/>
  <c r="AV1720" i="3"/>
  <c r="AW1720" i="3"/>
  <c r="AX1720" i="3"/>
  <c r="AY1720" i="3"/>
  <c r="AZ1720" i="3"/>
  <c r="BA1720" i="3"/>
  <c r="BB1720" i="3"/>
  <c r="G1720" i="3"/>
  <c r="H1720" i="3"/>
  <c r="I1720" i="3"/>
  <c r="J1720" i="3"/>
  <c r="K1720" i="3"/>
  <c r="L1720" i="3"/>
  <c r="M1720" i="3"/>
  <c r="N1720" i="3"/>
  <c r="BD1720" i="3"/>
  <c r="D1719" i="3"/>
  <c r="E1719" i="3"/>
  <c r="F1719" i="3"/>
  <c r="O1719" i="3"/>
  <c r="P1719" i="3"/>
  <c r="Q1719" i="3"/>
  <c r="R1719" i="3"/>
  <c r="S1719" i="3"/>
  <c r="T1719" i="3"/>
  <c r="U1719" i="3"/>
  <c r="V1719" i="3"/>
  <c r="W1719" i="3"/>
  <c r="X1719" i="3"/>
  <c r="Y1719" i="3"/>
  <c r="Z1719" i="3"/>
  <c r="AA1719" i="3"/>
  <c r="AB1719" i="3"/>
  <c r="AC1719" i="3"/>
  <c r="AD1719" i="3"/>
  <c r="AE1719" i="3"/>
  <c r="AF1719" i="3"/>
  <c r="AG1719" i="3"/>
  <c r="AH1719" i="3"/>
  <c r="AI1719" i="3"/>
  <c r="AJ1719" i="3"/>
  <c r="AK1719" i="3"/>
  <c r="AL1719" i="3"/>
  <c r="AM1719" i="3"/>
  <c r="AN1719" i="3"/>
  <c r="AO1719" i="3"/>
  <c r="AP1719" i="3"/>
  <c r="AQ1719" i="3"/>
  <c r="AR1719" i="3"/>
  <c r="AS1719" i="3"/>
  <c r="AT1719" i="3"/>
  <c r="AU1719" i="3"/>
  <c r="AV1719" i="3"/>
  <c r="AW1719" i="3"/>
  <c r="AX1719" i="3"/>
  <c r="AY1719" i="3"/>
  <c r="AZ1719" i="3"/>
  <c r="BA1719" i="3"/>
  <c r="BB1719" i="3"/>
  <c r="G1719" i="3"/>
  <c r="H1719" i="3"/>
  <c r="I1719" i="3"/>
  <c r="J1719" i="3"/>
  <c r="K1719" i="3"/>
  <c r="L1719" i="3"/>
  <c r="M1719" i="3"/>
  <c r="N1719" i="3"/>
  <c r="BD1719" i="3"/>
  <c r="D1718" i="3"/>
  <c r="E1718" i="3"/>
  <c r="F1718" i="3"/>
  <c r="O1718" i="3"/>
  <c r="P1718" i="3"/>
  <c r="Q1718" i="3"/>
  <c r="R1718" i="3"/>
  <c r="S1718" i="3"/>
  <c r="T1718" i="3"/>
  <c r="U1718" i="3"/>
  <c r="V1718" i="3"/>
  <c r="W1718" i="3"/>
  <c r="X1718" i="3"/>
  <c r="Y1718" i="3"/>
  <c r="Z1718" i="3"/>
  <c r="AA1718" i="3"/>
  <c r="AB1718" i="3"/>
  <c r="AC1718" i="3"/>
  <c r="AD1718" i="3"/>
  <c r="AE1718" i="3"/>
  <c r="AF1718" i="3"/>
  <c r="AG1718" i="3"/>
  <c r="AH1718" i="3"/>
  <c r="AI1718" i="3"/>
  <c r="AJ1718" i="3"/>
  <c r="AK1718" i="3"/>
  <c r="AL1718" i="3"/>
  <c r="AM1718" i="3"/>
  <c r="AN1718" i="3"/>
  <c r="AO1718" i="3"/>
  <c r="AP1718" i="3"/>
  <c r="AQ1718" i="3"/>
  <c r="AR1718" i="3"/>
  <c r="AS1718" i="3"/>
  <c r="AT1718" i="3"/>
  <c r="AU1718" i="3"/>
  <c r="AV1718" i="3"/>
  <c r="AW1718" i="3"/>
  <c r="AX1718" i="3"/>
  <c r="AY1718" i="3"/>
  <c r="AZ1718" i="3"/>
  <c r="BA1718" i="3"/>
  <c r="BB1718" i="3"/>
  <c r="G1718" i="3"/>
  <c r="H1718" i="3"/>
  <c r="I1718" i="3"/>
  <c r="J1718" i="3"/>
  <c r="K1718" i="3"/>
  <c r="L1718" i="3"/>
  <c r="M1718" i="3"/>
  <c r="N1718" i="3"/>
  <c r="BD1718" i="3"/>
  <c r="D1717" i="3"/>
  <c r="E1717" i="3"/>
  <c r="F1717" i="3"/>
  <c r="O1717" i="3"/>
  <c r="P1717" i="3"/>
  <c r="Q1717" i="3"/>
  <c r="R1717" i="3"/>
  <c r="S1717" i="3"/>
  <c r="T1717" i="3"/>
  <c r="U1717" i="3"/>
  <c r="V1717" i="3"/>
  <c r="W1717" i="3"/>
  <c r="X1717" i="3"/>
  <c r="Y1717" i="3"/>
  <c r="Z1717" i="3"/>
  <c r="AA1717" i="3"/>
  <c r="AB1717" i="3"/>
  <c r="AC1717" i="3"/>
  <c r="AD1717" i="3"/>
  <c r="AE1717" i="3"/>
  <c r="AF1717" i="3"/>
  <c r="AG1717" i="3"/>
  <c r="AH1717" i="3"/>
  <c r="AI1717" i="3"/>
  <c r="AJ1717" i="3"/>
  <c r="AK1717" i="3"/>
  <c r="AL1717" i="3"/>
  <c r="AM1717" i="3"/>
  <c r="AN1717" i="3"/>
  <c r="AO1717" i="3"/>
  <c r="AP1717" i="3"/>
  <c r="AQ1717" i="3"/>
  <c r="AR1717" i="3"/>
  <c r="AS1717" i="3"/>
  <c r="AT1717" i="3"/>
  <c r="AU1717" i="3"/>
  <c r="AV1717" i="3"/>
  <c r="AW1717" i="3"/>
  <c r="AX1717" i="3"/>
  <c r="AY1717" i="3"/>
  <c r="AZ1717" i="3"/>
  <c r="BA1717" i="3"/>
  <c r="BB1717" i="3"/>
  <c r="G1717" i="3"/>
  <c r="H1717" i="3"/>
  <c r="I1717" i="3"/>
  <c r="J1717" i="3"/>
  <c r="K1710" i="3"/>
  <c r="K1717" i="3"/>
  <c r="L1717" i="3"/>
  <c r="M1717" i="3"/>
  <c r="N1717" i="3"/>
  <c r="BD1717" i="3"/>
  <c r="D1716" i="3"/>
  <c r="E1716" i="3"/>
  <c r="F1716" i="3"/>
  <c r="O1716" i="3"/>
  <c r="P1716" i="3"/>
  <c r="Q1716" i="3"/>
  <c r="R1716" i="3"/>
  <c r="S1716" i="3"/>
  <c r="T1716" i="3"/>
  <c r="U1716" i="3"/>
  <c r="V1716" i="3"/>
  <c r="W1716" i="3"/>
  <c r="X1716" i="3"/>
  <c r="Y1716" i="3"/>
  <c r="Z1716" i="3"/>
  <c r="AA1716" i="3"/>
  <c r="AB1716" i="3"/>
  <c r="AC1716" i="3"/>
  <c r="AD1716" i="3"/>
  <c r="AE1716" i="3"/>
  <c r="AF1716" i="3"/>
  <c r="AG1716" i="3"/>
  <c r="AH1716" i="3"/>
  <c r="AI1716" i="3"/>
  <c r="AJ1716" i="3"/>
  <c r="AK1716" i="3"/>
  <c r="AL1716" i="3"/>
  <c r="AM1716" i="3"/>
  <c r="AN1716" i="3"/>
  <c r="AO1716" i="3"/>
  <c r="AP1716" i="3"/>
  <c r="AQ1716" i="3"/>
  <c r="AR1716" i="3"/>
  <c r="AS1716" i="3"/>
  <c r="AT1716" i="3"/>
  <c r="AU1716" i="3"/>
  <c r="AV1716" i="3"/>
  <c r="AW1716" i="3"/>
  <c r="AX1716" i="3"/>
  <c r="AY1716" i="3"/>
  <c r="AZ1716" i="3"/>
  <c r="BA1716" i="3"/>
  <c r="BB1716" i="3"/>
  <c r="G1716" i="3"/>
  <c r="H1716" i="3"/>
  <c r="I1716" i="3"/>
  <c r="J1710" i="3"/>
  <c r="J1716" i="3"/>
  <c r="K1716" i="3"/>
  <c r="L1716" i="3"/>
  <c r="M1716" i="3"/>
  <c r="N1716" i="3"/>
  <c r="BD1716" i="3"/>
  <c r="D1715" i="3"/>
  <c r="E1715" i="3"/>
  <c r="F1715" i="3"/>
  <c r="O1715" i="3"/>
  <c r="P1715" i="3"/>
  <c r="Q1715" i="3"/>
  <c r="R1715" i="3"/>
  <c r="S1715" i="3"/>
  <c r="T1715" i="3"/>
  <c r="U1715" i="3"/>
  <c r="V1715" i="3"/>
  <c r="W1715" i="3"/>
  <c r="X1715" i="3"/>
  <c r="Y1715" i="3"/>
  <c r="Z1715" i="3"/>
  <c r="AA1715" i="3"/>
  <c r="AB1715" i="3"/>
  <c r="AC1715" i="3"/>
  <c r="AD1715" i="3"/>
  <c r="AE1715" i="3"/>
  <c r="AF1715" i="3"/>
  <c r="AG1715" i="3"/>
  <c r="AH1715" i="3"/>
  <c r="AI1715" i="3"/>
  <c r="AJ1715" i="3"/>
  <c r="AK1715" i="3"/>
  <c r="AL1715" i="3"/>
  <c r="AM1715" i="3"/>
  <c r="AN1715" i="3"/>
  <c r="AO1715" i="3"/>
  <c r="AP1715" i="3"/>
  <c r="AQ1715" i="3"/>
  <c r="AR1715" i="3"/>
  <c r="AS1715" i="3"/>
  <c r="AT1715" i="3"/>
  <c r="AU1715" i="3"/>
  <c r="AV1715" i="3"/>
  <c r="AW1715" i="3"/>
  <c r="AX1715" i="3"/>
  <c r="AY1715" i="3"/>
  <c r="AZ1715" i="3"/>
  <c r="BA1715" i="3"/>
  <c r="BB1715" i="3"/>
  <c r="G1715" i="3"/>
  <c r="H1715" i="3"/>
  <c r="I1710" i="3"/>
  <c r="I1715" i="3"/>
  <c r="J1715" i="3"/>
  <c r="K1715" i="3"/>
  <c r="L1715" i="3"/>
  <c r="M1715" i="3"/>
  <c r="N1715" i="3"/>
  <c r="BD1715" i="3"/>
  <c r="E1710" i="3"/>
  <c r="D1714" i="3"/>
  <c r="E1714" i="3"/>
  <c r="F1714" i="3"/>
  <c r="O1714" i="3"/>
  <c r="P1714" i="3"/>
  <c r="Q1714" i="3"/>
  <c r="R1714" i="3"/>
  <c r="S1714" i="3"/>
  <c r="T1714" i="3"/>
  <c r="U1714" i="3"/>
  <c r="V1714" i="3"/>
  <c r="W1714" i="3"/>
  <c r="X1714" i="3"/>
  <c r="Y1714" i="3"/>
  <c r="Z1714" i="3"/>
  <c r="AA1714" i="3"/>
  <c r="AB1714" i="3"/>
  <c r="AC1714" i="3"/>
  <c r="AD1714" i="3"/>
  <c r="AE1714" i="3"/>
  <c r="AF1714" i="3"/>
  <c r="AG1714" i="3"/>
  <c r="AH1714" i="3"/>
  <c r="AI1714" i="3"/>
  <c r="AJ1714" i="3"/>
  <c r="AK1714" i="3"/>
  <c r="AL1714" i="3"/>
  <c r="AM1714" i="3"/>
  <c r="AN1714" i="3"/>
  <c r="AO1714" i="3"/>
  <c r="AP1714" i="3"/>
  <c r="AQ1714" i="3"/>
  <c r="AR1714" i="3"/>
  <c r="AS1714" i="3"/>
  <c r="AT1714" i="3"/>
  <c r="AU1714" i="3"/>
  <c r="AV1714" i="3"/>
  <c r="AW1714" i="3"/>
  <c r="AX1714" i="3"/>
  <c r="AY1714" i="3"/>
  <c r="AZ1714" i="3"/>
  <c r="BA1714" i="3"/>
  <c r="BB1714" i="3"/>
  <c r="G1714" i="3"/>
  <c r="H1710" i="3"/>
  <c r="H1714" i="3"/>
  <c r="I1714" i="3"/>
  <c r="J1714" i="3"/>
  <c r="K1714" i="3"/>
  <c r="L1714" i="3"/>
  <c r="M1714" i="3"/>
  <c r="N1714" i="3"/>
  <c r="BD1714" i="3"/>
  <c r="D1713" i="3"/>
  <c r="E1713" i="3"/>
  <c r="F1713" i="3"/>
  <c r="O1713" i="3"/>
  <c r="P1713" i="3"/>
  <c r="Q1713" i="3"/>
  <c r="R1713" i="3"/>
  <c r="S1713" i="3"/>
  <c r="T1713" i="3"/>
  <c r="U1713" i="3"/>
  <c r="V1713" i="3"/>
  <c r="W1713" i="3"/>
  <c r="X1713" i="3"/>
  <c r="Y1713" i="3"/>
  <c r="Z1713" i="3"/>
  <c r="AA1713" i="3"/>
  <c r="AB1713" i="3"/>
  <c r="AC1713" i="3"/>
  <c r="AD1713" i="3"/>
  <c r="AE1713" i="3"/>
  <c r="AF1713" i="3"/>
  <c r="AG1713" i="3"/>
  <c r="AH1713" i="3"/>
  <c r="AI1713" i="3"/>
  <c r="AJ1713" i="3"/>
  <c r="AK1713" i="3"/>
  <c r="AL1713" i="3"/>
  <c r="AM1713" i="3"/>
  <c r="AN1713" i="3"/>
  <c r="AO1713" i="3"/>
  <c r="AP1713" i="3"/>
  <c r="AQ1713" i="3"/>
  <c r="AR1713" i="3"/>
  <c r="AS1713" i="3"/>
  <c r="AT1713" i="3"/>
  <c r="AU1713" i="3"/>
  <c r="AV1713" i="3"/>
  <c r="AW1713" i="3"/>
  <c r="AX1713" i="3"/>
  <c r="AY1713" i="3"/>
  <c r="AZ1713" i="3"/>
  <c r="BA1713" i="3"/>
  <c r="BB1713" i="3"/>
  <c r="G1710" i="3"/>
  <c r="G1713" i="3"/>
  <c r="H1713" i="3"/>
  <c r="I1713" i="3"/>
  <c r="J1713" i="3"/>
  <c r="K1713" i="3"/>
  <c r="L1713" i="3"/>
  <c r="M1713" i="3"/>
  <c r="N1713" i="3"/>
  <c r="BD1713" i="3"/>
  <c r="D1712" i="3"/>
  <c r="E1712" i="3"/>
  <c r="F1710" i="3"/>
  <c r="F1712" i="3"/>
  <c r="O1712" i="3"/>
  <c r="P1712" i="3"/>
  <c r="Q1712" i="3"/>
  <c r="R1712" i="3"/>
  <c r="S1712" i="3"/>
  <c r="T1712" i="3"/>
  <c r="U1712" i="3"/>
  <c r="V1712" i="3"/>
  <c r="W1712" i="3"/>
  <c r="X1712" i="3"/>
  <c r="Y1712" i="3"/>
  <c r="Z1712" i="3"/>
  <c r="AA1712" i="3"/>
  <c r="AB1712" i="3"/>
  <c r="AC1712" i="3"/>
  <c r="AD1712" i="3"/>
  <c r="AE1712" i="3"/>
  <c r="AF1712" i="3"/>
  <c r="AG1712" i="3"/>
  <c r="AH1712" i="3"/>
  <c r="AI1712" i="3"/>
  <c r="AJ1712" i="3"/>
  <c r="AK1712" i="3"/>
  <c r="AL1712" i="3"/>
  <c r="AM1712" i="3"/>
  <c r="AN1712" i="3"/>
  <c r="AO1712" i="3"/>
  <c r="AP1712" i="3"/>
  <c r="AQ1712" i="3"/>
  <c r="AR1712" i="3"/>
  <c r="AS1712" i="3"/>
  <c r="AT1712" i="3"/>
  <c r="AU1712" i="3"/>
  <c r="AV1712" i="3"/>
  <c r="AW1712" i="3"/>
  <c r="AX1712" i="3"/>
  <c r="AY1712" i="3"/>
  <c r="AZ1712" i="3"/>
  <c r="BA1712" i="3"/>
  <c r="BB1712" i="3"/>
  <c r="G1712" i="3"/>
  <c r="H1712" i="3"/>
  <c r="I1712" i="3"/>
  <c r="J1712" i="3"/>
  <c r="K1712" i="3"/>
  <c r="L1712" i="3"/>
  <c r="M1712" i="3"/>
  <c r="N1712" i="3"/>
  <c r="BD1712" i="3"/>
  <c r="D1711" i="3"/>
  <c r="E1711" i="3"/>
  <c r="F1711" i="3"/>
  <c r="O1711" i="3"/>
  <c r="P1711" i="3"/>
  <c r="Q1711" i="3"/>
  <c r="R1711" i="3"/>
  <c r="S1711" i="3"/>
  <c r="T1711" i="3"/>
  <c r="U1711" i="3"/>
  <c r="V1711" i="3"/>
  <c r="W1711" i="3"/>
  <c r="X1711" i="3"/>
  <c r="Y1711" i="3"/>
  <c r="Z1711" i="3"/>
  <c r="AA1711" i="3"/>
  <c r="AB1711" i="3"/>
  <c r="AC1711" i="3"/>
  <c r="AD1711" i="3"/>
  <c r="AE1711" i="3"/>
  <c r="AF1711" i="3"/>
  <c r="AG1711" i="3"/>
  <c r="AH1711" i="3"/>
  <c r="AI1711" i="3"/>
  <c r="AJ1711" i="3"/>
  <c r="AK1711" i="3"/>
  <c r="AL1711" i="3"/>
  <c r="AM1711" i="3"/>
  <c r="AN1711" i="3"/>
  <c r="AO1711" i="3"/>
  <c r="AP1711" i="3"/>
  <c r="AQ1711" i="3"/>
  <c r="AR1711" i="3"/>
  <c r="AS1711" i="3"/>
  <c r="AT1711" i="3"/>
  <c r="AU1711" i="3"/>
  <c r="AV1711" i="3"/>
  <c r="AW1711" i="3"/>
  <c r="AX1711" i="3"/>
  <c r="AY1711" i="3"/>
  <c r="AZ1711" i="3"/>
  <c r="BA1711" i="3"/>
  <c r="BB1711" i="3"/>
  <c r="G1711" i="3"/>
  <c r="H1711" i="3"/>
  <c r="I1711" i="3"/>
  <c r="J1711" i="3"/>
  <c r="K1711" i="3"/>
  <c r="L1711" i="3"/>
  <c r="M1711" i="3"/>
  <c r="N1711" i="3"/>
  <c r="BD1711" i="3"/>
  <c r="C168" i="3"/>
  <c r="Z190" i="3"/>
  <c r="Q1292" i="3"/>
  <c r="AQ1710" i="3"/>
  <c r="Q1408" i="3"/>
  <c r="AU1710" i="3"/>
  <c r="Q741" i="3"/>
  <c r="X1710" i="3"/>
  <c r="Q770" i="3"/>
  <c r="Y1710" i="3"/>
  <c r="Q799" i="3"/>
  <c r="Z1710" i="3"/>
  <c r="Q828" i="3"/>
  <c r="AA1710" i="3"/>
  <c r="Q857" i="3"/>
  <c r="AB1710" i="3"/>
  <c r="Q886" i="3"/>
  <c r="AC1710" i="3"/>
  <c r="Q915" i="3"/>
  <c r="AD1710" i="3"/>
  <c r="Q944" i="3"/>
  <c r="AE1710" i="3"/>
  <c r="Q973" i="3"/>
  <c r="AF1710" i="3"/>
  <c r="Q1002" i="3"/>
  <c r="AG1710" i="3"/>
  <c r="Q1031" i="3"/>
  <c r="AH1710" i="3"/>
  <c r="Q1060" i="3"/>
  <c r="AI1710" i="3"/>
  <c r="Q1089" i="3"/>
  <c r="AJ1710" i="3"/>
  <c r="Q1118" i="3"/>
  <c r="AK1710" i="3"/>
  <c r="Q1147" i="3"/>
  <c r="AL1710" i="3"/>
  <c r="Q1176" i="3"/>
  <c r="AM1710" i="3"/>
  <c r="Q1205" i="3"/>
  <c r="AN1710" i="3"/>
  <c r="Q1234" i="3"/>
  <c r="AO1710" i="3"/>
  <c r="Q1263" i="3"/>
  <c r="AP1710" i="3"/>
  <c r="Q1321" i="3"/>
  <c r="AR1710" i="3"/>
  <c r="Q1350" i="3"/>
  <c r="AS1710" i="3"/>
  <c r="Q1379" i="3"/>
  <c r="AT1710" i="3"/>
  <c r="Q1437" i="3"/>
  <c r="AV1710" i="3"/>
  <c r="Q1466" i="3"/>
  <c r="AW1710" i="3"/>
  <c r="Q1495" i="3"/>
  <c r="AX1710" i="3"/>
  <c r="Q1524" i="3"/>
  <c r="AY1710" i="3"/>
  <c r="Q1553" i="3"/>
  <c r="AZ1710" i="3"/>
  <c r="Q1582" i="3"/>
  <c r="BA1710" i="3"/>
  <c r="Q1611" i="3"/>
  <c r="BB1710" i="3"/>
  <c r="AQ117" i="3"/>
  <c r="AL117" i="3"/>
  <c r="AG117" i="3"/>
  <c r="AB117" i="3"/>
  <c r="AQ119" i="3"/>
  <c r="AL119" i="3"/>
  <c r="AG119" i="3"/>
  <c r="AB119" i="3"/>
  <c r="BK45" i="11"/>
  <c r="N12" i="3"/>
  <c r="BV15" i="11"/>
  <c r="BM58" i="11"/>
  <c r="BL58" i="11"/>
  <c r="BK58" i="11"/>
  <c r="AV145" i="3"/>
  <c r="AV144" i="3"/>
  <c r="AV143" i="3"/>
  <c r="AV142" i="3"/>
  <c r="AV141" i="3"/>
  <c r="AE9" i="3"/>
  <c r="B122" i="3"/>
  <c r="B129" i="3"/>
  <c r="B154" i="3"/>
  <c r="AQ149" i="3"/>
  <c r="AL149" i="3"/>
  <c r="AG149" i="3"/>
  <c r="AQ151" i="3"/>
  <c r="AL151" i="3"/>
  <c r="AG151" i="3"/>
  <c r="AB149" i="3"/>
  <c r="AB151" i="3"/>
  <c r="AV151" i="3"/>
  <c r="AV149" i="3"/>
  <c r="AV117" i="3"/>
  <c r="AV119" i="3"/>
  <c r="BB145" i="3"/>
  <c r="BB144" i="3"/>
  <c r="BB143" i="3"/>
  <c r="BB142" i="3"/>
  <c r="BB141" i="3"/>
  <c r="C516" i="3"/>
  <c r="C1589" i="3"/>
  <c r="C1560" i="3"/>
  <c r="C1531" i="3"/>
  <c r="C1502" i="3"/>
  <c r="C1473" i="3"/>
  <c r="C1444" i="3"/>
  <c r="C1415" i="3"/>
  <c r="C1386" i="3"/>
  <c r="C1357" i="3"/>
  <c r="C1328" i="3"/>
  <c r="C1299" i="3"/>
  <c r="C1270" i="3"/>
  <c r="C1241" i="3"/>
  <c r="C1212" i="3"/>
  <c r="C1183" i="3"/>
  <c r="C1154" i="3"/>
  <c r="C1125" i="3"/>
  <c r="C1096" i="3"/>
  <c r="C1067" i="3"/>
  <c r="C1038" i="3"/>
  <c r="C1009" i="3"/>
  <c r="C980" i="3"/>
  <c r="C951" i="3"/>
  <c r="C922" i="3"/>
  <c r="C893" i="3"/>
  <c r="C864" i="3"/>
  <c r="C835" i="3"/>
  <c r="C806" i="3"/>
  <c r="C777" i="3"/>
  <c r="C748" i="3"/>
  <c r="Z1611" i="3"/>
  <c r="J1611" i="3"/>
  <c r="Z1607" i="3"/>
  <c r="J1607" i="3"/>
  <c r="V1603" i="3"/>
  <c r="J1603" i="3"/>
  <c r="V1599" i="3"/>
  <c r="J1599" i="3"/>
  <c r="C1595" i="3"/>
  <c r="C1591" i="3"/>
  <c r="Z1582" i="3"/>
  <c r="J1582" i="3"/>
  <c r="Z1578" i="3"/>
  <c r="J1578" i="3"/>
  <c r="V1574" i="3"/>
  <c r="J1574" i="3"/>
  <c r="V1570" i="3"/>
  <c r="J1570" i="3"/>
  <c r="C1566" i="3"/>
  <c r="C1562" i="3"/>
  <c r="Z1553" i="3"/>
  <c r="J1553" i="3"/>
  <c r="Z1549" i="3"/>
  <c r="J1549" i="3"/>
  <c r="V1545" i="3"/>
  <c r="J1545" i="3"/>
  <c r="V1541" i="3"/>
  <c r="J1541" i="3"/>
  <c r="C1537" i="3"/>
  <c r="C1533" i="3"/>
  <c r="Z1524" i="3"/>
  <c r="J1524" i="3"/>
  <c r="Z1520" i="3"/>
  <c r="J1520" i="3"/>
  <c r="V1516" i="3"/>
  <c r="J1516" i="3"/>
  <c r="V1512" i="3"/>
  <c r="J1512" i="3"/>
  <c r="C1508" i="3"/>
  <c r="C1504" i="3"/>
  <c r="Z1495" i="3"/>
  <c r="J1495" i="3"/>
  <c r="Z1491" i="3"/>
  <c r="J1491" i="3"/>
  <c r="V1487" i="3"/>
  <c r="J1487" i="3"/>
  <c r="V1483" i="3"/>
  <c r="J1483" i="3"/>
  <c r="C1479" i="3"/>
  <c r="C1475" i="3"/>
  <c r="Z1466" i="3"/>
  <c r="J1466" i="3"/>
  <c r="Z1462" i="3"/>
  <c r="J1462" i="3"/>
  <c r="V1458" i="3"/>
  <c r="J1458" i="3"/>
  <c r="V1454" i="3"/>
  <c r="J1454" i="3"/>
  <c r="C1450" i="3"/>
  <c r="C1446" i="3"/>
  <c r="Z1437" i="3"/>
  <c r="J1437" i="3"/>
  <c r="Z1433" i="3"/>
  <c r="J1433" i="3"/>
  <c r="V1429" i="3"/>
  <c r="J1429" i="3"/>
  <c r="V1425" i="3"/>
  <c r="J1425" i="3"/>
  <c r="C1421" i="3"/>
  <c r="C1417" i="3"/>
  <c r="Z1408" i="3"/>
  <c r="J1408" i="3"/>
  <c r="Z1404" i="3"/>
  <c r="J1404" i="3"/>
  <c r="V1400" i="3"/>
  <c r="J1400" i="3"/>
  <c r="V1396" i="3"/>
  <c r="J1396" i="3"/>
  <c r="C1392" i="3"/>
  <c r="C1388" i="3"/>
  <c r="Z1379" i="3"/>
  <c r="J1379" i="3"/>
  <c r="Z1375" i="3"/>
  <c r="J1375" i="3"/>
  <c r="V1371" i="3"/>
  <c r="J1371" i="3"/>
  <c r="V1367" i="3"/>
  <c r="J1367" i="3"/>
  <c r="C1363" i="3"/>
  <c r="C1359" i="3"/>
  <c r="Z1350" i="3"/>
  <c r="J1350" i="3"/>
  <c r="Z1346" i="3"/>
  <c r="J1346" i="3"/>
  <c r="V1342" i="3"/>
  <c r="J1342" i="3"/>
  <c r="V1338" i="3"/>
  <c r="J1338" i="3"/>
  <c r="C1334" i="3"/>
  <c r="C1330" i="3"/>
  <c r="Z1321" i="3"/>
  <c r="J1321" i="3"/>
  <c r="Z1317" i="3"/>
  <c r="J1317" i="3"/>
  <c r="V1313" i="3"/>
  <c r="J1313" i="3"/>
  <c r="V1309" i="3"/>
  <c r="J1309" i="3"/>
  <c r="C1305" i="3"/>
  <c r="C1301" i="3"/>
  <c r="Z1292" i="3"/>
  <c r="J1292" i="3"/>
  <c r="Z1288" i="3"/>
  <c r="J1288" i="3"/>
  <c r="V1284" i="3"/>
  <c r="J1284" i="3"/>
  <c r="V1280" i="3"/>
  <c r="J1280" i="3"/>
  <c r="C1276" i="3"/>
  <c r="C1272" i="3"/>
  <c r="Z1263" i="3"/>
  <c r="J1263" i="3"/>
  <c r="Z1259" i="3"/>
  <c r="J1259" i="3"/>
  <c r="V1255" i="3"/>
  <c r="J1255" i="3"/>
  <c r="V1251" i="3"/>
  <c r="J1251" i="3"/>
  <c r="C1247" i="3"/>
  <c r="C1243" i="3"/>
  <c r="Z1234" i="3"/>
  <c r="J1234" i="3"/>
  <c r="Z1230" i="3"/>
  <c r="J1230" i="3"/>
  <c r="V1226" i="3"/>
  <c r="J1226" i="3"/>
  <c r="V1222" i="3"/>
  <c r="J1222" i="3"/>
  <c r="C1218" i="3"/>
  <c r="C1214" i="3"/>
  <c r="Z1205" i="3"/>
  <c r="J1205" i="3"/>
  <c r="Z1201" i="3"/>
  <c r="J1201" i="3"/>
  <c r="V1197" i="3"/>
  <c r="J1197" i="3"/>
  <c r="V1193" i="3"/>
  <c r="J1193" i="3"/>
  <c r="C1189" i="3"/>
  <c r="C1185" i="3"/>
  <c r="Z1176" i="3"/>
  <c r="J1176" i="3"/>
  <c r="Z1172" i="3"/>
  <c r="J1172" i="3"/>
  <c r="V1168" i="3"/>
  <c r="J1168" i="3"/>
  <c r="V1164" i="3"/>
  <c r="J1164" i="3"/>
  <c r="C1160" i="3"/>
  <c r="C1156" i="3"/>
  <c r="Z1147" i="3"/>
  <c r="J1147" i="3"/>
  <c r="Z1143" i="3"/>
  <c r="J1143" i="3"/>
  <c r="V1139" i="3"/>
  <c r="J1139" i="3"/>
  <c r="V1135" i="3"/>
  <c r="J1135" i="3"/>
  <c r="C1131" i="3"/>
  <c r="C1127" i="3"/>
  <c r="Z1118" i="3"/>
  <c r="J1118" i="3"/>
  <c r="Z1114" i="3"/>
  <c r="J1114" i="3"/>
  <c r="V1110" i="3"/>
  <c r="J1110" i="3"/>
  <c r="V1106" i="3"/>
  <c r="J1106" i="3"/>
  <c r="C1102" i="3"/>
  <c r="C1098" i="3"/>
  <c r="Z1089" i="3"/>
  <c r="J1089" i="3"/>
  <c r="Z1085" i="3"/>
  <c r="J1085" i="3"/>
  <c r="V1081" i="3"/>
  <c r="J1081" i="3"/>
  <c r="V1077" i="3"/>
  <c r="J1077" i="3"/>
  <c r="C1073" i="3"/>
  <c r="C1069" i="3"/>
  <c r="Z1060" i="3"/>
  <c r="J1060" i="3"/>
  <c r="Z1056" i="3"/>
  <c r="J1056" i="3"/>
  <c r="V1052" i="3"/>
  <c r="J1052" i="3"/>
  <c r="V1048" i="3"/>
  <c r="J1048" i="3"/>
  <c r="C1044" i="3"/>
  <c r="C1040" i="3"/>
  <c r="Z1031" i="3"/>
  <c r="J1031" i="3"/>
  <c r="Z1027" i="3"/>
  <c r="J1027" i="3"/>
  <c r="V1023" i="3"/>
  <c r="J1023" i="3"/>
  <c r="V1019" i="3"/>
  <c r="J1019" i="3"/>
  <c r="C1015" i="3"/>
  <c r="C1011" i="3"/>
  <c r="Z1002" i="3"/>
  <c r="J1002" i="3"/>
  <c r="Z998" i="3"/>
  <c r="J998" i="3"/>
  <c r="V994" i="3"/>
  <c r="J994" i="3"/>
  <c r="V990" i="3"/>
  <c r="J990" i="3"/>
  <c r="C986" i="3"/>
  <c r="C982" i="3"/>
  <c r="Z973" i="3"/>
  <c r="J973" i="3"/>
  <c r="Z969" i="3"/>
  <c r="J969" i="3"/>
  <c r="V965" i="3"/>
  <c r="J965" i="3"/>
  <c r="V961" i="3"/>
  <c r="J961" i="3"/>
  <c r="C957" i="3"/>
  <c r="C953" i="3"/>
  <c r="Z944" i="3"/>
  <c r="J944" i="3"/>
  <c r="Z940" i="3"/>
  <c r="J940" i="3"/>
  <c r="V936" i="3"/>
  <c r="J936" i="3"/>
  <c r="V932" i="3"/>
  <c r="J932" i="3"/>
  <c r="C928" i="3"/>
  <c r="C924" i="3"/>
  <c r="Z915" i="3"/>
  <c r="J915" i="3"/>
  <c r="Z911" i="3"/>
  <c r="J911" i="3"/>
  <c r="V907" i="3"/>
  <c r="J907" i="3"/>
  <c r="V903" i="3"/>
  <c r="J903" i="3"/>
  <c r="C899" i="3"/>
  <c r="C895" i="3"/>
  <c r="Z886" i="3"/>
  <c r="J886" i="3"/>
  <c r="Z882" i="3"/>
  <c r="J882" i="3"/>
  <c r="V878" i="3"/>
  <c r="J878" i="3"/>
  <c r="V874" i="3"/>
  <c r="J874" i="3"/>
  <c r="C870" i="3"/>
  <c r="C866" i="3"/>
  <c r="Z857" i="3"/>
  <c r="J857" i="3"/>
  <c r="Z853" i="3"/>
  <c r="J853" i="3"/>
  <c r="V849" i="3"/>
  <c r="J849" i="3"/>
  <c r="V845" i="3"/>
  <c r="J845" i="3"/>
  <c r="C841" i="3"/>
  <c r="C837" i="3"/>
  <c r="Z828" i="3"/>
  <c r="J828" i="3"/>
  <c r="Z824" i="3"/>
  <c r="J824" i="3"/>
  <c r="V820" i="3"/>
  <c r="J820" i="3"/>
  <c r="V816" i="3"/>
  <c r="J816" i="3"/>
  <c r="C812" i="3"/>
  <c r="C808" i="3"/>
  <c r="Z799" i="3"/>
  <c r="J799" i="3"/>
  <c r="Z795" i="3"/>
  <c r="J795" i="3"/>
  <c r="V791" i="3"/>
  <c r="J791" i="3"/>
  <c r="V787" i="3"/>
  <c r="J787" i="3"/>
  <c r="C783" i="3"/>
  <c r="C779" i="3"/>
  <c r="Z770" i="3"/>
  <c r="J770" i="3"/>
  <c r="Z766" i="3"/>
  <c r="J766" i="3"/>
  <c r="V762" i="3"/>
  <c r="J762" i="3"/>
  <c r="V758" i="3"/>
  <c r="J758" i="3"/>
  <c r="C754" i="3"/>
  <c r="C750" i="3"/>
  <c r="C719" i="3"/>
  <c r="C690" i="3"/>
  <c r="C661" i="3"/>
  <c r="C632" i="3"/>
  <c r="C603" i="3"/>
  <c r="C574" i="3"/>
  <c r="C545" i="3"/>
  <c r="C487" i="3"/>
  <c r="C458" i="3"/>
  <c r="Z741" i="3"/>
  <c r="J741" i="3"/>
  <c r="Z737" i="3"/>
  <c r="J737" i="3"/>
  <c r="V733" i="3"/>
  <c r="J733" i="3"/>
  <c r="V729" i="3"/>
  <c r="J729" i="3"/>
  <c r="C725" i="3"/>
  <c r="C721" i="3"/>
  <c r="Z712" i="3"/>
  <c r="J712" i="3"/>
  <c r="Z708" i="3"/>
  <c r="J708" i="3"/>
  <c r="V704" i="3"/>
  <c r="J704" i="3"/>
  <c r="V700" i="3"/>
  <c r="J700" i="3"/>
  <c r="C696" i="3"/>
  <c r="C692" i="3"/>
  <c r="Z683" i="3"/>
  <c r="J683" i="3"/>
  <c r="Z679" i="3"/>
  <c r="J679" i="3"/>
  <c r="V675" i="3"/>
  <c r="J675" i="3"/>
  <c r="V671" i="3"/>
  <c r="J671" i="3"/>
  <c r="C667" i="3"/>
  <c r="C663" i="3"/>
  <c r="Z654" i="3"/>
  <c r="J654" i="3"/>
  <c r="Z650" i="3"/>
  <c r="J650" i="3"/>
  <c r="V646" i="3"/>
  <c r="J646" i="3"/>
  <c r="V642" i="3"/>
  <c r="J642" i="3"/>
  <c r="C638" i="3"/>
  <c r="C634" i="3"/>
  <c r="Z625" i="3"/>
  <c r="J625" i="3"/>
  <c r="Z621" i="3"/>
  <c r="J621" i="3"/>
  <c r="V617" i="3"/>
  <c r="J617" i="3"/>
  <c r="V613" i="3"/>
  <c r="J613" i="3"/>
  <c r="C609" i="3"/>
  <c r="C605" i="3"/>
  <c r="Z596" i="3"/>
  <c r="J596" i="3"/>
  <c r="Z592" i="3"/>
  <c r="J592" i="3"/>
  <c r="V588" i="3"/>
  <c r="J588" i="3"/>
  <c r="V584" i="3"/>
  <c r="J584" i="3"/>
  <c r="C580" i="3"/>
  <c r="C576" i="3"/>
  <c r="Z567" i="3"/>
  <c r="J567" i="3"/>
  <c r="Z563" i="3"/>
  <c r="J563" i="3"/>
  <c r="V559" i="3"/>
  <c r="J559" i="3"/>
  <c r="V555" i="3"/>
  <c r="J555" i="3"/>
  <c r="C551" i="3"/>
  <c r="C547" i="3"/>
  <c r="Z538" i="3"/>
  <c r="J538" i="3"/>
  <c r="Z534" i="3"/>
  <c r="J534" i="3"/>
  <c r="V530" i="3"/>
  <c r="J530" i="3"/>
  <c r="V526" i="3"/>
  <c r="J526" i="3"/>
  <c r="C522" i="3"/>
  <c r="C518" i="3"/>
  <c r="Z509" i="3"/>
  <c r="J509" i="3"/>
  <c r="Z505" i="3"/>
  <c r="J505" i="3"/>
  <c r="V501" i="3"/>
  <c r="J501" i="3"/>
  <c r="V497" i="3"/>
  <c r="J497" i="3"/>
  <c r="C493" i="3"/>
  <c r="C489" i="3"/>
  <c r="Z480" i="3"/>
  <c r="J480" i="3"/>
  <c r="Z476" i="3"/>
  <c r="J476" i="3"/>
  <c r="V472" i="3"/>
  <c r="J472" i="3"/>
  <c r="V468" i="3"/>
  <c r="J468" i="3"/>
  <c r="C464" i="3"/>
  <c r="C460" i="3"/>
  <c r="C429" i="3"/>
  <c r="C400" i="3"/>
  <c r="C371" i="3"/>
  <c r="C342" i="3"/>
  <c r="C313" i="3"/>
  <c r="C284" i="3"/>
  <c r="C255" i="3"/>
  <c r="C226" i="3"/>
  <c r="Z451" i="3"/>
  <c r="J451" i="3"/>
  <c r="Z447" i="3"/>
  <c r="J447" i="3"/>
  <c r="V443" i="3"/>
  <c r="J443" i="3"/>
  <c r="V439" i="3"/>
  <c r="J439" i="3"/>
  <c r="C435" i="3"/>
  <c r="C431" i="3"/>
  <c r="Z422" i="3"/>
  <c r="J422" i="3"/>
  <c r="Z418" i="3"/>
  <c r="J418" i="3"/>
  <c r="V414" i="3"/>
  <c r="J414" i="3"/>
  <c r="V410" i="3"/>
  <c r="J410" i="3"/>
  <c r="C406" i="3"/>
  <c r="C402" i="3"/>
  <c r="Z393" i="3"/>
  <c r="J393" i="3"/>
  <c r="Z389" i="3"/>
  <c r="J389" i="3"/>
  <c r="V385" i="3"/>
  <c r="J385" i="3"/>
  <c r="V381" i="3"/>
  <c r="J381" i="3"/>
  <c r="C377" i="3"/>
  <c r="C373" i="3"/>
  <c r="Z364" i="3"/>
  <c r="J364" i="3"/>
  <c r="Z360" i="3"/>
  <c r="J360" i="3"/>
  <c r="V356" i="3"/>
  <c r="J356" i="3"/>
  <c r="V352" i="3"/>
  <c r="J352" i="3"/>
  <c r="C348" i="3"/>
  <c r="C344" i="3"/>
  <c r="Z335" i="3"/>
  <c r="J335" i="3"/>
  <c r="Z331" i="3"/>
  <c r="J331" i="3"/>
  <c r="V327" i="3"/>
  <c r="J327" i="3"/>
  <c r="V323" i="3"/>
  <c r="J323" i="3"/>
  <c r="C319" i="3"/>
  <c r="C315" i="3"/>
  <c r="Z306" i="3"/>
  <c r="J306" i="3"/>
  <c r="Z302" i="3"/>
  <c r="J302" i="3"/>
  <c r="V298" i="3"/>
  <c r="J298" i="3"/>
  <c r="V294" i="3"/>
  <c r="J294" i="3"/>
  <c r="C290" i="3"/>
  <c r="C286" i="3"/>
  <c r="Z277" i="3"/>
  <c r="J277" i="3"/>
  <c r="Z273" i="3"/>
  <c r="J273" i="3"/>
  <c r="V269" i="3"/>
  <c r="J269" i="3"/>
  <c r="V265" i="3"/>
  <c r="J265" i="3"/>
  <c r="C261" i="3"/>
  <c r="C257" i="3"/>
  <c r="Z248" i="3"/>
  <c r="J248" i="3"/>
  <c r="Z244" i="3"/>
  <c r="J244" i="3"/>
  <c r="V240" i="3"/>
  <c r="J240" i="3"/>
  <c r="V236" i="3"/>
  <c r="J236" i="3"/>
  <c r="C232" i="3"/>
  <c r="C228" i="3"/>
  <c r="C197" i="3"/>
  <c r="Z219" i="3"/>
  <c r="J219" i="3"/>
  <c r="Z215" i="3"/>
  <c r="J215" i="3"/>
  <c r="V211" i="3"/>
  <c r="J211" i="3"/>
  <c r="V207" i="3"/>
  <c r="J207" i="3"/>
  <c r="C203" i="3"/>
  <c r="C199" i="3"/>
  <c r="Z186" i="3"/>
  <c r="J190" i="3"/>
  <c r="J186" i="3"/>
  <c r="V178" i="3"/>
  <c r="V182" i="3"/>
  <c r="J178" i="3"/>
  <c r="C174" i="3"/>
  <c r="J182" i="3"/>
  <c r="C170" i="3"/>
  <c r="A101" i="3"/>
  <c r="A100" i="3"/>
  <c r="A99" i="3"/>
  <c r="A98" i="3"/>
  <c r="A97" i="3"/>
  <c r="A96" i="3"/>
  <c r="A95" i="3"/>
  <c r="A94" i="3"/>
  <c r="A93" i="3"/>
  <c r="A92"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102" i="3"/>
  <c r="A103" i="3"/>
  <c r="A104" i="3"/>
  <c r="A105" i="3"/>
  <c r="A106" i="3"/>
  <c r="A107" i="3"/>
  <c r="BB106" i="3"/>
  <c r="BB105" i="3"/>
  <c r="BB104" i="3"/>
  <c r="BB103" i="3"/>
  <c r="BB102" i="3"/>
  <c r="BB101" i="3"/>
  <c r="BB46" i="3"/>
  <c r="BB45" i="3"/>
  <c r="BB44" i="3"/>
  <c r="BB43" i="3"/>
  <c r="BB42" i="3"/>
  <c r="BB41" i="3"/>
  <c r="BB40" i="3"/>
  <c r="BB39" i="3"/>
  <c r="BB38" i="3"/>
  <c r="BB37" i="3"/>
  <c r="BB36" i="3"/>
  <c r="BB35" i="3"/>
  <c r="BB34" i="3"/>
  <c r="BB33" i="3"/>
  <c r="BB32" i="3"/>
  <c r="BB61" i="3"/>
  <c r="BB60" i="3"/>
  <c r="BB59" i="3"/>
  <c r="BB58" i="3"/>
  <c r="BB57" i="3"/>
  <c r="BB56" i="3"/>
  <c r="BB55" i="3"/>
  <c r="BB54" i="3"/>
  <c r="BB53" i="3"/>
  <c r="BB52" i="3"/>
  <c r="BB51" i="3"/>
  <c r="BB50" i="3"/>
  <c r="BB49" i="3"/>
  <c r="BB48" i="3"/>
  <c r="BB47" i="3"/>
  <c r="BB76" i="3"/>
  <c r="BB75" i="3"/>
  <c r="BB74" i="3"/>
  <c r="BB73" i="3"/>
  <c r="BB72" i="3"/>
  <c r="BB71" i="3"/>
  <c r="BB70" i="3"/>
  <c r="BB69" i="3"/>
  <c r="BB68" i="3"/>
  <c r="BB67" i="3"/>
  <c r="BB66" i="3"/>
  <c r="BB65" i="3"/>
  <c r="BB64" i="3"/>
  <c r="BB63" i="3"/>
  <c r="BB62" i="3"/>
  <c r="BB91" i="3"/>
  <c r="BB90" i="3"/>
  <c r="BB89" i="3"/>
  <c r="BB88" i="3"/>
  <c r="BB87" i="3"/>
  <c r="BB86" i="3"/>
  <c r="BB85" i="3"/>
  <c r="BB84" i="3"/>
  <c r="BB83" i="3"/>
  <c r="BB82" i="3"/>
  <c r="BB81" i="3"/>
  <c r="BB80" i="3"/>
  <c r="BB79" i="3"/>
  <c r="BB78" i="3"/>
  <c r="BB77" i="3"/>
  <c r="A108" i="3"/>
  <c r="A109" i="3"/>
  <c r="A110" i="3"/>
  <c r="A111" i="3"/>
  <c r="A112" i="3"/>
  <c r="A113" i="3"/>
  <c r="BV54" i="11"/>
  <c r="BV55" i="11"/>
  <c r="BW55" i="11"/>
  <c r="BV72" i="11"/>
  <c r="BW57" i="11"/>
  <c r="BX57" i="11"/>
  <c r="BY57" i="11"/>
  <c r="BZ44" i="11"/>
  <c r="BY44" i="11"/>
  <c r="BX44" i="11"/>
  <c r="BW44" i="11"/>
  <c r="BV44" i="11"/>
  <c r="BX17" i="11"/>
  <c r="BW17" i="11"/>
  <c r="BY18" i="11"/>
  <c r="BZ25" i="11"/>
  <c r="BY25" i="11"/>
  <c r="BX25" i="11"/>
  <c r="BW25" i="11"/>
  <c r="BV25" i="11"/>
  <c r="BV38" i="11"/>
  <c r="AS1070" i="2"/>
  <c r="AS1093" i="2"/>
  <c r="C218" i="2"/>
  <c r="BX53" i="11"/>
  <c r="BW53" i="11"/>
  <c r="BV53" i="11"/>
  <c r="BS53" i="11"/>
  <c r="BT53" i="11"/>
  <c r="BU53" i="11"/>
  <c r="BX14" i="11"/>
  <c r="BW14" i="11"/>
  <c r="BV14" i="11"/>
  <c r="BS14" i="11"/>
  <c r="BT14" i="11"/>
  <c r="BU14" i="11"/>
  <c r="AS1216" i="2"/>
  <c r="AS1169" i="2"/>
  <c r="AS1193" i="2"/>
  <c r="AS801" i="2"/>
  <c r="AS825" i="2"/>
  <c r="AS848" i="2"/>
  <c r="AS924" i="2"/>
  <c r="AS947" i="2"/>
  <c r="AS971" i="2"/>
  <c r="Z623" i="2"/>
  <c r="Z624" i="2"/>
  <c r="B1240" i="10"/>
  <c r="AT833" i="10"/>
  <c r="AT832" i="10"/>
  <c r="AT831" i="10"/>
  <c r="AT829" i="10"/>
  <c r="AL829" i="10"/>
  <c r="AH829" i="10"/>
  <c r="AT793" i="10"/>
  <c r="AT792" i="10"/>
  <c r="AT791" i="10"/>
  <c r="AT789" i="10"/>
  <c r="AL789" i="10"/>
  <c r="AH789" i="10"/>
  <c r="AT753" i="10"/>
  <c r="AT752" i="10"/>
  <c r="AT751" i="10"/>
  <c r="AT749" i="10"/>
  <c r="AL749" i="10"/>
  <c r="AH749" i="10"/>
  <c r="AT713" i="10"/>
  <c r="AT712" i="10"/>
  <c r="AT711" i="10"/>
  <c r="AT709" i="10"/>
  <c r="AL709" i="10"/>
  <c r="AH709" i="10"/>
  <c r="AT673" i="10"/>
  <c r="AT672" i="10"/>
  <c r="AT671" i="10"/>
  <c r="AT669" i="10"/>
  <c r="AL669" i="10"/>
  <c r="AH669" i="10"/>
  <c r="AT633" i="10"/>
  <c r="AT632" i="10"/>
  <c r="AT631" i="10"/>
  <c r="AT629" i="10"/>
  <c r="AL629" i="10"/>
  <c r="AH629" i="10"/>
  <c r="AT593" i="10"/>
  <c r="AT592" i="10"/>
  <c r="AT591" i="10"/>
  <c r="AT589" i="10"/>
  <c r="AL589" i="10"/>
  <c r="AH589" i="10"/>
  <c r="AT553" i="10"/>
  <c r="AT552" i="10"/>
  <c r="AT551" i="10"/>
  <c r="AT549" i="10"/>
  <c r="AL549" i="10"/>
  <c r="AH549" i="10"/>
  <c r="AT513" i="10"/>
  <c r="AT512" i="10"/>
  <c r="AT511" i="10"/>
  <c r="AT509" i="10"/>
  <c r="AL509" i="10"/>
  <c r="AH509" i="10"/>
  <c r="AT469" i="10"/>
  <c r="AL469" i="10"/>
  <c r="AH469" i="10"/>
  <c r="AT429" i="10"/>
  <c r="AL429" i="10"/>
  <c r="AH429" i="10"/>
  <c r="AT389" i="10"/>
  <c r="AL389" i="10"/>
  <c r="AH389" i="10"/>
  <c r="AT349" i="10"/>
  <c r="AL349" i="10"/>
  <c r="AH349" i="10"/>
  <c r="AT309" i="10"/>
  <c r="AL309" i="10"/>
  <c r="AH309" i="10"/>
  <c r="AT273" i="10"/>
  <c r="AT272" i="10"/>
  <c r="AT269" i="10"/>
  <c r="AL269" i="10"/>
  <c r="AH269" i="10"/>
  <c r="AT229" i="10"/>
  <c r="AL229" i="10"/>
  <c r="AH229" i="10"/>
  <c r="AT193" i="10"/>
  <c r="AT189" i="10"/>
  <c r="AL189" i="10"/>
  <c r="AH189" i="10"/>
  <c r="AT149" i="10"/>
  <c r="AL149" i="10"/>
  <c r="AH149" i="10"/>
  <c r="AT109" i="10"/>
  <c r="AL109" i="10"/>
  <c r="AH109" i="10"/>
  <c r="AT69" i="10"/>
  <c r="AL69" i="10"/>
  <c r="AH69" i="10"/>
  <c r="BB96" i="3"/>
  <c r="BB98" i="3"/>
  <c r="BB100" i="3"/>
  <c r="BB107" i="3"/>
  <c r="BB108" i="3"/>
  <c r="BB109" i="3"/>
  <c r="BB112" i="3"/>
  <c r="BB31" i="3"/>
  <c r="BB92" i="3"/>
  <c r="BB93" i="3"/>
  <c r="BB94" i="3"/>
  <c r="BB95" i="3"/>
  <c r="BB97" i="3"/>
  <c r="BB99" i="3"/>
  <c r="BB110" i="3"/>
  <c r="BB111" i="3"/>
  <c r="BB113" i="3"/>
  <c r="N9" i="3"/>
  <c r="BV56" i="11"/>
  <c r="BW56" i="11"/>
  <c r="BX56" i="11"/>
  <c r="BV63" i="11"/>
  <c r="BW63" i="11"/>
  <c r="BX63" i="11"/>
  <c r="BY63" i="11"/>
  <c r="BV68" i="11"/>
  <c r="BW68" i="11"/>
  <c r="BX68" i="11"/>
  <c r="BV73" i="11"/>
  <c r="BW73" i="11"/>
  <c r="BV78" i="11"/>
  <c r="BZ76" i="11"/>
  <c r="BV57" i="11"/>
  <c r="BZ82" i="11"/>
  <c r="BY82" i="11"/>
  <c r="BX82" i="11"/>
  <c r="BW82" i="11"/>
  <c r="BV82" i="11"/>
  <c r="BY81" i="11"/>
  <c r="BX81" i="11"/>
  <c r="BW81" i="11"/>
  <c r="BV81" i="11"/>
  <c r="BX80" i="11"/>
  <c r="BW80" i="11"/>
  <c r="BV80" i="11"/>
  <c r="BY76" i="11"/>
  <c r="BX76" i="11"/>
  <c r="BW76" i="11"/>
  <c r="BV76" i="11"/>
  <c r="BY75" i="11"/>
  <c r="BX75" i="11"/>
  <c r="BW75" i="11"/>
  <c r="BV75" i="11"/>
  <c r="BZ70" i="11"/>
  <c r="BY70" i="11"/>
  <c r="BX70" i="11"/>
  <c r="BW70" i="11"/>
  <c r="BV70" i="11"/>
  <c r="BY69" i="11"/>
  <c r="BX69" i="11"/>
  <c r="BW69" i="11"/>
  <c r="BV69" i="11"/>
  <c r="BV66" i="11"/>
  <c r="BZ64" i="11"/>
  <c r="BY64" i="11"/>
  <c r="BX64" i="11"/>
  <c r="BW64" i="11"/>
  <c r="BV64" i="11"/>
  <c r="BX62" i="11"/>
  <c r="BW62" i="11"/>
  <c r="BV62" i="11"/>
  <c r="BV60" i="11"/>
  <c r="BV17" i="11"/>
  <c r="BV24" i="11"/>
  <c r="BW24" i="11"/>
  <c r="BX24" i="11"/>
  <c r="BY24" i="11"/>
  <c r="BV29" i="11"/>
  <c r="BW29" i="11"/>
  <c r="BX29" i="11"/>
  <c r="BV31" i="11"/>
  <c r="BW31" i="11"/>
  <c r="BX31" i="11"/>
  <c r="BY31" i="11"/>
  <c r="BZ31" i="11"/>
  <c r="BV35" i="11"/>
  <c r="BW35" i="11"/>
  <c r="BW38" i="11"/>
  <c r="BX38" i="11"/>
  <c r="BY38" i="11"/>
  <c r="BZ38" i="11"/>
  <c r="BV40" i="11"/>
  <c r="BV43" i="11"/>
  <c r="BV42" i="11"/>
  <c r="BV16" i="11"/>
  <c r="BW16" i="11"/>
  <c r="BV18" i="11"/>
  <c r="BW18" i="11"/>
  <c r="BX18" i="11"/>
  <c r="BV21" i="11"/>
  <c r="BV23" i="11"/>
  <c r="BW23" i="11"/>
  <c r="BX23" i="11"/>
  <c r="BV30" i="11"/>
  <c r="BW30" i="11"/>
  <c r="BX30" i="11"/>
  <c r="BY30" i="11"/>
  <c r="BV34" i="11"/>
  <c r="BV37" i="11"/>
  <c r="BW37" i="11"/>
  <c r="BX37" i="11"/>
  <c r="BY37" i="11"/>
  <c r="BW42" i="11"/>
  <c r="BX42" i="11"/>
  <c r="BW43" i="11"/>
  <c r="BX43" i="11"/>
  <c r="BY43" i="11"/>
  <c r="H124" i="9"/>
  <c r="H376" i="9"/>
  <c r="H364" i="9"/>
  <c r="H352" i="9"/>
  <c r="H340" i="9"/>
  <c r="H328" i="9"/>
  <c r="H325" i="9"/>
  <c r="H313" i="9"/>
  <c r="H301" i="9"/>
  <c r="H289" i="9"/>
  <c r="H277" i="9"/>
  <c r="H262" i="9"/>
  <c r="B127" i="9"/>
  <c r="H265" i="9"/>
  <c r="H250" i="9"/>
  <c r="H238" i="9"/>
  <c r="H226" i="9"/>
  <c r="H214" i="9"/>
  <c r="H202" i="9"/>
  <c r="H199" i="9"/>
  <c r="H187" i="9"/>
  <c r="H175" i="9"/>
  <c r="H163" i="9"/>
  <c r="H151" i="9"/>
  <c r="H139" i="9"/>
  <c r="H136" i="9"/>
  <c r="H112" i="9"/>
  <c r="H100" i="9"/>
  <c r="H88" i="9"/>
  <c r="H76" i="9"/>
  <c r="H73" i="9"/>
  <c r="B379" i="9"/>
  <c r="B367" i="9"/>
  <c r="B355" i="9"/>
  <c r="B343" i="9"/>
  <c r="B331" i="9"/>
  <c r="B316" i="9"/>
  <c r="B304" i="9"/>
  <c r="B292" i="9"/>
  <c r="B280" i="9"/>
  <c r="B268" i="9"/>
  <c r="B253" i="9"/>
  <c r="B241" i="9"/>
  <c r="B229" i="9"/>
  <c r="B217" i="9"/>
  <c r="B205" i="9"/>
  <c r="B190" i="9"/>
  <c r="B178" i="9"/>
  <c r="B166" i="9"/>
  <c r="B154" i="9"/>
  <c r="B142" i="9"/>
  <c r="B115" i="9"/>
  <c r="B103" i="9"/>
  <c r="B91" i="9"/>
  <c r="B79" i="9"/>
  <c r="B325" i="9"/>
  <c r="B262" i="9"/>
  <c r="B199" i="9"/>
  <c r="B136" i="9"/>
  <c r="B73"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N12" i="9"/>
  <c r="O50" i="9"/>
  <c r="O49" i="9"/>
  <c r="O48" i="9"/>
  <c r="O47" i="9"/>
  <c r="O46" i="9"/>
  <c r="O44" i="9"/>
  <c r="O43" i="9"/>
  <c r="O42" i="9"/>
  <c r="O41" i="9"/>
  <c r="O40" i="9"/>
  <c r="O38" i="9"/>
  <c r="O37" i="9"/>
  <c r="O36" i="9"/>
  <c r="O35" i="9"/>
  <c r="O34" i="9"/>
  <c r="O32" i="9"/>
  <c r="O31" i="9"/>
  <c r="O30" i="9"/>
  <c r="O29" i="9"/>
  <c r="O28" i="9"/>
  <c r="O26" i="9"/>
  <c r="O24" i="9"/>
  <c r="O23" i="9"/>
  <c r="O22" i="9"/>
  <c r="N50" i="9"/>
  <c r="N49" i="9"/>
  <c r="N48" i="9"/>
  <c r="N47" i="9"/>
  <c r="N46" i="9"/>
  <c r="N44" i="9"/>
  <c r="N43" i="9"/>
  <c r="N42" i="9"/>
  <c r="N41" i="9"/>
  <c r="N40" i="9"/>
  <c r="N38" i="9"/>
  <c r="N37" i="9"/>
  <c r="N36" i="9"/>
  <c r="N35" i="9"/>
  <c r="N34" i="9"/>
  <c r="N32" i="9"/>
  <c r="N31" i="9"/>
  <c r="N30" i="9"/>
  <c r="N29" i="9"/>
  <c r="N28" i="9"/>
  <c r="N26" i="9"/>
  <c r="N24" i="9"/>
  <c r="N23" i="9"/>
  <c r="N22" i="9"/>
  <c r="B1216" i="2"/>
  <c r="B50" i="9"/>
  <c r="B1193" i="2"/>
  <c r="B49" i="9"/>
  <c r="B1169" i="2"/>
  <c r="B48" i="9"/>
  <c r="B1146" i="2"/>
  <c r="B47" i="9"/>
  <c r="B1123" i="2"/>
  <c r="B46" i="9"/>
  <c r="B1117" i="2"/>
  <c r="B45" i="9"/>
  <c r="B1093" i="2"/>
  <c r="B44" i="9"/>
  <c r="B1070" i="2"/>
  <c r="B43" i="9"/>
  <c r="B1047" i="2"/>
  <c r="B42" i="9"/>
  <c r="B1023" i="2"/>
  <c r="B41" i="9"/>
  <c r="B1000" i="2"/>
  <c r="B40" i="9"/>
  <c r="B994" i="2"/>
  <c r="B39" i="9"/>
  <c r="B971" i="2"/>
  <c r="B38" i="9"/>
  <c r="B947" i="2"/>
  <c r="B37" i="9"/>
  <c r="B924" i="2"/>
  <c r="B36" i="9"/>
  <c r="B901" i="2"/>
  <c r="B35" i="9"/>
  <c r="B877" i="2"/>
  <c r="B34" i="9"/>
  <c r="B871" i="2"/>
  <c r="B33" i="9"/>
  <c r="B848" i="2"/>
  <c r="B32" i="9"/>
  <c r="B825" i="2"/>
  <c r="B31" i="9"/>
  <c r="B801" i="2"/>
  <c r="B30" i="9"/>
  <c r="B778" i="2"/>
  <c r="B29" i="9"/>
  <c r="B755" i="2"/>
  <c r="B28" i="9"/>
  <c r="B749" i="2"/>
  <c r="B27" i="9"/>
  <c r="B725" i="2"/>
  <c r="B26" i="9"/>
  <c r="B679" i="2"/>
  <c r="B24" i="9"/>
  <c r="B655" i="2"/>
  <c r="B23" i="9"/>
  <c r="B632" i="2"/>
  <c r="B22" i="9"/>
  <c r="B626" i="2"/>
  <c r="B21" i="9"/>
  <c r="O45" i="9"/>
  <c r="N45" i="9"/>
  <c r="O39" i="9"/>
  <c r="N39" i="9"/>
  <c r="O33" i="9"/>
  <c r="N33" i="9"/>
  <c r="O27" i="9"/>
  <c r="N27" i="9"/>
  <c r="O21" i="9"/>
  <c r="N21" i="9"/>
  <c r="U49"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T49" i="9"/>
  <c r="S49" i="9"/>
  <c r="R49" i="9"/>
  <c r="Q49"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T25" i="9"/>
  <c r="S25" i="9"/>
  <c r="R25" i="9"/>
  <c r="Q25"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Z9" i="9"/>
  <c r="B15" i="3"/>
  <c r="B874" i="2"/>
  <c r="C215" i="2"/>
  <c r="I1280" i="2"/>
  <c r="B638" i="2"/>
  <c r="B1222" i="2"/>
  <c r="B1199" i="2"/>
  <c r="B1175" i="2"/>
  <c r="B1152" i="2"/>
  <c r="B1099" i="2"/>
  <c r="B1076" i="2"/>
  <c r="B1053" i="2"/>
  <c r="B1029" i="2"/>
  <c r="B977" i="2"/>
  <c r="B953" i="2"/>
  <c r="B930" i="2"/>
  <c r="B907" i="2"/>
  <c r="B854" i="2"/>
  <c r="B831" i="2"/>
  <c r="B807" i="2"/>
  <c r="B784" i="2"/>
  <c r="Y1219" i="2"/>
  <c r="Y1196" i="2"/>
  <c r="Y1172" i="2"/>
  <c r="Y1149" i="2"/>
  <c r="Y1096" i="2"/>
  <c r="Y1073" i="2"/>
  <c r="Y1050" i="2"/>
  <c r="Y1026" i="2"/>
  <c r="Y974" i="2"/>
  <c r="Y950" i="2"/>
  <c r="Y927" i="2"/>
  <c r="Y904" i="2"/>
  <c r="Y851" i="2"/>
  <c r="Y828" i="2"/>
  <c r="Y804" i="2"/>
  <c r="Y781" i="2"/>
  <c r="I1219" i="2"/>
  <c r="I1196" i="2"/>
  <c r="I1172" i="2"/>
  <c r="I1149" i="2"/>
  <c r="I1096" i="2"/>
  <c r="I1073" i="2"/>
  <c r="I1050" i="2"/>
  <c r="I1026" i="2"/>
  <c r="I974" i="2"/>
  <c r="I950" i="2"/>
  <c r="I927" i="2"/>
  <c r="I904" i="2"/>
  <c r="I851" i="2"/>
  <c r="I828" i="2"/>
  <c r="I804" i="2"/>
  <c r="I781" i="2"/>
  <c r="AW1219" i="2"/>
  <c r="AW1196" i="2"/>
  <c r="AW1172" i="2"/>
  <c r="AW1149" i="2"/>
  <c r="AW1096" i="2"/>
  <c r="AW1073" i="2"/>
  <c r="AW1050" i="2"/>
  <c r="AW1026" i="2"/>
  <c r="AW974" i="2"/>
  <c r="AW950" i="2"/>
  <c r="AW927" i="2"/>
  <c r="AW904" i="2"/>
  <c r="AW851" i="2"/>
  <c r="AW828" i="2"/>
  <c r="AW804" i="2"/>
  <c r="AW781" i="2"/>
  <c r="AW728" i="2"/>
  <c r="AW705" i="2"/>
  <c r="AW682" i="2"/>
  <c r="AW658" i="2"/>
  <c r="B731" i="2"/>
  <c r="B708" i="2"/>
  <c r="B685" i="2"/>
  <c r="B661" i="2"/>
  <c r="Y728" i="2"/>
  <c r="Y705" i="2"/>
  <c r="Y682" i="2"/>
  <c r="Y658" i="2"/>
  <c r="I728" i="2"/>
  <c r="I705" i="2"/>
  <c r="I682" i="2"/>
  <c r="I658" i="2"/>
  <c r="AW1126" i="2"/>
  <c r="B1129" i="2"/>
  <c r="Y1126" i="2"/>
  <c r="I1126" i="2"/>
  <c r="AW1003" i="2"/>
  <c r="B1006" i="2"/>
  <c r="Y1003" i="2"/>
  <c r="I1003" i="2"/>
  <c r="AW880" i="2"/>
  <c r="B883" i="2"/>
  <c r="Y880" i="2"/>
  <c r="I880" i="2"/>
  <c r="AW758" i="2"/>
  <c r="Y758" i="2"/>
  <c r="B761" i="2"/>
  <c r="I758" i="2"/>
  <c r="AW635" i="2"/>
  <c r="I635" i="2"/>
  <c r="Y635" i="2"/>
  <c r="B1120" i="2"/>
  <c r="B997" i="2"/>
  <c r="B752" i="2"/>
  <c r="B629" i="2"/>
  <c r="B3" i="4"/>
  <c r="B14" i="4"/>
  <c r="B13" i="4"/>
  <c r="B12" i="4"/>
  <c r="B11" i="4"/>
  <c r="B10" i="4"/>
  <c r="B9" i="4"/>
  <c r="B8" i="4"/>
  <c r="B7" i="4"/>
  <c r="B6" i="4"/>
  <c r="F272" i="2"/>
  <c r="B40" i="2"/>
  <c r="B43" i="2"/>
  <c r="F282" i="2"/>
  <c r="F297" i="2"/>
  <c r="F306" i="2"/>
  <c r="F316" i="2"/>
  <c r="F322" i="2"/>
  <c r="F327" i="2"/>
  <c r="F335" i="2"/>
  <c r="F345" i="2"/>
</calcChain>
</file>

<file path=xl/sharedStrings.xml><?xml version="1.0" encoding="utf-8"?>
<sst xmlns="http://schemas.openxmlformats.org/spreadsheetml/2006/main" count="1265" uniqueCount="692">
  <si>
    <t>Total</t>
  </si>
  <si>
    <t>Despesas Correntes:</t>
  </si>
  <si>
    <t>Despesas de Capital:</t>
  </si>
  <si>
    <r>
      <t xml:space="preserve">1.1 </t>
    </r>
    <r>
      <rPr>
        <b/>
        <u/>
        <sz val="9"/>
        <color indexed="60"/>
        <rFont val="Arial"/>
        <family val="2"/>
      </rPr>
      <t>Dados do Proponente</t>
    </r>
    <r>
      <rPr>
        <b/>
        <sz val="9"/>
        <color indexed="60"/>
        <rFont val="Arial"/>
        <family val="2"/>
      </rPr>
      <t>:</t>
    </r>
  </si>
  <si>
    <t>CNPJ do Proponente:</t>
  </si>
  <si>
    <t>Gestão:</t>
  </si>
  <si>
    <t>Título do Projeto:</t>
  </si>
  <si>
    <t>Objeto:</t>
  </si>
  <si>
    <t>Endereço:</t>
  </si>
  <si>
    <t>Município:</t>
  </si>
  <si>
    <t>UF:</t>
  </si>
  <si>
    <t>CEP:</t>
  </si>
  <si>
    <t>E-mail:</t>
  </si>
  <si>
    <t>Home Page:</t>
  </si>
  <si>
    <t>Possui Projetos anteriores com o FDD?</t>
  </si>
  <si>
    <t>Sim</t>
  </si>
  <si>
    <t>Não</t>
  </si>
  <si>
    <t>Nome do Responsável:</t>
  </si>
  <si>
    <t>CPF:</t>
  </si>
  <si>
    <t>RG:</t>
  </si>
  <si>
    <t>Celular:</t>
  </si>
  <si>
    <t>Telefone:</t>
  </si>
  <si>
    <t>Endereço Residencial:</t>
  </si>
  <si>
    <r>
      <t xml:space="preserve">1.2 </t>
    </r>
    <r>
      <rPr>
        <b/>
        <u/>
        <sz val="9"/>
        <color indexed="60"/>
        <rFont val="Arial"/>
        <family val="2"/>
      </rPr>
      <t>Responsável Legal pelo Proponente</t>
    </r>
    <r>
      <rPr>
        <b/>
        <sz val="9"/>
        <color indexed="60"/>
        <rFont val="Arial"/>
        <family val="2"/>
      </rPr>
      <t>:</t>
    </r>
  </si>
  <si>
    <r>
      <t xml:space="preserve">1.3 </t>
    </r>
    <r>
      <rPr>
        <b/>
        <u/>
        <sz val="9"/>
        <color indexed="60"/>
        <rFont val="Arial"/>
        <family val="2"/>
      </rPr>
      <t>Coordenador do Projeto</t>
    </r>
    <r>
      <rPr>
        <b/>
        <sz val="9"/>
        <color indexed="60"/>
        <rFont val="Arial"/>
        <family val="2"/>
      </rPr>
      <t>:</t>
    </r>
  </si>
  <si>
    <t>1. Identificação do Proponente</t>
  </si>
  <si>
    <t>2. Caracterização do Projeto</t>
  </si>
  <si>
    <r>
      <t xml:space="preserve">2.1 </t>
    </r>
    <r>
      <rPr>
        <b/>
        <u/>
        <sz val="9"/>
        <color indexed="60"/>
        <rFont val="Arial"/>
        <family val="2"/>
      </rPr>
      <t>Dados do Projeto</t>
    </r>
    <r>
      <rPr>
        <b/>
        <sz val="9"/>
        <color indexed="60"/>
        <rFont val="Arial"/>
        <family val="2"/>
      </rPr>
      <t>:</t>
    </r>
  </si>
  <si>
    <t>Objetivo Geral:</t>
  </si>
  <si>
    <r>
      <t xml:space="preserve">2.2 </t>
    </r>
    <r>
      <rPr>
        <b/>
        <u/>
        <sz val="9"/>
        <color indexed="60"/>
        <rFont val="Arial"/>
        <family val="2"/>
      </rPr>
      <t>Objetivos do Projeto</t>
    </r>
    <r>
      <rPr>
        <b/>
        <sz val="9"/>
        <color indexed="60"/>
        <rFont val="Arial"/>
        <family val="2"/>
      </rPr>
      <t>:</t>
    </r>
  </si>
  <si>
    <t>Objetivos Específicos:</t>
  </si>
  <si>
    <t>Esfera:</t>
  </si>
  <si>
    <t>Federal</t>
  </si>
  <si>
    <t>Eixo Temático:</t>
  </si>
  <si>
    <t>I - Promoção da recuperação, conservação e preservação do meio ambiente</t>
  </si>
  <si>
    <t>II - Proteção e defesa do consumidor</t>
  </si>
  <si>
    <t>III - Promoção e defesa da concorrência</t>
  </si>
  <si>
    <t>IV - Patrimônio cultural brasileiro</t>
  </si>
  <si>
    <t>V - Outros direitos difusos e coletivos</t>
  </si>
  <si>
    <t>Eixo Selecionado:</t>
  </si>
  <si>
    <t>Linhas Disponíveis:</t>
  </si>
  <si>
    <t>-</t>
  </si>
  <si>
    <r>
      <t xml:space="preserve">(A) - </t>
    </r>
    <r>
      <rPr>
        <u/>
        <sz val="9"/>
        <color indexed="8"/>
        <rFont val="Calibri"/>
        <family val="2"/>
      </rPr>
      <t>Implementação de espaços territoriais especialmente protegidos relacionados à conectividade</t>
    </r>
    <r>
      <rPr>
        <sz val="9"/>
        <rFont val="Arial"/>
        <family val="2"/>
      </rPr>
      <t>: projetos que contribuam para a conectividade de diferentes espécies de espaços ambientais protegidos e fragmentos de vegetação nativa.</t>
    </r>
  </si>
  <si>
    <r>
      <t xml:space="preserve">(B) - </t>
    </r>
    <r>
      <rPr>
        <u/>
        <sz val="9"/>
        <color indexed="8"/>
        <rFont val="Calibri"/>
        <family val="2"/>
      </rPr>
      <t>Conservação da água e das florestas</t>
    </r>
    <r>
      <rPr>
        <sz val="9"/>
        <rFont val="Arial"/>
        <family val="2"/>
      </rPr>
      <t>: projetos que contribuam para conservação, restauração, recuperação e uso sustentável dos recursos florestais e hídricos; que promovam a conservação e recuperação de nascentes e áreas de preservação permanente, além da recuperação de áreas degradadas.</t>
    </r>
  </si>
  <si>
    <r>
      <t xml:space="preserve">(C) - </t>
    </r>
    <r>
      <rPr>
        <u/>
        <sz val="9"/>
        <color indexed="8"/>
        <rFont val="Calibri"/>
        <family val="2"/>
      </rPr>
      <t>Promoção do consumo sustentável e da educação ambiental voltada para sustentabilidade</t>
    </r>
    <r>
      <rPr>
        <sz val="9"/>
        <rFont val="Arial"/>
        <family val="2"/>
      </rPr>
      <t>: Projetos que promovam a educação ambiental e o consumo consciente e que valorizem a produção sustentável e o uso ambientalmente adequado dos recursos naturais. Os recursos solicitados poderão contemplar a elaboração de material pedagógico de apoio ao projeto de educação ambiental a ser empreendido.</t>
    </r>
  </si>
  <si>
    <r>
      <t xml:space="preserve">(D) </t>
    </r>
    <r>
      <rPr>
        <u/>
        <sz val="9"/>
        <color indexed="8"/>
        <rFont val="Calibri"/>
        <family val="2"/>
      </rPr>
      <t>Ações de manejo e gestão de resíduos sólidos</t>
    </r>
    <r>
      <rPr>
        <sz val="9"/>
        <rFont val="Arial"/>
        <family val="2"/>
      </rPr>
      <t>: Projetos que incentivem o gerenciamento dos resíduos sólidos em áreas urbanas e rurais, contribuam para a implantação de políticas municipais ambientalmente corretas ou que promovam ações de redução, reutilização e reciclagem do lixo. Somente poderão ser beneficiados, pelo projeto apresentado por órgãos e pessoas jurídicas de direito público federais, municípios que tiverem seu Plano Municipal de Gestão Integrada de Resíduos Sólidos, conforme determina o art. 18 da Lei 12.305/10.</t>
    </r>
  </si>
  <si>
    <r>
      <t xml:space="preserve">(E) </t>
    </r>
    <r>
      <rPr>
        <u/>
        <sz val="9"/>
        <color indexed="8"/>
        <rFont val="Calibri"/>
        <family val="2"/>
      </rPr>
      <t>Conhecimentos tradicionais</t>
    </r>
    <r>
      <rPr>
        <sz val="9"/>
        <rFont val="Arial"/>
        <family val="2"/>
      </rPr>
      <t>: projetos que promovam o resgate, a valorização e a manutenção de práticas tradicionais de produção com base no uso sustentável dos recursos naturais, por meio de levantamentos, estudos, disseminação ou fortalecimento de tais práticas produtivas.</t>
    </r>
  </si>
  <si>
    <r>
      <t xml:space="preserve">(F) </t>
    </r>
    <r>
      <rPr>
        <u/>
        <sz val="9"/>
        <color indexed="8"/>
        <rFont val="Calibri"/>
        <family val="2"/>
      </rPr>
      <t>Fauna</t>
    </r>
    <r>
      <rPr>
        <sz val="9"/>
        <rFont val="Arial"/>
        <family val="2"/>
      </rPr>
      <t>: projetos que promovam a proteção do patrimônio da biodiversidade e a conservação das espécies da fauna brasileira, em especial das ameaçadas de extinção.</t>
    </r>
  </si>
  <si>
    <r>
      <t xml:space="preserve">(G) </t>
    </r>
    <r>
      <rPr>
        <u/>
        <sz val="9"/>
        <color indexed="8"/>
        <rFont val="Calibri"/>
        <family val="2"/>
      </rPr>
      <t>Fortalecimento da Gestão Ambiental Local</t>
    </r>
    <r>
      <rPr>
        <sz val="9"/>
        <rFont val="Arial"/>
        <family val="2"/>
      </rPr>
      <t>: projetos que promovam a implementação de mecanismos de gestão ambiental local, tais como: apoio à implementação do fundo municipal de meio ambiente, do Conselho Municipal de Meio Ambiente, sistema de licenciamento ambiental local, elaboração de legislação ambiental local, estruturação do setor de meio ambiente de municípios, a partir da compra de equipamentos e material permanente, capacitação para a equipe técnica da prefeitura responsável pela área ambiental, dentre outras ações.</t>
    </r>
  </si>
  <si>
    <r>
      <t xml:space="preserve">(H) </t>
    </r>
    <r>
      <rPr>
        <u/>
        <sz val="9"/>
        <color indexed="8"/>
        <rFont val="Calibri"/>
        <family val="2"/>
      </rPr>
      <t>Fortalecimento das Instituições Públicas envolvidas na fiscalização e controle ambiental</t>
    </r>
    <r>
      <rPr>
        <sz val="9"/>
        <rFont val="Arial"/>
        <family val="2"/>
      </rPr>
      <t>: projetos que promovam a qualificação administrativa e operacional de órgãos governamentais ligados à fiscalização e controle de práticas lesivas ao meio ambiente, por meio do fomento a capacitações de equipes, criação e implementação de salas de situação, aquisição de equipamentos e material permanente, promoção de estratégias de articulação entre as instituições públicas envolvidas nessa missão (Ministério Público, Polícia Militar Ambiental, Polícia Civil, Ibama, Oemas e Poder Judiciário) por meio da realização de seminários, reuniões de intercâmbio de agendas e organização de operações integradas.</t>
    </r>
  </si>
  <si>
    <r>
      <t xml:space="preserve">(A) - </t>
    </r>
    <r>
      <rPr>
        <u/>
        <sz val="9"/>
        <color indexed="8"/>
        <rFont val="Calibri"/>
        <family val="2"/>
      </rPr>
      <t>Educação para o consumo</t>
    </r>
    <r>
      <rPr>
        <sz val="9"/>
        <rFont val="Arial"/>
        <family val="2"/>
      </rPr>
      <t>: elaboração de materiais informativos e de divulgação (cartilhas, livros, vídeos, cartazes e outros) e/ou realização de eventos que versem sobre as temáticas de direitos do consumidor (palestras, cursos, inclusive de especialização, seminários, congressos e outros), que visem esclarecer aos agentes de mercado (consumidores,  fornecedores e estado) sobre direitos básicos do consumidor, administração do orçamento familiar, consumo responsável de crédito, prevenção e combate ao superendividamento, pesquisa de preços, conscientização contra publicidades enganosas ou abusivas, responsabilidade socioambiental e consumo sustentável, alimentação saudável e segura, saúde suplementar, dentre outros.</t>
    </r>
  </si>
  <si>
    <r>
      <t xml:space="preserve">(B) </t>
    </r>
    <r>
      <rPr>
        <u/>
        <sz val="9"/>
        <color indexed="8"/>
        <rFont val="Calibri"/>
        <family val="2"/>
      </rPr>
      <t>Proteção à vida, saúde e segurança do consumidor</t>
    </r>
    <r>
      <rPr>
        <sz val="9"/>
        <rFont val="Arial"/>
        <family val="2"/>
      </rPr>
      <t>: estudos técnicos sobre acidentes de consumo e/ou efetividade das campanhas de chamamento (recalls); que promovam campanhas educativas direcionadas ao público em geral sobre a importância do consumo seguro e do atendimento às campanhas de chamamento (recalls); que promovam estudos técnicos sobre a efetividade das políticas públicas de saúde e segurança dos consumidores; que fomentem a criação ou fortalecimento de redes locais de consumo seguro e saúde, por meio de congressos, palestras, seminários, workshops, oficinas temáticas, com vistas ao aperfeiçoamento do monitoramento dos dados e da prevenção de acidentes de consumo; projetos que viabilizem as parcerias entre órgãos públicos e entidades civis de proteção e defesa do consumidor e estabelecimentos de saúde para utilização do Sistema de Informações de Acidentes de Consumo - SIAC, por meio da organização de estrutura própria para armazenamento e monitoramento dos dados do sistema, bem como de pessoal capacitado para operar o SIAC e realizar a interlocução entre os profissionais de saúde e órgãos e entidades de proteção do consumidor.</t>
    </r>
  </si>
  <si>
    <r>
      <t xml:space="preserve">(C) </t>
    </r>
    <r>
      <rPr>
        <u/>
        <sz val="9"/>
        <color indexed="8"/>
        <rFont val="Calibri"/>
        <family val="2"/>
      </rPr>
      <t>Proteção ao direito à informação e alimentação saudável</t>
    </r>
    <r>
      <rPr>
        <sz val="9"/>
        <rFont val="Arial"/>
        <family val="2"/>
      </rPr>
      <t>: projetos que apresentem estudos técnicos e/ou campanhas educativas acerca da compreensão do consumidor sobre a rotulagem e/ou publicidade de alimentos (informações nutricionais, informações obrigatórias de rotulagem, informações sobre a composição, informações enganosas e/ou abusivas, etc); bem como projetos que promovam campanhas educativas direcionadas ao público em geral sobre a importância da alimentação saudável e do consumo seguro de alimentos, com vistas ao esclarecimento dos consumidores e ao estímulo para produção e comercialização de alimentos saudáveis e seguros.</t>
    </r>
  </si>
  <si>
    <r>
      <t xml:space="preserve">(D) </t>
    </r>
    <r>
      <rPr>
        <u/>
        <sz val="9"/>
        <color indexed="8"/>
        <rFont val="Calibri"/>
        <family val="2"/>
      </rPr>
      <t>Proteção do consumidor turista</t>
    </r>
    <r>
      <rPr>
        <sz val="9"/>
        <rFont val="Arial"/>
        <family val="2"/>
      </rPr>
      <t>: projetos que tenham como objetivo estimular o turismo seguro e responsável, considerando aspectos como informação e responsabilidade quanto ao cumprimento do CDC pelos fornecedores ligados a toda cadeia produtiva, considerando, ainda, a necessidade do aprimoramento da prestação de serviços nos diversos setores envolvidos.</t>
    </r>
  </si>
  <si>
    <r>
      <t xml:space="preserve">(E) </t>
    </r>
    <r>
      <rPr>
        <u/>
        <sz val="9"/>
        <color indexed="8"/>
        <rFont val="Calibri"/>
        <family val="2"/>
      </rPr>
      <t>Proteção do consumidor no comércio eletrônico</t>
    </r>
    <r>
      <rPr>
        <sz val="9"/>
        <rFont val="Arial"/>
        <family val="2"/>
      </rPr>
      <t>: projetos que tenham o objetivo de desenvolver estudos e ações que ampliem a proteção do consumidor no comércio eletrônico, considerando aspectos de confiança e boa-fé, bem como o estudo da Internet das coisas e da economia do compartilhamento.</t>
    </r>
  </si>
  <si>
    <r>
      <t xml:space="preserve">(F) </t>
    </r>
    <r>
      <rPr>
        <u/>
        <sz val="9"/>
        <color indexed="8"/>
        <rFont val="Calibri"/>
        <family val="2"/>
      </rPr>
      <t>Métodos alternativos de solução de controvérsias nas relações de consumo</t>
    </r>
    <r>
      <rPr>
        <sz val="9"/>
        <rFont val="Arial"/>
        <family val="2"/>
      </rPr>
      <t>: projetos que tenham como objetivo a implementação e o aprimoramento de métodos alternativos de solução de controvérsias, como a mediação e a arbitragem, nas relações de consumo.</t>
    </r>
  </si>
  <si>
    <r>
      <t xml:space="preserve">(G) </t>
    </r>
    <r>
      <rPr>
        <u/>
        <sz val="9"/>
        <color indexed="8"/>
        <rFont val="Calibri"/>
        <family val="2"/>
      </rPr>
      <t>Plataformas digitais e inteligência artificial</t>
    </r>
    <r>
      <rPr>
        <sz val="9"/>
        <rFont val="Arial"/>
        <family val="2"/>
      </rPr>
      <t>: projetos de desenvolvimento de plataformas digitais aptas à detecção e à solução de disputas massificadas de consumidores, bem como de coleta e interpretação de dados relacionados às controvérsias em relações de consumo.</t>
    </r>
  </si>
  <si>
    <r>
      <t xml:space="preserve">(H) </t>
    </r>
    <r>
      <rPr>
        <u/>
        <sz val="9"/>
        <color indexed="8"/>
        <rFont val="Calibri"/>
        <family val="2"/>
      </rPr>
      <t>Agências reguladoras e direito do consumidor</t>
    </r>
    <r>
      <rPr>
        <sz val="9"/>
        <rFont val="Arial"/>
        <family val="2"/>
      </rPr>
      <t>: projetos visando ao aprimoramento do diálogo entre as agências reguladoras e o Sistema Brasileiro de Defesa do Consumidor, inclusive quanto aos mecanismos de integração operacional dos entes públicos.</t>
    </r>
  </si>
  <si>
    <r>
      <t xml:space="preserve">(I) </t>
    </r>
    <r>
      <rPr>
        <u/>
        <sz val="9"/>
        <color indexed="8"/>
        <rFont val="Calibri"/>
        <family val="2"/>
      </rPr>
      <t>Modernização administrativa</t>
    </r>
    <r>
      <rPr>
        <sz val="9"/>
        <rFont val="Arial"/>
        <family val="2"/>
      </rPr>
      <t>: projetos de modernização administrativa de órgãos governamentais ligados à proteção e defesa do consumidor, inclusive dando suporte à promoção e realização de seminários, programas de treinamento de pessoal, aprofundamento técnico e científico, especialização em conhecimentos jurídicos em matéria de relação de consumo e programas de estágio.</t>
    </r>
  </si>
  <si>
    <r>
      <t xml:space="preserve">(A) </t>
    </r>
    <r>
      <rPr>
        <u/>
        <sz val="9"/>
        <color indexed="8"/>
        <rFont val="Calibri"/>
        <family val="2"/>
      </rPr>
      <t>Projetos educativos</t>
    </r>
    <r>
      <rPr>
        <sz val="9"/>
        <rFont val="Arial"/>
        <family val="2"/>
      </rPr>
      <t>: elaboração de materiais informativos e de divulgação (cartilhas, livros, vídeos, cartazes e outros) e/ou a realização de eventos que versem sobre as temáticas de proteção à livre concorrência e à livre iniciativa (como palestras, cursos, seminários e congressos), que visem (i) conscientizar as empresas, principalmente as de pequeno e médio porte, a respeito de práticas anticompetitivas, seus prejuízos para o mercado e sanções aplicáveis; (ii) esclarecer a sociedade e esferas de governo sobre a importância da livre concorrência e identificação de prática de cartel e outras condutas abusivas ou anticoncorrenciais e da criação de barreiras à concorrência pela regulação econômica; (iii) promover a competitividade e a concorrência, dentre outros.</t>
    </r>
  </si>
  <si>
    <r>
      <t xml:space="preserve">(B) </t>
    </r>
    <r>
      <rPr>
        <u/>
        <sz val="9"/>
        <color indexed="8"/>
        <rFont val="Calibri"/>
        <family val="2"/>
      </rPr>
      <t>Proteção do ambiente concorrencial</t>
    </r>
    <r>
      <rPr>
        <sz val="9"/>
        <rFont val="Arial"/>
        <family val="2"/>
      </rPr>
      <t>: projetos relativos a: i) promoção de medidas dirigidas à eliminação de práticas que potencialmente ou efetivamente atinjam o equilíbrio natural do mercado, tais como cartéis, trustes, concertos de mercado e demais práticas artificiais que eliminem o direito de livre escolha do consumidor ou a formação natural de preços; ii) conscientização de que os consumidores são agentes de mercado com potencial para modificação do meio no qual se inserem a partir de comportamentos proativos como a denúncia perante órgãos competentes de práticas  anticompetitivas, como formação de cartéis, venda casada, dentre outros.</t>
    </r>
  </si>
  <si>
    <r>
      <t xml:space="preserve">(C) </t>
    </r>
    <r>
      <rPr>
        <u/>
        <sz val="9"/>
        <color indexed="8"/>
        <rFont val="Calibri"/>
        <family val="2"/>
      </rPr>
      <t>Mercados regulados e concorrência</t>
    </r>
    <r>
      <rPr>
        <sz val="9"/>
        <rFont val="Arial"/>
        <family val="2"/>
      </rPr>
      <t>: projetos voltados à conscientização sobre o papel da defesa da concorrência e dos órgãos do Sistema Brasileiro de Defesa da Concorrência - SBDC, no tocante à importância da função regulatória, incluindo as sugestões de aperfeiçoamento da estrutura e funcionamento dos entes reguladores e promoção de ações de cooperação técnica.</t>
    </r>
  </si>
  <si>
    <r>
      <t xml:space="preserve">(D) </t>
    </r>
    <r>
      <rPr>
        <u/>
        <sz val="9"/>
        <color indexed="8"/>
        <rFont val="Calibri"/>
        <family val="2"/>
      </rPr>
      <t>Estudos técnicos e acadêmicos</t>
    </r>
    <r>
      <rPr>
        <sz val="9"/>
        <rFont val="Arial"/>
        <family val="2"/>
      </rPr>
      <t>: projetos que promovam estudos técnicos e/ou acadêmicos sobre: cálculo de dano em cartéis e em outras condutas anticompetitivas, análise quantitativa de sanções pecuniárias, relação entre competitividade e concorrência, relação entre regulação e concorrência, implicações concorrenciais do comércio internacional (defesa comercial e defesa da concorrência), estrutura e dinâmica de mercados específicos, análises setoriais voltadas para a defesa da concorrência (abordando temas como controle societário, concentração de mercado, formação de preço, barreiras à entrada, dinâmica do setor, características dos produtos etc.), análises comparativas sobre a atuação antitruste em outras jurisdições, entre outros.</t>
    </r>
  </si>
  <si>
    <r>
      <t xml:space="preserve">(E) </t>
    </r>
    <r>
      <rPr>
        <u/>
        <sz val="9"/>
        <color indexed="8"/>
        <rFont val="Calibri"/>
        <family val="2"/>
      </rPr>
      <t>Advocacia da concorrência</t>
    </r>
    <r>
      <rPr>
        <sz val="9"/>
        <rFont val="Arial"/>
        <family val="2"/>
      </rPr>
      <t>: projetos relacionados à promoção do tema defesa da concorrência no meio empresarial, acadêmico, governamental, comunidade internacional, dentre outros, como forma de divulgar e debater os temas relacionados à concorrência e regulação e à atuação do Sistema Brasileiro de Defesa da Concorrência - SBDC.</t>
    </r>
  </si>
  <si>
    <r>
      <t>(F) M</t>
    </r>
    <r>
      <rPr>
        <u/>
        <sz val="9"/>
        <color indexed="8"/>
        <rFont val="Calibri"/>
        <family val="2"/>
      </rPr>
      <t>étodos alternativos de solução de controvérsias nas relações concorrenciais</t>
    </r>
    <r>
      <rPr>
        <sz val="9"/>
        <rFont val="Arial"/>
        <family val="2"/>
      </rPr>
      <t>: projetos que tenham como objetivo a implementação e o aprimoramento de métodos alternativos de solução de controvérsias, como a mediação e a arbitragem, nas relações concorrenciais.</t>
    </r>
  </si>
  <si>
    <r>
      <t xml:space="preserve">(G) </t>
    </r>
    <r>
      <rPr>
        <u/>
        <sz val="9"/>
        <color indexed="8"/>
        <rFont val="Calibri"/>
        <family val="2"/>
      </rPr>
      <t>Relações entre direito da concorrência e defesa do consumidor</t>
    </r>
    <r>
      <rPr>
        <sz val="9"/>
        <rFont val="Arial"/>
        <family val="2"/>
      </rPr>
      <t>: projetos que abordem temas que sejam afeitos ao direito da concorrência e ao direito do consumidor, tendo em vista a existência de pontos de interseção entre as matérias.</t>
    </r>
  </si>
  <si>
    <r>
      <t xml:space="preserve">(H) </t>
    </r>
    <r>
      <rPr>
        <u/>
        <sz val="9"/>
        <color indexed="8"/>
        <rFont val="Calibri"/>
        <family val="2"/>
      </rPr>
      <t>Modernização administrativa</t>
    </r>
    <r>
      <rPr>
        <sz val="9"/>
        <rFont val="Arial"/>
        <family val="2"/>
      </rPr>
      <t>: propostas de projetos que versem sobre a modernização administrativa de órgãos governamentais ligados ao Sistema Brasileiro de Defesa da Concorrência - SBDC, inclusive dando suporte à promoção e realização de seminários, programas de treinamento de pessoal, aprofundamento técnico, tecnológico e científico, especialização em conhecimentos jurídicos em matéria relacionadas a concorrência, lavagem de dinheiro e demais matérias correlatas e programas de estágio.</t>
    </r>
  </si>
  <si>
    <r>
      <t xml:space="preserve">(A) </t>
    </r>
    <r>
      <rPr>
        <u/>
        <sz val="9"/>
        <color indexed="8"/>
        <rFont val="Calibri"/>
        <family val="2"/>
      </rPr>
      <t>Salvaguarda de bens culturais de natureza imaterial</t>
    </r>
    <r>
      <rPr>
        <sz val="9"/>
        <rFont val="Arial"/>
        <family val="2"/>
      </rPr>
      <t>: projetos que apoiem comunidades e grupos sociais na realização de ações que visem à preservação de seus bens culturais de natureza imaterial.</t>
    </r>
  </si>
  <si>
    <r>
      <t xml:space="preserve">(B) </t>
    </r>
    <r>
      <rPr>
        <u/>
        <sz val="9"/>
        <color indexed="8"/>
        <rFont val="Calibri"/>
        <family val="2"/>
      </rPr>
      <t>Preservação dos bens culturais de natureza material</t>
    </r>
    <r>
      <rPr>
        <sz val="9"/>
        <rFont val="Arial"/>
        <family val="2"/>
      </rPr>
      <t>: projetos de restauração, conservação ou manutenção do patrimônio histórico ou artístico de natureza material; recuperação de sítios arqueológicos; revitalização de sítios históricos; preservação de bens móveis e integrados.</t>
    </r>
  </si>
  <si>
    <r>
      <t xml:space="preserve">(C) </t>
    </r>
    <r>
      <rPr>
        <u/>
        <sz val="9"/>
        <color indexed="8"/>
        <rFont val="Calibri"/>
        <family val="2"/>
      </rPr>
      <t>Fortalecimento das redes de gestão do patrimônio cultural</t>
    </r>
    <r>
      <rPr>
        <sz val="9"/>
        <rFont val="Arial"/>
        <family val="2"/>
      </rPr>
      <t>: projetos que tenham como objetivo a capacitação de técnicos e gestores em patrimônio cultural, a estruturação de órgãos estaduais e municipais de patrimônio e a elaboração de estudos que subsidiem a criação de legislação específica e de políticas públicas voltadas para a preservação do patrimônio cultural.</t>
    </r>
  </si>
  <si>
    <r>
      <t xml:space="preserve">(D) </t>
    </r>
    <r>
      <rPr>
        <u/>
        <sz val="9"/>
        <color indexed="8"/>
        <rFont val="Calibri"/>
        <family val="2"/>
      </rPr>
      <t>Educação patrimonial</t>
    </r>
    <r>
      <rPr>
        <sz val="9"/>
        <rFont val="Arial"/>
        <family val="2"/>
      </rPr>
      <t>: projetos que promovam o desenvolvimento de ações e/ou programas educativos, com vistas à preservação, democratização e difusão do patrimônio cultural brasileiro.</t>
    </r>
  </si>
  <si>
    <r>
      <t xml:space="preserve">(E) </t>
    </r>
    <r>
      <rPr>
        <u/>
        <sz val="9"/>
        <color indexed="8"/>
        <rFont val="Calibri"/>
        <family val="2"/>
      </rPr>
      <t>Pesquisa e documentação de bens culturais</t>
    </r>
    <r>
      <rPr>
        <sz val="9"/>
        <rFont val="Arial"/>
        <family val="2"/>
      </rPr>
      <t>: projetos que promovam a produção de conhecimento sobre bens culturais de natureza imaterial ou material através de levantamentos, inventários, instrução para processo de registro ou tombamento, dentre outros, visando o seu reconhecimento, preservação e salvaguarda.</t>
    </r>
  </si>
  <si>
    <r>
      <t xml:space="preserve">(F) </t>
    </r>
    <r>
      <rPr>
        <u/>
        <sz val="9"/>
        <color indexed="8"/>
        <rFont val="Calibri"/>
        <family val="2"/>
      </rPr>
      <t>Preservação de acervos</t>
    </r>
    <r>
      <rPr>
        <sz val="9"/>
        <rFont val="Arial"/>
        <family val="2"/>
      </rPr>
      <t>: projetos de conservação, organização, digitalização, gestão eletrônica de documentos e divulgação de acervos de museus, bibliotecas, arquivos, centros de documentação e outras instituições de natureza semelhante, assim como pesquisas de memória e história, relacionadas a esses acervos.</t>
    </r>
  </si>
  <si>
    <r>
      <t xml:space="preserve">(G) </t>
    </r>
    <r>
      <rPr>
        <u/>
        <sz val="9"/>
        <color indexed="8"/>
        <rFont val="Calibri"/>
        <family val="2"/>
      </rPr>
      <t>Diversidade linguística</t>
    </r>
    <r>
      <rPr>
        <sz val="9"/>
        <rFont val="Arial"/>
        <family val="2"/>
      </rPr>
      <t>: projetos que promovam a produção de conhecimento sobre as línguas minoritárias faladas no Brasil, por meio de inventários, documentação audiovisual, interfaces digitais e publicações, em especial utilizando-se como suporte o Guia do Inventário Nacional da Diversidade Linguística, a partir das seguintes categorias: línguas indígenas, línguas de imigração, línguas crioulas e línguas afro-brasileiras.</t>
    </r>
  </si>
  <si>
    <r>
      <t xml:space="preserve">(A) </t>
    </r>
    <r>
      <rPr>
        <u/>
        <sz val="9"/>
        <color indexed="8"/>
        <rFont val="Calibri"/>
        <family val="2"/>
      </rPr>
      <t>Igualdade racial</t>
    </r>
    <r>
      <rPr>
        <sz val="9"/>
        <rFont val="Arial"/>
        <family val="2"/>
      </rPr>
      <t>: projetos voltados à promoção da igualdade racial, contemplando comunidades tradicionais, indígenas e quilombolas, e iniciativas de formação, educação e fortalecimento de ações afirmativas, dentre outros.</t>
    </r>
  </si>
  <si>
    <r>
      <t xml:space="preserve">(B) </t>
    </r>
    <r>
      <rPr>
        <u/>
        <sz val="9"/>
        <color indexed="8"/>
        <rFont val="Calibri"/>
        <family val="2"/>
      </rPr>
      <t>Acessibilidade e inclusão de pessoas com deficiência</t>
    </r>
    <r>
      <rPr>
        <sz val="9"/>
        <rFont val="Arial"/>
        <family val="2"/>
      </rPr>
      <t>: projetos voltados à acessibilidade e à inclusão de pessoas com deficiência, contemplando, dentre outros, a eliminação de barreiras físicas e culturais no acesso a direitos e serviços, auxiliando a alavancar seus processos comunicativos e sua independência. Entram no escopo dessa linha temática projetos envolvendo o desenvolvimento de ferramentas do mundo digital (softwares, aplicativos, programas etc); o desenvolvimento de novas ferramentas comunicativas; a elaboração de projetos de acessibilidade em Museus e Centros Culturais; o apoio a projetos que promovam a inclusão de pessoas com deficiência, dentre outros.</t>
    </r>
  </si>
  <si>
    <r>
      <t xml:space="preserve">(C) </t>
    </r>
    <r>
      <rPr>
        <u/>
        <sz val="9"/>
        <color indexed="8"/>
        <rFont val="Calibri"/>
        <family val="2"/>
      </rPr>
      <t>Proteção e inclusão de vulneráveis</t>
    </r>
    <r>
      <rPr>
        <sz val="9"/>
        <rFont val="Arial"/>
        <family val="2"/>
      </rPr>
      <t>: projetos voltados à proteção e à inclusão de vulneráveis, como crianças e adolescentes, idosos e pessoas com deficiência;</t>
    </r>
  </si>
  <si>
    <r>
      <t xml:space="preserve">(D) </t>
    </r>
    <r>
      <rPr>
        <u/>
        <sz val="9"/>
        <color indexed="8"/>
        <rFont val="Calibri"/>
        <family val="2"/>
      </rPr>
      <t>Acessibilidade e inclusão de pessoas em situação de vulnerabilidade social</t>
    </r>
    <r>
      <rPr>
        <sz val="9"/>
        <rFont val="Arial"/>
        <family val="2"/>
      </rPr>
      <t>: propostas de projetos voltados à acessibilidade, à inclusão, à inserção e à reinserção social de pessoas em situação de vulnerabilidade social por problemas relacionados, dentre outros, ao uso de álcool e outras drogas, à situação de migrante ou de refugiado, ao tráfico de pessoas e à população que se encontra em situação de rua.</t>
    </r>
  </si>
  <si>
    <r>
      <t xml:space="preserve">(E) </t>
    </r>
    <r>
      <rPr>
        <u/>
        <sz val="9"/>
        <color indexed="8"/>
        <rFont val="Calibri"/>
        <family val="2"/>
      </rPr>
      <t>Igualdade de gênero</t>
    </r>
    <r>
      <rPr>
        <sz val="9"/>
        <rFont val="Arial"/>
        <family val="2"/>
      </rPr>
      <t>: projetos que promovam ações voltadas ao enfrentamento das desigualdades de gênero e à garantia dos direitos e da autonomia das mulheres.</t>
    </r>
  </si>
  <si>
    <r>
      <t xml:space="preserve">(F) </t>
    </r>
    <r>
      <rPr>
        <u/>
        <sz val="9"/>
        <color indexed="8"/>
        <rFont val="Calibri"/>
        <family val="2"/>
      </rPr>
      <t>Prevenção e combate à violência contra a mulher</t>
    </r>
    <r>
      <rPr>
        <sz val="9"/>
        <rFont val="Arial"/>
        <family val="2"/>
      </rPr>
      <t>: projetos que promovam ações educacionais e culturais de prevenção à violência contra a mulher e ampliação do acesso das mulheres à justiça e aos serviços de segurança pública, bem como que incentivem a criação de redes de apoio e de serviços às mulheres vítimas de violência.</t>
    </r>
  </si>
  <si>
    <r>
      <t xml:space="preserve">(G) </t>
    </r>
    <r>
      <rPr>
        <u/>
        <sz val="9"/>
        <color indexed="8"/>
        <rFont val="Calibri"/>
        <family val="2"/>
      </rPr>
      <t>Projetos de natureza trabalhista</t>
    </r>
    <r>
      <rPr>
        <sz val="9"/>
        <rFont val="Arial"/>
        <family val="2"/>
      </rPr>
      <t>: projetos voltados à reparação de danos causados a bens e direitos coletivos ou difusos de natureza trabalhista, contemplando, dentre outros, o combate e a erradicação do trabalho escravo e do trabalho infantil, o combate às fraudes administrativas e a promoção da igualdade entre os trabalhadores.</t>
    </r>
  </si>
  <si>
    <r>
      <t xml:space="preserve">(H) </t>
    </r>
    <r>
      <rPr>
        <u/>
        <sz val="9"/>
        <color indexed="8"/>
        <rFont val="Calibri"/>
        <family val="2"/>
      </rPr>
      <t>Patrimônio público e probidade administrativa</t>
    </r>
    <r>
      <rPr>
        <sz val="9"/>
        <rFont val="Arial"/>
        <family val="2"/>
      </rPr>
      <t>: projetos que contribuam para a prevenção e combate sistêmico à prática de improbidade administrativa e corrupção nas esferas federal, estadual e municipal, assim como programas que objetivem conscientizar os gestores sobre as melhores práticas de gestão, transparência e controle de recursos públicos.</t>
    </r>
  </si>
  <si>
    <t>Estadual 
Distrital</t>
  </si>
  <si>
    <t>Municipal</t>
  </si>
  <si>
    <t>OSC</t>
  </si>
  <si>
    <t>Duração do Projeto:</t>
  </si>
  <si>
    <t>meses</t>
  </si>
  <si>
    <t>Início do Projeto:</t>
  </si>
  <si>
    <t>Término do Projeto:</t>
  </si>
  <si>
    <t>Cargo:</t>
  </si>
  <si>
    <t>Valor solicitado ao FDD:</t>
  </si>
  <si>
    <r>
      <t xml:space="preserve">Público Alvo
</t>
    </r>
    <r>
      <rPr>
        <sz val="8"/>
        <rFont val="Arial"/>
        <family val="2"/>
      </rPr>
      <t xml:space="preserve"> (favorecido indiretamente)</t>
    </r>
    <r>
      <rPr>
        <sz val="9"/>
        <rFont val="Arial"/>
        <family val="2"/>
      </rPr>
      <t>:</t>
    </r>
  </si>
  <si>
    <r>
      <t xml:space="preserve">Público Alvo
</t>
    </r>
    <r>
      <rPr>
        <sz val="8"/>
        <rFont val="Arial"/>
        <family val="2"/>
      </rPr>
      <t xml:space="preserve"> (favorecido diretamente)</t>
    </r>
    <r>
      <rPr>
        <sz val="9"/>
        <rFont val="Arial"/>
        <family val="2"/>
      </rPr>
      <t>:</t>
    </r>
  </si>
  <si>
    <r>
      <t xml:space="preserve">1.4 </t>
    </r>
    <r>
      <rPr>
        <b/>
        <u/>
        <sz val="9"/>
        <color indexed="60"/>
        <rFont val="Arial"/>
        <family val="2"/>
      </rPr>
      <t>Caracterização da Instituição Proponente</t>
    </r>
    <r>
      <rPr>
        <b/>
        <sz val="9"/>
        <color indexed="60"/>
        <rFont val="Arial"/>
        <family val="2"/>
      </rPr>
      <t>:</t>
    </r>
  </si>
  <si>
    <t>Breve Histórico da Instituição Proponente:</t>
  </si>
  <si>
    <r>
      <t xml:space="preserve">Quantas </t>
    </r>
    <r>
      <rPr>
        <b/>
        <sz val="9"/>
        <rFont val="Arial"/>
        <family val="2"/>
      </rPr>
      <t>metas</t>
    </r>
    <r>
      <rPr>
        <sz val="9"/>
        <rFont val="Arial"/>
        <family val="2"/>
      </rPr>
      <t xml:space="preserve"> possui o projeto?</t>
    </r>
  </si>
  <si>
    <t>01</t>
  </si>
  <si>
    <t>03</t>
  </si>
  <si>
    <t>04</t>
  </si>
  <si>
    <t>05</t>
  </si>
  <si>
    <t>06</t>
  </si>
  <si>
    <t>07</t>
  </si>
  <si>
    <t>08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</si>
  <si>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</si>
  <si>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</si>
  <si>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</si>
  <si>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</si>
  <si>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</si>
  <si>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</si>
  <si>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</si>
  <si>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</si>
  <si>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</si>
  <si>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</si>
  <si>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</si>
  <si>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</si>
  <si>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</si>
  <si>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</si>
  <si>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</si>
  <si>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</si>
  <si>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</si>
  <si>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</si>
  <si>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</si>
  <si>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</si>
  <si>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</si>
  <si>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</si>
  <si>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</si>
  <si>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</si>
  <si>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</si>
  <si>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</si>
  <si>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</si>
  <si>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</si>
  <si>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</si>
  <si>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</si>
  <si>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</si>
  <si>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</si>
  <si>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</si>
  <si>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</si>
  <si>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45</t>
  </si>
  <si>
    <t>46</t>
  </si>
  <si>
    <t>47</t>
  </si>
  <si>
    <t>48</t>
  </si>
  <si>
    <t>49</t>
  </si>
  <si>
    <t>51</t>
  </si>
  <si>
    <t>52</t>
  </si>
  <si>
    <t>53</t>
  </si>
  <si>
    <t>54</t>
  </si>
  <si>
    <t>55</t>
  </si>
  <si>
    <t>56</t>
  </si>
  <si>
    <t>57</t>
  </si>
  <si>
    <t>58</t>
  </si>
  <si>
    <t>59</t>
  </si>
  <si>
    <t>61</t>
  </si>
  <si>
    <t>62</t>
  </si>
  <si>
    <t>63</t>
  </si>
  <si>
    <t>64</t>
  </si>
  <si>
    <t>65</t>
  </si>
  <si>
    <t>66</t>
  </si>
  <si>
    <t>67</t>
  </si>
  <si>
    <t>70</t>
  </si>
  <si>
    <t>71</t>
  </si>
  <si>
    <t>72</t>
  </si>
  <si>
    <t>73</t>
  </si>
  <si>
    <t>74</t>
  </si>
  <si>
    <t>75</t>
  </si>
  <si>
    <t>76</t>
  </si>
  <si>
    <t>77</t>
  </si>
  <si>
    <t>81</t>
  </si>
  <si>
    <t>82</t>
  </si>
  <si>
    <t>83</t>
  </si>
  <si>
    <t>84</t>
  </si>
  <si>
    <t>91</t>
  </si>
  <si>
    <t>92</t>
  </si>
  <si>
    <t>93</t>
  </si>
  <si>
    <t>94</t>
  </si>
  <si>
    <t>95</t>
  </si>
  <si>
    <t>96</t>
  </si>
  <si>
    <t>97</t>
  </si>
  <si>
    <t>98</t>
  </si>
  <si>
    <t>99</t>
  </si>
  <si>
    <t>01 Aposentadorias do RPPS, Reserva Remunerada e Reformas dos Militares</t>
  </si>
  <si>
    <t>03 Pensões do RPPS e do militar</t>
  </si>
  <si>
    <t>04 Contratação por Tempo Determinado</t>
  </si>
  <si>
    <t>05 Outros Benefícios Previdenciários do servidor ou do militar</t>
  </si>
  <si>
    <t>06 Benefício Mensal ao Deficiente e ao Idoso</t>
  </si>
  <si>
    <t>07 Contribuição a Entidades Fechadas de Previdência</t>
  </si>
  <si>
    <t>08 Outros Benefícios Assistenciais do servidor e do militar</t>
  </si>
  <si>
    <t>10 Seguro Desemprego e Abono Salarial</t>
  </si>
  <si>
    <t>11 Vencimentos e Vantagens Fixas - Pessoal Civil</t>
  </si>
  <si>
    <t>12 Vencimentos e Vantagens Fixas - Pessoal Militar</t>
  </si>
  <si>
    <t>13 Obrigações Patronais</t>
  </si>
  <si>
    <t>14 Diárias - Civil</t>
  </si>
  <si>
    <t>15 Diárias - Militar</t>
  </si>
  <si>
    <t>16 Outras Despesas Variáveis - Pessoal Civil</t>
  </si>
  <si>
    <t>17 Outras Despesas Variáveis - Pessoal Militar</t>
  </si>
  <si>
    <t>18 Auxílio Financeiro a Estudantes</t>
  </si>
  <si>
    <t>19 Auxílio-Fardamento</t>
  </si>
  <si>
    <t>20 Auxílio Financeiro a Pesquisadores</t>
  </si>
  <si>
    <t>21 Juros sobre a Dívida por Contrato</t>
  </si>
  <si>
    <t>22 Outros Encargos sobre a Dívida por Contrato</t>
  </si>
  <si>
    <t>23 Juros, Deságios e Descontos da Dívida Mobiliária</t>
  </si>
  <si>
    <t>24 Outros Encargos sobre a Dívida Mobiliária</t>
  </si>
  <si>
    <t>25 Encargos sobre Operações de Crédito por Antecipação da Receita</t>
  </si>
  <si>
    <t>26 Obrigações decorrentes de Política Monetária</t>
  </si>
  <si>
    <t>27 Encargos pela Honra de Avais, Garantias, Seguros e Similares</t>
  </si>
  <si>
    <t>28 Remuneração de Cotas de Fundos Autárquicos</t>
  </si>
  <si>
    <t>29 Distribuição de Resultado de Empresas Estatais Dependentes</t>
  </si>
  <si>
    <t>30 Material de Consumo</t>
  </si>
  <si>
    <t>31 Premiações Culturais, Artísticas, Científicas, Desportivas e Outras</t>
  </si>
  <si>
    <t>32 Material, Bem ou Serviço para Distribuição Gratuita</t>
  </si>
  <si>
    <t>33 Passagens e Despesas com Locomoção</t>
  </si>
  <si>
    <t>34 Outras Despesas de Pessoal decorrentes de Contratos de Terceirização</t>
  </si>
  <si>
    <t>35 Serviços de Consultoria</t>
  </si>
  <si>
    <t>36 Outros Serviços de Terceiros - Pessoa Física</t>
  </si>
  <si>
    <t>37 Locação de Mão-de-Obra</t>
  </si>
  <si>
    <t>38 Arrendamento Mercantil</t>
  </si>
  <si>
    <t>39 Outros Serviços de Terceiros - Pessoa Jurídica</t>
  </si>
  <si>
    <t>40 Serviços de Tecnologia da Informação e Comunicação – Pessoa Jurídica</t>
  </si>
  <si>
    <t>41 Contribuições</t>
  </si>
  <si>
    <t>42 Auxílios</t>
  </si>
  <si>
    <t>43 Subvenções Sociais</t>
  </si>
  <si>
    <t>45 Subvenções Econômicas</t>
  </si>
  <si>
    <t>46 Auxílio-Alimentação</t>
  </si>
  <si>
    <t>47 Obrigações Tributárias e Contributivas</t>
  </si>
  <si>
    <t>48 Outros Auxílios Financeiros a Pessoas Físicas</t>
  </si>
  <si>
    <t>49 Auxílio-Transporte</t>
  </si>
  <si>
    <t>51 Obras e Instalações</t>
  </si>
  <si>
    <t>52 Equipamentos e Material Permanente</t>
  </si>
  <si>
    <t>53 Aposentadorias do RGPS - Área Rural</t>
  </si>
  <si>
    <t>54 Aposentadorias do RGPS - Área Urbana</t>
  </si>
  <si>
    <t>55 Pensões do RGPS - Área Rural</t>
  </si>
  <si>
    <t>56 Pensões do RGPS - Área Urbana</t>
  </si>
  <si>
    <t>57 Outros Benefícios do RGPS - Área Rural</t>
  </si>
  <si>
    <t>58 Outros Benefícios do RGPS - Área Urbana</t>
  </si>
  <si>
    <t>59 Pensões Especiais</t>
  </si>
  <si>
    <t>61 Aquisição de Imóveis</t>
  </si>
  <si>
    <t>62 Aquisição de Produtos para Revenda</t>
  </si>
  <si>
    <t>63 Aquisição de Títulos de Crédito</t>
  </si>
  <si>
    <t>64 Aquisição de Títulos Representativos de Capital já Integralizado</t>
  </si>
  <si>
    <t>65 Constituição ou Aumento de Capital de Empresas</t>
  </si>
  <si>
    <t>66 Concessão de Empréstimos e Financiamentos</t>
  </si>
  <si>
    <t>67 Depósitos Compulsórios</t>
  </si>
  <si>
    <t>70 Rateio pela Participação em Consórcio Público</t>
  </si>
  <si>
    <t>71 Principal da Dívida Contratual Resgatado</t>
  </si>
  <si>
    <t>72 Principal da Dívida Mobiliária Resgatado</t>
  </si>
  <si>
    <t>73 Correção Monetária ou Cambial da Dívida Contratual Resgatada</t>
  </si>
  <si>
    <t>74 Correção Monetária ou Cambial da Dívida Mobiliária Resgatada</t>
  </si>
  <si>
    <t>75 Correção Monetária da Dívida de Operações de Crédito por Antecipação de Receita</t>
  </si>
  <si>
    <t>76 Principal Corrigido da Dívida Mobiliária Refinanciado</t>
  </si>
  <si>
    <t>77 Principal Corrigido da Dívida Contratual Refinanciado</t>
  </si>
  <si>
    <t>81 Distribuição Constitucional ou Legal de Receitas</t>
  </si>
  <si>
    <t>82 Aporte de Recursos pelo Parceiro Público em Favor do Parceiro Privado Decorrente de Contrato de Parceria Público Privada</t>
  </si>
  <si>
    <t>83 Despesas Decorrentes de Contrato de Parceria Público-Privada - PPP, exceto Subvenções Econômicas, Aporte e Fundo Garantidor</t>
  </si>
  <si>
    <t>84 Despesas Decorrentes da Participação em Fundos, Organismos, ou Entidades Assemelhadas, Nacionais e Internacionais</t>
  </si>
  <si>
    <t>91 Sentenças Judiciais</t>
  </si>
  <si>
    <t>92 Despesas de Exercícios Anteriores</t>
  </si>
  <si>
    <t>93 Indenizações e Restituições</t>
  </si>
  <si>
    <t>94 Indenizações e Restituições Trabalhistas</t>
  </si>
  <si>
    <t>95 Indenização pela Execução de Trabalhos de Campo</t>
  </si>
  <si>
    <t>96 Ressarcimento de Despesas de Pessoal Requisitado</t>
  </si>
  <si>
    <t>97 Aporte para Cobertura do Déficit Atuarial do RPPS</t>
  </si>
  <si>
    <t>98 Compensações ao RGPS</t>
  </si>
  <si>
    <t xml:space="preserve">99 A Classificar </t>
  </si>
  <si>
    <t>Justificativa
 (texto livre):</t>
  </si>
  <si>
    <t>Caracterização dos Interesses Recíprocos:</t>
  </si>
  <si>
    <t>Problema a ser resolvido:</t>
  </si>
  <si>
    <t>Resultados Esperados:</t>
  </si>
  <si>
    <t>Relação entre a proposta e as diretrizes do programa:</t>
  </si>
  <si>
    <t>4. Cronograma Físico</t>
  </si>
  <si>
    <t>3. Definição das Metas e Etapas</t>
  </si>
  <si>
    <t>Ente Proponente:</t>
  </si>
  <si>
    <t>Total:</t>
  </si>
  <si>
    <t>30 | Material de Consumo</t>
  </si>
  <si>
    <t>32 | Material, Bem ou Serviço p/ Distribuição Gratuita:</t>
  </si>
  <si>
    <t>35 | Serviços de Consultoria</t>
  </si>
  <si>
    <t>36 | Outros Serviços de Terceiros - Pessoa Física</t>
  </si>
  <si>
    <t>39 | Outros Serviços de Terceiros - Pessoa Jurídica</t>
  </si>
  <si>
    <t>52 | Equipamentos e Material Permanente</t>
  </si>
  <si>
    <t>Valor Contrapartida:</t>
  </si>
  <si>
    <r>
      <t xml:space="preserve">Selecionar a </t>
    </r>
    <r>
      <rPr>
        <u/>
        <sz val="9"/>
        <color theme="0"/>
        <rFont val="Arial"/>
        <family val="2"/>
      </rPr>
      <t>esfera de atuação</t>
    </r>
    <r>
      <rPr>
        <sz val="9"/>
        <color theme="0"/>
        <rFont val="Arial"/>
        <family val="2"/>
      </rPr>
      <t xml:space="preserve"> do ente proponente na caixa de opções que aparece ao clicar na célula.
Se o projeto for de um ente </t>
    </r>
    <r>
      <rPr>
        <u/>
        <sz val="9"/>
        <color theme="0"/>
        <rFont val="Arial"/>
        <family val="2"/>
      </rPr>
      <t>federal</t>
    </r>
    <r>
      <rPr>
        <sz val="9"/>
        <color theme="0"/>
        <rFont val="Arial"/>
        <family val="2"/>
      </rPr>
      <t>, serão exibidos dois novos campos: "</t>
    </r>
    <r>
      <rPr>
        <u/>
        <sz val="9"/>
        <color theme="0"/>
        <rFont val="Arial"/>
        <family val="2"/>
      </rPr>
      <t>Unidade-Gestora (UG)</t>
    </r>
    <r>
      <rPr>
        <sz val="9"/>
        <color theme="0"/>
        <rFont val="Arial"/>
        <family val="2"/>
      </rPr>
      <t>" e "</t>
    </r>
    <r>
      <rPr>
        <u/>
        <sz val="9"/>
        <color theme="0"/>
        <rFont val="Arial"/>
        <family val="2"/>
      </rPr>
      <t>Gestão</t>
    </r>
    <r>
      <rPr>
        <sz val="9"/>
        <color theme="0"/>
        <rFont val="Arial"/>
        <family val="2"/>
      </rPr>
      <t>". Para os demais entes esses campos permanecerão ocultos.</t>
    </r>
  </si>
  <si>
    <t>PLANO DE TRABALHO - FORMULÁRIO DESCRITIVO</t>
  </si>
  <si>
    <t>PLANO DE TRABALHO - FORMULÁRIO ORÇAMENTÁRIO</t>
  </si>
  <si>
    <t>PLANO DE TRABALHO - TERMO DE REFERÊNCIA</t>
  </si>
  <si>
    <t>6. Orçamento Resumo</t>
  </si>
  <si>
    <t>7. Cronograma de Desembolso</t>
  </si>
  <si>
    <t>VERIFICAÇÃO DE PENDÊNCIAS</t>
  </si>
  <si>
    <t>Concluído</t>
  </si>
  <si>
    <t>Incompleto</t>
  </si>
  <si>
    <t>1.1</t>
  </si>
  <si>
    <t>Resultado</t>
  </si>
  <si>
    <t>(*)</t>
  </si>
  <si>
    <t>Não Preenchido</t>
  </si>
  <si>
    <t>Possui projetos anteriores com o FDD?</t>
  </si>
  <si>
    <t>1.2</t>
  </si>
  <si>
    <t>01. Identificação do Proponente</t>
  </si>
  <si>
    <t>1.3</t>
  </si>
  <si>
    <t>2.1</t>
  </si>
  <si>
    <t>1.4</t>
  </si>
  <si>
    <t>2.2</t>
  </si>
  <si>
    <t>A soma financeira das metas é igual ao valor financeiro global do projeto?</t>
  </si>
  <si>
    <t>PLANO DE TRABALHO - CRONOGRAMA E INDICADORES</t>
  </si>
  <si>
    <r>
      <t>ELEMENTOS DE DESPESA - TABELA PARA CONSULTA
(</t>
    </r>
    <r>
      <rPr>
        <b/>
        <u/>
        <sz val="10"/>
        <color theme="1" tint="0.249977111117893"/>
        <rFont val="Arial"/>
        <family val="2"/>
      </rPr>
      <t>https://www1.siop.planejamento.gov.br/mto/doku.php</t>
    </r>
    <r>
      <rPr>
        <b/>
        <sz val="10"/>
        <color theme="1" tint="0.249977111117893"/>
        <rFont val="Arial"/>
        <family val="2"/>
      </rPr>
      <t>)</t>
    </r>
  </si>
  <si>
    <r>
      <rPr>
        <b/>
        <u/>
        <sz val="9"/>
        <color theme="0"/>
        <rFont val="Arial"/>
        <family val="2"/>
      </rPr>
      <t>Orientações Gerais para o Preenchimento</t>
    </r>
    <r>
      <rPr>
        <sz val="9"/>
        <color theme="0"/>
        <rFont val="Arial"/>
        <family val="2"/>
      </rPr>
      <t>:
TODAS as células pintadas de cinza claro devem ser preenchidas (as demais células estão travadas, não sendo possível fazer nenhuma alteração).</t>
    </r>
  </si>
  <si>
    <r>
      <t xml:space="preserve">O </t>
    </r>
    <r>
      <rPr>
        <u/>
        <sz val="9"/>
        <color theme="0"/>
        <rFont val="Arial"/>
        <family val="2"/>
      </rPr>
      <t>objeto do projeto</t>
    </r>
    <r>
      <rPr>
        <sz val="9"/>
        <color theme="0"/>
        <rFont val="Arial"/>
        <family val="2"/>
      </rPr>
      <t xml:space="preserve"> deve ser bastante sucinto, contendo, no máximo, um parágrafo. Evite colocar informações que resultem em mensuração (quantidade de material inventariado, por exemplo), pois este item </t>
    </r>
    <r>
      <rPr>
        <u/>
        <sz val="9"/>
        <color theme="0"/>
        <rFont val="Arial"/>
        <family val="2"/>
      </rPr>
      <t>não poderá ser alterado em hipótese alguma</t>
    </r>
    <r>
      <rPr>
        <sz val="9"/>
        <color theme="0"/>
        <rFont val="Arial"/>
        <family val="2"/>
      </rPr>
      <t xml:space="preserve"> após a assinatura do termo de cooperação.
(há outros campos específicos no formulário para que metas e etapas sejam descritas com detalhes).</t>
    </r>
  </si>
  <si>
    <r>
      <t xml:space="preserve">● Informar o </t>
    </r>
    <r>
      <rPr>
        <u/>
        <sz val="9"/>
        <color theme="0"/>
        <rFont val="Arial"/>
        <family val="2"/>
      </rPr>
      <t>valor solicitado ao FDD</t>
    </r>
    <r>
      <rPr>
        <sz val="9"/>
        <color theme="0"/>
        <rFont val="Arial"/>
        <family val="2"/>
      </rPr>
      <t xml:space="preserve"> com atenção, pois ele será a base para validação das informação do </t>
    </r>
    <r>
      <rPr>
        <u/>
        <sz val="9"/>
        <color theme="0"/>
        <rFont val="Arial"/>
        <family val="2"/>
      </rPr>
      <t>Formulário Orçamentário</t>
    </r>
    <r>
      <rPr>
        <sz val="9"/>
        <color theme="0"/>
        <rFont val="Arial"/>
        <family val="2"/>
      </rPr>
      <t xml:space="preserve">;
● Para entes </t>
    </r>
    <r>
      <rPr>
        <u/>
        <sz val="9"/>
        <color theme="0"/>
        <rFont val="Arial"/>
        <family val="2"/>
      </rPr>
      <t>estaduais</t>
    </r>
    <r>
      <rPr>
        <sz val="9"/>
        <color theme="0"/>
        <rFont val="Arial"/>
        <family val="2"/>
      </rPr>
      <t xml:space="preserve"> ou </t>
    </r>
    <r>
      <rPr>
        <u/>
        <sz val="9"/>
        <color theme="0"/>
        <rFont val="Arial"/>
        <family val="2"/>
      </rPr>
      <t>municipais</t>
    </r>
    <r>
      <rPr>
        <sz val="9"/>
        <color theme="0"/>
        <rFont val="Arial"/>
        <family val="2"/>
      </rPr>
      <t xml:space="preserve"> surgirá um campo de </t>
    </r>
    <r>
      <rPr>
        <u/>
        <sz val="9"/>
        <color theme="0"/>
        <rFont val="Arial"/>
        <family val="2"/>
      </rPr>
      <t>Valor de Contrapartida</t>
    </r>
    <r>
      <rPr>
        <b/>
        <sz val="9"/>
        <color theme="0"/>
        <rFont val="Arial"/>
        <family val="2"/>
      </rPr>
      <t xml:space="preserve">, </t>
    </r>
    <r>
      <rPr>
        <sz val="9"/>
        <color theme="0"/>
        <rFont val="Arial"/>
        <family val="2"/>
      </rPr>
      <t xml:space="preserve">de preenchimento obrigatório (para projetos de entes federais ou OSC não há necessidade de contrapartida).
● O </t>
    </r>
    <r>
      <rPr>
        <u/>
        <sz val="9"/>
        <color theme="0"/>
        <rFont val="Arial"/>
        <family val="2"/>
      </rPr>
      <t>valor global</t>
    </r>
    <r>
      <rPr>
        <sz val="9"/>
        <color theme="0"/>
        <rFont val="Arial"/>
        <family val="2"/>
      </rPr>
      <t xml:space="preserve"> do projeto será preenchido automaticamente, como a soma do </t>
    </r>
    <r>
      <rPr>
        <u/>
        <sz val="9"/>
        <color theme="0"/>
        <rFont val="Arial"/>
        <family val="2"/>
      </rPr>
      <t>Valor Solicitado ao FDD</t>
    </r>
    <r>
      <rPr>
        <sz val="9"/>
        <color theme="0"/>
        <rFont val="Arial"/>
        <family val="2"/>
      </rPr>
      <t xml:space="preserve"> com o </t>
    </r>
    <r>
      <rPr>
        <u/>
        <sz val="9"/>
        <color theme="0"/>
        <rFont val="Arial"/>
        <family val="2"/>
      </rPr>
      <t>Valor de Contrapartida</t>
    </r>
    <r>
      <rPr>
        <sz val="9"/>
        <color theme="0"/>
        <rFont val="Arial"/>
        <family val="2"/>
      </rPr>
      <t xml:space="preserve"> (se for o caso).</t>
    </r>
  </si>
  <si>
    <r>
      <t xml:space="preserve">● Selecionar um dos cinco </t>
    </r>
    <r>
      <rPr>
        <u/>
        <sz val="9"/>
        <color theme="0"/>
        <rFont val="Arial"/>
        <family val="2"/>
      </rPr>
      <t>Eixos Temáticos</t>
    </r>
    <r>
      <rPr>
        <sz val="9"/>
        <color theme="0"/>
        <rFont val="Arial"/>
        <family val="2"/>
      </rPr>
      <t xml:space="preserve"> disponíveis, conforme opções exibidas na caixa de seleção.
● Conforme o Eixo Temático selecionado surgirão as opções de </t>
    </r>
    <r>
      <rPr>
        <u/>
        <sz val="9"/>
        <color theme="0"/>
        <rFont val="Arial"/>
        <family val="2"/>
      </rPr>
      <t>Linhas Temáticas</t>
    </r>
    <r>
      <rPr>
        <sz val="9"/>
        <color theme="0"/>
        <rFont val="Arial"/>
        <family val="2"/>
      </rPr>
      <t>. 
(marcar com um "x" a que mais se enquadra no tema do projeto proposto).</t>
    </r>
  </si>
  <si>
    <r>
      <t xml:space="preserve">● Antes de iniciar o preenchimento das metas e etapas do projeto, informe </t>
    </r>
    <r>
      <rPr>
        <u/>
        <sz val="9"/>
        <color theme="0"/>
        <rFont val="Arial"/>
        <family val="2"/>
      </rPr>
      <t>quantas metas o projeto possui</t>
    </r>
    <r>
      <rPr>
        <sz val="9"/>
        <color theme="0"/>
        <rFont val="Arial"/>
        <family val="2"/>
      </rPr>
      <t xml:space="preserve"> 
(lembrando que metas são as principais entregas do projeto e devem ser, obrigatoriamente, quantificáveis). 
O conjunto das metas informadas deve ser suficiente para atingir o objeto proposto.
</t>
    </r>
    <r>
      <rPr>
        <sz val="9"/>
        <color theme="0"/>
        <rFont val="Calibri"/>
        <family val="2"/>
      </rPr>
      <t xml:space="preserve">● </t>
    </r>
    <r>
      <rPr>
        <sz val="9"/>
        <color theme="0"/>
        <rFont val="Arial"/>
        <family val="2"/>
      </rPr>
      <t xml:space="preserve">O projeto deve ter entre </t>
    </r>
    <r>
      <rPr>
        <u/>
        <sz val="9"/>
        <color theme="0"/>
        <rFont val="Arial"/>
        <family val="2"/>
      </rPr>
      <t>1 e 5 metas</t>
    </r>
    <r>
      <rPr>
        <sz val="9"/>
        <color theme="0"/>
        <rFont val="Arial"/>
        <family val="2"/>
      </rPr>
      <t xml:space="preserve"> (se tiver mais do que 5 metas, agrupa-las até o limite de 5).
● Ao digitar o </t>
    </r>
    <r>
      <rPr>
        <u/>
        <sz val="9"/>
        <color theme="0"/>
        <rFont val="Arial"/>
        <family val="2"/>
      </rPr>
      <t>número de metas do projeto</t>
    </r>
    <r>
      <rPr>
        <sz val="9"/>
        <color theme="0"/>
        <rFont val="Arial"/>
        <family val="2"/>
      </rPr>
      <t xml:space="preserve"> o arquivo irá liberar novos campos para detalhamento de cada uma dessas metas (o nº de metas pode ser alterado a qualquer momento, até totalizar 5).</t>
    </r>
  </si>
  <si>
    <r>
      <t xml:space="preserve">● Descreva </t>
    </r>
    <r>
      <rPr>
        <u/>
        <sz val="9"/>
        <color theme="0"/>
        <rFont val="Arial"/>
        <family val="2"/>
      </rPr>
      <t>sucintamente</t>
    </r>
    <r>
      <rPr>
        <sz val="9"/>
        <color theme="0"/>
        <rFont val="Arial"/>
        <family val="2"/>
      </rPr>
      <t xml:space="preserve"> cada meta do projeto.
● Para acessar as demais metas, corra o arquivo para baixo (dica: </t>
    </r>
    <r>
      <rPr>
        <u/>
        <sz val="9"/>
        <color theme="0"/>
        <rFont val="Arial"/>
        <family val="2"/>
      </rPr>
      <t>utilize as teclas "</t>
    </r>
    <r>
      <rPr>
        <i/>
        <u/>
        <sz val="9"/>
        <color theme="0"/>
        <rFont val="Arial"/>
        <family val="2"/>
      </rPr>
      <t>Page Up</t>
    </r>
    <r>
      <rPr>
        <u/>
        <sz val="9"/>
        <color theme="0"/>
        <rFont val="Arial"/>
        <family val="2"/>
      </rPr>
      <t>" e "</t>
    </r>
    <r>
      <rPr>
        <i/>
        <u/>
        <sz val="9"/>
        <color theme="0"/>
        <rFont val="Arial"/>
        <family val="2"/>
      </rPr>
      <t>Page Down</t>
    </r>
    <r>
      <rPr>
        <u/>
        <sz val="9"/>
        <color theme="0"/>
        <rFont val="Arial"/>
        <family val="2"/>
      </rPr>
      <t>"</t>
    </r>
    <r>
      <rPr>
        <sz val="9"/>
        <color theme="0"/>
        <rFont val="Arial"/>
        <family val="2"/>
      </rPr>
      <t>).</t>
    </r>
  </si>
  <si>
    <r>
      <t xml:space="preserve">● Digite quantas </t>
    </r>
    <r>
      <rPr>
        <u/>
        <sz val="9"/>
        <color theme="0"/>
        <rFont val="Arial"/>
        <family val="2"/>
      </rPr>
      <t>etapas</t>
    </r>
    <r>
      <rPr>
        <sz val="9"/>
        <color theme="0"/>
        <rFont val="Arial"/>
        <family val="2"/>
      </rPr>
      <t xml:space="preserve"> possui </t>
    </r>
    <r>
      <rPr>
        <u/>
        <sz val="9"/>
        <color theme="0"/>
        <rFont val="Arial"/>
        <family val="2"/>
      </rPr>
      <t>a meta</t>
    </r>
    <r>
      <rPr>
        <sz val="9"/>
        <color theme="0"/>
        <rFont val="Arial"/>
        <family val="2"/>
      </rPr>
      <t xml:space="preserve"> (cada meta pode ter de </t>
    </r>
    <r>
      <rPr>
        <u/>
        <sz val="9"/>
        <color theme="0"/>
        <rFont val="Arial"/>
        <family val="2"/>
      </rPr>
      <t>1 a 5 etapas</t>
    </r>
    <r>
      <rPr>
        <sz val="9"/>
        <color theme="0"/>
        <rFont val="Arial"/>
        <family val="2"/>
      </rPr>
      <t>)
(lembrando que etapas são os meios para alcance da meta).</t>
    </r>
  </si>
  <si>
    <r>
      <t xml:space="preserve">● </t>
    </r>
    <r>
      <rPr>
        <u/>
        <sz val="9"/>
        <color theme="0"/>
        <rFont val="Arial"/>
        <family val="2"/>
      </rPr>
      <t>Quantificar financeiramente</t>
    </r>
    <r>
      <rPr>
        <sz val="9"/>
        <color theme="0"/>
        <rFont val="Arial"/>
        <family val="2"/>
      </rPr>
      <t xml:space="preserve"> cada etapa que compõe a meta 
(utilize para isso os </t>
    </r>
    <r>
      <rPr>
        <u/>
        <sz val="9"/>
        <color theme="0"/>
        <rFont val="Arial"/>
        <family val="2"/>
      </rPr>
      <t>Elementos de Despesa</t>
    </r>
    <r>
      <rPr>
        <sz val="9"/>
        <color theme="0"/>
        <rFont val="Arial"/>
        <family val="2"/>
      </rPr>
      <t xml:space="preserve"> elencados na planilha "</t>
    </r>
    <r>
      <rPr>
        <u/>
        <sz val="9"/>
        <color theme="0"/>
        <rFont val="Arial"/>
        <family val="2"/>
      </rPr>
      <t>Elementos de Despesa</t>
    </r>
    <r>
      <rPr>
        <sz val="9"/>
        <color theme="0"/>
        <rFont val="Arial"/>
        <family val="2"/>
      </rPr>
      <t xml:space="preserve">").
</t>
    </r>
    <r>
      <rPr>
        <u/>
        <sz val="9"/>
        <color theme="0"/>
        <rFont val="Arial"/>
        <family val="2"/>
      </rPr>
      <t xml:space="preserve">
</t>
    </r>
    <r>
      <rPr>
        <sz val="9"/>
        <color theme="0"/>
        <rFont val="Arial"/>
        <family val="2"/>
      </rPr>
      <t xml:space="preserve">● </t>
    </r>
    <r>
      <rPr>
        <u/>
        <sz val="9"/>
        <color theme="0"/>
        <rFont val="Arial"/>
        <family val="2"/>
      </rPr>
      <t>Todas as despesas</t>
    </r>
    <r>
      <rPr>
        <sz val="9"/>
        <color theme="0"/>
        <rFont val="Arial"/>
        <family val="2"/>
      </rPr>
      <t xml:space="preserve"> que compõe a etapa devem ser enquadradas em algum dos </t>
    </r>
    <r>
      <rPr>
        <u/>
        <sz val="9"/>
        <color theme="0"/>
        <rFont val="Arial"/>
        <family val="2"/>
      </rPr>
      <t>84 elementos</t>
    </r>
    <r>
      <rPr>
        <sz val="9"/>
        <color theme="0"/>
        <rFont val="Arial"/>
        <family val="2"/>
      </rPr>
      <t xml:space="preserve"> fornecidos.
(para facilitar o preenchimento, cada célula já contém essa lista de opções para seleção na caixa de seleção).
É importante preencher este item com bastante atenção, pois o arquivo fará uma validação, ao final, confrontando o valor informado no campo "</t>
    </r>
    <r>
      <rPr>
        <u/>
        <sz val="9"/>
        <color theme="0"/>
        <rFont val="Arial"/>
        <family val="2"/>
      </rPr>
      <t>valor solicitado ao FDD</t>
    </r>
    <r>
      <rPr>
        <sz val="9"/>
        <color theme="0"/>
        <rFont val="Arial"/>
        <family val="2"/>
      </rPr>
      <t>" com o valor da soma de todas as metas e etapas e os valores informados na aba "</t>
    </r>
    <r>
      <rPr>
        <u/>
        <sz val="9"/>
        <color theme="0"/>
        <rFont val="Arial"/>
        <family val="2"/>
      </rPr>
      <t>(III) Formulário Orçamentário</t>
    </r>
    <r>
      <rPr>
        <sz val="9"/>
        <color theme="0"/>
        <rFont val="Arial"/>
        <family val="2"/>
      </rPr>
      <t xml:space="preserve">". 
Caso haja alguma divergência, aparecerá uma caixa vermelha com um texto sinalizando a necessidade de ajuste. </t>
    </r>
    <r>
      <rPr>
        <b/>
        <u/>
        <sz val="9"/>
        <color theme="0"/>
        <rFont val="Arial"/>
        <family val="2"/>
      </rPr>
      <t>Projeto enviados com divergências serão automaticamente desclassificados</t>
    </r>
    <r>
      <rPr>
        <sz val="9"/>
        <color theme="0"/>
        <rFont val="Arial"/>
        <family val="2"/>
      </rPr>
      <t>.</t>
    </r>
  </si>
  <si>
    <r>
      <t>É importante preencher este item com bastante atenção, pois o arquivo fará uma validação automática, comparando o  "</t>
    </r>
    <r>
      <rPr>
        <u/>
        <sz val="9"/>
        <color theme="0"/>
        <rFont val="Arial"/>
        <family val="2"/>
      </rPr>
      <t>Valor Solicitado ao FDD</t>
    </r>
    <r>
      <rPr>
        <sz val="9"/>
        <color theme="0"/>
        <rFont val="Arial"/>
        <family val="2"/>
      </rPr>
      <t>" (informado no início do preenchimento do arquivo) com a soma de todas as metas e etapas (informados nesta etapa) e os valores que serão informados posteriormente, na aba "</t>
    </r>
    <r>
      <rPr>
        <u/>
        <sz val="9"/>
        <color theme="0"/>
        <rFont val="Arial"/>
        <family val="2"/>
      </rPr>
      <t>(III) Formulário Orçamentário</t>
    </r>
    <r>
      <rPr>
        <sz val="9"/>
        <color theme="0"/>
        <rFont val="Arial"/>
        <family val="2"/>
      </rPr>
      <t xml:space="preserve">".
Caso haja alguma divergência, surgirá uma </t>
    </r>
    <r>
      <rPr>
        <b/>
        <sz val="9"/>
        <color theme="0"/>
        <rFont val="Arial"/>
        <family val="2"/>
      </rPr>
      <t>caixa de texto vermelha</t>
    </r>
    <r>
      <rPr>
        <sz val="9"/>
        <color theme="0"/>
        <rFont val="Arial"/>
        <family val="2"/>
      </rPr>
      <t xml:space="preserve"> sinalizando a necessidade de ajuste.
Não enviar o projeto antes de solucionar as pendências informadas!
</t>
    </r>
    <r>
      <rPr>
        <b/>
        <u/>
        <sz val="9"/>
        <color theme="0"/>
        <rFont val="Arial"/>
        <family val="2"/>
      </rPr>
      <t>Projeto enviados com divergências serão automaticamente desclassificados</t>
    </r>
    <r>
      <rPr>
        <sz val="9"/>
        <color theme="0"/>
        <rFont val="Arial"/>
        <family val="2"/>
      </rPr>
      <t>.</t>
    </r>
  </si>
  <si>
    <t>(1)</t>
  </si>
  <si>
    <t>(2)</t>
  </si>
  <si>
    <t>(3)</t>
  </si>
  <si>
    <r>
      <rPr>
        <u/>
        <sz val="9"/>
        <color theme="0"/>
        <rFont val="Arial"/>
        <family val="2"/>
      </rPr>
      <t>Aquisição de material de consumo, material de expediente e contratação de serviços de terceiros</t>
    </r>
    <r>
      <rPr>
        <sz val="9"/>
        <color theme="0"/>
        <rFont val="Arial"/>
        <family val="2"/>
      </rPr>
      <t xml:space="preserve"> não se caracterizam como metas/etapas, pois são apenas meios para realizá-las.</t>
    </r>
  </si>
  <si>
    <r>
      <rPr>
        <u/>
        <sz val="10"/>
        <color theme="0"/>
        <rFont val="Arial"/>
        <family val="2"/>
      </rPr>
      <t>Obras</t>
    </r>
    <r>
      <rPr>
        <sz val="10"/>
        <color theme="0"/>
        <rFont val="Arial"/>
        <family val="2"/>
      </rPr>
      <t xml:space="preserve">: não é necessário inserir cada etapa da obra como uma etapa da meta. 
A obra toda pode ser considerada como um meta ou etapa (caso necessário, pode-se dividir a obra mais de uma meta ou etapa, conforme as características da obra, em termos de entregas/produtos)
Para melhor detalhamento da obra utilizar o </t>
    </r>
    <r>
      <rPr>
        <u/>
        <sz val="10"/>
        <color theme="0"/>
        <rFont val="Arial"/>
        <family val="2"/>
      </rPr>
      <t>Projeto Básico</t>
    </r>
    <r>
      <rPr>
        <sz val="10"/>
        <color theme="0"/>
        <rFont val="Arial"/>
        <family val="2"/>
      </rPr>
      <t xml:space="preserve"> (</t>
    </r>
    <r>
      <rPr>
        <b/>
        <sz val="10"/>
        <color theme="0"/>
        <rFont val="Arial"/>
        <family val="2"/>
      </rPr>
      <t>em forma de anexo</t>
    </r>
    <r>
      <rPr>
        <sz val="10"/>
        <color theme="0"/>
        <rFont val="Arial"/>
        <family val="2"/>
      </rPr>
      <t>).</t>
    </r>
  </si>
  <si>
    <r>
      <rPr>
        <u/>
        <sz val="10"/>
        <color theme="0"/>
        <rFont val="Arial"/>
        <family val="2"/>
      </rPr>
      <t>Realização de eventos</t>
    </r>
    <r>
      <rPr>
        <sz val="10"/>
        <color theme="0"/>
        <rFont val="Arial"/>
        <family val="2"/>
      </rPr>
      <t>: se alguma etapa envolver a realização de eventos (palestras, oficinas, cursos de capacitação, reuniões, seminários, entre outros),  deve-se indicar: (i) local previsto para sua realização; (ii) horário; (iii) período; (iv) tema; (v) programação; (vi) público-alvo; e (vii) número de participantes previsto (</t>
    </r>
    <r>
      <rPr>
        <b/>
        <sz val="10"/>
        <color theme="0"/>
        <rFont val="Arial"/>
        <family val="2"/>
      </rPr>
      <t>enviar em forma de anexo independente</t>
    </r>
    <r>
      <rPr>
        <sz val="10"/>
        <color theme="0"/>
        <rFont val="Arial"/>
        <family val="2"/>
      </rPr>
      <t>).
Não indicar nomes dos instrutores ou palestrantes, nem encaminhar os currículos!</t>
    </r>
  </si>
  <si>
    <t>(4)</t>
  </si>
  <si>
    <r>
      <rPr>
        <u/>
        <sz val="10"/>
        <color theme="0"/>
        <rFont val="Arial"/>
        <family val="2"/>
      </rPr>
      <t>Elaboração de Material Informativo e de Divulgação Impresso</t>
    </r>
    <r>
      <rPr>
        <sz val="10"/>
        <color theme="0"/>
        <rFont val="Arial"/>
        <family val="2"/>
      </rPr>
      <t xml:space="preserve">: se alguma etapa envolver a elaboração de material informativo e de divulgação impresso (folder, cartaz, cartilha, entre outros), deve-se discriminar, </t>
    </r>
    <r>
      <rPr>
        <b/>
        <sz val="10"/>
        <color theme="0"/>
        <rFont val="Arial"/>
        <family val="2"/>
      </rPr>
      <t>no que for pertinente</t>
    </r>
    <r>
      <rPr>
        <sz val="10"/>
        <color theme="0"/>
        <rFont val="Arial"/>
        <family val="2"/>
      </rPr>
      <t>: (i) capa; (ii) miolo; (iii) formato; (iv) tipo de papel; (v) número de páginas; (vi) número de dobras; (vii) quantidade; (viii) custo unitário; e (ix) custo total. 
É necessário, ainda, enviar o “</t>
    </r>
    <r>
      <rPr>
        <b/>
        <sz val="10"/>
        <color theme="0"/>
        <rFont val="Arial"/>
        <family val="2"/>
      </rPr>
      <t>protótipo</t>
    </r>
    <r>
      <rPr>
        <sz val="10"/>
        <color theme="0"/>
        <rFont val="Arial"/>
        <family val="2"/>
      </rPr>
      <t>” ou “</t>
    </r>
    <r>
      <rPr>
        <b/>
        <sz val="10"/>
        <color theme="0"/>
        <rFont val="Arial"/>
        <family val="2"/>
      </rPr>
      <t>boneco</t>
    </r>
    <r>
      <rPr>
        <sz val="10"/>
        <color theme="0"/>
        <rFont val="Arial"/>
        <family val="2"/>
      </rPr>
      <t xml:space="preserve">” do referido material (que deverá, em caso de aprovação do projeto pelo Conselho, ser submetido à apreciação por parte desta Secretaria Executiva, antes de ser impresso). 
É facultada a apresentação, na fase atual, somente da </t>
    </r>
    <r>
      <rPr>
        <u/>
        <sz val="10"/>
        <color theme="0"/>
        <rFont val="Arial"/>
        <family val="2"/>
      </rPr>
      <t>estrutura básica de cada um dos referidos materiais</t>
    </r>
    <r>
      <rPr>
        <sz val="10"/>
        <color theme="0"/>
        <rFont val="Arial"/>
        <family val="2"/>
      </rPr>
      <t>, mostrando os títulos e subtítulos que deverão conter.  
Deverão constar, na parte inferior do verso da contracapa, no que se refere ao material confeccionado com recursos do FDD, as logomarcas da Instituição, o nome por extenso do CFDD e a referência ao Ministério da Justiça e à Secretaria Nacional do Consumidor.</t>
    </r>
  </si>
  <si>
    <t>Observações / Vedações:</t>
  </si>
  <si>
    <t>(5)</t>
  </si>
  <si>
    <t>Destaca-se que o CFDD não costuma apoiar projetos destinados à simples produção de material informativo, sendo necessário, portanto, que haja previsão de realização de eventos de cunho educativo e/ou de divulgação do referido material.</t>
  </si>
  <si>
    <r>
      <rPr>
        <sz val="9"/>
        <color theme="0"/>
        <rFont val="Calibri"/>
        <family val="2"/>
      </rPr>
      <t>●</t>
    </r>
    <r>
      <rPr>
        <sz val="9"/>
        <color theme="0"/>
        <rFont val="Arial"/>
        <family val="2"/>
      </rPr>
      <t xml:space="preserve"> O </t>
    </r>
    <r>
      <rPr>
        <b/>
        <u/>
        <sz val="9"/>
        <color theme="0"/>
        <rFont val="Arial"/>
        <family val="2"/>
      </rPr>
      <t>cronograma físico</t>
    </r>
    <r>
      <rPr>
        <sz val="9"/>
        <color theme="0"/>
        <rFont val="Arial"/>
        <family val="2"/>
      </rPr>
      <t xml:space="preserve"> do projeto é preenchimento </t>
    </r>
    <r>
      <rPr>
        <u/>
        <sz val="9"/>
        <color theme="0"/>
        <rFont val="Arial"/>
        <family val="2"/>
      </rPr>
      <t>automaticamente</t>
    </r>
    <r>
      <rPr>
        <sz val="9"/>
        <color theme="0"/>
        <rFont val="Arial"/>
        <family val="2"/>
      </rPr>
      <t xml:space="preserve"> pelo arquivo, conforme as informações fornecidas pelo usuário na aba anterior "</t>
    </r>
    <r>
      <rPr>
        <b/>
        <sz val="9"/>
        <color theme="0"/>
        <rFont val="Arial"/>
        <family val="2"/>
      </rPr>
      <t>(I) Plano de Trabalho</t>
    </r>
    <r>
      <rPr>
        <sz val="9"/>
        <color theme="0"/>
        <rFont val="Arial"/>
        <family val="2"/>
      </rPr>
      <t xml:space="preserve">".
● Conforme as </t>
    </r>
    <r>
      <rPr>
        <u/>
        <sz val="9"/>
        <color theme="0"/>
        <rFont val="Arial"/>
        <family val="2"/>
      </rPr>
      <t>metas e etapas</t>
    </r>
    <r>
      <rPr>
        <sz val="9"/>
        <color theme="0"/>
        <rFont val="Arial"/>
        <family val="2"/>
      </rPr>
      <t xml:space="preserve"> do projeto forem preenchidas na planilha anterior, o cronograma será atualizado (não é necessária nenhuma ação adicional neste item).
● Pular para o </t>
    </r>
    <r>
      <rPr>
        <b/>
        <u/>
        <sz val="9"/>
        <color theme="0"/>
        <rFont val="Arial"/>
        <family val="2"/>
      </rPr>
      <t>item 5 "Especificação das Atividades</t>
    </r>
    <r>
      <rPr>
        <sz val="9"/>
        <color theme="0"/>
        <rFont val="Arial"/>
        <family val="2"/>
      </rPr>
      <t>".</t>
    </r>
  </si>
  <si>
    <t>Observações:</t>
  </si>
  <si>
    <r>
      <t xml:space="preserve">Verificar se todas as </t>
    </r>
    <r>
      <rPr>
        <u/>
        <sz val="9"/>
        <color theme="0"/>
        <rFont val="Arial"/>
        <family val="2"/>
      </rPr>
      <t>metas</t>
    </r>
    <r>
      <rPr>
        <sz val="9"/>
        <color theme="0"/>
        <rFont val="Arial"/>
        <family val="2"/>
      </rPr>
      <t xml:space="preserve"> e </t>
    </r>
    <r>
      <rPr>
        <u/>
        <sz val="9"/>
        <color theme="0"/>
        <rFont val="Arial"/>
        <family val="2"/>
      </rPr>
      <t>etapas</t>
    </r>
    <r>
      <rPr>
        <sz val="9"/>
        <color theme="0"/>
        <rFont val="Arial"/>
        <family val="2"/>
      </rPr>
      <t xml:space="preserve"> do projeto foram informadas corretamente na planilha anterior (lembrando que são permitidas até 5 metas, com 5 etapas cada).</t>
    </r>
  </si>
  <si>
    <r>
      <t xml:space="preserve">Verificar se a </t>
    </r>
    <r>
      <rPr>
        <u/>
        <sz val="9"/>
        <color theme="0"/>
        <rFont val="Arial"/>
        <family val="2"/>
      </rPr>
      <t>data de início</t>
    </r>
    <r>
      <rPr>
        <sz val="9"/>
        <color theme="0"/>
        <rFont val="Arial"/>
        <family val="2"/>
      </rPr>
      <t xml:space="preserve"> e </t>
    </r>
    <r>
      <rPr>
        <u/>
        <sz val="9"/>
        <color theme="0"/>
        <rFont val="Arial"/>
        <family val="2"/>
      </rPr>
      <t>duração do projeto</t>
    </r>
    <r>
      <rPr>
        <sz val="9"/>
        <color theme="0"/>
        <rFont val="Arial"/>
        <family val="2"/>
      </rPr>
      <t xml:space="preserve"> foram informadas corretamente na planilha anterior "</t>
    </r>
    <r>
      <rPr>
        <b/>
        <sz val="9"/>
        <color theme="0"/>
        <rFont val="Arial"/>
        <family val="2"/>
      </rPr>
      <t>(I) Plano de Trabalho</t>
    </r>
    <r>
      <rPr>
        <sz val="9"/>
        <color theme="0"/>
        <rFont val="Arial"/>
        <family val="2"/>
      </rPr>
      <t>".</t>
    </r>
  </si>
  <si>
    <r>
      <t xml:space="preserve">Verificar se as </t>
    </r>
    <r>
      <rPr>
        <u/>
        <sz val="9"/>
        <color theme="0"/>
        <rFont val="Arial"/>
        <family val="2"/>
      </rPr>
      <t>datas de início</t>
    </r>
    <r>
      <rPr>
        <sz val="9"/>
        <color theme="0"/>
        <rFont val="Arial"/>
        <family val="2"/>
      </rPr>
      <t xml:space="preserve"> e </t>
    </r>
    <r>
      <rPr>
        <u/>
        <sz val="9"/>
        <color theme="0"/>
        <rFont val="Arial"/>
        <family val="2"/>
      </rPr>
      <t>datas de término</t>
    </r>
    <r>
      <rPr>
        <sz val="9"/>
        <color theme="0"/>
        <rFont val="Arial"/>
        <family val="2"/>
      </rPr>
      <t xml:space="preserve"> de cada etapa foram informadas corretamente na planilha anterior.</t>
    </r>
  </si>
  <si>
    <t>Situação do Projeto:</t>
  </si>
  <si>
    <t>40 | Serviços de Tecnologia da Informação e Comunicação – PJ</t>
  </si>
  <si>
    <r>
      <rPr>
        <sz val="9"/>
        <color theme="0"/>
        <rFont val="Calibri"/>
        <family val="2"/>
      </rPr>
      <t>●</t>
    </r>
    <r>
      <rPr>
        <sz val="9"/>
        <color theme="0"/>
        <rFont val="Arial"/>
        <family val="2"/>
      </rPr>
      <t xml:space="preserve"> O </t>
    </r>
    <r>
      <rPr>
        <u/>
        <sz val="9"/>
        <color theme="0"/>
        <rFont val="Arial"/>
        <family val="2"/>
      </rPr>
      <t>Cronograma de Desembolso</t>
    </r>
    <r>
      <rPr>
        <sz val="9"/>
        <color theme="0"/>
        <rFont val="Arial"/>
        <family val="2"/>
      </rPr>
      <t xml:space="preserve"> é um cronograma financeiro que apresenta a síntese dos recursos necessários à execução do projeto, agrupados por </t>
    </r>
    <r>
      <rPr>
        <u/>
        <sz val="9"/>
        <color theme="0"/>
        <rFont val="Arial"/>
        <family val="2"/>
      </rPr>
      <t>Elemento de Despesa</t>
    </r>
    <r>
      <rPr>
        <sz val="9"/>
        <color theme="0"/>
        <rFont val="Arial"/>
        <family val="2"/>
      </rPr>
      <t xml:space="preserve"> </t>
    </r>
    <r>
      <rPr>
        <i/>
        <sz val="9"/>
        <color theme="0"/>
        <rFont val="Arial"/>
        <family val="2"/>
      </rPr>
      <t xml:space="preserve">(consultar a aba "Elementos de Despesa) </t>
    </r>
    <r>
      <rPr>
        <sz val="9"/>
        <color theme="0"/>
        <rFont val="Arial"/>
        <family val="2"/>
      </rPr>
      <t xml:space="preserve">e distribuídos anualmente. 
Seu objetivo é fornecer uma noção das necessidades de recursos do projeto ao longo de seu desenvolvimento, bem como orientar as épocas de desembolso de recursos pelo FDD. </t>
    </r>
  </si>
  <si>
    <r>
      <t xml:space="preserve">● A soma dos valores preenchidos para </t>
    </r>
    <r>
      <rPr>
        <u/>
        <sz val="9"/>
        <color theme="0"/>
        <rFont val="Arial"/>
        <family val="2"/>
      </rPr>
      <t>Despesas Correntes</t>
    </r>
    <r>
      <rPr>
        <sz val="9"/>
        <color theme="0"/>
        <rFont val="Arial"/>
        <family val="2"/>
      </rPr>
      <t xml:space="preserve"> e </t>
    </r>
    <r>
      <rPr>
        <u/>
        <sz val="9"/>
        <color theme="0"/>
        <rFont val="Arial"/>
        <family val="2"/>
      </rPr>
      <t>Despesas de Capital</t>
    </r>
    <r>
      <rPr>
        <sz val="9"/>
        <color theme="0"/>
        <rFont val="Arial"/>
        <family val="2"/>
      </rPr>
      <t xml:space="preserve"> deve ser equivalente ao </t>
    </r>
    <r>
      <rPr>
        <u/>
        <sz val="9"/>
        <color theme="0"/>
        <rFont val="Arial"/>
        <family val="2"/>
      </rPr>
      <t>Valor Global do Projeto</t>
    </r>
    <r>
      <rPr>
        <sz val="9"/>
        <color theme="0"/>
        <rFont val="Arial"/>
        <family val="2"/>
      </rPr>
      <t xml:space="preserve"> (que consiste na soma do </t>
    </r>
    <r>
      <rPr>
        <u/>
        <sz val="9"/>
        <color theme="0"/>
        <rFont val="Arial"/>
        <family val="2"/>
      </rPr>
      <t>Valor Solicitado ao FDD</t>
    </r>
    <r>
      <rPr>
        <sz val="9"/>
        <color theme="0"/>
        <rFont val="Arial"/>
        <family val="2"/>
      </rPr>
      <t xml:space="preserve"> com o </t>
    </r>
    <r>
      <rPr>
        <u/>
        <sz val="9"/>
        <color theme="0"/>
        <rFont val="Arial"/>
        <family val="2"/>
      </rPr>
      <t>Valor da Contrapartida</t>
    </r>
    <r>
      <rPr>
        <sz val="9"/>
        <color theme="0"/>
        <rFont val="Arial"/>
        <family val="2"/>
      </rPr>
      <t xml:space="preserve"> - quando aplicável).</t>
    </r>
  </si>
  <si>
    <r>
      <t xml:space="preserve">● Os campos </t>
    </r>
    <r>
      <rPr>
        <u/>
        <sz val="9"/>
        <color theme="0"/>
        <rFont val="Arial"/>
        <family val="2"/>
      </rPr>
      <t>Valor Solicitado ao FDD</t>
    </r>
    <r>
      <rPr>
        <sz val="9"/>
        <color theme="0"/>
        <rFont val="Arial"/>
        <family val="2"/>
      </rPr>
      <t xml:space="preserve">, </t>
    </r>
    <r>
      <rPr>
        <u/>
        <sz val="9"/>
        <color theme="0"/>
        <rFont val="Arial"/>
        <family val="2"/>
      </rPr>
      <t>Valor de Contrapartida</t>
    </r>
    <r>
      <rPr>
        <sz val="9"/>
        <color theme="0"/>
        <rFont val="Arial"/>
        <family val="2"/>
      </rPr>
      <t xml:space="preserve"> </t>
    </r>
    <r>
      <rPr>
        <i/>
        <sz val="9"/>
        <color theme="0"/>
        <rFont val="Arial"/>
        <family val="2"/>
      </rPr>
      <t>(se aplicável)</t>
    </r>
    <r>
      <rPr>
        <sz val="9"/>
        <color theme="0"/>
        <rFont val="Arial"/>
        <family val="2"/>
      </rPr>
      <t xml:space="preserve"> e </t>
    </r>
    <r>
      <rPr>
        <u/>
        <sz val="9"/>
        <color theme="0"/>
        <rFont val="Arial"/>
        <family val="2"/>
      </rPr>
      <t>Valor Global</t>
    </r>
    <r>
      <rPr>
        <sz val="9"/>
        <color theme="0"/>
        <rFont val="Arial"/>
        <family val="2"/>
      </rPr>
      <t xml:space="preserve"> são carregados automaticamente a partir da planilha "</t>
    </r>
    <r>
      <rPr>
        <b/>
        <u/>
        <sz val="9"/>
        <color theme="0"/>
        <rFont val="Arial"/>
        <family val="2"/>
      </rPr>
      <t>(I) Plano de Trabalho</t>
    </r>
    <r>
      <rPr>
        <sz val="9"/>
        <color theme="0"/>
        <rFont val="Arial"/>
        <family val="2"/>
      </rPr>
      <t>".</t>
    </r>
  </si>
  <si>
    <r>
      <t>Relacionar nos campos de "</t>
    </r>
    <r>
      <rPr>
        <u/>
        <sz val="9"/>
        <color theme="0"/>
        <rFont val="Arial"/>
        <family val="2"/>
      </rPr>
      <t>Especificação de Despesa</t>
    </r>
    <r>
      <rPr>
        <sz val="9"/>
        <color theme="0"/>
        <rFont val="Arial"/>
        <family val="2"/>
      </rPr>
      <t xml:space="preserve">"  todos os </t>
    </r>
    <r>
      <rPr>
        <u/>
        <sz val="9"/>
        <color theme="0"/>
        <rFont val="Arial"/>
        <family val="2"/>
      </rPr>
      <t>serviços que se pretende contratar</t>
    </r>
    <r>
      <rPr>
        <sz val="9"/>
        <color theme="0"/>
        <rFont val="Arial"/>
        <family val="2"/>
      </rPr>
      <t xml:space="preserve"> (professores, instrutores, serviços técnicos etc.), indicando sempre o tipo de profissional (engenheiro agrônomo, técnico agrícola, topógrafo, auxiliar, administrador, auxiliar pedreiro, biólogo, arquiteto etc); </t>
    </r>
    <r>
      <rPr>
        <u/>
        <sz val="9"/>
        <color theme="0"/>
        <rFont val="Arial"/>
        <family val="2"/>
      </rPr>
      <t>material de consumo que se pretende comprar</t>
    </r>
    <r>
      <rPr>
        <sz val="9"/>
        <color theme="0"/>
        <rFont val="Arial"/>
        <family val="2"/>
      </rPr>
      <t xml:space="preserve"> (insumo, caneta, papel, cd, disquete etc), </t>
    </r>
    <r>
      <rPr>
        <u/>
        <sz val="9"/>
        <color theme="0"/>
        <rFont val="Arial"/>
        <family val="2"/>
      </rPr>
      <t>contratação de empresa/serviço</t>
    </r>
    <r>
      <rPr>
        <sz val="9"/>
        <color theme="0"/>
        <rFont val="Arial"/>
        <family val="2"/>
      </rPr>
      <t>; confecção de cartilhas, folders, cartazes; indicando a quantidade e o custo unitário e total de cada uma deles.</t>
    </r>
  </si>
  <si>
    <r>
      <t xml:space="preserve">Na contratação de </t>
    </r>
    <r>
      <rPr>
        <u/>
        <sz val="9"/>
        <color theme="0"/>
        <rFont val="Arial"/>
        <family val="2"/>
      </rPr>
      <t>serviços de pessoa física</t>
    </r>
    <r>
      <rPr>
        <sz val="9"/>
        <color theme="0"/>
        <rFont val="Arial"/>
        <family val="2"/>
      </rPr>
      <t xml:space="preserve"> é necessário informar, conforme o caso: (i) atuação que terá no projeto; (ii) número de envolvidos; (iii) quantidade de horas trabalhadas; (iv) valor da hora técnica, que poderá ser de até R$ 120,00; e (v) custo total destas últimas.</t>
    </r>
  </si>
  <si>
    <r>
      <t xml:space="preserve">Quanto às </t>
    </r>
    <r>
      <rPr>
        <u/>
        <sz val="9"/>
        <color theme="0"/>
        <rFont val="Arial"/>
        <family val="2"/>
      </rPr>
      <t>diárias</t>
    </r>
    <r>
      <rPr>
        <sz val="9"/>
        <color theme="0"/>
        <rFont val="Arial"/>
        <family val="2"/>
      </rPr>
      <t>, é vedado o pagamento de diárias e passagens a militares, servidores e empregados públicos da ativa, com exceção daqueles: (i) pertencentes ao quadro de pessoal do convenente, que esteja diretamente envolvido no projeto; (ii) pertencentes ao quadro de pessoal da Administração Federal, vinculado ao objeto de convênio, quando o órgão for destinatário de repasse financeiro oriundo de outros entes da Federação; (iii) em atividades de pesquisa científica e tecnológica.</t>
    </r>
  </si>
  <si>
    <t>Ressaltamos que o CFDD não costuma apoiar com seus recursos a realização de despesas com material de expediente (do grupo Material de Consumo), excetuando-se as despesas para aquisição de kits (pasta, caneta, bloco de rascunho, crachá etc.) para utilização em eventos.</t>
  </si>
  <si>
    <t>As despesas com telefone, aluguel, água, luz, Internet e outras que representem despesas de manutenção não podem ser apoiadas com recursos do FDD.</t>
  </si>
  <si>
    <t>O projeto possui alguma etapa que envolta a execução de obras?</t>
  </si>
  <si>
    <r>
      <t>Conforme informações preenchidas na planilha "</t>
    </r>
    <r>
      <rPr>
        <b/>
        <u/>
        <sz val="9"/>
        <rFont val="Arial"/>
        <family val="2"/>
      </rPr>
      <t>(III) Formulario Orçamentário</t>
    </r>
    <r>
      <rPr>
        <sz val="9"/>
        <rFont val="Arial"/>
        <family val="2"/>
      </rPr>
      <t>", o projeto deverá preencher o Termo de Referência para as seguintes despesas:</t>
    </r>
  </si>
  <si>
    <t>Denominação do bem (item da despesa).</t>
  </si>
  <si>
    <t>Selecione uma das opções disponíveis na caixa de seleção.</t>
  </si>
  <si>
    <t>Especificação técnica, sem determinação da marca ou direcionamento.</t>
  </si>
  <si>
    <t>Registrar a justificativa da necessidade da aquisição de maneira fundamentada, descrevendo os reais argumentos que indiquem a necessidade da aquisição para a execução do projeto.</t>
  </si>
  <si>
    <t>Indicar as metas vinculadas ao uso do bem.</t>
  </si>
  <si>
    <r>
      <rPr>
        <sz val="9"/>
        <color theme="0"/>
        <rFont val="Calibri"/>
        <family val="2"/>
      </rPr>
      <t>●</t>
    </r>
    <r>
      <rPr>
        <sz val="9"/>
        <color theme="0"/>
        <rFont val="Arial"/>
        <family val="2"/>
      </rPr>
      <t xml:space="preserve"> Deverá ser apresentada demonstração da formação dos custos para todos os itens de despesa que componham o orçamento.</t>
    </r>
  </si>
  <si>
    <r>
      <rPr>
        <sz val="9"/>
        <color theme="0"/>
        <rFont val="Calibri"/>
        <family val="2"/>
      </rPr>
      <t>●</t>
    </r>
    <r>
      <rPr>
        <sz val="9"/>
        <color theme="0"/>
        <rFont val="Arial"/>
        <family val="2"/>
      </rPr>
      <t xml:space="preserve"> Denominar o material de consumo pelo nome do conjunto (Ex.: </t>
    </r>
    <r>
      <rPr>
        <i/>
        <sz val="9"/>
        <color theme="0"/>
        <rFont val="Arial"/>
        <family val="2"/>
      </rPr>
      <t>material de expediente</t>
    </r>
    <r>
      <rPr>
        <sz val="9"/>
        <color theme="0"/>
        <rFont val="Arial"/>
        <family val="2"/>
      </rPr>
      <t xml:space="preserve">) e, na descrição, listar os itens que o compõem (Ex.: </t>
    </r>
    <r>
      <rPr>
        <i/>
        <sz val="9"/>
        <color theme="0"/>
        <rFont val="Arial"/>
        <family val="2"/>
      </rPr>
      <t>03 resmas de papel A4, 05 caixas de grampo, 02 caixas de lápis</t>
    </r>
    <r>
      <rPr>
        <sz val="9"/>
        <color theme="0"/>
        <rFont val="Arial"/>
        <family val="2"/>
      </rPr>
      <t>).</t>
    </r>
  </si>
  <si>
    <r>
      <t xml:space="preserve">Indicar a unidade de medida do item (ex: </t>
    </r>
    <r>
      <rPr>
        <i/>
        <sz val="9"/>
        <color theme="0"/>
        <rFont val="Arial"/>
        <family val="2"/>
      </rPr>
      <t>unidade, hora, kg etc.</t>
    </r>
    <r>
      <rPr>
        <sz val="9"/>
        <color theme="0"/>
        <rFont val="Arial"/>
        <family val="2"/>
      </rPr>
      <t>).</t>
    </r>
  </si>
  <si>
    <t>Qtde</t>
  </si>
  <si>
    <t>10. Tabela de Despesas</t>
  </si>
  <si>
    <t>Objeto</t>
  </si>
  <si>
    <t>Nº</t>
  </si>
  <si>
    <t>Valor Unitário Médio (R$)</t>
  </si>
  <si>
    <t>Valor Total Médio (R$)</t>
  </si>
  <si>
    <t>Unidade Gestora (UG):</t>
  </si>
  <si>
    <r>
      <t xml:space="preserve">O </t>
    </r>
    <r>
      <rPr>
        <u/>
        <sz val="9"/>
        <color theme="0"/>
        <rFont val="Arial"/>
        <family val="2"/>
      </rPr>
      <t>título do projeto</t>
    </r>
    <r>
      <rPr>
        <sz val="9"/>
        <color theme="0"/>
        <rFont val="Arial"/>
        <family val="2"/>
      </rPr>
      <t xml:space="preserve"> deve ter no máximo quatro linhas 
(tente ser o mais criativo possível, se atentando ao tema proposto).</t>
    </r>
  </si>
  <si>
    <t>Continuidade do Projeto:</t>
  </si>
  <si>
    <r>
      <t xml:space="preserve">Caso o ente proponente possua histórico de projetos anteriores com o FDD, ao marcar a opção </t>
    </r>
    <r>
      <rPr>
        <u/>
        <sz val="9"/>
        <color theme="0"/>
        <rFont val="Arial"/>
        <family val="2"/>
      </rPr>
      <t>sim</t>
    </r>
    <r>
      <rPr>
        <sz val="9"/>
        <color theme="0"/>
        <rFont val="Arial"/>
        <family val="2"/>
      </rPr>
      <t xml:space="preserve"> surgirá um novo campo, onde deverá ser informado </t>
    </r>
    <r>
      <rPr>
        <u/>
        <sz val="9"/>
        <color theme="0"/>
        <rFont val="Arial"/>
        <family val="2"/>
      </rPr>
      <t>quantos projetos</t>
    </r>
    <r>
      <rPr>
        <sz val="9"/>
        <color theme="0"/>
        <rFont val="Arial"/>
        <family val="2"/>
      </rPr>
      <t xml:space="preserve"> anteriores foram executados com recursos do fundo.
A seguir, surgirão novos campos para informar o número do </t>
    </r>
    <r>
      <rPr>
        <u/>
        <sz val="9"/>
        <color theme="0"/>
        <rFont val="Arial"/>
        <family val="2"/>
      </rPr>
      <t>processo SEI</t>
    </r>
    <r>
      <rPr>
        <sz val="9"/>
        <color theme="0"/>
        <rFont val="Arial"/>
        <family val="2"/>
      </rPr>
      <t xml:space="preserve"> ou </t>
    </r>
    <r>
      <rPr>
        <u/>
        <sz val="9"/>
        <color theme="0"/>
        <rFont val="Arial"/>
        <family val="2"/>
      </rPr>
      <t>SICONV</t>
    </r>
    <r>
      <rPr>
        <sz val="9"/>
        <color theme="0"/>
        <rFont val="Arial"/>
        <family val="2"/>
      </rPr>
      <t xml:space="preserve"> desses projetos executados (caso o proponente tenha executado mais do que quatro projetos anteriores com recursos do FDD, deverá ser informar o número dos </t>
    </r>
    <r>
      <rPr>
        <u/>
        <sz val="9"/>
        <color theme="0"/>
        <rFont val="Arial"/>
        <family val="2"/>
      </rPr>
      <t>últimos quatro</t>
    </r>
    <r>
      <rPr>
        <sz val="9"/>
        <color theme="0"/>
        <rFont val="Arial"/>
        <family val="2"/>
      </rPr>
      <t xml:space="preserve"> projetos).</t>
    </r>
  </si>
  <si>
    <r>
      <t xml:space="preserve">Utilizar este campo para caracterizar o </t>
    </r>
    <r>
      <rPr>
        <u/>
        <sz val="9"/>
        <color theme="0"/>
        <rFont val="Arial"/>
        <family val="2"/>
      </rPr>
      <t>ente proponente</t>
    </r>
    <r>
      <rPr>
        <sz val="9"/>
        <color theme="0"/>
        <rFont val="Arial"/>
        <family val="2"/>
      </rPr>
      <t>, com uma breve descrição da sua área de atuação, público e alcance (respeitar os limites do espaço fornecido e não inserir gráficos ou tabelas, apenas texto).
Caso queira colar algum texto já pronto dentro da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permitida apenas a inserção de textos e valores dentro delas).</t>
    </r>
  </si>
  <si>
    <r>
      <rPr>
        <sz val="9"/>
        <color theme="0"/>
        <rFont val="Calibri"/>
        <family val="2"/>
      </rPr>
      <t>●</t>
    </r>
    <r>
      <rPr>
        <sz val="9"/>
        <color theme="0"/>
        <rFont val="Arial"/>
        <family val="2"/>
      </rPr>
      <t xml:space="preserve"> A </t>
    </r>
    <r>
      <rPr>
        <u/>
        <sz val="9"/>
        <color theme="0"/>
        <rFont val="Arial"/>
        <family val="2"/>
      </rPr>
      <t>duração do projeto</t>
    </r>
    <r>
      <rPr>
        <sz val="9"/>
        <color theme="0"/>
        <rFont val="Arial"/>
        <family val="2"/>
      </rPr>
      <t xml:space="preserve"> deverá ser de até</t>
    </r>
    <r>
      <rPr>
        <b/>
        <sz val="9"/>
        <color theme="0"/>
        <rFont val="Arial"/>
        <family val="2"/>
      </rPr>
      <t xml:space="preserve"> </t>
    </r>
    <r>
      <rPr>
        <b/>
        <u/>
        <sz val="9"/>
        <color theme="0"/>
        <rFont val="Arial"/>
        <family val="2"/>
      </rPr>
      <t>36 meses</t>
    </r>
    <r>
      <rPr>
        <b/>
        <sz val="9"/>
        <color theme="0"/>
        <rFont val="Arial"/>
        <family val="2"/>
      </rPr>
      <t>;
● A</t>
    </r>
    <r>
      <rPr>
        <sz val="9"/>
        <color theme="0"/>
        <rFont val="Arial"/>
        <family val="2"/>
      </rPr>
      <t xml:space="preserve"> </t>
    </r>
    <r>
      <rPr>
        <u/>
        <sz val="9"/>
        <color theme="0"/>
        <rFont val="Arial"/>
        <family val="2"/>
      </rPr>
      <t>data de início</t>
    </r>
    <r>
      <rPr>
        <sz val="9"/>
        <color theme="0"/>
        <rFont val="Arial"/>
        <family val="2"/>
      </rPr>
      <t xml:space="preserve"> deverá ser entre </t>
    </r>
    <r>
      <rPr>
        <b/>
        <u/>
        <sz val="9"/>
        <color theme="0"/>
        <rFont val="Arial"/>
        <family val="2"/>
      </rPr>
      <t>agosto/2019 e dezembro/2019</t>
    </r>
    <r>
      <rPr>
        <sz val="9"/>
        <color theme="0"/>
        <rFont val="Arial"/>
        <family val="2"/>
      </rPr>
      <t xml:space="preserve">;
● A </t>
    </r>
    <r>
      <rPr>
        <u/>
        <sz val="9"/>
        <color theme="0"/>
        <rFont val="Arial"/>
        <family val="2"/>
      </rPr>
      <t>data de término</t>
    </r>
    <r>
      <rPr>
        <sz val="9"/>
        <color theme="0"/>
        <rFont val="Arial"/>
        <family val="2"/>
      </rPr>
      <t xml:space="preserve"> será calculada automaticamente;
(atenção ao preenchimento, pois eles serão referência para outros campos nas abas seguintes).</t>
    </r>
  </si>
  <si>
    <r>
      <t xml:space="preserve">O </t>
    </r>
    <r>
      <rPr>
        <u/>
        <sz val="9"/>
        <color theme="0"/>
        <rFont val="Arial"/>
        <family val="2"/>
      </rPr>
      <t>objetivo geral</t>
    </r>
    <r>
      <rPr>
        <sz val="9"/>
        <color theme="0"/>
        <rFont val="Arial"/>
        <family val="2"/>
      </rPr>
      <t xml:space="preserve"> deve apresentar a ideia central do projeto, descrevendo de forma sucinta e objetiva a finalidade pela qual ele está sendo realizado e  qual meta geral se busca atingir.
Ele deve conter o problema a ser tratado, bem como a delimitação do tema. 
(CONSULTAR O MANUAL DISPONIBILIZADO PELO CFDD)</t>
    </r>
  </si>
  <si>
    <r>
      <t xml:space="preserve">Os </t>
    </r>
    <r>
      <rPr>
        <u/>
        <sz val="9"/>
        <color theme="0"/>
        <rFont val="Arial"/>
        <family val="2"/>
      </rPr>
      <t>objetivos específicos</t>
    </r>
    <r>
      <rPr>
        <sz val="9"/>
        <color theme="0"/>
        <rFont val="Arial"/>
        <family val="2"/>
      </rPr>
      <t xml:space="preserve"> se relacionam diretamente com os objetivos gerais. 
Eles irão dar uma maior delimitação ao tema, além de detalhar os processos necessários para a realização do trabalho, descrevendo as etapas/entregas do projeto em sua sequência de execução. Em outras palavras: apresentam de forma mais detalhada as ideias do projeto, relacionando o objeto estudado com suas particularidades e identificando mais propriamente quais são os resultados desejados.
(CONSULTAR O MANUAL DISPONIBILIZADO PELO CFDD)</t>
    </r>
  </si>
  <si>
    <r>
      <t xml:space="preserve">A </t>
    </r>
    <r>
      <rPr>
        <u/>
        <sz val="9"/>
        <color theme="0"/>
        <rFont val="Arial"/>
        <family val="2"/>
      </rPr>
      <t>Justificativa do Projeto</t>
    </r>
    <r>
      <rPr>
        <sz val="9"/>
        <color theme="0"/>
        <rFont val="Arial"/>
        <family val="2"/>
      </rPr>
      <t xml:space="preserve"> deve ser o mais detalhada e completa possível. 
Descreva, pormenorizadamente, as razões que levaram à proposição do projeto.
A justificativa do projeto deve explicitar porque a realização do projeto contribuirá positivamente para a mudança na situação descrita no diagnóstico. Nesta parte, o proponente deverá convencer o financiador sobre a relevância do seu projeto e porque a aplicação dos recursos reverterá nos benefícios esperados. 
(CONSULTAR O MANUAL DISPONIBILIZADO PELO CFDD)</t>
    </r>
  </si>
  <si>
    <t>Utilize esse campos para demonstrar porque é interessante que o Fundo de Direitos Difusos realize investimento nesse projeto (por que é importante para o fundo que esse projeto seja desenvolvido?).
(CONSULTAR O MANUAL DISPONIBILIZADO PELO CFDD)</t>
  </si>
  <si>
    <t>Descrição suscinta e objetiva sobre qual é o problema enfrentado. 
Não devem ser inseridas, nesse campo, inserir informações sobre a justificativa ou como o problema será tratado. O objetivo aqui é uma descrição clara sobre qual é o problema.
(CONSULTAR O MANUAL DISPONIBILIZADO PELO CFDD)</t>
  </si>
  <si>
    <t>Público Alvo é o segmento da sociedade com determinadas características em comum (idade, sexo, profissão, interesses etc.), ao qual se dirige os resultados do projeto. É para ele que as ações devem ser direcionadas.
(CONSULTAR O MANUAL DISPONIBILIZADO PELO CFDD)</t>
  </si>
  <si>
    <t>Informar como a execução da proposta produzirá resultados positivos nos problemas levantados no diagnóstico.
(CONSULTAR O MANUAL DISPONIBILIZADO PELO CFDD)</t>
  </si>
  <si>
    <t>Como a proposta se relaciona às diretrizes do programa (Eixos e Linhas Temáticas).
Na “Caracterização dos Interesses Recíprocos” deve-se explicitar o interesse comum existente entre o proponente e o concedente. 
Na “Relação entre a Proposta e as Diretrizes do Programa” deve-se especificar a relação entre o projeto e os temas propostos (Eixos e Linhas Temáticas).</t>
  </si>
  <si>
    <t>Informar a estratégia de continuidade de cada iniciativa a ser implementada na proposta.
(CONSULTAR O MANUAL DISPONIBILIZADO PELO CFDD)</t>
  </si>
  <si>
    <r>
      <t xml:space="preserve">Informou Unidade-Gestora (UG)? </t>
    </r>
    <r>
      <rPr>
        <i/>
        <sz val="9"/>
        <color theme="1" tint="0.249977111117893"/>
        <rFont val="Arial"/>
        <family val="2"/>
      </rPr>
      <t>(apenas para entes Federais)</t>
    </r>
  </si>
  <si>
    <t>Informou a Caracterização da Instituição Proponente?</t>
  </si>
  <si>
    <t>Informou os Dados do Proponente?</t>
  </si>
  <si>
    <t>Informou os Dados do Responsável Legal pelo Proponente?</t>
  </si>
  <si>
    <t>Informou os Dados do Coordenador do Projeto?</t>
  </si>
  <si>
    <t>Definiu o Eixo Temático do Projeto?</t>
  </si>
  <si>
    <t>Definiu a principal Linha Temática do Projeto?</t>
  </si>
  <si>
    <r>
      <t xml:space="preserve">Detalhou os Objetivos do Projeto? </t>
    </r>
    <r>
      <rPr>
        <i/>
        <sz val="9"/>
        <color theme="1" tint="0.249977111117893"/>
        <rFont val="Arial"/>
        <family val="2"/>
      </rPr>
      <t>(todos os 10 campos)</t>
    </r>
  </si>
  <si>
    <r>
      <t xml:space="preserve">Informou os Dados do Projeto? </t>
    </r>
    <r>
      <rPr>
        <i/>
        <sz val="9"/>
        <color theme="1" tint="0.249977111117893"/>
        <rFont val="Arial"/>
        <family val="2"/>
      </rPr>
      <t>(todos os campos)</t>
    </r>
  </si>
  <si>
    <r>
      <t xml:space="preserve">Informou o Valor da Contrapartida? </t>
    </r>
    <r>
      <rPr>
        <i/>
        <sz val="9"/>
        <color theme="1" tint="0.249977111117893"/>
        <rFont val="Arial"/>
        <family val="2"/>
      </rPr>
      <t>(p/ entes estaduais, distritais ou municipais)</t>
    </r>
  </si>
  <si>
    <r>
      <t xml:space="preserve">Relacione a seguir as metas e etapas do projeto. 
</t>
    </r>
    <r>
      <rPr>
        <u/>
        <sz val="8"/>
        <rFont val="Arial"/>
        <family val="2"/>
      </rPr>
      <t>META</t>
    </r>
    <r>
      <rPr>
        <sz val="8"/>
        <rFont val="Arial"/>
        <family val="2"/>
      </rPr>
      <t xml:space="preserve"> são os produtos resultantes da aquisição e contratação de bens e serviços que, em sua somatória, levarão ao alcance do objetivo, quantificando os resultados esperados. 
</t>
    </r>
    <r>
      <rPr>
        <u/>
        <sz val="8"/>
        <rFont val="Arial"/>
        <family val="2"/>
      </rPr>
      <t>ETAPAS</t>
    </r>
    <r>
      <rPr>
        <sz val="8"/>
        <rFont val="Arial"/>
        <family val="2"/>
      </rPr>
      <t xml:space="preserve"> são subdivisões para o alcance da meta; Em outras palavras, são meios necessários para alcance da meta. 
A somatória das metas levará ao </t>
    </r>
    <r>
      <rPr>
        <u/>
        <sz val="8"/>
        <rFont val="Arial"/>
        <family val="2"/>
      </rPr>
      <t>OBJETO</t>
    </r>
    <r>
      <rPr>
        <sz val="8"/>
        <rFont val="Arial"/>
        <family val="2"/>
      </rPr>
      <t xml:space="preserve"> do projeto.</t>
    </r>
  </si>
  <si>
    <r>
      <t xml:space="preserve">5. Indicadores (preencher </t>
    </r>
    <r>
      <rPr>
        <b/>
        <u/>
        <sz val="10"/>
        <color theme="8" tint="-0.499984740745262"/>
        <rFont val="Arial"/>
        <family val="2"/>
      </rPr>
      <t>no mínim</t>
    </r>
    <r>
      <rPr>
        <b/>
        <sz val="10"/>
        <color theme="8" tint="-0.499984740745262"/>
        <rFont val="Arial"/>
        <family val="2"/>
      </rPr>
      <t>o 1 indicador para cada etapa).</t>
    </r>
  </si>
  <si>
    <r>
      <t xml:space="preserve">● Os campos para preenchimento dos </t>
    </r>
    <r>
      <rPr>
        <u/>
        <sz val="9"/>
        <color theme="0"/>
        <rFont val="Arial"/>
        <family val="2"/>
      </rPr>
      <t>Indicadores</t>
    </r>
    <r>
      <rPr>
        <sz val="9"/>
        <color theme="0"/>
        <rFont val="Arial"/>
        <family val="2"/>
      </rPr>
      <t xml:space="preserve"> só ficarão disponíveis após preenchidas as </t>
    </r>
    <r>
      <rPr>
        <u/>
        <sz val="9"/>
        <color theme="0"/>
        <rFont val="Arial"/>
        <family val="2"/>
      </rPr>
      <t>metas e etapas</t>
    </r>
    <r>
      <rPr>
        <sz val="9"/>
        <color theme="0"/>
        <rFont val="Arial"/>
        <family val="2"/>
      </rPr>
      <t xml:space="preserve"> da aba anterior "</t>
    </r>
    <r>
      <rPr>
        <b/>
        <sz val="9"/>
        <color theme="0"/>
        <rFont val="Arial"/>
        <family val="2"/>
      </rPr>
      <t>(I) Plano de Trabalho</t>
    </r>
    <r>
      <rPr>
        <sz val="9"/>
        <color theme="0"/>
        <rFont val="Arial"/>
        <family val="2"/>
      </rPr>
      <t xml:space="preserve">".
● Especificar </t>
    </r>
    <r>
      <rPr>
        <u/>
        <sz val="9"/>
        <color theme="0"/>
        <rFont val="Arial"/>
        <family val="2"/>
      </rPr>
      <t>no mínimo 1 indicador para cada etapa</t>
    </r>
    <r>
      <rPr>
        <sz val="9"/>
        <color theme="0"/>
        <rFont val="Arial"/>
        <family val="2"/>
      </rPr>
      <t xml:space="preserve">, descrevendo a </t>
    </r>
    <r>
      <rPr>
        <b/>
        <u/>
        <sz val="9"/>
        <color theme="0"/>
        <rFont val="Arial"/>
        <family val="2"/>
      </rPr>
      <t>unidade de medida</t>
    </r>
    <r>
      <rPr>
        <sz val="9"/>
        <color theme="0"/>
        <rFont val="Arial"/>
        <family val="2"/>
      </rPr>
      <t xml:space="preserve"> do indicador e a </t>
    </r>
    <r>
      <rPr>
        <b/>
        <sz val="9"/>
        <color theme="0"/>
        <rFont val="Arial"/>
        <family val="2"/>
      </rPr>
      <t>quantidade</t>
    </r>
    <r>
      <rPr>
        <sz val="9"/>
        <color theme="0"/>
        <rFont val="Arial"/>
        <family val="2"/>
      </rPr>
      <t xml:space="preserve"> (resultado esperado) para o período do projeto.
● Não é necessário definir indicadores para as metas, apenas para as </t>
    </r>
    <r>
      <rPr>
        <u/>
        <sz val="9"/>
        <color theme="0"/>
        <rFont val="Arial"/>
        <family val="2"/>
      </rPr>
      <t>etapas</t>
    </r>
    <r>
      <rPr>
        <sz val="9"/>
        <color theme="0"/>
        <rFont val="Arial"/>
        <family val="2"/>
      </rPr>
      <t>;
● Caso o tamanho da célula não seja suficiente para descrever os indicadores, basta continuar digitando as informações dentro do campo, mesmo que elas não fiquem visíveis.</t>
    </r>
  </si>
  <si>
    <r>
      <t>Orientações Gerais de Preenchimento</t>
    </r>
    <r>
      <rPr>
        <sz val="9"/>
        <color theme="0"/>
        <rFont val="Calibri"/>
        <family val="2"/>
        <scheme val="minor"/>
      </rPr>
      <t>:</t>
    </r>
  </si>
  <si>
    <t>A navegação pelo arquivo pode ser feita pelos botões ao lado ou pelas guias de planilha na parte inferior.</t>
  </si>
  <si>
    <r>
      <t xml:space="preserve">As cinco abas, numeradas de (I) a (V), devem ser </t>
    </r>
    <r>
      <rPr>
        <u/>
        <sz val="8"/>
        <color theme="0"/>
        <rFont val="Calibri"/>
        <family val="2"/>
        <scheme val="minor"/>
      </rPr>
      <t>totalmente</t>
    </r>
    <r>
      <rPr>
        <sz val="8"/>
        <color theme="0"/>
        <rFont val="Calibri"/>
        <family val="2"/>
        <scheme val="minor"/>
      </rPr>
      <t xml:space="preserve"> preenchidas.</t>
    </r>
  </si>
  <si>
    <r>
      <t>Em cada planilha, preencher as células pintadas de</t>
    </r>
    <r>
      <rPr>
        <u/>
        <sz val="8"/>
        <color theme="0"/>
        <rFont val="Calibri"/>
        <family val="2"/>
        <scheme val="minor"/>
      </rPr>
      <t xml:space="preserve"> cinza claro</t>
    </r>
    <r>
      <rPr>
        <sz val="8"/>
        <color theme="0"/>
        <rFont val="Calibri"/>
        <family val="2"/>
        <scheme val="minor"/>
      </rPr>
      <t xml:space="preserve"> (as outras estão bloqueadas para edição).</t>
    </r>
  </si>
  <si>
    <r>
      <t xml:space="preserve">O arquivo está bloqueado para edição e protegido por senha. Qualquer tentativa de quebra ou edição não autorizada resultará na </t>
    </r>
    <r>
      <rPr>
        <u/>
        <sz val="8"/>
        <color theme="0"/>
        <rFont val="Calibri"/>
        <family val="2"/>
        <scheme val="minor"/>
      </rPr>
      <t>desclassificação</t>
    </r>
    <r>
      <rPr>
        <sz val="8"/>
        <color theme="0"/>
        <rFont val="Calibri"/>
        <family val="2"/>
        <scheme val="minor"/>
      </rPr>
      <t xml:space="preserve"> do projeto (preencher apenas as células liberadas para edição).</t>
    </r>
  </si>
  <si>
    <r>
      <t>Preencha o arquivo na sequência (iniciando pela planilha '</t>
    </r>
    <r>
      <rPr>
        <u/>
        <sz val="8"/>
        <color theme="0"/>
        <rFont val="Calibri"/>
        <family val="2"/>
        <scheme val="minor"/>
      </rPr>
      <t>(I) Plano de Trabalho</t>
    </r>
    <r>
      <rPr>
        <sz val="8"/>
        <color theme="0"/>
        <rFont val="Calibri"/>
        <family val="2"/>
        <scheme val="minor"/>
      </rPr>
      <t>', depois a planilha '</t>
    </r>
    <r>
      <rPr>
        <u/>
        <sz val="8"/>
        <color theme="0"/>
        <rFont val="Calibri"/>
        <family val="2"/>
        <scheme val="minor"/>
      </rPr>
      <t>(II) Cronograma</t>
    </r>
    <r>
      <rPr>
        <sz val="8"/>
        <color theme="0"/>
        <rFont val="Calibri"/>
        <family val="2"/>
        <scheme val="minor"/>
      </rPr>
      <t>' e assim por diante). É importante manter essa sequência porque informações digitadas em um campo podem ser vinculadas a outros campos (por exemplo: ao informar a data de início e duração do projeto, na Planilha '</t>
    </r>
    <r>
      <rPr>
        <u/>
        <sz val="8"/>
        <color theme="0"/>
        <rFont val="Calibri"/>
        <family val="2"/>
        <scheme val="minor"/>
      </rPr>
      <t>(I) Plano</t>
    </r>
    <r>
      <rPr>
        <sz val="8"/>
        <color theme="0"/>
        <rFont val="Calibri"/>
        <family val="2"/>
        <scheme val="minor"/>
      </rPr>
      <t xml:space="preserve"> </t>
    </r>
    <r>
      <rPr>
        <u/>
        <sz val="8"/>
        <color theme="0"/>
        <rFont val="Calibri"/>
        <family val="2"/>
        <scheme val="minor"/>
      </rPr>
      <t>de Trabalho</t>
    </r>
    <r>
      <rPr>
        <sz val="8"/>
        <color theme="0"/>
        <rFont val="Calibri"/>
        <family val="2"/>
        <scheme val="minor"/>
      </rPr>
      <t>', essas informações irão alimentar o cabeçalho do cronograma, na Planilha '</t>
    </r>
    <r>
      <rPr>
        <u/>
        <sz val="8"/>
        <color theme="0"/>
        <rFont val="Calibri"/>
        <family val="2"/>
        <scheme val="minor"/>
      </rPr>
      <t>(II) Cronograma</t>
    </r>
    <r>
      <rPr>
        <sz val="8"/>
        <color theme="0"/>
        <rFont val="Calibri"/>
        <family val="2"/>
        <scheme val="minor"/>
      </rPr>
      <t>').</t>
    </r>
  </si>
  <si>
    <t>Caso queira colar algum texto dentro de uma célula, realizar essa ação através da barra de fórmulas (barra em branco que aparece na parte superior do excel), ou utilizar a opção "Colar Especial / Colar Valores" (a operação de cópia e cola utilizando as opções ctrl + c / ctrl + v não é possível, pois as células já possuem formatação definida, sendo permitido apenas a inserção de textos e valores).</t>
  </si>
  <si>
    <r>
      <t xml:space="preserve">Ao finalizar o preenchimento das quatro planilhas obrigatórias - '(I) Plano de Trabalho'; '(II) Cronograma e Indicadores'; '(III) Formulário Orçamentário'; e '(IV) Termo de Referência', clicar na guia </t>
    </r>
    <r>
      <rPr>
        <u/>
        <sz val="8"/>
        <color theme="0"/>
        <rFont val="Calibri"/>
        <family val="2"/>
        <scheme val="minor"/>
      </rPr>
      <t>Verificação de Pendências</t>
    </r>
    <r>
      <rPr>
        <sz val="8"/>
        <color theme="0"/>
        <rFont val="Calibri"/>
        <family val="2"/>
        <scheme val="minor"/>
      </rPr>
      <t xml:space="preserve"> e verificar se todos os campos estão com status "</t>
    </r>
    <r>
      <rPr>
        <u/>
        <sz val="8"/>
        <color theme="0"/>
        <rFont val="Calibri"/>
        <family val="2"/>
        <scheme val="minor"/>
      </rPr>
      <t>ok</t>
    </r>
    <r>
      <rPr>
        <sz val="8"/>
        <color theme="0"/>
        <rFont val="Calibri"/>
        <family val="2"/>
        <scheme val="minor"/>
      </rPr>
      <t>" ou "</t>
    </r>
    <r>
      <rPr>
        <u/>
        <sz val="8"/>
        <color theme="0"/>
        <rFont val="Calibri"/>
        <family val="2"/>
        <scheme val="minor"/>
      </rPr>
      <t>concluído</t>
    </r>
    <r>
      <rPr>
        <sz val="8"/>
        <color theme="0"/>
        <rFont val="Calibri"/>
        <family val="2"/>
        <scheme val="minor"/>
      </rPr>
      <t>".</t>
    </r>
  </si>
  <si>
    <r>
      <t>Caso algum campo esteja com a situção "</t>
    </r>
    <r>
      <rPr>
        <u/>
        <sz val="8"/>
        <color theme="0"/>
        <rFont val="Calibri"/>
        <family val="2"/>
        <scheme val="minor"/>
      </rPr>
      <t>não preenchido</t>
    </r>
    <r>
      <rPr>
        <sz val="8"/>
        <color theme="0"/>
        <rFont val="Calibri"/>
        <family val="2"/>
        <scheme val="minor"/>
      </rPr>
      <t>" ou "</t>
    </r>
    <r>
      <rPr>
        <u/>
        <sz val="8"/>
        <color theme="0"/>
        <rFont val="Calibri"/>
        <family val="2"/>
        <scheme val="minor"/>
      </rPr>
      <t>incompleto</t>
    </r>
    <r>
      <rPr>
        <sz val="8"/>
        <color theme="0"/>
        <rFont val="Calibri"/>
        <family val="2"/>
        <scheme val="minor"/>
      </rPr>
      <t xml:space="preserve">", a pendência deve ser regularizada antes do envio do projeto. Os projetos que forem enviados com alguma pendência na guia de planilha Pendências serão </t>
    </r>
    <r>
      <rPr>
        <b/>
        <u/>
        <sz val="8"/>
        <color theme="0"/>
        <rFont val="Calibri"/>
        <family val="2"/>
        <scheme val="minor"/>
      </rPr>
      <t>desclassificados</t>
    </r>
    <r>
      <rPr>
        <sz val="8"/>
        <color theme="0"/>
        <rFont val="Calibri"/>
        <family val="2"/>
        <scheme val="minor"/>
      </rPr>
      <t>.</t>
    </r>
  </si>
  <si>
    <t xml:space="preserve">   Fundo de Defesa de Direitos Difusos</t>
  </si>
  <si>
    <t>Definiu a Quantidade de metas do projeto?</t>
  </si>
  <si>
    <t>Descreveu todas as metas do projeto?</t>
  </si>
  <si>
    <r>
      <t xml:space="preserve">Descreveu todas as etapas do projeto </t>
    </r>
    <r>
      <rPr>
        <i/>
        <sz val="9"/>
        <color theme="1" tint="0.249977111117893"/>
        <rFont val="Arial"/>
        <family val="2"/>
      </rPr>
      <t>(todos os campos)?</t>
    </r>
  </si>
  <si>
    <t>Descreveu ao menos um Indicador para cada etapa?</t>
  </si>
  <si>
    <r>
      <t xml:space="preserve">Quantos </t>
    </r>
    <r>
      <rPr>
        <b/>
        <sz val="9"/>
        <rFont val="Arial"/>
        <family val="2"/>
      </rPr>
      <t xml:space="preserve">itens de despesas </t>
    </r>
    <r>
      <rPr>
        <sz val="9"/>
        <rFont val="Arial"/>
        <family val="2"/>
      </rPr>
      <t>você quer informar?</t>
    </r>
  </si>
  <si>
    <r>
      <rPr>
        <u/>
        <sz val="9"/>
        <color theme="0"/>
        <rFont val="Arial"/>
        <family val="2"/>
      </rPr>
      <t>RECOMENDAÇÕES</t>
    </r>
    <r>
      <rPr>
        <sz val="9"/>
        <color theme="0"/>
        <rFont val="Arial"/>
        <family val="2"/>
      </rPr>
      <t>:
● Se determinada despesa estiver vinculada a mais de uma etapa, informar em linhas separadas, registrando no arquivo a qual etapa aquela linha se refere;
● Quando a despesa selecionada for do grupo "</t>
    </r>
    <r>
      <rPr>
        <u/>
        <sz val="9"/>
        <color theme="0"/>
        <rFont val="Arial"/>
        <family val="2"/>
      </rPr>
      <t>52 Equipamentos e Material Permanente</t>
    </r>
    <r>
      <rPr>
        <sz val="9"/>
        <color theme="0"/>
        <rFont val="Arial"/>
        <family val="2"/>
      </rPr>
      <t>" será necessário especificar:
(i) Tempo de Uso estimado do equipamento ou material permanente;
(ii) Justificativa da necessidade de aquisição do equipamento ou material permanente;
(iii) Proposta para a utilização do equipamento ou material permenente após o fim da parceria.
● Ao inserir a descrição das despesas é necessário deixar explícito:
(i) especificações (memória, capacidade, versão e modelo) dos computadores e impressoras;
(ii) especificações de mobiliário;
(iii) quantidade e valor unitário de TODOS os equipamentos ou materiais permanentes.</t>
    </r>
  </si>
  <si>
    <t>8. Declaração da Contrapartida</t>
  </si>
  <si>
    <t>9. Plano de Aplicação Detalhado</t>
  </si>
  <si>
    <r>
      <rPr>
        <sz val="9"/>
        <color theme="0"/>
        <rFont val="Calibri"/>
        <family val="2"/>
      </rPr>
      <t>●</t>
    </r>
    <r>
      <rPr>
        <sz val="9"/>
        <color theme="0"/>
        <rFont val="Arial"/>
        <family val="2"/>
      </rPr>
      <t xml:space="preserve"> Para preencher essa tabela é necessário, inicialmente, avançar para o Item </t>
    </r>
    <r>
      <rPr>
        <b/>
        <sz val="9"/>
        <color theme="0"/>
        <rFont val="Arial"/>
        <family val="2"/>
      </rPr>
      <t>"</t>
    </r>
    <r>
      <rPr>
        <b/>
        <u/>
        <sz val="9"/>
        <color theme="0"/>
        <rFont val="Arial"/>
        <family val="2"/>
      </rPr>
      <t>9. Plano de Aplicação Detalhado</t>
    </r>
    <r>
      <rPr>
        <sz val="9"/>
        <color theme="0"/>
        <rFont val="Arial"/>
        <family val="2"/>
      </rPr>
      <t>" e informar TODAS as despesas previstas para o projeto, com o respectivo valor total (R$);
● Após preenchido o Item "</t>
    </r>
    <r>
      <rPr>
        <u/>
        <sz val="9"/>
        <color theme="0"/>
        <rFont val="Arial"/>
        <family val="2"/>
      </rPr>
      <t>9. Plano de Aplicação Detalhado</t>
    </r>
    <r>
      <rPr>
        <sz val="9"/>
        <color theme="0"/>
        <rFont val="Arial"/>
        <family val="2"/>
      </rPr>
      <t xml:space="preserve">", os totais de cada </t>
    </r>
    <r>
      <rPr>
        <b/>
        <sz val="9"/>
        <color theme="0"/>
        <rFont val="Arial"/>
        <family val="2"/>
      </rPr>
      <t>Elemento de Despesa</t>
    </r>
    <r>
      <rPr>
        <sz val="9"/>
        <color theme="0"/>
        <rFont val="Arial"/>
        <family val="2"/>
      </rPr>
      <t xml:space="preserve"> serão somados na tabela do Item "</t>
    </r>
    <r>
      <rPr>
        <u/>
        <sz val="9"/>
        <color theme="0"/>
        <rFont val="Arial"/>
        <family val="2"/>
      </rPr>
      <t>7. Cronograma de Desembolso</t>
    </r>
    <r>
      <rPr>
        <sz val="9"/>
        <color theme="0"/>
        <rFont val="Arial"/>
        <family val="2"/>
      </rPr>
      <t xml:space="preserve">", na coluna </t>
    </r>
    <r>
      <rPr>
        <b/>
        <sz val="9"/>
        <color theme="0"/>
        <rFont val="Arial"/>
        <family val="2"/>
      </rPr>
      <t>Total</t>
    </r>
    <r>
      <rPr>
        <sz val="9"/>
        <color theme="0"/>
        <rFont val="Arial"/>
        <family val="2"/>
      </rPr>
      <t>;
● Por fim, voltar à tabela do Item "</t>
    </r>
    <r>
      <rPr>
        <u/>
        <sz val="9"/>
        <color theme="0"/>
        <rFont val="Arial"/>
        <family val="2"/>
      </rPr>
      <t>7. Cronograma de Desembolso</t>
    </r>
    <r>
      <rPr>
        <sz val="9"/>
        <color theme="0"/>
        <rFont val="Arial"/>
        <family val="2"/>
      </rPr>
      <t>" e informar (nas células pintadas de cinza claro) quanto do valor total de cada linha será necessário em cada ano;
● Conforme cada linha for detalhada, a cor da célula que representa o total mudará para verde, quando a soma dos valores ano a ano for igual ao total do elemento de despesa previsto no projeto; O Cronograma de Desembolso poderá ser considerado completo quanto TODOS os campos da coluna de total estiverem na cor VERDE.
●  O arquivo irá fazer uma validação do total informado por ano com o total necessário ao projeto. Caso os valores não coincidam, será exibida uma mensagem (em caixa vermelha), informando a necessidade de correção.</t>
    </r>
  </si>
  <si>
    <t>Total da Contrapartida (R$):</t>
  </si>
  <si>
    <t>Total do Repasse (R$):</t>
  </si>
  <si>
    <t>Valor Global (R$):</t>
  </si>
  <si>
    <r>
      <rPr>
        <sz val="9"/>
        <color theme="0"/>
        <rFont val="Calibri"/>
        <family val="2"/>
      </rPr>
      <t>●</t>
    </r>
    <r>
      <rPr>
        <sz val="9"/>
        <color theme="0"/>
        <rFont val="Arial"/>
        <family val="2"/>
      </rPr>
      <t xml:space="preserve"> Selecione, nas células em cinza claro, quais os elementos de despesa apontados na tabela do Item "</t>
    </r>
    <r>
      <rPr>
        <u/>
        <sz val="9"/>
        <color theme="0"/>
        <rFont val="Arial"/>
        <family val="2"/>
      </rPr>
      <t>7. Cronograma de Desembolso</t>
    </r>
    <r>
      <rPr>
        <sz val="9"/>
        <color theme="0"/>
        <rFont val="Arial"/>
        <family val="2"/>
      </rPr>
      <t xml:space="preserve">" que serão custeados com o </t>
    </r>
    <r>
      <rPr>
        <u/>
        <sz val="9"/>
        <color theme="0"/>
        <rFont val="Arial"/>
        <family val="2"/>
      </rPr>
      <t>Valor da Contrapartida</t>
    </r>
    <r>
      <rPr>
        <i/>
        <sz val="9"/>
        <color theme="0"/>
        <rFont val="Arial"/>
        <family val="2"/>
      </rPr>
      <t>.</t>
    </r>
  </si>
  <si>
    <t>Informou as Despesas Correntes e de Capital?</t>
  </si>
  <si>
    <r>
      <t xml:space="preserve">A soma de Despesas do </t>
    </r>
    <r>
      <rPr>
        <b/>
        <sz val="9"/>
        <color theme="1" tint="0.249977111117893"/>
        <rFont val="Arial"/>
        <family val="2"/>
      </rPr>
      <t xml:space="preserve">Plano de Aplicação Detalhado </t>
    </r>
    <r>
      <rPr>
        <sz val="9"/>
        <color theme="1" tint="0.249977111117893"/>
        <rFont val="Arial"/>
        <family val="2"/>
      </rPr>
      <t>equivale ao Valor do Projeto?</t>
    </r>
  </si>
  <si>
    <r>
      <t xml:space="preserve">A soma de Despesas do </t>
    </r>
    <r>
      <rPr>
        <b/>
        <sz val="9"/>
        <color theme="1" tint="0.249977111117893"/>
        <rFont val="Arial"/>
        <family val="2"/>
      </rPr>
      <t xml:space="preserve">Cronograma de Desembolso </t>
    </r>
    <r>
      <rPr>
        <sz val="9"/>
        <color theme="1" tint="0.249977111117893"/>
        <rFont val="Arial"/>
        <family val="2"/>
      </rPr>
      <t>equivale ao Valor do Projeto?</t>
    </r>
  </si>
  <si>
    <r>
      <rPr>
        <sz val="9"/>
        <color theme="0"/>
        <rFont val="Calibri"/>
        <family val="2"/>
      </rPr>
      <t>●</t>
    </r>
    <r>
      <rPr>
        <sz val="9"/>
        <color theme="0"/>
        <rFont val="Arial"/>
        <family val="2"/>
      </rPr>
      <t xml:space="preserve"> Se a soma do valor informado para determinada linha (</t>
    </r>
    <r>
      <rPr>
        <b/>
        <sz val="9"/>
        <color theme="0"/>
        <rFont val="Arial"/>
        <family val="2"/>
      </rPr>
      <t>Elemento de Despesa</t>
    </r>
    <r>
      <rPr>
        <sz val="9"/>
        <color theme="0"/>
        <rFont val="Arial"/>
        <family val="2"/>
      </rPr>
      <t>) for superior ao valor declarado para esse elemento na tabela acima ("</t>
    </r>
    <r>
      <rPr>
        <u/>
        <sz val="9"/>
        <color theme="0"/>
        <rFont val="Arial"/>
        <family val="2"/>
      </rPr>
      <t>7. Cronograma de Desembolso</t>
    </r>
    <r>
      <rPr>
        <sz val="9"/>
        <color theme="0"/>
        <rFont val="Arial"/>
        <family val="2"/>
      </rPr>
      <t>"), será exibida a mensagem "</t>
    </r>
    <r>
      <rPr>
        <b/>
        <u/>
        <sz val="9"/>
        <color theme="0"/>
        <rFont val="Arial"/>
        <family val="2"/>
      </rPr>
      <t>Valor Maior</t>
    </r>
    <r>
      <rPr>
        <sz val="9"/>
        <color theme="0"/>
        <rFont val="Arial"/>
        <family val="2"/>
      </rPr>
      <t>" na coluna do Total, o que significa que esse valor deve ser reduzido até ficar igual ou inferior ao valor declarado acima.</t>
    </r>
  </si>
  <si>
    <r>
      <t xml:space="preserve">A soma da </t>
    </r>
    <r>
      <rPr>
        <b/>
        <sz val="9"/>
        <color theme="1" tint="0.249977111117893"/>
        <rFont val="Arial"/>
        <family val="2"/>
      </rPr>
      <t xml:space="preserve">Declaração de Contrapartida </t>
    </r>
    <r>
      <rPr>
        <sz val="9"/>
        <color theme="1" tint="0.249977111117893"/>
        <rFont val="Arial"/>
        <family val="2"/>
      </rPr>
      <t>equivale ao Valor da Contrapartida?</t>
    </r>
  </si>
  <si>
    <r>
      <t xml:space="preserve">A soma de </t>
    </r>
    <r>
      <rPr>
        <b/>
        <sz val="9"/>
        <color theme="1" tint="0.249977111117893"/>
        <rFont val="Arial"/>
        <family val="2"/>
      </rPr>
      <t>Despesas Correntes e de Capital</t>
    </r>
    <r>
      <rPr>
        <sz val="9"/>
        <color theme="1" tint="0.249977111117893"/>
        <rFont val="Arial"/>
        <family val="2"/>
      </rPr>
      <t xml:space="preserve"> equivale ao Valor do Projeto?</t>
    </r>
  </si>
  <si>
    <t>Quantos itens de despesa deseja informar?</t>
  </si>
  <si>
    <r>
      <t xml:space="preserve">Esta tabela é preenchida automaticamente, conforme informações preenchidas nas tabelas acima.
O </t>
    </r>
    <r>
      <rPr>
        <u/>
        <sz val="9"/>
        <color theme="0"/>
        <rFont val="Calibri"/>
        <family val="2"/>
      </rPr>
      <t>Valor Total Médio</t>
    </r>
    <r>
      <rPr>
        <sz val="9"/>
        <color theme="0"/>
        <rFont val="Calibri"/>
        <family val="2"/>
      </rPr>
      <t xml:space="preserve"> estimado das contratações de serviços ou aquisição de bens será a média dos orçamentos apresentados e será utilizado de base a verificação das despesas informadas no Termo de Referência com o valor total proposto para  o projeto.</t>
    </r>
  </si>
  <si>
    <t>● Após detalhados todos os itens de despesas obrigatórios no Termo de Referência, o arquivo irá calcular a média de preço (Valor Total) entre os três fornecedores informados para cada item.
Esse valor médio será utilizado para comparação, com o total  exibido na tabela ao lado.</t>
  </si>
  <si>
    <r>
      <t>Exemplo: 
- Se na planilha anterior (</t>
    </r>
    <r>
      <rPr>
        <b/>
        <u/>
        <sz val="9"/>
        <color theme="0"/>
        <rFont val="Arial"/>
        <family val="2"/>
      </rPr>
      <t>Formulário Orçamentário</t>
    </r>
    <r>
      <rPr>
        <sz val="9"/>
        <color theme="0"/>
        <rFont val="Arial"/>
        <family val="2"/>
      </rPr>
      <t>) foi informada uma necessidade total de R$ 100.000 no elemento de despesa "</t>
    </r>
    <r>
      <rPr>
        <b/>
        <sz val="9"/>
        <color theme="0"/>
        <rFont val="Arial"/>
        <family val="2"/>
      </rPr>
      <t>Material de Consumo</t>
    </r>
    <r>
      <rPr>
        <sz val="9"/>
        <color theme="0"/>
        <rFont val="Arial"/>
        <family val="2"/>
      </rPr>
      <t xml:space="preserve">", esse valor deverá ser detalhado em um ou mais itens na planilha </t>
    </r>
    <r>
      <rPr>
        <b/>
        <u/>
        <sz val="9"/>
        <color theme="0"/>
        <rFont val="Arial"/>
        <family val="2"/>
      </rPr>
      <t>Termo de Referência</t>
    </r>
    <r>
      <rPr>
        <sz val="9"/>
        <color theme="0"/>
        <rFont val="Arial"/>
        <family val="2"/>
      </rPr>
      <t>;
- Cada item detalhado no</t>
    </r>
    <r>
      <rPr>
        <b/>
        <sz val="9"/>
        <color theme="0"/>
        <rFont val="Arial"/>
        <family val="2"/>
      </rPr>
      <t xml:space="preserve"> Termo de Referência</t>
    </r>
    <r>
      <rPr>
        <sz val="9"/>
        <color theme="0"/>
        <rFont val="Arial"/>
        <family val="2"/>
      </rPr>
      <t xml:space="preserve"> deverá apresentar 3 cotações (valor unitário em R$) para essa despesa; A média desses valores será o </t>
    </r>
    <r>
      <rPr>
        <b/>
        <u/>
        <sz val="9"/>
        <color theme="0"/>
        <rFont val="Arial"/>
        <family val="2"/>
      </rPr>
      <t>Valor Médio (R$)</t>
    </r>
    <r>
      <rPr>
        <b/>
        <sz val="9"/>
        <color theme="0"/>
        <rFont val="Arial"/>
        <family val="2"/>
      </rPr>
      <t xml:space="preserve"> </t>
    </r>
    <r>
      <rPr>
        <sz val="9"/>
        <color theme="0"/>
        <rFont val="Arial"/>
        <family val="2"/>
      </rPr>
      <t>do item;
- A soma do "</t>
    </r>
    <r>
      <rPr>
        <b/>
        <sz val="9"/>
        <color theme="0"/>
        <rFont val="Arial"/>
        <family val="2"/>
      </rPr>
      <t>Valor Médio (R$)</t>
    </r>
    <r>
      <rPr>
        <sz val="9"/>
        <color theme="0"/>
        <rFont val="Arial"/>
        <family val="2"/>
      </rPr>
      <t>" de todos os itens relacionados a determinado elemento de despesa (ex: a soma do valor médio de cada item detalhado que tem como objeto "</t>
    </r>
    <r>
      <rPr>
        <b/>
        <sz val="9"/>
        <color theme="0"/>
        <rFont val="Arial"/>
        <family val="2"/>
      </rPr>
      <t>material de consumo</t>
    </r>
    <r>
      <rPr>
        <sz val="9"/>
        <color theme="0"/>
        <rFont val="Arial"/>
        <family val="2"/>
      </rPr>
      <t>") deverá ser igual ao total informado para esse elemento "</t>
    </r>
    <r>
      <rPr>
        <b/>
        <sz val="9"/>
        <color theme="0"/>
        <rFont val="Arial"/>
        <family val="2"/>
      </rPr>
      <t>material de consumo</t>
    </r>
    <r>
      <rPr>
        <sz val="9"/>
        <color theme="0"/>
        <rFont val="Arial"/>
        <family val="2"/>
      </rPr>
      <t xml:space="preserve">" no formulário orçamentário.
- A tabela ao lado mostrará quanto do </t>
    </r>
    <r>
      <rPr>
        <b/>
        <sz val="9"/>
        <color theme="0"/>
        <rFont val="Arial"/>
        <family val="2"/>
      </rPr>
      <t xml:space="preserve">Valor Total </t>
    </r>
    <r>
      <rPr>
        <sz val="9"/>
        <color theme="0"/>
        <rFont val="Arial"/>
        <family val="2"/>
      </rPr>
      <t>falta ser detalhado nos campos abaixo, para cada elemento.</t>
    </r>
  </si>
  <si>
    <t>10. Termo de Referência das Despesas:</t>
  </si>
  <si>
    <t>3.0</t>
  </si>
  <si>
    <t xml:space="preserve"> Caracterização do Projeto</t>
  </si>
  <si>
    <t xml:space="preserve"> Definição das Metas e Etapas</t>
  </si>
  <si>
    <t xml:space="preserve"> Informações Financeiras</t>
  </si>
  <si>
    <t>6.0</t>
  </si>
  <si>
    <t>9.0</t>
  </si>
  <si>
    <t>7.0</t>
  </si>
  <si>
    <t>8.0</t>
  </si>
  <si>
    <t>10.0</t>
  </si>
  <si>
    <r>
      <t xml:space="preserve">O </t>
    </r>
    <r>
      <rPr>
        <b/>
        <sz val="9"/>
        <color theme="1" tint="0.249977111117893"/>
        <rFont val="Arial"/>
        <family val="2"/>
      </rPr>
      <t xml:space="preserve">Termo de Referência </t>
    </r>
    <r>
      <rPr>
        <sz val="9"/>
        <color theme="1" tint="0.249977111117893"/>
        <rFont val="Arial"/>
        <family val="2"/>
      </rPr>
      <t>foi preenchido sem inconsistências?</t>
    </r>
  </si>
  <si>
    <t>PLANO DE TRABALHO - AÇÕES DE EDUCAÇÃO</t>
  </si>
  <si>
    <t>11. Eventos Educativos</t>
  </si>
  <si>
    <t>Evento 1:</t>
  </si>
  <si>
    <t>Descrição do Evento:</t>
  </si>
  <si>
    <t>Nº de Turmas:</t>
  </si>
  <si>
    <t>Carga Horária (por turma)</t>
  </si>
  <si>
    <t>Nº Participantes (por turma):</t>
  </si>
  <si>
    <t>Carga Horária (total)</t>
  </si>
  <si>
    <t>Público Alvo:</t>
  </si>
  <si>
    <t>Ementa:</t>
  </si>
  <si>
    <t>Conteúdo:</t>
  </si>
  <si>
    <t>Local:</t>
  </si>
  <si>
    <t>Horário:</t>
  </si>
  <si>
    <t>Material Utilizado:</t>
  </si>
  <si>
    <t>Perfil do Profissional:</t>
  </si>
  <si>
    <t>Carga Horária da PF</t>
  </si>
  <si>
    <t>Evento 2:</t>
  </si>
  <si>
    <t>Evento 5:</t>
  </si>
  <si>
    <t>Evento 4:</t>
  </si>
  <si>
    <t>Evento 3:</t>
  </si>
  <si>
    <t>Evento 6:</t>
  </si>
  <si>
    <t>12. Material Informativo (cartilha, banner, cartaz, folder etc.)</t>
  </si>
  <si>
    <t>Item 1:</t>
  </si>
  <si>
    <t>Descrição do Item:</t>
  </si>
  <si>
    <t>Quantidade:</t>
  </si>
  <si>
    <t>Nº de Páginas:</t>
  </si>
  <si>
    <t>Formato Aberto:</t>
  </si>
  <si>
    <t>Formato Fechado:</t>
  </si>
  <si>
    <t>Papel da Capa:</t>
  </si>
  <si>
    <t>Papel do Miolo:</t>
  </si>
  <si>
    <t>Acabamento:</t>
  </si>
  <si>
    <t>Nº de Dobras:</t>
  </si>
  <si>
    <t>Forma de Distribuição:</t>
  </si>
  <si>
    <t>Protótipo:</t>
  </si>
  <si>
    <t>Material didático; Material de expediente; kits etc.</t>
  </si>
  <si>
    <t>Apenas no caso de contratação de Pessoa Física para ministrar o evento. 
Caso contrário, informar "Não se Aplica".</t>
  </si>
  <si>
    <r>
      <t xml:space="preserve">É necessário enviar o "protótipo" ou "boneco" do material informativo, que deverá, no caso de aprovação do projeto pelo Conselho, ser submetivo à apreciação da SE/CFDD antes da impressão. 
Numerar os protótipos e enviar por email para </t>
    </r>
    <r>
      <rPr>
        <u/>
        <sz val="9"/>
        <color theme="0"/>
        <rFont val="Arial"/>
        <family val="2"/>
      </rPr>
      <t>senacon.cfdd@mj.gov</t>
    </r>
    <r>
      <rPr>
        <sz val="9"/>
        <color theme="0"/>
        <rFont val="Arial"/>
        <family val="2"/>
      </rPr>
      <t>.</t>
    </r>
  </si>
  <si>
    <t>Item 2:</t>
  </si>
  <si>
    <t>Item 6:</t>
  </si>
  <si>
    <t>Item 5:</t>
  </si>
  <si>
    <t>Item 4:</t>
  </si>
  <si>
    <t>Item 3:</t>
  </si>
  <si>
    <t>Resumo da Proposta - Nota Técnica</t>
  </si>
  <si>
    <t>Projetos Anteriores?</t>
  </si>
  <si>
    <t>Proponente:</t>
  </si>
  <si>
    <t>Descrição Proponente:</t>
  </si>
  <si>
    <t>Projeto:</t>
  </si>
  <si>
    <t>Início:</t>
  </si>
  <si>
    <t>Conclusão:</t>
  </si>
  <si>
    <t>Solicitado:</t>
  </si>
  <si>
    <t>Contrapartida:</t>
  </si>
  <si>
    <t>Valor do Projeto (R$):</t>
  </si>
  <si>
    <t>Eixo Temático</t>
  </si>
  <si>
    <t>Público-Alvo (favorecido direto):</t>
  </si>
  <si>
    <t>Público-Alvo (favorecido indireto):</t>
  </si>
  <si>
    <t>Relação entre a Proposta e as Diretrizes do Programa:</t>
  </si>
  <si>
    <t>Justificativa do Projeto:</t>
  </si>
  <si>
    <t>Metas e Etapas</t>
  </si>
  <si>
    <t>x</t>
  </si>
  <si>
    <t>Instituto Brasileiro do Meio Ambiente e dos Recursos Naturais Renováveis - IBAMA</t>
  </si>
  <si>
    <t>19211</t>
  </si>
  <si>
    <t>SCEN, Trecho 2, Edifício Sede, L4 Norte, Asa Norte</t>
  </si>
  <si>
    <t>Brasília</t>
  </si>
  <si>
    <t>DF</t>
  </si>
  <si>
    <t>70818-900</t>
  </si>
  <si>
    <t>dbflo.sede@ibama.gov.br</t>
  </si>
  <si>
    <t>www.ibama.gov.br</t>
  </si>
  <si>
    <t>08012.003221/2018-40</t>
  </si>
  <si>
    <t>08012.003226/2018-72</t>
  </si>
  <si>
    <t>0800.012574/2019-51</t>
  </si>
  <si>
    <t>Eduardo Fortunato Bim</t>
  </si>
  <si>
    <t>Presidente</t>
  </si>
  <si>
    <t>281.515.458-79</t>
  </si>
  <si>
    <t>27288671-SP-SP</t>
  </si>
  <si>
    <t>(61) 3316-1001</t>
  </si>
  <si>
    <t>(61) 99610-1313</t>
  </si>
  <si>
    <t>CA 10, Lotes 1/4, Ed. Bellagio, Bloco D, 215, Brasília, Distrito Federal, CEP 71503-510</t>
  </si>
  <si>
    <t>eduardo.bim@ibama.gov.br</t>
  </si>
  <si>
    <t>Natália von Gal Milanezi</t>
  </si>
  <si>
    <t>Analista Ambiental - Coordenadora de Comércio Exterior</t>
  </si>
  <si>
    <t>2126775 SSP/DF</t>
  </si>
  <si>
    <t>SQS 312 bloco D apto 203</t>
  </si>
  <si>
    <t>natalia.milanezi@ibama.gov.br</t>
  </si>
  <si>
    <t>O Instituto Brasileiro do Meio Ambiente e dos Recursos Naturais Renováveis - IBAMA, autarquia federal vinculada ao Ministério do Meio Ambiente - MMA, foi criado em 1989 pelo art. 2º da Lei Federal nº 7.735 e possui estrutura regimental estabelecida pelo Decreto nº 6.099, de 26 de abril de 2007. O órgão tem poder de polícia conferido pelo Decreto nº 6.938, de 31 de agosto de 1981 e, além de outras atribuições, atua como órgão anuente nas importações e exportações de substâncias e produtos de seu âmbito de controle, em consonância com o Decreto nº 6.759, de 5 de fevereiro de 2009, que regulamenta a administração das atividades aduaneiras, a fiscalização, o controle e a tributação das operações de comércio exterior, tendo como fundamento acordos internacionais multilaterais, leis e decretos. O controle exercido pelo Ibama nas importações e exportações de espécies, produtos e subprodutos da biodiversidade nativa e exótica, respaldado nas ações de competência da União estabelecidas pela Lei  Complementar 140, de 8 de dezembro de 2011, constitui atuação de grande relevância para a manutenção de um meio ambiente equilibrado, por meio da garantia da origem legal dos produtos exportados e da prevenção à invasão de espécies exóticas capazes de causar danos às espécies nativas e ecossistemas naturais. Embora o Ibama atue em portos desde a sua criação, e em aeroportos há cerca de 2 décadas, seu recente estabelecimento formal nos aeroportos de Viracopos-SP e Guarulhos-SP, em 2012 e 2013, respectivamente, representou importante passo para o aprimoramento das atividades do Ibama em comércio exterior. Aliado a isso, em 2017, foi criada uma coordenação destinada exclusivamente ao tratamento de assuntos de comércio exterior da biodiversidade (Portaria nº 14, de 29 de junho de 2017), abrindo caminho para o desenvolvimento com foco nesta atribuição precípua do órgão e ampliando seus efeitos a todos os locais onde há necessidade de controle ambiental do comércio internacional.</t>
  </si>
  <si>
    <t>Aprimoramento da capacidade de controle dos órgãos ambientais sobre a cadeia de produtos da biodiversidade destinados ao comércio exterior.</t>
  </si>
  <si>
    <t>Otimizar o fluxo das operações de comércio exterior (importação e exportação) dos produtos da biodiversidade que possuem origem legal, sob a responsabilidade de usuários que demonstrem atendimento aos níveis de conformidade e confiabilidade pré-estabelecidos e cumprimento de critérios ambientais de segurança.</t>
  </si>
  <si>
    <t>A plataforma a ser desenvolvida constitui uma ferramenta para garantir um meio ambiente equilibrado à sociedade, por meio do controle desde a origem dos produtos da biodiversidade brasileira e do controle à introdução de espécies exóticas. Tal ferramenta, além de representar economia aos cofres públicos devido à otimização de gastos e investimento em inteligência e eficiência, incentivará o cumprimento das normas ambientais pelos exportadores brasileiros, tendo reflexos positivos para o meio ambiente ao longo de toda a cadeia produtiva.</t>
  </si>
  <si>
    <t>Existência de diversos sistemas, procedimentos e requisitos ambientais a serem atendidos, por parte dos usuários, para o desempenho de atividades de comércio exterior. Para o Estado, dispersão de informações acerca dos produtos e usuários da cadeia de comércio exterior, dificultando a rastreabilidade dos produtos e, consequentemente, impactando negativamente a gestão e o gerenciamento de risco.</t>
  </si>
  <si>
    <t>Exportadores e importadores de produtos e subprodutos da biodiversidade sujeitos à anuência do Ibama, e o próprio Ibama.</t>
  </si>
  <si>
    <t>A plataforma que será desenvolvida com recursos do projeto terá a continuidade de seu funcionamento garantido por meio da fábrica de software contratada pelo Ibama, cujo custeio se dará com recursos orçamentários do órgão.</t>
  </si>
  <si>
    <t>Desenvolver e implementar a Plataforma Nacional de Comércio Exterior da Biodiversidade - COMEX AMBIENTAL</t>
  </si>
  <si>
    <t>Migração de dados do sistemas Siscites para a nova plataforma.</t>
  </si>
  <si>
    <t>Interoperabilidade da plataforma com o sistemas externos, através de integrações como SICOMEX, SISCOMEX Remessa e SISGEN.</t>
  </si>
  <si>
    <t>Levantamento de requisitos da nova plataforma de modo a otimizar os processos autorizativos existentes no Siscites, incluindo, neste projeto, espécies cites e não cites.</t>
  </si>
  <si>
    <t>Desenvolver e implementar aplicações de gerenciamento e integração de dados para o aprimoramento das ações de inteligência no controle e fiscalização da cadeia produtiva</t>
  </si>
  <si>
    <t>Desenvolvimento e implantação de aplicação de compilação e análise de dados (Business Intelligence)</t>
  </si>
  <si>
    <t>Desenvolvimento e implantação de aplicação de gerenciamento de risco</t>
  </si>
  <si>
    <t>Desenvolvimento e Implantação de módulo de Educação à Distância para usuários internos da Plataforma COMEX AMBINETAL</t>
  </si>
  <si>
    <t xml:space="preserve">Aquisição de Equipamentos para Vistorias e Inspeções </t>
  </si>
  <si>
    <t xml:space="preserve">Interoperabilidade da plataforma com os sistemas do IBAMA, através de integrações com CTF, SICAFI, DOF, SINAFLOR e SISFAUNA. </t>
  </si>
  <si>
    <t>Aperfeiçoamento do controle das atividades de comércio exterior da biodiversidade por meio do desenvolvimento de plataforma digital única</t>
  </si>
  <si>
    <t>Implantação da Sala de Situação COMEX AMBINETAL</t>
  </si>
  <si>
    <t>Desenvolver e implementar ferramenta de Consulta para Gestão Operacional aos órgãos do SISNAMA, intervenientes e de Controle</t>
  </si>
  <si>
    <t>Qualificar Operacionalmente a Fiscalização Ambiental do Comércio Exterior</t>
  </si>
  <si>
    <t xml:space="preserve">Qualificar operacionalmente os usuários e intervenientes do processo </t>
  </si>
  <si>
    <t>Desenvolvimento e Implantação de módulo de Educação à Distância para usuários da Plataforma COMEX AMBINETAL e servidores públicos intervenientes ao processo</t>
  </si>
  <si>
    <t>Realização de 3 (três) seminários técnicos para divulgação dos resultados do Projeto</t>
  </si>
  <si>
    <t>Lista de Informações de outros sistemas a serem integradas na Plataforma</t>
  </si>
  <si>
    <t>Mapeamento de Processo da Plataforma</t>
  </si>
  <si>
    <t>Relatório de Levantamento de Requisitos da Plataforma</t>
  </si>
  <si>
    <t>Relatório quinzenal de "Sprints" de desenvolvimento da Plataforma</t>
  </si>
  <si>
    <t xml:space="preserve">Desenvolvimento e implantação da Plataforma a partir das informações levantadas na etapa de requisitos do projeto </t>
  </si>
  <si>
    <t>Rlatóio final de escrituração da Plataforma</t>
  </si>
  <si>
    <t>Homologação da Plataforma</t>
  </si>
  <si>
    <t>Relatório quinzenal de "Sprints" de integração de Sistemas Legados na Plataforma</t>
  </si>
  <si>
    <t>Homologação da Migração de dados do Siscites para a Plataforma</t>
  </si>
  <si>
    <t>Relatório quinzenal de "Sprints" de migração de dados para a Plataforma</t>
  </si>
  <si>
    <t>Homologação do Módulo de Cadastro e Regularidade CTF/SICAFI</t>
  </si>
  <si>
    <t xml:space="preserve">Homologaçãio dos Módulos DOF-SINAFLOR exportação e SISFAUNA recursos faunisticos </t>
  </si>
  <si>
    <t xml:space="preserve">Homologação dos Módulos SISCOMEX e SISCOMEX Remessa </t>
  </si>
  <si>
    <t>Homologação do Módulo SISGEN patrimônio genético</t>
  </si>
  <si>
    <t>Homologação de Painéis Analíticos</t>
  </si>
  <si>
    <t>Relatório quinzenal de "Sprints" de desenvolvimento do Módulo</t>
  </si>
  <si>
    <t>Homologação do Módulo de Gerenciamento de Riscos</t>
  </si>
  <si>
    <t>Relatório de Levantamento de Requisitos das Informações a serem processadas</t>
  </si>
  <si>
    <t>Lista de Informações a serem disponibilizadas pela Plataforma</t>
  </si>
  <si>
    <t>Homologação do Portal WEB</t>
  </si>
  <si>
    <t>Relatório de Levantamentos para Entendimento do Curso</t>
  </si>
  <si>
    <t>Relatório de Planejamento do Curso</t>
  </si>
  <si>
    <t>Homologação do Curso EAD</t>
  </si>
  <si>
    <t>Homologação do Pregão</t>
  </si>
  <si>
    <t>Recebimento e Homologação dos Bens</t>
  </si>
  <si>
    <t>Relatório de distribuição dos bens às unidades descentralizadas do IBAMA</t>
  </si>
  <si>
    <t>Homologação da Licitação</t>
  </si>
  <si>
    <t>Implantação e Operacionalização da Sala de Situação</t>
  </si>
  <si>
    <t>Homologação de Pregão para Audiovisula (Vídeo Institucional)</t>
  </si>
  <si>
    <t>Produção de Vídeo Institucional e Material Gráfico</t>
  </si>
  <si>
    <t>Seminários Técnicos</t>
  </si>
  <si>
    <t>Serviço de levantamento de requisitos para o desenvolvimento da plataforma</t>
  </si>
  <si>
    <t>Serviço de reescrituração e codificação do Siscites em nova plataforma tecnologica</t>
  </si>
  <si>
    <t>Serviço de reestruturação do banco de dados e migração de dados entre o SISCITES e a nova plataforma</t>
  </si>
  <si>
    <t>Serviço de integração de sistemas legados do IBAMA (DOF-SINAFLOR, SISFAUNA, CTF e SICAFI) à nova plataforma</t>
  </si>
  <si>
    <t>Serviço de integração de sistemas externos (SISCOMEX, SISCOMEX Remessa e SISGEN) à nova plataforma</t>
  </si>
  <si>
    <t>Serviço de levantamento de requisitos, desenvolvimento e implantação de painéis analíticos pela integração de dados (Business Inteligence)</t>
  </si>
  <si>
    <t>Unidade de Serviço Técnico (UST)</t>
  </si>
  <si>
    <t>Pontos de Função (PF)</t>
  </si>
  <si>
    <t>Ponto de Função (PF)</t>
  </si>
  <si>
    <t>Serviço de levantamento de requisitos, desenvolvimento e implantação do Módulo de Gerenciamento de Riscos na Plataforma</t>
  </si>
  <si>
    <t>Serviço de desenvolvimento e implantação do Portal WEB e módulo de Consulta e gestão Operacional</t>
  </si>
  <si>
    <t>Serviço de levantamento de conteúdo do curso, planejamento e desenvolvimento do módulo de Educação a Distância (EAD) para público interno.</t>
  </si>
  <si>
    <t>Aquisição de Tablets para realização de inspeções de campo pelo acesso à Plataforma</t>
  </si>
  <si>
    <t>Unidade</t>
  </si>
  <si>
    <t>&gt; 5 anos</t>
  </si>
  <si>
    <t>Durante inspeções de carga faz-se necesária a realização de relatórios de vistoria in loco, à luz da rotina de gerenciamento de risco instituída na Plataforma COMEX AMBIENTAL. Desta forma, faz-se necessário o acesso remoto ao sistema durante esta atividade.</t>
  </si>
  <si>
    <t>Aquisição de Mesa de Reunião, Cadeiras Giratórias, Televisor, lousa Branca Interativa, Sistema de Videoconferência e No-Breaks para instalação da Sala de Situação COMEX Ambiental</t>
  </si>
  <si>
    <t>Mesa de Reunião</t>
  </si>
  <si>
    <t>&gt; 8 anos</t>
  </si>
  <si>
    <t>Para equipar a sala de situação, que será utilizada para análises da cadeia produtiva, desde a origem à exportação por meio da integação de dados e gerenciamento de riscos para fins de planejamento de ações de fomento, controle e fiscalização.</t>
  </si>
  <si>
    <t>Cadeiras Giratórias</t>
  </si>
  <si>
    <t>Televisor LED 86"</t>
  </si>
  <si>
    <t>No-Break 4KVA</t>
  </si>
  <si>
    <t>&gt; 3 anos</t>
  </si>
  <si>
    <t>Serviço de levantamento de conteúdo do curso, planejamento e desenvolvimento do módulo de Educação a Distância (EAD) para usuários do sistema e público externo.</t>
  </si>
  <si>
    <t>Hora Aula</t>
  </si>
  <si>
    <t>Material Gráfico e Pen Drive para disponibilização à partícipes do Seminário</t>
  </si>
  <si>
    <t>Preço Global Médio do Kit</t>
  </si>
  <si>
    <t>Serviço de produção de Audiovisual para produção de Vídeo Institucional</t>
  </si>
  <si>
    <t>Vídeo Institucional de 10 minutos</t>
  </si>
  <si>
    <t>Lousa Digital com Projetor</t>
  </si>
  <si>
    <t>1 e 2</t>
  </si>
  <si>
    <t>Basis Tecnologias da Informação S.A. (Contrato n° 44/2017 - Aditivo)</t>
  </si>
  <si>
    <t>11.777.162/0001-57</t>
  </si>
  <si>
    <t>Unidade de Seviço Técnico (UST)</t>
  </si>
  <si>
    <t>INTELIT SMART GROUP</t>
  </si>
  <si>
    <t>10.682.187/0001-04</t>
  </si>
  <si>
    <t>Mirante Tecnologia S/A</t>
  </si>
  <si>
    <t>02.306.220/0001-73</t>
  </si>
  <si>
    <t>THS Tecnologia Informação e Comunicação</t>
  </si>
  <si>
    <t>10.757.595/0001-99</t>
  </si>
  <si>
    <t>Unidade de Serviço Técnico</t>
  </si>
  <si>
    <t>1) Desenvolver uma plataforma única de comércio exterior da biodiversidade, integrada com os sistemas pertinentes do Ibama que controlam a origem dos produtos da biodiversidade, como o Sistema Nacional de Controle da Origem dos Produtos Florestais - Sinaflor, o Sistema Nacional de Gestão do Uso da Fauna - Sisfauna e outros que contêm informações relevantes a respeito dos usuários, como o Sistema de Cadastro, Arrecadação e Fiscalização - Sicafi, o Cadastro Técnico Federal - CTF, ou em cumprimento de acordos internacionais e outras normas, como o Sistema de Emissão de Licenças CITES e não CITES - Siscites e o Sistema Nacional de Gestão do Patrimônio Genético e do Conhecimento Tradicional Associado - Sisgen, sob a gestão do Ministério do Meio Ambiente. Além desses, a plataforma será integrada ao Siscomex Remessa, sistema informatizado da Receita Federal do Brasil destinado ao controle das remessas internacionais porta a porta, transportadas por empresas de courier, e ao Portal Único de Comércio Exterior - Siscomex, sistema governamental gerido pelo Ministério da Economia que concentra as informações relacionadas ao comércio exterior e ambiente de anuência dos órgãos federais aos produtos sob seu controle. Por meio da plataforma, o usuário somente acessará um portal para proceder sua exportação/importação, pois nele estarão concentradas todas as informações ambientais necessárias à anuência da transação, além daquelas exigidas pelo Siscomex. A integração dos sistemas permitirá a simplificação dos processos de verificação e a automatização de procedimentos específicos, reduzindo custos e tempo de transação para os usuários e otimizando recursos humanos do Ibama. 2) Desenvolver aplicação de compilação e análise de dados (Busisness Intelligence) e aplicação de gerenciamento de risco a partir dos dados da plataforma, permitindo a facilitação do comércio exterior para os usuários que demonstrem cumprimento das normas ambientais. Neste processo será possível identificar, analisar, avaliar e graduar os riscos existentes para tomada de decisão quanto à necessidade de vistoriar fisicamente as cargas. Uma vez não identificados fatores de vulnerabilidade ambiental nas operações, associado à criação de um relacionamento de confiança e credibilidade, poderá ser aplicada a anuência automática, dando o dinamismo necessário ao comércio exterior. 3) Fornecer uma ferramenta de gestão na plataforma aos ógãos do Sisnama para a tomada de decisão nos processos que estão sob sua competência. A partir de informações integradas de toda a cadeia produtiva, desde a origem até o destino final, qual seja, o comércio exterior, estados e municípios terão informações para subsidiar as ações e decisões locais. 4) Fortalecimento da atuação do controle e fiscalização ambiental nos portos e aeroportos por meio de: i) capacitação de Agentes Ambientais Federais e intervenientes do processo utilizando plataforma de Ensino à Distância – EAD; ii) melhoria no acesso à informação e utilização de tecnologias atuais nas vistorias e inspeções de comércio exterior, tornando o processo 100% digital; iii) implantação de uma sala situação que permitirá o monitoramento de toda a cadeia produtiva.  5) Desenvolvimento de um plano de comunicação e capacitação para usuários internos e externos do sistema, dos órgãos do Sisnama e  dos órgãos de controle, como o Ministério Público, por  meio da implantação de plataforma de Ensino à Distância - EAD e de realização de 3 (três) seminários regionais com stakeholders (partes interessadas) do setor, com o objetivo de apresentar a plataforma e suas funcionalidades, os parâmetros de cumprimento das normas ambientais e estimular a participação dos entes federativos no processo de fortalecimento da cadeia do comércio exterior da biodiversidade.</t>
  </si>
  <si>
    <t>Atualmente, os exportadores e importadores de produtos e subprodutos da biodiversidade se deparam com dificuldades relacionadas à dispersão de informações ambientais e à necessidade de cumprimento de exigências do Ibama e de outros órgãos intervenientes. Ao Ibama cabe controlar a importação e exportação de espécimes, produtos e subprodutos da fauna, bem como de espécies constantes nos anexos da Convenção Internacional sobre o Comércio de Espécies da Fauna e da Flora Silvestres em Perigo de Extinção – CITES. Além disso, o Instituto anui a importação e exportação de recursos pesqueiros com a finalidade ornamental e de aquariofilia. Para a emissão das licenças do Ibama, o usuário necessita acessar o Siscites e, posteriormente, no caso de importações, o Siscomex. Quando se trata de exportação, o registro das licenças no Siscomex é feito de ofício pelo Ibama a partir de informações fornecidas por e-mail pelo usuário que já possui licença emitida pelo Siscites. A submissão dos documentos necessários à anuência da importação ou exportação por parte do Ibama, a depender do tipo de material a ser transacionado, se dá por meio dos correios, por meio eletrônico ou dentro do próprio Siscomex. Essa diferença procedimental dentro do órgão se deve ao fato de que, antes da publicação do Decreto nº 8.973, de 24 de janeiro de 2017, e da Portaria Ibama nº 14, de 29 de junho de 2017, esta última aprovando o Regimento Interno do Ibama, não havia no órgão uma coordenação voltada exclusivamente às atividades de comércio exterior da biodiversidade. Antes da criação da Coordenação de Comércio Exterior dentro da estrutura da Diretoria de Uso Sustentável da Biodiversidade e Florestas - DBFLO o tema estava disperso por diversas coordenações, dificultando a padronização e eficiência dos processos. Embora administrativamente o Ibama avalie as solicitações de importação ou exportação por meio de documentação encaminhada, o controle ambiental é realizado fora do Siscites, por meio do acesso a outros sistemas, como o próprio Siscomex, o Sinaflor, o CTF e mesmo planilhas, por meio das quais, por exemplo, é feito o controle das cotas de captura de peixes ornamentais, dos lacres de couro de jacaré e pirarucu, e do cronograma de cultivo de orquídeas. Essas etapas de análise são realizadas de forma avulsa e sujeita a erros. Outra problemática relacionada à situação atual de diversidade de procedimentos é a falta de informações sobre a efetivação das transações comerciais (exportação e importação), impedindo a atualização dos sistemas ambientais e a consolidação de dados necessários à gestão ambiental e à análise de risco. O desenvolvimento e implementação de uma plataforma única para as atividades de comércio exterior envolvendo produtos e subprodutos da biodiversidade permitirá ao usuário, com um login único, cumprir todas as exigências ambientais e aquelas relacionadas ao Siscomex para a exportação e importação de produtos e subprodutos da biodiversidade brasileira e exótica, nos casos em que a lei determina, já que estarão plenamente integrados. A unificação das informações na plataforma possibilitará o estabelecimento de critérios de acreditação de usuários (pessoas físicas, empresas e despachantes), os quais terão o fluxo de comércio exterior facilitado a partir do cumprimento de critérios pré-estabelecidos, reduzindo seus custos de transação. A plataforma também permitirá a otimização de recursos para o Ibama, a padronização de procedimentos, a agilidade nos processos, o gerenciamento de risco, o monitoramento da cadeia produtiva e, em consequência disso, o aumento da credibilidade internacional dos produtos da biodiversidade brasileira com origem legal e rastreabilidade. Por fim, a aquisição de equipamentos que permitam o acesso digital offline aos documentos disponíveis na plataforma permitirá que as vistorias sejam feitas sem a necessidade documentos físicos, modernizando a atuação do Ibama e economizando recursos. Aliado a isso, a implantação de sala de situação com os dados atualizados do comércio exterior da biodiversidade constituirá elemento de inovação na gestão dos recursos naturais.</t>
  </si>
  <si>
    <t>Órgãos do Sisnama, intervenientes do processo e a sociedade brasileira.</t>
  </si>
  <si>
    <t>Estabelecimento de um canal único de comunicação entre Ibama e os usuários - desenvolvimento de uma plataforma digital integrada -, permitindo maior agilidade no fluxo de comércio exterior de produtos e subprodutos da biodiversidade brasileira com origem legal e que cumprem critérios de conformidade e qualidade ambiental. Simplificação dos trâmites burocráticos relacionados à geração de licenças e às anuências no SISCOMEX. Modernização das vistorias e maior acesso às informações das atividades de comércio exterior para o Ibama e para os demais órgãos do Sisnama.</t>
  </si>
  <si>
    <t>Os aprimoramentos nas atividades de comércio exterior do Ibama advindos da implementação do projeto permitirão ao órgão exercer efetivo controle sobre as importações e exportações que passam por sua anuência, buscando informações em fontes de dados governamentais (do próprio Ibama e de outros órgãos) e direcionando o esforço de fiscalização para as transações de risco e para os pontos de fragilidade ao longo das cadeias produtivas, sem que isso represente atrasos ou custos ao comércio internacional.</t>
  </si>
  <si>
    <t>Plataforma de comércio exterior e aplicação de gerenciamento de risco</t>
  </si>
  <si>
    <t>Desenvolvimento de plataforma integrada a outros sistemas governamentais, com necessidade de criação de webservice. A partir das informações concentradas na plataforma, desenvolvimento de aplicação com a possibilidade de filtragem de dados e inserção de parâmetros.
Justificativa: O desenvolvimento da plataforma permitirá ao Ibama concentrar em um único sistema todas as informações de comércio exterior de relevância, inclusive aquelas necessárias à avaliação para anuência de exportações e importações. A aplicação de gerenciamento de risco será capaz de fundamentar as decisões do órgão quanto à necessidade de vistoria ou indeferimento de requerimentos.</t>
  </si>
  <si>
    <t>O desenvolvimento da plataforma permitirá ao Ibama concentrar em um único sistema todas as informações de comércio exterior de relevância, inclusive aquelas necessárias à avaliação para anuência de exportações e importações. A aplicação de gerenciamento de risco será capaz de fundamentar as decisões do órgão quanto à necessidade de vistoria ou indeferimento de requerimentos.</t>
  </si>
  <si>
    <t>Aplicação de Business Intelligence - BI interno</t>
  </si>
  <si>
    <t>Desenvolvimento de aplicação de compilação e análise dos dados concentrados na plataforma, sendo capaz de gerar gráficos e relatórios a partir de parâmetros selecionados.</t>
  </si>
  <si>
    <t>O desenvolvimento to BI permitirá o acesso ao panorama do comércio exterior no Brasil, constituindo importante ferramenta de gestão para o Governo Federal.</t>
  </si>
  <si>
    <t>Aplicação de Business Intelligence - BI externo</t>
  </si>
  <si>
    <t>Desenvolvimento de aplicação de compilação e análise dos dados concentrados na plataforma, sendo capaz de gerar gráficos e relatórios a partir de parâmetros selecionados a serem acessados via Portal Web po Usuários do Sistema, Órgãos de Controle e Público em Geral.</t>
  </si>
  <si>
    <t>O desenvolvimento to BI permitirá o acesso ao panorama do comércio exterior nos estados e municípios, constituindo importante ferramenta de gestão para os órgãos de controle e órgãos do Sisnama.</t>
  </si>
  <si>
    <t>11.185.325/0001-02</t>
  </si>
  <si>
    <t>Tarea Gerenciamento LTDA</t>
  </si>
  <si>
    <t>Ensino à Distância - EAD</t>
  </si>
  <si>
    <t>Elaboração de EAD voltado ao público interno no Ibama, ao público externo e aos usuários da plataforma. Deverão ser elaborados 3 materiais diferentes a depender da especificidade do público.</t>
  </si>
  <si>
    <t>Com as mudanças advindas do desenvolvimento da plataforma, será necessário capacitar os diversos usuários do sistema.</t>
  </si>
  <si>
    <t>4 e 5</t>
  </si>
  <si>
    <t>Horas Aula</t>
  </si>
  <si>
    <t>PREGÃO SRP N° 05/2019</t>
  </si>
  <si>
    <t>PREGÃO SRP N° 02/2019</t>
  </si>
  <si>
    <t>Serviço de Audiovisual</t>
  </si>
  <si>
    <t>Produção de vídeo institucional para divulgação da plataforma e resultados de projeto.</t>
  </si>
  <si>
    <t>Com as mudanças advindas do desenvolvimento da plataforma, será necessário disseminar suas funcionalidades e mobilizar os stakeholders para alcançar uma grande adesão ao cumprimento das normas ambientais</t>
  </si>
  <si>
    <t>Vídeo Institucional de 10 min</t>
  </si>
  <si>
    <t>GENESIS FILMES EIRELI</t>
  </si>
  <si>
    <t>144.756.420/0001-51</t>
  </si>
  <si>
    <t>VIATV EVENTOS LTDA.</t>
  </si>
  <si>
    <t>152.519.610/0001-46</t>
  </si>
  <si>
    <t>ZERO ZERO SETE PRODUCAO E FILMAGENS LTDA</t>
  </si>
  <si>
    <t>156.965.180/0001-89</t>
  </si>
  <si>
    <t xml:space="preserve"> TABLET\, TELA:SUPERIOR A 10 POL\, MEMÓRIA RAM:ATÉ 4 GB\, ARMAZENAMENTO INTERNO:SUPERIOR A 32 GB\, ARMAZENAMENTO EXTERNO:SEM ARMAZENAMENTO EXTERNO\, PROCESSADOR:DUAL CORE\, CÂMERA FRONTAL:ATÉ 8 MPX\, CÂMERA TRASEIRA:8\,1 A 13 MPX\, CONECTIVIDADE:WI-FI / 3G / 4G / BLUETOOTH\, SISTEMA OPERACIONAL:PROPRIETÁRIO </t>
  </si>
  <si>
    <t>TABLET para uso em inspeções de campo</t>
  </si>
  <si>
    <t>As vistorias são atualmente realizadas a partir de informações que constam em documentos físicos e que precisam ser consultados. Com a implementação da plataforma, todas as informações serão digitais, sendo necessário acessá-las fora do escritório.</t>
  </si>
  <si>
    <t>Tablets</t>
  </si>
  <si>
    <t xml:space="preserve">Levantamento de requisitos e desenvolvimento do portal de informações interligado às aplicações de gerenciamento e integração de dados   </t>
  </si>
  <si>
    <t>Painel de Preços do Governo Federal</t>
  </si>
  <si>
    <t>Mesa de reunião medindo 2,50 X 1,00</t>
  </si>
  <si>
    <t>Mesa</t>
  </si>
  <si>
    <t>MERCADO LIVRE</t>
  </si>
  <si>
    <t>MAGAZINE LUIZA</t>
  </si>
  <si>
    <t>SHOPTIME</t>
  </si>
  <si>
    <t>03.007.331/0001-41</t>
  </si>
  <si>
    <t xml:space="preserve">47.960.950/0449-27 </t>
  </si>
  <si>
    <t>00.776.574/0006-60</t>
  </si>
  <si>
    <t>Cadeira com base giratória</t>
  </si>
  <si>
    <t>Cadeira com base giratória, com encosto alto, apoio de braços e regulagem de altura</t>
  </si>
  <si>
    <t>CARREFOUR</t>
  </si>
  <si>
    <t>MADEIRA MADEIRA</t>
  </si>
  <si>
    <t>MOBLY</t>
  </si>
  <si>
    <t>45.543.915/0592-32</t>
  </si>
  <si>
    <t>10.490.181/0001-35</t>
  </si>
  <si>
    <t>14.055.516/0004-90</t>
  </si>
  <si>
    <t>Televisão</t>
  </si>
  <si>
    <t>Televisão LED 86” ULTRA HD 4K e suporte articulador para TV 86”</t>
  </si>
  <si>
    <t>TV LED</t>
  </si>
  <si>
    <t>Pregão Eletrônico nº 096/2018 – TRF 2º Região</t>
  </si>
  <si>
    <t>32.243.347/0001-51</t>
  </si>
  <si>
    <t>47.960.950/0449-27</t>
  </si>
  <si>
    <t>FAST SHOP</t>
  </si>
  <si>
    <t>43.708.379/0001-00</t>
  </si>
  <si>
    <t xml:space="preserve">Lousa Digital </t>
  </si>
  <si>
    <t>Lousa Digital Interativa Touch Screen, 82", acoplada a Projeto</t>
  </si>
  <si>
    <t>Lousa e Projetor</t>
  </si>
  <si>
    <t>MOVIPLAN</t>
  </si>
  <si>
    <t>Digisonic</t>
  </si>
  <si>
    <t>QUALIPIX</t>
  </si>
  <si>
    <t>No Break 4 kVA</t>
  </si>
  <si>
    <t>71.985.014/0001-50</t>
  </si>
  <si>
    <t xml:space="preserve">Detalhamento do Objeto:  Possuir padrão UPS de dupla conversão On-line • Possuir Tensão de entrada: 230 V - 40Hz a 70Hz com deteção automática • Possuir Tensão de saída: 220V, 230V e 240V • Possuir capacidade 4500W / 5000 VA; • Possuir Proteção por disjuntor nos blocos de saída; • Possuir Interface de rede ou RS-232 para monitoramento remoto; • Possuir display LCD com informações de estado do equipamento e notificação de alarmes luminosa intuitiva; • Possuir capacidade de carga das baterias em até 1,5 horas; • Deve ser fornecido com trilhos metálicos para instalação em rack 19” </t>
  </si>
  <si>
    <t>No Break</t>
  </si>
  <si>
    <t xml:space="preserve">SEAL TELECOM </t>
  </si>
  <si>
    <t xml:space="preserve">G3 COMÉRCIO E SISTEMAS </t>
  </si>
  <si>
    <t xml:space="preserve">TECNO-IT TECNOLOGIA </t>
  </si>
  <si>
    <t xml:space="preserve">58.619.404/0001-48  </t>
  </si>
  <si>
    <t xml:space="preserve">02.606.231/0001-79 </t>
  </si>
  <si>
    <t xml:space="preserve">19.354.200/0001-70 </t>
  </si>
  <si>
    <t>Material gráfico e pen-drive</t>
  </si>
  <si>
    <t>Material Gráfico para distribuição aos partícipes dos seminários técnicos de divulgação da plataforma e resultados do projeto (contém Bloco de Anotações, Capas, Crachas, Pen Drive de 16 GB com documentação produzida pelo IBAMA).</t>
  </si>
  <si>
    <t>A implantação de sala de situação com os dados atualizados do comércio exterior da biodiversidade constituirá elemento de inovação na gestão dos recursos naturais.</t>
  </si>
  <si>
    <t>Com as mudanças advindas do desenvolvimento da plataforma, será necessário disseminar suas funcionalidades e mobilizar os stakeholders para alcançar uma grande adesão ao cumprimento das normas ambientais.</t>
  </si>
  <si>
    <t>Terceiro Termo Aditivo ao Contrato IBAMA n° 27/2016 - Empresa Gráfica e Editora Movimento LTDA</t>
  </si>
  <si>
    <t>08220275/0001-42</t>
  </si>
  <si>
    <t>Kit Padrão</t>
  </si>
  <si>
    <t>31.043915/0001-08</t>
  </si>
  <si>
    <t>12.565.409/0001-34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</si>
</sst>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R$&quot;#,##0.00"/>
    <numFmt numFmtId="165" formatCode="00&quot;.&quot;000&quot;.&quot;000&quot;/&quot;0000&quot;-&quot;00"/>
    <numFmt numFmtId="166" formatCode="00000&quot;-&quot;000"/>
    <numFmt numFmtId="167" formatCode="00000&quot;.&quot;00000&quot;/&quot;0000&quot;-&quot;00"/>
    <numFmt numFmtId="168" formatCode="000&quot;.&quot;000&quot;.&quot;000&quot;-&quot;00"/>
    <numFmt numFmtId="169" formatCode="&quot;(&quot;00&quot;) &quot;00000&quot;-&quot;0000"/>
    <numFmt numFmtId="170" formatCode="&quot;(&quot;00&quot;) &quot;0000&quot;-&quot;0000"/>
    <numFmt numFmtId="171" formatCode="mm/yyyy"/>
    <numFmt numFmtId="172" formatCode="[$-416]mmm\-yy;@"/>
    <numFmt numFmtId="173" formatCode="000000"/>
    <numFmt numFmtId="174" formatCode="&quot;R$&quot;#,##0"/>
    <numFmt numFmtId="175" formatCode="00&quot; horas&quot;"/>
  </numFmts>
  <fonts count="73">
    <font>
      <sz val="10"/>
      <name val="Arial"/>
    </font>
    <font>
      <sz val="11"/>
      <color theme="1"/>
      <name val="Calibri"/>
      <family val="2"/>
      <scheme val="minor"/>
    </font>
    <font>
      <u/>
      <sz val="10"/>
      <color indexed="12"/>
      <name val="Arial"/>
      <family val="2"/>
    </font>
    <font>
      <sz val="10"/>
      <name val="Arial"/>
      <family val="2"/>
    </font>
    <font>
      <b/>
      <sz val="10"/>
      <name val="Arial"/>
      <family val="2"/>
    </font>
    <font>
      <sz val="9"/>
      <name val="Arial"/>
      <family val="2"/>
    </font>
    <font>
      <sz val="8"/>
      <name val="Arial"/>
      <family val="2"/>
    </font>
    <font>
      <sz val="10"/>
      <name val="Timer"/>
    </font>
    <font>
      <b/>
      <sz val="9"/>
      <color indexed="60"/>
      <name val="Arial"/>
      <family val="2"/>
    </font>
    <font>
      <b/>
      <u/>
      <sz val="9"/>
      <color indexed="60"/>
      <name val="Arial"/>
      <family val="2"/>
    </font>
    <font>
      <b/>
      <sz val="9"/>
      <name val="Arial"/>
      <family val="2"/>
    </font>
    <font>
      <b/>
      <sz val="11"/>
      <name val="Arial"/>
      <family val="2"/>
    </font>
    <font>
      <sz val="11"/>
      <color theme="1"/>
      <name val="Calibri"/>
      <family val="2"/>
      <scheme val="minor"/>
    </font>
    <font>
      <sz val="11"/>
      <color theme="0"/>
      <name val="Calibri"/>
      <family val="2"/>
      <scheme val="minor"/>
    </font>
    <font>
      <b/>
      <sz val="9"/>
      <color rgb="FFC00000"/>
      <name val="Arial"/>
      <family val="2"/>
    </font>
    <font>
      <b/>
      <sz val="10"/>
      <color theme="8" tint="-0.499984740745262"/>
      <name val="Arial"/>
      <family val="2"/>
    </font>
    <font>
      <sz val="8"/>
      <color theme="0"/>
      <name val="Calibri"/>
      <family val="2"/>
      <scheme val="minor"/>
    </font>
    <font>
      <sz val="8"/>
      <color theme="1"/>
      <name val="Calibri"/>
      <family val="2"/>
      <scheme val="minor"/>
    </font>
    <font>
      <sz val="9"/>
      <color theme="1"/>
      <name val="Calibri"/>
      <family val="2"/>
      <scheme val="minor"/>
    </font>
    <font>
      <u/>
      <sz val="9"/>
      <color indexed="8"/>
      <name val="Calibri"/>
      <family val="2"/>
    </font>
    <font>
      <sz val="7"/>
      <name val="Arial"/>
      <family val="2"/>
    </font>
    <font>
      <sz val="8"/>
      <name val="Times New Roman"/>
      <family val="1"/>
    </font>
    <font>
      <b/>
      <sz val="8"/>
      <name val="Arial"/>
      <family val="2"/>
    </font>
    <font>
      <u/>
      <sz val="8"/>
      <color indexed="12"/>
      <name val="Arial"/>
      <family val="2"/>
    </font>
    <font>
      <u/>
      <sz val="8"/>
      <name val="Arial"/>
      <family val="2"/>
    </font>
    <font>
      <b/>
      <u/>
      <sz val="9"/>
      <name val="Arial"/>
      <family val="2"/>
    </font>
    <font>
      <b/>
      <u/>
      <sz val="8"/>
      <name val="Arial"/>
      <family val="2"/>
    </font>
    <font>
      <b/>
      <sz val="10"/>
      <color theme="0"/>
      <name val="Arial"/>
      <family val="2"/>
    </font>
    <font>
      <b/>
      <sz val="7"/>
      <name val="Arial"/>
      <family val="2"/>
    </font>
    <font>
      <b/>
      <u/>
      <sz val="9"/>
      <color theme="0"/>
      <name val="Arial"/>
      <family val="2"/>
    </font>
    <font>
      <sz val="9"/>
      <color theme="0"/>
      <name val="Arial"/>
      <family val="2"/>
    </font>
    <font>
      <sz val="8"/>
      <color theme="0"/>
      <name val="Arial"/>
      <family val="2"/>
    </font>
    <font>
      <b/>
      <u/>
      <sz val="8"/>
      <color rgb="FFC00000"/>
      <name val="Arial"/>
      <family val="2"/>
    </font>
    <font>
      <sz val="10"/>
      <color rgb="FFC00000"/>
      <name val="Arial"/>
      <family val="2"/>
    </font>
    <font>
      <b/>
      <sz val="9"/>
      <color theme="0"/>
      <name val="Arial"/>
      <family val="2"/>
    </font>
    <font>
      <sz val="10"/>
      <color theme="0"/>
      <name val="Arial"/>
      <family val="2"/>
    </font>
    <font>
      <u/>
      <sz val="9"/>
      <color theme="0"/>
      <name val="Arial"/>
      <family val="2"/>
    </font>
    <font>
      <sz val="7"/>
      <color theme="0"/>
      <name val="Arial"/>
      <family val="2"/>
    </font>
    <font>
      <sz val="11"/>
      <color rgb="FFC00000"/>
      <name val="Calibri"/>
      <family val="2"/>
      <scheme val="minor"/>
    </font>
    <font>
      <sz val="9"/>
      <color theme="0"/>
      <name val="Calibri"/>
      <family val="2"/>
    </font>
    <font>
      <sz val="9"/>
      <color theme="5" tint="0.59999389629810485"/>
      <name val="Arial"/>
      <family val="2"/>
    </font>
    <font>
      <i/>
      <sz val="9"/>
      <color theme="0"/>
      <name val="Arial"/>
      <family val="2"/>
    </font>
    <font>
      <b/>
      <sz val="8"/>
      <color theme="0"/>
      <name val="Arial"/>
      <family val="2"/>
    </font>
    <font>
      <b/>
      <sz val="10"/>
      <color theme="1" tint="0.249977111117893"/>
      <name val="Arial"/>
      <family val="2"/>
    </font>
    <font>
      <b/>
      <sz val="20"/>
      <color rgb="FFC00000"/>
      <name val="Arial Black"/>
      <family val="2"/>
    </font>
    <font>
      <sz val="9"/>
      <color theme="1" tint="0.249977111117893"/>
      <name val="Arial"/>
      <family val="2"/>
    </font>
    <font>
      <b/>
      <sz val="9"/>
      <color theme="1" tint="0.249977111117893"/>
      <name val="Arial"/>
      <family val="2"/>
    </font>
    <font>
      <i/>
      <u/>
      <sz val="9"/>
      <color theme="0"/>
      <name val="Arial"/>
      <family val="2"/>
    </font>
    <font>
      <b/>
      <u/>
      <sz val="10"/>
      <color theme="1" tint="0.249977111117893"/>
      <name val="Arial"/>
      <family val="2"/>
    </font>
    <font>
      <sz val="10"/>
      <color theme="1" tint="0.249977111117893"/>
      <name val="Arial"/>
      <family val="2"/>
    </font>
    <font>
      <sz val="9"/>
      <color theme="1" tint="0.249977111117893"/>
      <name val="Calibri"/>
      <family val="2"/>
    </font>
    <font>
      <u/>
      <sz val="10"/>
      <color theme="0"/>
      <name val="Arial"/>
      <family val="2"/>
    </font>
    <font>
      <sz val="8"/>
      <color theme="1" tint="0.249977111117893"/>
      <name val="Arial"/>
      <family val="2"/>
    </font>
    <font>
      <b/>
      <sz val="8"/>
      <color theme="0" tint="-0.499984740745262"/>
      <name val="Arial"/>
      <family val="2"/>
    </font>
    <font>
      <u/>
      <sz val="9"/>
      <color theme="0"/>
      <name val="Calibri"/>
      <family val="2"/>
    </font>
    <font>
      <b/>
      <sz val="9"/>
      <color theme="0" tint="-0.499984740745262"/>
      <name val="Arial"/>
      <family val="2"/>
    </font>
    <font>
      <b/>
      <sz val="11"/>
      <color theme="1" tint="0.249977111117893"/>
      <name val="Arial"/>
      <family val="2"/>
    </font>
    <font>
      <i/>
      <sz val="9"/>
      <color theme="1" tint="0.249977111117893"/>
      <name val="Arial"/>
      <family val="2"/>
    </font>
    <font>
      <b/>
      <u/>
      <sz val="10"/>
      <color theme="8" tint="-0.499984740745262"/>
      <name val="Arial"/>
      <family val="2"/>
    </font>
    <font>
      <u/>
      <sz val="9"/>
      <color theme="0"/>
      <name val="Calibri"/>
      <family val="2"/>
      <scheme val="minor"/>
    </font>
    <font>
      <sz val="9"/>
      <color theme="0"/>
      <name val="Calibri"/>
      <family val="2"/>
      <scheme val="minor"/>
    </font>
    <font>
      <sz val="10"/>
      <name val="Calibri"/>
      <family val="2"/>
      <scheme val="minor"/>
    </font>
    <font>
      <u/>
      <sz val="8"/>
      <color theme="0"/>
      <name val="Calibri"/>
      <family val="2"/>
      <scheme val="minor"/>
    </font>
    <font>
      <b/>
      <u/>
      <sz val="8"/>
      <color theme="0"/>
      <name val="Calibri"/>
      <family val="2"/>
      <scheme val="minor"/>
    </font>
    <font>
      <b/>
      <sz val="18"/>
      <color theme="7" tint="-0.499984740745262"/>
      <name val="Arial Black"/>
      <family val="2"/>
    </font>
    <font>
      <sz val="10"/>
      <name val="Arial"/>
      <family val="2"/>
    </font>
    <font>
      <sz val="7"/>
      <color rgb="FFFF0000"/>
      <name val="Arial"/>
      <family val="2"/>
    </font>
    <font>
      <u/>
      <sz val="8"/>
      <color rgb="FFFF0000"/>
      <name val="Arial"/>
      <family val="2"/>
    </font>
    <font>
      <i/>
      <sz val="9"/>
      <color theme="1"/>
      <name val="Arial"/>
      <family val="2"/>
    </font>
    <font>
      <i/>
      <sz val="8"/>
      <color rgb="FFC00000"/>
      <name val="Arial"/>
      <family val="2"/>
    </font>
    <font>
      <sz val="8"/>
      <color rgb="FFC00000"/>
      <name val="Arial"/>
      <family val="2"/>
    </font>
    <font>
      <sz val="7"/>
      <color theme="1" tint="0.249977111117893"/>
      <name val="Arial"/>
      <family val="2"/>
    </font>
    <font>
      <b/>
      <sz val="9"/>
      <color theme="5" tint="-0.499984740745262"/>
      <name val="Arial"/>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right>
      <top style="thin">
        <color theme="0" tint="-0.499984740745262"/>
      </top>
      <bottom/>
      <diagonal/>
    </border>
    <border>
      <left style="thin">
        <color theme="0" tint="-0.499984740745262"/>
      </left>
      <right/>
      <top/>
      <bottom/>
      <diagonal/>
    </border>
    <border>
      <left/>
      <right style="thin">
        <color theme="0"/>
      </right>
      <top/>
      <bottom/>
      <diagonal/>
    </border>
    <border>
      <left style="thin">
        <color theme="0" tint="-0.499984740745262"/>
      </left>
      <right/>
      <top/>
      <bottom style="thin">
        <color theme="0"/>
      </bottom>
      <diagonal/>
    </border>
    <border>
      <left/>
      <right/>
      <top/>
      <bottom style="thin">
        <color theme="0"/>
      </bottom>
      <diagonal/>
    </border>
    <border>
      <left/>
      <right style="thin">
        <color theme="0"/>
      </right>
      <top/>
      <bottom style="thin">
        <color theme="0"/>
      </bottom>
      <diagonal/>
    </border>
    <border>
      <left/>
      <right/>
      <top style="medium">
        <color theme="0" tint="-0.499984740745262"/>
      </top>
      <bottom/>
      <diagonal/>
    </border>
    <border>
      <left/>
      <right style="thin">
        <color theme="0"/>
      </right>
      <top style="medium">
        <color theme="0" tint="-0.499984740745262"/>
      </top>
      <bottom/>
      <diagonal/>
    </border>
    <border>
      <left/>
      <right/>
      <top/>
      <bottom style="thin">
        <color theme="0" tint="-0.499984740745262"/>
      </bottom>
      <diagonal/>
    </border>
    <border>
      <left/>
      <right style="thin">
        <color theme="0"/>
      </right>
      <top/>
      <bottom style="thin">
        <color theme="0" tint="-0.499984740745262"/>
      </bottom>
      <diagonal/>
    </border>
    <border>
      <left style="thin">
        <color theme="0" tint="-0.499984740745262"/>
      </left>
      <right style="thin">
        <color theme="0" tint="-4.9989318521683403E-2"/>
      </right>
      <top style="thin">
        <color theme="0" tint="-0.499984740745262"/>
      </top>
      <bottom style="thin">
        <color theme="0" tint="-4.9989318521683403E-2"/>
      </bottom>
      <diagonal/>
    </border>
    <border>
      <left/>
      <right style="thin">
        <color theme="0" tint="-4.9989318521683403E-2"/>
      </right>
      <top style="thin">
        <color theme="0" tint="-0.499984740745262"/>
      </top>
      <bottom/>
      <diagonal/>
    </border>
    <border>
      <left/>
      <right style="thin">
        <color theme="0" tint="-4.9989318521683403E-2"/>
      </right>
      <top/>
      <bottom/>
      <diagonal/>
    </border>
    <border>
      <left style="thin">
        <color theme="0" tint="-0.49998474074526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7" tint="-0.499984740745262"/>
      </top>
      <bottom style="thin">
        <color theme="7" tint="-0.499984740745262"/>
      </bottom>
      <diagonal/>
    </border>
    <border>
      <left style="thin">
        <color theme="0" tint="-0.499984740745262"/>
      </left>
      <right style="thin">
        <color theme="0" tint="-4.9989318521683403E-2"/>
      </right>
      <top style="thin">
        <color theme="0" tint="-0.499984740745262"/>
      </top>
      <bottom/>
      <diagonal/>
    </border>
    <border>
      <left style="thin">
        <color theme="0" tint="-0.499984740745262"/>
      </left>
      <right style="thin">
        <color theme="0" tint="-4.9989318521683403E-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4.9989318521683403E-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thin">
        <color theme="0" tint="-4.9989318521683403E-2"/>
      </right>
      <top style="thin">
        <color theme="0" tint="-0.499984740745262"/>
      </top>
      <bottom style="thin">
        <color theme="0" tint="-4.9989318521683403E-2"/>
      </bottom>
      <diagonal/>
    </border>
    <border>
      <left style="thin">
        <color theme="0" tint="-4.9989318521683403E-2"/>
      </left>
      <right style="thin">
        <color theme="0" tint="-4.9989318521683403E-2"/>
      </right>
      <top style="thin">
        <color theme="0" tint="-0.499984740745262"/>
      </top>
      <bottom style="thin">
        <color theme="0" tint="-4.9989318521683403E-2"/>
      </bottom>
      <diagonal/>
    </border>
    <border>
      <left/>
      <right style="thin">
        <color theme="0" tint="-0.49998474074526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0.499984740745262"/>
      </top>
      <bottom/>
      <diagonal/>
    </border>
    <border>
      <left style="thin">
        <color theme="0" tint="-4.9989318521683403E-2"/>
      </left>
      <right style="thin">
        <color theme="0" tint="-4.9989318521683403E-2"/>
      </right>
      <top/>
      <bottom/>
      <diagonal/>
    </border>
    <border>
      <left style="thin">
        <color theme="0" tint="-0.499984740745262"/>
      </left>
      <right style="thin">
        <color theme="0" tint="-4.9989318521683403E-2"/>
      </right>
      <top/>
      <bottom style="thin">
        <color theme="0" tint="-0.499984740745262"/>
      </bottom>
      <diagonal/>
    </border>
    <border>
      <left style="thin">
        <color theme="0" tint="-4.9989318521683403E-2"/>
      </left>
      <right style="thin">
        <color theme="0" tint="-4.9989318521683403E-2"/>
      </right>
      <top/>
      <bottom style="thin">
        <color theme="0" tint="-0.499984740745262"/>
      </bottom>
      <diagonal/>
    </border>
    <border>
      <left style="thin">
        <color theme="0" tint="-0.499984740745262"/>
      </left>
      <right/>
      <top style="thin">
        <color theme="0" tint="-4.9989318521683403E-2"/>
      </top>
      <bottom style="thin">
        <color theme="0" tint="-4.9989318521683403E-2"/>
      </bottom>
      <diagonal/>
    </border>
    <border>
      <left style="thin">
        <color theme="0" tint="-4.9989318521683403E-2"/>
      </left>
      <right/>
      <top style="thin">
        <color theme="0" tint="-0.499984740745262"/>
      </top>
      <bottom style="thin">
        <color theme="0" tint="-4.9989318521683403E-2"/>
      </bottom>
      <diagonal/>
    </border>
    <border>
      <left/>
      <right/>
      <top/>
      <bottom style="thin">
        <color theme="0" tint="-0.1499679555650502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theme="0"/>
      </right>
      <top style="thin">
        <color theme="0" tint="-0.14996795556505021"/>
      </top>
      <bottom/>
      <diagonal/>
    </border>
    <border>
      <left/>
      <right style="thin">
        <color theme="0"/>
      </right>
      <top/>
      <bottom style="thin">
        <color theme="0" tint="-0.14996795556505021"/>
      </bottom>
      <diagonal/>
    </border>
    <border>
      <left style="thin">
        <color theme="0" tint="-0.499984740745262"/>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499984740745262"/>
      </right>
      <top style="thin">
        <color theme="0" tint="-0.499984740745262"/>
      </top>
      <bottom style="hair">
        <color theme="0" tint="-0.24994659260841701"/>
      </bottom>
      <diagonal/>
    </border>
    <border>
      <left style="thin">
        <color theme="0" tint="-0.499984740745262"/>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499984740745262"/>
      </right>
      <top style="hair">
        <color theme="0" tint="-0.24994659260841701"/>
      </top>
      <bottom style="hair">
        <color theme="0" tint="-0.24994659260841701"/>
      </bottom>
      <diagonal/>
    </border>
    <border>
      <left style="thin">
        <color theme="0" tint="-0.499984740745262"/>
      </left>
      <right style="hair">
        <color theme="0" tint="-0.24994659260841701"/>
      </right>
      <top style="hair">
        <color theme="0" tint="-0.24994659260841701"/>
      </top>
      <bottom style="thin">
        <color theme="0" tint="-4.9989318521683403E-2"/>
      </bottom>
      <diagonal/>
    </border>
    <border>
      <left style="hair">
        <color theme="0" tint="-0.24994659260841701"/>
      </left>
      <right style="hair">
        <color theme="0" tint="-0.24994659260841701"/>
      </right>
      <top style="hair">
        <color theme="0" tint="-0.24994659260841701"/>
      </top>
      <bottom style="thin">
        <color theme="0" tint="-4.9989318521683403E-2"/>
      </bottom>
      <diagonal/>
    </border>
    <border>
      <left style="hair">
        <color theme="0" tint="-0.24994659260841701"/>
      </left>
      <right style="thin">
        <color theme="0" tint="-0.499984740745262"/>
      </right>
      <top style="hair">
        <color theme="0" tint="-0.24994659260841701"/>
      </top>
      <bottom style="thin">
        <color theme="0" tint="-4.9989318521683403E-2"/>
      </bottom>
      <diagonal/>
    </border>
    <border>
      <left style="thin">
        <color theme="0" tint="-0.499984740745262"/>
      </left>
      <right style="thin">
        <color theme="0" tint="-0.14996795556505021"/>
      </right>
      <top style="thin">
        <color theme="0" tint="-0.499984740745262"/>
      </top>
      <bottom style="hair">
        <color theme="0" tint="-0.14996795556505021"/>
      </bottom>
      <diagonal/>
    </border>
    <border>
      <left style="thin">
        <color theme="0" tint="-0.14996795556505021"/>
      </left>
      <right style="thin">
        <color theme="0" tint="-0.14996795556505021"/>
      </right>
      <top style="thin">
        <color theme="0" tint="-0.499984740745262"/>
      </top>
      <bottom style="hair">
        <color theme="0" tint="-0.14996795556505021"/>
      </bottom>
      <diagonal/>
    </border>
    <border>
      <left style="thin">
        <color theme="0" tint="-0.14996795556505021"/>
      </left>
      <right style="thin">
        <color theme="0" tint="-4.9989318521683403E-2"/>
      </right>
      <top style="thin">
        <color theme="0" tint="-0.499984740745262"/>
      </top>
      <bottom style="hair">
        <color theme="0" tint="-0.14996795556505021"/>
      </bottom>
      <diagonal/>
    </border>
    <border>
      <left style="thin">
        <color theme="0" tint="-0.499984740745262"/>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0.14996795556505021"/>
      </right>
      <top style="hair">
        <color theme="0" tint="-0.14996795556505021"/>
      </top>
      <bottom style="hair">
        <color theme="0" tint="-0.14996795556505021"/>
      </bottom>
      <diagonal/>
    </border>
    <border>
      <left style="thin">
        <color theme="0" tint="-0.14996795556505021"/>
      </left>
      <right style="thin">
        <color theme="0" tint="-4.9989318521683403E-2"/>
      </right>
      <top style="hair">
        <color theme="0" tint="-0.14996795556505021"/>
      </top>
      <bottom style="hair">
        <color theme="0" tint="-0.14996795556505021"/>
      </bottom>
      <diagonal/>
    </border>
    <border>
      <left style="thin">
        <color theme="0" tint="-0.499984740745262"/>
      </left>
      <right style="thin">
        <color theme="0" tint="-0.14996795556505021"/>
      </right>
      <top style="hair">
        <color theme="0" tint="-0.14996795556505021"/>
      </top>
      <bottom style="thin">
        <color theme="0" tint="-0.14996795556505021"/>
      </bottom>
      <diagonal/>
    </border>
    <border>
      <left style="thin">
        <color theme="0" tint="-0.14996795556505021"/>
      </left>
      <right style="thin">
        <color theme="0" tint="-0.14996795556505021"/>
      </right>
      <top style="hair">
        <color theme="0" tint="-0.14996795556505021"/>
      </top>
      <bottom style="thin">
        <color theme="0" tint="-0.14996795556505021"/>
      </bottom>
      <diagonal/>
    </border>
    <border>
      <left style="thin">
        <color theme="0" tint="-0.14996795556505021"/>
      </left>
      <right style="thin">
        <color theme="0" tint="-4.9989318521683403E-2"/>
      </right>
      <top style="hair">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5" tint="0.59996337778862885"/>
      </top>
      <bottom/>
      <diagonal/>
    </border>
    <border>
      <left/>
      <right/>
      <top/>
      <bottom style="thin">
        <color theme="5" tint="0.59996337778862885"/>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diagonal/>
    </border>
    <border>
      <left/>
      <right/>
      <top/>
      <bottom style="thin">
        <color theme="0" tint="-0.14993743705557422"/>
      </bottom>
      <diagonal/>
    </border>
    <border>
      <left/>
      <right/>
      <top style="thin">
        <color theme="0" tint="-0.14990691854609822"/>
      </top>
      <bottom/>
      <diagonal/>
    </border>
    <border>
      <left/>
      <right/>
      <top/>
      <bottom style="thin">
        <color theme="0" tint="-0.14990691854609822"/>
      </bottom>
      <diagonal/>
    </border>
  </borders>
  <cellStyleXfs count="6">
    <xf numFmtId="0" fontId="0" fillId="0" borderId="0"/>
    <xf numFmtId="0" fontId="2" fillId="0" borderId="0" applyNumberFormat="0" applyFill="0" applyBorder="0" applyAlignment="0" applyProtection="0">
      <alignment vertical="top"/>
      <protection locked="0"/>
    </xf>
    <xf numFmtId="0" fontId="12" fillId="0" borderId="0"/>
    <xf numFmtId="0" fontId="3" fillId="0" borderId="0"/>
    <xf numFmtId="0" fontId="1" fillId="0" borderId="0"/>
    <xf numFmtId="9" fontId="65" fillId="0" borderId="0" applyFont="0" applyFill="0" applyBorder="0" applyAlignment="0" applyProtection="0"/>
  </cellStyleXfs>
  <cellXfs count="645">
    <xf numFmtId="0" fontId="0" fillId="0" borderId="0" xfId="0"/>
    <xf numFmtId="0" fontId="12" fillId="0" borderId="0" xfId="2"/>
    <xf numFmtId="0" fontId="12" fillId="0" borderId="0" xfId="2" applyAlignment="1">
      <alignment horizontal="left" indent="1"/>
    </xf>
    <xf numFmtId="0" fontId="12" fillId="0" borderId="0" xfId="2" applyAlignment="1">
      <alignment vertical="center"/>
    </xf>
    <xf numFmtId="0" fontId="12" fillId="0" borderId="0" xfId="2" applyAlignment="1">
      <alignment horizontal="left" vertical="center" indent="1"/>
    </xf>
    <xf numFmtId="0" fontId="3" fillId="0" borderId="0" xfId="0" applyFont="1" applyFill="1"/>
    <xf numFmtId="0" fontId="6" fillId="0" borderId="0" xfId="0" applyFont="1" applyFill="1" applyAlignment="1">
      <alignment horizontal="right" vertical="top"/>
    </xf>
    <xf numFmtId="0" fontId="5" fillId="0" borderId="0" xfId="0" applyFont="1" applyFill="1"/>
    <xf numFmtId="0" fontId="6" fillId="0" borderId="0" xfId="0" applyFont="1" applyFill="1" applyAlignment="1">
      <alignment vertical="top"/>
    </xf>
    <xf numFmtId="0" fontId="5" fillId="0" borderId="0" xfId="0" applyFont="1" applyFill="1" applyAlignment="1">
      <alignment vertical="top"/>
    </xf>
    <xf numFmtId="0" fontId="6" fillId="0" borderId="0" xfId="0" applyFont="1" applyFill="1"/>
    <xf numFmtId="0" fontId="3" fillId="0" borderId="0" xfId="0" applyFont="1" applyFill="1" applyAlignment="1"/>
    <xf numFmtId="0" fontId="16" fillId="6" borderId="1" xfId="2" applyFont="1" applyFill="1" applyBorder="1" applyAlignment="1">
      <alignment horizontal="left" indent="1"/>
    </xf>
    <xf numFmtId="0" fontId="17" fillId="4" borderId="1" xfId="2" applyFont="1" applyFill="1" applyBorder="1" applyAlignment="1">
      <alignment horizontal="left" indent="1"/>
    </xf>
    <xf numFmtId="0" fontId="18" fillId="0" borderId="0" xfId="2" applyFont="1" applyAlignment="1">
      <alignment horizontal="left" indent="1"/>
    </xf>
    <xf numFmtId="0" fontId="18" fillId="0" borderId="0" xfId="2" applyFont="1" applyAlignment="1">
      <alignment horizontal="left" vertical="center" indent="1"/>
    </xf>
    <xf numFmtId="0" fontId="18" fillId="0" borderId="1" xfId="2" applyFont="1" applyBorder="1" applyAlignment="1">
      <alignment horizontal="left" vertical="top" wrapText="1" indent="1"/>
    </xf>
    <xf numFmtId="0" fontId="18" fillId="0" borderId="1" xfId="2" applyFont="1" applyBorder="1" applyAlignment="1">
      <alignment horizontal="left" vertical="top" wrapText="1"/>
    </xf>
    <xf numFmtId="0" fontId="12" fillId="0" borderId="0" xfId="2" applyAlignment="1">
      <alignment vertical="top"/>
    </xf>
    <xf numFmtId="0" fontId="5" fillId="0" borderId="1" xfId="0" applyFont="1" applyBorder="1" applyAlignment="1">
      <alignment horizontal="left" vertical="top" wrapText="1"/>
    </xf>
    <xf numFmtId="0" fontId="3" fillId="0" borderId="0" xfId="0" applyFont="1" applyFill="1" applyBorder="1" applyAlignment="1"/>
    <xf numFmtId="0" fontId="5" fillId="0" borderId="0" xfId="0" applyFont="1" applyFill="1" applyBorder="1" applyAlignment="1">
      <alignment vertical="top" wrapText="1"/>
    </xf>
    <xf numFmtId="0" fontId="0" fillId="0" borderId="0" xfId="0" applyFill="1"/>
    <xf numFmtId="0" fontId="5" fillId="0" borderId="0" xfId="0" applyFont="1" applyFill="1" applyAlignment="1">
      <alignment vertical="top" wrapText="1"/>
    </xf>
    <xf numFmtId="0" fontId="13" fillId="7" borderId="1" xfId="2" applyFont="1" applyFill="1" applyBorder="1" applyAlignment="1">
      <alignment horizontal="left" indent="1"/>
    </xf>
    <xf numFmtId="0" fontId="18" fillId="5" borderId="1" xfId="2" applyFont="1" applyFill="1" applyBorder="1" applyAlignment="1">
      <alignment horizontal="left" indent="1"/>
    </xf>
    <xf numFmtId="0" fontId="6" fillId="0" borderId="0" xfId="0" applyFont="1" applyFill="1" applyAlignment="1">
      <alignment vertical="center"/>
    </xf>
    <xf numFmtId="49" fontId="3" fillId="0" borderId="0" xfId="0" applyNumberFormat="1" applyFont="1"/>
    <xf numFmtId="0" fontId="22" fillId="0" borderId="0" xfId="0" applyFont="1" applyFill="1" applyBorder="1" applyAlignment="1">
      <alignment vertical="center"/>
    </xf>
    <xf numFmtId="0" fontId="3" fillId="0" borderId="0" xfId="0" applyFont="1" applyFill="1" applyBorder="1"/>
    <xf numFmtId="0" fontId="25" fillId="0" borderId="32" xfId="0" applyFont="1" applyFill="1" applyBorder="1" applyAlignment="1">
      <alignment vertical="center"/>
    </xf>
    <xf numFmtId="0" fontId="5" fillId="0" borderId="32" xfId="0" applyFont="1" applyFill="1" applyBorder="1" applyAlignment="1">
      <alignment vertical="center"/>
    </xf>
    <xf numFmtId="0" fontId="6" fillId="0" borderId="33" xfId="0" applyFont="1" applyFill="1" applyBorder="1" applyAlignment="1">
      <alignment horizontal="center" vertical="center"/>
    </xf>
    <xf numFmtId="0" fontId="29" fillId="0" borderId="26" xfId="0" applyFont="1" applyFill="1" applyBorder="1" applyAlignment="1">
      <alignment vertical="center"/>
    </xf>
    <xf numFmtId="0" fontId="29" fillId="0" borderId="27" xfId="0" applyFont="1" applyFill="1" applyBorder="1" applyAlignment="1">
      <alignment vertical="center"/>
    </xf>
    <xf numFmtId="0" fontId="30" fillId="0" borderId="26" xfId="0" applyFont="1" applyFill="1" applyBorder="1" applyAlignment="1">
      <alignment vertical="center"/>
    </xf>
    <xf numFmtId="0" fontId="30" fillId="0" borderId="27" xfId="0" applyFont="1" applyFill="1" applyBorder="1" applyAlignment="1">
      <alignment vertical="center"/>
    </xf>
    <xf numFmtId="0" fontId="30" fillId="0" borderId="29" xfId="0" applyFont="1" applyFill="1" applyBorder="1" applyAlignment="1">
      <alignment vertical="center"/>
    </xf>
    <xf numFmtId="0" fontId="30" fillId="0" borderId="30" xfId="0" applyFont="1" applyFill="1" applyBorder="1" applyAlignment="1">
      <alignment vertical="center"/>
    </xf>
    <xf numFmtId="0" fontId="3" fillId="10" borderId="36" xfId="0" applyFont="1" applyFill="1" applyBorder="1"/>
    <xf numFmtId="0" fontId="3" fillId="10" borderId="37" xfId="0" applyFont="1" applyFill="1" applyBorder="1"/>
    <xf numFmtId="0" fontId="31" fillId="0" borderId="0" xfId="0" applyFont="1" applyFill="1"/>
    <xf numFmtId="0" fontId="6" fillId="0" borderId="38" xfId="0" applyFont="1" applyFill="1" applyBorder="1" applyAlignment="1">
      <alignment horizontal="center" vertical="center"/>
    </xf>
    <xf numFmtId="4" fontId="3" fillId="0" borderId="0" xfId="0" applyNumberFormat="1" applyFont="1" applyFill="1" applyBorder="1"/>
    <xf numFmtId="172" fontId="33" fillId="0" borderId="0" xfId="0" applyNumberFormat="1" applyFont="1" applyFill="1" applyAlignment="1"/>
    <xf numFmtId="0" fontId="3" fillId="0" borderId="0" xfId="0" applyFont="1" applyFill="1" applyProtection="1"/>
    <xf numFmtId="0" fontId="33" fillId="0" borderId="0" xfId="0" applyFont="1" applyFill="1"/>
    <xf numFmtId="0" fontId="7" fillId="0" borderId="0" xfId="0" applyFont="1" applyFill="1"/>
    <xf numFmtId="164" fontId="4" fillId="0" borderId="0" xfId="0" applyNumberFormat="1" applyFont="1" applyFill="1" applyBorder="1" applyAlignment="1">
      <alignment vertical="center"/>
    </xf>
    <xf numFmtId="0" fontId="0" fillId="0" borderId="0" xfId="0" applyFill="1" applyBorder="1"/>
    <xf numFmtId="0" fontId="0" fillId="0" borderId="0" xfId="0" applyFill="1" applyBorder="1" applyAlignment="1">
      <alignment horizontal="right" indent="3"/>
    </xf>
    <xf numFmtId="0" fontId="0" fillId="0" borderId="0" xfId="0" applyFill="1" applyAlignment="1">
      <alignment shrinkToFit="1"/>
    </xf>
    <xf numFmtId="0" fontId="6" fillId="0" borderId="0" xfId="0" applyFont="1" applyFill="1" applyAlignment="1">
      <alignment horizontal="right"/>
    </xf>
    <xf numFmtId="0" fontId="13" fillId="0" borderId="0" xfId="2" applyFont="1" applyFill="1" applyBorder="1" applyAlignment="1">
      <alignment vertical="center"/>
    </xf>
    <xf numFmtId="0" fontId="31" fillId="0" borderId="0" xfId="0" applyFont="1" applyFill="1" applyAlignment="1">
      <alignment vertical="center"/>
    </xf>
    <xf numFmtId="0" fontId="20"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horizontal="center" vertical="center"/>
      <protection locked="0"/>
    </xf>
    <xf numFmtId="3" fontId="6" fillId="0" borderId="0" xfId="0" applyNumberFormat="1"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center" vertical="center"/>
      <protection locked="0"/>
    </xf>
    <xf numFmtId="0" fontId="0" fillId="0" borderId="0" xfId="0" applyFill="1" applyAlignment="1">
      <alignment vertical="top"/>
    </xf>
    <xf numFmtId="0" fontId="35" fillId="0" borderId="0" xfId="0" applyFont="1" applyFill="1"/>
    <xf numFmtId="14" fontId="38" fillId="0" borderId="0" xfId="2" applyNumberFormat="1" applyFont="1" applyFill="1" applyBorder="1" applyAlignment="1">
      <alignment vertical="center"/>
    </xf>
    <xf numFmtId="0" fontId="38" fillId="0" borderId="0" xfId="2" applyFont="1" applyFill="1" applyBorder="1" applyAlignment="1">
      <alignment vertical="center"/>
    </xf>
    <xf numFmtId="171" fontId="3" fillId="0" borderId="0" xfId="0" applyNumberFormat="1" applyFont="1" applyFill="1"/>
    <xf numFmtId="0" fontId="3" fillId="11" borderId="0" xfId="0" applyFont="1" applyFill="1"/>
    <xf numFmtId="0" fontId="30" fillId="11" borderId="0" xfId="0" applyFont="1" applyFill="1" applyAlignment="1">
      <alignment vertical="top" wrapText="1"/>
    </xf>
    <xf numFmtId="0" fontId="5" fillId="11" borderId="0" xfId="0" applyFont="1" applyFill="1"/>
    <xf numFmtId="0" fontId="6"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indent="1"/>
    </xf>
    <xf numFmtId="0" fontId="6" fillId="0" borderId="0" xfId="0" applyFont="1" applyFill="1" applyBorder="1" applyAlignment="1">
      <alignment horizontal="left" vertical="center" indent="1"/>
    </xf>
    <xf numFmtId="0" fontId="5" fillId="0" borderId="0" xfId="0" applyFont="1" applyFill="1" applyAlignment="1">
      <alignment vertical="top"/>
    </xf>
    <xf numFmtId="0" fontId="6" fillId="0" borderId="0" xfId="0" applyFont="1" applyAlignment="1">
      <alignment vertical="center" wrapText="1"/>
    </xf>
    <xf numFmtId="0" fontId="0" fillId="11" borderId="0" xfId="0" applyFill="1"/>
    <xf numFmtId="49" fontId="5" fillId="15" borderId="21" xfId="0" applyNumberFormat="1" applyFont="1" applyFill="1" applyBorder="1" applyAlignment="1">
      <alignment horizontal="center"/>
    </xf>
    <xf numFmtId="0" fontId="5" fillId="3" borderId="21" xfId="0" applyFont="1" applyFill="1" applyBorder="1" applyAlignment="1">
      <alignment horizontal="left" indent="1"/>
    </xf>
    <xf numFmtId="0" fontId="5" fillId="0" borderId="0" xfId="0" applyFont="1"/>
    <xf numFmtId="0" fontId="20" fillId="11" borderId="0" xfId="0" applyFont="1" applyFill="1"/>
    <xf numFmtId="0" fontId="6" fillId="11" borderId="0" xfId="0" applyFont="1" applyFill="1" applyBorder="1" applyAlignment="1">
      <alignment vertical="center"/>
    </xf>
    <xf numFmtId="0" fontId="0" fillId="11" borderId="0" xfId="0" applyFill="1" applyBorder="1"/>
    <xf numFmtId="0" fontId="44" fillId="0" borderId="0" xfId="0" applyFont="1" applyAlignment="1">
      <alignment vertical="center" wrapText="1"/>
    </xf>
    <xf numFmtId="0" fontId="3" fillId="6" borderId="0" xfId="0" applyFont="1" applyFill="1"/>
    <xf numFmtId="0" fontId="30" fillId="6" borderId="0" xfId="0" applyFont="1" applyFill="1" applyAlignment="1">
      <alignment vertical="top" wrapText="1"/>
    </xf>
    <xf numFmtId="0" fontId="30" fillId="6" borderId="0" xfId="0" applyFont="1" applyFill="1" applyAlignment="1">
      <alignment horizontal="left" vertical="center" wrapText="1"/>
    </xf>
    <xf numFmtId="0" fontId="5" fillId="6" borderId="0" xfId="0" applyFont="1" applyFill="1"/>
    <xf numFmtId="0" fontId="22" fillId="0" borderId="0" xfId="0" applyFont="1" applyFill="1" applyAlignment="1"/>
    <xf numFmtId="0" fontId="3" fillId="6" borderId="0" xfId="0" applyFont="1" applyFill="1" applyAlignment="1"/>
    <xf numFmtId="0" fontId="3" fillId="6" borderId="41" xfId="0" applyFont="1" applyFill="1" applyBorder="1"/>
    <xf numFmtId="0" fontId="3" fillId="6" borderId="42" xfId="0" applyFont="1" applyFill="1" applyBorder="1"/>
    <xf numFmtId="0" fontId="3" fillId="6" borderId="43" xfId="0" applyFont="1" applyFill="1" applyBorder="1"/>
    <xf numFmtId="0" fontId="3" fillId="6" borderId="44" xfId="0" applyFont="1" applyFill="1" applyBorder="1"/>
    <xf numFmtId="0" fontId="3" fillId="6" borderId="0" xfId="0" applyFont="1" applyFill="1" applyBorder="1"/>
    <xf numFmtId="0" fontId="3" fillId="6" borderId="6" xfId="0" applyFont="1" applyFill="1" applyBorder="1"/>
    <xf numFmtId="0" fontId="30" fillId="6" borderId="6" xfId="0" applyFont="1" applyFill="1" applyBorder="1" applyAlignment="1">
      <alignment vertical="top" wrapText="1"/>
    </xf>
    <xf numFmtId="0" fontId="35" fillId="6" borderId="0" xfId="0" applyFont="1" applyFill="1" applyBorder="1" applyAlignment="1">
      <alignment vertical="top" wrapText="1"/>
    </xf>
    <xf numFmtId="0" fontId="30" fillId="6" borderId="0" xfId="0" applyFont="1" applyFill="1" applyBorder="1" applyAlignment="1">
      <alignment vertical="top" wrapText="1"/>
    </xf>
    <xf numFmtId="0" fontId="3" fillId="6" borderId="45" xfId="0" applyFont="1" applyFill="1" applyBorder="1"/>
    <xf numFmtId="0" fontId="3" fillId="6" borderId="8" xfId="0" applyFont="1" applyFill="1" applyBorder="1"/>
    <xf numFmtId="0" fontId="30" fillId="6" borderId="8" xfId="0" applyFont="1" applyFill="1" applyBorder="1" applyAlignment="1">
      <alignment vertical="top" wrapText="1"/>
    </xf>
    <xf numFmtId="0" fontId="30" fillId="6" borderId="9" xfId="0" applyFont="1" applyFill="1" applyBorder="1" applyAlignment="1">
      <alignment vertical="top" wrapText="1"/>
    </xf>
    <xf numFmtId="0" fontId="0" fillId="2" borderId="0" xfId="0" applyFill="1"/>
    <xf numFmtId="0" fontId="7" fillId="2" borderId="0" xfId="0" applyFont="1" applyFill="1"/>
    <xf numFmtId="0" fontId="5" fillId="2" borderId="0" xfId="0" applyFont="1" applyFill="1"/>
    <xf numFmtId="0" fontId="6" fillId="2" borderId="0" xfId="0" applyFont="1" applyFill="1"/>
    <xf numFmtId="0" fontId="6" fillId="11" borderId="0" xfId="0" applyFont="1" applyFill="1"/>
    <xf numFmtId="0" fontId="20" fillId="8" borderId="1" xfId="0" applyFont="1" applyFill="1" applyBorder="1" applyAlignment="1">
      <alignment horizontal="center" vertical="center"/>
    </xf>
    <xf numFmtId="0" fontId="6" fillId="11" borderId="0" xfId="0" applyFont="1" applyFill="1" applyBorder="1"/>
    <xf numFmtId="0" fontId="37" fillId="16" borderId="1" xfId="0" applyFont="1" applyFill="1" applyBorder="1" applyAlignment="1">
      <alignment horizontal="center" vertical="center"/>
    </xf>
    <xf numFmtId="0" fontId="20" fillId="13" borderId="1" xfId="0" applyFont="1" applyFill="1" applyBorder="1" applyAlignment="1">
      <alignment horizontal="center" vertical="center"/>
    </xf>
    <xf numFmtId="0" fontId="20" fillId="11" borderId="0" xfId="0" applyFont="1" applyFill="1" applyAlignment="1">
      <alignment horizontal="center" vertical="center"/>
    </xf>
    <xf numFmtId="0" fontId="37" fillId="9" borderId="1" xfId="0" applyFont="1" applyFill="1" applyBorder="1" applyAlignment="1">
      <alignment horizontal="center" vertical="center"/>
    </xf>
    <xf numFmtId="0" fontId="20" fillId="12" borderId="1" xfId="0" applyFont="1" applyFill="1" applyBorder="1" applyAlignment="1">
      <alignment horizontal="center" vertical="center"/>
    </xf>
    <xf numFmtId="0" fontId="20" fillId="11" borderId="0" xfId="0" applyFont="1" applyFill="1" applyBorder="1"/>
    <xf numFmtId="0" fontId="20" fillId="11" borderId="0" xfId="0" applyFont="1" applyFill="1" applyBorder="1" applyAlignment="1">
      <alignment vertical="center"/>
    </xf>
    <xf numFmtId="0" fontId="0" fillId="6" borderId="0" xfId="0" applyFill="1"/>
    <xf numFmtId="0" fontId="0" fillId="6" borderId="44" xfId="0" applyFill="1" applyBorder="1"/>
    <xf numFmtId="0" fontId="0" fillId="6" borderId="0" xfId="0" applyFill="1" applyBorder="1"/>
    <xf numFmtId="0" fontId="0" fillId="6" borderId="6" xfId="0" applyFill="1" applyBorder="1"/>
    <xf numFmtId="0" fontId="0" fillId="6" borderId="45" xfId="0" applyFill="1" applyBorder="1"/>
    <xf numFmtId="0" fontId="0" fillId="6" borderId="8" xfId="0" applyFill="1" applyBorder="1"/>
    <xf numFmtId="0" fontId="0" fillId="6" borderId="9" xfId="0" applyFill="1" applyBorder="1"/>
    <xf numFmtId="0" fontId="5" fillId="0" borderId="0" xfId="0" applyFont="1" applyFill="1" applyAlignment="1">
      <alignment vertical="center"/>
    </xf>
    <xf numFmtId="0" fontId="5" fillId="0" borderId="0" xfId="0" applyFont="1" applyFill="1" applyAlignment="1">
      <alignment vertical="center" wrapText="1"/>
    </xf>
    <xf numFmtId="0" fontId="30" fillId="6" borderId="0" xfId="0" applyFont="1" applyFill="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indent="1"/>
    </xf>
    <xf numFmtId="0" fontId="39" fillId="6" borderId="0" xfId="0" applyFont="1" applyFill="1" applyAlignment="1">
      <alignment vertical="top" wrapText="1"/>
    </xf>
    <xf numFmtId="0" fontId="0" fillId="0" borderId="0" xfId="0" applyProtection="1"/>
    <xf numFmtId="0" fontId="0" fillId="0" borderId="0" xfId="0" applyFill="1" applyProtection="1"/>
    <xf numFmtId="0" fontId="7" fillId="0" borderId="0" xfId="0" applyFont="1" applyFill="1" applyProtection="1"/>
    <xf numFmtId="0" fontId="35" fillId="0" borderId="0" xfId="0" applyFont="1" applyFill="1" applyBorder="1" applyProtection="1"/>
    <xf numFmtId="0" fontId="5" fillId="0" borderId="0" xfId="0" applyFont="1" applyFill="1" applyBorder="1"/>
    <xf numFmtId="0" fontId="45" fillId="3" borderId="47" xfId="0" applyFont="1" applyFill="1" applyBorder="1"/>
    <xf numFmtId="0" fontId="45" fillId="3" borderId="40" xfId="0" applyFont="1" applyFill="1" applyBorder="1"/>
    <xf numFmtId="0" fontId="52" fillId="0" borderId="0" xfId="0" applyFont="1" applyFill="1" applyBorder="1" applyAlignment="1">
      <alignment horizontal="right"/>
    </xf>
    <xf numFmtId="0" fontId="45" fillId="0" borderId="0" xfId="0" applyFont="1" applyFill="1" applyBorder="1"/>
    <xf numFmtId="0" fontId="45" fillId="2" borderId="0" xfId="0" applyFont="1" applyFill="1"/>
    <xf numFmtId="0" fontId="30" fillId="6" borderId="0" xfId="0" applyFont="1" applyFill="1" applyAlignment="1">
      <alignment horizontal="left" vertical="center" wrapText="1"/>
    </xf>
    <xf numFmtId="0" fontId="14" fillId="2" borderId="0" xfId="0" applyFont="1" applyFill="1" applyAlignment="1">
      <alignment horizontal="left" vertical="center"/>
    </xf>
    <xf numFmtId="3"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right" vertical="center" indent="1"/>
    </xf>
    <xf numFmtId="0" fontId="44" fillId="6" borderId="0" xfId="0" applyFont="1" applyFill="1" applyAlignment="1">
      <alignment vertical="center" wrapText="1"/>
    </xf>
    <xf numFmtId="0" fontId="6" fillId="6" borderId="0" xfId="0" applyFont="1" applyFill="1" applyAlignment="1">
      <alignment vertical="center" wrapText="1"/>
    </xf>
    <xf numFmtId="0" fontId="61" fillId="6" borderId="0" xfId="0" applyFont="1" applyFill="1"/>
    <xf numFmtId="0" fontId="46" fillId="0" borderId="0" xfId="0" applyFont="1" applyFill="1" applyBorder="1" applyAlignment="1">
      <alignment vertical="center"/>
    </xf>
    <xf numFmtId="0" fontId="50" fillId="0" borderId="0" xfId="0" applyFont="1" applyFill="1" applyBorder="1" applyAlignment="1">
      <alignment vertical="center"/>
    </xf>
    <xf numFmtId="0" fontId="45" fillId="0" borderId="0" xfId="0" applyFont="1" applyFill="1" applyBorder="1" applyAlignment="1">
      <alignment vertical="center"/>
    </xf>
    <xf numFmtId="0" fontId="50" fillId="0" borderId="0" xfId="0" applyFont="1" applyFill="1" applyBorder="1" applyAlignment="1">
      <alignment vertical="center" wrapText="1"/>
    </xf>
    <xf numFmtId="0" fontId="45" fillId="0" borderId="0" xfId="0" applyFont="1" applyFill="1" applyBorder="1" applyAlignment="1">
      <alignment vertical="center" wrapText="1"/>
    </xf>
    <xf numFmtId="0" fontId="49" fillId="0" borderId="0" xfId="0" applyFont="1" applyFill="1" applyBorder="1"/>
    <xf numFmtId="0" fontId="6" fillId="0" borderId="0" xfId="0" applyFont="1" applyFill="1" applyBorder="1" applyAlignment="1">
      <alignment vertical="center" wrapText="1"/>
    </xf>
    <xf numFmtId="0" fontId="35" fillId="0" borderId="0" xfId="0" applyFont="1" applyFill="1" applyAlignment="1"/>
    <xf numFmtId="0" fontId="35" fillId="6" borderId="0" xfId="0" applyFont="1" applyFill="1" applyAlignment="1">
      <alignment wrapText="1"/>
    </xf>
    <xf numFmtId="0" fontId="20" fillId="0" borderId="0" xfId="0" applyFont="1" applyFill="1" applyBorder="1" applyAlignment="1">
      <alignment vertical="center"/>
    </xf>
    <xf numFmtId="0" fontId="20" fillId="0" borderId="1" xfId="0" applyFont="1" applyFill="1" applyBorder="1" applyAlignment="1">
      <alignment vertical="center"/>
    </xf>
    <xf numFmtId="0" fontId="66" fillId="0" borderId="1" xfId="0" applyFont="1" applyFill="1" applyBorder="1" applyAlignment="1">
      <alignment vertical="center"/>
    </xf>
    <xf numFmtId="0" fontId="0" fillId="0" borderId="1" xfId="0" applyFill="1" applyBorder="1"/>
    <xf numFmtId="0" fontId="0" fillId="4" borderId="1" xfId="0" applyFill="1" applyBorder="1"/>
    <xf numFmtId="0" fontId="14" fillId="0" borderId="0" xfId="0" applyFont="1" applyFill="1" applyBorder="1" applyAlignment="1">
      <alignment vertical="center"/>
    </xf>
    <xf numFmtId="0" fontId="6" fillId="0" borderId="0" xfId="0" applyFont="1" applyFill="1" applyBorder="1"/>
    <xf numFmtId="0" fontId="52" fillId="0" borderId="0" xfId="0" applyFont="1" applyFill="1" applyBorder="1" applyAlignment="1">
      <alignment vertical="center"/>
    </xf>
    <xf numFmtId="0" fontId="55" fillId="0" borderId="0" xfId="0" applyFont="1" applyFill="1" applyBorder="1" applyAlignment="1">
      <alignment vertical="center"/>
    </xf>
    <xf numFmtId="0" fontId="6" fillId="0" borderId="0" xfId="0" applyFont="1" applyFill="1" applyBorder="1" applyAlignment="1">
      <alignment horizontal="right"/>
    </xf>
    <xf numFmtId="0" fontId="55" fillId="0" borderId="0" xfId="0" applyFont="1" applyFill="1" applyBorder="1" applyAlignment="1">
      <alignment vertical="center" shrinkToFit="1"/>
    </xf>
    <xf numFmtId="0" fontId="53" fillId="0" borderId="0" xfId="0" applyFont="1" applyFill="1" applyBorder="1" applyAlignment="1">
      <alignment vertical="center"/>
    </xf>
    <xf numFmtId="0" fontId="20" fillId="8" borderId="1" xfId="0" applyFont="1" applyFill="1" applyBorder="1" applyAlignment="1">
      <alignment vertical="center"/>
    </xf>
    <xf numFmtId="0" fontId="20" fillId="8" borderId="1" xfId="0" applyFont="1" applyFill="1" applyBorder="1" applyAlignment="1">
      <alignment horizontal="left" vertical="center"/>
    </xf>
    <xf numFmtId="4" fontId="20" fillId="8" borderId="1" xfId="0" applyNumberFormat="1" applyFont="1" applyFill="1" applyBorder="1" applyAlignment="1">
      <alignment vertical="center"/>
    </xf>
    <xf numFmtId="4" fontId="0" fillId="0" borderId="0" xfId="0" applyNumberFormat="1" applyFill="1"/>
    <xf numFmtId="0" fontId="6" fillId="0" borderId="1" xfId="0" applyFont="1" applyFill="1" applyBorder="1"/>
    <xf numFmtId="0" fontId="37" fillId="11" borderId="0" xfId="0" applyFont="1" applyFill="1" applyBorder="1" applyAlignment="1">
      <alignment horizontal="center" vertical="center"/>
    </xf>
    <xf numFmtId="0" fontId="20" fillId="11" borderId="0" xfId="0" applyFont="1" applyFill="1" applyBorder="1" applyAlignment="1">
      <alignment horizontal="center" vertical="center"/>
    </xf>
    <xf numFmtId="0" fontId="3" fillId="11" borderId="0" xfId="0" applyFont="1" applyFill="1" applyBorder="1"/>
    <xf numFmtId="4" fontId="35" fillId="0" borderId="0" xfId="0" applyNumberFormat="1" applyFont="1"/>
    <xf numFmtId="0" fontId="35" fillId="0" borderId="0" xfId="0" applyFont="1"/>
    <xf numFmtId="0" fontId="6" fillId="0" borderId="0" xfId="0" applyFont="1" applyProtection="1"/>
    <xf numFmtId="0" fontId="6" fillId="6" borderId="0" xfId="0" applyFont="1" applyFill="1"/>
    <xf numFmtId="0" fontId="6" fillId="0" borderId="0" xfId="0" applyFont="1"/>
    <xf numFmtId="0" fontId="0" fillId="0" borderId="46" xfId="0" applyBorder="1" applyProtection="1"/>
    <xf numFmtId="0" fontId="20" fillId="0" borderId="0" xfId="0" applyFont="1" applyFill="1" applyBorder="1"/>
    <xf numFmtId="0" fontId="20" fillId="2" borderId="0" xfId="0" applyFont="1" applyFill="1" applyAlignment="1">
      <alignment horizontal="right"/>
    </xf>
    <xf numFmtId="0" fontId="20" fillId="2" borderId="0" xfId="0" applyFont="1" applyFill="1"/>
    <xf numFmtId="0" fontId="71" fillId="2" borderId="0" xfId="0" applyFont="1" applyFill="1" applyAlignment="1">
      <alignment horizontal="right"/>
    </xf>
    <xf numFmtId="0" fontId="5" fillId="0" borderId="0" xfId="0" applyFont="1" applyFill="1" applyAlignment="1" applyProtection="1">
      <alignment vertical="top"/>
    </xf>
    <xf numFmtId="0" fontId="6" fillId="0" borderId="0" xfId="0" applyFont="1" applyAlignment="1" applyProtection="1">
      <alignment wrapText="1"/>
    </xf>
    <xf numFmtId="9" fontId="6" fillId="0" borderId="0" xfId="5" applyFont="1" applyAlignment="1" applyProtection="1">
      <alignment wrapText="1"/>
    </xf>
    <xf numFmtId="0" fontId="6" fillId="0" borderId="40" xfId="0" applyFont="1" applyBorder="1" applyAlignment="1">
      <alignment vertical="center"/>
    </xf>
    <xf numFmtId="0" fontId="6" fillId="0" borderId="47" xfId="0" applyFont="1" applyBorder="1" applyAlignment="1">
      <alignment vertical="center"/>
    </xf>
    <xf numFmtId="0" fontId="6" fillId="0" borderId="0" xfId="0" applyFont="1" applyBorder="1" applyAlignment="1">
      <alignment horizontal="center" vertical="top"/>
    </xf>
    <xf numFmtId="0" fontId="6" fillId="0" borderId="77" xfId="0" applyFont="1" applyBorder="1" applyAlignment="1">
      <alignment horizontal="center" vertical="top"/>
    </xf>
    <xf numFmtId="0" fontId="0" fillId="0" borderId="47" xfId="0" applyBorder="1"/>
    <xf numFmtId="0" fontId="0" fillId="0" borderId="40" xfId="0" applyBorder="1"/>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77" xfId="0" applyFont="1" applyFill="1" applyBorder="1" applyAlignment="1">
      <alignment horizontal="center" vertical="top"/>
    </xf>
    <xf numFmtId="0" fontId="6" fillId="3" borderId="77" xfId="0" applyFont="1" applyFill="1" applyBorder="1" applyAlignment="1">
      <alignment vertical="top"/>
    </xf>
    <xf numFmtId="0" fontId="0" fillId="0" borderId="0" xfId="0" applyBorder="1"/>
    <xf numFmtId="0" fontId="0" fillId="0" borderId="75" xfId="0" applyBorder="1"/>
    <xf numFmtId="0" fontId="0" fillId="3" borderId="0" xfId="0" applyFill="1" applyBorder="1"/>
    <xf numFmtId="0" fontId="0" fillId="3" borderId="40" xfId="0" applyFill="1" applyBorder="1"/>
    <xf numFmtId="0" fontId="0" fillId="3" borderId="75" xfId="0" applyFill="1" applyBorder="1"/>
    <xf numFmtId="0" fontId="6" fillId="3" borderId="0" xfId="0" applyFont="1" applyFill="1" applyBorder="1" applyAlignment="1">
      <alignment vertical="top" wrapText="1"/>
    </xf>
    <xf numFmtId="0" fontId="35" fillId="0" borderId="0" xfId="0" applyFont="1" applyFill="1" applyBorder="1"/>
    <xf numFmtId="0" fontId="31" fillId="0" borderId="0" xfId="0" applyFont="1" applyFill="1" applyBorder="1"/>
    <xf numFmtId="0" fontId="35" fillId="0" borderId="0" xfId="0" applyFont="1" applyFill="1" applyBorder="1" applyAlignment="1">
      <alignment shrinkToFit="1"/>
    </xf>
    <xf numFmtId="0" fontId="35" fillId="0" borderId="0" xfId="0" applyFont="1" applyFill="1" applyBorder="1" applyAlignment="1">
      <alignment horizontal="right"/>
    </xf>
    <xf numFmtId="0" fontId="31" fillId="0" borderId="0" xfId="0" applyFont="1" applyFill="1" applyBorder="1" applyAlignment="1">
      <alignment horizontal="right"/>
    </xf>
    <xf numFmtId="0" fontId="16" fillId="6" borderId="0" xfId="0" applyFont="1" applyFill="1" applyAlignment="1">
      <alignment horizontal="left" vertical="center" wrapText="1"/>
    </xf>
    <xf numFmtId="0" fontId="16" fillId="6" borderId="0" xfId="0" applyFont="1" applyFill="1" applyAlignment="1">
      <alignment horizontal="left" vertical="center"/>
    </xf>
    <xf numFmtId="0" fontId="59" fillId="6" borderId="0" xfId="0" applyFont="1" applyFill="1" applyAlignment="1">
      <alignment horizontal="left" vertical="center"/>
    </xf>
    <xf numFmtId="0" fontId="64" fillId="0" borderId="0" xfId="0" applyFont="1" applyAlignment="1">
      <alignment horizontal="left" vertical="center" wrapText="1"/>
    </xf>
    <xf numFmtId="0" fontId="30" fillId="6" borderId="0" xfId="0" applyFont="1" applyFill="1" applyAlignment="1">
      <alignment horizontal="left" vertical="top" wrapText="1"/>
    </xf>
    <xf numFmtId="0" fontId="5" fillId="0" borderId="0" xfId="0" applyFont="1" applyFill="1" applyAlignment="1">
      <alignment horizontal="right" vertical="top" wrapText="1"/>
    </xf>
    <xf numFmtId="0" fontId="6" fillId="3" borderId="2" xfId="0" applyFont="1" applyFill="1" applyBorder="1" applyAlignment="1" applyProtection="1">
      <alignment horizontal="left" vertical="top" wrapText="1" indent="1"/>
      <protection locked="0"/>
    </xf>
    <xf numFmtId="0" fontId="6" fillId="3" borderId="3" xfId="0" applyFont="1" applyFill="1" applyBorder="1" applyAlignment="1" applyProtection="1">
      <alignment horizontal="left" vertical="top" wrapText="1" indent="1"/>
      <protection locked="0"/>
    </xf>
    <xf numFmtId="0" fontId="6" fillId="3" borderId="4" xfId="0" applyFont="1" applyFill="1" applyBorder="1" applyAlignment="1" applyProtection="1">
      <alignment horizontal="left" vertical="top" wrapText="1" indent="1"/>
      <protection locked="0"/>
    </xf>
    <xf numFmtId="0" fontId="6" fillId="3" borderId="5" xfId="0" applyFont="1" applyFill="1" applyBorder="1" applyAlignment="1" applyProtection="1">
      <alignment horizontal="left" vertical="top" wrapText="1" indent="1"/>
      <protection locked="0"/>
    </xf>
    <xf numFmtId="0" fontId="6" fillId="3" borderId="0" xfId="0" applyFont="1" applyFill="1" applyBorder="1" applyAlignment="1" applyProtection="1">
      <alignment horizontal="left" vertical="top" wrapText="1" indent="1"/>
      <protection locked="0"/>
    </xf>
    <xf numFmtId="0" fontId="6" fillId="3" borderId="6" xfId="0" applyFont="1" applyFill="1" applyBorder="1" applyAlignment="1" applyProtection="1">
      <alignment horizontal="left" vertical="top" wrapText="1" indent="1"/>
      <protection locked="0"/>
    </xf>
    <xf numFmtId="0" fontId="6" fillId="3" borderId="7" xfId="0" applyFont="1" applyFill="1" applyBorder="1" applyAlignment="1" applyProtection="1">
      <alignment horizontal="left" vertical="top" wrapText="1" indent="1"/>
      <protection locked="0"/>
    </xf>
    <xf numFmtId="0" fontId="6" fillId="3" borderId="8" xfId="0" applyFont="1" applyFill="1" applyBorder="1" applyAlignment="1" applyProtection="1">
      <alignment horizontal="left" vertical="top" wrapText="1" indent="1"/>
      <protection locked="0"/>
    </xf>
    <xf numFmtId="0" fontId="6" fillId="3" borderId="9" xfId="0" applyFont="1" applyFill="1" applyBorder="1" applyAlignment="1" applyProtection="1">
      <alignment horizontal="left" vertical="top" wrapText="1" indent="1"/>
      <protection locked="0"/>
    </xf>
    <xf numFmtId="0" fontId="30" fillId="6" borderId="0" xfId="0" applyFont="1" applyFill="1" applyAlignment="1">
      <alignment horizontal="left" vertical="center" wrapText="1"/>
    </xf>
    <xf numFmtId="0" fontId="5" fillId="0" borderId="0" xfId="0" applyFont="1" applyFill="1" applyAlignment="1">
      <alignment vertical="top"/>
    </xf>
    <xf numFmtId="164" fontId="10" fillId="2" borderId="0" xfId="0" applyNumberFormat="1" applyFont="1" applyFill="1" applyBorder="1" applyAlignment="1" applyProtection="1">
      <alignment horizontal="left" vertical="top" indent="1"/>
      <protection locked="0"/>
    </xf>
    <xf numFmtId="164" fontId="10" fillId="2" borderId="0" xfId="0" applyNumberFormat="1" applyFont="1" applyFill="1" applyBorder="1" applyAlignment="1" applyProtection="1">
      <alignment horizontal="left" vertical="top" indent="1"/>
    </xf>
    <xf numFmtId="0" fontId="6" fillId="0" borderId="0" xfId="0" applyFont="1" applyFill="1" applyAlignment="1">
      <alignment horizontal="right" vertical="center"/>
    </xf>
    <xf numFmtId="164" fontId="6" fillId="0" borderId="0" xfId="0" applyNumberFormat="1" applyFont="1" applyFill="1" applyBorder="1" applyAlignment="1" applyProtection="1">
      <alignment horizontal="left" vertical="center" indent="1"/>
      <protection locked="0"/>
    </xf>
    <xf numFmtId="4" fontId="6" fillId="0" borderId="0" xfId="0" applyNumberFormat="1" applyFont="1" applyFill="1" applyBorder="1" applyAlignment="1" applyProtection="1">
      <alignment horizontal="right" vertical="center" indent="1"/>
      <protection locked="0"/>
    </xf>
    <xf numFmtId="0" fontId="26" fillId="0" borderId="0" xfId="0" applyFont="1" applyFill="1" applyAlignment="1">
      <alignment horizontal="left" vertical="center" indent="1"/>
    </xf>
    <xf numFmtId="0" fontId="6" fillId="0" borderId="0" xfId="0" applyFont="1" applyFill="1" applyBorder="1" applyAlignment="1" applyProtection="1">
      <alignment horizontal="left" vertical="center" wrapText="1" indent="1"/>
      <protection locked="0"/>
    </xf>
    <xf numFmtId="4" fontId="22" fillId="0" borderId="0" xfId="0" applyNumberFormat="1" applyFont="1" applyFill="1" applyBorder="1" applyAlignment="1">
      <alignment horizontal="center" vertical="center"/>
    </xf>
    <xf numFmtId="171" fontId="6" fillId="0" borderId="0" xfId="0" applyNumberFormat="1" applyFont="1" applyFill="1" applyBorder="1" applyAlignment="1" applyProtection="1">
      <alignment horizontal="center" vertical="center"/>
      <protection locked="0"/>
    </xf>
    <xf numFmtId="0" fontId="22" fillId="0" borderId="0" xfId="0" applyFont="1" applyFill="1" applyAlignment="1">
      <alignment horizontal="center"/>
    </xf>
    <xf numFmtId="4" fontId="6" fillId="0" borderId="0" xfId="0" applyNumberFormat="1" applyFont="1" applyFill="1" applyBorder="1" applyAlignment="1">
      <alignment horizontal="center" vertical="center"/>
    </xf>
    <xf numFmtId="0" fontId="32" fillId="0" borderId="0" xfId="0" applyFont="1" applyFill="1" applyAlignment="1">
      <alignment horizontal="left" vertical="center" indent="1"/>
    </xf>
    <xf numFmtId="0" fontId="5" fillId="0" borderId="0" xfId="0" applyFont="1" applyFill="1" applyAlignment="1">
      <alignment horizontal="left" vertical="center" wrapText="1" indent="1"/>
    </xf>
    <xf numFmtId="0" fontId="4" fillId="0" borderId="0" xfId="0"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indent="1"/>
      <protection locked="0"/>
    </xf>
    <xf numFmtId="0" fontId="6" fillId="0" borderId="0" xfId="0" applyFont="1" applyFill="1" applyBorder="1" applyAlignment="1">
      <alignment horizontal="right" vertical="center"/>
    </xf>
    <xf numFmtId="0" fontId="26" fillId="0" borderId="0" xfId="0" applyFont="1" applyFill="1" applyBorder="1" applyAlignment="1">
      <alignment horizontal="left" vertical="center" indent="1"/>
    </xf>
    <xf numFmtId="0" fontId="22" fillId="0" borderId="0" xfId="0" applyFont="1" applyFill="1" applyBorder="1" applyAlignment="1">
      <alignment horizontal="center"/>
    </xf>
    <xf numFmtId="0" fontId="27" fillId="16" borderId="10" xfId="1" applyFont="1" applyFill="1" applyBorder="1" applyAlignment="1" applyProtection="1">
      <alignment horizontal="center" vertical="center"/>
    </xf>
    <xf numFmtId="0" fontId="27" fillId="16" borderId="11" xfId="1" applyFont="1" applyFill="1" applyBorder="1" applyAlignment="1" applyProtection="1">
      <alignment horizontal="center" vertical="center"/>
    </xf>
    <xf numFmtId="0" fontId="27" fillId="16" borderId="0" xfId="1" applyFont="1" applyFill="1" applyBorder="1" applyAlignment="1" applyProtection="1">
      <alignment horizontal="center" vertical="center"/>
    </xf>
    <xf numFmtId="0" fontId="27" fillId="16" borderId="6" xfId="1" applyFont="1" applyFill="1" applyBorder="1" applyAlignment="1" applyProtection="1">
      <alignment horizontal="center" vertical="center"/>
    </xf>
    <xf numFmtId="0" fontId="27" fillId="16" borderId="12" xfId="1" applyFont="1" applyFill="1" applyBorder="1" applyAlignment="1" applyProtection="1">
      <alignment horizontal="center" vertical="center"/>
    </xf>
    <xf numFmtId="0" fontId="27" fillId="16" borderId="13" xfId="1" applyFont="1" applyFill="1" applyBorder="1" applyAlignment="1" applyProtection="1">
      <alignment horizontal="center" vertical="center"/>
    </xf>
    <xf numFmtId="0" fontId="6" fillId="3" borderId="15" xfId="0" applyFont="1" applyFill="1" applyBorder="1" applyAlignment="1" applyProtection="1">
      <alignment horizontal="left" vertical="top" wrapText="1" indent="1"/>
      <protection locked="0"/>
    </xf>
    <xf numFmtId="0" fontId="6" fillId="3" borderId="16" xfId="0" applyFont="1" applyFill="1" applyBorder="1" applyAlignment="1" applyProtection="1">
      <alignment horizontal="left" vertical="top" wrapText="1" indent="1"/>
      <protection locked="0"/>
    </xf>
    <xf numFmtId="0" fontId="6" fillId="3" borderId="17" xfId="0" applyFont="1" applyFill="1" applyBorder="1" applyAlignment="1" applyProtection="1">
      <alignment horizontal="left" vertical="top" wrapText="1" indent="1"/>
      <protection locked="0"/>
    </xf>
    <xf numFmtId="0" fontId="6" fillId="3" borderId="18" xfId="0" applyFont="1" applyFill="1" applyBorder="1" applyAlignment="1" applyProtection="1">
      <alignment horizontal="left" vertical="top" wrapText="1" indent="1"/>
      <protection locked="0"/>
    </xf>
    <xf numFmtId="0" fontId="6" fillId="3" borderId="19" xfId="0" applyFont="1" applyFill="1" applyBorder="1" applyAlignment="1" applyProtection="1">
      <alignment horizontal="left" vertical="top" wrapText="1" indent="1"/>
      <protection locked="0"/>
    </xf>
    <xf numFmtId="164" fontId="22" fillId="0" borderId="0" xfId="0" applyNumberFormat="1" applyFont="1" applyFill="1" applyBorder="1" applyAlignment="1">
      <alignment horizontal="center" vertical="center"/>
    </xf>
    <xf numFmtId="0" fontId="14" fillId="0" borderId="0" xfId="0" applyFont="1" applyFill="1" applyAlignment="1">
      <alignment horizontal="left" vertical="center" indent="1"/>
    </xf>
    <xf numFmtId="0" fontId="5" fillId="0" borderId="0" xfId="0" applyFont="1" applyFill="1" applyAlignment="1">
      <alignment horizontal="right" vertical="top"/>
    </xf>
    <xf numFmtId="0" fontId="6" fillId="3" borderId="2" xfId="0" applyFont="1" applyFill="1" applyBorder="1" applyAlignment="1" applyProtection="1">
      <alignment horizontal="left" vertical="top" indent="1"/>
      <protection locked="0"/>
    </xf>
    <xf numFmtId="0" fontId="6" fillId="3" borderId="3" xfId="0" applyFont="1" applyFill="1" applyBorder="1" applyAlignment="1" applyProtection="1">
      <alignment horizontal="left" vertical="top" indent="1"/>
      <protection locked="0"/>
    </xf>
    <xf numFmtId="0" fontId="6" fillId="3" borderId="15" xfId="0" applyFont="1" applyFill="1" applyBorder="1" applyAlignment="1" applyProtection="1">
      <alignment horizontal="left" vertical="top" indent="1"/>
      <protection locked="0"/>
    </xf>
    <xf numFmtId="0" fontId="6" fillId="3" borderId="17" xfId="0" applyFont="1" applyFill="1" applyBorder="1" applyAlignment="1" applyProtection="1">
      <alignment horizontal="left" vertical="top" indent="1"/>
      <protection locked="0"/>
    </xf>
    <xf numFmtId="0" fontId="6" fillId="3" borderId="18" xfId="0" applyFont="1" applyFill="1" applyBorder="1" applyAlignment="1" applyProtection="1">
      <alignment horizontal="left" vertical="top" indent="1"/>
      <protection locked="0"/>
    </xf>
    <xf numFmtId="0" fontId="6" fillId="3" borderId="19" xfId="0" applyFont="1" applyFill="1" applyBorder="1" applyAlignment="1" applyProtection="1">
      <alignment horizontal="left" vertical="top" indent="1"/>
      <protection locked="0"/>
    </xf>
    <xf numFmtId="164" fontId="10" fillId="3" borderId="2" xfId="0" applyNumberFormat="1" applyFont="1" applyFill="1" applyBorder="1" applyAlignment="1" applyProtection="1">
      <alignment horizontal="left" vertical="top" indent="1"/>
      <protection locked="0"/>
    </xf>
    <xf numFmtId="164" fontId="10" fillId="3" borderId="3" xfId="0" applyNumberFormat="1" applyFont="1" applyFill="1" applyBorder="1" applyAlignment="1" applyProtection="1">
      <alignment horizontal="left" vertical="top" indent="1"/>
      <protection locked="0"/>
    </xf>
    <xf numFmtId="164" fontId="10" fillId="3" borderId="15" xfId="0" applyNumberFormat="1" applyFont="1" applyFill="1" applyBorder="1" applyAlignment="1" applyProtection="1">
      <alignment horizontal="left" vertical="top" indent="1"/>
      <protection locked="0"/>
    </xf>
    <xf numFmtId="164" fontId="10" fillId="3" borderId="17" xfId="0" applyNumberFormat="1" applyFont="1" applyFill="1" applyBorder="1" applyAlignment="1" applyProtection="1">
      <alignment horizontal="left" vertical="top" indent="1"/>
      <protection locked="0"/>
    </xf>
    <xf numFmtId="164" fontId="10" fillId="3" borderId="18" xfId="0" applyNumberFormat="1" applyFont="1" applyFill="1" applyBorder="1" applyAlignment="1" applyProtection="1">
      <alignment horizontal="left" vertical="top" indent="1"/>
      <protection locked="0"/>
    </xf>
    <xf numFmtId="164" fontId="10" fillId="3" borderId="19" xfId="0" applyNumberFormat="1" applyFont="1" applyFill="1" applyBorder="1" applyAlignment="1" applyProtection="1">
      <alignment horizontal="left" vertical="top" indent="1"/>
      <protection locked="0"/>
    </xf>
    <xf numFmtId="166" fontId="6" fillId="3" borderId="2" xfId="0" applyNumberFormat="1" applyFont="1" applyFill="1" applyBorder="1" applyAlignment="1" applyProtection="1">
      <alignment horizontal="center" vertical="top"/>
      <protection locked="0"/>
    </xf>
    <xf numFmtId="166" fontId="6" fillId="3" borderId="3" xfId="0" applyNumberFormat="1" applyFont="1" applyFill="1" applyBorder="1" applyAlignment="1" applyProtection="1">
      <alignment horizontal="center" vertical="top"/>
      <protection locked="0"/>
    </xf>
    <xf numFmtId="166" fontId="6" fillId="3" borderId="15" xfId="0" applyNumberFormat="1" applyFont="1" applyFill="1" applyBorder="1" applyAlignment="1" applyProtection="1">
      <alignment horizontal="center" vertical="top"/>
      <protection locked="0"/>
    </xf>
    <xf numFmtId="166" fontId="6" fillId="3" borderId="17" xfId="0" applyNumberFormat="1" applyFont="1" applyFill="1" applyBorder="1" applyAlignment="1" applyProtection="1">
      <alignment horizontal="center" vertical="top"/>
      <protection locked="0"/>
    </xf>
    <xf numFmtId="166" fontId="6" fillId="3" borderId="18" xfId="0" applyNumberFormat="1" applyFont="1" applyFill="1" applyBorder="1" applyAlignment="1" applyProtection="1">
      <alignment horizontal="center" vertical="top"/>
      <protection locked="0"/>
    </xf>
    <xf numFmtId="166" fontId="6" fillId="3" borderId="19" xfId="0" applyNumberFormat="1" applyFont="1" applyFill="1" applyBorder="1" applyAlignment="1" applyProtection="1">
      <alignment horizontal="center" vertical="top"/>
      <protection locked="0"/>
    </xf>
    <xf numFmtId="0" fontId="31" fillId="0" borderId="0" xfId="0" applyFont="1" applyFill="1" applyAlignment="1">
      <alignment horizontal="right" vertical="top"/>
    </xf>
    <xf numFmtId="49" fontId="5" fillId="0" borderId="0" xfId="0" applyNumberFormat="1" applyFont="1" applyFill="1" applyBorder="1" applyAlignment="1" applyProtection="1">
      <alignment horizontal="center" vertical="top"/>
      <protection locked="0"/>
    </xf>
    <xf numFmtId="0" fontId="30" fillId="0" borderId="0" xfId="0" applyFont="1" applyFill="1" applyAlignment="1">
      <alignment horizontal="right" vertical="top"/>
    </xf>
    <xf numFmtId="173" fontId="6" fillId="0" borderId="0" xfId="0" applyNumberFormat="1" applyFont="1" applyFill="1" applyBorder="1" applyAlignment="1" applyProtection="1">
      <alignment horizontal="center" vertical="top"/>
      <protection locked="0"/>
    </xf>
    <xf numFmtId="0" fontId="5" fillId="0" borderId="0" xfId="0" applyFont="1" applyFill="1" applyAlignment="1">
      <alignment horizontal="center" vertical="top"/>
    </xf>
    <xf numFmtId="0" fontId="4" fillId="3" borderId="2" xfId="0"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xf numFmtId="0" fontId="4" fillId="3" borderId="7"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protection locked="0"/>
    </xf>
    <xf numFmtId="0" fontId="4" fillId="3" borderId="9" xfId="0" applyFont="1" applyFill="1" applyBorder="1" applyAlignment="1" applyProtection="1">
      <alignment horizontal="center" vertical="top"/>
      <protection locked="0"/>
    </xf>
    <xf numFmtId="0" fontId="5" fillId="0" borderId="0" xfId="0" applyFont="1" applyFill="1" applyBorder="1" applyAlignment="1">
      <alignment horizontal="left" vertical="top" wrapText="1" indent="1"/>
    </xf>
    <xf numFmtId="0" fontId="15" fillId="10" borderId="3" xfId="0" applyFont="1" applyFill="1" applyBorder="1" applyAlignment="1">
      <alignment horizontal="left" vertical="center" indent="1"/>
    </xf>
    <xf numFmtId="0" fontId="15" fillId="10" borderId="4" xfId="0" applyFont="1" applyFill="1" applyBorder="1" applyAlignment="1">
      <alignment horizontal="left" vertical="center" indent="1"/>
    </xf>
    <xf numFmtId="0" fontId="15" fillId="10" borderId="12" xfId="0" applyFont="1" applyFill="1" applyBorder="1" applyAlignment="1">
      <alignment horizontal="left" vertical="center" indent="1"/>
    </xf>
    <xf numFmtId="0" fontId="15" fillId="10" borderId="13" xfId="0" applyFont="1" applyFill="1" applyBorder="1" applyAlignment="1">
      <alignment horizontal="left" vertical="center" indent="1"/>
    </xf>
    <xf numFmtId="165" fontId="6" fillId="3" borderId="2" xfId="0" applyNumberFormat="1" applyFont="1" applyFill="1" applyBorder="1" applyAlignment="1" applyProtection="1">
      <alignment horizontal="center" vertical="top"/>
      <protection locked="0"/>
    </xf>
    <xf numFmtId="165" fontId="6" fillId="3" borderId="3" xfId="0" applyNumberFormat="1" applyFont="1" applyFill="1" applyBorder="1" applyAlignment="1" applyProtection="1">
      <alignment horizontal="center" vertical="top"/>
      <protection locked="0"/>
    </xf>
    <xf numFmtId="165" fontId="6" fillId="3" borderId="15" xfId="0" applyNumberFormat="1" applyFont="1" applyFill="1" applyBorder="1" applyAlignment="1" applyProtection="1">
      <alignment horizontal="center" vertical="top"/>
      <protection locked="0"/>
    </xf>
    <xf numFmtId="165" fontId="6" fillId="3" borderId="17" xfId="0" applyNumberFormat="1" applyFont="1" applyFill="1" applyBorder="1" applyAlignment="1" applyProtection="1">
      <alignment horizontal="center" vertical="top"/>
      <protection locked="0"/>
    </xf>
    <xf numFmtId="165" fontId="6" fillId="3" borderId="18" xfId="0" applyNumberFormat="1" applyFont="1" applyFill="1" applyBorder="1" applyAlignment="1" applyProtection="1">
      <alignment horizontal="center" vertical="top"/>
      <protection locked="0"/>
    </xf>
    <xf numFmtId="165" fontId="6" fillId="3" borderId="19" xfId="0" applyNumberFormat="1" applyFont="1" applyFill="1" applyBorder="1" applyAlignment="1" applyProtection="1">
      <alignment horizontal="center" vertical="top"/>
      <protection locked="0"/>
    </xf>
    <xf numFmtId="0" fontId="6" fillId="0" borderId="0" xfId="0" applyFont="1" applyFill="1" applyAlignment="1">
      <alignment horizontal="right" vertical="top"/>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165" fontId="6" fillId="3" borderId="2" xfId="0" applyNumberFormat="1" applyFont="1" applyFill="1" applyBorder="1" applyAlignment="1" applyProtection="1">
      <alignment horizontal="left" vertical="top" indent="1"/>
      <protection locked="0"/>
    </xf>
    <xf numFmtId="165" fontId="6" fillId="3" borderId="3" xfId="0" applyNumberFormat="1" applyFont="1" applyFill="1" applyBorder="1" applyAlignment="1" applyProtection="1">
      <alignment horizontal="left" vertical="top" indent="1"/>
      <protection locked="0"/>
    </xf>
    <xf numFmtId="165" fontId="6" fillId="3" borderId="15" xfId="0" applyNumberFormat="1" applyFont="1" applyFill="1" applyBorder="1" applyAlignment="1" applyProtection="1">
      <alignment horizontal="left" vertical="top" indent="1"/>
      <protection locked="0"/>
    </xf>
    <xf numFmtId="165" fontId="6" fillId="3" borderId="17" xfId="0" applyNumberFormat="1" applyFont="1" applyFill="1" applyBorder="1" applyAlignment="1" applyProtection="1">
      <alignment horizontal="left" vertical="top" indent="1"/>
      <protection locked="0"/>
    </xf>
    <xf numFmtId="165" fontId="6" fillId="3" borderId="18" xfId="0" applyNumberFormat="1" applyFont="1" applyFill="1" applyBorder="1" applyAlignment="1" applyProtection="1">
      <alignment horizontal="left" vertical="top" indent="1"/>
      <protection locked="0"/>
    </xf>
    <xf numFmtId="165" fontId="6" fillId="3" borderId="19" xfId="0" applyNumberFormat="1" applyFont="1" applyFill="1" applyBorder="1" applyAlignment="1" applyProtection="1">
      <alignment horizontal="left" vertical="top" indent="1"/>
      <protection locked="0"/>
    </xf>
    <xf numFmtId="165" fontId="23" fillId="3" borderId="2" xfId="1" applyNumberFormat="1" applyFont="1" applyFill="1" applyBorder="1" applyAlignment="1" applyProtection="1">
      <alignment horizontal="left" vertical="top" indent="1"/>
      <protection locked="0"/>
    </xf>
    <xf numFmtId="0" fontId="6" fillId="3" borderId="2" xfId="0" applyFont="1" applyFill="1" applyBorder="1" applyAlignment="1" applyProtection="1">
      <alignment horizontal="center" vertical="top"/>
      <protection locked="0"/>
    </xf>
    <xf numFmtId="0" fontId="6" fillId="3" borderId="3" xfId="0" applyFont="1" applyFill="1" applyBorder="1" applyAlignment="1" applyProtection="1">
      <alignment horizontal="center" vertical="top"/>
      <protection locked="0"/>
    </xf>
    <xf numFmtId="0" fontId="6" fillId="3" borderId="15" xfId="0" applyFont="1" applyFill="1" applyBorder="1" applyAlignment="1" applyProtection="1">
      <alignment horizontal="center" vertical="top"/>
      <protection locked="0"/>
    </xf>
    <xf numFmtId="0" fontId="6" fillId="3" borderId="17" xfId="0" applyFont="1" applyFill="1" applyBorder="1" applyAlignment="1" applyProtection="1">
      <alignment horizontal="center" vertical="top"/>
      <protection locked="0"/>
    </xf>
    <xf numFmtId="0" fontId="6" fillId="3" borderId="18" xfId="0" applyFont="1" applyFill="1" applyBorder="1" applyAlignment="1" applyProtection="1">
      <alignment horizontal="center" vertical="top"/>
      <protection locked="0"/>
    </xf>
    <xf numFmtId="0" fontId="6" fillId="3" borderId="19" xfId="0" applyFont="1" applyFill="1" applyBorder="1" applyAlignment="1" applyProtection="1">
      <alignment horizontal="center" vertical="top"/>
      <protection locked="0"/>
    </xf>
    <xf numFmtId="165" fontId="6" fillId="0" borderId="0" xfId="0" applyNumberFormat="1" applyFont="1" applyFill="1" applyBorder="1" applyAlignment="1">
      <alignment horizontal="right" vertical="top"/>
    </xf>
    <xf numFmtId="0" fontId="6" fillId="0" borderId="0" xfId="0" applyFont="1" applyFill="1" applyBorder="1" applyAlignment="1">
      <alignment horizontal="right" vertical="top"/>
    </xf>
    <xf numFmtId="0" fontId="4" fillId="3" borderId="5" xfId="0" applyFont="1" applyFill="1" applyBorder="1" applyAlignment="1" applyProtection="1">
      <alignment horizontal="center" vertical="top"/>
      <protection locked="0"/>
    </xf>
    <xf numFmtId="0" fontId="4" fillId="3" borderId="0" xfId="0" applyFont="1" applyFill="1" applyBorder="1" applyAlignment="1" applyProtection="1">
      <alignment horizontal="center" vertical="top"/>
      <protection locked="0"/>
    </xf>
    <xf numFmtId="0" fontId="4" fillId="3" borderId="6" xfId="0" applyFont="1" applyFill="1" applyBorder="1" applyAlignment="1" applyProtection="1">
      <alignment horizontal="center" vertical="top"/>
      <protection locked="0"/>
    </xf>
    <xf numFmtId="167" fontId="6" fillId="0" borderId="0" xfId="0" applyNumberFormat="1" applyFont="1" applyFill="1" applyBorder="1" applyAlignment="1" applyProtection="1">
      <alignment horizontal="center" vertical="top"/>
      <protection locked="0"/>
    </xf>
    <xf numFmtId="168" fontId="6" fillId="3" borderId="2" xfId="0" applyNumberFormat="1" applyFont="1" applyFill="1" applyBorder="1" applyAlignment="1" applyProtection="1">
      <alignment horizontal="center" vertical="top"/>
      <protection locked="0"/>
    </xf>
    <xf numFmtId="168" fontId="6" fillId="3" borderId="3" xfId="0" applyNumberFormat="1" applyFont="1" applyFill="1" applyBorder="1" applyAlignment="1" applyProtection="1">
      <alignment horizontal="center" vertical="top"/>
      <protection locked="0"/>
    </xf>
    <xf numFmtId="168" fontId="6" fillId="3" borderId="15" xfId="0" applyNumberFormat="1" applyFont="1" applyFill="1" applyBorder="1" applyAlignment="1" applyProtection="1">
      <alignment horizontal="center" vertical="top"/>
      <protection locked="0"/>
    </xf>
    <xf numFmtId="168" fontId="6" fillId="3" borderId="17" xfId="0" applyNumberFormat="1" applyFont="1" applyFill="1" applyBorder="1" applyAlignment="1" applyProtection="1">
      <alignment horizontal="center" vertical="top"/>
      <protection locked="0"/>
    </xf>
    <xf numFmtId="168" fontId="6" fillId="3" borderId="18" xfId="0" applyNumberFormat="1" applyFont="1" applyFill="1" applyBorder="1" applyAlignment="1" applyProtection="1">
      <alignment horizontal="center" vertical="top"/>
      <protection locked="0"/>
    </xf>
    <xf numFmtId="168" fontId="6" fillId="3" borderId="19" xfId="0" applyNumberFormat="1" applyFont="1" applyFill="1" applyBorder="1" applyAlignment="1" applyProtection="1">
      <alignment horizontal="center" vertical="top"/>
      <protection locked="0"/>
    </xf>
    <xf numFmtId="1" fontId="6" fillId="3" borderId="2" xfId="0" applyNumberFormat="1" applyFont="1" applyFill="1" applyBorder="1" applyAlignment="1" applyProtection="1">
      <alignment horizontal="center" vertical="top"/>
      <protection locked="0"/>
    </xf>
    <xf numFmtId="1" fontId="6" fillId="3" borderId="3" xfId="0" applyNumberFormat="1" applyFont="1" applyFill="1" applyBorder="1" applyAlignment="1" applyProtection="1">
      <alignment horizontal="center" vertical="top"/>
      <protection locked="0"/>
    </xf>
    <xf numFmtId="1" fontId="6" fillId="3" borderId="15" xfId="0" applyNumberFormat="1" applyFont="1" applyFill="1" applyBorder="1" applyAlignment="1" applyProtection="1">
      <alignment horizontal="center" vertical="top"/>
      <protection locked="0"/>
    </xf>
    <xf numFmtId="1" fontId="6" fillId="3" borderId="17" xfId="0" applyNumberFormat="1" applyFont="1" applyFill="1" applyBorder="1" applyAlignment="1" applyProtection="1">
      <alignment horizontal="center" vertical="top"/>
      <protection locked="0"/>
    </xf>
    <xf numFmtId="1" fontId="6" fillId="3" borderId="18" xfId="0" applyNumberFormat="1" applyFont="1" applyFill="1" applyBorder="1" applyAlignment="1" applyProtection="1">
      <alignment horizontal="center" vertical="top"/>
      <protection locked="0"/>
    </xf>
    <xf numFmtId="1" fontId="6" fillId="3" borderId="19" xfId="0" applyNumberFormat="1" applyFont="1" applyFill="1" applyBorder="1" applyAlignment="1" applyProtection="1">
      <alignment horizontal="center" vertical="top"/>
      <protection locked="0"/>
    </xf>
    <xf numFmtId="170" fontId="6" fillId="3" borderId="2" xfId="0" applyNumberFormat="1" applyFont="1" applyFill="1" applyBorder="1" applyAlignment="1" applyProtection="1">
      <alignment horizontal="center" vertical="top"/>
      <protection locked="0"/>
    </xf>
    <xf numFmtId="170" fontId="6" fillId="3" borderId="3" xfId="0" applyNumberFormat="1" applyFont="1" applyFill="1" applyBorder="1" applyAlignment="1" applyProtection="1">
      <alignment horizontal="center" vertical="top"/>
      <protection locked="0"/>
    </xf>
    <xf numFmtId="170" fontId="6" fillId="3" borderId="15" xfId="0" applyNumberFormat="1" applyFont="1" applyFill="1" applyBorder="1" applyAlignment="1" applyProtection="1">
      <alignment horizontal="center" vertical="top"/>
      <protection locked="0"/>
    </xf>
    <xf numFmtId="170" fontId="6" fillId="3" borderId="17" xfId="0" applyNumberFormat="1" applyFont="1" applyFill="1" applyBorder="1" applyAlignment="1" applyProtection="1">
      <alignment horizontal="center" vertical="top"/>
      <protection locked="0"/>
    </xf>
    <xf numFmtId="170" fontId="6" fillId="3" borderId="18" xfId="0" applyNumberFormat="1" applyFont="1" applyFill="1" applyBorder="1" applyAlignment="1" applyProtection="1">
      <alignment horizontal="center" vertical="top"/>
      <protection locked="0"/>
    </xf>
    <xf numFmtId="170" fontId="6" fillId="3" borderId="19" xfId="0" applyNumberFormat="1" applyFont="1" applyFill="1" applyBorder="1" applyAlignment="1" applyProtection="1">
      <alignment horizontal="center" vertical="top"/>
      <protection locked="0"/>
    </xf>
    <xf numFmtId="169" fontId="6" fillId="3" borderId="2" xfId="0" applyNumberFormat="1" applyFont="1" applyFill="1" applyBorder="1" applyAlignment="1" applyProtection="1">
      <alignment horizontal="center" vertical="top"/>
      <protection locked="0"/>
    </xf>
    <xf numFmtId="169" fontId="6" fillId="3" borderId="3" xfId="0" applyNumberFormat="1" applyFont="1" applyFill="1" applyBorder="1" applyAlignment="1" applyProtection="1">
      <alignment horizontal="center" vertical="top"/>
      <protection locked="0"/>
    </xf>
    <xf numFmtId="169" fontId="6" fillId="3" borderId="15" xfId="0" applyNumberFormat="1" applyFont="1" applyFill="1" applyBorder="1" applyAlignment="1" applyProtection="1">
      <alignment horizontal="center" vertical="top"/>
      <protection locked="0"/>
    </xf>
    <xf numFmtId="169" fontId="6" fillId="3" borderId="17" xfId="0" applyNumberFormat="1" applyFont="1" applyFill="1" applyBorder="1" applyAlignment="1" applyProtection="1">
      <alignment horizontal="center" vertical="top"/>
      <protection locked="0"/>
    </xf>
    <xf numFmtId="169" fontId="6" fillId="3" borderId="18" xfId="0" applyNumberFormat="1" applyFont="1" applyFill="1" applyBorder="1" applyAlignment="1" applyProtection="1">
      <alignment horizontal="center" vertical="top"/>
      <protection locked="0"/>
    </xf>
    <xf numFmtId="169" fontId="6" fillId="3" borderId="19" xfId="0" applyNumberFormat="1" applyFont="1" applyFill="1" applyBorder="1" applyAlignment="1" applyProtection="1">
      <alignment horizontal="center" vertical="top"/>
      <protection locked="0"/>
    </xf>
    <xf numFmtId="0" fontId="23" fillId="3" borderId="2" xfId="1" applyFont="1" applyFill="1" applyBorder="1" applyAlignment="1" applyProtection="1">
      <alignment horizontal="left" vertical="top" indent="1"/>
      <protection locked="0"/>
    </xf>
    <xf numFmtId="0" fontId="11" fillId="0" borderId="0" xfId="0" applyFont="1" applyFill="1" applyBorder="1" applyAlignment="1" applyProtection="1">
      <alignment horizontal="center" vertical="top"/>
      <protection locked="0"/>
    </xf>
    <xf numFmtId="0" fontId="21" fillId="0" borderId="0" xfId="0" applyFont="1" applyFill="1" applyBorder="1" applyAlignment="1">
      <alignment vertical="top" wrapText="1"/>
    </xf>
    <xf numFmtId="0" fontId="4" fillId="3" borderId="2" xfId="0" applyFont="1" applyFill="1" applyBorder="1" applyAlignment="1" applyProtection="1">
      <alignment horizontal="center" vertical="top"/>
    </xf>
    <xf numFmtId="0" fontId="4" fillId="3" borderId="3" xfId="0" applyFont="1" applyFill="1" applyBorder="1" applyAlignment="1" applyProtection="1">
      <alignment horizontal="center" vertical="top"/>
    </xf>
    <xf numFmtId="0" fontId="4" fillId="3" borderId="15" xfId="0" applyFont="1" applyFill="1" applyBorder="1" applyAlignment="1" applyProtection="1">
      <alignment horizontal="center" vertical="top"/>
    </xf>
    <xf numFmtId="0" fontId="4" fillId="3" borderId="17" xfId="0" applyFont="1" applyFill="1" applyBorder="1" applyAlignment="1" applyProtection="1">
      <alignment horizontal="center" vertical="top"/>
    </xf>
    <xf numFmtId="0" fontId="4" fillId="3" borderId="18" xfId="0" applyFont="1" applyFill="1" applyBorder="1" applyAlignment="1" applyProtection="1">
      <alignment horizontal="center" vertical="top"/>
    </xf>
    <xf numFmtId="0" fontId="4" fillId="3" borderId="19" xfId="0" applyFont="1" applyFill="1" applyBorder="1" applyAlignment="1" applyProtection="1">
      <alignment horizontal="center" vertical="top"/>
    </xf>
    <xf numFmtId="0" fontId="22" fillId="3" borderId="2" xfId="0" applyFont="1" applyFill="1" applyBorder="1" applyAlignment="1" applyProtection="1">
      <alignment horizontal="left" vertical="top" indent="1"/>
      <protection locked="0"/>
    </xf>
    <xf numFmtId="0" fontId="22" fillId="3" borderId="3" xfId="0" applyFont="1" applyFill="1" applyBorder="1" applyAlignment="1" applyProtection="1">
      <alignment horizontal="left" vertical="top" indent="1"/>
      <protection locked="0"/>
    </xf>
    <xf numFmtId="0" fontId="22" fillId="3" borderId="15" xfId="0" applyFont="1" applyFill="1" applyBorder="1" applyAlignment="1" applyProtection="1">
      <alignment horizontal="left" vertical="top" indent="1"/>
      <protection locked="0"/>
    </xf>
    <xf numFmtId="0" fontId="22" fillId="3" borderId="17" xfId="0" applyFont="1" applyFill="1" applyBorder="1" applyAlignment="1" applyProtection="1">
      <alignment horizontal="left" vertical="top" indent="1"/>
      <protection locked="0"/>
    </xf>
    <xf numFmtId="0" fontId="22" fillId="3" borderId="18" xfId="0" applyFont="1" applyFill="1" applyBorder="1" applyAlignment="1" applyProtection="1">
      <alignment horizontal="left" vertical="top" indent="1"/>
      <protection locked="0"/>
    </xf>
    <xf numFmtId="0" fontId="22" fillId="3" borderId="19" xfId="0" applyFont="1" applyFill="1" applyBorder="1" applyAlignment="1" applyProtection="1">
      <alignment horizontal="left" vertical="top" indent="1"/>
      <protection locked="0"/>
    </xf>
    <xf numFmtId="0" fontId="5" fillId="0" borderId="20" xfId="0" applyFont="1" applyFill="1" applyBorder="1" applyAlignment="1">
      <alignment horizontal="left" vertical="top" wrapText="1" indent="1"/>
    </xf>
    <xf numFmtId="0" fontId="4" fillId="3" borderId="15" xfId="0" applyFont="1" applyFill="1" applyBorder="1" applyAlignment="1" applyProtection="1">
      <alignment horizontal="center" vertical="top"/>
      <protection locked="0"/>
    </xf>
    <xf numFmtId="0" fontId="4" fillId="3" borderId="17" xfId="0" applyFont="1" applyFill="1" applyBorder="1" applyAlignment="1" applyProtection="1">
      <alignment horizontal="center" vertical="top"/>
      <protection locked="0"/>
    </xf>
    <xf numFmtId="0" fontId="4" fillId="3" borderId="18" xfId="0" applyFont="1" applyFill="1" applyBorder="1" applyAlignment="1" applyProtection="1">
      <alignment horizontal="center" vertical="top"/>
      <protection locked="0"/>
    </xf>
    <xf numFmtId="0" fontId="4" fillId="3" borderId="19" xfId="0" applyFont="1" applyFill="1" applyBorder="1" applyAlignment="1" applyProtection="1">
      <alignment horizontal="center" vertical="top"/>
      <protection locked="0"/>
    </xf>
    <xf numFmtId="171" fontId="4" fillId="3" borderId="2" xfId="0" applyNumberFormat="1" applyFont="1" applyFill="1" applyBorder="1" applyAlignment="1" applyProtection="1">
      <alignment horizontal="center" vertical="top"/>
      <protection locked="0"/>
    </xf>
    <xf numFmtId="171" fontId="4" fillId="3" borderId="3" xfId="0" applyNumberFormat="1" applyFont="1" applyFill="1" applyBorder="1" applyAlignment="1" applyProtection="1">
      <alignment horizontal="center" vertical="top"/>
      <protection locked="0"/>
    </xf>
    <xf numFmtId="171" fontId="4" fillId="3" borderId="15" xfId="0" applyNumberFormat="1" applyFont="1" applyFill="1" applyBorder="1" applyAlignment="1" applyProtection="1">
      <alignment horizontal="center" vertical="top"/>
      <protection locked="0"/>
    </xf>
    <xf numFmtId="171" fontId="4" fillId="3" borderId="17" xfId="0" applyNumberFormat="1" applyFont="1" applyFill="1" applyBorder="1" applyAlignment="1" applyProtection="1">
      <alignment horizontal="center" vertical="top"/>
      <protection locked="0"/>
    </xf>
    <xf numFmtId="171" fontId="4" fillId="3" borderId="18" xfId="0" applyNumberFormat="1" applyFont="1" applyFill="1" applyBorder="1" applyAlignment="1" applyProtection="1">
      <alignment horizontal="center" vertical="top"/>
      <protection locked="0"/>
    </xf>
    <xf numFmtId="171" fontId="4" fillId="3" borderId="19" xfId="0" applyNumberFormat="1" applyFont="1" applyFill="1" applyBorder="1" applyAlignment="1" applyProtection="1">
      <alignment horizontal="center" vertical="top"/>
      <protection locked="0"/>
    </xf>
    <xf numFmtId="171" fontId="4" fillId="0" borderId="2" xfId="0" applyNumberFormat="1" applyFont="1" applyFill="1" applyBorder="1" applyAlignment="1" applyProtection="1">
      <alignment horizontal="center" vertical="top"/>
    </xf>
    <xf numFmtId="171" fontId="4" fillId="0" borderId="3" xfId="0" applyNumberFormat="1" applyFont="1" applyFill="1" applyBorder="1" applyAlignment="1" applyProtection="1">
      <alignment horizontal="center" vertical="top"/>
    </xf>
    <xf numFmtId="171" fontId="4" fillId="0" borderId="15" xfId="0" applyNumberFormat="1" applyFont="1" applyFill="1" applyBorder="1" applyAlignment="1" applyProtection="1">
      <alignment horizontal="center" vertical="top"/>
    </xf>
    <xf numFmtId="171" fontId="4" fillId="0" borderId="17" xfId="0" applyNumberFormat="1" applyFont="1" applyFill="1" applyBorder="1" applyAlignment="1" applyProtection="1">
      <alignment horizontal="center" vertical="top"/>
    </xf>
    <xf numFmtId="171" fontId="4" fillId="0" borderId="18" xfId="0" applyNumberFormat="1" applyFont="1" applyFill="1" applyBorder="1" applyAlignment="1" applyProtection="1">
      <alignment horizontal="center" vertical="top"/>
    </xf>
    <xf numFmtId="171" fontId="4" fillId="0" borderId="19" xfId="0" applyNumberFormat="1" applyFont="1" applyFill="1" applyBorder="1" applyAlignment="1" applyProtection="1">
      <alignment horizontal="center" vertical="top"/>
    </xf>
    <xf numFmtId="0" fontId="30" fillId="6" borderId="0" xfId="0" applyFont="1" applyFill="1" applyBorder="1" applyAlignment="1">
      <alignment horizontal="left" vertical="top" wrapText="1"/>
    </xf>
    <xf numFmtId="0" fontId="30" fillId="6" borderId="6" xfId="0" applyFont="1" applyFill="1" applyBorder="1" applyAlignment="1">
      <alignment horizontal="left" vertical="top" wrapText="1"/>
    </xf>
    <xf numFmtId="0" fontId="30" fillId="6" borderId="0" xfId="0" quotePrefix="1" applyFont="1" applyFill="1" applyBorder="1" applyAlignment="1">
      <alignment horizontal="center" vertical="top"/>
    </xf>
    <xf numFmtId="0" fontId="30" fillId="6" borderId="0" xfId="0" applyFont="1" applyFill="1" applyBorder="1" applyAlignment="1">
      <alignment horizontal="center" vertical="top"/>
    </xf>
    <xf numFmtId="0" fontId="40" fillId="6" borderId="0" xfId="0" applyFont="1" applyFill="1" applyAlignment="1">
      <alignment horizontal="left" vertical="top" wrapText="1"/>
    </xf>
    <xf numFmtId="0" fontId="4" fillId="3" borderId="28" xfId="0" applyFont="1" applyFill="1" applyBorder="1" applyAlignment="1" applyProtection="1">
      <alignment horizontal="center" vertical="top"/>
      <protection locked="0"/>
    </xf>
    <xf numFmtId="0" fontId="4" fillId="3" borderId="29" xfId="0" applyFont="1" applyFill="1" applyBorder="1" applyAlignment="1" applyProtection="1">
      <alignment horizontal="center" vertical="top"/>
      <protection locked="0"/>
    </xf>
    <xf numFmtId="0" fontId="4" fillId="3" borderId="30" xfId="0" applyFont="1" applyFill="1" applyBorder="1" applyAlignment="1" applyProtection="1">
      <alignment horizontal="center" vertical="top"/>
      <protection locked="0"/>
    </xf>
    <xf numFmtId="4" fontId="6" fillId="2" borderId="0" xfId="0" applyNumberFormat="1" applyFont="1" applyFill="1" applyBorder="1" applyAlignment="1">
      <alignment horizontal="center" vertical="center"/>
    </xf>
    <xf numFmtId="0" fontId="27" fillId="6" borderId="0" xfId="0" applyFont="1" applyFill="1" applyBorder="1" applyAlignment="1">
      <alignment horizontal="left" vertical="center"/>
    </xf>
    <xf numFmtId="0" fontId="35" fillId="6" borderId="0" xfId="0" applyFont="1" applyFill="1" applyBorder="1" applyAlignment="1">
      <alignment horizontal="left" vertical="top" wrapText="1"/>
    </xf>
    <xf numFmtId="0" fontId="6" fillId="0" borderId="0" xfId="0" applyFont="1" applyFill="1" applyAlignment="1">
      <alignment horizontal="left" vertical="top" wrapText="1" indent="1"/>
    </xf>
    <xf numFmtId="164" fontId="6" fillId="0" borderId="0" xfId="0" applyNumberFormat="1" applyFont="1" applyFill="1" applyBorder="1" applyAlignment="1">
      <alignment horizontal="center" vertical="center"/>
    </xf>
    <xf numFmtId="0" fontId="42" fillId="0" borderId="0" xfId="0" applyFont="1" applyFill="1" applyBorder="1" applyAlignment="1" applyProtection="1">
      <alignment horizontal="left" vertical="center" indent="1"/>
    </xf>
    <xf numFmtId="0" fontId="32" fillId="0" borderId="0" xfId="0" applyFont="1" applyFill="1" applyAlignment="1">
      <alignment horizontal="center" vertical="center"/>
    </xf>
    <xf numFmtId="0" fontId="26" fillId="0" borderId="0" xfId="0" applyFont="1" applyFill="1" applyAlignment="1">
      <alignment horizontal="center" vertical="center"/>
    </xf>
    <xf numFmtId="0" fontId="5" fillId="0" borderId="25" xfId="0" applyFont="1" applyFill="1" applyBorder="1" applyAlignment="1">
      <alignment horizontal="left" vertical="center" indent="2"/>
    </xf>
    <xf numFmtId="0" fontId="5" fillId="0" borderId="26" xfId="0" applyFont="1" applyFill="1" applyBorder="1" applyAlignment="1">
      <alignment horizontal="left" vertical="center" indent="2"/>
    </xf>
    <xf numFmtId="0" fontId="25" fillId="0" borderId="25" xfId="0" applyFont="1" applyFill="1" applyBorder="1" applyAlignment="1">
      <alignment horizontal="left" vertical="center" indent="1"/>
    </xf>
    <xf numFmtId="0" fontId="25" fillId="0" borderId="26" xfId="0" applyFont="1" applyFill="1" applyBorder="1" applyAlignment="1">
      <alignment horizontal="left" vertical="center" indent="1"/>
    </xf>
    <xf numFmtId="0" fontId="5" fillId="0" borderId="28" xfId="0" applyFont="1" applyFill="1" applyBorder="1" applyAlignment="1">
      <alignment horizontal="left" vertical="center" indent="2"/>
    </xf>
    <xf numFmtId="0" fontId="5" fillId="0" borderId="29" xfId="0" applyFont="1" applyFill="1" applyBorder="1" applyAlignment="1">
      <alignment horizontal="left" vertical="center" indent="2"/>
    </xf>
    <xf numFmtId="172" fontId="28" fillId="10" borderId="34" xfId="0" applyNumberFormat="1" applyFont="1" applyFill="1" applyBorder="1" applyAlignment="1">
      <alignment horizontal="center" textRotation="90"/>
    </xf>
    <xf numFmtId="172" fontId="28" fillId="10" borderId="35" xfId="0" applyNumberFormat="1" applyFont="1" applyFill="1" applyBorder="1" applyAlignment="1">
      <alignment horizontal="center" textRotation="90"/>
    </xf>
    <xf numFmtId="172" fontId="28" fillId="10" borderId="23" xfId="0" applyNumberFormat="1" applyFont="1" applyFill="1" applyBorder="1" applyAlignment="1">
      <alignment horizontal="center" textRotation="90"/>
    </xf>
    <xf numFmtId="172" fontId="28" fillId="10" borderId="24" xfId="0" applyNumberFormat="1" applyFont="1" applyFill="1" applyBorder="1" applyAlignment="1">
      <alignment horizontal="center" textRotation="90"/>
    </xf>
    <xf numFmtId="0" fontId="27" fillId="9" borderId="10" xfId="1" applyFont="1" applyFill="1" applyBorder="1" applyAlignment="1" applyProtection="1">
      <alignment horizontal="center" vertical="center"/>
    </xf>
    <xf numFmtId="0" fontId="27" fillId="9" borderId="11" xfId="1" applyFont="1" applyFill="1" applyBorder="1" applyAlignment="1" applyProtection="1">
      <alignment horizontal="center" vertical="center"/>
    </xf>
    <xf numFmtId="0" fontId="27" fillId="9" borderId="0" xfId="1" applyFont="1" applyFill="1" applyBorder="1" applyAlignment="1" applyProtection="1">
      <alignment horizontal="center" vertical="center"/>
    </xf>
    <xf numFmtId="0" fontId="27" fillId="9" borderId="6" xfId="1" applyFont="1" applyFill="1" applyBorder="1" applyAlignment="1" applyProtection="1">
      <alignment horizontal="center" vertical="center"/>
    </xf>
    <xf numFmtId="0" fontId="27" fillId="9" borderId="12" xfId="1" applyFont="1" applyFill="1" applyBorder="1" applyAlignment="1" applyProtection="1">
      <alignment horizontal="center" vertical="center"/>
    </xf>
    <xf numFmtId="0" fontId="27" fillId="9" borderId="13" xfId="1" applyFont="1" applyFill="1" applyBorder="1" applyAlignment="1" applyProtection="1">
      <alignment horizontal="center" vertical="center"/>
    </xf>
    <xf numFmtId="0" fontId="5" fillId="0" borderId="0" xfId="0" applyFont="1" applyFill="1" applyAlignment="1">
      <alignment horizontal="center" vertical="center" wrapText="1"/>
    </xf>
    <xf numFmtId="0" fontId="30" fillId="6" borderId="8" xfId="0" applyFont="1" applyFill="1" applyBorder="1" applyAlignment="1">
      <alignment horizontal="center" vertical="top"/>
    </xf>
    <xf numFmtId="0" fontId="30" fillId="6" borderId="8" xfId="0" applyFont="1" applyFill="1" applyBorder="1" applyAlignment="1">
      <alignment horizontal="left" vertical="top" wrapText="1"/>
    </xf>
    <xf numFmtId="0" fontId="20" fillId="0" borderId="0" xfId="0" applyFont="1" applyFill="1" applyAlignment="1">
      <alignment horizontal="right" vertical="top"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indent="1"/>
      <protection locked="0"/>
    </xf>
    <xf numFmtId="4" fontId="6" fillId="0" borderId="0" xfId="0" applyNumberFormat="1" applyFont="1" applyFill="1" applyBorder="1" applyAlignment="1" applyProtection="1">
      <alignment horizontal="center" vertical="center"/>
      <protection locked="0"/>
    </xf>
    <xf numFmtId="0" fontId="6" fillId="0" borderId="0" xfId="0" applyFont="1" applyFill="1" applyAlignment="1" applyProtection="1">
      <alignment horizontal="left" vertical="center" wrapText="1" indent="1"/>
      <protection locked="0"/>
    </xf>
    <xf numFmtId="0" fontId="6" fillId="0" borderId="0" xfId="0" applyFont="1" applyFill="1" applyBorder="1" applyAlignment="1" applyProtection="1">
      <alignment horizontal="left" vertical="top" wrapText="1" indent="1"/>
      <protection locked="0"/>
    </xf>
    <xf numFmtId="0" fontId="67" fillId="0" borderId="0" xfId="0" applyFont="1" applyFill="1" applyBorder="1" applyAlignment="1" applyProtection="1">
      <alignment horizontal="right" vertical="center"/>
      <protection locked="0"/>
    </xf>
    <xf numFmtId="4" fontId="31" fillId="0" borderId="0" xfId="0" applyNumberFormat="1" applyFont="1" applyFill="1" applyBorder="1" applyAlignment="1" applyProtection="1">
      <alignment horizontal="center" vertical="center" shrinkToFit="1"/>
      <protection locked="0"/>
    </xf>
    <xf numFmtId="3" fontId="31" fillId="0" borderId="0" xfId="0" applyNumberFormat="1" applyFont="1" applyFill="1" applyBorder="1" applyAlignment="1" applyProtection="1">
      <alignment horizontal="center" vertical="center" shrinkToFit="1"/>
    </xf>
    <xf numFmtId="0" fontId="37" fillId="0" borderId="0" xfId="0" applyFont="1" applyFill="1" applyBorder="1" applyAlignment="1" applyProtection="1">
      <alignment horizontal="left" vertical="center" indent="1"/>
      <protection locked="0"/>
    </xf>
    <xf numFmtId="3" fontId="22" fillId="0" borderId="14" xfId="0" applyNumberFormat="1" applyFont="1" applyFill="1" applyBorder="1" applyAlignment="1">
      <alignment horizontal="center" vertical="center" shrinkToFit="1"/>
    </xf>
    <xf numFmtId="3" fontId="22" fillId="0" borderId="31" xfId="0" applyNumberFormat="1" applyFont="1" applyFill="1" applyBorder="1" applyAlignment="1">
      <alignment horizontal="center" vertical="center" shrinkToFit="1"/>
    </xf>
    <xf numFmtId="3" fontId="22" fillId="0" borderId="39" xfId="0" applyNumberFormat="1" applyFont="1" applyFill="1" applyBorder="1" applyAlignment="1">
      <alignment horizontal="center" vertical="center" shrinkToFit="1"/>
    </xf>
    <xf numFmtId="4" fontId="6" fillId="3" borderId="5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right" vertical="center" wrapText="1"/>
    </xf>
    <xf numFmtId="0" fontId="22" fillId="3" borderId="2"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4" fontId="6" fillId="3" borderId="53" xfId="0" applyNumberFormat="1" applyFont="1" applyFill="1" applyBorder="1" applyAlignment="1" applyProtection="1">
      <alignment horizontal="center" vertical="center" shrinkToFit="1"/>
      <protection locked="0"/>
    </xf>
    <xf numFmtId="4" fontId="6" fillId="3" borderId="56" xfId="0" applyNumberFormat="1" applyFont="1" applyFill="1" applyBorder="1" applyAlignment="1" applyProtection="1">
      <alignment horizontal="center" vertical="center" shrinkToFit="1"/>
      <protection locked="0"/>
    </xf>
    <xf numFmtId="4" fontId="6" fillId="3" borderId="57"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left" vertical="center"/>
    </xf>
    <xf numFmtId="3" fontId="6" fillId="0" borderId="59" xfId="0" applyNumberFormat="1" applyFont="1" applyFill="1" applyBorder="1" applyAlignment="1" applyProtection="1">
      <alignment horizontal="center" vertical="center" shrinkToFit="1"/>
    </xf>
    <xf numFmtId="3" fontId="6" fillId="0" borderId="60" xfId="0" applyNumberFormat="1" applyFont="1" applyFill="1" applyBorder="1" applyAlignment="1" applyProtection="1">
      <alignment horizontal="center" vertical="center" shrinkToFit="1"/>
    </xf>
    <xf numFmtId="3" fontId="6" fillId="0" borderId="61" xfId="0" applyNumberFormat="1" applyFont="1" applyFill="1" applyBorder="1" applyAlignment="1" applyProtection="1">
      <alignment horizontal="center" vertical="center" shrinkToFit="1"/>
    </xf>
    <xf numFmtId="3" fontId="6" fillId="0" borderId="62" xfId="0" applyNumberFormat="1" applyFont="1" applyFill="1" applyBorder="1" applyAlignment="1" applyProtection="1">
      <alignment horizontal="center" vertical="center" shrinkToFit="1"/>
    </xf>
    <xf numFmtId="3" fontId="6" fillId="0" borderId="63" xfId="0" applyNumberFormat="1" applyFont="1" applyFill="1" applyBorder="1" applyAlignment="1" applyProtection="1">
      <alignment horizontal="center" vertical="center" shrinkToFit="1"/>
    </xf>
    <xf numFmtId="3" fontId="6" fillId="0" borderId="64" xfId="0" applyNumberFormat="1" applyFont="1" applyFill="1" applyBorder="1" applyAlignment="1" applyProtection="1">
      <alignment horizontal="center" vertical="center" shrinkToFit="1"/>
    </xf>
    <xf numFmtId="4" fontId="6" fillId="3" borderId="55" xfId="0" applyNumberFormat="1" applyFont="1" applyFill="1" applyBorder="1" applyAlignment="1" applyProtection="1">
      <alignment horizontal="center" vertical="center" shrinkToFit="1"/>
      <protection locked="0"/>
    </xf>
    <xf numFmtId="4" fontId="6" fillId="3" borderId="58" xfId="0" applyNumberFormat="1" applyFont="1" applyFill="1" applyBorder="1" applyAlignment="1" applyProtection="1">
      <alignment horizontal="center" vertical="center" shrinkToFit="1"/>
      <protection locked="0"/>
    </xf>
    <xf numFmtId="0" fontId="43" fillId="12" borderId="10" xfId="1" applyFont="1" applyFill="1" applyBorder="1" applyAlignment="1" applyProtection="1">
      <alignment horizontal="center" vertical="center"/>
    </xf>
    <xf numFmtId="0" fontId="43" fillId="12" borderId="11" xfId="1" applyFont="1" applyFill="1" applyBorder="1" applyAlignment="1" applyProtection="1">
      <alignment horizontal="center" vertical="center"/>
    </xf>
    <xf numFmtId="0" fontId="43" fillId="12" borderId="0" xfId="1" applyFont="1" applyFill="1" applyBorder="1" applyAlignment="1" applyProtection="1">
      <alignment horizontal="center" vertical="center"/>
    </xf>
    <xf numFmtId="0" fontId="43" fillId="12" borderId="6" xfId="1" applyFont="1" applyFill="1" applyBorder="1" applyAlignment="1" applyProtection="1">
      <alignment horizontal="center" vertical="center"/>
    </xf>
    <xf numFmtId="0" fontId="43" fillId="12" borderId="12" xfId="1" applyFont="1" applyFill="1" applyBorder="1" applyAlignment="1" applyProtection="1">
      <alignment horizontal="center" vertical="center"/>
    </xf>
    <xf numFmtId="0" fontId="43" fillId="12" borderId="13" xfId="1" applyFont="1" applyFill="1" applyBorder="1" applyAlignment="1" applyProtection="1">
      <alignment horizontal="center" vertical="center"/>
    </xf>
    <xf numFmtId="0" fontId="22" fillId="0" borderId="14"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9" xfId="0" applyFont="1" applyFill="1" applyBorder="1" applyAlignment="1">
      <alignment horizontal="center" vertical="center"/>
    </xf>
    <xf numFmtId="4" fontId="6" fillId="3" borderId="50" xfId="0" applyNumberFormat="1" applyFont="1" applyFill="1" applyBorder="1" applyAlignment="1" applyProtection="1">
      <alignment horizontal="center" vertical="center" shrinkToFit="1"/>
      <protection locked="0"/>
    </xf>
    <xf numFmtId="4" fontId="6" fillId="3" borderId="51" xfId="0" applyNumberFormat="1" applyFont="1" applyFill="1" applyBorder="1" applyAlignment="1" applyProtection="1">
      <alignment horizontal="center" vertical="center" shrinkToFit="1"/>
      <protection locked="0"/>
    </xf>
    <xf numFmtId="0" fontId="66" fillId="0" borderId="0" xfId="0" applyFont="1" applyFill="1" applyBorder="1" applyAlignment="1">
      <alignment horizontal="left" vertical="center"/>
    </xf>
    <xf numFmtId="164" fontId="10" fillId="0" borderId="2" xfId="0" applyNumberFormat="1" applyFont="1" applyFill="1" applyBorder="1" applyAlignment="1" applyProtection="1">
      <alignment horizontal="left" vertical="top" indent="1"/>
    </xf>
    <xf numFmtId="164" fontId="10" fillId="0" borderId="3" xfId="0" applyNumberFormat="1" applyFont="1" applyFill="1" applyBorder="1" applyAlignment="1" applyProtection="1">
      <alignment horizontal="left" vertical="top" indent="1"/>
    </xf>
    <xf numFmtId="164" fontId="10" fillId="0" borderId="15" xfId="0" applyNumberFormat="1" applyFont="1" applyFill="1" applyBorder="1" applyAlignment="1" applyProtection="1">
      <alignment horizontal="left" vertical="top" indent="1"/>
    </xf>
    <xf numFmtId="164" fontId="10" fillId="0" borderId="17" xfId="0" applyNumberFormat="1" applyFont="1" applyFill="1" applyBorder="1" applyAlignment="1" applyProtection="1">
      <alignment horizontal="left" vertical="top" indent="1"/>
    </xf>
    <xf numFmtId="164" fontId="10" fillId="0" borderId="18" xfId="0" applyNumberFormat="1" applyFont="1" applyFill="1" applyBorder="1" applyAlignment="1" applyProtection="1">
      <alignment horizontal="left" vertical="top" indent="1"/>
    </xf>
    <xf numFmtId="164" fontId="10" fillId="0" borderId="19" xfId="0" applyNumberFormat="1" applyFont="1" applyFill="1" applyBorder="1" applyAlignment="1" applyProtection="1">
      <alignment horizontal="left" vertical="top" indent="1"/>
    </xf>
    <xf numFmtId="4" fontId="6" fillId="3" borderId="52" xfId="0" applyNumberFormat="1" applyFont="1" applyFill="1" applyBorder="1" applyAlignment="1" applyProtection="1">
      <alignment horizontal="center" vertical="center" shrinkToFit="1"/>
      <protection locked="0"/>
    </xf>
    <xf numFmtId="3" fontId="6" fillId="0" borderId="65" xfId="0" applyNumberFormat="1" applyFont="1" applyFill="1" applyBorder="1" applyAlignment="1" applyProtection="1">
      <alignment horizontal="center" vertical="center" shrinkToFit="1"/>
    </xf>
    <xf numFmtId="3" fontId="6" fillId="0" borderId="66" xfId="0" applyNumberFormat="1" applyFont="1" applyFill="1" applyBorder="1" applyAlignment="1" applyProtection="1">
      <alignment horizontal="center" vertical="center" shrinkToFit="1"/>
    </xf>
    <xf numFmtId="3" fontId="6" fillId="0" borderId="67" xfId="0" applyNumberFormat="1" applyFont="1" applyFill="1" applyBorder="1" applyAlignment="1" applyProtection="1">
      <alignment horizontal="center" vertical="center" shrinkToFit="1"/>
    </xf>
    <xf numFmtId="0" fontId="22" fillId="0" borderId="0" xfId="0" applyFont="1" applyFill="1" applyBorder="1" applyAlignment="1">
      <alignment horizontal="right" vertical="center" wrapText="1"/>
    </xf>
    <xf numFmtId="3" fontId="42" fillId="0" borderId="0" xfId="0" applyNumberFormat="1" applyFont="1" applyFill="1" applyBorder="1" applyAlignment="1">
      <alignment horizontal="center" vertical="center" shrinkToFit="1"/>
    </xf>
    <xf numFmtId="0" fontId="27" fillId="0" borderId="0" xfId="0" applyFont="1" applyFill="1" applyBorder="1" applyAlignment="1">
      <alignment horizontal="left" vertical="center" indent="1"/>
    </xf>
    <xf numFmtId="0" fontId="35" fillId="0" borderId="0" xfId="0" applyFont="1" applyFill="1" applyAlignment="1">
      <alignment horizontal="center" vertical="center" wrapText="1"/>
    </xf>
    <xf numFmtId="0" fontId="31" fillId="0" borderId="0" xfId="0" applyFont="1" applyFill="1" applyBorder="1" applyAlignment="1">
      <alignment horizontal="right" vertical="center" wrapText="1"/>
    </xf>
    <xf numFmtId="0" fontId="0" fillId="0" borderId="0" xfId="0" applyFill="1" applyAlignment="1">
      <alignment horizontal="center"/>
    </xf>
    <xf numFmtId="0" fontId="3" fillId="0" borderId="0" xfId="0" applyFont="1" applyFill="1" applyAlignment="1">
      <alignment horizontal="center" vertical="center" wrapText="1"/>
    </xf>
    <xf numFmtId="0" fontId="35" fillId="0" borderId="0" xfId="0" applyFont="1" applyFill="1" applyBorder="1" applyAlignment="1">
      <alignment horizontal="center"/>
    </xf>
    <xf numFmtId="0" fontId="42" fillId="0" borderId="0" xfId="0" applyFont="1" applyFill="1" applyBorder="1" applyAlignment="1">
      <alignment horizontal="center" vertical="center"/>
    </xf>
    <xf numFmtId="4" fontId="0" fillId="0" borderId="0" xfId="0" applyNumberFormat="1" applyFill="1" applyAlignment="1">
      <alignment horizontal="center"/>
    </xf>
    <xf numFmtId="0" fontId="39" fillId="6" borderId="0" xfId="0" applyFont="1" applyFill="1" applyAlignment="1">
      <alignment horizontal="left" vertical="top" wrapText="1"/>
    </xf>
    <xf numFmtId="0" fontId="6" fillId="0" borderId="0" xfId="0" applyFont="1" applyFill="1" applyBorder="1" applyAlignment="1" applyProtection="1">
      <alignment horizontal="left" indent="1"/>
    </xf>
    <xf numFmtId="0" fontId="6" fillId="0" borderId="0" xfId="0" applyFont="1" applyFill="1" applyBorder="1" applyAlignment="1" applyProtection="1">
      <alignment horizontal="center" vertical="center"/>
    </xf>
    <xf numFmtId="4" fontId="6" fillId="0" borderId="0" xfId="0" applyNumberFormat="1" applyFont="1" applyFill="1" applyBorder="1" applyAlignment="1" applyProtection="1">
      <alignment horizontal="center" vertical="center"/>
    </xf>
    <xf numFmtId="4" fontId="6" fillId="0" borderId="0" xfId="0" applyNumberFormat="1" applyFont="1" applyFill="1" applyBorder="1" applyAlignment="1" applyProtection="1">
      <alignment horizontal="right" vertical="center" indent="1"/>
    </xf>
    <xf numFmtId="0" fontId="6" fillId="0" borderId="0" xfId="0" applyNumberFormat="1" applyFont="1" applyFill="1" applyBorder="1" applyAlignment="1" applyProtection="1">
      <alignment horizontal="center" vertical="center"/>
      <protection locked="0"/>
    </xf>
    <xf numFmtId="4" fontId="6" fillId="0" borderId="0" xfId="0" applyNumberFormat="1" applyFont="1" applyFill="1" applyBorder="1" applyAlignment="1">
      <alignment horizontal="right" vertical="center" indent="1"/>
    </xf>
    <xf numFmtId="0" fontId="27" fillId="0" borderId="0" xfId="0" applyFont="1" applyFill="1" applyBorder="1" applyAlignment="1" applyProtection="1">
      <alignment horizontal="left" vertical="center" indent="1"/>
    </xf>
    <xf numFmtId="0" fontId="42" fillId="0" borderId="0"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0" fontId="42" fillId="0" borderId="0" xfId="0" applyFont="1" applyFill="1" applyBorder="1" applyAlignment="1" applyProtection="1">
      <alignment horizontal="center" vertical="center" wrapText="1"/>
    </xf>
    <xf numFmtId="4" fontId="42"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right" vertical="center" indent="1"/>
    </xf>
    <xf numFmtId="0" fontId="3" fillId="0" borderId="0" xfId="0" applyFont="1" applyAlignment="1">
      <alignment horizontal="center" vertical="center"/>
    </xf>
    <xf numFmtId="0" fontId="0" fillId="0" borderId="0" xfId="0"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0" fillId="6" borderId="0" xfId="0" applyFill="1" applyAlignment="1">
      <alignment horizontal="center"/>
    </xf>
    <xf numFmtId="0" fontId="6" fillId="0" borderId="0" xfId="0" applyFont="1" applyFill="1" applyBorder="1" applyAlignment="1">
      <alignment horizontal="center" vertical="center"/>
    </xf>
    <xf numFmtId="4" fontId="70" fillId="0" borderId="0" xfId="0" applyNumberFormat="1" applyFont="1" applyAlignment="1">
      <alignment horizontal="right" indent="1"/>
    </xf>
    <xf numFmtId="0" fontId="43" fillId="13" borderId="10" xfId="1" applyFont="1" applyFill="1" applyBorder="1" applyAlignment="1" applyProtection="1">
      <alignment horizontal="center" vertical="center"/>
    </xf>
    <xf numFmtId="0" fontId="43" fillId="13" borderId="11" xfId="1" applyFont="1" applyFill="1" applyBorder="1" applyAlignment="1" applyProtection="1">
      <alignment horizontal="center" vertical="center"/>
    </xf>
    <xf numFmtId="0" fontId="43" fillId="13" borderId="0" xfId="1" applyFont="1" applyFill="1" applyBorder="1" applyAlignment="1" applyProtection="1">
      <alignment horizontal="center" vertical="center"/>
    </xf>
    <xf numFmtId="0" fontId="43" fillId="13" borderId="6" xfId="1" applyFont="1" applyFill="1" applyBorder="1" applyAlignment="1" applyProtection="1">
      <alignment horizontal="center" vertical="center"/>
    </xf>
    <xf numFmtId="0" fontId="43" fillId="13" borderId="12" xfId="1" applyFont="1" applyFill="1" applyBorder="1" applyAlignment="1" applyProtection="1">
      <alignment horizontal="center" vertical="center"/>
    </xf>
    <xf numFmtId="0" fontId="43" fillId="13" borderId="13" xfId="1" applyFont="1" applyFill="1" applyBorder="1" applyAlignment="1" applyProtection="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center" vertical="center"/>
    </xf>
    <xf numFmtId="0" fontId="6" fillId="10" borderId="1" xfId="0" applyFont="1" applyFill="1" applyBorder="1" applyAlignment="1" applyProtection="1">
      <alignment horizontal="center"/>
    </xf>
    <xf numFmtId="0" fontId="6" fillId="10" borderId="1" xfId="0" applyFont="1" applyFill="1" applyBorder="1" applyAlignment="1" applyProtection="1">
      <alignment horizontal="left" vertical="center"/>
    </xf>
    <xf numFmtId="0" fontId="6" fillId="0" borderId="68"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68" xfId="0" applyFont="1" applyBorder="1" applyAlignment="1" applyProtection="1">
      <alignment horizontal="left" vertical="center"/>
    </xf>
    <xf numFmtId="0" fontId="6" fillId="0" borderId="69" xfId="0" applyFont="1" applyBorder="1" applyAlignment="1" applyProtection="1">
      <alignment horizontal="left" vertical="center"/>
    </xf>
    <xf numFmtId="4" fontId="6" fillId="0" borderId="68" xfId="0" applyNumberFormat="1" applyFont="1" applyBorder="1" applyAlignment="1" applyProtection="1">
      <alignment horizontal="left" vertical="center"/>
    </xf>
    <xf numFmtId="4" fontId="6" fillId="0" borderId="68" xfId="0" applyNumberFormat="1" applyFont="1" applyBorder="1" applyAlignment="1" applyProtection="1">
      <alignment horizontal="center" vertical="center"/>
    </xf>
    <xf numFmtId="0" fontId="6" fillId="10" borderId="1" xfId="0" applyFont="1" applyFill="1" applyBorder="1" applyAlignment="1" applyProtection="1">
      <alignment horizontal="center" vertical="center"/>
    </xf>
    <xf numFmtId="174" fontId="69" fillId="0" borderId="46" xfId="0" applyNumberFormat="1" applyFont="1" applyBorder="1" applyAlignment="1">
      <alignment horizontal="left" vertical="center"/>
    </xf>
    <xf numFmtId="0" fontId="5" fillId="0" borderId="46" xfId="0" applyFont="1" applyBorder="1" applyAlignment="1">
      <alignment horizontal="left" vertical="center"/>
    </xf>
    <xf numFmtId="164" fontId="68" fillId="0" borderId="46" xfId="0" applyNumberFormat="1" applyFont="1" applyBorder="1" applyAlignment="1">
      <alignment horizontal="center" vertical="center" shrinkToFit="1"/>
    </xf>
    <xf numFmtId="0" fontId="15" fillId="14" borderId="3" xfId="0" applyFont="1" applyFill="1" applyBorder="1" applyAlignment="1" applyProtection="1">
      <alignment horizontal="left" vertical="center" indent="1"/>
    </xf>
    <xf numFmtId="0" fontId="15" fillId="14" borderId="4" xfId="0" applyFont="1" applyFill="1" applyBorder="1" applyAlignment="1" applyProtection="1">
      <alignment horizontal="left" vertical="center" indent="1"/>
    </xf>
    <xf numFmtId="0" fontId="15" fillId="14" borderId="12" xfId="0" applyFont="1" applyFill="1" applyBorder="1" applyAlignment="1" applyProtection="1">
      <alignment horizontal="left" vertical="center" indent="1"/>
    </xf>
    <xf numFmtId="0" fontId="15" fillId="14" borderId="13" xfId="0" applyFont="1" applyFill="1" applyBorder="1" applyAlignment="1" applyProtection="1">
      <alignment horizontal="left" vertical="center" indent="1"/>
    </xf>
    <xf numFmtId="0" fontId="72" fillId="10" borderId="70" xfId="0" applyFont="1" applyFill="1" applyBorder="1" applyAlignment="1" applyProtection="1">
      <alignment horizontal="left" vertical="center" indent="1"/>
    </xf>
    <xf numFmtId="0" fontId="72" fillId="10" borderId="71" xfId="0" applyFont="1" applyFill="1" applyBorder="1" applyAlignment="1" applyProtection="1">
      <alignment horizontal="left" vertical="center" indent="1"/>
    </xf>
    <xf numFmtId="0" fontId="6" fillId="0" borderId="0" xfId="0" applyFont="1" applyFill="1" applyAlignment="1" applyProtection="1">
      <alignment horizontal="right" vertical="top" wrapText="1"/>
    </xf>
    <xf numFmtId="3" fontId="6" fillId="3" borderId="2" xfId="0" applyNumberFormat="1" applyFont="1" applyFill="1" applyBorder="1" applyAlignment="1" applyProtection="1">
      <alignment horizontal="center" vertical="top"/>
      <protection locked="0"/>
    </xf>
    <xf numFmtId="3" fontId="6" fillId="3" borderId="3" xfId="0" applyNumberFormat="1" applyFont="1" applyFill="1" applyBorder="1" applyAlignment="1" applyProtection="1">
      <alignment horizontal="center" vertical="top"/>
      <protection locked="0"/>
    </xf>
    <xf numFmtId="3" fontId="6" fillId="3" borderId="15" xfId="0" applyNumberFormat="1" applyFont="1" applyFill="1" applyBorder="1" applyAlignment="1" applyProtection="1">
      <alignment horizontal="center" vertical="top"/>
      <protection locked="0"/>
    </xf>
    <xf numFmtId="3" fontId="6" fillId="3" borderId="17" xfId="0" applyNumberFormat="1" applyFont="1" applyFill="1" applyBorder="1" applyAlignment="1" applyProtection="1">
      <alignment horizontal="center" vertical="top"/>
      <protection locked="0"/>
    </xf>
    <xf numFmtId="3" fontId="6" fillId="3" borderId="18" xfId="0" applyNumberFormat="1" applyFont="1" applyFill="1" applyBorder="1" applyAlignment="1" applyProtection="1">
      <alignment horizontal="center" vertical="top"/>
      <protection locked="0"/>
    </xf>
    <xf numFmtId="3" fontId="6" fillId="3" borderId="19" xfId="0" applyNumberFormat="1" applyFont="1" applyFill="1" applyBorder="1" applyAlignment="1" applyProtection="1">
      <alignment horizontal="center" vertical="top"/>
      <protection locked="0"/>
    </xf>
    <xf numFmtId="175" fontId="6" fillId="3" borderId="2" xfId="0" applyNumberFormat="1" applyFont="1" applyFill="1" applyBorder="1" applyAlignment="1" applyProtection="1">
      <alignment horizontal="center" vertical="top"/>
      <protection locked="0"/>
    </xf>
    <xf numFmtId="175" fontId="6" fillId="3" borderId="3" xfId="0" applyNumberFormat="1" applyFont="1" applyFill="1" applyBorder="1" applyAlignment="1" applyProtection="1">
      <alignment horizontal="center" vertical="top"/>
      <protection locked="0"/>
    </xf>
    <xf numFmtId="175" fontId="6" fillId="3" borderId="15" xfId="0" applyNumberFormat="1" applyFont="1" applyFill="1" applyBorder="1" applyAlignment="1" applyProtection="1">
      <alignment horizontal="center" vertical="top"/>
      <protection locked="0"/>
    </xf>
    <xf numFmtId="175" fontId="6" fillId="3" borderId="17" xfId="0" applyNumberFormat="1" applyFont="1" applyFill="1" applyBorder="1" applyAlignment="1" applyProtection="1">
      <alignment horizontal="center" vertical="top"/>
      <protection locked="0"/>
    </xf>
    <xf numFmtId="175" fontId="6" fillId="3" borderId="18" xfId="0" applyNumberFormat="1" applyFont="1" applyFill="1" applyBorder="1" applyAlignment="1" applyProtection="1">
      <alignment horizontal="center" vertical="top"/>
      <protection locked="0"/>
    </xf>
    <xf numFmtId="175" fontId="6" fillId="3" borderId="19" xfId="0" applyNumberFormat="1" applyFont="1" applyFill="1" applyBorder="1" applyAlignment="1" applyProtection="1">
      <alignment horizontal="center" vertical="top"/>
      <protection locked="0"/>
    </xf>
    <xf numFmtId="175" fontId="6" fillId="0" borderId="2" xfId="0" applyNumberFormat="1" applyFont="1" applyFill="1" applyBorder="1" applyAlignment="1" applyProtection="1">
      <alignment horizontal="center" vertical="top"/>
    </xf>
    <xf numFmtId="175" fontId="6" fillId="0" borderId="3" xfId="0" applyNumberFormat="1" applyFont="1" applyFill="1" applyBorder="1" applyAlignment="1" applyProtection="1">
      <alignment horizontal="center" vertical="top"/>
    </xf>
    <xf numFmtId="175" fontId="6" fillId="0" borderId="15" xfId="0" applyNumberFormat="1" applyFont="1" applyFill="1" applyBorder="1" applyAlignment="1" applyProtection="1">
      <alignment horizontal="center" vertical="top"/>
    </xf>
    <xf numFmtId="175" fontId="6" fillId="0" borderId="17" xfId="0" applyNumberFormat="1" applyFont="1" applyFill="1" applyBorder="1" applyAlignment="1" applyProtection="1">
      <alignment horizontal="center" vertical="top"/>
    </xf>
    <xf numFmtId="175" fontId="6" fillId="0" borderId="18" xfId="0" applyNumberFormat="1" applyFont="1" applyFill="1" applyBorder="1" applyAlignment="1" applyProtection="1">
      <alignment horizontal="center" vertical="top"/>
    </xf>
    <xf numFmtId="175" fontId="6" fillId="0" borderId="19" xfId="0" applyNumberFormat="1" applyFont="1" applyFill="1" applyBorder="1" applyAlignment="1" applyProtection="1">
      <alignment horizontal="center" vertical="top"/>
    </xf>
    <xf numFmtId="165" fontId="6" fillId="3" borderId="2" xfId="0" applyNumberFormat="1" applyFont="1" applyFill="1" applyBorder="1" applyAlignment="1" applyProtection="1">
      <alignment horizontal="left" vertical="top" wrapText="1" indent="1"/>
      <protection locked="0"/>
    </xf>
    <xf numFmtId="165" fontId="6" fillId="3" borderId="3" xfId="0" applyNumberFormat="1" applyFont="1" applyFill="1" applyBorder="1" applyAlignment="1" applyProtection="1">
      <alignment horizontal="left" vertical="top" wrapText="1" indent="1"/>
      <protection locked="0"/>
    </xf>
    <xf numFmtId="165" fontId="6" fillId="3" borderId="15" xfId="0" applyNumberFormat="1" applyFont="1" applyFill="1" applyBorder="1" applyAlignment="1" applyProtection="1">
      <alignment horizontal="left" vertical="top" wrapText="1" indent="1"/>
      <protection locked="0"/>
    </xf>
    <xf numFmtId="165" fontId="6" fillId="3" borderId="5" xfId="0" applyNumberFormat="1" applyFont="1" applyFill="1" applyBorder="1" applyAlignment="1" applyProtection="1">
      <alignment horizontal="left" vertical="top" wrapText="1" indent="1"/>
      <protection locked="0"/>
    </xf>
    <xf numFmtId="165" fontId="6" fillId="3" borderId="0" xfId="0" applyNumberFormat="1" applyFont="1" applyFill="1" applyBorder="1" applyAlignment="1" applyProtection="1">
      <alignment horizontal="left" vertical="top" wrapText="1" indent="1"/>
      <protection locked="0"/>
    </xf>
    <xf numFmtId="165" fontId="6" fillId="3" borderId="16" xfId="0" applyNumberFormat="1" applyFont="1" applyFill="1" applyBorder="1" applyAlignment="1" applyProtection="1">
      <alignment horizontal="left" vertical="top" wrapText="1" indent="1"/>
      <protection locked="0"/>
    </xf>
    <xf numFmtId="165" fontId="6" fillId="3" borderId="17" xfId="0" applyNumberFormat="1" applyFont="1" applyFill="1" applyBorder="1" applyAlignment="1" applyProtection="1">
      <alignment horizontal="left" vertical="top" wrapText="1" indent="1"/>
      <protection locked="0"/>
    </xf>
    <xf numFmtId="165" fontId="6" fillId="3" borderId="18" xfId="0" applyNumberFormat="1" applyFont="1" applyFill="1" applyBorder="1" applyAlignment="1" applyProtection="1">
      <alignment horizontal="left" vertical="top" wrapText="1" indent="1"/>
      <protection locked="0"/>
    </xf>
    <xf numFmtId="165" fontId="6" fillId="3" borderId="19" xfId="0" applyNumberFormat="1" applyFont="1" applyFill="1" applyBorder="1" applyAlignment="1" applyProtection="1">
      <alignment horizontal="left" vertical="top" wrapText="1" indent="1"/>
      <protection locked="0"/>
    </xf>
    <xf numFmtId="0" fontId="56" fillId="4" borderId="10" xfId="1" applyFont="1" applyFill="1" applyBorder="1" applyAlignment="1" applyProtection="1">
      <alignment horizontal="center" vertical="center"/>
    </xf>
    <xf numFmtId="0" fontId="56" fillId="4" borderId="11" xfId="1" applyFont="1" applyFill="1" applyBorder="1" applyAlignment="1" applyProtection="1">
      <alignment horizontal="center" vertical="center"/>
    </xf>
    <xf numFmtId="0" fontId="56" fillId="4" borderId="0" xfId="1" applyFont="1" applyFill="1" applyBorder="1" applyAlignment="1" applyProtection="1">
      <alignment horizontal="center" vertical="center"/>
    </xf>
    <xf numFmtId="0" fontId="56" fillId="4" borderId="6" xfId="1" applyFont="1" applyFill="1" applyBorder="1" applyAlignment="1" applyProtection="1">
      <alignment horizontal="center" vertical="center"/>
    </xf>
    <xf numFmtId="0" fontId="56" fillId="4" borderId="12" xfId="1" applyFont="1" applyFill="1" applyBorder="1" applyAlignment="1" applyProtection="1">
      <alignment horizontal="center" vertical="center"/>
    </xf>
    <xf numFmtId="0" fontId="56" fillId="4" borderId="13" xfId="1" applyFont="1" applyFill="1" applyBorder="1" applyAlignment="1" applyProtection="1">
      <alignment horizontal="center" vertical="center"/>
    </xf>
    <xf numFmtId="0" fontId="52" fillId="3" borderId="47" xfId="0" applyFont="1" applyFill="1" applyBorder="1" applyAlignment="1">
      <alignment horizontal="right" vertical="center"/>
    </xf>
    <xf numFmtId="0" fontId="52" fillId="3" borderId="40" xfId="0" applyFont="1" applyFill="1" applyBorder="1" applyAlignment="1">
      <alignment horizontal="right"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45" fillId="3" borderId="47" xfId="0" applyFont="1" applyFill="1" applyBorder="1" applyAlignment="1">
      <alignment horizontal="left" vertical="center" indent="1"/>
    </xf>
    <xf numFmtId="0" fontId="45" fillId="3" borderId="40" xfId="0" applyFont="1" applyFill="1" applyBorder="1" applyAlignment="1">
      <alignment horizontal="left" vertical="center" indent="1"/>
    </xf>
    <xf numFmtId="0" fontId="14" fillId="2" borderId="0" xfId="0" applyFont="1" applyFill="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0" xfId="0" applyFont="1" applyFill="1" applyBorder="1" applyAlignment="1">
      <alignment horizontal="right" indent="1"/>
    </xf>
    <xf numFmtId="0" fontId="53" fillId="3" borderId="47" xfId="0" applyFont="1" applyFill="1" applyBorder="1" applyAlignment="1">
      <alignment horizontal="center" vertical="center"/>
    </xf>
    <xf numFmtId="0" fontId="53" fillId="3" borderId="48" xfId="0" applyFont="1" applyFill="1" applyBorder="1" applyAlignment="1">
      <alignment horizontal="center" vertical="center"/>
    </xf>
    <xf numFmtId="0" fontId="53" fillId="3" borderId="40" xfId="0" applyFont="1" applyFill="1" applyBorder="1" applyAlignment="1">
      <alignment horizontal="center" vertical="center"/>
    </xf>
    <xf numFmtId="0" fontId="53" fillId="3" borderId="49"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48"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9" xfId="0" applyFont="1" applyFill="1" applyBorder="1" applyAlignment="1">
      <alignment horizontal="center" vertical="center"/>
    </xf>
    <xf numFmtId="0" fontId="71" fillId="3" borderId="47" xfId="0" applyFont="1" applyFill="1" applyBorder="1" applyAlignment="1">
      <alignment horizontal="right" vertical="center"/>
    </xf>
    <xf numFmtId="0" fontId="71" fillId="3" borderId="40" xfId="0" applyFont="1" applyFill="1" applyBorder="1" applyAlignment="1">
      <alignment horizontal="right" vertical="center"/>
    </xf>
    <xf numFmtId="0" fontId="43" fillId="14" borderId="22" xfId="1" applyFont="1" applyFill="1" applyBorder="1" applyAlignment="1" applyProtection="1">
      <alignment horizontal="center" vertical="center" wrapText="1"/>
    </xf>
    <xf numFmtId="0" fontId="43" fillId="14" borderId="22" xfId="1" applyFont="1" applyFill="1" applyBorder="1" applyAlignment="1" applyProtection="1">
      <alignment horizontal="center" vertical="center"/>
    </xf>
    <xf numFmtId="0" fontId="6" fillId="3" borderId="76" xfId="0" applyFont="1" applyFill="1" applyBorder="1" applyAlignment="1">
      <alignment horizontal="center" vertical="top"/>
    </xf>
    <xf numFmtId="0" fontId="6" fillId="3" borderId="0" xfId="0" applyFont="1" applyFill="1" applyBorder="1" applyAlignment="1">
      <alignment horizontal="center" vertical="top"/>
    </xf>
    <xf numFmtId="0" fontId="6" fillId="3" borderId="47" xfId="0" applyFont="1" applyFill="1" applyBorder="1" applyAlignment="1">
      <alignment horizontal="center" vertical="center"/>
    </xf>
    <xf numFmtId="0" fontId="6" fillId="3" borderId="75"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6" fillId="3" borderId="76" xfId="0" applyFont="1" applyFill="1" applyBorder="1" applyAlignment="1">
      <alignment vertical="top"/>
    </xf>
    <xf numFmtId="0" fontId="6" fillId="3" borderId="0" xfId="0" applyFont="1" applyFill="1" applyBorder="1" applyAlignment="1">
      <alignment vertical="top"/>
    </xf>
    <xf numFmtId="0" fontId="6" fillId="3" borderId="47" xfId="0" applyFont="1" applyFill="1" applyBorder="1" applyAlignment="1">
      <alignment vertical="center"/>
    </xf>
    <xf numFmtId="0" fontId="6" fillId="3" borderId="75" xfId="0" applyFont="1" applyFill="1" applyBorder="1" applyAlignment="1">
      <alignment vertical="center"/>
    </xf>
    <xf numFmtId="0" fontId="6" fillId="0" borderId="47" xfId="0" applyFont="1" applyBorder="1" applyAlignment="1">
      <alignment horizontal="left" vertical="center" indent="1"/>
    </xf>
    <xf numFmtId="0" fontId="6" fillId="0" borderId="75" xfId="0" applyFont="1" applyBorder="1" applyAlignment="1">
      <alignment horizontal="left" vertical="center" inden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6" xfId="0" applyFont="1" applyBorder="1" applyAlignment="1">
      <alignment horizontal="center" vertical="top"/>
    </xf>
    <xf numFmtId="0" fontId="6" fillId="0" borderId="0" xfId="0" applyFont="1" applyBorder="1" applyAlignment="1">
      <alignment horizontal="center" vertical="top"/>
    </xf>
    <xf numFmtId="0" fontId="6" fillId="0" borderId="72" xfId="0" applyFont="1" applyBorder="1" applyAlignment="1">
      <alignment horizontal="left" vertical="top" wrapText="1" indent="1"/>
    </xf>
    <xf numFmtId="0" fontId="6" fillId="0" borderId="73" xfId="0" applyFont="1" applyBorder="1" applyAlignment="1">
      <alignment horizontal="left" vertical="top" wrapText="1" indent="1"/>
    </xf>
    <xf numFmtId="0" fontId="6" fillId="3" borderId="7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6" xfId="0" applyFont="1" applyFill="1" applyBorder="1" applyAlignment="1">
      <alignment vertical="center"/>
    </xf>
    <xf numFmtId="0" fontId="6" fillId="3" borderId="0" xfId="0" applyFont="1" applyFill="1" applyBorder="1" applyAlignment="1">
      <alignment vertical="center"/>
    </xf>
    <xf numFmtId="0" fontId="6" fillId="0" borderId="72" xfId="0" applyFont="1" applyBorder="1" applyAlignment="1">
      <alignment horizontal="left" vertical="center" indent="1"/>
    </xf>
    <xf numFmtId="0" fontId="6" fillId="0" borderId="74" xfId="0" applyFont="1" applyBorder="1" applyAlignment="1">
      <alignment horizontal="left" vertical="center" indent="1"/>
    </xf>
    <xf numFmtId="0" fontId="6" fillId="3" borderId="40" xfId="0" applyFont="1" applyFill="1" applyBorder="1" applyAlignment="1">
      <alignment horizontal="center" vertical="center"/>
    </xf>
    <xf numFmtId="0" fontId="6" fillId="3" borderId="73" xfId="0" applyFont="1" applyFill="1" applyBorder="1" applyAlignment="1">
      <alignment horizontal="center" vertical="center"/>
    </xf>
    <xf numFmtId="0" fontId="6" fillId="0" borderId="73" xfId="0" applyFont="1" applyBorder="1" applyAlignment="1">
      <alignment horizontal="left" vertical="center" indent="1"/>
    </xf>
    <xf numFmtId="0" fontId="6" fillId="0" borderId="47" xfId="0" applyFont="1" applyBorder="1" applyAlignment="1">
      <alignment horizontal="left" vertical="top" wrapText="1" indent="1"/>
    </xf>
    <xf numFmtId="0" fontId="6" fillId="0" borderId="0" xfId="0" applyFont="1" applyBorder="1" applyAlignment="1">
      <alignment horizontal="left" vertical="top" wrapText="1" indent="1"/>
    </xf>
    <xf numFmtId="0" fontId="6" fillId="0" borderId="40" xfId="0" applyFont="1" applyBorder="1" applyAlignment="1">
      <alignment horizontal="left" vertical="top" wrapText="1" indent="1"/>
    </xf>
    <xf numFmtId="0" fontId="6" fillId="0" borderId="76" xfId="0" applyFont="1" applyBorder="1" applyAlignment="1">
      <alignment horizontal="center" vertical="center"/>
    </xf>
    <xf numFmtId="0" fontId="6" fillId="0" borderId="0" xfId="0" applyFont="1" applyBorder="1" applyAlignment="1">
      <alignment horizontal="center" vertical="center"/>
    </xf>
    <xf numFmtId="0" fontId="6" fillId="0" borderId="40" xfId="0" applyFont="1" applyBorder="1" applyAlignment="1">
      <alignment horizontal="left" vertical="center" indent="1"/>
    </xf>
    <xf numFmtId="0" fontId="6" fillId="3" borderId="40" xfId="0" applyFont="1" applyFill="1" applyBorder="1" applyAlignment="1">
      <alignment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172" fontId="6" fillId="0" borderId="47" xfId="0" applyNumberFormat="1" applyFont="1" applyBorder="1" applyAlignment="1">
      <alignment horizontal="left" vertical="center" indent="1"/>
    </xf>
    <xf numFmtId="172" fontId="6" fillId="0" borderId="40" xfId="0" applyNumberFormat="1" applyFont="1" applyBorder="1" applyAlignment="1">
      <alignment horizontal="left" vertical="center" indent="1"/>
    </xf>
    <xf numFmtId="174" fontId="6" fillId="0" borderId="47" xfId="0" applyNumberFormat="1" applyFont="1" applyBorder="1" applyAlignment="1">
      <alignment horizontal="left" vertical="center" indent="1" shrinkToFit="1"/>
    </xf>
    <xf numFmtId="174" fontId="6" fillId="0" borderId="40" xfId="0" applyNumberFormat="1" applyFont="1" applyBorder="1" applyAlignment="1">
      <alignment horizontal="left" vertical="center" indent="1" shrinkToFit="1"/>
    </xf>
    <xf numFmtId="0" fontId="6" fillId="3" borderId="47" xfId="0" applyFont="1" applyFill="1" applyBorder="1" applyAlignment="1">
      <alignment horizontal="left" vertical="center" indent="1"/>
    </xf>
    <xf numFmtId="0" fontId="6" fillId="3" borderId="40" xfId="0" applyFont="1" applyFill="1" applyBorder="1" applyAlignment="1">
      <alignment horizontal="left" vertical="center" indent="1"/>
    </xf>
    <xf numFmtId="0" fontId="6" fillId="3" borderId="47" xfId="0" applyFont="1" applyFill="1" applyBorder="1" applyAlignment="1">
      <alignment horizontal="left" vertical="center" indent="1" shrinkToFit="1"/>
    </xf>
    <xf numFmtId="0" fontId="6" fillId="3" borderId="40" xfId="0" applyFont="1" applyFill="1" applyBorder="1" applyAlignment="1">
      <alignment horizontal="left" vertical="center" indent="1" shrinkToFit="1"/>
    </xf>
    <xf numFmtId="0" fontId="6" fillId="3" borderId="74" xfId="0" applyFont="1" applyFill="1" applyBorder="1" applyAlignment="1">
      <alignment horizontal="center" vertical="center"/>
    </xf>
    <xf numFmtId="0" fontId="6" fillId="3" borderId="74" xfId="0" applyFont="1" applyFill="1" applyBorder="1" applyAlignment="1">
      <alignment vertical="center"/>
    </xf>
    <xf numFmtId="0" fontId="6" fillId="0" borderId="74" xfId="0" applyFont="1" applyBorder="1" applyAlignment="1">
      <alignment horizontal="left" vertical="top" wrapText="1" indent="1"/>
    </xf>
    <xf numFmtId="0" fontId="6" fillId="0" borderId="75" xfId="0" applyFont="1" applyBorder="1" applyAlignment="1">
      <alignment horizontal="left" vertical="top" wrapText="1" indent="1"/>
    </xf>
    <xf numFmtId="0" fontId="6" fillId="3" borderId="7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74" xfId="0" applyFont="1" applyFill="1" applyBorder="1" applyAlignment="1">
      <alignment horizontal="left" vertical="top" wrapText="1"/>
    </xf>
    <xf numFmtId="0" fontId="6" fillId="3" borderId="76" xfId="0" applyFont="1" applyFill="1" applyBorder="1" applyAlignment="1">
      <alignment vertical="top" wrapText="1"/>
    </xf>
    <xf numFmtId="0" fontId="6" fillId="3" borderId="0" xfId="0" applyFont="1" applyFill="1" applyBorder="1" applyAlignment="1">
      <alignment vertical="top" wrapText="1"/>
    </xf>
  </cellXfs>
  <cellStyles count="6">
    <cellStyle name="Hiperlink" xfId="1" builtinId="8"/>
    <cellStyle name="Normal" xfId="0" builtinId="0"/>
    <cellStyle name="Normal 2" xfId="2" xr:uid="{00000000-0005-0000-0000-000002000000}"/>
    <cellStyle name="Normal 2 2" xfId="4" xr:uid="{5174D36B-DCCA-4DA1-953B-12E53F7AB598}"/>
    <cellStyle name="Normal 3" xfId="3" xr:uid="{3C518A3D-E811-4547-98D2-2D8624210D1B}"/>
    <cellStyle name="Porcentagem" xfId="5" builtinId="5"/>
  </cellStyles>
  <dxfs count="2741">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font>
      <fill>
        <patternFill>
          <bgColor rgb="FFC00000"/>
        </patternFill>
      </fill>
    </dxf>
    <dxf>
      <font>
        <color theme="0"/>
      </font>
      <fill>
        <patternFill>
          <bgColor theme="9"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rgb="FF006100"/>
      </font>
      <fill>
        <patternFill>
          <bgColor rgb="FFC6EF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border>
        <left style="thin">
          <color theme="0" tint="-0.499984740745262"/>
        </left>
        <right style="thin">
          <color theme="0" tint="-4.9989318521683403E-2"/>
        </right>
        <top style="thin">
          <color theme="0" tint="-0.499984740745262"/>
        </top>
        <bottom style="thin">
          <color theme="0" tint="-4.9989318521683403E-2"/>
        </bottom>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color theme="1"/>
      </font>
      <fill>
        <patternFill>
          <bgColor theme="5" tint="0.79998168889431442"/>
        </patternFill>
      </fill>
      <border>
        <left/>
        <right/>
        <top style="thin">
          <color theme="0" tint="-0.499984740745262"/>
        </top>
        <bottom style="thin">
          <color theme="0" tint="-0.499984740745262"/>
        </bottom>
        <vertical/>
        <horizontal/>
      </border>
    </dxf>
    <dxf>
      <font>
        <color auto="1"/>
      </font>
      <fill>
        <patternFill>
          <bgColor theme="5" tint="0.3999450666829432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color auto="1"/>
      </font>
      <fill>
        <patternFill>
          <bgColor theme="5" tint="0.7999816888943144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tint="-0.14996795556505021"/>
      </font>
      <fill>
        <patternFill patternType="none">
          <bgColor auto="1"/>
        </patternFill>
      </fill>
    </dxf>
    <dxf>
      <font>
        <b/>
        <i val="0"/>
        <color theme="0" tint="-0.499984740745262"/>
      </font>
      <fill>
        <patternFill>
          <bgColor theme="5" tint="0.79998168889431442"/>
        </patternFill>
      </fill>
      <border>
        <left/>
        <right/>
        <top style="thin">
          <color theme="0" tint="-0.499984740745262"/>
        </top>
        <bottom style="thin">
          <color theme="0" tint="-0.499984740745262"/>
        </bottom>
        <vertical/>
        <horizontal/>
      </border>
    </dxf>
    <dxf>
      <font>
        <color theme="0"/>
      </font>
      <fill>
        <patternFill>
          <bgColor rgb="FFC00000"/>
        </patternFill>
      </fill>
      <border>
        <left style="thin">
          <color rgb="FFC00000"/>
        </left>
        <right style="thin">
          <color theme="0" tint="-4.9989318521683403E-2"/>
        </right>
        <top style="thin">
          <color rgb="FFC00000"/>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rgb="FF9C0006"/>
      </font>
      <fill>
        <patternFill>
          <bgColor rgb="FFFFC7CE"/>
        </patternFill>
      </fill>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ont>
        <color theme="0"/>
      </font>
      <fill>
        <patternFill>
          <bgColor rgb="FFC00000"/>
        </patternFill>
      </fill>
      <border>
        <left style="thin">
          <color rgb="FFC00000"/>
        </left>
        <right style="thin">
          <color theme="0"/>
        </right>
        <top style="thin">
          <color rgb="FFC00000"/>
        </top>
        <bottom style="thin">
          <color theme="0"/>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tint="-4.9989318521683403E-2"/>
      </font>
      <fill>
        <patternFill patternType="lightUp"/>
      </fill>
    </dxf>
    <dxf>
      <font>
        <color theme="0" tint="-4.9989318521683403E-2"/>
      </font>
      <fill>
        <patternFill patternType="lightUp">
          <bgColor auto="1"/>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ont>
        <color theme="5" tint="-0.24994659260841701"/>
      </font>
      <fill>
        <patternFill>
          <bgColor theme="5" tint="0.39994506668294322"/>
        </patternFill>
      </fill>
    </dxf>
    <dxf>
      <fill>
        <patternFill patternType="lightUp"/>
      </fill>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lightUp"/>
      </fill>
    </dxf>
    <dxf>
      <font>
        <color theme="0"/>
      </font>
      <fill>
        <patternFill>
          <bgColor rgb="FFCC0000"/>
        </patternFill>
      </fill>
      <border>
        <left style="thin">
          <color rgb="FFC00000"/>
        </left>
        <right style="thin">
          <color theme="0"/>
        </right>
        <top style="thin">
          <color rgb="FFC00000"/>
        </top>
        <bottom style="thin">
          <color theme="0"/>
        </bottom>
        <vertical/>
        <horizontal/>
      </border>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0" tint="-4.9989318521683403E-2"/>
      </font>
      <fill>
        <patternFill patternType="lightUp">
          <bgColor auto="1"/>
        </patternFill>
      </fill>
    </dxf>
    <dxf>
      <font>
        <color theme="5" tint="0.39994506668294322"/>
      </font>
      <fill>
        <patternFill>
          <bgColor theme="5" tint="0.59996337778862885"/>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tint="-4.9989318521683403E-2"/>
        </right>
        <top style="thin">
          <color rgb="FFC00000"/>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dxf>
    <dxf>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theme="0"/>
      </font>
      <fill>
        <patternFill>
          <bgColor rgb="FFC00000"/>
        </patternFill>
      </fill>
      <border>
        <left style="thin">
          <color rgb="FFC00000"/>
        </left>
        <right style="thin">
          <color theme="0" tint="-4.9989318521683403E-2"/>
        </right>
        <top style="thin">
          <color rgb="FFC00000"/>
        </top>
        <bottom style="thin">
          <color theme="0" tint="-4.9989318521683403E-2"/>
        </bottom>
        <vertical/>
        <horizontal/>
      </border>
    </dxf>
    <dxf>
      <font>
        <color auto="1"/>
      </font>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auto="1"/>
        </left>
        <right style="thin">
          <color theme="0" tint="-4.9989318521683403E-2"/>
        </right>
        <top style="thin">
          <color auto="1"/>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right>
        <top style="thin">
          <color theme="0" tint="-0.499984740745262"/>
        </top>
        <bottom style="thin">
          <color theme="0"/>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patternType="none">
          <bgColor auto="1"/>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ont>
        <color auto="1"/>
      </font>
      <fill>
        <patternFill>
          <bgColor theme="0"/>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499984740745262"/>
        </left>
        <right style="thin">
          <color theme="0" tint="-4.9989318521683403E-2"/>
        </right>
        <top style="thin">
          <color theme="0" tint="-0.499984740745262"/>
        </top>
        <bottom style="thin">
          <color theme="0" tint="-4.9989318521683403E-2"/>
        </bottom>
        <vertical/>
        <horizontal/>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patternType="none">
          <bgColor auto="1"/>
        </patternFill>
      </fill>
      <border>
        <left style="thin">
          <color theme="0" tint="-0.24994659260841701"/>
        </left>
        <right style="thin">
          <color theme="0" tint="-4.9989318521683403E-2"/>
        </right>
        <top style="thin">
          <color theme="0" tint="-0.24994659260841701"/>
        </top>
        <bottom style="thin">
          <color theme="0" tint="-4.9989318521683403E-2"/>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
      <fill>
        <patternFill>
          <bgColor theme="0" tint="-4.9989318521683403E-2"/>
        </patternFill>
      </fill>
      <border>
        <left style="thin">
          <color theme="0" tint="-0.499984740745262"/>
        </left>
        <right style="thin">
          <color theme="0"/>
        </right>
        <top style="thin">
          <color theme="0" tint="-0.499984740745262"/>
        </top>
        <bottom style="thin">
          <color theme="0"/>
        </bottom>
      </border>
    </dxf>
  </dxfs>
  <tableStyles count="0" defaultTableStyle="TableStyleMedium2" defaultPivotStyle="PivotStyleLight16"/>
  <colors>
    <mruColors>
      <color rgb="FFA50021"/>
      <color rgb="FFFF99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 Plano de Trabalho'!A1"/><Relationship Id="rId7" Type="http://schemas.openxmlformats.org/officeDocument/2006/relationships/hyperlink" Target="#'(V) A&#231;&#245;es de Educa&#231;&#227;o'!A1"/><Relationship Id="rId2" Type="http://schemas.openxmlformats.org/officeDocument/2006/relationships/hyperlink" Target="#'Elementos de Despesa'!A1"/><Relationship Id="rId1" Type="http://schemas.openxmlformats.org/officeDocument/2006/relationships/hyperlink" Target="#'(III) Formul&#225;rio Or&#231;ament&#225;rio'!A1"/><Relationship Id="rId6" Type="http://schemas.openxmlformats.org/officeDocument/2006/relationships/hyperlink" Target="#'Verifica&#231;&#227;o de Pend&#234;ncias'!A1"/><Relationship Id="rId5" Type="http://schemas.openxmlformats.org/officeDocument/2006/relationships/hyperlink" Target="#'(II) Cronograma'!A1"/><Relationship Id="rId4" Type="http://schemas.openxmlformats.org/officeDocument/2006/relationships/hyperlink" Target="#'(IV) Termo de Refer&#234;ncia'!A1"/></Relationships>
</file>

<file path=xl/drawings/drawing1.xml><?xml version="1.0" encoding="utf-8"?>
<xdr:wsDr xmlns:xdr="http://schemas.openxmlformats.org/drawingml/2006/spreadsheetDrawing" xmlns:a="http://schemas.openxmlformats.org/drawingml/2006/main">
  <xdr:twoCellAnchor>
    <xdr:from>
      <xdr:col>6</xdr:col>
      <xdr:colOff>86311</xdr:colOff>
      <xdr:row>25</xdr:row>
      <xdr:rowOff>69456</xdr:rowOff>
    </xdr:from>
    <xdr:to>
      <xdr:col>24</xdr:col>
      <xdr:colOff>108311</xdr:colOff>
      <xdr:row>30</xdr:row>
      <xdr:rowOff>17831</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885BA48D-ADDF-4901-A4E2-6B90FF127781}"/>
            </a:ext>
          </a:extLst>
        </xdr:cNvPr>
        <xdr:cNvSpPr/>
      </xdr:nvSpPr>
      <xdr:spPr bwMode="auto">
        <a:xfrm>
          <a:off x="657811" y="2792019"/>
          <a:ext cx="2022250" cy="504000"/>
        </a:xfrm>
        <a:prstGeom prst="roundRect">
          <a:avLst/>
        </a:prstGeom>
        <a:solidFill>
          <a:schemeClr val="accent4">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tx1">
                  <a:lumMod val="75000"/>
                  <a:lumOff val="25000"/>
                </a:schemeClr>
              </a:solidFill>
            </a:rPr>
            <a:t>(III) Formulário Orçamentário</a:t>
          </a:r>
        </a:p>
      </xdr:txBody>
    </xdr:sp>
    <xdr:clientData/>
  </xdr:twoCellAnchor>
  <xdr:twoCellAnchor>
    <xdr:from>
      <xdr:col>29</xdr:col>
      <xdr:colOff>37696</xdr:colOff>
      <xdr:row>12</xdr:row>
      <xdr:rowOff>51600</xdr:rowOff>
    </xdr:from>
    <xdr:to>
      <xdr:col>47</xdr:col>
      <xdr:colOff>59696</xdr:colOff>
      <xdr:row>16</xdr:row>
      <xdr:rowOff>111100</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id="{DDD6AB9C-F5EC-4C9A-9C3A-A2F8416327B3}"/>
            </a:ext>
          </a:extLst>
        </xdr:cNvPr>
        <xdr:cNvSpPr/>
      </xdr:nvSpPr>
      <xdr:spPr bwMode="auto">
        <a:xfrm>
          <a:off x="3165071" y="1385100"/>
          <a:ext cx="2022250" cy="504000"/>
        </a:xfrm>
        <a:prstGeom prst="roundRect">
          <a:avLst/>
        </a:prstGeom>
        <a:solidFill>
          <a:schemeClr val="accent3">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tx1">
                  <a:lumMod val="75000"/>
                  <a:lumOff val="25000"/>
                </a:schemeClr>
              </a:solidFill>
            </a:rPr>
            <a:t>Planilha</a:t>
          </a:r>
          <a:r>
            <a:rPr lang="pt-BR" sz="1050" b="1" baseline="0">
              <a:solidFill>
                <a:schemeClr val="tx1">
                  <a:lumMod val="75000"/>
                  <a:lumOff val="25000"/>
                </a:schemeClr>
              </a:solidFill>
            </a:rPr>
            <a:t> de Apoio </a:t>
          </a:r>
        </a:p>
        <a:p>
          <a:pPr algn="ctr"/>
          <a:r>
            <a:rPr lang="pt-BR" sz="1000" b="1" baseline="0">
              <a:solidFill>
                <a:schemeClr val="tx1">
                  <a:lumMod val="75000"/>
                  <a:lumOff val="25000"/>
                </a:schemeClr>
              </a:solidFill>
            </a:rPr>
            <a:t>(Elementos de Despes)</a:t>
          </a:r>
          <a:endParaRPr lang="pt-BR" sz="1000" b="1">
            <a:solidFill>
              <a:schemeClr val="tx1">
                <a:lumMod val="75000"/>
                <a:lumOff val="25000"/>
              </a:schemeClr>
            </a:solidFill>
          </a:endParaRPr>
        </a:p>
      </xdr:txBody>
    </xdr:sp>
    <xdr:clientData/>
  </xdr:twoCellAnchor>
  <xdr:twoCellAnchor>
    <xdr:from>
      <xdr:col>6</xdr:col>
      <xdr:colOff>86311</xdr:colOff>
      <xdr:row>12</xdr:row>
      <xdr:rowOff>51600</xdr:rowOff>
    </xdr:from>
    <xdr:to>
      <xdr:col>24</xdr:col>
      <xdr:colOff>108311</xdr:colOff>
      <xdr:row>16</xdr:row>
      <xdr:rowOff>111100</xdr:rowOff>
    </xdr:to>
    <xdr:sp macro="" textlink="">
      <xdr:nvSpPr>
        <xdr:cNvPr id="9" name="Retângulo: Cantos Arredondados 8">
          <a:hlinkClick xmlns:r="http://schemas.openxmlformats.org/officeDocument/2006/relationships" r:id="rId3"/>
          <a:extLst>
            <a:ext uri="{FF2B5EF4-FFF2-40B4-BE49-F238E27FC236}">
              <a16:creationId xmlns:a16="http://schemas.microsoft.com/office/drawing/2014/main" id="{1FA156AC-6298-4A56-AFA0-2F6780CF0983}"/>
            </a:ext>
          </a:extLst>
        </xdr:cNvPr>
        <xdr:cNvSpPr/>
      </xdr:nvSpPr>
      <xdr:spPr bwMode="auto">
        <a:xfrm>
          <a:off x="657811" y="1385100"/>
          <a:ext cx="2022250" cy="504000"/>
        </a:xfrm>
        <a:prstGeom prst="roundRect">
          <a:avLst/>
        </a:prstGeom>
        <a:solidFill>
          <a:schemeClr val="accent4">
            <a:lumMod val="5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bg1"/>
              </a:solidFill>
            </a:rPr>
            <a:t>(I) Plano de Trabalho</a:t>
          </a:r>
        </a:p>
      </xdr:txBody>
    </xdr:sp>
    <xdr:clientData/>
  </xdr:twoCellAnchor>
  <xdr:twoCellAnchor>
    <xdr:from>
      <xdr:col>6</xdr:col>
      <xdr:colOff>86311</xdr:colOff>
      <xdr:row>31</xdr:row>
      <xdr:rowOff>106166</xdr:rowOff>
    </xdr:from>
    <xdr:to>
      <xdr:col>24</xdr:col>
      <xdr:colOff>108311</xdr:colOff>
      <xdr:row>36</xdr:row>
      <xdr:rowOff>54541</xdr:rowOff>
    </xdr:to>
    <xdr:sp macro="" textlink="">
      <xdr:nvSpPr>
        <xdr:cNvPr id="10" name="Retângulo: Cantos Arredondados 9">
          <a:hlinkClick xmlns:r="http://schemas.openxmlformats.org/officeDocument/2006/relationships" r:id="rId4"/>
          <a:extLst>
            <a:ext uri="{FF2B5EF4-FFF2-40B4-BE49-F238E27FC236}">
              <a16:creationId xmlns:a16="http://schemas.microsoft.com/office/drawing/2014/main" id="{C1B4EEC6-A9A3-4C35-8047-3E3D2E0F078F}"/>
            </a:ext>
          </a:extLst>
        </xdr:cNvPr>
        <xdr:cNvSpPr/>
      </xdr:nvSpPr>
      <xdr:spPr bwMode="auto">
        <a:xfrm>
          <a:off x="657811" y="3495479"/>
          <a:ext cx="2022250" cy="504000"/>
        </a:xfrm>
        <a:prstGeom prst="roundRect">
          <a:avLst/>
        </a:prstGeom>
        <a:solidFill>
          <a:schemeClr val="accent4">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tx1">
                  <a:lumMod val="75000"/>
                  <a:lumOff val="25000"/>
                </a:schemeClr>
              </a:solidFill>
            </a:rPr>
            <a:t>(IV) Termo</a:t>
          </a:r>
          <a:r>
            <a:rPr lang="pt-BR" sz="1050" b="1" baseline="0">
              <a:solidFill>
                <a:schemeClr val="tx1">
                  <a:lumMod val="75000"/>
                  <a:lumOff val="25000"/>
                </a:schemeClr>
              </a:solidFill>
            </a:rPr>
            <a:t> de Referência</a:t>
          </a:r>
          <a:endParaRPr lang="pt-BR" sz="1050" b="1">
            <a:solidFill>
              <a:schemeClr val="tx1">
                <a:lumMod val="75000"/>
                <a:lumOff val="25000"/>
              </a:schemeClr>
            </a:solidFill>
          </a:endParaRPr>
        </a:p>
      </xdr:txBody>
    </xdr:sp>
    <xdr:clientData/>
  </xdr:twoCellAnchor>
  <xdr:twoCellAnchor>
    <xdr:from>
      <xdr:col>6</xdr:col>
      <xdr:colOff>86311</xdr:colOff>
      <xdr:row>18</xdr:row>
      <xdr:rowOff>88310</xdr:rowOff>
    </xdr:from>
    <xdr:to>
      <xdr:col>24</xdr:col>
      <xdr:colOff>108311</xdr:colOff>
      <xdr:row>23</xdr:row>
      <xdr:rowOff>36685</xdr:rowOff>
    </xdr:to>
    <xdr:sp macro="" textlink="">
      <xdr:nvSpPr>
        <xdr:cNvPr id="11" name="Retângulo: Cantos Arredondados 10">
          <a:hlinkClick xmlns:r="http://schemas.openxmlformats.org/officeDocument/2006/relationships" r:id="rId5"/>
          <a:extLst>
            <a:ext uri="{FF2B5EF4-FFF2-40B4-BE49-F238E27FC236}">
              <a16:creationId xmlns:a16="http://schemas.microsoft.com/office/drawing/2014/main" id="{ADCAD372-8CFA-4B51-BDD6-86773A313075}"/>
            </a:ext>
          </a:extLst>
        </xdr:cNvPr>
        <xdr:cNvSpPr/>
      </xdr:nvSpPr>
      <xdr:spPr bwMode="auto">
        <a:xfrm>
          <a:off x="657811" y="2088560"/>
          <a:ext cx="2022250" cy="504000"/>
        </a:xfrm>
        <a:prstGeom prst="roundRect">
          <a:avLst/>
        </a:prstGeom>
        <a:solidFill>
          <a:schemeClr val="accent4">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bg1"/>
              </a:solidFill>
            </a:rPr>
            <a:t>(II) Cronograma e Indicadores</a:t>
          </a:r>
        </a:p>
      </xdr:txBody>
    </xdr:sp>
    <xdr:clientData/>
  </xdr:twoCellAnchor>
  <xdr:twoCellAnchor>
    <xdr:from>
      <xdr:col>29</xdr:col>
      <xdr:colOff>37696</xdr:colOff>
      <xdr:row>38</xdr:row>
      <xdr:rowOff>10916</xdr:rowOff>
    </xdr:from>
    <xdr:to>
      <xdr:col>47</xdr:col>
      <xdr:colOff>59696</xdr:colOff>
      <xdr:row>42</xdr:row>
      <xdr:rowOff>70416</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5177501C-C4F0-4205-A535-25F6DD8D5659}"/>
            </a:ext>
          </a:extLst>
        </xdr:cNvPr>
        <xdr:cNvSpPr/>
      </xdr:nvSpPr>
      <xdr:spPr bwMode="auto">
        <a:xfrm>
          <a:off x="3165071" y="4178104"/>
          <a:ext cx="2022250" cy="504000"/>
        </a:xfrm>
        <a:prstGeom prst="roundRect">
          <a:avLst/>
        </a:prstGeom>
        <a:solidFill>
          <a:srgbClr val="C0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bg1"/>
              </a:solidFill>
            </a:rPr>
            <a:t>Verificação</a:t>
          </a:r>
          <a:r>
            <a:rPr lang="pt-BR" sz="1050" b="1" baseline="0">
              <a:solidFill>
                <a:schemeClr val="bg1"/>
              </a:solidFill>
            </a:rPr>
            <a:t> de Pendências</a:t>
          </a:r>
          <a:endParaRPr lang="pt-BR" sz="1050" b="1">
            <a:solidFill>
              <a:schemeClr val="bg1"/>
            </a:solidFill>
          </a:endParaRPr>
        </a:p>
      </xdr:txBody>
    </xdr:sp>
    <xdr:clientData/>
  </xdr:twoCellAnchor>
  <xdr:twoCellAnchor>
    <xdr:from>
      <xdr:col>6</xdr:col>
      <xdr:colOff>86311</xdr:colOff>
      <xdr:row>38</xdr:row>
      <xdr:rowOff>31750</xdr:rowOff>
    </xdr:from>
    <xdr:to>
      <xdr:col>24</xdr:col>
      <xdr:colOff>108311</xdr:colOff>
      <xdr:row>42</xdr:row>
      <xdr:rowOff>91250</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9BFD1278-5036-4A81-BE26-FD3BDD372490}"/>
            </a:ext>
          </a:extLst>
        </xdr:cNvPr>
        <xdr:cNvSpPr/>
      </xdr:nvSpPr>
      <xdr:spPr bwMode="auto">
        <a:xfrm>
          <a:off x="657811" y="4198938"/>
          <a:ext cx="2022250" cy="504000"/>
        </a:xfrm>
        <a:prstGeom prst="round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wrap="square" lIns="18288" tIns="0" rIns="0" bIns="0" rtlCol="0" anchor="ctr" upright="1"/>
        <a:lstStyle/>
        <a:p>
          <a:pPr algn="ctr"/>
          <a:r>
            <a:rPr lang="pt-BR" sz="1050" b="1">
              <a:solidFill>
                <a:schemeClr val="tx1">
                  <a:lumMod val="75000"/>
                  <a:lumOff val="25000"/>
                </a:schemeClr>
              </a:solidFill>
            </a:rPr>
            <a:t>(V) Ações de Educação</a:t>
          </a:r>
        </a:p>
      </xdr:txBody>
    </xdr:sp>
    <xdr:clientData/>
  </xdr:twoCellAnchor>
  <xdr:twoCellAnchor>
    <xdr:from>
      <xdr:col>3</xdr:col>
      <xdr:colOff>47631</xdr:colOff>
      <xdr:row>6</xdr:row>
      <xdr:rowOff>79373</xdr:rowOff>
    </xdr:from>
    <xdr:to>
      <xdr:col>50</xdr:col>
      <xdr:colOff>80756</xdr:colOff>
      <xdr:row>6</xdr:row>
      <xdr:rowOff>79373</xdr:rowOff>
    </xdr:to>
    <xdr:cxnSp macro="">
      <xdr:nvCxnSpPr>
        <xdr:cNvPr id="3" name="Conector reto 2">
          <a:extLst>
            <a:ext uri="{FF2B5EF4-FFF2-40B4-BE49-F238E27FC236}">
              <a16:creationId xmlns:a16="http://schemas.microsoft.com/office/drawing/2014/main" id="{7F05932E-ACF4-4DD0-A274-D43820DB1CDF}"/>
            </a:ext>
          </a:extLst>
        </xdr:cNvPr>
        <xdr:cNvCxnSpPr/>
      </xdr:nvCxnSpPr>
      <xdr:spPr bwMode="auto">
        <a:xfrm>
          <a:off x="285756" y="746123"/>
          <a:ext cx="5256000" cy="0"/>
        </a:xfrm>
        <a:prstGeom prst="line">
          <a:avLst/>
        </a:prstGeom>
        <a:ln w="28575">
          <a:solidFill>
            <a:schemeClr val="accent4">
              <a:lumMod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44093</xdr:colOff>
      <xdr:row>1</xdr:row>
      <xdr:rowOff>86085</xdr:rowOff>
    </xdr:from>
    <xdr:to>
      <xdr:col>49</xdr:col>
      <xdr:colOff>44093</xdr:colOff>
      <xdr:row>8</xdr:row>
      <xdr:rowOff>28210</xdr:rowOff>
    </xdr:to>
    <xdr:cxnSp macro="">
      <xdr:nvCxnSpPr>
        <xdr:cNvPr id="13" name="Conector reto 12">
          <a:extLst>
            <a:ext uri="{FF2B5EF4-FFF2-40B4-BE49-F238E27FC236}">
              <a16:creationId xmlns:a16="http://schemas.microsoft.com/office/drawing/2014/main" id="{7DF8DB30-079A-4C25-8F5C-E0DDDDFC97C8}"/>
            </a:ext>
          </a:extLst>
        </xdr:cNvPr>
        <xdr:cNvCxnSpPr/>
      </xdr:nvCxnSpPr>
      <xdr:spPr bwMode="auto">
        <a:xfrm rot="5400000">
          <a:off x="5033968" y="557210"/>
          <a:ext cx="720000" cy="0"/>
        </a:xfrm>
        <a:prstGeom prst="line">
          <a:avLst/>
        </a:prstGeom>
        <a:ln w="28575">
          <a:solidFill>
            <a:schemeClr val="accent4">
              <a:lumMod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39690</xdr:colOff>
      <xdr:row>16</xdr:row>
      <xdr:rowOff>34921</xdr:rowOff>
    </xdr:from>
    <xdr:to>
      <xdr:col>58</xdr:col>
      <xdr:colOff>50442</xdr:colOff>
      <xdr:row>19</xdr:row>
      <xdr:rowOff>45108</xdr:rowOff>
    </xdr:to>
    <xdr:sp macro="" textlink="">
      <xdr:nvSpPr>
        <xdr:cNvPr id="3" name="Seta: para a Direita 2">
          <a:extLst>
            <a:ext uri="{FF2B5EF4-FFF2-40B4-BE49-F238E27FC236}">
              <a16:creationId xmlns:a16="http://schemas.microsoft.com/office/drawing/2014/main" id="{E0403242-4979-4AD3-9FFB-82D98D8B3D04}"/>
            </a:ext>
          </a:extLst>
        </xdr:cNvPr>
        <xdr:cNvSpPr/>
      </xdr:nvSpPr>
      <xdr:spPr bwMode="auto">
        <a:xfrm>
          <a:off x="6211890" y="1806571"/>
          <a:ext cx="467952"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35</xdr:row>
      <xdr:rowOff>93659</xdr:rowOff>
    </xdr:from>
    <xdr:to>
      <xdr:col>58</xdr:col>
      <xdr:colOff>50442</xdr:colOff>
      <xdr:row>38</xdr:row>
      <xdr:rowOff>48284</xdr:rowOff>
    </xdr:to>
    <xdr:sp macro="" textlink="">
      <xdr:nvSpPr>
        <xdr:cNvPr id="5" name="Seta: para a Direita 4">
          <a:extLst>
            <a:ext uri="{FF2B5EF4-FFF2-40B4-BE49-F238E27FC236}">
              <a16:creationId xmlns:a16="http://schemas.microsoft.com/office/drawing/2014/main" id="{98B25C01-E487-482E-A88F-15BA2CF949A5}"/>
            </a:ext>
          </a:extLst>
        </xdr:cNvPr>
        <xdr:cNvSpPr/>
      </xdr:nvSpPr>
      <xdr:spPr bwMode="auto">
        <a:xfrm>
          <a:off x="6211890" y="3751259"/>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100</xdr:row>
      <xdr:rowOff>106359</xdr:rowOff>
    </xdr:from>
    <xdr:to>
      <xdr:col>58</xdr:col>
      <xdr:colOff>50442</xdr:colOff>
      <xdr:row>103</xdr:row>
      <xdr:rowOff>57809</xdr:rowOff>
    </xdr:to>
    <xdr:sp macro="" textlink="">
      <xdr:nvSpPr>
        <xdr:cNvPr id="6" name="Seta: para a Direita 5">
          <a:extLst>
            <a:ext uri="{FF2B5EF4-FFF2-40B4-BE49-F238E27FC236}">
              <a16:creationId xmlns:a16="http://schemas.microsoft.com/office/drawing/2014/main" id="{6C3D8DB9-995E-4D7A-B64A-6C00A77494F9}"/>
            </a:ext>
          </a:extLst>
        </xdr:cNvPr>
        <xdr:cNvSpPr/>
      </xdr:nvSpPr>
      <xdr:spPr bwMode="auto">
        <a:xfrm>
          <a:off x="6211890" y="10450509"/>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187</xdr:row>
      <xdr:rowOff>55559</xdr:rowOff>
    </xdr:from>
    <xdr:to>
      <xdr:col>58</xdr:col>
      <xdr:colOff>50442</xdr:colOff>
      <xdr:row>190</xdr:row>
      <xdr:rowOff>10184</xdr:rowOff>
    </xdr:to>
    <xdr:sp macro="" textlink="">
      <xdr:nvSpPr>
        <xdr:cNvPr id="7" name="Seta: para a Direita 6">
          <a:extLst>
            <a:ext uri="{FF2B5EF4-FFF2-40B4-BE49-F238E27FC236}">
              <a16:creationId xmlns:a16="http://schemas.microsoft.com/office/drawing/2014/main" id="{81A8BC38-3EDC-48FA-BEB0-57F08C64B788}"/>
            </a:ext>
          </a:extLst>
        </xdr:cNvPr>
        <xdr:cNvSpPr/>
      </xdr:nvSpPr>
      <xdr:spPr bwMode="auto">
        <a:xfrm>
          <a:off x="6040440" y="1978024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193</xdr:row>
      <xdr:rowOff>6339</xdr:rowOff>
    </xdr:from>
    <xdr:to>
      <xdr:col>58</xdr:col>
      <xdr:colOff>50442</xdr:colOff>
      <xdr:row>195</xdr:row>
      <xdr:rowOff>76852</xdr:rowOff>
    </xdr:to>
    <xdr:sp macro="" textlink="">
      <xdr:nvSpPr>
        <xdr:cNvPr id="8" name="Seta: para a Direita 7">
          <a:extLst>
            <a:ext uri="{FF2B5EF4-FFF2-40B4-BE49-F238E27FC236}">
              <a16:creationId xmlns:a16="http://schemas.microsoft.com/office/drawing/2014/main" id="{F2894A75-869C-44C4-BE50-2A6EACF463C2}"/>
            </a:ext>
          </a:extLst>
        </xdr:cNvPr>
        <xdr:cNvSpPr/>
      </xdr:nvSpPr>
      <xdr:spPr bwMode="auto">
        <a:xfrm>
          <a:off x="6211890" y="20923239"/>
          <a:ext cx="467952" cy="299113"/>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203</xdr:row>
      <xdr:rowOff>104771</xdr:rowOff>
    </xdr:from>
    <xdr:to>
      <xdr:col>58</xdr:col>
      <xdr:colOff>50442</xdr:colOff>
      <xdr:row>207</xdr:row>
      <xdr:rowOff>2246</xdr:rowOff>
    </xdr:to>
    <xdr:sp macro="" textlink="">
      <xdr:nvSpPr>
        <xdr:cNvPr id="10" name="Seta: para a Direita 9">
          <a:extLst>
            <a:ext uri="{FF2B5EF4-FFF2-40B4-BE49-F238E27FC236}">
              <a16:creationId xmlns:a16="http://schemas.microsoft.com/office/drawing/2014/main" id="{CF26A493-83E9-42CD-AB48-FC2C3DCF31D2}"/>
            </a:ext>
          </a:extLst>
        </xdr:cNvPr>
        <xdr:cNvSpPr/>
      </xdr:nvSpPr>
      <xdr:spPr bwMode="auto">
        <a:xfrm>
          <a:off x="6211890" y="22107521"/>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210</xdr:row>
      <xdr:rowOff>93655</xdr:rowOff>
    </xdr:from>
    <xdr:to>
      <xdr:col>58</xdr:col>
      <xdr:colOff>50442</xdr:colOff>
      <xdr:row>213</xdr:row>
      <xdr:rowOff>48280</xdr:rowOff>
    </xdr:to>
    <xdr:sp macro="" textlink="">
      <xdr:nvSpPr>
        <xdr:cNvPr id="11" name="Seta: para a Direita 10">
          <a:extLst>
            <a:ext uri="{FF2B5EF4-FFF2-40B4-BE49-F238E27FC236}">
              <a16:creationId xmlns:a16="http://schemas.microsoft.com/office/drawing/2014/main" id="{03C4FC14-F765-4466-A587-184BAECE19B6}"/>
            </a:ext>
          </a:extLst>
        </xdr:cNvPr>
        <xdr:cNvSpPr/>
      </xdr:nvSpPr>
      <xdr:spPr bwMode="auto">
        <a:xfrm>
          <a:off x="6211890" y="2283935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267</xdr:row>
      <xdr:rowOff>63497</xdr:rowOff>
    </xdr:from>
    <xdr:to>
      <xdr:col>58</xdr:col>
      <xdr:colOff>50442</xdr:colOff>
      <xdr:row>270</xdr:row>
      <xdr:rowOff>18122</xdr:rowOff>
    </xdr:to>
    <xdr:sp macro="" textlink="">
      <xdr:nvSpPr>
        <xdr:cNvPr id="12" name="Seta: para a Direita 11">
          <a:extLst>
            <a:ext uri="{FF2B5EF4-FFF2-40B4-BE49-F238E27FC236}">
              <a16:creationId xmlns:a16="http://schemas.microsoft.com/office/drawing/2014/main" id="{47B7CE06-053E-4EB8-9452-FEAA2635F582}"/>
            </a:ext>
          </a:extLst>
        </xdr:cNvPr>
        <xdr:cNvSpPr/>
      </xdr:nvSpPr>
      <xdr:spPr bwMode="auto">
        <a:xfrm>
          <a:off x="6040440" y="28400372"/>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441</xdr:row>
      <xdr:rowOff>0</xdr:rowOff>
    </xdr:from>
    <xdr:to>
      <xdr:col>58</xdr:col>
      <xdr:colOff>50442</xdr:colOff>
      <xdr:row>443</xdr:row>
      <xdr:rowOff>65750</xdr:rowOff>
    </xdr:to>
    <xdr:sp macro="" textlink="">
      <xdr:nvSpPr>
        <xdr:cNvPr id="13" name="Seta: para a Direita 12">
          <a:extLst>
            <a:ext uri="{FF2B5EF4-FFF2-40B4-BE49-F238E27FC236}">
              <a16:creationId xmlns:a16="http://schemas.microsoft.com/office/drawing/2014/main" id="{2C6BD892-0835-4181-A714-F2F2CB7B825C}"/>
            </a:ext>
          </a:extLst>
        </xdr:cNvPr>
        <xdr:cNvSpPr/>
      </xdr:nvSpPr>
      <xdr:spPr bwMode="auto">
        <a:xfrm>
          <a:off x="6040440" y="47172563"/>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358</xdr:row>
      <xdr:rowOff>55559</xdr:rowOff>
    </xdr:from>
    <xdr:to>
      <xdr:col>58</xdr:col>
      <xdr:colOff>50442</xdr:colOff>
      <xdr:row>361</xdr:row>
      <xdr:rowOff>10184</xdr:rowOff>
    </xdr:to>
    <xdr:sp macro="" textlink="">
      <xdr:nvSpPr>
        <xdr:cNvPr id="14" name="Seta: para a Direita 13">
          <a:extLst>
            <a:ext uri="{FF2B5EF4-FFF2-40B4-BE49-F238E27FC236}">
              <a16:creationId xmlns:a16="http://schemas.microsoft.com/office/drawing/2014/main" id="{A4B5CF4F-5E32-4720-85F7-DA0E333B5139}"/>
            </a:ext>
          </a:extLst>
        </xdr:cNvPr>
        <xdr:cNvSpPr/>
      </xdr:nvSpPr>
      <xdr:spPr bwMode="auto">
        <a:xfrm>
          <a:off x="6040440" y="3800474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386</xdr:row>
      <xdr:rowOff>47621</xdr:rowOff>
    </xdr:from>
    <xdr:to>
      <xdr:col>58</xdr:col>
      <xdr:colOff>50442</xdr:colOff>
      <xdr:row>389</xdr:row>
      <xdr:rowOff>2246</xdr:rowOff>
    </xdr:to>
    <xdr:sp macro="" textlink="">
      <xdr:nvSpPr>
        <xdr:cNvPr id="15" name="Seta: para a Direita 14">
          <a:extLst>
            <a:ext uri="{FF2B5EF4-FFF2-40B4-BE49-F238E27FC236}">
              <a16:creationId xmlns:a16="http://schemas.microsoft.com/office/drawing/2014/main" id="{1E8F4C3C-4B46-4D7E-8575-F7E988AB785E}"/>
            </a:ext>
          </a:extLst>
        </xdr:cNvPr>
        <xdr:cNvSpPr/>
      </xdr:nvSpPr>
      <xdr:spPr bwMode="auto">
        <a:xfrm>
          <a:off x="6040440" y="41108309"/>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524</xdr:row>
      <xdr:rowOff>55559</xdr:rowOff>
    </xdr:from>
    <xdr:to>
      <xdr:col>58</xdr:col>
      <xdr:colOff>50442</xdr:colOff>
      <xdr:row>527</xdr:row>
      <xdr:rowOff>10184</xdr:rowOff>
    </xdr:to>
    <xdr:sp macro="" textlink="">
      <xdr:nvSpPr>
        <xdr:cNvPr id="16" name="Seta: para a Direita 15">
          <a:extLst>
            <a:ext uri="{FF2B5EF4-FFF2-40B4-BE49-F238E27FC236}">
              <a16:creationId xmlns:a16="http://schemas.microsoft.com/office/drawing/2014/main" id="{38A3148F-2A71-4F22-A05D-A7E826A8691E}"/>
            </a:ext>
          </a:extLst>
        </xdr:cNvPr>
        <xdr:cNvSpPr/>
      </xdr:nvSpPr>
      <xdr:spPr bwMode="auto">
        <a:xfrm>
          <a:off x="6040440" y="5645149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533</xdr:row>
      <xdr:rowOff>47621</xdr:rowOff>
    </xdr:from>
    <xdr:to>
      <xdr:col>58</xdr:col>
      <xdr:colOff>50442</xdr:colOff>
      <xdr:row>536</xdr:row>
      <xdr:rowOff>2246</xdr:rowOff>
    </xdr:to>
    <xdr:sp macro="" textlink="">
      <xdr:nvSpPr>
        <xdr:cNvPr id="17" name="Seta: para a Direita 16">
          <a:extLst>
            <a:ext uri="{FF2B5EF4-FFF2-40B4-BE49-F238E27FC236}">
              <a16:creationId xmlns:a16="http://schemas.microsoft.com/office/drawing/2014/main" id="{2AF194FF-60D8-4E18-9C3D-6DCB3983F128}"/>
            </a:ext>
          </a:extLst>
        </xdr:cNvPr>
        <xdr:cNvSpPr/>
      </xdr:nvSpPr>
      <xdr:spPr bwMode="auto">
        <a:xfrm>
          <a:off x="6040440" y="57443684"/>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542</xdr:row>
      <xdr:rowOff>47621</xdr:rowOff>
    </xdr:from>
    <xdr:to>
      <xdr:col>58</xdr:col>
      <xdr:colOff>50442</xdr:colOff>
      <xdr:row>545</xdr:row>
      <xdr:rowOff>2246</xdr:rowOff>
    </xdr:to>
    <xdr:sp macro="" textlink="">
      <xdr:nvSpPr>
        <xdr:cNvPr id="18" name="Seta: para a Direita 17">
          <a:extLst>
            <a:ext uri="{FF2B5EF4-FFF2-40B4-BE49-F238E27FC236}">
              <a16:creationId xmlns:a16="http://schemas.microsoft.com/office/drawing/2014/main" id="{5F7321FF-1377-48FB-9734-1531F4239ED3}"/>
            </a:ext>
          </a:extLst>
        </xdr:cNvPr>
        <xdr:cNvSpPr/>
      </xdr:nvSpPr>
      <xdr:spPr bwMode="auto">
        <a:xfrm>
          <a:off x="6040440" y="58443809"/>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560</xdr:row>
      <xdr:rowOff>31746</xdr:rowOff>
    </xdr:from>
    <xdr:to>
      <xdr:col>58</xdr:col>
      <xdr:colOff>50442</xdr:colOff>
      <xdr:row>562</xdr:row>
      <xdr:rowOff>97496</xdr:rowOff>
    </xdr:to>
    <xdr:sp macro="" textlink="">
      <xdr:nvSpPr>
        <xdr:cNvPr id="20" name="Seta: para a Direita 19">
          <a:extLst>
            <a:ext uri="{FF2B5EF4-FFF2-40B4-BE49-F238E27FC236}">
              <a16:creationId xmlns:a16="http://schemas.microsoft.com/office/drawing/2014/main" id="{4ACEA933-075A-4A6C-809D-813EB38B1436}"/>
            </a:ext>
          </a:extLst>
        </xdr:cNvPr>
        <xdr:cNvSpPr/>
      </xdr:nvSpPr>
      <xdr:spPr bwMode="auto">
        <a:xfrm>
          <a:off x="6040440" y="60428184"/>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576</xdr:row>
      <xdr:rowOff>55559</xdr:rowOff>
    </xdr:from>
    <xdr:to>
      <xdr:col>58</xdr:col>
      <xdr:colOff>50442</xdr:colOff>
      <xdr:row>579</xdr:row>
      <xdr:rowOff>10184</xdr:rowOff>
    </xdr:to>
    <xdr:sp macro="" textlink="">
      <xdr:nvSpPr>
        <xdr:cNvPr id="21" name="Seta: para a Direita 20">
          <a:extLst>
            <a:ext uri="{FF2B5EF4-FFF2-40B4-BE49-F238E27FC236}">
              <a16:creationId xmlns:a16="http://schemas.microsoft.com/office/drawing/2014/main" id="{9FAC77BC-A66B-493A-A357-921B5B6DAD52}"/>
            </a:ext>
          </a:extLst>
        </xdr:cNvPr>
        <xdr:cNvSpPr/>
      </xdr:nvSpPr>
      <xdr:spPr bwMode="auto">
        <a:xfrm>
          <a:off x="6040440" y="62229997"/>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625</xdr:row>
      <xdr:rowOff>0</xdr:rowOff>
    </xdr:from>
    <xdr:to>
      <xdr:col>58</xdr:col>
      <xdr:colOff>39327</xdr:colOff>
      <xdr:row>628</xdr:row>
      <xdr:rowOff>11775</xdr:rowOff>
    </xdr:to>
    <xdr:sp macro="" textlink="">
      <xdr:nvSpPr>
        <xdr:cNvPr id="24" name="Seta: para a Direita 23">
          <a:extLst>
            <a:ext uri="{FF2B5EF4-FFF2-40B4-BE49-F238E27FC236}">
              <a16:creationId xmlns:a16="http://schemas.microsoft.com/office/drawing/2014/main" id="{593C7010-96C2-4640-8F68-07DB72A89605}"/>
            </a:ext>
          </a:extLst>
        </xdr:cNvPr>
        <xdr:cNvSpPr/>
      </xdr:nvSpPr>
      <xdr:spPr bwMode="auto">
        <a:xfrm>
          <a:off x="6200775" y="695515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57150</xdr:colOff>
      <xdr:row>637</xdr:row>
      <xdr:rowOff>7935</xdr:rowOff>
    </xdr:from>
    <xdr:to>
      <xdr:col>58</xdr:col>
      <xdr:colOff>67902</xdr:colOff>
      <xdr:row>639</xdr:row>
      <xdr:rowOff>75272</xdr:rowOff>
    </xdr:to>
    <xdr:sp macro="" textlink="">
      <xdr:nvSpPr>
        <xdr:cNvPr id="25" name="Seta: para a Direita 24">
          <a:extLst>
            <a:ext uri="{FF2B5EF4-FFF2-40B4-BE49-F238E27FC236}">
              <a16:creationId xmlns:a16="http://schemas.microsoft.com/office/drawing/2014/main" id="{EBD5926D-6CFB-478F-966C-33015931289E}"/>
            </a:ext>
          </a:extLst>
        </xdr:cNvPr>
        <xdr:cNvSpPr/>
      </xdr:nvSpPr>
      <xdr:spPr bwMode="auto">
        <a:xfrm>
          <a:off x="6229350" y="70702485"/>
          <a:ext cx="467952"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39690</xdr:colOff>
      <xdr:row>4</xdr:row>
      <xdr:rowOff>104775</xdr:rowOff>
    </xdr:from>
    <xdr:to>
      <xdr:col>58</xdr:col>
      <xdr:colOff>50442</xdr:colOff>
      <xdr:row>7</xdr:row>
      <xdr:rowOff>56225</xdr:rowOff>
    </xdr:to>
    <xdr:sp macro="" textlink="">
      <xdr:nvSpPr>
        <xdr:cNvPr id="27" name="Seta: para a Direita 26">
          <a:extLst>
            <a:ext uri="{FF2B5EF4-FFF2-40B4-BE49-F238E27FC236}">
              <a16:creationId xmlns:a16="http://schemas.microsoft.com/office/drawing/2014/main" id="{4536DCD7-1B99-43B9-856E-43F1A809C79B}"/>
            </a:ext>
          </a:extLst>
        </xdr:cNvPr>
        <xdr:cNvSpPr/>
      </xdr:nvSpPr>
      <xdr:spPr bwMode="auto">
        <a:xfrm>
          <a:off x="6211890" y="561975"/>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607</xdr:row>
      <xdr:rowOff>76200</xdr:rowOff>
    </xdr:from>
    <xdr:to>
      <xdr:col>58</xdr:col>
      <xdr:colOff>39327</xdr:colOff>
      <xdr:row>610</xdr:row>
      <xdr:rowOff>27650</xdr:rowOff>
    </xdr:to>
    <xdr:sp macro="" textlink="">
      <xdr:nvSpPr>
        <xdr:cNvPr id="31" name="Seta: para a Direita 30">
          <a:extLst>
            <a:ext uri="{FF2B5EF4-FFF2-40B4-BE49-F238E27FC236}">
              <a16:creationId xmlns:a16="http://schemas.microsoft.com/office/drawing/2014/main" id="{7717EA5A-4CAB-4143-BC95-7183D55BED0E}"/>
            </a:ext>
          </a:extLst>
        </xdr:cNvPr>
        <xdr:cNvSpPr/>
      </xdr:nvSpPr>
      <xdr:spPr bwMode="auto">
        <a:xfrm>
          <a:off x="6200775" y="67570350"/>
          <a:ext cx="467952" cy="29435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28575</xdr:colOff>
      <xdr:row>630</xdr:row>
      <xdr:rowOff>28575</xdr:rowOff>
    </xdr:from>
    <xdr:to>
      <xdr:col>58</xdr:col>
      <xdr:colOff>39327</xdr:colOff>
      <xdr:row>633</xdr:row>
      <xdr:rowOff>40350</xdr:rowOff>
    </xdr:to>
    <xdr:sp macro="" textlink="">
      <xdr:nvSpPr>
        <xdr:cNvPr id="33" name="Seta: para a Direita 32">
          <a:extLst>
            <a:ext uri="{FF2B5EF4-FFF2-40B4-BE49-F238E27FC236}">
              <a16:creationId xmlns:a16="http://schemas.microsoft.com/office/drawing/2014/main" id="{1B249CBC-1387-4B22-8EDE-177CBE5A2A59}"/>
            </a:ext>
          </a:extLst>
        </xdr:cNvPr>
        <xdr:cNvSpPr/>
      </xdr:nvSpPr>
      <xdr:spPr bwMode="auto">
        <a:xfrm>
          <a:off x="6200775" y="700944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586</xdr:row>
      <xdr:rowOff>0</xdr:rowOff>
    </xdr:from>
    <xdr:to>
      <xdr:col>58</xdr:col>
      <xdr:colOff>58377</xdr:colOff>
      <xdr:row>588</xdr:row>
      <xdr:rowOff>68925</xdr:rowOff>
    </xdr:to>
    <xdr:sp macro="" textlink="">
      <xdr:nvSpPr>
        <xdr:cNvPr id="26" name="Seta: para a Direita 25">
          <a:extLst>
            <a:ext uri="{FF2B5EF4-FFF2-40B4-BE49-F238E27FC236}">
              <a16:creationId xmlns:a16="http://schemas.microsoft.com/office/drawing/2014/main" id="{47B98277-27F9-43C2-B7A1-2100E1CC274E}"/>
            </a:ext>
          </a:extLst>
        </xdr:cNvPr>
        <xdr:cNvSpPr/>
      </xdr:nvSpPr>
      <xdr:spPr bwMode="auto">
        <a:xfrm>
          <a:off x="6219825" y="650938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23813</xdr:colOff>
      <xdr:row>4</xdr:row>
      <xdr:rowOff>87313</xdr:rowOff>
    </xdr:from>
    <xdr:to>
      <xdr:col>58</xdr:col>
      <xdr:colOff>34565</xdr:colOff>
      <xdr:row>7</xdr:row>
      <xdr:rowOff>41938</xdr:rowOff>
    </xdr:to>
    <xdr:sp macro="" textlink="">
      <xdr:nvSpPr>
        <xdr:cNvPr id="3" name="Seta: para a Direita 2">
          <a:extLst>
            <a:ext uri="{FF2B5EF4-FFF2-40B4-BE49-F238E27FC236}">
              <a16:creationId xmlns:a16="http://schemas.microsoft.com/office/drawing/2014/main" id="{6643C6EE-E157-4479-A407-EEC7BDD24856}"/>
            </a:ext>
          </a:extLst>
        </xdr:cNvPr>
        <xdr:cNvSpPr/>
      </xdr:nvSpPr>
      <xdr:spPr bwMode="auto">
        <a:xfrm>
          <a:off x="6024563" y="531813"/>
          <a:ext cx="4552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73</xdr:row>
      <xdr:rowOff>104775</xdr:rowOff>
    </xdr:from>
    <xdr:to>
      <xdr:col>58</xdr:col>
      <xdr:colOff>58377</xdr:colOff>
      <xdr:row>77</xdr:row>
      <xdr:rowOff>2250</xdr:rowOff>
    </xdr:to>
    <xdr:sp macro="" textlink="">
      <xdr:nvSpPr>
        <xdr:cNvPr id="4" name="Seta: para a Direita 3">
          <a:extLst>
            <a:ext uri="{FF2B5EF4-FFF2-40B4-BE49-F238E27FC236}">
              <a16:creationId xmlns:a16="http://schemas.microsoft.com/office/drawing/2014/main" id="{A4894856-1F56-4218-9227-B729D4686B61}"/>
            </a:ext>
          </a:extLst>
        </xdr:cNvPr>
        <xdr:cNvSpPr/>
      </xdr:nvSpPr>
      <xdr:spPr bwMode="auto">
        <a:xfrm>
          <a:off x="6219825" y="95916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54</xdr:col>
      <xdr:colOff>47625</xdr:colOff>
      <xdr:row>8</xdr:row>
      <xdr:rowOff>0</xdr:rowOff>
    </xdr:from>
    <xdr:to>
      <xdr:col>58</xdr:col>
      <xdr:colOff>58377</xdr:colOff>
      <xdr:row>11</xdr:row>
      <xdr:rowOff>11775</xdr:rowOff>
    </xdr:to>
    <xdr:sp macro="" textlink="">
      <xdr:nvSpPr>
        <xdr:cNvPr id="2" name="Seta: para a Direita 1">
          <a:extLst>
            <a:ext uri="{FF2B5EF4-FFF2-40B4-BE49-F238E27FC236}">
              <a16:creationId xmlns:a16="http://schemas.microsoft.com/office/drawing/2014/main" id="{BC549129-EB6B-49C9-B74C-4303FEB4EA0D}"/>
            </a:ext>
          </a:extLst>
        </xdr:cNvPr>
        <xdr:cNvSpPr/>
      </xdr:nvSpPr>
      <xdr:spPr bwMode="auto">
        <a:xfrm>
          <a:off x="6219825" y="102870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18</xdr:row>
      <xdr:rowOff>19050</xdr:rowOff>
    </xdr:from>
    <xdr:to>
      <xdr:col>58</xdr:col>
      <xdr:colOff>58377</xdr:colOff>
      <xdr:row>21</xdr:row>
      <xdr:rowOff>30825</xdr:rowOff>
    </xdr:to>
    <xdr:sp macro="" textlink="">
      <xdr:nvSpPr>
        <xdr:cNvPr id="3" name="Seta: para a Direita 2">
          <a:extLst>
            <a:ext uri="{FF2B5EF4-FFF2-40B4-BE49-F238E27FC236}">
              <a16:creationId xmlns:a16="http://schemas.microsoft.com/office/drawing/2014/main" id="{ABE40765-A854-4DB6-8D4F-25458BA15AD4}"/>
            </a:ext>
          </a:extLst>
        </xdr:cNvPr>
        <xdr:cNvSpPr/>
      </xdr:nvSpPr>
      <xdr:spPr bwMode="auto">
        <a:xfrm>
          <a:off x="6219825" y="207645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27</xdr:row>
      <xdr:rowOff>104775</xdr:rowOff>
    </xdr:from>
    <xdr:to>
      <xdr:col>58</xdr:col>
      <xdr:colOff>58377</xdr:colOff>
      <xdr:row>30</xdr:row>
      <xdr:rowOff>2250</xdr:rowOff>
    </xdr:to>
    <xdr:sp macro="" textlink="">
      <xdr:nvSpPr>
        <xdr:cNvPr id="4" name="Seta: para a Direita 3">
          <a:extLst>
            <a:ext uri="{FF2B5EF4-FFF2-40B4-BE49-F238E27FC236}">
              <a16:creationId xmlns:a16="http://schemas.microsoft.com/office/drawing/2014/main" id="{4000474F-D464-4CA7-9537-9DA4BA00027B}"/>
            </a:ext>
          </a:extLst>
        </xdr:cNvPr>
        <xdr:cNvSpPr/>
      </xdr:nvSpPr>
      <xdr:spPr bwMode="auto">
        <a:xfrm>
          <a:off x="6219825" y="378142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169</xdr:row>
      <xdr:rowOff>9525</xdr:rowOff>
    </xdr:from>
    <xdr:to>
      <xdr:col>58</xdr:col>
      <xdr:colOff>58377</xdr:colOff>
      <xdr:row>171</xdr:row>
      <xdr:rowOff>78450</xdr:rowOff>
    </xdr:to>
    <xdr:sp macro="" textlink="">
      <xdr:nvSpPr>
        <xdr:cNvPr id="9" name="Seta: para a Direita 8">
          <a:extLst>
            <a:ext uri="{FF2B5EF4-FFF2-40B4-BE49-F238E27FC236}">
              <a16:creationId xmlns:a16="http://schemas.microsoft.com/office/drawing/2014/main" id="{0A49E191-5458-47B9-88B6-10A84E967CC3}"/>
            </a:ext>
          </a:extLst>
        </xdr:cNvPr>
        <xdr:cNvSpPr/>
      </xdr:nvSpPr>
      <xdr:spPr bwMode="auto">
        <a:xfrm>
          <a:off x="6219825" y="2005012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137</xdr:row>
      <xdr:rowOff>85725</xdr:rowOff>
    </xdr:from>
    <xdr:to>
      <xdr:col>58</xdr:col>
      <xdr:colOff>58377</xdr:colOff>
      <xdr:row>139</xdr:row>
      <xdr:rowOff>40350</xdr:rowOff>
    </xdr:to>
    <xdr:sp macro="" textlink="">
      <xdr:nvSpPr>
        <xdr:cNvPr id="11" name="Seta: para a Direita 10">
          <a:extLst>
            <a:ext uri="{FF2B5EF4-FFF2-40B4-BE49-F238E27FC236}">
              <a16:creationId xmlns:a16="http://schemas.microsoft.com/office/drawing/2014/main" id="{13913348-2BEC-4B73-BE87-8251E3F82402}"/>
            </a:ext>
          </a:extLst>
        </xdr:cNvPr>
        <xdr:cNvSpPr/>
      </xdr:nvSpPr>
      <xdr:spPr bwMode="auto">
        <a:xfrm>
          <a:off x="6219825" y="19269075"/>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47625</xdr:colOff>
      <xdr:row>37</xdr:row>
      <xdr:rowOff>9525</xdr:rowOff>
    </xdr:from>
    <xdr:to>
      <xdr:col>58</xdr:col>
      <xdr:colOff>58377</xdr:colOff>
      <xdr:row>40</xdr:row>
      <xdr:rowOff>22575</xdr:rowOff>
    </xdr:to>
    <xdr:sp macro="" textlink="">
      <xdr:nvSpPr>
        <xdr:cNvPr id="3" name="Seta: para a Direita 2">
          <a:extLst>
            <a:ext uri="{FF2B5EF4-FFF2-40B4-BE49-F238E27FC236}">
              <a16:creationId xmlns:a16="http://schemas.microsoft.com/office/drawing/2014/main" id="{A66B6C50-D11A-47AE-9923-0EEF9A6EE3C7}"/>
            </a:ext>
          </a:extLst>
        </xdr:cNvPr>
        <xdr:cNvSpPr/>
      </xdr:nvSpPr>
      <xdr:spPr bwMode="auto">
        <a:xfrm>
          <a:off x="6219825" y="5153025"/>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40</xdr:row>
      <xdr:rowOff>28575</xdr:rowOff>
    </xdr:from>
    <xdr:to>
      <xdr:col>58</xdr:col>
      <xdr:colOff>58377</xdr:colOff>
      <xdr:row>43</xdr:row>
      <xdr:rowOff>30825</xdr:rowOff>
    </xdr:to>
    <xdr:sp macro="" textlink="">
      <xdr:nvSpPr>
        <xdr:cNvPr id="4" name="Seta: para a Direita 3">
          <a:extLst>
            <a:ext uri="{FF2B5EF4-FFF2-40B4-BE49-F238E27FC236}">
              <a16:creationId xmlns:a16="http://schemas.microsoft.com/office/drawing/2014/main" id="{48E7581C-DE4C-4E14-BC38-BB12D6EF4642}"/>
            </a:ext>
          </a:extLst>
        </xdr:cNvPr>
        <xdr:cNvSpPr/>
      </xdr:nvSpPr>
      <xdr:spPr bwMode="auto">
        <a:xfrm>
          <a:off x="6219825" y="5457825"/>
          <a:ext cx="467952" cy="2880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45</xdr:row>
      <xdr:rowOff>28575</xdr:rowOff>
    </xdr:from>
    <xdr:to>
      <xdr:col>58</xdr:col>
      <xdr:colOff>58377</xdr:colOff>
      <xdr:row>48</xdr:row>
      <xdr:rowOff>41625</xdr:rowOff>
    </xdr:to>
    <xdr:sp macro="" textlink="">
      <xdr:nvSpPr>
        <xdr:cNvPr id="5" name="Seta: para a Direita 4">
          <a:extLst>
            <a:ext uri="{FF2B5EF4-FFF2-40B4-BE49-F238E27FC236}">
              <a16:creationId xmlns:a16="http://schemas.microsoft.com/office/drawing/2014/main" id="{A86AAC5D-9097-4391-9CE7-29744D8B3BBA}"/>
            </a:ext>
          </a:extLst>
        </xdr:cNvPr>
        <xdr:cNvSpPr/>
      </xdr:nvSpPr>
      <xdr:spPr bwMode="auto">
        <a:xfrm>
          <a:off x="6219825" y="5972175"/>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54</xdr:row>
      <xdr:rowOff>28575</xdr:rowOff>
    </xdr:from>
    <xdr:to>
      <xdr:col>58</xdr:col>
      <xdr:colOff>58377</xdr:colOff>
      <xdr:row>57</xdr:row>
      <xdr:rowOff>41625</xdr:rowOff>
    </xdr:to>
    <xdr:sp macro="" textlink="">
      <xdr:nvSpPr>
        <xdr:cNvPr id="6" name="Seta: para a Direita 5">
          <a:extLst>
            <a:ext uri="{FF2B5EF4-FFF2-40B4-BE49-F238E27FC236}">
              <a16:creationId xmlns:a16="http://schemas.microsoft.com/office/drawing/2014/main" id="{241085AF-5FFC-476A-8A8A-61856A499C84}"/>
            </a:ext>
          </a:extLst>
        </xdr:cNvPr>
        <xdr:cNvSpPr/>
      </xdr:nvSpPr>
      <xdr:spPr bwMode="auto">
        <a:xfrm>
          <a:off x="6219825" y="6715125"/>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61</xdr:row>
      <xdr:rowOff>9524</xdr:rowOff>
    </xdr:from>
    <xdr:to>
      <xdr:col>58</xdr:col>
      <xdr:colOff>58377</xdr:colOff>
      <xdr:row>64</xdr:row>
      <xdr:rowOff>22574</xdr:rowOff>
    </xdr:to>
    <xdr:sp macro="" textlink="">
      <xdr:nvSpPr>
        <xdr:cNvPr id="7" name="Seta: para a Direita 6">
          <a:extLst>
            <a:ext uri="{FF2B5EF4-FFF2-40B4-BE49-F238E27FC236}">
              <a16:creationId xmlns:a16="http://schemas.microsoft.com/office/drawing/2014/main" id="{A0EADD55-7C62-4076-A7FD-4FF40A1120AB}"/>
            </a:ext>
          </a:extLst>
        </xdr:cNvPr>
        <xdr:cNvSpPr/>
      </xdr:nvSpPr>
      <xdr:spPr bwMode="auto">
        <a:xfrm>
          <a:off x="6219825" y="7896224"/>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16</xdr:row>
      <xdr:rowOff>0</xdr:rowOff>
    </xdr:from>
    <xdr:to>
      <xdr:col>58</xdr:col>
      <xdr:colOff>58377</xdr:colOff>
      <xdr:row>18</xdr:row>
      <xdr:rowOff>68925</xdr:rowOff>
    </xdr:to>
    <xdr:sp macro="" textlink="">
      <xdr:nvSpPr>
        <xdr:cNvPr id="8" name="Seta: para a Direita 7">
          <a:extLst>
            <a:ext uri="{FF2B5EF4-FFF2-40B4-BE49-F238E27FC236}">
              <a16:creationId xmlns:a16="http://schemas.microsoft.com/office/drawing/2014/main" id="{043EEA55-1145-4CE3-A6A7-DB0B130718D7}"/>
            </a:ext>
          </a:extLst>
        </xdr:cNvPr>
        <xdr:cNvSpPr/>
      </xdr:nvSpPr>
      <xdr:spPr bwMode="auto">
        <a:xfrm>
          <a:off x="6219825" y="182880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47625</xdr:colOff>
      <xdr:row>64</xdr:row>
      <xdr:rowOff>9525</xdr:rowOff>
    </xdr:from>
    <xdr:to>
      <xdr:col>58</xdr:col>
      <xdr:colOff>58377</xdr:colOff>
      <xdr:row>67</xdr:row>
      <xdr:rowOff>22575</xdr:rowOff>
    </xdr:to>
    <xdr:sp macro="" textlink="">
      <xdr:nvSpPr>
        <xdr:cNvPr id="9" name="Seta: para a Direita 8">
          <a:extLst>
            <a:ext uri="{FF2B5EF4-FFF2-40B4-BE49-F238E27FC236}">
              <a16:creationId xmlns:a16="http://schemas.microsoft.com/office/drawing/2014/main" id="{0601BCED-6245-4DF3-BCBA-D52F002BF71D}"/>
            </a:ext>
          </a:extLst>
        </xdr:cNvPr>
        <xdr:cNvSpPr/>
      </xdr:nvSpPr>
      <xdr:spPr bwMode="auto">
        <a:xfrm>
          <a:off x="6219825" y="8410575"/>
          <a:ext cx="467952" cy="298800"/>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38100</xdr:colOff>
      <xdr:row>1234</xdr:row>
      <xdr:rowOff>190500</xdr:rowOff>
    </xdr:from>
    <xdr:to>
      <xdr:col>58</xdr:col>
      <xdr:colOff>48852</xdr:colOff>
      <xdr:row>1237</xdr:row>
      <xdr:rowOff>30825</xdr:rowOff>
    </xdr:to>
    <xdr:sp macro="" textlink="">
      <xdr:nvSpPr>
        <xdr:cNvPr id="11" name="Seta: para a Direita 10">
          <a:extLst>
            <a:ext uri="{FF2B5EF4-FFF2-40B4-BE49-F238E27FC236}">
              <a16:creationId xmlns:a16="http://schemas.microsoft.com/office/drawing/2014/main" id="{A77B7892-B08C-4087-AE68-7AB38D0901F5}"/>
            </a:ext>
          </a:extLst>
        </xdr:cNvPr>
        <xdr:cNvSpPr/>
      </xdr:nvSpPr>
      <xdr:spPr bwMode="auto">
        <a:xfrm>
          <a:off x="6210300" y="146646900"/>
          <a:ext cx="467952" cy="297525"/>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19050</xdr:colOff>
      <xdr:row>358</xdr:row>
      <xdr:rowOff>0</xdr:rowOff>
    </xdr:from>
    <xdr:to>
      <xdr:col>57</xdr:col>
      <xdr:colOff>72150</xdr:colOff>
      <xdr:row>360</xdr:row>
      <xdr:rowOff>67337</xdr:rowOff>
    </xdr:to>
    <xdr:sp macro="" textlink="">
      <xdr:nvSpPr>
        <xdr:cNvPr id="2" name="Seta: para a Direita 1">
          <a:extLst>
            <a:ext uri="{FF2B5EF4-FFF2-40B4-BE49-F238E27FC236}">
              <a16:creationId xmlns:a16="http://schemas.microsoft.com/office/drawing/2014/main" id="{C2FD4824-BFFC-40FC-97B0-0E3081D5FBB9}"/>
            </a:ext>
          </a:extLst>
        </xdr:cNvPr>
        <xdr:cNvSpPr/>
      </xdr:nvSpPr>
      <xdr:spPr bwMode="auto">
        <a:xfrm>
          <a:off x="6191250" y="36842700"/>
          <a:ext cx="396000"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19050</xdr:colOff>
      <xdr:row>44</xdr:row>
      <xdr:rowOff>0</xdr:rowOff>
    </xdr:from>
    <xdr:to>
      <xdr:col>57</xdr:col>
      <xdr:colOff>72150</xdr:colOff>
      <xdr:row>47</xdr:row>
      <xdr:rowOff>10187</xdr:rowOff>
    </xdr:to>
    <xdr:sp macro="" textlink="">
      <xdr:nvSpPr>
        <xdr:cNvPr id="3" name="Seta: para a Direita 2">
          <a:extLst>
            <a:ext uri="{FF2B5EF4-FFF2-40B4-BE49-F238E27FC236}">
              <a16:creationId xmlns:a16="http://schemas.microsoft.com/office/drawing/2014/main" id="{034399B7-4646-4B10-8160-19D665E04E33}"/>
            </a:ext>
          </a:extLst>
        </xdr:cNvPr>
        <xdr:cNvSpPr/>
      </xdr:nvSpPr>
      <xdr:spPr bwMode="auto">
        <a:xfrm>
          <a:off x="6191250" y="4572000"/>
          <a:ext cx="396000"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twoCellAnchor>
    <xdr:from>
      <xdr:col>54</xdr:col>
      <xdr:colOff>19050</xdr:colOff>
      <xdr:row>53</xdr:row>
      <xdr:rowOff>104775</xdr:rowOff>
    </xdr:from>
    <xdr:to>
      <xdr:col>57</xdr:col>
      <xdr:colOff>72150</xdr:colOff>
      <xdr:row>57</xdr:row>
      <xdr:rowOff>662</xdr:rowOff>
    </xdr:to>
    <xdr:sp macro="" textlink="">
      <xdr:nvSpPr>
        <xdr:cNvPr id="4" name="Seta: para a Direita 3">
          <a:extLst>
            <a:ext uri="{FF2B5EF4-FFF2-40B4-BE49-F238E27FC236}">
              <a16:creationId xmlns:a16="http://schemas.microsoft.com/office/drawing/2014/main" id="{FECC9871-0B9C-4D6E-A3BC-71CA6F078FA9}"/>
            </a:ext>
          </a:extLst>
        </xdr:cNvPr>
        <xdr:cNvSpPr/>
      </xdr:nvSpPr>
      <xdr:spPr bwMode="auto">
        <a:xfrm>
          <a:off x="6191250" y="5591175"/>
          <a:ext cx="396000" cy="295937"/>
        </a:xfrm>
        <a:prstGeom prst="rightArrow">
          <a:avLst/>
        </a:prstGeom>
        <a:solidFill>
          <a:schemeClr val="bg1">
            <a:lumMod val="9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E6E9-4964-4456-A3EC-FCC64A7DE94A}">
  <sheetPr>
    <tabColor theme="0" tint="-0.249977111117893"/>
  </sheetPr>
  <dimension ref="B1:EI352"/>
  <sheetViews>
    <sheetView showGridLines="0" showRowColHeaders="0" tabSelected="1" zoomScale="130" zoomScaleNormal="130" zoomScaleSheetLayoutView="120" workbookViewId="0"/>
  </sheetViews>
  <sheetFormatPr defaultColWidth="9.140625" defaultRowHeight="12.75" zeroHeight="1"/>
  <cols>
    <col min="1" max="1" width="0.28515625" customWidth="1"/>
    <col min="2" max="54" width="1.7109375" customWidth="1"/>
    <col min="55" max="139" width="1.7109375" style="115" customWidth="1"/>
  </cols>
  <sheetData>
    <row r="1" spans="2:99" ht="9" customHeight="1"/>
    <row r="2" spans="2:99" ht="9" customHeight="1">
      <c r="B2" s="81"/>
      <c r="C2" s="81"/>
      <c r="D2" s="213" t="s">
        <v>389</v>
      </c>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81"/>
      <c r="BC2" s="144"/>
    </row>
    <row r="3" spans="2:99" ht="9" customHeight="1">
      <c r="B3" s="81"/>
      <c r="C3" s="81"/>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81"/>
      <c r="BC3" s="144"/>
      <c r="BE3" s="212" t="s">
        <v>380</v>
      </c>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row>
    <row r="4" spans="2:99" ht="9" customHeight="1">
      <c r="B4" s="81"/>
      <c r="C4" s="81"/>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81"/>
      <c r="BC4" s="144"/>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row>
    <row r="5" spans="2:99" ht="9" customHeight="1">
      <c r="B5" s="73"/>
      <c r="C5" s="7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73"/>
      <c r="BC5" s="145"/>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row>
    <row r="6" spans="2:99" ht="9" customHeight="1">
      <c r="B6" s="73"/>
      <c r="C6" s="7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73"/>
      <c r="BC6" s="145"/>
      <c r="BE6" s="211" t="s">
        <v>381</v>
      </c>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row>
    <row r="7" spans="2:99" ht="9" customHeight="1">
      <c r="B7" s="73"/>
      <c r="C7" s="7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73"/>
      <c r="BC7" s="145"/>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row>
    <row r="8" spans="2:99" ht="9" customHeight="1">
      <c r="B8" s="73"/>
      <c r="C8" s="7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73"/>
      <c r="BC8" s="145"/>
      <c r="BE8" s="211" t="s">
        <v>382</v>
      </c>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row>
    <row r="9" spans="2:99" ht="9" customHeight="1">
      <c r="B9" s="73"/>
      <c r="C9" s="7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73"/>
      <c r="BC9" s="145"/>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row>
    <row r="10" spans="2:99" ht="9" customHeight="1">
      <c r="B10" s="73"/>
      <c r="C10" s="7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73"/>
      <c r="BC10" s="145"/>
      <c r="BE10" s="211" t="s">
        <v>383</v>
      </c>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row>
    <row r="11" spans="2:99" ht="9" customHeight="1">
      <c r="B11" s="73"/>
      <c r="C11" s="7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73"/>
      <c r="BC11" s="145"/>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row>
    <row r="12" spans="2:99" ht="9" customHeight="1">
      <c r="B12" s="73"/>
      <c r="C12" s="7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73"/>
      <c r="BC12" s="145"/>
      <c r="BE12" s="210" t="s">
        <v>384</v>
      </c>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row>
    <row r="13" spans="2:99" ht="9" customHeight="1">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row>
    <row r="14" spans="2:99" ht="9" customHeight="1">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row>
    <row r="15" spans="2:99" ht="9" customHeight="1">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row>
    <row r="16" spans="2:99" ht="9" customHeight="1">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E16" s="210" t="s">
        <v>385</v>
      </c>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row>
    <row r="17" spans="4:99" ht="9" customHeight="1">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row>
    <row r="18" spans="4:99" ht="9" customHeight="1">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row>
    <row r="19" spans="4:99" ht="9" customHeight="1">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row>
    <row r="20" spans="4:99" ht="9" customHeight="1">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row>
    <row r="21" spans="4:99" ht="9" customHeight="1">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row>
    <row r="22" spans="4:99" ht="9" customHeight="1">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row>
    <row r="23" spans="4:99" ht="9" customHeight="1">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row>
    <row r="24" spans="4:99" ht="9" customHeight="1">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E24" s="210" t="s">
        <v>386</v>
      </c>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row>
    <row r="25" spans="4:99" ht="4.5" customHeight="1">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row>
    <row r="26" spans="4:99" ht="9" customHeight="1">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row>
    <row r="27" spans="4:99" ht="9" customHeight="1">
      <c r="D27" s="152"/>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52"/>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row>
    <row r="28" spans="4:99" ht="9" customHeight="1">
      <c r="D28" s="152"/>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52"/>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row>
    <row r="29" spans="4:99" ht="9" customHeight="1">
      <c r="D29" s="152"/>
      <c r="E29" s="148"/>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52"/>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row>
    <row r="30" spans="4:99" ht="9" customHeight="1">
      <c r="D30" s="152"/>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52"/>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row>
    <row r="31" spans="4:99" ht="9" customHeight="1">
      <c r="D31" s="152"/>
      <c r="E31" s="148"/>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52"/>
      <c r="BE31" s="210" t="s">
        <v>387</v>
      </c>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row>
    <row r="32" spans="4:99" ht="9" customHeight="1">
      <c r="D32" s="152"/>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52"/>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row>
    <row r="33" spans="4:99" ht="9" customHeight="1">
      <c r="D33" s="152"/>
      <c r="E33" s="150"/>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2"/>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row>
    <row r="34" spans="4:99" ht="9" customHeight="1">
      <c r="D34" s="152"/>
      <c r="E34" s="150"/>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2"/>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row>
    <row r="35" spans="4:99" ht="9" customHeight="1">
      <c r="D35" s="152"/>
      <c r="E35" s="150"/>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2"/>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row>
    <row r="36" spans="4:99" ht="9" customHeight="1">
      <c r="D36" s="152"/>
      <c r="E36" s="150"/>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2"/>
      <c r="BE36" s="210" t="s">
        <v>388</v>
      </c>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row>
    <row r="37" spans="4:99" ht="9" customHeight="1">
      <c r="D37" s="152"/>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2"/>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row>
    <row r="38" spans="4:99" ht="9" customHeight="1">
      <c r="D38" s="152"/>
      <c r="E38" s="148"/>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52"/>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row>
    <row r="39" spans="4:99" ht="9" customHeight="1">
      <c r="D39" s="152"/>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52"/>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row>
    <row r="40" spans="4:99" ht="9" customHeight="1">
      <c r="D40" s="152"/>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2"/>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row>
    <row r="41" spans="4:99" ht="9" customHeight="1">
      <c r="D41" s="152"/>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2"/>
    </row>
    <row r="42" spans="4:99" ht="9" customHeight="1">
      <c r="D42" s="152"/>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2"/>
    </row>
    <row r="43" spans="4:99" ht="9" customHeight="1">
      <c r="D43" s="152"/>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2"/>
    </row>
    <row r="44" spans="4:99" ht="9" customHeight="1">
      <c r="D44" s="152"/>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2"/>
    </row>
    <row r="45" spans="4:99" ht="9" customHeight="1">
      <c r="D45" s="152"/>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2"/>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row>
    <row r="46" spans="4:99" ht="9" customHeight="1">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row>
    <row r="47" spans="4:99" ht="9" customHeight="1"/>
    <row r="48" spans="4:9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sheetData>
  <sheetProtection algorithmName="SHA-512" hashValue="uGhZRbgDmbRkJskb1OjgiNdeCmPP2vTjlOSMBKcPswXsyHDe5xl8yPAx0JV7aMeMA5E1+69tu/OGDGQct8aNhw==" saltValue="zCa5VjZT0uiDrChTfpUF+g==" spinCount="100000" sheet="1" objects="1" scenarios="1"/>
  <mergeCells count="10">
    <mergeCell ref="BE8:CU9"/>
    <mergeCell ref="BE10:CU11"/>
    <mergeCell ref="BE6:CU7"/>
    <mergeCell ref="BE3:CU4"/>
    <mergeCell ref="D2:BA7"/>
    <mergeCell ref="BE12:CU15"/>
    <mergeCell ref="BE16:CU23"/>
    <mergeCell ref="BE24:CU30"/>
    <mergeCell ref="BE31:CU35"/>
    <mergeCell ref="BE36:CU40"/>
  </mergeCells>
  <pageMargins left="0.51181102362204722" right="0.5118110236220472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B1:EB1841"/>
  <sheetViews>
    <sheetView showGridLines="0" showRowColHeaders="0" topLeftCell="A1003" zoomScale="115" zoomScaleNormal="115" zoomScaleSheetLayoutView="120" workbookViewId="0">
      <selection activeCell="AS1154" activeCellId="8" sqref="AS638:BA639 AS661:BA662 AS685:BA686 AS708:BA709 AS731:BA732 AS761:BA762 AS784:BA785 AS883:BA884 AS1154:BA1155"/>
    </sheetView>
  </sheetViews>
  <sheetFormatPr defaultColWidth="0" defaultRowHeight="12.75" zeroHeight="1"/>
  <cols>
    <col min="1" max="54" width="1.7109375" style="5" customWidth="1"/>
    <col min="55" max="111" width="1.7109375" style="65" customWidth="1"/>
    <col min="112" max="132" width="1.7109375" style="65" hidden="1" customWidth="1"/>
    <col min="133" max="16384" width="0" style="5" hidden="1"/>
  </cols>
  <sheetData>
    <row r="1" spans="2:111" ht="9" customHeight="1" thickBot="1">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row>
    <row r="2" spans="2:111" ht="9" customHeight="1">
      <c r="B2" s="245" t="s">
        <v>279</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6"/>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row>
    <row r="3" spans="2:111" ht="9" customHeight="1">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8"/>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row>
    <row r="4" spans="2:111" ht="9" customHeight="1">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50"/>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row>
    <row r="5" spans="2:111" ht="9" customHeight="1">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row>
    <row r="6" spans="2:111" ht="9" customHeight="1">
      <c r="B6" s="289" t="s">
        <v>25</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90"/>
      <c r="BC6" s="82"/>
      <c r="BD6" s="82"/>
      <c r="BE6" s="82"/>
      <c r="BF6" s="82"/>
      <c r="BG6" s="82"/>
      <c r="BH6" s="214" t="s">
        <v>301</v>
      </c>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82"/>
    </row>
    <row r="7" spans="2:111" ht="9" customHeigh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2"/>
      <c r="BC7" s="82"/>
      <c r="BD7" s="82"/>
      <c r="BE7" s="82"/>
      <c r="BF7" s="82"/>
      <c r="BG7" s="82"/>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82"/>
    </row>
    <row r="8" spans="2:111" ht="9" customHeight="1">
      <c r="BC8" s="82"/>
      <c r="BD8" s="82"/>
      <c r="BE8" s="82"/>
      <c r="BF8" s="82"/>
      <c r="BG8" s="82"/>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82"/>
    </row>
    <row r="9" spans="2:111" ht="9" customHeight="1">
      <c r="B9" s="257" t="s">
        <v>3</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C9" s="82"/>
      <c r="BD9" s="82"/>
      <c r="BE9" s="82"/>
      <c r="BF9" s="82"/>
      <c r="BG9" s="82"/>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82"/>
    </row>
    <row r="10" spans="2:111" ht="9" customHeight="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C10" s="82"/>
      <c r="BD10" s="82"/>
      <c r="BE10" s="82"/>
      <c r="BF10" s="82"/>
      <c r="BG10" s="82"/>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82"/>
    </row>
    <row r="11" spans="2:111" ht="9" customHeight="1">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row>
    <row r="12" spans="2:111" ht="9" customHeight="1">
      <c r="B12" s="258" t="s">
        <v>269</v>
      </c>
      <c r="C12" s="258"/>
      <c r="D12" s="258"/>
      <c r="E12" s="258"/>
      <c r="F12" s="258"/>
      <c r="G12" s="258"/>
      <c r="H12" s="258"/>
      <c r="I12" s="258"/>
      <c r="J12" s="258"/>
      <c r="K12" s="258"/>
      <c r="L12" s="258"/>
      <c r="M12" s="258"/>
      <c r="N12" s="7"/>
      <c r="O12" s="216" t="s">
        <v>483</v>
      </c>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51"/>
      <c r="BC12" s="82"/>
      <c r="BD12" s="82"/>
      <c r="BE12" s="82"/>
      <c r="BF12" s="82"/>
      <c r="BG12" s="82"/>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2"/>
    </row>
    <row r="13" spans="2:111" ht="9" customHeight="1">
      <c r="B13" s="258"/>
      <c r="C13" s="258"/>
      <c r="D13" s="258"/>
      <c r="E13" s="258"/>
      <c r="F13" s="258"/>
      <c r="G13" s="258"/>
      <c r="H13" s="258"/>
      <c r="I13" s="258"/>
      <c r="J13" s="258"/>
      <c r="K13" s="258"/>
      <c r="L13" s="258"/>
      <c r="M13" s="258"/>
      <c r="N13" s="7"/>
      <c r="O13" s="219"/>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52"/>
      <c r="BC13" s="82"/>
      <c r="BD13" s="82"/>
      <c r="BE13" s="82"/>
      <c r="BF13" s="82"/>
      <c r="BG13" s="82"/>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2"/>
    </row>
    <row r="14" spans="2:111" ht="9" customHeight="1">
      <c r="B14" s="8"/>
      <c r="C14" s="8"/>
      <c r="D14" s="8"/>
      <c r="E14" s="8"/>
      <c r="F14" s="8"/>
      <c r="G14" s="8"/>
      <c r="H14" s="8"/>
      <c r="I14" s="8"/>
      <c r="J14" s="8"/>
      <c r="K14" s="8"/>
      <c r="L14" s="8"/>
      <c r="M14" s="8"/>
      <c r="N14" s="7"/>
      <c r="O14" s="219"/>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52"/>
      <c r="BC14" s="82"/>
      <c r="BD14" s="82"/>
      <c r="BE14" s="82"/>
      <c r="BF14" s="82"/>
      <c r="BG14" s="82"/>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2"/>
      <c r="DC14" s="82"/>
      <c r="DD14" s="82"/>
      <c r="DE14" s="82"/>
      <c r="DF14" s="82"/>
      <c r="DG14" s="82"/>
    </row>
    <row r="15" spans="2:111" ht="9" customHeight="1">
      <c r="B15" s="8"/>
      <c r="C15" s="8"/>
      <c r="D15" s="8"/>
      <c r="E15" s="8"/>
      <c r="F15" s="8"/>
      <c r="G15" s="8"/>
      <c r="H15" s="8"/>
      <c r="I15" s="8"/>
      <c r="J15" s="8"/>
      <c r="K15" s="8"/>
      <c r="L15" s="8"/>
      <c r="M15" s="8"/>
      <c r="N15" s="7"/>
      <c r="O15" s="253"/>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5"/>
      <c r="BC15" s="82"/>
      <c r="BD15" s="82"/>
      <c r="BE15" s="82"/>
      <c r="BF15" s="82"/>
      <c r="BG15" s="82"/>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2"/>
      <c r="DC15" s="82"/>
      <c r="DD15" s="82"/>
      <c r="DE15" s="82"/>
      <c r="DF15" s="82"/>
      <c r="DG15" s="82"/>
    </row>
    <row r="16" spans="2:111" ht="4.5" customHeight="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C16" s="82"/>
      <c r="BD16" s="82"/>
      <c r="BE16" s="82"/>
      <c r="BF16" s="82"/>
      <c r="BG16" s="82"/>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2"/>
      <c r="DC16" s="82"/>
      <c r="DD16" s="82"/>
      <c r="DE16" s="82"/>
      <c r="DF16" s="82"/>
      <c r="DG16" s="82"/>
    </row>
    <row r="17" spans="2:132" ht="9" customHeight="1">
      <c r="B17" s="258" t="s">
        <v>4</v>
      </c>
      <c r="C17" s="258"/>
      <c r="D17" s="258"/>
      <c r="E17" s="258"/>
      <c r="F17" s="258"/>
      <c r="G17" s="258"/>
      <c r="H17" s="258"/>
      <c r="I17" s="258"/>
      <c r="J17" s="258"/>
      <c r="K17" s="258"/>
      <c r="L17" s="258"/>
      <c r="M17" s="258"/>
      <c r="N17" s="9"/>
      <c r="O17" s="293">
        <v>3659166000102</v>
      </c>
      <c r="P17" s="294"/>
      <c r="Q17" s="294"/>
      <c r="R17" s="294"/>
      <c r="S17" s="294"/>
      <c r="T17" s="294"/>
      <c r="U17" s="294"/>
      <c r="V17" s="294"/>
      <c r="W17" s="294"/>
      <c r="X17" s="294"/>
      <c r="Y17" s="294"/>
      <c r="Z17" s="294"/>
      <c r="AA17" s="295"/>
      <c r="AB17" s="9"/>
      <c r="AC17" s="299" t="s">
        <v>31</v>
      </c>
      <c r="AD17" s="299"/>
      <c r="AE17" s="299"/>
      <c r="AF17" s="299"/>
      <c r="AG17" s="299"/>
      <c r="AH17" s="299"/>
      <c r="AI17" s="299"/>
      <c r="AJ17" s="299"/>
      <c r="AK17" s="299"/>
      <c r="AL17" s="299"/>
      <c r="AM17" s="299"/>
      <c r="AN17" s="299"/>
      <c r="AO17" s="9"/>
      <c r="AP17" s="300" t="s">
        <v>32</v>
      </c>
      <c r="AQ17" s="301"/>
      <c r="AR17" s="301"/>
      <c r="AS17" s="301"/>
      <c r="AT17" s="301"/>
      <c r="AU17" s="301"/>
      <c r="AV17" s="301"/>
      <c r="AW17" s="301"/>
      <c r="AX17" s="301"/>
      <c r="AY17" s="301"/>
      <c r="AZ17" s="301"/>
      <c r="BA17" s="302"/>
      <c r="BC17" s="82"/>
      <c r="BD17" s="82"/>
      <c r="BE17" s="82"/>
      <c r="BF17" s="82"/>
      <c r="BG17" s="82"/>
      <c r="BH17" s="225" t="s">
        <v>278</v>
      </c>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82"/>
    </row>
    <row r="18" spans="2:132" ht="9" customHeight="1">
      <c r="B18" s="258"/>
      <c r="C18" s="258"/>
      <c r="D18" s="258"/>
      <c r="E18" s="258"/>
      <c r="F18" s="258"/>
      <c r="G18" s="258"/>
      <c r="H18" s="258"/>
      <c r="I18" s="258"/>
      <c r="J18" s="258"/>
      <c r="K18" s="258"/>
      <c r="L18" s="258"/>
      <c r="M18" s="258"/>
      <c r="N18" s="9"/>
      <c r="O18" s="296"/>
      <c r="P18" s="297"/>
      <c r="Q18" s="297"/>
      <c r="R18" s="297"/>
      <c r="S18" s="297"/>
      <c r="T18" s="297"/>
      <c r="U18" s="297"/>
      <c r="V18" s="297"/>
      <c r="W18" s="297"/>
      <c r="X18" s="297"/>
      <c r="Y18" s="297"/>
      <c r="Z18" s="297"/>
      <c r="AA18" s="298"/>
      <c r="AB18" s="9"/>
      <c r="AC18" s="299"/>
      <c r="AD18" s="299"/>
      <c r="AE18" s="299"/>
      <c r="AF18" s="299"/>
      <c r="AG18" s="299"/>
      <c r="AH18" s="299"/>
      <c r="AI18" s="299"/>
      <c r="AJ18" s="299"/>
      <c r="AK18" s="299"/>
      <c r="AL18" s="299"/>
      <c r="AM18" s="299"/>
      <c r="AN18" s="299"/>
      <c r="AO18" s="9"/>
      <c r="AP18" s="303"/>
      <c r="AQ18" s="304"/>
      <c r="AR18" s="304"/>
      <c r="AS18" s="304"/>
      <c r="AT18" s="304"/>
      <c r="AU18" s="304"/>
      <c r="AV18" s="304"/>
      <c r="AW18" s="304"/>
      <c r="AX18" s="304"/>
      <c r="AY18" s="304"/>
      <c r="AZ18" s="304"/>
      <c r="BA18" s="305"/>
      <c r="BC18" s="82"/>
      <c r="BD18" s="82"/>
      <c r="BE18" s="82"/>
      <c r="BF18" s="82"/>
      <c r="BG18" s="82"/>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82"/>
    </row>
    <row r="19" spans="2:132" ht="4.5" customHeight="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C19" s="82"/>
      <c r="BD19" s="82"/>
      <c r="BE19" s="82"/>
      <c r="BF19" s="82"/>
      <c r="BG19" s="82"/>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82"/>
    </row>
    <row r="20" spans="2:132" ht="9" customHeight="1">
      <c r="B20" s="279" t="s">
        <v>352</v>
      </c>
      <c r="C20" s="279"/>
      <c r="D20" s="279"/>
      <c r="E20" s="279"/>
      <c r="F20" s="279"/>
      <c r="G20" s="279"/>
      <c r="H20" s="279"/>
      <c r="I20" s="279"/>
      <c r="J20" s="279"/>
      <c r="K20" s="279"/>
      <c r="L20" s="279"/>
      <c r="M20" s="279"/>
      <c r="N20" s="9"/>
      <c r="O20" s="280">
        <v>193099</v>
      </c>
      <c r="P20" s="280"/>
      <c r="Q20" s="280"/>
      <c r="R20" s="280"/>
      <c r="S20" s="280"/>
      <c r="T20" s="280"/>
      <c r="U20" s="280"/>
      <c r="V20" s="280"/>
      <c r="W20" s="280"/>
      <c r="X20" s="280"/>
      <c r="Y20" s="280"/>
      <c r="Z20" s="280"/>
      <c r="AA20" s="280"/>
      <c r="AB20" s="7"/>
      <c r="AC20" s="277" t="s">
        <v>5</v>
      </c>
      <c r="AD20" s="277"/>
      <c r="AE20" s="277"/>
      <c r="AF20" s="277"/>
      <c r="AG20" s="277"/>
      <c r="AH20" s="277"/>
      <c r="AI20" s="277"/>
      <c r="AJ20" s="277"/>
      <c r="AK20" s="277"/>
      <c r="AL20" s="277"/>
      <c r="AM20" s="277"/>
      <c r="AN20" s="277"/>
      <c r="AO20" s="9"/>
      <c r="AP20" s="278" t="s">
        <v>484</v>
      </c>
      <c r="AQ20" s="278"/>
      <c r="AR20" s="278"/>
      <c r="AS20" s="278"/>
      <c r="AT20" s="278"/>
      <c r="AU20" s="278"/>
      <c r="AV20" s="278"/>
      <c r="AW20" s="278"/>
      <c r="AX20" s="278"/>
      <c r="AY20" s="278"/>
      <c r="AZ20" s="278"/>
      <c r="BA20" s="278"/>
      <c r="BC20" s="82"/>
      <c r="BD20" s="82"/>
      <c r="BE20" s="82"/>
      <c r="BF20" s="82"/>
      <c r="BG20" s="82"/>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82"/>
    </row>
    <row r="21" spans="2:132" ht="9" customHeight="1">
      <c r="B21" s="279"/>
      <c r="C21" s="279"/>
      <c r="D21" s="279"/>
      <c r="E21" s="279"/>
      <c r="F21" s="279"/>
      <c r="G21" s="279"/>
      <c r="H21" s="279"/>
      <c r="I21" s="279"/>
      <c r="J21" s="279"/>
      <c r="K21" s="279"/>
      <c r="L21" s="279"/>
      <c r="M21" s="279"/>
      <c r="N21" s="9"/>
      <c r="O21" s="280"/>
      <c r="P21" s="280"/>
      <c r="Q21" s="280"/>
      <c r="R21" s="280"/>
      <c r="S21" s="280"/>
      <c r="T21" s="280"/>
      <c r="U21" s="280"/>
      <c r="V21" s="280"/>
      <c r="W21" s="280"/>
      <c r="X21" s="280"/>
      <c r="Y21" s="280"/>
      <c r="Z21" s="280"/>
      <c r="AA21" s="280"/>
      <c r="AB21" s="7"/>
      <c r="AC21" s="277"/>
      <c r="AD21" s="277"/>
      <c r="AE21" s="277"/>
      <c r="AF21" s="277"/>
      <c r="AG21" s="277"/>
      <c r="AH21" s="277"/>
      <c r="AI21" s="277"/>
      <c r="AJ21" s="277"/>
      <c r="AK21" s="277"/>
      <c r="AL21" s="277"/>
      <c r="AM21" s="277"/>
      <c r="AN21" s="277"/>
      <c r="AO21" s="9"/>
      <c r="AP21" s="278"/>
      <c r="AQ21" s="278"/>
      <c r="AR21" s="278"/>
      <c r="AS21" s="278"/>
      <c r="AT21" s="278"/>
      <c r="AU21" s="278"/>
      <c r="AV21" s="278"/>
      <c r="AW21" s="278"/>
      <c r="AX21" s="278"/>
      <c r="AY21" s="278"/>
      <c r="AZ21" s="278"/>
      <c r="BA21" s="278"/>
      <c r="BC21" s="82"/>
      <c r="BD21" s="82"/>
      <c r="BE21" s="82"/>
      <c r="BF21" s="82"/>
      <c r="BG21" s="82"/>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82"/>
    </row>
    <row r="22" spans="2:132" ht="4.5" customHeight="1">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C22" s="82"/>
      <c r="BD22" s="82"/>
      <c r="BE22" s="82"/>
      <c r="BF22" s="82"/>
      <c r="BG22" s="82"/>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82"/>
    </row>
    <row r="23" spans="2:132" ht="9" customHeight="1">
      <c r="B23" s="258" t="s">
        <v>8</v>
      </c>
      <c r="C23" s="258"/>
      <c r="D23" s="258"/>
      <c r="E23" s="258"/>
      <c r="F23" s="258"/>
      <c r="G23" s="258"/>
      <c r="H23" s="258"/>
      <c r="I23" s="258"/>
      <c r="J23" s="258"/>
      <c r="K23" s="258"/>
      <c r="L23" s="258"/>
      <c r="M23" s="258"/>
      <c r="N23" s="7"/>
      <c r="O23" s="216" t="s">
        <v>485</v>
      </c>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51"/>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row>
    <row r="24" spans="2:132" ht="9" customHeight="1">
      <c r="B24" s="258"/>
      <c r="C24" s="258"/>
      <c r="D24" s="258"/>
      <c r="E24" s="258"/>
      <c r="F24" s="258"/>
      <c r="G24" s="258"/>
      <c r="H24" s="258"/>
      <c r="I24" s="258"/>
      <c r="J24" s="258"/>
      <c r="K24" s="258"/>
      <c r="L24" s="258"/>
      <c r="M24" s="258"/>
      <c r="N24" s="7"/>
      <c r="O24" s="219"/>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5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row>
    <row r="25" spans="2:132" ht="9" customHeight="1">
      <c r="B25" s="8"/>
      <c r="C25" s="8"/>
      <c r="D25" s="8"/>
      <c r="E25" s="8"/>
      <c r="F25" s="8"/>
      <c r="G25" s="8"/>
      <c r="H25" s="8"/>
      <c r="I25" s="8"/>
      <c r="J25" s="8"/>
      <c r="K25" s="8"/>
      <c r="L25" s="8"/>
      <c r="M25" s="8"/>
      <c r="N25" s="7"/>
      <c r="O25" s="219"/>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5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row>
    <row r="26" spans="2:132" ht="9" customHeight="1">
      <c r="B26" s="8"/>
      <c r="C26" s="8"/>
      <c r="D26" s="8"/>
      <c r="E26" s="8"/>
      <c r="F26" s="8"/>
      <c r="G26" s="8"/>
      <c r="H26" s="8"/>
      <c r="I26" s="8"/>
      <c r="J26" s="8"/>
      <c r="K26" s="8"/>
      <c r="L26" s="8"/>
      <c r="M26" s="8"/>
      <c r="N26" s="7"/>
      <c r="O26" s="253"/>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5"/>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row>
    <row r="27" spans="2:132" ht="4.5" customHeight="1">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row>
    <row r="28" spans="2:132" s="7" customFormat="1" ht="9" customHeight="1">
      <c r="B28" s="258" t="s">
        <v>9</v>
      </c>
      <c r="C28" s="258"/>
      <c r="D28" s="258"/>
      <c r="E28" s="258"/>
      <c r="F28" s="258"/>
      <c r="G28" s="258"/>
      <c r="H28" s="258"/>
      <c r="I28" s="258"/>
      <c r="J28" s="258"/>
      <c r="K28" s="258"/>
      <c r="L28" s="258"/>
      <c r="M28" s="258"/>
      <c r="N28" s="9"/>
      <c r="O28" s="306" t="s">
        <v>486</v>
      </c>
      <c r="P28" s="307"/>
      <c r="Q28" s="307"/>
      <c r="R28" s="307"/>
      <c r="S28" s="307"/>
      <c r="T28" s="307"/>
      <c r="U28" s="307"/>
      <c r="V28" s="307"/>
      <c r="W28" s="307"/>
      <c r="X28" s="307"/>
      <c r="Y28" s="307"/>
      <c r="Z28" s="307"/>
      <c r="AA28" s="307"/>
      <c r="AB28" s="308"/>
      <c r="AC28" s="9"/>
      <c r="AD28" s="319" t="s">
        <v>10</v>
      </c>
      <c r="AE28" s="319"/>
      <c r="AF28" s="319"/>
      <c r="AG28" s="9"/>
      <c r="AH28" s="313" t="s">
        <v>487</v>
      </c>
      <c r="AI28" s="314"/>
      <c r="AJ28" s="315"/>
      <c r="AL28" s="320" t="s">
        <v>11</v>
      </c>
      <c r="AM28" s="320"/>
      <c r="AN28" s="320"/>
      <c r="AP28" s="271" t="s">
        <v>488</v>
      </c>
      <c r="AQ28" s="272"/>
      <c r="AR28" s="272"/>
      <c r="AS28" s="272"/>
      <c r="AT28" s="272"/>
      <c r="AU28" s="272"/>
      <c r="AV28" s="272"/>
      <c r="AW28" s="272"/>
      <c r="AX28" s="272"/>
      <c r="AY28" s="272"/>
      <c r="AZ28" s="272"/>
      <c r="BA28" s="273"/>
      <c r="BC28" s="85"/>
      <c r="BD28" s="85"/>
      <c r="BE28" s="85"/>
      <c r="BF28" s="85"/>
      <c r="BG28" s="85"/>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5"/>
      <c r="DH28" s="67"/>
      <c r="DI28" s="67"/>
      <c r="DJ28" s="67"/>
      <c r="DK28" s="67"/>
      <c r="DL28" s="67"/>
      <c r="DM28" s="67"/>
      <c r="DN28" s="67"/>
      <c r="DO28" s="67"/>
      <c r="DP28" s="67"/>
      <c r="DQ28" s="67"/>
      <c r="DR28" s="67"/>
      <c r="DS28" s="67"/>
      <c r="DT28" s="67"/>
      <c r="DU28" s="67"/>
      <c r="DV28" s="67"/>
      <c r="DW28" s="67"/>
      <c r="DX28" s="67"/>
      <c r="DY28" s="67"/>
      <c r="DZ28" s="67"/>
      <c r="EA28" s="67"/>
      <c r="EB28" s="67"/>
    </row>
    <row r="29" spans="2:132" s="7" customFormat="1" ht="9" customHeight="1">
      <c r="B29" s="258"/>
      <c r="C29" s="258"/>
      <c r="D29" s="258"/>
      <c r="E29" s="258"/>
      <c r="F29" s="258"/>
      <c r="G29" s="258"/>
      <c r="H29" s="258"/>
      <c r="I29" s="258"/>
      <c r="J29" s="258"/>
      <c r="K29" s="258"/>
      <c r="L29" s="258"/>
      <c r="M29" s="258"/>
      <c r="N29" s="9"/>
      <c r="O29" s="309"/>
      <c r="P29" s="310"/>
      <c r="Q29" s="310"/>
      <c r="R29" s="310"/>
      <c r="S29" s="310"/>
      <c r="T29" s="310"/>
      <c r="U29" s="310"/>
      <c r="V29" s="310"/>
      <c r="W29" s="310"/>
      <c r="X29" s="310"/>
      <c r="Y29" s="310"/>
      <c r="Z29" s="310"/>
      <c r="AA29" s="310"/>
      <c r="AB29" s="311"/>
      <c r="AC29" s="9"/>
      <c r="AD29" s="319"/>
      <c r="AE29" s="319"/>
      <c r="AF29" s="319"/>
      <c r="AG29" s="9"/>
      <c r="AH29" s="316"/>
      <c r="AI29" s="317"/>
      <c r="AJ29" s="318"/>
      <c r="AL29" s="320"/>
      <c r="AM29" s="320"/>
      <c r="AN29" s="320"/>
      <c r="AP29" s="274"/>
      <c r="AQ29" s="275"/>
      <c r="AR29" s="275"/>
      <c r="AS29" s="275"/>
      <c r="AT29" s="275"/>
      <c r="AU29" s="275"/>
      <c r="AV29" s="275"/>
      <c r="AW29" s="275"/>
      <c r="AX29" s="275"/>
      <c r="AY29" s="275"/>
      <c r="AZ29" s="275"/>
      <c r="BA29" s="276"/>
      <c r="BC29" s="85"/>
      <c r="BD29" s="85"/>
      <c r="BE29" s="85"/>
      <c r="BF29" s="85"/>
      <c r="BG29" s="85"/>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5"/>
      <c r="DH29" s="67"/>
      <c r="DI29" s="67"/>
      <c r="DJ29" s="67"/>
      <c r="DK29" s="67"/>
      <c r="DL29" s="67"/>
      <c r="DM29" s="67"/>
      <c r="DN29" s="67"/>
      <c r="DO29" s="67"/>
      <c r="DP29" s="67"/>
      <c r="DQ29" s="67"/>
      <c r="DR29" s="67"/>
      <c r="DS29" s="67"/>
      <c r="DT29" s="67"/>
      <c r="DU29" s="67"/>
      <c r="DV29" s="67"/>
      <c r="DW29" s="67"/>
      <c r="DX29" s="67"/>
      <c r="DY29" s="67"/>
      <c r="DZ29" s="67"/>
      <c r="EA29" s="67"/>
      <c r="EB29" s="67"/>
    </row>
    <row r="30" spans="2:132" ht="4.5" customHeight="1">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row>
    <row r="31" spans="2:132" ht="9" customHeight="1">
      <c r="B31" s="258" t="s">
        <v>12</v>
      </c>
      <c r="C31" s="258"/>
      <c r="D31" s="258"/>
      <c r="E31" s="258"/>
      <c r="F31" s="258"/>
      <c r="G31" s="258"/>
      <c r="H31" s="258"/>
      <c r="I31" s="258"/>
      <c r="J31" s="258"/>
      <c r="K31" s="258"/>
      <c r="L31" s="258"/>
      <c r="M31" s="258"/>
      <c r="N31" s="9"/>
      <c r="O31" s="312" t="s">
        <v>489</v>
      </c>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8"/>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row>
    <row r="32" spans="2:132" ht="9" customHeight="1">
      <c r="B32" s="258"/>
      <c r="C32" s="258"/>
      <c r="D32" s="258"/>
      <c r="E32" s="258"/>
      <c r="F32" s="258"/>
      <c r="G32" s="258"/>
      <c r="H32" s="258"/>
      <c r="I32" s="258"/>
      <c r="J32" s="258"/>
      <c r="K32" s="258"/>
      <c r="L32" s="258"/>
      <c r="M32" s="258"/>
      <c r="N32" s="9"/>
      <c r="O32" s="309"/>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1"/>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row>
    <row r="33" spans="2:111" ht="4.5" customHeight="1">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row>
    <row r="34" spans="2:111" ht="9" customHeight="1">
      <c r="B34" s="258" t="s">
        <v>13</v>
      </c>
      <c r="C34" s="258"/>
      <c r="D34" s="258"/>
      <c r="E34" s="258"/>
      <c r="F34" s="258"/>
      <c r="G34" s="258"/>
      <c r="H34" s="258"/>
      <c r="I34" s="258"/>
      <c r="J34" s="258"/>
      <c r="K34" s="258"/>
      <c r="L34" s="258"/>
      <c r="M34" s="258"/>
      <c r="N34" s="9"/>
      <c r="O34" s="312" t="s">
        <v>490</v>
      </c>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8"/>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row>
    <row r="35" spans="2:111" ht="9" customHeight="1">
      <c r="B35" s="258"/>
      <c r="C35" s="258"/>
      <c r="D35" s="258"/>
      <c r="E35" s="258"/>
      <c r="F35" s="258"/>
      <c r="G35" s="258"/>
      <c r="H35" s="258"/>
      <c r="I35" s="258"/>
      <c r="J35" s="258"/>
      <c r="K35" s="258"/>
      <c r="L35" s="258"/>
      <c r="M35" s="258"/>
      <c r="N35" s="9"/>
      <c r="O35" s="309"/>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1"/>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row>
    <row r="36" spans="2:111" ht="9" customHeight="1">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row>
    <row r="37" spans="2:111" ht="9" customHeight="1">
      <c r="B37" s="258" t="s">
        <v>14</v>
      </c>
      <c r="C37" s="258"/>
      <c r="D37" s="258"/>
      <c r="E37" s="258"/>
      <c r="F37" s="258"/>
      <c r="G37" s="258"/>
      <c r="H37" s="258"/>
      <c r="I37" s="258"/>
      <c r="J37" s="258"/>
      <c r="K37" s="258"/>
      <c r="L37" s="258"/>
      <c r="M37" s="258"/>
      <c r="N37" s="258"/>
      <c r="O37" s="258"/>
      <c r="P37" s="258"/>
      <c r="Q37" s="258"/>
      <c r="R37" s="258"/>
      <c r="S37" s="258"/>
      <c r="T37" s="258"/>
      <c r="U37" s="258"/>
      <c r="V37" s="9"/>
      <c r="W37" s="282" t="s">
        <v>482</v>
      </c>
      <c r="X37" s="283"/>
      <c r="Y37" s="284"/>
      <c r="Z37" s="9"/>
      <c r="AA37" s="281" t="s">
        <v>15</v>
      </c>
      <c r="AB37" s="281"/>
      <c r="AC37" s="281"/>
      <c r="AG37" s="282"/>
      <c r="AH37" s="283"/>
      <c r="AI37" s="284"/>
      <c r="AJ37" s="9"/>
      <c r="AK37" s="281" t="s">
        <v>16</v>
      </c>
      <c r="AL37" s="281"/>
      <c r="AM37" s="281"/>
      <c r="BC37" s="82"/>
      <c r="BD37" s="82"/>
      <c r="BE37" s="82"/>
      <c r="BF37" s="82"/>
      <c r="BG37" s="82"/>
      <c r="BH37" s="214" t="s">
        <v>355</v>
      </c>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82"/>
    </row>
    <row r="38" spans="2:111" ht="9" customHeight="1">
      <c r="B38" s="258"/>
      <c r="C38" s="258"/>
      <c r="D38" s="258"/>
      <c r="E38" s="258"/>
      <c r="F38" s="258"/>
      <c r="G38" s="258"/>
      <c r="H38" s="258"/>
      <c r="I38" s="258"/>
      <c r="J38" s="258"/>
      <c r="K38" s="258"/>
      <c r="L38" s="258"/>
      <c r="M38" s="258"/>
      <c r="N38" s="258"/>
      <c r="O38" s="258"/>
      <c r="P38" s="258"/>
      <c r="Q38" s="258"/>
      <c r="R38" s="258"/>
      <c r="S38" s="258"/>
      <c r="T38" s="258"/>
      <c r="U38" s="258"/>
      <c r="V38" s="9"/>
      <c r="W38" s="321"/>
      <c r="X38" s="322"/>
      <c r="Y38" s="323"/>
      <c r="Z38" s="9"/>
      <c r="AA38" s="281"/>
      <c r="AB38" s="281"/>
      <c r="AC38" s="281"/>
      <c r="AG38" s="285"/>
      <c r="AH38" s="286"/>
      <c r="AI38" s="287"/>
      <c r="AJ38" s="9"/>
      <c r="AK38" s="281"/>
      <c r="AL38" s="281"/>
      <c r="AM38" s="281"/>
      <c r="BC38" s="82"/>
      <c r="BD38" s="82"/>
      <c r="BE38" s="82"/>
      <c r="BF38" s="82"/>
      <c r="BG38" s="82"/>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82"/>
    </row>
    <row r="39" spans="2:111" ht="4.5" customHeight="1">
      <c r="BC39" s="82"/>
      <c r="BD39" s="82"/>
      <c r="BE39" s="82"/>
      <c r="BF39" s="82"/>
      <c r="BG39" s="82"/>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82"/>
    </row>
    <row r="40" spans="2:111" ht="9" customHeight="1">
      <c r="B40" s="258" t="str">
        <f>IF($W$37="x","Quantos projetos anteriores com  o FDD?","")</f>
        <v>Quantos projetos anteriores com  o FDD?</v>
      </c>
      <c r="C40" s="258"/>
      <c r="D40" s="258"/>
      <c r="E40" s="258"/>
      <c r="F40" s="258"/>
      <c r="G40" s="258"/>
      <c r="H40" s="258"/>
      <c r="I40" s="258"/>
      <c r="J40" s="258"/>
      <c r="K40" s="258"/>
      <c r="L40" s="258"/>
      <c r="M40" s="258"/>
      <c r="N40" s="258"/>
      <c r="O40" s="258"/>
      <c r="P40" s="258"/>
      <c r="Q40" s="258"/>
      <c r="R40" s="258"/>
      <c r="S40" s="258"/>
      <c r="T40" s="258"/>
      <c r="U40" s="258"/>
      <c r="W40" s="240">
        <v>3</v>
      </c>
      <c r="X40" s="240"/>
      <c r="Y40" s="240"/>
      <c r="BC40" s="82"/>
      <c r="BD40" s="82"/>
      <c r="BE40" s="82"/>
      <c r="BF40" s="82"/>
      <c r="BG40" s="82"/>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82"/>
    </row>
    <row r="41" spans="2:111" ht="9" customHeight="1">
      <c r="B41" s="258"/>
      <c r="C41" s="258"/>
      <c r="D41" s="258"/>
      <c r="E41" s="258"/>
      <c r="F41" s="258"/>
      <c r="G41" s="258"/>
      <c r="H41" s="258"/>
      <c r="I41" s="258"/>
      <c r="J41" s="258"/>
      <c r="K41" s="258"/>
      <c r="L41" s="258"/>
      <c r="M41" s="258"/>
      <c r="N41" s="258"/>
      <c r="O41" s="258"/>
      <c r="P41" s="258"/>
      <c r="Q41" s="258"/>
      <c r="R41" s="258"/>
      <c r="S41" s="258"/>
      <c r="T41" s="258"/>
      <c r="U41" s="258"/>
      <c r="W41" s="240"/>
      <c r="X41" s="240"/>
      <c r="Y41" s="240"/>
      <c r="BC41" s="82"/>
      <c r="BD41" s="82"/>
      <c r="BE41" s="82"/>
      <c r="BF41" s="82"/>
      <c r="BG41" s="82"/>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82"/>
    </row>
    <row r="42" spans="2:111" ht="4.5" customHeight="1">
      <c r="BC42" s="82"/>
      <c r="BD42" s="82"/>
      <c r="BE42" s="82"/>
      <c r="BF42" s="82"/>
      <c r="BG42" s="82"/>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82"/>
    </row>
    <row r="43" spans="2:111" ht="9" customHeight="1">
      <c r="B43" s="258" t="str">
        <f>IF($W$37="x","Nº dos últimos processos com o CFDD","")</f>
        <v>Nº dos últimos processos com o CFDD</v>
      </c>
      <c r="C43" s="258"/>
      <c r="D43" s="258"/>
      <c r="E43" s="258"/>
      <c r="F43" s="258"/>
      <c r="G43" s="258"/>
      <c r="H43" s="258"/>
      <c r="I43" s="258"/>
      <c r="J43" s="258"/>
      <c r="K43" s="258"/>
      <c r="L43" s="258"/>
      <c r="M43" s="258"/>
      <c r="N43" s="258"/>
      <c r="O43" s="258"/>
      <c r="P43" s="258"/>
      <c r="Q43" s="258"/>
      <c r="R43" s="258"/>
      <c r="S43" s="258"/>
      <c r="T43" s="258"/>
      <c r="U43" s="258"/>
      <c r="W43" s="324" t="s">
        <v>491</v>
      </c>
      <c r="X43" s="324"/>
      <c r="Y43" s="324"/>
      <c r="Z43" s="324"/>
      <c r="AA43" s="324"/>
      <c r="AB43" s="324"/>
      <c r="AC43" s="324"/>
      <c r="AD43" s="324"/>
      <c r="AE43" s="324"/>
      <c r="AF43" s="324"/>
      <c r="AG43" s="324"/>
      <c r="AH43" s="324"/>
      <c r="AI43" s="324"/>
      <c r="AJ43" s="324"/>
      <c r="AL43" s="324" t="s">
        <v>492</v>
      </c>
      <c r="AM43" s="324"/>
      <c r="AN43" s="324"/>
      <c r="AO43" s="324"/>
      <c r="AP43" s="324"/>
      <c r="AQ43" s="324"/>
      <c r="AR43" s="324"/>
      <c r="AS43" s="324"/>
      <c r="AT43" s="324"/>
      <c r="AU43" s="324"/>
      <c r="AV43" s="324"/>
      <c r="AW43" s="324"/>
      <c r="AX43" s="324"/>
      <c r="AY43" s="324"/>
      <c r="BC43" s="82"/>
      <c r="BD43" s="82"/>
      <c r="BE43" s="82"/>
      <c r="BF43" s="82"/>
      <c r="BG43" s="82"/>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82"/>
    </row>
    <row r="44" spans="2:111" ht="9" customHeight="1">
      <c r="B44" s="258"/>
      <c r="C44" s="258"/>
      <c r="D44" s="258"/>
      <c r="E44" s="258"/>
      <c r="F44" s="258"/>
      <c r="G44" s="258"/>
      <c r="H44" s="258"/>
      <c r="I44" s="258"/>
      <c r="J44" s="258"/>
      <c r="K44" s="258"/>
      <c r="L44" s="258"/>
      <c r="M44" s="258"/>
      <c r="N44" s="258"/>
      <c r="O44" s="258"/>
      <c r="P44" s="258"/>
      <c r="Q44" s="258"/>
      <c r="R44" s="258"/>
      <c r="S44" s="258"/>
      <c r="T44" s="258"/>
      <c r="U44" s="258"/>
      <c r="W44" s="324"/>
      <c r="X44" s="324"/>
      <c r="Y44" s="324"/>
      <c r="Z44" s="324"/>
      <c r="AA44" s="324"/>
      <c r="AB44" s="324"/>
      <c r="AC44" s="324"/>
      <c r="AD44" s="324"/>
      <c r="AE44" s="324"/>
      <c r="AF44" s="324"/>
      <c r="AG44" s="324"/>
      <c r="AH44" s="324"/>
      <c r="AI44" s="324"/>
      <c r="AJ44" s="324"/>
      <c r="AL44" s="324"/>
      <c r="AM44" s="324"/>
      <c r="AN44" s="324"/>
      <c r="AO44" s="324"/>
      <c r="AP44" s="324"/>
      <c r="AQ44" s="324"/>
      <c r="AR44" s="324"/>
      <c r="AS44" s="324"/>
      <c r="AT44" s="324"/>
      <c r="AU44" s="324"/>
      <c r="AV44" s="324"/>
      <c r="AW44" s="324"/>
      <c r="AX44" s="324"/>
      <c r="AY44" s="324"/>
      <c r="BC44" s="82"/>
      <c r="BD44" s="82"/>
      <c r="BE44" s="82"/>
      <c r="BF44" s="82"/>
      <c r="BG44" s="82"/>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82"/>
    </row>
    <row r="45" spans="2:111" ht="4.5" customHeight="1">
      <c r="BC45" s="82"/>
      <c r="BD45" s="82"/>
      <c r="BE45" s="82"/>
      <c r="BF45" s="82"/>
      <c r="BG45" s="82"/>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82"/>
    </row>
    <row r="46" spans="2:111" ht="9" customHeight="1">
      <c r="B46" s="258"/>
      <c r="C46" s="258"/>
      <c r="D46" s="258"/>
      <c r="E46" s="258"/>
      <c r="F46" s="258"/>
      <c r="G46" s="258"/>
      <c r="H46" s="258"/>
      <c r="I46" s="258"/>
      <c r="J46" s="258"/>
      <c r="K46" s="258"/>
      <c r="L46" s="258"/>
      <c r="M46" s="258"/>
      <c r="N46" s="258"/>
      <c r="O46" s="258"/>
      <c r="P46" s="258"/>
      <c r="Q46" s="258"/>
      <c r="R46" s="258"/>
      <c r="S46" s="258"/>
      <c r="T46" s="258"/>
      <c r="U46" s="258"/>
      <c r="W46" s="324" t="s">
        <v>493</v>
      </c>
      <c r="X46" s="324"/>
      <c r="Y46" s="324"/>
      <c r="Z46" s="324"/>
      <c r="AA46" s="324"/>
      <c r="AB46" s="324"/>
      <c r="AC46" s="324"/>
      <c r="AD46" s="324"/>
      <c r="AE46" s="324"/>
      <c r="AF46" s="324"/>
      <c r="AG46" s="324"/>
      <c r="AH46" s="324"/>
      <c r="AI46" s="324"/>
      <c r="AJ46" s="324"/>
      <c r="AL46" s="324"/>
      <c r="AM46" s="324"/>
      <c r="AN46" s="324"/>
      <c r="AO46" s="324"/>
      <c r="AP46" s="324"/>
      <c r="AQ46" s="324"/>
      <c r="AR46" s="324"/>
      <c r="AS46" s="324"/>
      <c r="AT46" s="324"/>
      <c r="AU46" s="324"/>
      <c r="AV46" s="324"/>
      <c r="AW46" s="324"/>
      <c r="AX46" s="324"/>
      <c r="AY46" s="324"/>
      <c r="BC46" s="82"/>
      <c r="BD46" s="82"/>
      <c r="BE46" s="82"/>
      <c r="BF46" s="82"/>
      <c r="BG46" s="82"/>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82"/>
    </row>
    <row r="47" spans="2:111" ht="9" customHeight="1">
      <c r="B47" s="258"/>
      <c r="C47" s="258"/>
      <c r="D47" s="258"/>
      <c r="E47" s="258"/>
      <c r="F47" s="258"/>
      <c r="G47" s="258"/>
      <c r="H47" s="258"/>
      <c r="I47" s="258"/>
      <c r="J47" s="258"/>
      <c r="K47" s="258"/>
      <c r="L47" s="258"/>
      <c r="M47" s="258"/>
      <c r="N47" s="258"/>
      <c r="O47" s="258"/>
      <c r="P47" s="258"/>
      <c r="Q47" s="258"/>
      <c r="R47" s="258"/>
      <c r="S47" s="258"/>
      <c r="T47" s="258"/>
      <c r="U47" s="258"/>
      <c r="W47" s="324"/>
      <c r="X47" s="324"/>
      <c r="Y47" s="324"/>
      <c r="Z47" s="324"/>
      <c r="AA47" s="324"/>
      <c r="AB47" s="324"/>
      <c r="AC47" s="324"/>
      <c r="AD47" s="324"/>
      <c r="AE47" s="324"/>
      <c r="AF47" s="324"/>
      <c r="AG47" s="324"/>
      <c r="AH47" s="324"/>
      <c r="AI47" s="324"/>
      <c r="AJ47" s="324"/>
      <c r="AL47" s="324"/>
      <c r="AM47" s="324"/>
      <c r="AN47" s="324"/>
      <c r="AO47" s="324"/>
      <c r="AP47" s="324"/>
      <c r="AQ47" s="324"/>
      <c r="AR47" s="324"/>
      <c r="AS47" s="324"/>
      <c r="AT47" s="324"/>
      <c r="AU47" s="324"/>
      <c r="AV47" s="324"/>
      <c r="AW47" s="324"/>
      <c r="AX47" s="324"/>
      <c r="AY47" s="324"/>
      <c r="BC47" s="82"/>
      <c r="BD47" s="82"/>
      <c r="BE47" s="82"/>
      <c r="BF47" s="82"/>
      <c r="BG47" s="82"/>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82"/>
    </row>
    <row r="48" spans="2:111" ht="9" customHeight="1">
      <c r="BC48" s="82"/>
      <c r="BD48" s="82"/>
      <c r="BE48" s="82"/>
      <c r="BF48" s="82"/>
      <c r="BG48" s="82"/>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82"/>
    </row>
    <row r="49" spans="2:111" ht="9" customHeight="1">
      <c r="B49" s="257" t="s">
        <v>23</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row>
    <row r="50" spans="2:111" ht="9" customHeight="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row>
    <row r="51" spans="2:111" ht="9" customHeight="1">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row>
    <row r="52" spans="2:111" ht="9" customHeight="1">
      <c r="B52" s="258" t="s">
        <v>17</v>
      </c>
      <c r="C52" s="258"/>
      <c r="D52" s="258"/>
      <c r="E52" s="258"/>
      <c r="F52" s="258"/>
      <c r="G52" s="258"/>
      <c r="H52" s="258"/>
      <c r="I52" s="258"/>
      <c r="J52" s="258"/>
      <c r="K52" s="258"/>
      <c r="L52" s="258"/>
      <c r="M52" s="258"/>
      <c r="N52" s="9"/>
      <c r="O52" s="259" t="s">
        <v>494</v>
      </c>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1"/>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row>
    <row r="53" spans="2:111" ht="9" customHeight="1">
      <c r="B53" s="258"/>
      <c r="C53" s="258"/>
      <c r="D53" s="258"/>
      <c r="E53" s="258"/>
      <c r="F53" s="258"/>
      <c r="G53" s="258"/>
      <c r="H53" s="258"/>
      <c r="I53" s="258"/>
      <c r="J53" s="258"/>
      <c r="K53" s="258"/>
      <c r="L53" s="258"/>
      <c r="M53" s="258"/>
      <c r="N53" s="9"/>
      <c r="O53" s="262"/>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4"/>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row>
    <row r="54" spans="2:111" ht="4.5" customHeight="1">
      <c r="B54" s="7"/>
      <c r="C54" s="7"/>
      <c r="D54" s="7"/>
      <c r="E54" s="7"/>
      <c r="F54" s="7"/>
      <c r="G54" s="7"/>
      <c r="H54" s="7"/>
      <c r="I54" s="7"/>
      <c r="J54" s="7"/>
      <c r="K54" s="7"/>
      <c r="L54" s="7"/>
      <c r="M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row>
    <row r="55" spans="2:111" ht="9" customHeight="1">
      <c r="B55" s="258" t="s">
        <v>89</v>
      </c>
      <c r="C55" s="258"/>
      <c r="D55" s="258"/>
      <c r="E55" s="258"/>
      <c r="F55" s="258"/>
      <c r="G55" s="258"/>
      <c r="H55" s="258"/>
      <c r="I55" s="258"/>
      <c r="J55" s="258"/>
      <c r="K55" s="258"/>
      <c r="L55" s="258"/>
      <c r="M55" s="258"/>
      <c r="N55" s="9"/>
      <c r="O55" s="259" t="s">
        <v>495</v>
      </c>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1"/>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row>
    <row r="56" spans="2:111" ht="9" customHeight="1">
      <c r="B56" s="258"/>
      <c r="C56" s="258"/>
      <c r="D56" s="258"/>
      <c r="E56" s="258"/>
      <c r="F56" s="258"/>
      <c r="G56" s="258"/>
      <c r="H56" s="258"/>
      <c r="I56" s="258"/>
      <c r="J56" s="258"/>
      <c r="K56" s="258"/>
      <c r="L56" s="258"/>
      <c r="M56" s="258"/>
      <c r="N56" s="9"/>
      <c r="O56" s="262"/>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4"/>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row>
    <row r="57" spans="2:111" ht="4.5" customHeight="1">
      <c r="B57" s="7"/>
      <c r="C57" s="7"/>
      <c r="D57" s="7"/>
      <c r="E57" s="7"/>
      <c r="F57" s="7"/>
      <c r="G57" s="7"/>
      <c r="H57" s="7"/>
      <c r="I57" s="7"/>
      <c r="J57" s="7"/>
      <c r="K57" s="7"/>
      <c r="L57" s="7"/>
      <c r="M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row>
    <row r="58" spans="2:111" ht="9" customHeight="1">
      <c r="B58" s="7"/>
      <c r="C58" s="258" t="s">
        <v>18</v>
      </c>
      <c r="D58" s="258"/>
      <c r="E58" s="258"/>
      <c r="F58" s="258"/>
      <c r="G58" s="258"/>
      <c r="H58" s="258"/>
      <c r="I58" s="258"/>
      <c r="J58" s="258"/>
      <c r="K58" s="258"/>
      <c r="L58" s="258"/>
      <c r="M58" s="258"/>
      <c r="N58" s="9"/>
      <c r="O58" s="325" t="s">
        <v>496</v>
      </c>
      <c r="P58" s="326"/>
      <c r="Q58" s="326"/>
      <c r="R58" s="326"/>
      <c r="S58" s="326"/>
      <c r="T58" s="326"/>
      <c r="U58" s="326"/>
      <c r="V58" s="326"/>
      <c r="W58" s="326"/>
      <c r="X58" s="326"/>
      <c r="Y58" s="326"/>
      <c r="Z58" s="326"/>
      <c r="AA58" s="327"/>
      <c r="AB58" s="7"/>
      <c r="AC58" s="258" t="s">
        <v>19</v>
      </c>
      <c r="AD58" s="258"/>
      <c r="AE58" s="258"/>
      <c r="AF58" s="258"/>
      <c r="AG58" s="258"/>
      <c r="AH58" s="258"/>
      <c r="AI58" s="258"/>
      <c r="AJ58" s="258"/>
      <c r="AK58" s="258"/>
      <c r="AL58" s="258"/>
      <c r="AM58" s="258"/>
      <c r="AN58" s="9"/>
      <c r="AO58" s="331" t="s">
        <v>497</v>
      </c>
      <c r="AP58" s="332"/>
      <c r="AQ58" s="332"/>
      <c r="AR58" s="332"/>
      <c r="AS58" s="332"/>
      <c r="AT58" s="332"/>
      <c r="AU58" s="332"/>
      <c r="AV58" s="332"/>
      <c r="AW58" s="332"/>
      <c r="AX58" s="332"/>
      <c r="AY58" s="332"/>
      <c r="AZ58" s="332"/>
      <c r="BA58" s="333"/>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row>
    <row r="59" spans="2:111" ht="9" customHeight="1">
      <c r="B59" s="7"/>
      <c r="C59" s="258"/>
      <c r="D59" s="258"/>
      <c r="E59" s="258"/>
      <c r="F59" s="258"/>
      <c r="G59" s="258"/>
      <c r="H59" s="258"/>
      <c r="I59" s="258"/>
      <c r="J59" s="258"/>
      <c r="K59" s="258"/>
      <c r="L59" s="258"/>
      <c r="M59" s="258"/>
      <c r="N59" s="9"/>
      <c r="O59" s="328"/>
      <c r="P59" s="329"/>
      <c r="Q59" s="329"/>
      <c r="R59" s="329"/>
      <c r="S59" s="329"/>
      <c r="T59" s="329"/>
      <c r="U59" s="329"/>
      <c r="V59" s="329"/>
      <c r="W59" s="329"/>
      <c r="X59" s="329"/>
      <c r="Y59" s="329"/>
      <c r="Z59" s="329"/>
      <c r="AA59" s="330"/>
      <c r="AB59" s="7"/>
      <c r="AC59" s="258"/>
      <c r="AD59" s="258"/>
      <c r="AE59" s="258"/>
      <c r="AF59" s="258"/>
      <c r="AG59" s="258"/>
      <c r="AH59" s="258"/>
      <c r="AI59" s="258"/>
      <c r="AJ59" s="258"/>
      <c r="AK59" s="258"/>
      <c r="AL59" s="258"/>
      <c r="AM59" s="258"/>
      <c r="AN59" s="9"/>
      <c r="AO59" s="334"/>
      <c r="AP59" s="335"/>
      <c r="AQ59" s="335"/>
      <c r="AR59" s="335"/>
      <c r="AS59" s="335"/>
      <c r="AT59" s="335"/>
      <c r="AU59" s="335"/>
      <c r="AV59" s="335"/>
      <c r="AW59" s="335"/>
      <c r="AX59" s="335"/>
      <c r="AY59" s="335"/>
      <c r="AZ59" s="335"/>
      <c r="BA59" s="336"/>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row>
    <row r="60" spans="2:111" ht="4.5" customHeight="1">
      <c r="B60" s="7"/>
      <c r="C60" s="7"/>
      <c r="D60" s="7"/>
      <c r="E60" s="7"/>
      <c r="F60" s="7"/>
      <c r="G60" s="7"/>
      <c r="H60" s="7"/>
      <c r="I60" s="7"/>
      <c r="J60" s="7"/>
      <c r="K60" s="7"/>
      <c r="L60" s="7"/>
      <c r="M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row>
    <row r="61" spans="2:111" ht="9" customHeight="1">
      <c r="B61" s="7"/>
      <c r="C61" s="258" t="s">
        <v>21</v>
      </c>
      <c r="D61" s="258"/>
      <c r="E61" s="258"/>
      <c r="F61" s="258"/>
      <c r="G61" s="258"/>
      <c r="H61" s="258"/>
      <c r="I61" s="258"/>
      <c r="J61" s="258"/>
      <c r="K61" s="258"/>
      <c r="L61" s="258"/>
      <c r="M61" s="258"/>
      <c r="N61" s="9"/>
      <c r="O61" s="337" t="s">
        <v>498</v>
      </c>
      <c r="P61" s="338"/>
      <c r="Q61" s="338"/>
      <c r="R61" s="338"/>
      <c r="S61" s="338"/>
      <c r="T61" s="338"/>
      <c r="U61" s="338"/>
      <c r="V61" s="338"/>
      <c r="W61" s="338"/>
      <c r="X61" s="338"/>
      <c r="Y61" s="338"/>
      <c r="Z61" s="338"/>
      <c r="AA61" s="339"/>
      <c r="AB61" s="7"/>
      <c r="AC61" s="258" t="s">
        <v>20</v>
      </c>
      <c r="AD61" s="258"/>
      <c r="AE61" s="258"/>
      <c r="AF61" s="258"/>
      <c r="AG61" s="258"/>
      <c r="AH61" s="258"/>
      <c r="AI61" s="258"/>
      <c r="AJ61" s="258"/>
      <c r="AK61" s="258"/>
      <c r="AL61" s="258"/>
      <c r="AM61" s="258"/>
      <c r="AN61" s="9"/>
      <c r="AO61" s="343" t="s">
        <v>499</v>
      </c>
      <c r="AP61" s="344"/>
      <c r="AQ61" s="344"/>
      <c r="AR61" s="344"/>
      <c r="AS61" s="344"/>
      <c r="AT61" s="344"/>
      <c r="AU61" s="344"/>
      <c r="AV61" s="344"/>
      <c r="AW61" s="344"/>
      <c r="AX61" s="344"/>
      <c r="AY61" s="344"/>
      <c r="AZ61" s="344"/>
      <c r="BA61" s="345"/>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row>
    <row r="62" spans="2:111" ht="9" customHeight="1">
      <c r="B62" s="7"/>
      <c r="C62" s="258"/>
      <c r="D62" s="258"/>
      <c r="E62" s="258"/>
      <c r="F62" s="258"/>
      <c r="G62" s="258"/>
      <c r="H62" s="258"/>
      <c r="I62" s="258"/>
      <c r="J62" s="258"/>
      <c r="K62" s="258"/>
      <c r="L62" s="258"/>
      <c r="M62" s="258"/>
      <c r="N62" s="9"/>
      <c r="O62" s="340"/>
      <c r="P62" s="341"/>
      <c r="Q62" s="341"/>
      <c r="R62" s="341"/>
      <c r="S62" s="341"/>
      <c r="T62" s="341"/>
      <c r="U62" s="341"/>
      <c r="V62" s="341"/>
      <c r="W62" s="341"/>
      <c r="X62" s="341"/>
      <c r="Y62" s="341"/>
      <c r="Z62" s="341"/>
      <c r="AA62" s="342"/>
      <c r="AB62" s="7"/>
      <c r="AC62" s="258"/>
      <c r="AD62" s="258"/>
      <c r="AE62" s="258"/>
      <c r="AF62" s="258"/>
      <c r="AG62" s="258"/>
      <c r="AH62" s="258"/>
      <c r="AI62" s="258"/>
      <c r="AJ62" s="258"/>
      <c r="AK62" s="258"/>
      <c r="AL62" s="258"/>
      <c r="AM62" s="258"/>
      <c r="AN62" s="9"/>
      <c r="AO62" s="346"/>
      <c r="AP62" s="347"/>
      <c r="AQ62" s="347"/>
      <c r="AR62" s="347"/>
      <c r="AS62" s="347"/>
      <c r="AT62" s="347"/>
      <c r="AU62" s="347"/>
      <c r="AV62" s="347"/>
      <c r="AW62" s="347"/>
      <c r="AX62" s="347"/>
      <c r="AY62" s="347"/>
      <c r="AZ62" s="347"/>
      <c r="BA62" s="348"/>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row>
    <row r="63" spans="2:111" ht="4.5" customHeight="1">
      <c r="B63" s="7"/>
      <c r="C63" s="7"/>
      <c r="D63" s="7"/>
      <c r="E63" s="7"/>
      <c r="F63" s="7"/>
      <c r="G63" s="7"/>
      <c r="H63" s="7"/>
      <c r="I63" s="7"/>
      <c r="J63" s="7"/>
      <c r="K63" s="7"/>
      <c r="L63" s="7"/>
      <c r="M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row>
    <row r="64" spans="2:111" ht="9" customHeight="1">
      <c r="B64" s="258" t="s">
        <v>22</v>
      </c>
      <c r="C64" s="258"/>
      <c r="D64" s="258"/>
      <c r="E64" s="258"/>
      <c r="F64" s="258"/>
      <c r="G64" s="258"/>
      <c r="H64" s="258"/>
      <c r="I64" s="258"/>
      <c r="J64" s="258"/>
      <c r="K64" s="258"/>
      <c r="L64" s="258"/>
      <c r="M64" s="258"/>
      <c r="N64" s="9"/>
      <c r="O64" s="259" t="s">
        <v>500</v>
      </c>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1"/>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row>
    <row r="65" spans="2:111" ht="9" customHeight="1">
      <c r="B65" s="258"/>
      <c r="C65" s="258"/>
      <c r="D65" s="258"/>
      <c r="E65" s="258"/>
      <c r="F65" s="258"/>
      <c r="G65" s="258"/>
      <c r="H65" s="258"/>
      <c r="I65" s="258"/>
      <c r="J65" s="258"/>
      <c r="K65" s="258"/>
      <c r="L65" s="258"/>
      <c r="M65" s="258"/>
      <c r="N65" s="9"/>
      <c r="O65" s="262"/>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4"/>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row>
    <row r="66" spans="2:111" ht="4.5" customHeight="1">
      <c r="B66" s="7"/>
      <c r="C66" s="7"/>
      <c r="D66" s="7"/>
      <c r="E66" s="7"/>
      <c r="F66" s="7"/>
      <c r="G66" s="7"/>
      <c r="H66" s="7"/>
      <c r="I66" s="7"/>
      <c r="J66" s="7"/>
      <c r="K66" s="7"/>
      <c r="L66" s="7"/>
      <c r="M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row>
    <row r="67" spans="2:111" ht="9" customHeight="1">
      <c r="B67" s="258" t="s">
        <v>12</v>
      </c>
      <c r="C67" s="258"/>
      <c r="D67" s="258"/>
      <c r="E67" s="258"/>
      <c r="F67" s="258"/>
      <c r="G67" s="258"/>
      <c r="H67" s="258"/>
      <c r="I67" s="258"/>
      <c r="J67" s="258"/>
      <c r="K67" s="258"/>
      <c r="L67" s="258"/>
      <c r="M67" s="258"/>
      <c r="N67" s="9"/>
      <c r="O67" s="349" t="s">
        <v>501</v>
      </c>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1"/>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row>
    <row r="68" spans="2:111" ht="9" customHeight="1">
      <c r="B68" s="258"/>
      <c r="C68" s="258"/>
      <c r="D68" s="258"/>
      <c r="E68" s="258"/>
      <c r="F68" s="258"/>
      <c r="G68" s="258"/>
      <c r="H68" s="258"/>
      <c r="I68" s="258"/>
      <c r="J68" s="258"/>
      <c r="K68" s="258"/>
      <c r="L68" s="258"/>
      <c r="M68" s="258"/>
      <c r="N68" s="9"/>
      <c r="O68" s="262"/>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4"/>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row>
    <row r="69" spans="2:111" ht="9" customHeight="1">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row>
    <row r="70" spans="2:111" ht="9" customHeight="1">
      <c r="B70" s="257" t="s">
        <v>24</v>
      </c>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row>
    <row r="71" spans="2:111" ht="9" customHeight="1">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row>
    <row r="72" spans="2:111" ht="9" customHeight="1">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row>
    <row r="73" spans="2:111" ht="9" customHeight="1">
      <c r="B73" s="258" t="s">
        <v>17</v>
      </c>
      <c r="C73" s="258"/>
      <c r="D73" s="258"/>
      <c r="E73" s="258"/>
      <c r="F73" s="258"/>
      <c r="G73" s="258"/>
      <c r="H73" s="258"/>
      <c r="I73" s="258"/>
      <c r="J73" s="258"/>
      <c r="K73" s="258"/>
      <c r="L73" s="258"/>
      <c r="M73" s="258"/>
      <c r="N73" s="9"/>
      <c r="O73" s="259" t="s">
        <v>502</v>
      </c>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1"/>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row>
    <row r="74" spans="2:111" ht="9" customHeight="1">
      <c r="B74" s="258"/>
      <c r="C74" s="258"/>
      <c r="D74" s="258"/>
      <c r="E74" s="258"/>
      <c r="F74" s="258"/>
      <c r="G74" s="258"/>
      <c r="H74" s="258"/>
      <c r="I74" s="258"/>
      <c r="J74" s="258"/>
      <c r="K74" s="258"/>
      <c r="L74" s="258"/>
      <c r="M74" s="258"/>
      <c r="N74" s="9"/>
      <c r="O74" s="262"/>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4"/>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row>
    <row r="75" spans="2:111" ht="4.5" customHeight="1">
      <c r="B75" s="7"/>
      <c r="C75" s="7"/>
      <c r="D75" s="7"/>
      <c r="E75" s="7"/>
      <c r="F75" s="7"/>
      <c r="G75" s="7"/>
      <c r="H75" s="7"/>
      <c r="I75" s="7"/>
      <c r="J75" s="7"/>
      <c r="K75" s="7"/>
      <c r="L75" s="7"/>
      <c r="M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row>
    <row r="76" spans="2:111" ht="9" customHeight="1">
      <c r="B76" s="258" t="s">
        <v>89</v>
      </c>
      <c r="C76" s="258"/>
      <c r="D76" s="258"/>
      <c r="E76" s="258"/>
      <c r="F76" s="258"/>
      <c r="G76" s="258"/>
      <c r="H76" s="258"/>
      <c r="I76" s="258"/>
      <c r="J76" s="258"/>
      <c r="K76" s="258"/>
      <c r="L76" s="258"/>
      <c r="M76" s="258"/>
      <c r="N76" s="9"/>
      <c r="O76" s="259" t="s">
        <v>503</v>
      </c>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1"/>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row>
    <row r="77" spans="2:111" ht="9" customHeight="1">
      <c r="B77" s="258"/>
      <c r="C77" s="258"/>
      <c r="D77" s="258"/>
      <c r="E77" s="258"/>
      <c r="F77" s="258"/>
      <c r="G77" s="258"/>
      <c r="H77" s="258"/>
      <c r="I77" s="258"/>
      <c r="J77" s="258"/>
      <c r="K77" s="258"/>
      <c r="L77" s="258"/>
      <c r="M77" s="258"/>
      <c r="N77" s="9"/>
      <c r="O77" s="262"/>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4"/>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row>
    <row r="78" spans="2:111" ht="4.5" customHeight="1">
      <c r="B78" s="7"/>
      <c r="C78" s="7"/>
      <c r="D78" s="7"/>
      <c r="E78" s="7"/>
      <c r="F78" s="7"/>
      <c r="G78" s="7"/>
      <c r="H78" s="7"/>
      <c r="I78" s="7"/>
      <c r="J78" s="7"/>
      <c r="K78" s="7"/>
      <c r="L78" s="7"/>
      <c r="M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row>
    <row r="79" spans="2:111" ht="9" customHeight="1">
      <c r="B79" s="7"/>
      <c r="C79" s="258" t="s">
        <v>18</v>
      </c>
      <c r="D79" s="258"/>
      <c r="E79" s="258"/>
      <c r="F79" s="258"/>
      <c r="G79" s="258"/>
      <c r="H79" s="258"/>
      <c r="I79" s="258"/>
      <c r="J79" s="258"/>
      <c r="K79" s="258"/>
      <c r="L79" s="258"/>
      <c r="M79" s="258"/>
      <c r="N79" s="9"/>
      <c r="O79" s="325">
        <v>490405100</v>
      </c>
      <c r="P79" s="326"/>
      <c r="Q79" s="326"/>
      <c r="R79" s="326"/>
      <c r="S79" s="326"/>
      <c r="T79" s="326"/>
      <c r="U79" s="326"/>
      <c r="V79" s="326"/>
      <c r="W79" s="326"/>
      <c r="X79" s="326"/>
      <c r="Y79" s="326"/>
      <c r="Z79" s="326"/>
      <c r="AA79" s="327"/>
      <c r="AB79" s="7"/>
      <c r="AC79" s="258" t="s">
        <v>19</v>
      </c>
      <c r="AD79" s="258"/>
      <c r="AE79" s="258"/>
      <c r="AF79" s="258"/>
      <c r="AG79" s="258"/>
      <c r="AH79" s="258"/>
      <c r="AI79" s="258"/>
      <c r="AJ79" s="258"/>
      <c r="AK79" s="258"/>
      <c r="AL79" s="258"/>
      <c r="AM79" s="258"/>
      <c r="AN79" s="9"/>
      <c r="AO79" s="331" t="s">
        <v>504</v>
      </c>
      <c r="AP79" s="332"/>
      <c r="AQ79" s="332"/>
      <c r="AR79" s="332"/>
      <c r="AS79" s="332"/>
      <c r="AT79" s="332"/>
      <c r="AU79" s="332"/>
      <c r="AV79" s="332"/>
      <c r="AW79" s="332"/>
      <c r="AX79" s="332"/>
      <c r="AY79" s="332"/>
      <c r="AZ79" s="332"/>
      <c r="BA79" s="333"/>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row>
    <row r="80" spans="2:111" ht="9" customHeight="1">
      <c r="B80" s="7"/>
      <c r="C80" s="258"/>
      <c r="D80" s="258"/>
      <c r="E80" s="258"/>
      <c r="F80" s="258"/>
      <c r="G80" s="258"/>
      <c r="H80" s="258"/>
      <c r="I80" s="258"/>
      <c r="J80" s="258"/>
      <c r="K80" s="258"/>
      <c r="L80" s="258"/>
      <c r="M80" s="258"/>
      <c r="N80" s="9"/>
      <c r="O80" s="328"/>
      <c r="P80" s="329"/>
      <c r="Q80" s="329"/>
      <c r="R80" s="329"/>
      <c r="S80" s="329"/>
      <c r="T80" s="329"/>
      <c r="U80" s="329"/>
      <c r="V80" s="329"/>
      <c r="W80" s="329"/>
      <c r="X80" s="329"/>
      <c r="Y80" s="329"/>
      <c r="Z80" s="329"/>
      <c r="AA80" s="330"/>
      <c r="AB80" s="7"/>
      <c r="AC80" s="258"/>
      <c r="AD80" s="258"/>
      <c r="AE80" s="258"/>
      <c r="AF80" s="258"/>
      <c r="AG80" s="258"/>
      <c r="AH80" s="258"/>
      <c r="AI80" s="258"/>
      <c r="AJ80" s="258"/>
      <c r="AK80" s="258"/>
      <c r="AL80" s="258"/>
      <c r="AM80" s="258"/>
      <c r="AN80" s="9"/>
      <c r="AO80" s="334"/>
      <c r="AP80" s="335"/>
      <c r="AQ80" s="335"/>
      <c r="AR80" s="335"/>
      <c r="AS80" s="335"/>
      <c r="AT80" s="335"/>
      <c r="AU80" s="335"/>
      <c r="AV80" s="335"/>
      <c r="AW80" s="335"/>
      <c r="AX80" s="335"/>
      <c r="AY80" s="335"/>
      <c r="AZ80" s="335"/>
      <c r="BA80" s="336"/>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row>
    <row r="81" spans="2:111" ht="4.5" customHeight="1">
      <c r="B81" s="7"/>
      <c r="C81" s="7"/>
      <c r="D81" s="7"/>
      <c r="E81" s="7"/>
      <c r="F81" s="7"/>
      <c r="G81" s="7"/>
      <c r="H81" s="7"/>
      <c r="I81" s="7"/>
      <c r="J81" s="7"/>
      <c r="K81" s="7"/>
      <c r="L81" s="7"/>
      <c r="M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row>
    <row r="82" spans="2:111" ht="9" customHeight="1">
      <c r="B82" s="7"/>
      <c r="C82" s="258" t="s">
        <v>21</v>
      </c>
      <c r="D82" s="258"/>
      <c r="E82" s="258"/>
      <c r="F82" s="258"/>
      <c r="G82" s="258"/>
      <c r="H82" s="258"/>
      <c r="I82" s="258"/>
      <c r="J82" s="258"/>
      <c r="K82" s="258"/>
      <c r="L82" s="258"/>
      <c r="M82" s="258"/>
      <c r="N82" s="9"/>
      <c r="O82" s="337">
        <v>6133161370</v>
      </c>
      <c r="P82" s="338"/>
      <c r="Q82" s="338"/>
      <c r="R82" s="338"/>
      <c r="S82" s="338"/>
      <c r="T82" s="338"/>
      <c r="U82" s="338"/>
      <c r="V82" s="338"/>
      <c r="W82" s="338"/>
      <c r="X82" s="338"/>
      <c r="Y82" s="338"/>
      <c r="Z82" s="338"/>
      <c r="AA82" s="339"/>
      <c r="AB82" s="7"/>
      <c r="AC82" s="258" t="s">
        <v>20</v>
      </c>
      <c r="AD82" s="258"/>
      <c r="AE82" s="258"/>
      <c r="AF82" s="258"/>
      <c r="AG82" s="258"/>
      <c r="AH82" s="258"/>
      <c r="AI82" s="258"/>
      <c r="AJ82" s="258"/>
      <c r="AK82" s="258"/>
      <c r="AL82" s="258"/>
      <c r="AM82" s="258"/>
      <c r="AN82" s="9"/>
      <c r="AO82" s="343">
        <v>61999625964</v>
      </c>
      <c r="AP82" s="344"/>
      <c r="AQ82" s="344"/>
      <c r="AR82" s="344"/>
      <c r="AS82" s="344"/>
      <c r="AT82" s="344"/>
      <c r="AU82" s="344"/>
      <c r="AV82" s="344"/>
      <c r="AW82" s="344"/>
      <c r="AX82" s="344"/>
      <c r="AY82" s="344"/>
      <c r="AZ82" s="344"/>
      <c r="BA82" s="345"/>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row>
    <row r="83" spans="2:111" ht="9" customHeight="1">
      <c r="B83" s="7"/>
      <c r="C83" s="258"/>
      <c r="D83" s="258"/>
      <c r="E83" s="258"/>
      <c r="F83" s="258"/>
      <c r="G83" s="258"/>
      <c r="H83" s="258"/>
      <c r="I83" s="258"/>
      <c r="J83" s="258"/>
      <c r="K83" s="258"/>
      <c r="L83" s="258"/>
      <c r="M83" s="258"/>
      <c r="N83" s="9"/>
      <c r="O83" s="340"/>
      <c r="P83" s="341"/>
      <c r="Q83" s="341"/>
      <c r="R83" s="341"/>
      <c r="S83" s="341"/>
      <c r="T83" s="341"/>
      <c r="U83" s="341"/>
      <c r="V83" s="341"/>
      <c r="W83" s="341"/>
      <c r="X83" s="341"/>
      <c r="Y83" s="341"/>
      <c r="Z83" s="341"/>
      <c r="AA83" s="342"/>
      <c r="AB83" s="7"/>
      <c r="AC83" s="258"/>
      <c r="AD83" s="258"/>
      <c r="AE83" s="258"/>
      <c r="AF83" s="258"/>
      <c r="AG83" s="258"/>
      <c r="AH83" s="258"/>
      <c r="AI83" s="258"/>
      <c r="AJ83" s="258"/>
      <c r="AK83" s="258"/>
      <c r="AL83" s="258"/>
      <c r="AM83" s="258"/>
      <c r="AN83" s="9"/>
      <c r="AO83" s="346"/>
      <c r="AP83" s="347"/>
      <c r="AQ83" s="347"/>
      <c r="AR83" s="347"/>
      <c r="AS83" s="347"/>
      <c r="AT83" s="347"/>
      <c r="AU83" s="347"/>
      <c r="AV83" s="347"/>
      <c r="AW83" s="347"/>
      <c r="AX83" s="347"/>
      <c r="AY83" s="347"/>
      <c r="AZ83" s="347"/>
      <c r="BA83" s="348"/>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row>
    <row r="84" spans="2:111" ht="4.5" customHeight="1">
      <c r="B84" s="7"/>
      <c r="C84" s="7"/>
      <c r="D84" s="7"/>
      <c r="E84" s="7"/>
      <c r="F84" s="7"/>
      <c r="G84" s="7"/>
      <c r="H84" s="7"/>
      <c r="I84" s="7"/>
      <c r="J84" s="7"/>
      <c r="K84" s="7"/>
      <c r="L84" s="7"/>
      <c r="M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row>
    <row r="85" spans="2:111" ht="9" customHeight="1">
      <c r="B85" s="258" t="s">
        <v>22</v>
      </c>
      <c r="C85" s="258"/>
      <c r="D85" s="258"/>
      <c r="E85" s="258"/>
      <c r="F85" s="258"/>
      <c r="G85" s="258"/>
      <c r="H85" s="258"/>
      <c r="I85" s="258"/>
      <c r="J85" s="258"/>
      <c r="K85" s="258"/>
      <c r="L85" s="258"/>
      <c r="M85" s="258"/>
      <c r="N85" s="9"/>
      <c r="O85" s="259" t="s">
        <v>505</v>
      </c>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1"/>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row>
    <row r="86" spans="2:111" ht="9" customHeight="1">
      <c r="B86" s="258"/>
      <c r="C86" s="258"/>
      <c r="D86" s="258"/>
      <c r="E86" s="258"/>
      <c r="F86" s="258"/>
      <c r="G86" s="258"/>
      <c r="H86" s="258"/>
      <c r="I86" s="258"/>
      <c r="J86" s="258"/>
      <c r="K86" s="258"/>
      <c r="L86" s="258"/>
      <c r="M86" s="258"/>
      <c r="N86" s="9"/>
      <c r="O86" s="262"/>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4"/>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row>
    <row r="87" spans="2:111" ht="4.5" customHeight="1">
      <c r="B87" s="7"/>
      <c r="C87" s="7"/>
      <c r="D87" s="7"/>
      <c r="E87" s="7"/>
      <c r="F87" s="7"/>
      <c r="G87" s="7"/>
      <c r="H87" s="7"/>
      <c r="I87" s="7"/>
      <c r="J87" s="7"/>
      <c r="K87" s="7"/>
      <c r="L87" s="7"/>
      <c r="M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row>
    <row r="88" spans="2:111" ht="9" customHeight="1">
      <c r="B88" s="258" t="s">
        <v>12</v>
      </c>
      <c r="C88" s="258"/>
      <c r="D88" s="258"/>
      <c r="E88" s="258"/>
      <c r="F88" s="258"/>
      <c r="G88" s="258"/>
      <c r="H88" s="258"/>
      <c r="I88" s="258"/>
      <c r="J88" s="258"/>
      <c r="K88" s="258"/>
      <c r="L88" s="258"/>
      <c r="M88" s="258"/>
      <c r="N88" s="9"/>
      <c r="O88" s="349" t="s">
        <v>506</v>
      </c>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1"/>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row>
    <row r="89" spans="2:111" ht="9" customHeight="1">
      <c r="B89" s="258"/>
      <c r="C89" s="258"/>
      <c r="D89" s="258"/>
      <c r="E89" s="258"/>
      <c r="F89" s="258"/>
      <c r="G89" s="258"/>
      <c r="H89" s="258"/>
      <c r="I89" s="258"/>
      <c r="J89" s="258"/>
      <c r="K89" s="258"/>
      <c r="L89" s="258"/>
      <c r="M89" s="258"/>
      <c r="N89" s="9"/>
      <c r="O89" s="262"/>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4"/>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row>
    <row r="90" spans="2:111" ht="9" customHeight="1">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row>
    <row r="91" spans="2:111" ht="9" customHeight="1">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row>
    <row r="92" spans="2:111" ht="9" customHeight="1">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row>
    <row r="93" spans="2:111" ht="9" customHeight="1">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row>
    <row r="94" spans="2:111" ht="9" customHeight="1" thickBot="1">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row>
    <row r="95" spans="2:111" ht="9" customHeight="1">
      <c r="B95" s="245" t="s">
        <v>279</v>
      </c>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6"/>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row>
    <row r="96" spans="2:111" ht="9" customHeight="1">
      <c r="B96" s="247"/>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8"/>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row>
    <row r="97" spans="2:111" ht="9" customHeight="1">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50"/>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row>
    <row r="98" spans="2:111" ht="9" customHeight="1">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row>
    <row r="99" spans="2:111" ht="9" customHeight="1">
      <c r="B99" s="257" t="s">
        <v>93</v>
      </c>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row>
    <row r="100" spans="2:111" ht="9" customHeight="1">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row>
    <row r="101" spans="2:111" ht="9" customHeight="1">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row>
    <row r="102" spans="2:111" ht="9" customHeight="1">
      <c r="B102" s="215" t="s">
        <v>94</v>
      </c>
      <c r="C102" s="215"/>
      <c r="D102" s="215"/>
      <c r="E102" s="215"/>
      <c r="F102" s="215"/>
      <c r="G102" s="215"/>
      <c r="H102" s="215"/>
      <c r="I102" s="215"/>
      <c r="J102" s="215"/>
      <c r="K102" s="215"/>
      <c r="L102" s="215"/>
      <c r="M102" s="215"/>
      <c r="N102" s="21"/>
      <c r="O102" s="216" t="s">
        <v>507</v>
      </c>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51"/>
      <c r="BC102" s="82"/>
      <c r="BD102" s="82"/>
      <c r="BE102" s="82"/>
      <c r="BF102" s="82"/>
      <c r="BG102" s="82"/>
      <c r="BH102" s="214" t="s">
        <v>356</v>
      </c>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82"/>
    </row>
    <row r="103" spans="2:111" ht="9" customHeight="1">
      <c r="B103" s="215"/>
      <c r="C103" s="215"/>
      <c r="D103" s="215"/>
      <c r="E103" s="215"/>
      <c r="F103" s="215"/>
      <c r="G103" s="215"/>
      <c r="H103" s="215"/>
      <c r="I103" s="215"/>
      <c r="J103" s="215"/>
      <c r="K103" s="215"/>
      <c r="L103" s="215"/>
      <c r="M103" s="215"/>
      <c r="N103" s="21"/>
      <c r="O103" s="219"/>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52"/>
      <c r="BC103" s="82"/>
      <c r="BD103" s="82"/>
      <c r="BE103" s="82"/>
      <c r="BF103" s="82"/>
      <c r="BG103" s="82"/>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82"/>
    </row>
    <row r="104" spans="2:111" ht="9" customHeight="1">
      <c r="B104" s="215"/>
      <c r="C104" s="215"/>
      <c r="D104" s="215"/>
      <c r="E104" s="215"/>
      <c r="F104" s="215"/>
      <c r="G104" s="215"/>
      <c r="H104" s="215"/>
      <c r="I104" s="215"/>
      <c r="J104" s="215"/>
      <c r="K104" s="215"/>
      <c r="L104" s="215"/>
      <c r="M104" s="215"/>
      <c r="N104" s="21"/>
      <c r="O104" s="219"/>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52"/>
      <c r="BC104" s="82"/>
      <c r="BD104" s="82"/>
      <c r="BE104" s="82"/>
      <c r="BF104" s="82"/>
      <c r="BG104" s="82"/>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82"/>
    </row>
    <row r="105" spans="2:111" ht="9" customHeight="1">
      <c r="B105" s="21"/>
      <c r="C105" s="21"/>
      <c r="D105" s="21"/>
      <c r="E105" s="21"/>
      <c r="F105" s="21"/>
      <c r="G105" s="21"/>
      <c r="H105" s="21"/>
      <c r="I105" s="21"/>
      <c r="J105" s="21"/>
      <c r="K105" s="21"/>
      <c r="L105" s="21"/>
      <c r="M105" s="21"/>
      <c r="N105" s="21"/>
      <c r="O105" s="219"/>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52"/>
      <c r="BC105" s="82"/>
      <c r="BD105" s="82"/>
      <c r="BE105" s="82"/>
      <c r="BF105" s="82"/>
      <c r="BG105" s="82"/>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82"/>
    </row>
    <row r="106" spans="2:111" ht="9" customHeight="1">
      <c r="B106" s="21"/>
      <c r="C106" s="21"/>
      <c r="D106" s="21"/>
      <c r="E106" s="21"/>
      <c r="F106" s="21"/>
      <c r="G106" s="21"/>
      <c r="H106" s="21"/>
      <c r="I106" s="21"/>
      <c r="J106" s="21"/>
      <c r="K106" s="21"/>
      <c r="L106" s="21"/>
      <c r="M106" s="21"/>
      <c r="N106" s="21"/>
      <c r="O106" s="219"/>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52"/>
      <c r="BC106" s="82"/>
      <c r="BD106" s="82"/>
      <c r="BE106" s="82"/>
      <c r="BF106" s="82"/>
      <c r="BG106" s="82"/>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82"/>
    </row>
    <row r="107" spans="2:111" ht="9" customHeight="1">
      <c r="B107" s="21"/>
      <c r="C107" s="21"/>
      <c r="D107" s="21"/>
      <c r="E107" s="21"/>
      <c r="F107" s="21"/>
      <c r="G107" s="21"/>
      <c r="H107" s="21"/>
      <c r="I107" s="21"/>
      <c r="J107" s="21"/>
      <c r="K107" s="21"/>
      <c r="L107" s="21"/>
      <c r="M107" s="21"/>
      <c r="N107" s="21"/>
      <c r="O107" s="219"/>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52"/>
      <c r="BC107" s="82"/>
      <c r="BD107" s="82"/>
      <c r="BE107" s="82"/>
      <c r="BF107" s="82"/>
      <c r="BG107" s="82"/>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82"/>
    </row>
    <row r="108" spans="2:111" ht="9" customHeight="1">
      <c r="B108" s="21"/>
      <c r="C108" s="21"/>
      <c r="D108" s="21"/>
      <c r="E108" s="21"/>
      <c r="F108" s="21"/>
      <c r="G108" s="21"/>
      <c r="H108" s="21"/>
      <c r="I108" s="21"/>
      <c r="J108" s="21"/>
      <c r="K108" s="21"/>
      <c r="L108" s="21"/>
      <c r="M108" s="21"/>
      <c r="N108" s="21"/>
      <c r="O108" s="219"/>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52"/>
      <c r="BC108" s="82"/>
      <c r="BD108" s="82"/>
      <c r="BE108" s="82"/>
      <c r="BF108" s="82"/>
      <c r="BG108" s="82"/>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82"/>
    </row>
    <row r="109" spans="2:111" ht="9" customHeight="1">
      <c r="B109" s="21"/>
      <c r="C109" s="21"/>
      <c r="D109" s="21"/>
      <c r="E109" s="21"/>
      <c r="F109" s="21"/>
      <c r="G109" s="21"/>
      <c r="H109" s="21"/>
      <c r="I109" s="21"/>
      <c r="J109" s="21"/>
      <c r="K109" s="21"/>
      <c r="L109" s="21"/>
      <c r="M109" s="21"/>
      <c r="N109" s="21"/>
      <c r="O109" s="219"/>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52"/>
      <c r="BC109" s="82"/>
      <c r="BD109" s="82"/>
      <c r="BE109" s="82"/>
      <c r="BF109" s="82"/>
      <c r="BG109" s="82"/>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82"/>
    </row>
    <row r="110" spans="2:111" ht="9" customHeight="1">
      <c r="B110" s="21"/>
      <c r="C110" s="21"/>
      <c r="D110" s="21"/>
      <c r="E110" s="21"/>
      <c r="F110" s="21"/>
      <c r="G110" s="21"/>
      <c r="H110" s="21"/>
      <c r="I110" s="21"/>
      <c r="J110" s="21"/>
      <c r="K110" s="21"/>
      <c r="L110" s="21"/>
      <c r="M110" s="21"/>
      <c r="N110" s="21"/>
      <c r="O110" s="219"/>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52"/>
      <c r="BC110" s="82"/>
      <c r="BD110" s="82"/>
      <c r="BE110" s="82"/>
      <c r="BF110" s="82"/>
      <c r="BG110" s="82"/>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82"/>
    </row>
    <row r="111" spans="2:111" ht="9" customHeight="1">
      <c r="B111" s="21"/>
      <c r="C111" s="21"/>
      <c r="D111" s="21"/>
      <c r="E111" s="21"/>
      <c r="F111" s="21"/>
      <c r="G111" s="21"/>
      <c r="H111" s="21"/>
      <c r="I111" s="21"/>
      <c r="J111" s="21"/>
      <c r="K111" s="21"/>
      <c r="L111" s="21"/>
      <c r="M111" s="21"/>
      <c r="N111" s="21"/>
      <c r="O111" s="219"/>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52"/>
      <c r="BC111" s="82"/>
      <c r="BD111" s="82"/>
      <c r="BE111" s="82"/>
      <c r="BF111" s="82"/>
      <c r="BG111" s="82"/>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82"/>
    </row>
    <row r="112" spans="2:111" ht="9" customHeight="1">
      <c r="B112" s="21"/>
      <c r="C112" s="21"/>
      <c r="D112" s="21"/>
      <c r="E112" s="21"/>
      <c r="F112" s="21"/>
      <c r="G112" s="21"/>
      <c r="H112" s="21"/>
      <c r="I112" s="21"/>
      <c r="J112" s="21"/>
      <c r="K112" s="21"/>
      <c r="L112" s="21"/>
      <c r="M112" s="21"/>
      <c r="N112" s="21"/>
      <c r="O112" s="219"/>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52"/>
      <c r="BC112" s="82"/>
      <c r="BD112" s="82"/>
      <c r="BE112" s="82"/>
      <c r="BF112" s="82"/>
      <c r="BG112" s="82"/>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82"/>
    </row>
    <row r="113" spans="2:111" ht="9" customHeight="1">
      <c r="B113" s="21"/>
      <c r="C113" s="21"/>
      <c r="D113" s="21"/>
      <c r="E113" s="21"/>
      <c r="F113" s="21"/>
      <c r="G113" s="21"/>
      <c r="H113" s="21"/>
      <c r="I113" s="21"/>
      <c r="J113" s="21"/>
      <c r="K113" s="21"/>
      <c r="L113" s="21"/>
      <c r="M113" s="21"/>
      <c r="N113" s="21"/>
      <c r="O113" s="219"/>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52"/>
      <c r="BC113" s="82"/>
      <c r="BD113" s="82"/>
      <c r="BE113" s="82"/>
      <c r="BF113" s="82"/>
      <c r="BG113" s="82"/>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2"/>
      <c r="DE113" s="82"/>
      <c r="DF113" s="82"/>
      <c r="DG113" s="82"/>
    </row>
    <row r="114" spans="2:111" ht="9" customHeight="1">
      <c r="B114" s="21"/>
      <c r="C114" s="21"/>
      <c r="D114" s="21"/>
      <c r="E114" s="21"/>
      <c r="F114" s="21"/>
      <c r="G114" s="21"/>
      <c r="H114" s="21"/>
      <c r="I114" s="21"/>
      <c r="J114" s="21"/>
      <c r="K114" s="21"/>
      <c r="L114" s="21"/>
      <c r="M114" s="21"/>
      <c r="N114" s="21"/>
      <c r="O114" s="219"/>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5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row>
    <row r="115" spans="2:111" ht="9" customHeight="1">
      <c r="B115" s="21"/>
      <c r="C115" s="21"/>
      <c r="D115" s="21"/>
      <c r="E115" s="21"/>
      <c r="F115" s="21"/>
      <c r="G115" s="21"/>
      <c r="H115" s="21"/>
      <c r="I115" s="21"/>
      <c r="J115" s="21"/>
      <c r="K115" s="21"/>
      <c r="L115" s="21"/>
      <c r="M115" s="21"/>
      <c r="N115" s="21"/>
      <c r="O115" s="219"/>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5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row>
    <row r="116" spans="2:111" ht="9" customHeight="1">
      <c r="B116" s="21"/>
      <c r="C116" s="21"/>
      <c r="D116" s="21"/>
      <c r="E116" s="21"/>
      <c r="F116" s="21"/>
      <c r="G116" s="21"/>
      <c r="H116" s="21"/>
      <c r="I116" s="21"/>
      <c r="J116" s="21"/>
      <c r="K116" s="21"/>
      <c r="L116" s="21"/>
      <c r="M116" s="21"/>
      <c r="N116" s="21"/>
      <c r="O116" s="219"/>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5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row>
    <row r="117" spans="2:111" ht="9" customHeight="1">
      <c r="B117" s="21"/>
      <c r="C117" s="21"/>
      <c r="D117" s="21"/>
      <c r="E117" s="21"/>
      <c r="F117" s="21"/>
      <c r="G117" s="21"/>
      <c r="H117" s="21"/>
      <c r="I117" s="21"/>
      <c r="J117" s="21"/>
      <c r="K117" s="21"/>
      <c r="L117" s="21"/>
      <c r="M117" s="21"/>
      <c r="N117" s="21"/>
      <c r="O117" s="219"/>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5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row>
    <row r="118" spans="2:111" ht="9" customHeight="1">
      <c r="B118" s="21"/>
      <c r="C118" s="21"/>
      <c r="D118" s="21"/>
      <c r="E118" s="21"/>
      <c r="F118" s="21"/>
      <c r="G118" s="21"/>
      <c r="H118" s="21"/>
      <c r="I118" s="21"/>
      <c r="J118" s="21"/>
      <c r="K118" s="21"/>
      <c r="L118" s="21"/>
      <c r="M118" s="21"/>
      <c r="N118" s="21"/>
      <c r="O118" s="219"/>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5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row>
    <row r="119" spans="2:111" ht="9" customHeight="1">
      <c r="B119" s="21"/>
      <c r="C119" s="21"/>
      <c r="D119" s="21"/>
      <c r="E119" s="21"/>
      <c r="F119" s="21"/>
      <c r="G119" s="21"/>
      <c r="H119" s="21"/>
      <c r="I119" s="21"/>
      <c r="J119" s="21"/>
      <c r="K119" s="21"/>
      <c r="L119" s="21"/>
      <c r="M119" s="21"/>
      <c r="N119" s="21"/>
      <c r="O119" s="219"/>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5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row>
    <row r="120" spans="2:111" ht="9" customHeight="1">
      <c r="B120" s="21"/>
      <c r="C120" s="21"/>
      <c r="D120" s="21"/>
      <c r="E120" s="21"/>
      <c r="F120" s="21"/>
      <c r="G120" s="21"/>
      <c r="H120" s="21"/>
      <c r="I120" s="21"/>
      <c r="J120" s="21"/>
      <c r="K120" s="21"/>
      <c r="L120" s="21"/>
      <c r="M120" s="21"/>
      <c r="N120" s="21"/>
      <c r="O120" s="219"/>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5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row>
    <row r="121" spans="2:111" ht="9" customHeight="1">
      <c r="B121" s="21"/>
      <c r="C121" s="21"/>
      <c r="D121" s="21"/>
      <c r="E121" s="21"/>
      <c r="F121" s="21"/>
      <c r="G121" s="21"/>
      <c r="H121" s="21"/>
      <c r="I121" s="21"/>
      <c r="J121" s="21"/>
      <c r="K121" s="21"/>
      <c r="L121" s="21"/>
      <c r="M121" s="21"/>
      <c r="N121" s="21"/>
      <c r="O121" s="219"/>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5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row>
    <row r="122" spans="2:111" ht="9" customHeight="1">
      <c r="B122" s="21"/>
      <c r="C122" s="21"/>
      <c r="D122" s="21"/>
      <c r="E122" s="21"/>
      <c r="F122" s="21"/>
      <c r="G122" s="21"/>
      <c r="H122" s="21"/>
      <c r="I122" s="21"/>
      <c r="J122" s="21"/>
      <c r="K122" s="21"/>
      <c r="L122" s="21"/>
      <c r="M122" s="21"/>
      <c r="N122" s="21"/>
      <c r="O122" s="219"/>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5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row>
    <row r="123" spans="2:111" ht="9" customHeight="1">
      <c r="B123" s="21"/>
      <c r="C123" s="21"/>
      <c r="D123" s="21"/>
      <c r="E123" s="21"/>
      <c r="F123" s="21"/>
      <c r="G123" s="21"/>
      <c r="H123" s="21"/>
      <c r="I123" s="21"/>
      <c r="J123" s="21"/>
      <c r="K123" s="21"/>
      <c r="L123" s="21"/>
      <c r="M123" s="21"/>
      <c r="N123" s="21"/>
      <c r="O123" s="219"/>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5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row>
    <row r="124" spans="2:111" ht="9" customHeight="1">
      <c r="B124" s="21"/>
      <c r="C124" s="21"/>
      <c r="D124" s="21"/>
      <c r="E124" s="21"/>
      <c r="F124" s="21"/>
      <c r="G124" s="21"/>
      <c r="H124" s="21"/>
      <c r="I124" s="21"/>
      <c r="J124" s="21"/>
      <c r="K124" s="21"/>
      <c r="L124" s="21"/>
      <c r="M124" s="21"/>
      <c r="N124" s="21"/>
      <c r="O124" s="219"/>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5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row>
    <row r="125" spans="2:111" ht="9" customHeight="1">
      <c r="B125" s="21"/>
      <c r="C125" s="21"/>
      <c r="D125" s="21"/>
      <c r="E125" s="21"/>
      <c r="F125" s="21"/>
      <c r="G125" s="21"/>
      <c r="H125" s="21"/>
      <c r="I125" s="21"/>
      <c r="J125" s="21"/>
      <c r="K125" s="21"/>
      <c r="L125" s="21"/>
      <c r="M125" s="21"/>
      <c r="N125" s="21"/>
      <c r="O125" s="219"/>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5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row>
    <row r="126" spans="2:111" ht="9" customHeight="1">
      <c r="B126" s="21"/>
      <c r="C126" s="21"/>
      <c r="D126" s="21"/>
      <c r="E126" s="21"/>
      <c r="F126" s="21"/>
      <c r="G126" s="21"/>
      <c r="H126" s="21"/>
      <c r="I126" s="21"/>
      <c r="J126" s="21"/>
      <c r="K126" s="21"/>
      <c r="L126" s="21"/>
      <c r="M126" s="21"/>
      <c r="N126" s="21"/>
      <c r="O126" s="219"/>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5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row>
    <row r="127" spans="2:111" ht="9" customHeight="1">
      <c r="B127" s="21"/>
      <c r="C127" s="21"/>
      <c r="D127" s="21"/>
      <c r="E127" s="21"/>
      <c r="F127" s="21"/>
      <c r="G127" s="21"/>
      <c r="H127" s="21"/>
      <c r="I127" s="21"/>
      <c r="J127" s="21"/>
      <c r="K127" s="21"/>
      <c r="L127" s="21"/>
      <c r="M127" s="21"/>
      <c r="N127" s="21"/>
      <c r="O127" s="219"/>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5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row>
    <row r="128" spans="2:111" ht="9" customHeight="1">
      <c r="B128" s="21"/>
      <c r="C128" s="21"/>
      <c r="D128" s="21"/>
      <c r="E128" s="21"/>
      <c r="F128" s="21"/>
      <c r="G128" s="21"/>
      <c r="H128" s="21"/>
      <c r="I128" s="21"/>
      <c r="J128" s="21"/>
      <c r="K128" s="21"/>
      <c r="L128" s="21"/>
      <c r="M128" s="21"/>
      <c r="N128" s="21"/>
      <c r="O128" s="219"/>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5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row>
    <row r="129" spans="2:111" ht="9" customHeight="1">
      <c r="B129" s="21"/>
      <c r="C129" s="21"/>
      <c r="D129" s="21"/>
      <c r="E129" s="21"/>
      <c r="F129" s="21"/>
      <c r="G129" s="21"/>
      <c r="H129" s="21"/>
      <c r="I129" s="21"/>
      <c r="J129" s="21"/>
      <c r="K129" s="21"/>
      <c r="L129" s="21"/>
      <c r="M129" s="21"/>
      <c r="N129" s="21"/>
      <c r="O129" s="219"/>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5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row>
    <row r="130" spans="2:111" ht="9" customHeight="1">
      <c r="B130" s="21"/>
      <c r="C130" s="21"/>
      <c r="D130" s="21"/>
      <c r="E130" s="21"/>
      <c r="F130" s="21"/>
      <c r="G130" s="21"/>
      <c r="H130" s="21"/>
      <c r="I130" s="21"/>
      <c r="J130" s="21"/>
      <c r="K130" s="21"/>
      <c r="L130" s="21"/>
      <c r="M130" s="21"/>
      <c r="N130" s="21"/>
      <c r="O130" s="219"/>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5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row>
    <row r="131" spans="2:111" ht="9" customHeight="1">
      <c r="B131" s="21"/>
      <c r="C131" s="21"/>
      <c r="D131" s="21"/>
      <c r="E131" s="21"/>
      <c r="F131" s="21"/>
      <c r="G131" s="21"/>
      <c r="H131" s="21"/>
      <c r="I131" s="21"/>
      <c r="J131" s="21"/>
      <c r="K131" s="21"/>
      <c r="L131" s="21"/>
      <c r="M131" s="21"/>
      <c r="N131" s="21"/>
      <c r="O131" s="219"/>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5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row>
    <row r="132" spans="2:111" ht="9" customHeight="1">
      <c r="B132" s="21"/>
      <c r="C132" s="21"/>
      <c r="D132" s="21"/>
      <c r="E132" s="21"/>
      <c r="F132" s="21"/>
      <c r="G132" s="21"/>
      <c r="H132" s="21"/>
      <c r="I132" s="21"/>
      <c r="J132" s="21"/>
      <c r="K132" s="21"/>
      <c r="L132" s="21"/>
      <c r="M132" s="21"/>
      <c r="N132" s="21"/>
      <c r="O132" s="219"/>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5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row>
    <row r="133" spans="2:111" ht="9" customHeight="1">
      <c r="B133" s="21"/>
      <c r="C133" s="21"/>
      <c r="D133" s="21"/>
      <c r="E133" s="21"/>
      <c r="F133" s="21"/>
      <c r="G133" s="21"/>
      <c r="H133" s="21"/>
      <c r="I133" s="21"/>
      <c r="J133" s="21"/>
      <c r="K133" s="21"/>
      <c r="L133" s="21"/>
      <c r="M133" s="21"/>
      <c r="N133" s="21"/>
      <c r="O133" s="219"/>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5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row>
    <row r="134" spans="2:111" ht="9" customHeight="1">
      <c r="B134" s="21"/>
      <c r="C134" s="21"/>
      <c r="D134" s="21"/>
      <c r="E134" s="21"/>
      <c r="F134" s="21"/>
      <c r="G134" s="21"/>
      <c r="H134" s="21"/>
      <c r="I134" s="21"/>
      <c r="J134" s="21"/>
      <c r="K134" s="21"/>
      <c r="L134" s="21"/>
      <c r="M134" s="21"/>
      <c r="N134" s="21"/>
      <c r="O134" s="219"/>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5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row>
    <row r="135" spans="2:111" ht="9" customHeight="1">
      <c r="B135" s="21"/>
      <c r="C135" s="21"/>
      <c r="D135" s="21"/>
      <c r="E135" s="21"/>
      <c r="F135" s="21"/>
      <c r="G135" s="21"/>
      <c r="H135" s="21"/>
      <c r="I135" s="21"/>
      <c r="J135" s="21"/>
      <c r="K135" s="21"/>
      <c r="L135" s="21"/>
      <c r="M135" s="21"/>
      <c r="N135" s="21"/>
      <c r="O135" s="219"/>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5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row>
    <row r="136" spans="2:111" ht="9" customHeight="1">
      <c r="B136" s="21"/>
      <c r="C136" s="21"/>
      <c r="D136" s="21"/>
      <c r="E136" s="21"/>
      <c r="F136" s="21"/>
      <c r="G136" s="21"/>
      <c r="H136" s="21"/>
      <c r="I136" s="21"/>
      <c r="J136" s="21"/>
      <c r="K136" s="21"/>
      <c r="L136" s="21"/>
      <c r="M136" s="21"/>
      <c r="N136" s="21"/>
      <c r="O136" s="219"/>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5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row>
    <row r="137" spans="2:111" ht="9" customHeight="1">
      <c r="B137" s="21"/>
      <c r="C137" s="21"/>
      <c r="D137" s="21"/>
      <c r="E137" s="21"/>
      <c r="F137" s="21"/>
      <c r="G137" s="21"/>
      <c r="H137" s="21"/>
      <c r="I137" s="21"/>
      <c r="J137" s="21"/>
      <c r="K137" s="21"/>
      <c r="L137" s="21"/>
      <c r="M137" s="21"/>
      <c r="N137" s="21"/>
      <c r="O137" s="219"/>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5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row>
    <row r="138" spans="2:111" ht="9" customHeight="1">
      <c r="B138" s="21"/>
      <c r="C138" s="21"/>
      <c r="D138" s="21"/>
      <c r="E138" s="21"/>
      <c r="F138" s="21"/>
      <c r="G138" s="21"/>
      <c r="H138" s="21"/>
      <c r="I138" s="21"/>
      <c r="J138" s="21"/>
      <c r="K138" s="21"/>
      <c r="L138" s="21"/>
      <c r="M138" s="21"/>
      <c r="N138" s="21"/>
      <c r="O138" s="219"/>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5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row>
    <row r="139" spans="2:111" ht="9" customHeight="1">
      <c r="B139" s="21"/>
      <c r="C139" s="21"/>
      <c r="D139" s="21"/>
      <c r="E139" s="21"/>
      <c r="F139" s="21"/>
      <c r="G139" s="21"/>
      <c r="H139" s="21"/>
      <c r="I139" s="21"/>
      <c r="J139" s="21"/>
      <c r="K139" s="21"/>
      <c r="L139" s="21"/>
      <c r="M139" s="21"/>
      <c r="N139" s="21"/>
      <c r="O139" s="219"/>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5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row>
    <row r="140" spans="2:111" ht="9" customHeight="1">
      <c r="B140" s="21"/>
      <c r="C140" s="21"/>
      <c r="D140" s="21"/>
      <c r="E140" s="21"/>
      <c r="F140" s="21"/>
      <c r="G140" s="21"/>
      <c r="H140" s="21"/>
      <c r="I140" s="21"/>
      <c r="J140" s="21"/>
      <c r="K140" s="21"/>
      <c r="L140" s="21"/>
      <c r="M140" s="21"/>
      <c r="N140" s="21"/>
      <c r="O140" s="219"/>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5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row>
    <row r="141" spans="2:111" ht="9" customHeight="1">
      <c r="B141" s="21"/>
      <c r="C141" s="21"/>
      <c r="D141" s="21"/>
      <c r="E141" s="21"/>
      <c r="F141" s="21"/>
      <c r="G141" s="21"/>
      <c r="H141" s="21"/>
      <c r="I141" s="21"/>
      <c r="J141" s="21"/>
      <c r="K141" s="21"/>
      <c r="L141" s="21"/>
      <c r="M141" s="21"/>
      <c r="N141" s="21"/>
      <c r="O141" s="219"/>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5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row>
    <row r="142" spans="2:111" ht="9" customHeight="1">
      <c r="B142" s="21"/>
      <c r="C142" s="21"/>
      <c r="D142" s="21"/>
      <c r="E142" s="21"/>
      <c r="F142" s="21"/>
      <c r="G142" s="21"/>
      <c r="H142" s="21"/>
      <c r="I142" s="21"/>
      <c r="J142" s="21"/>
      <c r="K142" s="21"/>
      <c r="L142" s="21"/>
      <c r="M142" s="21"/>
      <c r="N142" s="21"/>
      <c r="O142" s="219"/>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5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row>
    <row r="143" spans="2:111" ht="9" customHeight="1">
      <c r="B143" s="21"/>
      <c r="C143" s="21"/>
      <c r="D143" s="21"/>
      <c r="E143" s="21"/>
      <c r="F143" s="21"/>
      <c r="G143" s="21"/>
      <c r="H143" s="21"/>
      <c r="I143" s="21"/>
      <c r="J143" s="21"/>
      <c r="K143" s="21"/>
      <c r="L143" s="21"/>
      <c r="M143" s="21"/>
      <c r="N143" s="21"/>
      <c r="O143" s="219"/>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5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row>
    <row r="144" spans="2:111" ht="9" customHeight="1">
      <c r="B144" s="21"/>
      <c r="C144" s="21"/>
      <c r="D144" s="21"/>
      <c r="E144" s="21"/>
      <c r="F144" s="21"/>
      <c r="G144" s="21"/>
      <c r="H144" s="21"/>
      <c r="I144" s="21"/>
      <c r="J144" s="21"/>
      <c r="K144" s="21"/>
      <c r="L144" s="21"/>
      <c r="M144" s="21"/>
      <c r="N144" s="21"/>
      <c r="O144" s="219"/>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5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row>
    <row r="145" spans="2:111" ht="9" customHeight="1">
      <c r="B145" s="21"/>
      <c r="C145" s="21"/>
      <c r="D145" s="21"/>
      <c r="E145" s="21"/>
      <c r="F145" s="21"/>
      <c r="G145" s="21"/>
      <c r="H145" s="21"/>
      <c r="I145" s="21"/>
      <c r="J145" s="21"/>
      <c r="K145" s="21"/>
      <c r="L145" s="21"/>
      <c r="M145" s="21"/>
      <c r="N145" s="21"/>
      <c r="O145" s="219"/>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5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row>
    <row r="146" spans="2:111" ht="9" customHeight="1">
      <c r="B146" s="21"/>
      <c r="C146" s="21"/>
      <c r="D146" s="21"/>
      <c r="E146" s="21"/>
      <c r="F146" s="21"/>
      <c r="G146" s="21"/>
      <c r="H146" s="21"/>
      <c r="I146" s="21"/>
      <c r="J146" s="21"/>
      <c r="K146" s="21"/>
      <c r="L146" s="21"/>
      <c r="M146" s="21"/>
      <c r="N146" s="21"/>
      <c r="O146" s="219"/>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5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row>
    <row r="147" spans="2:111" ht="9" customHeight="1">
      <c r="B147" s="21"/>
      <c r="C147" s="21"/>
      <c r="D147" s="21"/>
      <c r="E147" s="21"/>
      <c r="F147" s="21"/>
      <c r="G147" s="21"/>
      <c r="H147" s="21"/>
      <c r="I147" s="21"/>
      <c r="J147" s="21"/>
      <c r="K147" s="21"/>
      <c r="L147" s="21"/>
      <c r="M147" s="21"/>
      <c r="N147" s="21"/>
      <c r="O147" s="219"/>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5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row>
    <row r="148" spans="2:111" ht="9" customHeight="1">
      <c r="B148" s="21"/>
      <c r="C148" s="21"/>
      <c r="D148" s="21"/>
      <c r="E148" s="21"/>
      <c r="F148" s="21"/>
      <c r="G148" s="21"/>
      <c r="H148" s="21"/>
      <c r="I148" s="21"/>
      <c r="J148" s="21"/>
      <c r="K148" s="21"/>
      <c r="L148" s="21"/>
      <c r="M148" s="21"/>
      <c r="N148" s="21"/>
      <c r="O148" s="219"/>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5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row>
    <row r="149" spans="2:111" ht="9" customHeight="1">
      <c r="B149" s="21"/>
      <c r="C149" s="21"/>
      <c r="D149" s="21"/>
      <c r="E149" s="21"/>
      <c r="F149" s="21"/>
      <c r="G149" s="21"/>
      <c r="H149" s="21"/>
      <c r="I149" s="21"/>
      <c r="J149" s="21"/>
      <c r="K149" s="21"/>
      <c r="L149" s="21"/>
      <c r="M149" s="21"/>
      <c r="N149" s="21"/>
      <c r="O149" s="219"/>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5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row>
    <row r="150" spans="2:111" ht="9" customHeight="1">
      <c r="B150" s="21"/>
      <c r="C150" s="21"/>
      <c r="D150" s="21"/>
      <c r="E150" s="21"/>
      <c r="F150" s="21"/>
      <c r="G150" s="21"/>
      <c r="H150" s="21"/>
      <c r="I150" s="21"/>
      <c r="J150" s="21"/>
      <c r="K150" s="21"/>
      <c r="L150" s="21"/>
      <c r="M150" s="21"/>
      <c r="N150" s="21"/>
      <c r="O150" s="219"/>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5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row>
    <row r="151" spans="2:111" ht="9" customHeight="1">
      <c r="B151" s="21"/>
      <c r="C151" s="21"/>
      <c r="D151" s="21"/>
      <c r="E151" s="21"/>
      <c r="F151" s="21"/>
      <c r="G151" s="21"/>
      <c r="H151" s="21"/>
      <c r="I151" s="21"/>
      <c r="J151" s="21"/>
      <c r="K151" s="21"/>
      <c r="L151" s="21"/>
      <c r="M151" s="21"/>
      <c r="N151" s="21"/>
      <c r="O151" s="219"/>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5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row>
    <row r="152" spans="2:111" ht="9" customHeight="1">
      <c r="B152" s="21"/>
      <c r="C152" s="21"/>
      <c r="D152" s="21"/>
      <c r="E152" s="21"/>
      <c r="F152" s="21"/>
      <c r="G152" s="21"/>
      <c r="H152" s="21"/>
      <c r="I152" s="21"/>
      <c r="J152" s="21"/>
      <c r="K152" s="21"/>
      <c r="L152" s="21"/>
      <c r="M152" s="21"/>
      <c r="N152" s="21"/>
      <c r="O152" s="219"/>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5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row>
    <row r="153" spans="2:111" ht="9" customHeight="1">
      <c r="B153" s="21"/>
      <c r="C153" s="21"/>
      <c r="D153" s="21"/>
      <c r="E153" s="21"/>
      <c r="F153" s="21"/>
      <c r="G153" s="21"/>
      <c r="H153" s="21"/>
      <c r="I153" s="21"/>
      <c r="J153" s="21"/>
      <c r="K153" s="21"/>
      <c r="L153" s="21"/>
      <c r="M153" s="21"/>
      <c r="N153" s="21"/>
      <c r="O153" s="219"/>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5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row>
    <row r="154" spans="2:111" ht="9" customHeight="1">
      <c r="B154" s="21"/>
      <c r="C154" s="21"/>
      <c r="D154" s="21"/>
      <c r="E154" s="21"/>
      <c r="F154" s="21"/>
      <c r="G154" s="21"/>
      <c r="H154" s="21"/>
      <c r="I154" s="21"/>
      <c r="J154" s="21"/>
      <c r="K154" s="21"/>
      <c r="L154" s="21"/>
      <c r="M154" s="21"/>
      <c r="N154" s="21"/>
      <c r="O154" s="219"/>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5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row>
    <row r="155" spans="2:111" ht="9" customHeight="1">
      <c r="B155" s="21"/>
      <c r="C155" s="21"/>
      <c r="D155" s="21"/>
      <c r="E155" s="21"/>
      <c r="F155" s="21"/>
      <c r="G155" s="21"/>
      <c r="H155" s="21"/>
      <c r="I155" s="21"/>
      <c r="J155" s="21"/>
      <c r="K155" s="21"/>
      <c r="L155" s="21"/>
      <c r="M155" s="21"/>
      <c r="N155" s="21"/>
      <c r="O155" s="219"/>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5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row>
    <row r="156" spans="2:111" ht="9" customHeight="1">
      <c r="B156" s="21"/>
      <c r="C156" s="21"/>
      <c r="D156" s="21"/>
      <c r="E156" s="21"/>
      <c r="F156" s="21"/>
      <c r="G156" s="21"/>
      <c r="H156" s="21"/>
      <c r="I156" s="21"/>
      <c r="J156" s="21"/>
      <c r="K156" s="21"/>
      <c r="L156" s="21"/>
      <c r="M156" s="21"/>
      <c r="N156" s="21"/>
      <c r="O156" s="219"/>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5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row>
    <row r="157" spans="2:111" ht="9" customHeight="1">
      <c r="B157" s="21"/>
      <c r="C157" s="21"/>
      <c r="D157" s="21"/>
      <c r="E157" s="21"/>
      <c r="F157" s="21"/>
      <c r="G157" s="21"/>
      <c r="H157" s="21"/>
      <c r="I157" s="21"/>
      <c r="J157" s="21"/>
      <c r="K157" s="21"/>
      <c r="L157" s="21"/>
      <c r="M157" s="21"/>
      <c r="N157" s="21"/>
      <c r="O157" s="219"/>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5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row>
    <row r="158" spans="2:111" ht="9" customHeight="1">
      <c r="B158" s="21"/>
      <c r="C158" s="21"/>
      <c r="D158" s="21"/>
      <c r="E158" s="21"/>
      <c r="F158" s="21"/>
      <c r="G158" s="21"/>
      <c r="H158" s="21"/>
      <c r="I158" s="21"/>
      <c r="J158" s="21"/>
      <c r="K158" s="21"/>
      <c r="L158" s="21"/>
      <c r="M158" s="21"/>
      <c r="N158" s="21"/>
      <c r="O158" s="219"/>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5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row>
    <row r="159" spans="2:111" ht="9" customHeight="1">
      <c r="B159" s="21"/>
      <c r="C159" s="21"/>
      <c r="D159" s="21"/>
      <c r="E159" s="21"/>
      <c r="F159" s="21"/>
      <c r="G159" s="21"/>
      <c r="H159" s="21"/>
      <c r="I159" s="21"/>
      <c r="J159" s="21"/>
      <c r="K159" s="21"/>
      <c r="L159" s="21"/>
      <c r="M159" s="21"/>
      <c r="N159" s="21"/>
      <c r="O159" s="219"/>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5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row>
    <row r="160" spans="2:111" ht="9" customHeight="1">
      <c r="B160" s="21"/>
      <c r="C160" s="21"/>
      <c r="D160" s="21"/>
      <c r="E160" s="21"/>
      <c r="F160" s="21"/>
      <c r="G160" s="21"/>
      <c r="H160" s="21"/>
      <c r="I160" s="21"/>
      <c r="J160" s="21"/>
      <c r="K160" s="21"/>
      <c r="L160" s="21"/>
      <c r="M160" s="21"/>
      <c r="N160" s="21"/>
      <c r="O160" s="219"/>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5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row>
    <row r="161" spans="2:111" ht="9" customHeight="1">
      <c r="B161" s="21"/>
      <c r="C161" s="21"/>
      <c r="D161" s="21"/>
      <c r="E161" s="21"/>
      <c r="F161" s="21"/>
      <c r="G161" s="21"/>
      <c r="H161" s="21"/>
      <c r="I161" s="21"/>
      <c r="J161" s="21"/>
      <c r="K161" s="21"/>
      <c r="L161" s="21"/>
      <c r="M161" s="21"/>
      <c r="N161" s="21"/>
      <c r="O161" s="219"/>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5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row>
    <row r="162" spans="2:111" ht="9" customHeight="1">
      <c r="B162" s="21"/>
      <c r="C162" s="21"/>
      <c r="D162" s="21"/>
      <c r="E162" s="21"/>
      <c r="F162" s="21"/>
      <c r="G162" s="21"/>
      <c r="H162" s="21"/>
      <c r="I162" s="21"/>
      <c r="J162" s="21"/>
      <c r="K162" s="21"/>
      <c r="L162" s="21"/>
      <c r="M162" s="21"/>
      <c r="N162" s="21"/>
      <c r="O162" s="219"/>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5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row>
    <row r="163" spans="2:111" ht="9" customHeight="1">
      <c r="B163" s="21"/>
      <c r="C163" s="21"/>
      <c r="D163" s="21"/>
      <c r="E163" s="21"/>
      <c r="F163" s="21"/>
      <c r="G163" s="21"/>
      <c r="H163" s="21"/>
      <c r="I163" s="21"/>
      <c r="J163" s="21"/>
      <c r="K163" s="21"/>
      <c r="L163" s="21"/>
      <c r="M163" s="21"/>
      <c r="N163" s="21"/>
      <c r="O163" s="219"/>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5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row>
    <row r="164" spans="2:111" ht="9" customHeight="1">
      <c r="B164" s="21"/>
      <c r="C164" s="21"/>
      <c r="D164" s="21"/>
      <c r="E164" s="21"/>
      <c r="F164" s="21"/>
      <c r="G164" s="21"/>
      <c r="H164" s="21"/>
      <c r="I164" s="21"/>
      <c r="J164" s="21"/>
      <c r="K164" s="21"/>
      <c r="L164" s="21"/>
      <c r="M164" s="21"/>
      <c r="N164" s="21"/>
      <c r="O164" s="219"/>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5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row>
    <row r="165" spans="2:111" ht="9" customHeight="1">
      <c r="B165" s="21"/>
      <c r="C165" s="21"/>
      <c r="D165" s="21"/>
      <c r="E165" s="21"/>
      <c r="F165" s="21"/>
      <c r="G165" s="21"/>
      <c r="H165" s="21"/>
      <c r="I165" s="21"/>
      <c r="J165" s="21"/>
      <c r="K165" s="21"/>
      <c r="L165" s="21"/>
      <c r="M165" s="21"/>
      <c r="N165" s="21"/>
      <c r="O165" s="219"/>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5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row>
    <row r="166" spans="2:111" ht="9" customHeight="1">
      <c r="B166" s="21"/>
      <c r="C166" s="21"/>
      <c r="D166" s="21"/>
      <c r="E166" s="21"/>
      <c r="F166" s="21"/>
      <c r="G166" s="21"/>
      <c r="H166" s="21"/>
      <c r="I166" s="21"/>
      <c r="J166" s="21"/>
      <c r="K166" s="21"/>
      <c r="L166" s="21"/>
      <c r="M166" s="21"/>
      <c r="N166" s="21"/>
      <c r="O166" s="219"/>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5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row>
    <row r="167" spans="2:111" ht="9" customHeight="1">
      <c r="B167" s="21"/>
      <c r="C167" s="21"/>
      <c r="D167" s="21"/>
      <c r="E167" s="21"/>
      <c r="F167" s="21"/>
      <c r="G167" s="21"/>
      <c r="H167" s="21"/>
      <c r="I167" s="21"/>
      <c r="J167" s="21"/>
      <c r="K167" s="21"/>
      <c r="L167" s="21"/>
      <c r="M167" s="21"/>
      <c r="N167" s="21"/>
      <c r="O167" s="219"/>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5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row>
    <row r="168" spans="2:111" ht="9" customHeight="1">
      <c r="B168" s="21"/>
      <c r="C168" s="21"/>
      <c r="D168" s="21"/>
      <c r="E168" s="21"/>
      <c r="F168" s="21"/>
      <c r="G168" s="21"/>
      <c r="H168" s="21"/>
      <c r="I168" s="21"/>
      <c r="J168" s="21"/>
      <c r="K168" s="21"/>
      <c r="L168" s="21"/>
      <c r="M168" s="21"/>
      <c r="N168" s="21"/>
      <c r="O168" s="219"/>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5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row>
    <row r="169" spans="2:111" ht="9" customHeight="1">
      <c r="B169" s="21"/>
      <c r="C169" s="21"/>
      <c r="D169" s="21"/>
      <c r="E169" s="21"/>
      <c r="F169" s="21"/>
      <c r="G169" s="21"/>
      <c r="H169" s="21"/>
      <c r="I169" s="21"/>
      <c r="J169" s="21"/>
      <c r="K169" s="21"/>
      <c r="L169" s="21"/>
      <c r="M169" s="21"/>
      <c r="N169" s="21"/>
      <c r="O169" s="219"/>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5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row>
    <row r="170" spans="2:111" ht="9" customHeight="1">
      <c r="B170" s="21"/>
      <c r="C170" s="21"/>
      <c r="D170" s="21"/>
      <c r="E170" s="21"/>
      <c r="F170" s="21"/>
      <c r="G170" s="21"/>
      <c r="H170" s="21"/>
      <c r="I170" s="21"/>
      <c r="J170" s="21"/>
      <c r="K170" s="21"/>
      <c r="L170" s="21"/>
      <c r="M170" s="21"/>
      <c r="N170" s="21"/>
      <c r="O170" s="219"/>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5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row>
    <row r="171" spans="2:111" ht="9" customHeight="1">
      <c r="B171" s="21"/>
      <c r="C171" s="21"/>
      <c r="D171" s="21"/>
      <c r="E171" s="21"/>
      <c r="F171" s="21"/>
      <c r="G171" s="21"/>
      <c r="H171" s="21"/>
      <c r="I171" s="21"/>
      <c r="J171" s="21"/>
      <c r="K171" s="21"/>
      <c r="L171" s="21"/>
      <c r="M171" s="21"/>
      <c r="N171" s="21"/>
      <c r="O171" s="219"/>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5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row>
    <row r="172" spans="2:111" ht="9" customHeight="1">
      <c r="B172" s="21"/>
      <c r="C172" s="21"/>
      <c r="D172" s="21"/>
      <c r="E172" s="21"/>
      <c r="F172" s="21"/>
      <c r="G172" s="21"/>
      <c r="H172" s="21"/>
      <c r="I172" s="21"/>
      <c r="J172" s="21"/>
      <c r="K172" s="21"/>
      <c r="L172" s="21"/>
      <c r="M172" s="21"/>
      <c r="N172" s="21"/>
      <c r="O172" s="219"/>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5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row>
    <row r="173" spans="2:111" ht="9" customHeight="1">
      <c r="B173" s="21"/>
      <c r="C173" s="21"/>
      <c r="D173" s="21"/>
      <c r="E173" s="21"/>
      <c r="F173" s="21"/>
      <c r="G173" s="21"/>
      <c r="H173" s="21"/>
      <c r="I173" s="21"/>
      <c r="J173" s="21"/>
      <c r="K173" s="21"/>
      <c r="L173" s="21"/>
      <c r="M173" s="21"/>
      <c r="N173" s="21"/>
      <c r="O173" s="219"/>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5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row>
    <row r="174" spans="2:111" ht="9" customHeight="1">
      <c r="B174" s="21"/>
      <c r="C174" s="21"/>
      <c r="D174" s="21"/>
      <c r="E174" s="21"/>
      <c r="F174" s="21"/>
      <c r="G174" s="21"/>
      <c r="H174" s="21"/>
      <c r="I174" s="21"/>
      <c r="J174" s="21"/>
      <c r="K174" s="21"/>
      <c r="L174" s="21"/>
      <c r="M174" s="21"/>
      <c r="N174" s="21"/>
      <c r="O174" s="219"/>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5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row>
    <row r="175" spans="2:111" ht="9" customHeight="1">
      <c r="B175" s="21"/>
      <c r="C175" s="21"/>
      <c r="D175" s="21"/>
      <c r="E175" s="21"/>
      <c r="F175" s="21"/>
      <c r="G175" s="21"/>
      <c r="H175" s="21"/>
      <c r="I175" s="21"/>
      <c r="J175" s="21"/>
      <c r="K175" s="21"/>
      <c r="L175" s="21"/>
      <c r="M175" s="21"/>
      <c r="N175" s="21"/>
      <c r="O175" s="219"/>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5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row>
    <row r="176" spans="2:111" ht="9" customHeight="1">
      <c r="B176" s="21"/>
      <c r="C176" s="21"/>
      <c r="D176" s="21"/>
      <c r="E176" s="21"/>
      <c r="F176" s="21"/>
      <c r="G176" s="21"/>
      <c r="H176" s="21"/>
      <c r="I176" s="21"/>
      <c r="J176" s="21"/>
      <c r="K176" s="21"/>
      <c r="L176" s="21"/>
      <c r="M176" s="21"/>
      <c r="N176" s="21"/>
      <c r="O176" s="253"/>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c r="AU176" s="254"/>
      <c r="AV176" s="254"/>
      <c r="AW176" s="254"/>
      <c r="AX176" s="254"/>
      <c r="AY176" s="254"/>
      <c r="AZ176" s="254"/>
      <c r="BA176" s="255"/>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row>
    <row r="177" spans="2:111" ht="9" customHeight="1">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row>
    <row r="178" spans="2:111" ht="9" customHeight="1" thickBot="1">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row>
    <row r="179" spans="2:111" ht="9" customHeight="1">
      <c r="B179" s="245" t="s">
        <v>279</v>
      </c>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45"/>
      <c r="AY179" s="245"/>
      <c r="AZ179" s="245"/>
      <c r="BA179" s="246"/>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row>
    <row r="180" spans="2:111" ht="9" customHeight="1">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8"/>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row>
    <row r="181" spans="2:111" ht="9" customHeight="1">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249"/>
      <c r="AM181" s="249"/>
      <c r="AN181" s="249"/>
      <c r="AO181" s="249"/>
      <c r="AP181" s="249"/>
      <c r="AQ181" s="249"/>
      <c r="AR181" s="249"/>
      <c r="AS181" s="249"/>
      <c r="AT181" s="249"/>
      <c r="AU181" s="249"/>
      <c r="AV181" s="249"/>
      <c r="AW181" s="249"/>
      <c r="AX181" s="249"/>
      <c r="AY181" s="249"/>
      <c r="AZ181" s="249"/>
      <c r="BA181" s="250"/>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row>
    <row r="182" spans="2:111" ht="9" customHeight="1">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row>
    <row r="183" spans="2:111" ht="9" customHeight="1">
      <c r="B183" s="289" t="s">
        <v>26</v>
      </c>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c r="AS183" s="289"/>
      <c r="AT183" s="289"/>
      <c r="AU183" s="289"/>
      <c r="AV183" s="289"/>
      <c r="AW183" s="289"/>
      <c r="AX183" s="289"/>
      <c r="AY183" s="289"/>
      <c r="AZ183" s="289"/>
      <c r="BA183" s="290"/>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row>
    <row r="184" spans="2:111" ht="9" customHeight="1">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row>
    <row r="185" spans="2:111" ht="9" customHeight="1">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row>
    <row r="186" spans="2:111" ht="9" customHeight="1">
      <c r="B186" s="257" t="s">
        <v>27</v>
      </c>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row>
    <row r="187" spans="2:111" ht="9" customHeight="1">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row>
    <row r="188" spans="2:111" ht="9" customHeight="1">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row>
    <row r="189" spans="2:111" ht="9" customHeight="1">
      <c r="B189" s="258" t="s">
        <v>6</v>
      </c>
      <c r="C189" s="258"/>
      <c r="D189" s="258"/>
      <c r="E189" s="258"/>
      <c r="F189" s="258"/>
      <c r="G189" s="258"/>
      <c r="H189" s="258"/>
      <c r="I189" s="258"/>
      <c r="J189" s="258"/>
      <c r="K189" s="258"/>
      <c r="L189" s="258"/>
      <c r="M189" s="258"/>
      <c r="N189" s="7"/>
      <c r="O189" s="216" t="s">
        <v>524</v>
      </c>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51"/>
      <c r="BC189" s="82"/>
      <c r="BD189" s="82"/>
      <c r="BE189" s="82"/>
      <c r="BF189" s="82"/>
      <c r="BG189" s="82"/>
      <c r="BH189" s="214" t="s">
        <v>353</v>
      </c>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82"/>
    </row>
    <row r="190" spans="2:111" ht="9" customHeight="1">
      <c r="B190" s="258"/>
      <c r="C190" s="258"/>
      <c r="D190" s="258"/>
      <c r="E190" s="258"/>
      <c r="F190" s="258"/>
      <c r="G190" s="258"/>
      <c r="H190" s="258"/>
      <c r="I190" s="258"/>
      <c r="J190" s="258"/>
      <c r="K190" s="258"/>
      <c r="L190" s="258"/>
      <c r="M190" s="258"/>
      <c r="N190" s="7"/>
      <c r="O190" s="219"/>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52"/>
      <c r="BC190" s="82"/>
      <c r="BD190" s="82"/>
      <c r="BE190" s="82"/>
      <c r="BF190" s="82"/>
      <c r="BG190" s="82"/>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82"/>
    </row>
    <row r="191" spans="2:111" ht="9" customHeight="1">
      <c r="B191" s="8"/>
      <c r="C191" s="8"/>
      <c r="D191" s="8"/>
      <c r="E191" s="8"/>
      <c r="F191" s="8"/>
      <c r="G191" s="8"/>
      <c r="H191" s="8"/>
      <c r="I191" s="8"/>
      <c r="J191" s="8"/>
      <c r="K191" s="8"/>
      <c r="L191" s="8"/>
      <c r="M191" s="8"/>
      <c r="N191" s="7"/>
      <c r="O191" s="219"/>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52"/>
      <c r="BC191" s="82"/>
      <c r="BD191" s="82"/>
      <c r="BE191" s="82"/>
      <c r="BF191" s="82"/>
      <c r="BG191" s="82"/>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82"/>
    </row>
    <row r="192" spans="2:111" ht="9" customHeight="1">
      <c r="B192" s="7"/>
      <c r="C192" s="7"/>
      <c r="D192" s="7"/>
      <c r="E192" s="7"/>
      <c r="F192" s="7"/>
      <c r="G192" s="7"/>
      <c r="H192" s="7"/>
      <c r="I192" s="7"/>
      <c r="J192" s="7"/>
      <c r="K192" s="7"/>
      <c r="L192" s="7"/>
      <c r="M192" s="7"/>
      <c r="N192" s="7"/>
      <c r="O192" s="253"/>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5"/>
      <c r="BC192" s="82"/>
      <c r="BD192" s="82"/>
      <c r="BE192" s="82"/>
      <c r="BF192" s="82"/>
      <c r="BG192" s="82"/>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82"/>
    </row>
    <row r="193" spans="2:131" ht="4.5" customHeight="1">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C193" s="82"/>
      <c r="BD193" s="82"/>
      <c r="BE193" s="82"/>
      <c r="BF193" s="82"/>
      <c r="BG193" s="82"/>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83"/>
      <c r="CN193" s="83"/>
      <c r="CO193" s="83"/>
      <c r="CP193" s="83"/>
      <c r="CQ193" s="83"/>
      <c r="CR193" s="83"/>
      <c r="CS193" s="83"/>
      <c r="CT193" s="83"/>
      <c r="CU193" s="83"/>
      <c r="CV193" s="83"/>
      <c r="CW193" s="83"/>
      <c r="CX193" s="83"/>
      <c r="CY193" s="83"/>
      <c r="CZ193" s="83"/>
      <c r="DA193" s="83"/>
      <c r="DB193" s="83"/>
      <c r="DC193" s="83"/>
      <c r="DD193" s="82"/>
      <c r="DE193" s="82"/>
      <c r="DF193" s="82"/>
      <c r="DG193" s="82"/>
    </row>
    <row r="194" spans="2:131" ht="9" customHeight="1">
      <c r="B194" s="258" t="s">
        <v>7</v>
      </c>
      <c r="C194" s="258"/>
      <c r="D194" s="258"/>
      <c r="E194" s="258"/>
      <c r="F194" s="258"/>
      <c r="G194" s="258"/>
      <c r="H194" s="258"/>
      <c r="I194" s="258"/>
      <c r="J194" s="258"/>
      <c r="K194" s="258"/>
      <c r="L194" s="258"/>
      <c r="M194" s="258"/>
      <c r="N194" s="7"/>
      <c r="O194" s="216" t="s">
        <v>508</v>
      </c>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51"/>
      <c r="BC194" s="82"/>
      <c r="BD194" s="82"/>
      <c r="BE194" s="82"/>
      <c r="BF194" s="82"/>
      <c r="BG194" s="82"/>
      <c r="BH194" s="214" t="s">
        <v>302</v>
      </c>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c r="CC194" s="214"/>
      <c r="CD194" s="214"/>
      <c r="CE194" s="214"/>
      <c r="CF194" s="214"/>
      <c r="CG194" s="214"/>
      <c r="CH194" s="214"/>
      <c r="CI194" s="214"/>
      <c r="CJ194" s="214"/>
      <c r="CK194" s="214"/>
      <c r="CL194" s="214"/>
      <c r="CM194" s="214"/>
      <c r="CN194" s="214"/>
      <c r="CO194" s="214"/>
      <c r="CP194" s="214"/>
      <c r="CQ194" s="214"/>
      <c r="CR194" s="214"/>
      <c r="CS194" s="214"/>
      <c r="CT194" s="214"/>
      <c r="CU194" s="214"/>
      <c r="CV194" s="214"/>
      <c r="CW194" s="214"/>
      <c r="CX194" s="214"/>
      <c r="CY194" s="214"/>
      <c r="CZ194" s="214"/>
      <c r="DA194" s="214"/>
      <c r="DB194" s="214"/>
      <c r="DC194" s="214"/>
      <c r="DD194" s="214"/>
      <c r="DE194" s="214"/>
      <c r="DF194" s="214"/>
      <c r="DG194" s="82"/>
    </row>
    <row r="195" spans="2:131" ht="9" customHeight="1">
      <c r="B195" s="258"/>
      <c r="C195" s="258"/>
      <c r="D195" s="258"/>
      <c r="E195" s="258"/>
      <c r="F195" s="258"/>
      <c r="G195" s="258"/>
      <c r="H195" s="258"/>
      <c r="I195" s="258"/>
      <c r="J195" s="258"/>
      <c r="K195" s="258"/>
      <c r="L195" s="258"/>
      <c r="M195" s="258"/>
      <c r="N195" s="7"/>
      <c r="O195" s="219"/>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52"/>
      <c r="BC195" s="82"/>
      <c r="BD195" s="82"/>
      <c r="BE195" s="82"/>
      <c r="BF195" s="82"/>
      <c r="BG195" s="82"/>
      <c r="BH195" s="214"/>
      <c r="BI195" s="214"/>
      <c r="BJ195" s="214"/>
      <c r="BK195" s="214"/>
      <c r="BL195" s="214"/>
      <c r="BM195" s="214"/>
      <c r="BN195" s="214"/>
      <c r="BO195" s="214"/>
      <c r="BP195" s="214"/>
      <c r="BQ195" s="214"/>
      <c r="BR195" s="214"/>
      <c r="BS195" s="214"/>
      <c r="BT195" s="214"/>
      <c r="BU195" s="214"/>
      <c r="BV195" s="214"/>
      <c r="BW195" s="214"/>
      <c r="BX195" s="214"/>
      <c r="BY195" s="214"/>
      <c r="BZ195" s="214"/>
      <c r="CA195" s="214"/>
      <c r="CB195" s="214"/>
      <c r="CC195" s="214"/>
      <c r="CD195" s="214"/>
      <c r="CE195" s="214"/>
      <c r="CF195" s="214"/>
      <c r="CG195" s="214"/>
      <c r="CH195" s="214"/>
      <c r="CI195" s="214"/>
      <c r="CJ195" s="214"/>
      <c r="CK195" s="214"/>
      <c r="CL195" s="214"/>
      <c r="CM195" s="214"/>
      <c r="CN195" s="214"/>
      <c r="CO195" s="214"/>
      <c r="CP195" s="214"/>
      <c r="CQ195" s="214"/>
      <c r="CR195" s="214"/>
      <c r="CS195" s="214"/>
      <c r="CT195" s="214"/>
      <c r="CU195" s="214"/>
      <c r="CV195" s="214"/>
      <c r="CW195" s="214"/>
      <c r="CX195" s="214"/>
      <c r="CY195" s="214"/>
      <c r="CZ195" s="214"/>
      <c r="DA195" s="214"/>
      <c r="DB195" s="214"/>
      <c r="DC195" s="214"/>
      <c r="DD195" s="214"/>
      <c r="DE195" s="214"/>
      <c r="DF195" s="214"/>
      <c r="DG195" s="82"/>
    </row>
    <row r="196" spans="2:131" ht="9" customHeight="1">
      <c r="B196" s="6"/>
      <c r="C196" s="6"/>
      <c r="D196" s="6"/>
      <c r="E196" s="6"/>
      <c r="F196" s="6"/>
      <c r="G196" s="6"/>
      <c r="H196" s="6"/>
      <c r="I196" s="6"/>
      <c r="J196" s="6"/>
      <c r="K196" s="6"/>
      <c r="L196" s="6"/>
      <c r="M196" s="6"/>
      <c r="N196" s="7"/>
      <c r="O196" s="219"/>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52"/>
      <c r="BC196" s="82"/>
      <c r="BD196" s="82"/>
      <c r="BE196" s="82"/>
      <c r="BF196" s="82"/>
      <c r="BG196" s="82"/>
      <c r="BH196" s="214"/>
      <c r="BI196" s="214"/>
      <c r="BJ196" s="214"/>
      <c r="BK196" s="214"/>
      <c r="BL196" s="214"/>
      <c r="BM196" s="214"/>
      <c r="BN196" s="214"/>
      <c r="BO196" s="214"/>
      <c r="BP196" s="214"/>
      <c r="BQ196" s="214"/>
      <c r="BR196" s="214"/>
      <c r="BS196" s="214"/>
      <c r="BT196" s="214"/>
      <c r="BU196" s="214"/>
      <c r="BV196" s="214"/>
      <c r="BW196" s="214"/>
      <c r="BX196" s="214"/>
      <c r="BY196" s="214"/>
      <c r="BZ196" s="214"/>
      <c r="CA196" s="214"/>
      <c r="CB196" s="214"/>
      <c r="CC196" s="214"/>
      <c r="CD196" s="214"/>
      <c r="CE196" s="214"/>
      <c r="CF196" s="214"/>
      <c r="CG196" s="214"/>
      <c r="CH196" s="214"/>
      <c r="CI196" s="214"/>
      <c r="CJ196" s="214"/>
      <c r="CK196" s="214"/>
      <c r="CL196" s="214"/>
      <c r="CM196" s="214"/>
      <c r="CN196" s="214"/>
      <c r="CO196" s="214"/>
      <c r="CP196" s="214"/>
      <c r="CQ196" s="214"/>
      <c r="CR196" s="214"/>
      <c r="CS196" s="214"/>
      <c r="CT196" s="214"/>
      <c r="CU196" s="214"/>
      <c r="CV196" s="214"/>
      <c r="CW196" s="214"/>
      <c r="CX196" s="214"/>
      <c r="CY196" s="214"/>
      <c r="CZ196" s="214"/>
      <c r="DA196" s="214"/>
      <c r="DB196" s="214"/>
      <c r="DC196" s="214"/>
      <c r="DD196" s="214"/>
      <c r="DE196" s="214"/>
      <c r="DF196" s="214"/>
      <c r="DG196" s="82"/>
    </row>
    <row r="197" spans="2:131" ht="9" customHeight="1">
      <c r="B197" s="6"/>
      <c r="C197" s="6"/>
      <c r="D197" s="6"/>
      <c r="E197" s="6"/>
      <c r="F197" s="6"/>
      <c r="G197" s="6"/>
      <c r="H197" s="6"/>
      <c r="I197" s="6"/>
      <c r="J197" s="6"/>
      <c r="K197" s="6"/>
      <c r="L197" s="6"/>
      <c r="M197" s="6"/>
      <c r="N197" s="7"/>
      <c r="O197" s="219"/>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52"/>
      <c r="BC197" s="82"/>
      <c r="BD197" s="82"/>
      <c r="BE197" s="82"/>
      <c r="BF197" s="82"/>
      <c r="BG197" s="82"/>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214"/>
      <c r="CT197" s="214"/>
      <c r="CU197" s="214"/>
      <c r="CV197" s="214"/>
      <c r="CW197" s="214"/>
      <c r="CX197" s="214"/>
      <c r="CY197" s="214"/>
      <c r="CZ197" s="214"/>
      <c r="DA197" s="214"/>
      <c r="DB197" s="214"/>
      <c r="DC197" s="214"/>
      <c r="DD197" s="214"/>
      <c r="DE197" s="214"/>
      <c r="DF197" s="214"/>
      <c r="DG197" s="82"/>
    </row>
    <row r="198" spans="2:131" ht="9" customHeight="1">
      <c r="B198" s="7"/>
      <c r="C198" s="7"/>
      <c r="D198" s="7"/>
      <c r="E198" s="7"/>
      <c r="F198" s="7"/>
      <c r="G198" s="7"/>
      <c r="H198" s="7"/>
      <c r="I198" s="7"/>
      <c r="J198" s="7"/>
      <c r="K198" s="7"/>
      <c r="L198" s="7"/>
      <c r="M198" s="7"/>
      <c r="N198" s="7"/>
      <c r="O198" s="219"/>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52"/>
      <c r="BC198" s="82"/>
      <c r="BD198" s="82"/>
      <c r="BE198" s="82"/>
      <c r="BF198" s="82"/>
      <c r="BG198" s="82"/>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14"/>
      <c r="CJ198" s="214"/>
      <c r="CK198" s="214"/>
      <c r="CL198" s="214"/>
      <c r="CM198" s="214"/>
      <c r="CN198" s="214"/>
      <c r="CO198" s="214"/>
      <c r="CP198" s="214"/>
      <c r="CQ198" s="214"/>
      <c r="CR198" s="214"/>
      <c r="CS198" s="214"/>
      <c r="CT198" s="214"/>
      <c r="CU198" s="214"/>
      <c r="CV198" s="214"/>
      <c r="CW198" s="214"/>
      <c r="CX198" s="214"/>
      <c r="CY198" s="214"/>
      <c r="CZ198" s="214"/>
      <c r="DA198" s="214"/>
      <c r="DB198" s="214"/>
      <c r="DC198" s="214"/>
      <c r="DD198" s="214"/>
      <c r="DE198" s="214"/>
      <c r="DF198" s="214"/>
      <c r="DG198" s="82"/>
    </row>
    <row r="199" spans="2:131" ht="9" customHeight="1">
      <c r="B199" s="7"/>
      <c r="C199" s="7"/>
      <c r="D199" s="7"/>
      <c r="E199" s="7"/>
      <c r="F199" s="7"/>
      <c r="G199" s="7"/>
      <c r="H199" s="7"/>
      <c r="I199" s="7"/>
      <c r="J199" s="7"/>
      <c r="K199" s="7"/>
      <c r="L199" s="7"/>
      <c r="M199" s="7"/>
      <c r="N199" s="7"/>
      <c r="O199" s="253"/>
      <c r="P199" s="254"/>
      <c r="Q199" s="254"/>
      <c r="R199" s="254"/>
      <c r="S199" s="254"/>
      <c r="T199" s="254"/>
      <c r="U199" s="254"/>
      <c r="V199" s="254"/>
      <c r="W199" s="254"/>
      <c r="X199" s="254"/>
      <c r="Y199" s="254"/>
      <c r="Z199" s="254"/>
      <c r="AA199" s="254"/>
      <c r="AB199" s="254"/>
      <c r="AC199" s="254"/>
      <c r="AD199" s="254"/>
      <c r="AE199" s="254"/>
      <c r="AF199" s="254"/>
      <c r="AG199" s="254"/>
      <c r="AH199" s="254"/>
      <c r="AI199" s="254"/>
      <c r="AJ199" s="254"/>
      <c r="AK199" s="254"/>
      <c r="AL199" s="254"/>
      <c r="AM199" s="254"/>
      <c r="AN199" s="254"/>
      <c r="AO199" s="254"/>
      <c r="AP199" s="254"/>
      <c r="AQ199" s="254"/>
      <c r="AR199" s="254"/>
      <c r="AS199" s="254"/>
      <c r="AT199" s="254"/>
      <c r="AU199" s="254"/>
      <c r="AV199" s="254"/>
      <c r="AW199" s="254"/>
      <c r="AX199" s="254"/>
      <c r="AY199" s="254"/>
      <c r="AZ199" s="254"/>
      <c r="BA199" s="255"/>
      <c r="BC199" s="82"/>
      <c r="BD199" s="82"/>
      <c r="BE199" s="82"/>
      <c r="BF199" s="82"/>
      <c r="BG199" s="82"/>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214"/>
      <c r="CT199" s="214"/>
      <c r="CU199" s="214"/>
      <c r="CV199" s="214"/>
      <c r="CW199" s="214"/>
      <c r="CX199" s="214"/>
      <c r="CY199" s="214"/>
      <c r="CZ199" s="214"/>
      <c r="DA199" s="214"/>
      <c r="DB199" s="214"/>
      <c r="DC199" s="214"/>
      <c r="DD199" s="214"/>
      <c r="DE199" s="214"/>
      <c r="DF199" s="214"/>
      <c r="DG199" s="82"/>
    </row>
    <row r="200" spans="2:131" ht="4.5" customHeight="1">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C200" s="82"/>
      <c r="BD200" s="82"/>
      <c r="BE200" s="82"/>
      <c r="BF200" s="82"/>
      <c r="BG200" s="82"/>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83"/>
      <c r="CN200" s="83"/>
      <c r="CO200" s="83"/>
      <c r="CP200" s="83"/>
      <c r="CQ200" s="83"/>
      <c r="CR200" s="83"/>
      <c r="CS200" s="83"/>
      <c r="CT200" s="83"/>
      <c r="CU200" s="83"/>
      <c r="CV200" s="83"/>
      <c r="CW200" s="83"/>
      <c r="CX200" s="83"/>
      <c r="CY200" s="83"/>
      <c r="CZ200" s="83"/>
      <c r="DA200" s="83"/>
      <c r="DB200" s="83"/>
      <c r="DC200" s="83"/>
      <c r="DD200" s="82"/>
      <c r="DE200" s="82"/>
      <c r="DF200" s="82"/>
      <c r="DG200" s="82"/>
    </row>
    <row r="201" spans="2:131" ht="9" customHeight="1">
      <c r="C201" s="258" t="s">
        <v>31</v>
      </c>
      <c r="D201" s="258"/>
      <c r="E201" s="258"/>
      <c r="F201" s="258"/>
      <c r="G201" s="258"/>
      <c r="H201" s="258"/>
      <c r="I201" s="258"/>
      <c r="J201" s="258"/>
      <c r="K201" s="258"/>
      <c r="L201" s="258"/>
      <c r="M201" s="258"/>
      <c r="O201" s="352" t="s">
        <v>482</v>
      </c>
      <c r="P201" s="353"/>
      <c r="Q201" s="354"/>
      <c r="R201" s="288" t="s">
        <v>32</v>
      </c>
      <c r="S201" s="288"/>
      <c r="T201" s="288"/>
      <c r="U201" s="288"/>
      <c r="V201" s="288"/>
      <c r="W201" s="288"/>
      <c r="X201" s="11"/>
      <c r="Y201" s="352"/>
      <c r="Z201" s="353"/>
      <c r="AA201" s="354"/>
      <c r="AB201" s="288" t="s">
        <v>82</v>
      </c>
      <c r="AC201" s="288"/>
      <c r="AD201" s="288"/>
      <c r="AE201" s="288"/>
      <c r="AF201" s="288"/>
      <c r="AG201" s="288"/>
      <c r="AI201" s="352"/>
      <c r="AJ201" s="353"/>
      <c r="AK201" s="354"/>
      <c r="AL201" s="288" t="s">
        <v>83</v>
      </c>
      <c r="AM201" s="288"/>
      <c r="AN201" s="288"/>
      <c r="AO201" s="288"/>
      <c r="AP201" s="288"/>
      <c r="AQ201" s="288"/>
      <c r="AS201" s="352"/>
      <c r="AT201" s="353"/>
      <c r="AU201" s="354"/>
      <c r="AV201" s="288" t="s">
        <v>84</v>
      </c>
      <c r="AW201" s="288"/>
      <c r="AX201" s="288"/>
      <c r="AY201" s="288"/>
      <c r="AZ201" s="288"/>
      <c r="BA201" s="288"/>
      <c r="BC201" s="82"/>
      <c r="BD201" s="82"/>
      <c r="BE201" s="82"/>
      <c r="BF201" s="82"/>
      <c r="BG201" s="82"/>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83"/>
      <c r="CN201" s="83"/>
      <c r="CO201" s="83"/>
      <c r="CP201" s="83"/>
      <c r="CQ201" s="83"/>
      <c r="CR201" s="83"/>
      <c r="CS201" s="83"/>
      <c r="CT201" s="83"/>
      <c r="CU201" s="83"/>
      <c r="CV201" s="83"/>
      <c r="CW201" s="83"/>
      <c r="CX201" s="83"/>
      <c r="CY201" s="83"/>
      <c r="CZ201" s="83"/>
      <c r="DA201" s="83"/>
      <c r="DB201" s="83"/>
      <c r="DC201" s="83"/>
      <c r="DD201" s="82"/>
      <c r="DE201" s="82"/>
      <c r="DF201" s="82"/>
      <c r="DG201" s="82"/>
    </row>
    <row r="202" spans="2:131" ht="9" customHeight="1">
      <c r="C202" s="258"/>
      <c r="D202" s="258"/>
      <c r="E202" s="258"/>
      <c r="F202" s="258"/>
      <c r="G202" s="258"/>
      <c r="H202" s="258"/>
      <c r="I202" s="258"/>
      <c r="J202" s="258"/>
      <c r="K202" s="258"/>
      <c r="L202" s="258"/>
      <c r="M202" s="258"/>
      <c r="O202" s="355"/>
      <c r="P202" s="356"/>
      <c r="Q202" s="357"/>
      <c r="R202" s="288"/>
      <c r="S202" s="288"/>
      <c r="T202" s="288"/>
      <c r="U202" s="288"/>
      <c r="V202" s="288"/>
      <c r="W202" s="288"/>
      <c r="X202" s="11"/>
      <c r="Y202" s="355"/>
      <c r="Z202" s="356"/>
      <c r="AA202" s="357"/>
      <c r="AB202" s="288"/>
      <c r="AC202" s="288"/>
      <c r="AD202" s="288"/>
      <c r="AE202" s="288"/>
      <c r="AF202" s="288"/>
      <c r="AG202" s="288"/>
      <c r="AI202" s="355"/>
      <c r="AJ202" s="356"/>
      <c r="AK202" s="357"/>
      <c r="AL202" s="288"/>
      <c r="AM202" s="288"/>
      <c r="AN202" s="288"/>
      <c r="AO202" s="288"/>
      <c r="AP202" s="288"/>
      <c r="AQ202" s="288"/>
      <c r="AS202" s="355"/>
      <c r="AT202" s="356"/>
      <c r="AU202" s="357"/>
      <c r="AV202" s="288"/>
      <c r="AW202" s="288"/>
      <c r="AX202" s="288"/>
      <c r="AY202" s="288"/>
      <c r="AZ202" s="288"/>
      <c r="BA202" s="288"/>
      <c r="BC202" s="82"/>
      <c r="BD202" s="82"/>
      <c r="BE202" s="82"/>
      <c r="BF202" s="82"/>
      <c r="BG202" s="82"/>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83"/>
      <c r="CN202" s="83"/>
      <c r="CO202" s="83"/>
      <c r="CP202" s="83"/>
      <c r="CQ202" s="83"/>
      <c r="CR202" s="83"/>
      <c r="CS202" s="83"/>
      <c r="CT202" s="83"/>
      <c r="CU202" s="83"/>
      <c r="CV202" s="83"/>
      <c r="CW202" s="83"/>
      <c r="CX202" s="83"/>
      <c r="CY202" s="83"/>
      <c r="CZ202" s="83"/>
      <c r="DA202" s="83"/>
      <c r="DB202" s="83"/>
      <c r="DC202" s="83"/>
      <c r="DD202" s="82"/>
      <c r="DE202" s="82"/>
      <c r="DF202" s="82"/>
      <c r="DG202" s="82"/>
    </row>
    <row r="203" spans="2:131" ht="9" customHeight="1">
      <c r="R203" s="288"/>
      <c r="S203" s="288"/>
      <c r="T203" s="288"/>
      <c r="U203" s="288"/>
      <c r="V203" s="288"/>
      <c r="W203" s="288"/>
      <c r="AB203" s="288"/>
      <c r="AC203" s="288"/>
      <c r="AD203" s="288"/>
      <c r="AE203" s="288"/>
      <c r="AF203" s="288"/>
      <c r="AG203" s="288"/>
      <c r="AL203" s="288"/>
      <c r="AM203" s="288"/>
      <c r="AN203" s="288"/>
      <c r="AO203" s="288"/>
      <c r="AP203" s="288"/>
      <c r="AQ203" s="288"/>
      <c r="AV203" s="288"/>
      <c r="AW203" s="288"/>
      <c r="AX203" s="288"/>
      <c r="AY203" s="288"/>
      <c r="AZ203" s="288"/>
      <c r="BA203" s="288"/>
      <c r="BC203" s="82"/>
      <c r="BD203" s="82"/>
      <c r="BE203" s="82"/>
      <c r="BF203" s="82"/>
      <c r="BG203" s="82"/>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83"/>
      <c r="CN203" s="83"/>
      <c r="CO203" s="83"/>
      <c r="CP203" s="83"/>
      <c r="CQ203" s="83"/>
      <c r="CR203" s="83"/>
      <c r="CS203" s="83"/>
      <c r="CT203" s="83"/>
      <c r="CU203" s="83"/>
      <c r="CV203" s="83"/>
      <c r="CW203" s="83"/>
      <c r="CX203" s="83"/>
      <c r="CY203" s="83"/>
      <c r="CZ203" s="83"/>
      <c r="DA203" s="83"/>
      <c r="DB203" s="83"/>
      <c r="DC203" s="83"/>
      <c r="DD203" s="82"/>
      <c r="DE203" s="82"/>
      <c r="DF203" s="82"/>
      <c r="DG203" s="82"/>
    </row>
    <row r="204" spans="2:131" ht="9" customHeight="1">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row>
    <row r="205" spans="2:131" ht="9" customHeight="1">
      <c r="C205" s="258" t="s">
        <v>85</v>
      </c>
      <c r="D205" s="258"/>
      <c r="E205" s="258"/>
      <c r="F205" s="258"/>
      <c r="G205" s="258"/>
      <c r="H205" s="258"/>
      <c r="I205" s="258"/>
      <c r="J205" s="258"/>
      <c r="K205" s="258"/>
      <c r="L205" s="258"/>
      <c r="M205" s="258"/>
      <c r="O205" s="282">
        <v>36</v>
      </c>
      <c r="P205" s="283"/>
      <c r="Q205" s="283"/>
      <c r="R205" s="365"/>
      <c r="S205" s="364" t="s">
        <v>86</v>
      </c>
      <c r="T205" s="288"/>
      <c r="U205" s="288"/>
      <c r="V205" s="288"/>
      <c r="W205" s="288"/>
      <c r="X205" s="288"/>
      <c r="BC205" s="82"/>
      <c r="BD205" s="82"/>
      <c r="BE205" s="82"/>
      <c r="BF205" s="82"/>
      <c r="BG205" s="82"/>
      <c r="BH205" s="214" t="s">
        <v>357</v>
      </c>
      <c r="BI205" s="214"/>
      <c r="BJ205" s="214"/>
      <c r="BK205" s="214"/>
      <c r="BL205" s="214"/>
      <c r="BM205" s="214"/>
      <c r="BN205" s="214"/>
      <c r="BO205" s="214"/>
      <c r="BP205" s="214"/>
      <c r="BQ205" s="214"/>
      <c r="BR205" s="214"/>
      <c r="BS205" s="214"/>
      <c r="BT205" s="214"/>
      <c r="BU205" s="214"/>
      <c r="BV205" s="214"/>
      <c r="BW205" s="214"/>
      <c r="BX205" s="214"/>
      <c r="BY205" s="214"/>
      <c r="BZ205" s="214"/>
      <c r="CA205" s="214"/>
      <c r="CB205" s="214"/>
      <c r="CC205" s="214"/>
      <c r="CD205" s="214"/>
      <c r="CE205" s="214"/>
      <c r="CF205" s="214"/>
      <c r="CG205" s="214"/>
      <c r="CH205" s="214"/>
      <c r="CI205" s="214"/>
      <c r="CJ205" s="214"/>
      <c r="CK205" s="214"/>
      <c r="CL205" s="214"/>
      <c r="CM205" s="214"/>
      <c r="CN205" s="214"/>
      <c r="CO205" s="214"/>
      <c r="CP205" s="214"/>
      <c r="CQ205" s="214"/>
      <c r="CR205" s="214"/>
      <c r="CS205" s="214"/>
      <c r="CT205" s="214"/>
      <c r="CU205" s="214"/>
      <c r="CV205" s="214"/>
      <c r="CW205" s="214"/>
      <c r="CX205" s="214"/>
      <c r="CY205" s="214"/>
      <c r="CZ205" s="214"/>
      <c r="DA205" s="214"/>
      <c r="DB205" s="214"/>
      <c r="DC205" s="214"/>
      <c r="DD205" s="214"/>
      <c r="DE205" s="214"/>
      <c r="DF205" s="214"/>
      <c r="DG205" s="83"/>
      <c r="DH205" s="66"/>
      <c r="DI205" s="66"/>
      <c r="DJ205" s="66"/>
      <c r="DK205" s="66"/>
      <c r="DL205" s="66"/>
      <c r="DM205" s="66"/>
      <c r="DN205" s="66"/>
      <c r="DO205" s="66"/>
      <c r="DP205" s="66"/>
      <c r="DQ205" s="66"/>
      <c r="DR205" s="66"/>
      <c r="DS205" s="66"/>
      <c r="DT205" s="66"/>
      <c r="DU205" s="66"/>
      <c r="DV205" s="66"/>
      <c r="DW205" s="66"/>
      <c r="DX205" s="66"/>
      <c r="DY205" s="66"/>
      <c r="DZ205" s="66"/>
      <c r="EA205" s="66"/>
    </row>
    <row r="206" spans="2:131" ht="9" customHeight="1">
      <c r="C206" s="258"/>
      <c r="D206" s="258"/>
      <c r="E206" s="258"/>
      <c r="F206" s="258"/>
      <c r="G206" s="258"/>
      <c r="H206" s="258"/>
      <c r="I206" s="258"/>
      <c r="J206" s="258"/>
      <c r="K206" s="258"/>
      <c r="L206" s="258"/>
      <c r="M206" s="258"/>
      <c r="O206" s="366"/>
      <c r="P206" s="367"/>
      <c r="Q206" s="367"/>
      <c r="R206" s="368"/>
      <c r="S206" s="364"/>
      <c r="T206" s="288"/>
      <c r="U206" s="288"/>
      <c r="V206" s="288"/>
      <c r="W206" s="288"/>
      <c r="X206" s="288"/>
      <c r="BC206" s="82"/>
      <c r="BD206" s="82"/>
      <c r="BE206" s="82"/>
      <c r="BF206" s="82"/>
      <c r="BG206" s="82"/>
      <c r="BH206" s="214"/>
      <c r="BI206" s="214"/>
      <c r="BJ206" s="214"/>
      <c r="BK206" s="214"/>
      <c r="BL206" s="214"/>
      <c r="BM206" s="214"/>
      <c r="BN206" s="214"/>
      <c r="BO206" s="214"/>
      <c r="BP206" s="214"/>
      <c r="BQ206" s="214"/>
      <c r="BR206" s="214"/>
      <c r="BS206" s="214"/>
      <c r="BT206" s="214"/>
      <c r="BU206" s="214"/>
      <c r="BV206" s="214"/>
      <c r="BW206" s="214"/>
      <c r="BX206" s="214"/>
      <c r="BY206" s="214"/>
      <c r="BZ206" s="214"/>
      <c r="CA206" s="214"/>
      <c r="CB206" s="214"/>
      <c r="CC206" s="214"/>
      <c r="CD206" s="214"/>
      <c r="CE206" s="214"/>
      <c r="CF206" s="214"/>
      <c r="CG206" s="214"/>
      <c r="CH206" s="214"/>
      <c r="CI206" s="214"/>
      <c r="CJ206" s="214"/>
      <c r="CK206" s="214"/>
      <c r="CL206" s="214"/>
      <c r="CM206" s="214"/>
      <c r="CN206" s="214"/>
      <c r="CO206" s="214"/>
      <c r="CP206" s="214"/>
      <c r="CQ206" s="214"/>
      <c r="CR206" s="214"/>
      <c r="CS206" s="214"/>
      <c r="CT206" s="214"/>
      <c r="CU206" s="214"/>
      <c r="CV206" s="214"/>
      <c r="CW206" s="214"/>
      <c r="CX206" s="214"/>
      <c r="CY206" s="214"/>
      <c r="CZ206" s="214"/>
      <c r="DA206" s="214"/>
      <c r="DB206" s="214"/>
      <c r="DC206" s="214"/>
      <c r="DD206" s="214"/>
      <c r="DE206" s="214"/>
      <c r="DF206" s="214"/>
      <c r="DG206" s="83"/>
      <c r="DH206" s="66"/>
      <c r="DI206" s="66"/>
      <c r="DJ206" s="66"/>
      <c r="DK206" s="66"/>
      <c r="DL206" s="66"/>
      <c r="DM206" s="66"/>
      <c r="DN206" s="66"/>
      <c r="DO206" s="66"/>
      <c r="DP206" s="66"/>
      <c r="DQ206" s="66"/>
      <c r="DR206" s="66"/>
      <c r="DS206" s="66"/>
      <c r="DT206" s="66"/>
      <c r="DU206" s="66"/>
      <c r="DV206" s="66"/>
      <c r="DW206" s="66"/>
      <c r="DX206" s="66"/>
      <c r="DY206" s="66"/>
      <c r="DZ206" s="66"/>
      <c r="EA206" s="66"/>
    </row>
    <row r="207" spans="2:131" ht="4.5" customHeight="1">
      <c r="R207" s="21"/>
      <c r="S207" s="21"/>
      <c r="T207" s="21"/>
      <c r="U207" s="21"/>
      <c r="V207" s="21"/>
      <c r="W207" s="21"/>
      <c r="BC207" s="82"/>
      <c r="BD207" s="82"/>
      <c r="BE207" s="82"/>
      <c r="BF207" s="82"/>
      <c r="BG207" s="82"/>
      <c r="BH207" s="214"/>
      <c r="BI207" s="214"/>
      <c r="BJ207" s="214"/>
      <c r="BK207" s="214"/>
      <c r="BL207" s="214"/>
      <c r="BM207" s="214"/>
      <c r="BN207" s="214"/>
      <c r="BO207" s="214"/>
      <c r="BP207" s="214"/>
      <c r="BQ207" s="214"/>
      <c r="BR207" s="214"/>
      <c r="BS207" s="214"/>
      <c r="BT207" s="214"/>
      <c r="BU207" s="214"/>
      <c r="BV207" s="214"/>
      <c r="BW207" s="214"/>
      <c r="BX207" s="214"/>
      <c r="BY207" s="214"/>
      <c r="BZ207" s="214"/>
      <c r="CA207" s="214"/>
      <c r="CB207" s="214"/>
      <c r="CC207" s="214"/>
      <c r="CD207" s="214"/>
      <c r="CE207" s="214"/>
      <c r="CF207" s="214"/>
      <c r="CG207" s="214"/>
      <c r="CH207" s="214"/>
      <c r="CI207" s="214"/>
      <c r="CJ207" s="214"/>
      <c r="CK207" s="214"/>
      <c r="CL207" s="214"/>
      <c r="CM207" s="214"/>
      <c r="CN207" s="214"/>
      <c r="CO207" s="214"/>
      <c r="CP207" s="214"/>
      <c r="CQ207" s="214"/>
      <c r="CR207" s="214"/>
      <c r="CS207" s="214"/>
      <c r="CT207" s="214"/>
      <c r="CU207" s="214"/>
      <c r="CV207" s="214"/>
      <c r="CW207" s="214"/>
      <c r="CX207" s="214"/>
      <c r="CY207" s="214"/>
      <c r="CZ207" s="214"/>
      <c r="DA207" s="214"/>
      <c r="DB207" s="214"/>
      <c r="DC207" s="214"/>
      <c r="DD207" s="214"/>
      <c r="DE207" s="214"/>
      <c r="DF207" s="214"/>
      <c r="DG207" s="83"/>
      <c r="DH207" s="66"/>
      <c r="DI207" s="66"/>
      <c r="DJ207" s="66"/>
      <c r="DK207" s="66"/>
      <c r="DL207" s="66"/>
      <c r="DM207" s="66"/>
      <c r="DN207" s="66"/>
      <c r="DO207" s="66"/>
      <c r="DP207" s="66"/>
      <c r="DQ207" s="66"/>
      <c r="DR207" s="66"/>
      <c r="DS207" s="66"/>
      <c r="DT207" s="66"/>
      <c r="DU207" s="66"/>
      <c r="DV207" s="66"/>
      <c r="DW207" s="66"/>
      <c r="DX207" s="66"/>
      <c r="DY207" s="66"/>
      <c r="DZ207" s="66"/>
      <c r="EA207" s="66"/>
    </row>
    <row r="208" spans="2:131" ht="9" customHeight="1">
      <c r="C208" s="258" t="s">
        <v>87</v>
      </c>
      <c r="D208" s="258"/>
      <c r="E208" s="258"/>
      <c r="F208" s="258"/>
      <c r="G208" s="258"/>
      <c r="H208" s="258"/>
      <c r="I208" s="258"/>
      <c r="J208" s="258"/>
      <c r="K208" s="258"/>
      <c r="L208" s="258"/>
      <c r="M208" s="258"/>
      <c r="O208" s="369">
        <v>43800</v>
      </c>
      <c r="P208" s="370"/>
      <c r="Q208" s="370"/>
      <c r="R208" s="370"/>
      <c r="S208" s="370"/>
      <c r="T208" s="370"/>
      <c r="U208" s="370"/>
      <c r="V208" s="371"/>
      <c r="X208" s="258" t="s">
        <v>88</v>
      </c>
      <c r="Y208" s="258"/>
      <c r="Z208" s="258"/>
      <c r="AA208" s="258"/>
      <c r="AB208" s="258"/>
      <c r="AC208" s="258"/>
      <c r="AD208" s="258"/>
      <c r="AE208" s="258"/>
      <c r="AF208" s="258"/>
      <c r="AG208" s="258"/>
      <c r="AH208" s="258"/>
      <c r="AJ208" s="375">
        <f>$O$208+(O205*30)</f>
        <v>44880</v>
      </c>
      <c r="AK208" s="376"/>
      <c r="AL208" s="376"/>
      <c r="AM208" s="376"/>
      <c r="AN208" s="376"/>
      <c r="AO208" s="376"/>
      <c r="AP208" s="376"/>
      <c r="AQ208" s="377"/>
      <c r="BC208" s="82"/>
      <c r="BD208" s="82"/>
      <c r="BE208" s="82"/>
      <c r="BF208" s="82"/>
      <c r="BG208" s="82"/>
      <c r="BH208" s="214"/>
      <c r="BI208" s="214"/>
      <c r="BJ208" s="214"/>
      <c r="BK208" s="214"/>
      <c r="BL208" s="214"/>
      <c r="BM208" s="214"/>
      <c r="BN208" s="214"/>
      <c r="BO208" s="214"/>
      <c r="BP208" s="214"/>
      <c r="BQ208" s="214"/>
      <c r="BR208" s="214"/>
      <c r="BS208" s="214"/>
      <c r="BT208" s="214"/>
      <c r="BU208" s="214"/>
      <c r="BV208" s="214"/>
      <c r="BW208" s="214"/>
      <c r="BX208" s="214"/>
      <c r="BY208" s="214"/>
      <c r="BZ208" s="214"/>
      <c r="CA208" s="214"/>
      <c r="CB208" s="214"/>
      <c r="CC208" s="214"/>
      <c r="CD208" s="214"/>
      <c r="CE208" s="214"/>
      <c r="CF208" s="214"/>
      <c r="CG208" s="214"/>
      <c r="CH208" s="214"/>
      <c r="CI208" s="214"/>
      <c r="CJ208" s="214"/>
      <c r="CK208" s="214"/>
      <c r="CL208" s="214"/>
      <c r="CM208" s="214"/>
      <c r="CN208" s="214"/>
      <c r="CO208" s="214"/>
      <c r="CP208" s="214"/>
      <c r="CQ208" s="214"/>
      <c r="CR208" s="214"/>
      <c r="CS208" s="214"/>
      <c r="CT208" s="214"/>
      <c r="CU208" s="214"/>
      <c r="CV208" s="214"/>
      <c r="CW208" s="214"/>
      <c r="CX208" s="214"/>
      <c r="CY208" s="214"/>
      <c r="CZ208" s="214"/>
      <c r="DA208" s="214"/>
      <c r="DB208" s="214"/>
      <c r="DC208" s="214"/>
      <c r="DD208" s="214"/>
      <c r="DE208" s="214"/>
      <c r="DF208" s="214"/>
      <c r="DG208" s="83"/>
      <c r="DH208" s="66"/>
      <c r="DI208" s="66"/>
      <c r="DJ208" s="66"/>
      <c r="DK208" s="66"/>
      <c r="DL208" s="66"/>
      <c r="DM208" s="66"/>
      <c r="DN208" s="66"/>
      <c r="DO208" s="66"/>
      <c r="DP208" s="66"/>
      <c r="DQ208" s="66"/>
      <c r="DR208" s="66"/>
      <c r="DS208" s="66"/>
      <c r="DT208" s="66"/>
      <c r="DU208" s="66"/>
      <c r="DV208" s="66"/>
      <c r="DW208" s="66"/>
      <c r="DX208" s="66"/>
      <c r="DY208" s="66"/>
      <c r="DZ208" s="66"/>
      <c r="EA208" s="66"/>
    </row>
    <row r="209" spans="3:131" ht="9" customHeight="1">
      <c r="C209" s="258"/>
      <c r="D209" s="258"/>
      <c r="E209" s="258"/>
      <c r="F209" s="258"/>
      <c r="G209" s="258"/>
      <c r="H209" s="258"/>
      <c r="I209" s="258"/>
      <c r="J209" s="258"/>
      <c r="K209" s="258"/>
      <c r="L209" s="258"/>
      <c r="M209" s="258"/>
      <c r="O209" s="372"/>
      <c r="P209" s="373"/>
      <c r="Q209" s="373"/>
      <c r="R209" s="373"/>
      <c r="S209" s="373"/>
      <c r="T209" s="373"/>
      <c r="U209" s="373"/>
      <c r="V209" s="374"/>
      <c r="X209" s="258"/>
      <c r="Y209" s="258"/>
      <c r="Z209" s="258"/>
      <c r="AA209" s="258"/>
      <c r="AB209" s="258"/>
      <c r="AC209" s="258"/>
      <c r="AD209" s="258"/>
      <c r="AE209" s="258"/>
      <c r="AF209" s="258"/>
      <c r="AG209" s="258"/>
      <c r="AH209" s="258"/>
      <c r="AJ209" s="378"/>
      <c r="AK209" s="379"/>
      <c r="AL209" s="379"/>
      <c r="AM209" s="379"/>
      <c r="AN209" s="379"/>
      <c r="AO209" s="379"/>
      <c r="AP209" s="379"/>
      <c r="AQ209" s="380"/>
      <c r="BC209" s="82"/>
      <c r="BD209" s="82"/>
      <c r="BE209" s="82"/>
      <c r="BF209" s="82"/>
      <c r="BG209" s="82"/>
      <c r="BH209" s="214"/>
      <c r="BI209" s="214"/>
      <c r="BJ209" s="214"/>
      <c r="BK209" s="214"/>
      <c r="BL209" s="214"/>
      <c r="BM209" s="214"/>
      <c r="BN209" s="214"/>
      <c r="BO209" s="214"/>
      <c r="BP209" s="214"/>
      <c r="BQ209" s="214"/>
      <c r="BR209" s="214"/>
      <c r="BS209" s="214"/>
      <c r="BT209" s="214"/>
      <c r="BU209" s="214"/>
      <c r="BV209" s="214"/>
      <c r="BW209" s="214"/>
      <c r="BX209" s="214"/>
      <c r="BY209" s="214"/>
      <c r="BZ209" s="214"/>
      <c r="CA209" s="214"/>
      <c r="CB209" s="214"/>
      <c r="CC209" s="214"/>
      <c r="CD209" s="214"/>
      <c r="CE209" s="214"/>
      <c r="CF209" s="214"/>
      <c r="CG209" s="214"/>
      <c r="CH209" s="214"/>
      <c r="CI209" s="214"/>
      <c r="CJ209" s="214"/>
      <c r="CK209" s="214"/>
      <c r="CL209" s="214"/>
      <c r="CM209" s="214"/>
      <c r="CN209" s="214"/>
      <c r="CO209" s="214"/>
      <c r="CP209" s="214"/>
      <c r="CQ209" s="214"/>
      <c r="CR209" s="214"/>
      <c r="CS209" s="214"/>
      <c r="CT209" s="214"/>
      <c r="CU209" s="214"/>
      <c r="CV209" s="214"/>
      <c r="CW209" s="214"/>
      <c r="CX209" s="214"/>
      <c r="CY209" s="214"/>
      <c r="CZ209" s="214"/>
      <c r="DA209" s="214"/>
      <c r="DB209" s="214"/>
      <c r="DC209" s="214"/>
      <c r="DD209" s="214"/>
      <c r="DE209" s="214"/>
      <c r="DF209" s="214"/>
      <c r="DG209" s="83"/>
      <c r="DH209" s="66"/>
      <c r="DI209" s="66"/>
      <c r="DJ209" s="66"/>
      <c r="DK209" s="66"/>
      <c r="DL209" s="66"/>
      <c r="DM209" s="66"/>
      <c r="DN209" s="66"/>
      <c r="DO209" s="66"/>
      <c r="DP209" s="66"/>
      <c r="DQ209" s="66"/>
      <c r="DR209" s="66"/>
      <c r="DS209" s="66"/>
      <c r="DT209" s="66"/>
      <c r="DU209" s="66"/>
      <c r="DV209" s="66"/>
      <c r="DW209" s="66"/>
      <c r="DX209" s="66"/>
      <c r="DY209" s="66"/>
      <c r="DZ209" s="66"/>
      <c r="EA209" s="66"/>
    </row>
    <row r="210" spans="3:131" ht="9" customHeight="1">
      <c r="BC210" s="82"/>
      <c r="BD210" s="82"/>
      <c r="BE210" s="82"/>
      <c r="BF210" s="82"/>
      <c r="BG210" s="82"/>
      <c r="BH210" s="214"/>
      <c r="BI210" s="214"/>
      <c r="BJ210" s="214"/>
      <c r="BK210" s="214"/>
      <c r="BL210" s="214"/>
      <c r="BM210" s="214"/>
      <c r="BN210" s="214"/>
      <c r="BO210" s="214"/>
      <c r="BP210" s="214"/>
      <c r="BQ210" s="214"/>
      <c r="BR210" s="214"/>
      <c r="BS210" s="214"/>
      <c r="BT210" s="214"/>
      <c r="BU210" s="214"/>
      <c r="BV210" s="214"/>
      <c r="BW210" s="214"/>
      <c r="BX210" s="214"/>
      <c r="BY210" s="214"/>
      <c r="BZ210" s="214"/>
      <c r="CA210" s="214"/>
      <c r="CB210" s="214"/>
      <c r="CC210" s="214"/>
      <c r="CD210" s="214"/>
      <c r="CE210" s="214"/>
      <c r="CF210" s="214"/>
      <c r="CG210" s="214"/>
      <c r="CH210" s="214"/>
      <c r="CI210" s="214"/>
      <c r="CJ210" s="214"/>
      <c r="CK210" s="214"/>
      <c r="CL210" s="214"/>
      <c r="CM210" s="214"/>
      <c r="CN210" s="214"/>
      <c r="CO210" s="214"/>
      <c r="CP210" s="214"/>
      <c r="CQ210" s="214"/>
      <c r="CR210" s="214"/>
      <c r="CS210" s="214"/>
      <c r="CT210" s="214"/>
      <c r="CU210" s="214"/>
      <c r="CV210" s="214"/>
      <c r="CW210" s="214"/>
      <c r="CX210" s="214"/>
      <c r="CY210" s="214"/>
      <c r="CZ210" s="214"/>
      <c r="DA210" s="214"/>
      <c r="DB210" s="214"/>
      <c r="DC210" s="214"/>
      <c r="DD210" s="214"/>
      <c r="DE210" s="214"/>
      <c r="DF210" s="214"/>
      <c r="DG210" s="83"/>
      <c r="DH210" s="66"/>
      <c r="DI210" s="66"/>
      <c r="DJ210" s="66"/>
      <c r="DK210" s="66"/>
      <c r="DL210" s="66"/>
      <c r="DM210" s="66"/>
      <c r="DN210" s="66"/>
      <c r="DO210" s="66"/>
      <c r="DP210" s="66"/>
      <c r="DQ210" s="66"/>
      <c r="DR210" s="66"/>
      <c r="DS210" s="66"/>
      <c r="DT210" s="66"/>
      <c r="DU210" s="66"/>
      <c r="DV210" s="66"/>
      <c r="DW210" s="66"/>
      <c r="DX210" s="66"/>
      <c r="DY210" s="66"/>
      <c r="DZ210" s="66"/>
      <c r="EA210" s="66"/>
    </row>
    <row r="211" spans="3:131" ht="9" customHeight="1">
      <c r="BC211" s="82"/>
      <c r="BD211" s="82"/>
      <c r="BE211" s="82"/>
      <c r="BF211" s="82"/>
      <c r="BG211" s="82"/>
      <c r="BH211" s="214"/>
      <c r="BI211" s="214"/>
      <c r="BJ211" s="214"/>
      <c r="BK211" s="214"/>
      <c r="BL211" s="214"/>
      <c r="BM211" s="214"/>
      <c r="BN211" s="214"/>
      <c r="BO211" s="214"/>
      <c r="BP211" s="214"/>
      <c r="BQ211" s="214"/>
      <c r="BR211" s="214"/>
      <c r="BS211" s="214"/>
      <c r="BT211" s="214"/>
      <c r="BU211" s="214"/>
      <c r="BV211" s="214"/>
      <c r="BW211" s="214"/>
      <c r="BX211" s="214"/>
      <c r="BY211" s="214"/>
      <c r="BZ211" s="214"/>
      <c r="CA211" s="214"/>
      <c r="CB211" s="214"/>
      <c r="CC211" s="214"/>
      <c r="CD211" s="214"/>
      <c r="CE211" s="214"/>
      <c r="CF211" s="214"/>
      <c r="CG211" s="214"/>
      <c r="CH211" s="214"/>
      <c r="CI211" s="214"/>
      <c r="CJ211" s="214"/>
      <c r="CK211" s="214"/>
      <c r="CL211" s="214"/>
      <c r="CM211" s="214"/>
      <c r="CN211" s="214"/>
      <c r="CO211" s="214"/>
      <c r="CP211" s="214"/>
      <c r="CQ211" s="214"/>
      <c r="CR211" s="214"/>
      <c r="CS211" s="214"/>
      <c r="CT211" s="214"/>
      <c r="CU211" s="214"/>
      <c r="CV211" s="214"/>
      <c r="CW211" s="214"/>
      <c r="CX211" s="214"/>
      <c r="CY211" s="214"/>
      <c r="CZ211" s="214"/>
      <c r="DA211" s="214"/>
      <c r="DB211" s="214"/>
      <c r="DC211" s="214"/>
      <c r="DD211" s="214"/>
      <c r="DE211" s="214"/>
      <c r="DF211" s="214"/>
      <c r="DG211" s="83"/>
      <c r="DH211" s="66"/>
      <c r="DI211" s="66"/>
      <c r="DJ211" s="66"/>
      <c r="DK211" s="66"/>
      <c r="DL211" s="66"/>
      <c r="DM211" s="66"/>
      <c r="DN211" s="66"/>
      <c r="DO211" s="66"/>
      <c r="DP211" s="66"/>
      <c r="DQ211" s="66"/>
      <c r="DR211" s="66"/>
      <c r="DS211" s="66"/>
      <c r="DT211" s="66"/>
      <c r="DU211" s="66"/>
      <c r="DV211" s="66"/>
      <c r="DW211" s="66"/>
      <c r="DX211" s="66"/>
      <c r="DY211" s="66"/>
      <c r="DZ211" s="66"/>
      <c r="EA211" s="66"/>
    </row>
    <row r="212" spans="3:131" ht="9" customHeight="1">
      <c r="C212" s="226" t="s">
        <v>90</v>
      </c>
      <c r="D212" s="226"/>
      <c r="E212" s="226"/>
      <c r="F212" s="226"/>
      <c r="G212" s="226"/>
      <c r="H212" s="226"/>
      <c r="I212" s="226"/>
      <c r="J212" s="226"/>
      <c r="K212" s="226"/>
      <c r="L212" s="226"/>
      <c r="M212" s="226"/>
      <c r="O212" s="265">
        <v>2540648.14</v>
      </c>
      <c r="P212" s="266"/>
      <c r="Q212" s="266"/>
      <c r="R212" s="266"/>
      <c r="S212" s="266"/>
      <c r="T212" s="266"/>
      <c r="U212" s="266"/>
      <c r="V212" s="266"/>
      <c r="W212" s="266"/>
      <c r="X212" s="266"/>
      <c r="Y212" s="266"/>
      <c r="Z212" s="266"/>
      <c r="AA212" s="267"/>
      <c r="BC212" s="82"/>
      <c r="BD212" s="82"/>
      <c r="BE212" s="82"/>
      <c r="BF212" s="82"/>
      <c r="BG212" s="82"/>
      <c r="BH212" s="214" t="s">
        <v>303</v>
      </c>
      <c r="BI212" s="214"/>
      <c r="BJ212" s="214"/>
      <c r="BK212" s="214"/>
      <c r="BL212" s="214"/>
      <c r="BM212" s="214"/>
      <c r="BN212" s="214"/>
      <c r="BO212" s="214"/>
      <c r="BP212" s="214"/>
      <c r="BQ212" s="214"/>
      <c r="BR212" s="214"/>
      <c r="BS212" s="214"/>
      <c r="BT212" s="214"/>
      <c r="BU212" s="214"/>
      <c r="BV212" s="214"/>
      <c r="BW212" s="214"/>
      <c r="BX212" s="214"/>
      <c r="BY212" s="214"/>
      <c r="BZ212" s="214"/>
      <c r="CA212" s="214"/>
      <c r="CB212" s="214"/>
      <c r="CC212" s="214"/>
      <c r="CD212" s="214"/>
      <c r="CE212" s="214"/>
      <c r="CF212" s="214"/>
      <c r="CG212" s="214"/>
      <c r="CH212" s="214"/>
      <c r="CI212" s="214"/>
      <c r="CJ212" s="214"/>
      <c r="CK212" s="214"/>
      <c r="CL212" s="214"/>
      <c r="CM212" s="214"/>
      <c r="CN212" s="214"/>
      <c r="CO212" s="214"/>
      <c r="CP212" s="214"/>
      <c r="CQ212" s="214"/>
      <c r="CR212" s="214"/>
      <c r="CS212" s="214"/>
      <c r="CT212" s="214"/>
      <c r="CU212" s="214"/>
      <c r="CV212" s="214"/>
      <c r="CW212" s="214"/>
      <c r="CX212" s="214"/>
      <c r="CY212" s="214"/>
      <c r="CZ212" s="214"/>
      <c r="DA212" s="214"/>
      <c r="DB212" s="214"/>
      <c r="DC212" s="214"/>
      <c r="DD212" s="214"/>
      <c r="DE212" s="214"/>
      <c r="DF212" s="214"/>
      <c r="DG212" s="83"/>
      <c r="DH212" s="66"/>
      <c r="DI212" s="66"/>
      <c r="DJ212" s="66"/>
      <c r="DK212" s="66"/>
      <c r="DL212" s="66"/>
      <c r="DM212" s="66"/>
      <c r="DN212" s="66"/>
      <c r="DO212" s="66"/>
      <c r="DP212" s="66"/>
      <c r="DQ212" s="66"/>
      <c r="DR212" s="66"/>
      <c r="DS212" s="66"/>
      <c r="DT212" s="66"/>
      <c r="DU212" s="66"/>
      <c r="DV212" s="66"/>
      <c r="DW212" s="66"/>
      <c r="DX212" s="66"/>
      <c r="DY212" s="66"/>
      <c r="DZ212" s="66"/>
      <c r="EA212" s="66"/>
    </row>
    <row r="213" spans="3:131" ht="9" customHeight="1">
      <c r="C213" s="226"/>
      <c r="D213" s="226"/>
      <c r="E213" s="226"/>
      <c r="F213" s="226"/>
      <c r="G213" s="226"/>
      <c r="H213" s="226"/>
      <c r="I213" s="226"/>
      <c r="J213" s="226"/>
      <c r="K213" s="226"/>
      <c r="L213" s="226"/>
      <c r="M213" s="226"/>
      <c r="O213" s="268"/>
      <c r="P213" s="269"/>
      <c r="Q213" s="269"/>
      <c r="R213" s="269"/>
      <c r="S213" s="269"/>
      <c r="T213" s="269"/>
      <c r="U213" s="269"/>
      <c r="V213" s="269"/>
      <c r="W213" s="269"/>
      <c r="X213" s="269"/>
      <c r="Y213" s="269"/>
      <c r="Z213" s="269"/>
      <c r="AA213" s="270"/>
      <c r="BC213" s="82"/>
      <c r="BD213" s="82"/>
      <c r="BE213" s="82"/>
      <c r="BF213" s="82"/>
      <c r="BG213" s="82"/>
      <c r="BH213" s="214"/>
      <c r="BI213" s="214"/>
      <c r="BJ213" s="214"/>
      <c r="BK213" s="214"/>
      <c r="BL213" s="214"/>
      <c r="BM213" s="214"/>
      <c r="BN213" s="214"/>
      <c r="BO213" s="214"/>
      <c r="BP213" s="214"/>
      <c r="BQ213" s="214"/>
      <c r="BR213" s="214"/>
      <c r="BS213" s="214"/>
      <c r="BT213" s="214"/>
      <c r="BU213" s="214"/>
      <c r="BV213" s="214"/>
      <c r="BW213" s="214"/>
      <c r="BX213" s="214"/>
      <c r="BY213" s="214"/>
      <c r="BZ213" s="214"/>
      <c r="CA213" s="214"/>
      <c r="CB213" s="214"/>
      <c r="CC213" s="214"/>
      <c r="CD213" s="214"/>
      <c r="CE213" s="214"/>
      <c r="CF213" s="214"/>
      <c r="CG213" s="214"/>
      <c r="CH213" s="214"/>
      <c r="CI213" s="214"/>
      <c r="CJ213" s="214"/>
      <c r="CK213" s="214"/>
      <c r="CL213" s="214"/>
      <c r="CM213" s="214"/>
      <c r="CN213" s="214"/>
      <c r="CO213" s="214"/>
      <c r="CP213" s="214"/>
      <c r="CQ213" s="214"/>
      <c r="CR213" s="214"/>
      <c r="CS213" s="214"/>
      <c r="CT213" s="214"/>
      <c r="CU213" s="214"/>
      <c r="CV213" s="214"/>
      <c r="CW213" s="214"/>
      <c r="CX213" s="214"/>
      <c r="CY213" s="214"/>
      <c r="CZ213" s="214"/>
      <c r="DA213" s="214"/>
      <c r="DB213" s="214"/>
      <c r="DC213" s="214"/>
      <c r="DD213" s="214"/>
      <c r="DE213" s="214"/>
      <c r="DF213" s="214"/>
      <c r="DG213" s="83"/>
      <c r="DH213" s="66"/>
      <c r="DI213" s="66"/>
      <c r="DJ213" s="66"/>
      <c r="DK213" s="66"/>
      <c r="DL213" s="66"/>
      <c r="DM213" s="66"/>
      <c r="DN213" s="66"/>
      <c r="DO213" s="66"/>
      <c r="DP213" s="66"/>
      <c r="DQ213" s="66"/>
      <c r="DR213" s="66"/>
      <c r="DS213" s="66"/>
      <c r="DT213" s="66"/>
      <c r="DU213" s="66"/>
      <c r="DV213" s="66"/>
      <c r="DW213" s="66"/>
      <c r="DX213" s="66"/>
      <c r="DY213" s="66"/>
      <c r="DZ213" s="66"/>
      <c r="EA213" s="66"/>
    </row>
    <row r="214" spans="3:131" ht="4.5" customHeight="1">
      <c r="BC214" s="82"/>
      <c r="BD214" s="82"/>
      <c r="BE214" s="82"/>
      <c r="BF214" s="82"/>
      <c r="BG214" s="82"/>
      <c r="BH214" s="214"/>
      <c r="BI214" s="214"/>
      <c r="BJ214" s="214"/>
      <c r="BK214" s="214"/>
      <c r="BL214" s="214"/>
      <c r="BM214" s="214"/>
      <c r="BN214" s="214"/>
      <c r="BO214" s="214"/>
      <c r="BP214" s="214"/>
      <c r="BQ214" s="214"/>
      <c r="BR214" s="214"/>
      <c r="BS214" s="214"/>
      <c r="BT214" s="214"/>
      <c r="BU214" s="214"/>
      <c r="BV214" s="214"/>
      <c r="BW214" s="214"/>
      <c r="BX214" s="214"/>
      <c r="BY214" s="214"/>
      <c r="BZ214" s="214"/>
      <c r="CA214" s="214"/>
      <c r="CB214" s="214"/>
      <c r="CC214" s="214"/>
      <c r="CD214" s="214"/>
      <c r="CE214" s="214"/>
      <c r="CF214" s="214"/>
      <c r="CG214" s="214"/>
      <c r="CH214" s="214"/>
      <c r="CI214" s="214"/>
      <c r="CJ214" s="214"/>
      <c r="CK214" s="214"/>
      <c r="CL214" s="214"/>
      <c r="CM214" s="214"/>
      <c r="CN214" s="214"/>
      <c r="CO214" s="214"/>
      <c r="CP214" s="214"/>
      <c r="CQ214" s="214"/>
      <c r="CR214" s="214"/>
      <c r="CS214" s="214"/>
      <c r="CT214" s="214"/>
      <c r="CU214" s="214"/>
      <c r="CV214" s="214"/>
      <c r="CW214" s="214"/>
      <c r="CX214" s="214"/>
      <c r="CY214" s="214"/>
      <c r="CZ214" s="214"/>
      <c r="DA214" s="214"/>
      <c r="DB214" s="214"/>
      <c r="DC214" s="214"/>
      <c r="DD214" s="214"/>
      <c r="DE214" s="214"/>
      <c r="DF214" s="214"/>
      <c r="DG214" s="83"/>
      <c r="DH214" s="66"/>
      <c r="DI214" s="66"/>
      <c r="DJ214" s="66"/>
      <c r="DK214" s="66"/>
      <c r="DL214" s="66"/>
      <c r="DM214" s="66"/>
      <c r="DN214" s="66"/>
      <c r="DO214" s="66"/>
      <c r="DP214" s="66"/>
      <c r="DQ214" s="66"/>
      <c r="DR214" s="66"/>
      <c r="DS214" s="66"/>
      <c r="DT214" s="66"/>
      <c r="DU214" s="66"/>
      <c r="DV214" s="66"/>
      <c r="DW214" s="66"/>
      <c r="DX214" s="66"/>
      <c r="DY214" s="66"/>
      <c r="DZ214" s="66"/>
      <c r="EA214" s="66"/>
    </row>
    <row r="215" spans="3:131" ht="9" customHeight="1">
      <c r="C215" s="226" t="str">
        <f>IF(OR($O$201="x",$AS$201="x"),"","Valor Contrapartida:")</f>
        <v/>
      </c>
      <c r="D215" s="226"/>
      <c r="E215" s="226"/>
      <c r="F215" s="226"/>
      <c r="G215" s="226"/>
      <c r="H215" s="226"/>
      <c r="I215" s="226"/>
      <c r="J215" s="226"/>
      <c r="K215" s="226"/>
      <c r="L215" s="226"/>
      <c r="M215" s="226"/>
      <c r="O215" s="227"/>
      <c r="P215" s="227"/>
      <c r="Q215" s="227"/>
      <c r="R215" s="227"/>
      <c r="S215" s="227"/>
      <c r="T215" s="227"/>
      <c r="U215" s="227"/>
      <c r="V215" s="227"/>
      <c r="W215" s="227"/>
      <c r="X215" s="227"/>
      <c r="Y215" s="227"/>
      <c r="Z215" s="227"/>
      <c r="AA215" s="227"/>
      <c r="BC215" s="82"/>
      <c r="BD215" s="82"/>
      <c r="BE215" s="82"/>
      <c r="BF215" s="82"/>
      <c r="BG215" s="82"/>
      <c r="BH215" s="214"/>
      <c r="BI215" s="214"/>
      <c r="BJ215" s="214"/>
      <c r="BK215" s="214"/>
      <c r="BL215" s="214"/>
      <c r="BM215" s="214"/>
      <c r="BN215" s="214"/>
      <c r="BO215" s="214"/>
      <c r="BP215" s="214"/>
      <c r="BQ215" s="214"/>
      <c r="BR215" s="214"/>
      <c r="BS215" s="214"/>
      <c r="BT215" s="214"/>
      <c r="BU215" s="214"/>
      <c r="BV215" s="214"/>
      <c r="BW215" s="214"/>
      <c r="BX215" s="214"/>
      <c r="BY215" s="214"/>
      <c r="BZ215" s="214"/>
      <c r="CA215" s="214"/>
      <c r="CB215" s="214"/>
      <c r="CC215" s="214"/>
      <c r="CD215" s="214"/>
      <c r="CE215" s="214"/>
      <c r="CF215" s="214"/>
      <c r="CG215" s="214"/>
      <c r="CH215" s="214"/>
      <c r="CI215" s="214"/>
      <c r="CJ215" s="214"/>
      <c r="CK215" s="214"/>
      <c r="CL215" s="214"/>
      <c r="CM215" s="214"/>
      <c r="CN215" s="214"/>
      <c r="CO215" s="214"/>
      <c r="CP215" s="214"/>
      <c r="CQ215" s="214"/>
      <c r="CR215" s="214"/>
      <c r="CS215" s="214"/>
      <c r="CT215" s="214"/>
      <c r="CU215" s="214"/>
      <c r="CV215" s="214"/>
      <c r="CW215" s="214"/>
      <c r="CX215" s="214"/>
      <c r="CY215" s="214"/>
      <c r="CZ215" s="214"/>
      <c r="DA215" s="214"/>
      <c r="DB215" s="214"/>
      <c r="DC215" s="214"/>
      <c r="DD215" s="214"/>
      <c r="DE215" s="214"/>
      <c r="DF215" s="214"/>
      <c r="DG215" s="83"/>
      <c r="DH215" s="66"/>
      <c r="DI215" s="66"/>
      <c r="DJ215" s="66"/>
      <c r="DK215" s="66"/>
      <c r="DL215" s="66"/>
      <c r="DM215" s="66"/>
      <c r="DN215" s="66"/>
      <c r="DO215" s="66"/>
      <c r="DP215" s="66"/>
      <c r="DQ215" s="66"/>
      <c r="DR215" s="66"/>
      <c r="DS215" s="66"/>
      <c r="DT215" s="66"/>
      <c r="DU215" s="66"/>
      <c r="DV215" s="66"/>
      <c r="DW215" s="66"/>
      <c r="DX215" s="66"/>
      <c r="DY215" s="66"/>
      <c r="DZ215" s="66"/>
      <c r="EA215" s="66"/>
    </row>
    <row r="216" spans="3:131" ht="9" customHeight="1">
      <c r="C216" s="226"/>
      <c r="D216" s="226"/>
      <c r="E216" s="226"/>
      <c r="F216" s="226"/>
      <c r="G216" s="226"/>
      <c r="H216" s="226"/>
      <c r="I216" s="226"/>
      <c r="J216" s="226"/>
      <c r="K216" s="226"/>
      <c r="L216" s="226"/>
      <c r="M216" s="226"/>
      <c r="O216" s="227"/>
      <c r="P216" s="227"/>
      <c r="Q216" s="227"/>
      <c r="R216" s="227"/>
      <c r="S216" s="227"/>
      <c r="T216" s="227"/>
      <c r="U216" s="227"/>
      <c r="V216" s="227"/>
      <c r="W216" s="227"/>
      <c r="X216" s="227"/>
      <c r="Y216" s="227"/>
      <c r="Z216" s="227"/>
      <c r="AA216" s="227"/>
      <c r="BC216" s="82"/>
      <c r="BD216" s="82"/>
      <c r="BE216" s="82"/>
      <c r="BF216" s="82"/>
      <c r="BG216" s="82"/>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CF216" s="214"/>
      <c r="CG216" s="214"/>
      <c r="CH216" s="214"/>
      <c r="CI216" s="214"/>
      <c r="CJ216" s="214"/>
      <c r="CK216" s="214"/>
      <c r="CL216" s="214"/>
      <c r="CM216" s="214"/>
      <c r="CN216" s="214"/>
      <c r="CO216" s="214"/>
      <c r="CP216" s="214"/>
      <c r="CQ216" s="214"/>
      <c r="CR216" s="214"/>
      <c r="CS216" s="214"/>
      <c r="CT216" s="214"/>
      <c r="CU216" s="214"/>
      <c r="CV216" s="214"/>
      <c r="CW216" s="214"/>
      <c r="CX216" s="214"/>
      <c r="CY216" s="214"/>
      <c r="CZ216" s="214"/>
      <c r="DA216" s="214"/>
      <c r="DB216" s="214"/>
      <c r="DC216" s="214"/>
      <c r="DD216" s="214"/>
      <c r="DE216" s="214"/>
      <c r="DF216" s="214"/>
      <c r="DG216" s="83"/>
      <c r="DH216" s="66"/>
      <c r="DI216" s="66"/>
      <c r="DJ216" s="66"/>
      <c r="DK216" s="66"/>
      <c r="DL216" s="66"/>
      <c r="DM216" s="66"/>
      <c r="DN216" s="66"/>
      <c r="DO216" s="66"/>
      <c r="DP216" s="66"/>
      <c r="DQ216" s="66"/>
      <c r="DR216" s="66"/>
      <c r="DS216" s="66"/>
      <c r="DT216" s="66"/>
      <c r="DU216" s="66"/>
      <c r="DV216" s="66"/>
      <c r="DW216" s="66"/>
      <c r="DX216" s="66"/>
      <c r="DY216" s="66"/>
      <c r="DZ216" s="66"/>
      <c r="EA216" s="66"/>
    </row>
    <row r="217" spans="3:131" ht="4.5" customHeight="1">
      <c r="BC217" s="82"/>
      <c r="BD217" s="82"/>
      <c r="BE217" s="82"/>
      <c r="BF217" s="82"/>
      <c r="BG217" s="82"/>
      <c r="BH217" s="214"/>
      <c r="BI217" s="214"/>
      <c r="BJ217" s="214"/>
      <c r="BK217" s="214"/>
      <c r="BL217" s="214"/>
      <c r="BM217" s="214"/>
      <c r="BN217" s="214"/>
      <c r="BO217" s="214"/>
      <c r="BP217" s="214"/>
      <c r="BQ217" s="214"/>
      <c r="BR217" s="214"/>
      <c r="BS217" s="214"/>
      <c r="BT217" s="214"/>
      <c r="BU217" s="214"/>
      <c r="BV217" s="214"/>
      <c r="BW217" s="214"/>
      <c r="BX217" s="214"/>
      <c r="BY217" s="214"/>
      <c r="BZ217" s="214"/>
      <c r="CA217" s="214"/>
      <c r="CB217" s="214"/>
      <c r="CC217" s="214"/>
      <c r="CD217" s="214"/>
      <c r="CE217" s="214"/>
      <c r="CF217" s="214"/>
      <c r="CG217" s="214"/>
      <c r="CH217" s="214"/>
      <c r="CI217" s="214"/>
      <c r="CJ217" s="214"/>
      <c r="CK217" s="214"/>
      <c r="CL217" s="214"/>
      <c r="CM217" s="214"/>
      <c r="CN217" s="214"/>
      <c r="CO217" s="214"/>
      <c r="CP217" s="214"/>
      <c r="CQ217" s="214"/>
      <c r="CR217" s="214"/>
      <c r="CS217" s="214"/>
      <c r="CT217" s="214"/>
      <c r="CU217" s="214"/>
      <c r="CV217" s="214"/>
      <c r="CW217" s="214"/>
      <c r="CX217" s="214"/>
      <c r="CY217" s="214"/>
      <c r="CZ217" s="214"/>
      <c r="DA217" s="214"/>
      <c r="DB217" s="214"/>
      <c r="DC217" s="214"/>
      <c r="DD217" s="214"/>
      <c r="DE217" s="214"/>
      <c r="DF217" s="214"/>
      <c r="DG217" s="83"/>
      <c r="DH217" s="66"/>
      <c r="DI217" s="66"/>
      <c r="DJ217" s="66"/>
      <c r="DK217" s="66"/>
      <c r="DL217" s="66"/>
      <c r="DM217" s="66"/>
      <c r="DN217" s="66"/>
      <c r="DO217" s="66"/>
      <c r="DP217" s="66"/>
      <c r="DQ217" s="66"/>
      <c r="DR217" s="66"/>
      <c r="DS217" s="66"/>
      <c r="DT217" s="66"/>
      <c r="DU217" s="66"/>
      <c r="DV217" s="66"/>
      <c r="DW217" s="66"/>
      <c r="DX217" s="66"/>
      <c r="DY217" s="66"/>
      <c r="DZ217" s="66"/>
      <c r="EA217" s="66"/>
    </row>
    <row r="218" spans="3:131" ht="9" customHeight="1">
      <c r="C218" s="226" t="str">
        <f>IF(O212="","","Valor Global do Projeto:")</f>
        <v>Valor Global do Projeto:</v>
      </c>
      <c r="D218" s="226"/>
      <c r="E218" s="226"/>
      <c r="F218" s="226"/>
      <c r="G218" s="226"/>
      <c r="H218" s="226"/>
      <c r="I218" s="226"/>
      <c r="J218" s="226"/>
      <c r="K218" s="226"/>
      <c r="L218" s="226"/>
      <c r="M218" s="226"/>
      <c r="O218" s="228">
        <f>IF(O212="","",O212+O215)</f>
        <v>2540648.14</v>
      </c>
      <c r="P218" s="228"/>
      <c r="Q218" s="228"/>
      <c r="R218" s="228"/>
      <c r="S218" s="228"/>
      <c r="T218" s="228"/>
      <c r="U218" s="228"/>
      <c r="V218" s="228"/>
      <c r="W218" s="228"/>
      <c r="X218" s="228"/>
      <c r="Y218" s="228"/>
      <c r="Z218" s="228"/>
      <c r="AA218" s="228"/>
      <c r="BC218" s="82"/>
      <c r="BD218" s="82"/>
      <c r="BE218" s="82"/>
      <c r="BF218" s="82"/>
      <c r="BG218" s="82"/>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14"/>
      <c r="DB218" s="214"/>
      <c r="DC218" s="214"/>
      <c r="DD218" s="214"/>
      <c r="DE218" s="214"/>
      <c r="DF218" s="214"/>
      <c r="DG218" s="83"/>
      <c r="DH218" s="66"/>
      <c r="DI218" s="66"/>
      <c r="DJ218" s="66"/>
      <c r="DK218" s="66"/>
      <c r="DL218" s="66"/>
      <c r="DM218" s="66"/>
      <c r="DN218" s="66"/>
      <c r="DO218" s="66"/>
      <c r="DP218" s="66"/>
      <c r="DQ218" s="66"/>
      <c r="DR218" s="66"/>
      <c r="DS218" s="66"/>
      <c r="DT218" s="66"/>
      <c r="DU218" s="66"/>
      <c r="DV218" s="66"/>
      <c r="DW218" s="66"/>
      <c r="DX218" s="66"/>
      <c r="DY218" s="66"/>
      <c r="DZ218" s="66"/>
      <c r="EA218" s="66"/>
    </row>
    <row r="219" spans="3:131" ht="9" customHeight="1">
      <c r="C219" s="226"/>
      <c r="D219" s="226"/>
      <c r="E219" s="226"/>
      <c r="F219" s="226"/>
      <c r="G219" s="226"/>
      <c r="H219" s="226"/>
      <c r="I219" s="226"/>
      <c r="J219" s="226"/>
      <c r="K219" s="226"/>
      <c r="L219" s="226"/>
      <c r="M219" s="226"/>
      <c r="O219" s="228"/>
      <c r="P219" s="228"/>
      <c r="Q219" s="228"/>
      <c r="R219" s="228"/>
      <c r="S219" s="228"/>
      <c r="T219" s="228"/>
      <c r="U219" s="228"/>
      <c r="V219" s="228"/>
      <c r="W219" s="228"/>
      <c r="X219" s="228"/>
      <c r="Y219" s="228"/>
      <c r="Z219" s="228"/>
      <c r="AA219" s="228"/>
      <c r="BC219" s="82"/>
      <c r="BD219" s="82"/>
      <c r="BE219" s="82"/>
      <c r="BF219" s="82"/>
      <c r="BG219" s="82"/>
      <c r="BH219" s="214"/>
      <c r="BI219" s="214"/>
      <c r="BJ219" s="214"/>
      <c r="BK219" s="214"/>
      <c r="BL219" s="214"/>
      <c r="BM219" s="214"/>
      <c r="BN219" s="214"/>
      <c r="BO219" s="214"/>
      <c r="BP219" s="214"/>
      <c r="BQ219" s="214"/>
      <c r="BR219" s="214"/>
      <c r="BS219" s="214"/>
      <c r="BT219" s="214"/>
      <c r="BU219" s="214"/>
      <c r="BV219" s="214"/>
      <c r="BW219" s="214"/>
      <c r="BX219" s="214"/>
      <c r="BY219" s="214"/>
      <c r="BZ219" s="214"/>
      <c r="CA219" s="214"/>
      <c r="CB219" s="214"/>
      <c r="CC219" s="214"/>
      <c r="CD219" s="214"/>
      <c r="CE219" s="214"/>
      <c r="CF219" s="214"/>
      <c r="CG219" s="214"/>
      <c r="CH219" s="214"/>
      <c r="CI219" s="214"/>
      <c r="CJ219" s="214"/>
      <c r="CK219" s="214"/>
      <c r="CL219" s="214"/>
      <c r="CM219" s="214"/>
      <c r="CN219" s="214"/>
      <c r="CO219" s="214"/>
      <c r="CP219" s="214"/>
      <c r="CQ219" s="214"/>
      <c r="CR219" s="214"/>
      <c r="CS219" s="214"/>
      <c r="CT219" s="214"/>
      <c r="CU219" s="214"/>
      <c r="CV219" s="214"/>
      <c r="CW219" s="214"/>
      <c r="CX219" s="214"/>
      <c r="CY219" s="214"/>
      <c r="CZ219" s="214"/>
      <c r="DA219" s="214"/>
      <c r="DB219" s="214"/>
      <c r="DC219" s="214"/>
      <c r="DD219" s="214"/>
      <c r="DE219" s="214"/>
      <c r="DF219" s="214"/>
      <c r="DG219" s="83"/>
      <c r="DH219" s="66"/>
      <c r="DI219" s="66"/>
      <c r="DJ219" s="66"/>
      <c r="DK219" s="66"/>
      <c r="DL219" s="66"/>
      <c r="DM219" s="66"/>
      <c r="DN219" s="66"/>
      <c r="DO219" s="66"/>
      <c r="DP219" s="66"/>
      <c r="DQ219" s="66"/>
      <c r="DR219" s="66"/>
      <c r="DS219" s="66"/>
      <c r="DT219" s="66"/>
      <c r="DU219" s="66"/>
      <c r="DV219" s="66"/>
      <c r="DW219" s="66"/>
      <c r="DX219" s="66"/>
      <c r="DY219" s="66"/>
      <c r="DZ219" s="66"/>
      <c r="EA219" s="66"/>
    </row>
    <row r="220" spans="3:131" ht="9" customHeight="1">
      <c r="BC220" s="82"/>
      <c r="BD220" s="82"/>
      <c r="BE220" s="82"/>
      <c r="BF220" s="82"/>
      <c r="BG220" s="82"/>
      <c r="BH220" s="214"/>
      <c r="BI220" s="214"/>
      <c r="BJ220" s="214"/>
      <c r="BK220" s="214"/>
      <c r="BL220" s="214"/>
      <c r="BM220" s="214"/>
      <c r="BN220" s="214"/>
      <c r="BO220" s="214"/>
      <c r="BP220" s="214"/>
      <c r="BQ220" s="214"/>
      <c r="BR220" s="214"/>
      <c r="BS220" s="214"/>
      <c r="BT220" s="214"/>
      <c r="BU220" s="214"/>
      <c r="BV220" s="214"/>
      <c r="BW220" s="214"/>
      <c r="BX220" s="214"/>
      <c r="BY220" s="214"/>
      <c r="BZ220" s="214"/>
      <c r="CA220" s="214"/>
      <c r="CB220" s="214"/>
      <c r="CC220" s="214"/>
      <c r="CD220" s="214"/>
      <c r="CE220" s="214"/>
      <c r="CF220" s="214"/>
      <c r="CG220" s="214"/>
      <c r="CH220" s="214"/>
      <c r="CI220" s="214"/>
      <c r="CJ220" s="214"/>
      <c r="CK220" s="214"/>
      <c r="CL220" s="214"/>
      <c r="CM220" s="214"/>
      <c r="CN220" s="214"/>
      <c r="CO220" s="214"/>
      <c r="CP220" s="214"/>
      <c r="CQ220" s="214"/>
      <c r="CR220" s="214"/>
      <c r="CS220" s="214"/>
      <c r="CT220" s="214"/>
      <c r="CU220" s="214"/>
      <c r="CV220" s="214"/>
      <c r="CW220" s="214"/>
      <c r="CX220" s="214"/>
      <c r="CY220" s="214"/>
      <c r="CZ220" s="214"/>
      <c r="DA220" s="214"/>
      <c r="DB220" s="214"/>
      <c r="DC220" s="214"/>
      <c r="DD220" s="214"/>
      <c r="DE220" s="214"/>
      <c r="DF220" s="214"/>
      <c r="DG220" s="83"/>
      <c r="DH220" s="66"/>
      <c r="DI220" s="66"/>
      <c r="DJ220" s="66"/>
      <c r="DK220" s="66"/>
      <c r="DL220" s="66"/>
      <c r="DM220" s="66"/>
      <c r="DN220" s="66"/>
      <c r="DO220" s="66"/>
      <c r="DP220" s="66"/>
      <c r="DQ220" s="66"/>
      <c r="DR220" s="66"/>
      <c r="DS220" s="66"/>
      <c r="DT220" s="66"/>
      <c r="DU220" s="66"/>
      <c r="DV220" s="66"/>
      <c r="DW220" s="66"/>
      <c r="DX220" s="66"/>
      <c r="DY220" s="66"/>
      <c r="DZ220" s="66"/>
      <c r="EA220" s="66"/>
    </row>
    <row r="221" spans="3:131" ht="9" customHeight="1">
      <c r="BC221" s="82"/>
      <c r="BD221" s="82"/>
      <c r="BE221" s="82"/>
      <c r="BF221" s="82"/>
      <c r="BG221" s="82"/>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83"/>
      <c r="DH221" s="66"/>
      <c r="DI221" s="66"/>
      <c r="DJ221" s="66"/>
      <c r="DK221" s="66"/>
      <c r="DL221" s="66"/>
      <c r="DM221" s="66"/>
      <c r="DN221" s="66"/>
      <c r="DO221" s="66"/>
      <c r="DP221" s="66"/>
      <c r="DQ221" s="66"/>
      <c r="DR221" s="66"/>
      <c r="DS221" s="66"/>
      <c r="DT221" s="66"/>
      <c r="DU221" s="66"/>
      <c r="DV221" s="66"/>
      <c r="DW221" s="66"/>
      <c r="DX221" s="66"/>
      <c r="DY221" s="66"/>
      <c r="DZ221" s="66"/>
      <c r="EA221" s="66"/>
    </row>
    <row r="222" spans="3:131" ht="9" customHeight="1">
      <c r="BC222" s="82"/>
      <c r="BD222" s="82"/>
      <c r="BE222" s="82"/>
      <c r="BF222" s="82"/>
      <c r="BG222" s="82"/>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82"/>
    </row>
    <row r="223" spans="3:131" ht="9" customHeight="1">
      <c r="BC223" s="82"/>
      <c r="BD223" s="82"/>
      <c r="BE223" s="82"/>
      <c r="BF223" s="82"/>
      <c r="BG223" s="82"/>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214"/>
      <c r="CC223" s="214"/>
      <c r="CD223" s="214"/>
      <c r="CE223" s="214"/>
      <c r="CF223" s="214"/>
      <c r="CG223" s="214"/>
      <c r="CH223" s="214"/>
      <c r="CI223" s="214"/>
      <c r="CJ223" s="214"/>
      <c r="CK223" s="214"/>
      <c r="CL223" s="214"/>
      <c r="CM223" s="214"/>
      <c r="CN223" s="214"/>
      <c r="CO223" s="214"/>
      <c r="CP223" s="214"/>
      <c r="CQ223" s="214"/>
      <c r="CR223" s="214"/>
      <c r="CS223" s="214"/>
      <c r="CT223" s="214"/>
      <c r="CU223" s="214"/>
      <c r="CV223" s="214"/>
      <c r="CW223" s="214"/>
      <c r="CX223" s="214"/>
      <c r="CY223" s="214"/>
      <c r="CZ223" s="214"/>
      <c r="DA223" s="214"/>
      <c r="DB223" s="214"/>
      <c r="DC223" s="214"/>
      <c r="DD223" s="214"/>
      <c r="DE223" s="214"/>
      <c r="DF223" s="214"/>
      <c r="DG223" s="82"/>
    </row>
    <row r="224" spans="3:131" ht="9" customHeight="1">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row>
    <row r="225" spans="3:111" ht="9" customHeight="1">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row>
    <row r="226" spans="3:111" ht="9" customHeight="1">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row>
    <row r="227" spans="3:111" ht="9" customHeight="1">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row>
    <row r="228" spans="3:111" ht="9" customHeight="1">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row>
    <row r="229" spans="3:111" ht="9" customHeight="1">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row>
    <row r="230" spans="3:111" ht="9" customHeight="1">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row>
    <row r="231" spans="3:111" ht="9" customHeight="1">
      <c r="C231" s="46"/>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row>
    <row r="232" spans="3:111" ht="9" customHeight="1">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row>
    <row r="233" spans="3:111" ht="9" customHeight="1">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row>
    <row r="234" spans="3:111" ht="9" customHeight="1">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row>
    <row r="235" spans="3:111" ht="9" customHeight="1">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row>
    <row r="236" spans="3:111" ht="9" customHeight="1">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row>
    <row r="237" spans="3:111" ht="9" customHeight="1">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row>
    <row r="238" spans="3:111" ht="9" customHeight="1">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row>
    <row r="239" spans="3:111" ht="9" customHeight="1">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row>
    <row r="240" spans="3:111" ht="9" customHeight="1">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row>
    <row r="241" spans="55:111" ht="9" customHeight="1">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row>
    <row r="242" spans="55:111" ht="9" customHeight="1">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row>
    <row r="243" spans="55:111" ht="9" customHeight="1">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row>
    <row r="244" spans="55:111" ht="9" customHeight="1">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row>
    <row r="245" spans="55:111" ht="9" customHeight="1">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row>
    <row r="246" spans="55:111" ht="9" customHeight="1">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row>
    <row r="247" spans="55:111" ht="9" customHeight="1">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row>
    <row r="248" spans="55:111" ht="9" customHeight="1">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row>
    <row r="249" spans="55:111" ht="9" customHeight="1">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row>
    <row r="250" spans="55:111" ht="9" customHeight="1">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row>
    <row r="251" spans="55:111" ht="9" customHeight="1">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row>
    <row r="252" spans="55:111" ht="9" customHeight="1">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row>
    <row r="253" spans="55:111" ht="9" customHeight="1">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row>
    <row r="254" spans="55:111" ht="9" customHeight="1">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row>
    <row r="255" spans="55:111" ht="9" customHeight="1">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row>
    <row r="256" spans="55:111" ht="9" customHeight="1">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row>
    <row r="257" spans="2:111" ht="9" customHeight="1">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row>
    <row r="258" spans="2:111" ht="9" customHeight="1">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row>
    <row r="259" spans="2:111" ht="9" customHeight="1">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row>
    <row r="260" spans="2:111" ht="9" customHeight="1">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row>
    <row r="261" spans="2:111" ht="9" customHeight="1">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row>
    <row r="262" spans="2:111" ht="9" customHeight="1">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row>
    <row r="263" spans="2:111" ht="9" customHeight="1">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row>
    <row r="264" spans="2:111" ht="9" customHeight="1" thickBot="1">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row>
    <row r="265" spans="2:111" ht="9" customHeight="1">
      <c r="B265" s="245" t="s">
        <v>279</v>
      </c>
      <c r="C265" s="245"/>
      <c r="D265" s="245"/>
      <c r="E265" s="245"/>
      <c r="F265" s="245"/>
      <c r="G265" s="245"/>
      <c r="H265" s="245"/>
      <c r="I265" s="245"/>
      <c r="J265" s="245"/>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245"/>
      <c r="AY265" s="245"/>
      <c r="AZ265" s="245"/>
      <c r="BA265" s="246"/>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row>
    <row r="266" spans="2:111" ht="9" customHeight="1">
      <c r="B266" s="247"/>
      <c r="C266" s="247"/>
      <c r="D266" s="247"/>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7"/>
      <c r="AY266" s="247"/>
      <c r="AZ266" s="247"/>
      <c r="BA266" s="248"/>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row>
    <row r="267" spans="2:111" ht="9" customHeight="1">
      <c r="B267" s="249"/>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249"/>
      <c r="AL267" s="249"/>
      <c r="AM267" s="249"/>
      <c r="AN267" s="249"/>
      <c r="AO267" s="249"/>
      <c r="AP267" s="249"/>
      <c r="AQ267" s="249"/>
      <c r="AR267" s="249"/>
      <c r="AS267" s="249"/>
      <c r="AT267" s="249"/>
      <c r="AU267" s="249"/>
      <c r="AV267" s="249"/>
      <c r="AW267" s="249"/>
      <c r="AX267" s="249"/>
      <c r="AY267" s="249"/>
      <c r="AZ267" s="249"/>
      <c r="BA267" s="250"/>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row>
    <row r="268" spans="2:111" ht="9" customHeight="1">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row>
    <row r="269" spans="2:111" ht="9" customHeight="1">
      <c r="B269" s="258" t="s">
        <v>33</v>
      </c>
      <c r="C269" s="258"/>
      <c r="D269" s="258"/>
      <c r="E269" s="258"/>
      <c r="F269" s="258"/>
      <c r="G269" s="258"/>
      <c r="H269" s="258"/>
      <c r="I269" s="258"/>
      <c r="J269" s="258"/>
      <c r="K269" s="258"/>
      <c r="L269" s="258"/>
      <c r="M269" s="258"/>
      <c r="N269" s="7"/>
      <c r="O269" s="358" t="s">
        <v>34</v>
      </c>
      <c r="P269" s="359"/>
      <c r="Q269" s="359"/>
      <c r="R269" s="359"/>
      <c r="S269" s="359"/>
      <c r="T269" s="359"/>
      <c r="U269" s="359"/>
      <c r="V269" s="359"/>
      <c r="W269" s="359"/>
      <c r="X269" s="359"/>
      <c r="Y269" s="359"/>
      <c r="Z269" s="359"/>
      <c r="AA269" s="359"/>
      <c r="AB269" s="359"/>
      <c r="AC269" s="359"/>
      <c r="AD269" s="359"/>
      <c r="AE269" s="359"/>
      <c r="AF269" s="359"/>
      <c r="AG269" s="359"/>
      <c r="AH269" s="359"/>
      <c r="AI269" s="359"/>
      <c r="AJ269" s="359"/>
      <c r="AK269" s="359"/>
      <c r="AL269" s="359"/>
      <c r="AM269" s="359"/>
      <c r="AN269" s="359"/>
      <c r="AO269" s="359"/>
      <c r="AP269" s="359"/>
      <c r="AQ269" s="359"/>
      <c r="AR269" s="359"/>
      <c r="AS269" s="359"/>
      <c r="AT269" s="359"/>
      <c r="AU269" s="359"/>
      <c r="AV269" s="359"/>
      <c r="AW269" s="359"/>
      <c r="AX269" s="359"/>
      <c r="AY269" s="359"/>
      <c r="AZ269" s="359"/>
      <c r="BA269" s="360"/>
      <c r="BC269" s="82"/>
      <c r="BD269" s="82"/>
      <c r="BE269" s="82"/>
      <c r="BF269" s="82"/>
      <c r="BG269" s="82"/>
      <c r="BH269" s="214" t="s">
        <v>304</v>
      </c>
      <c r="BI269" s="214"/>
      <c r="BJ269" s="214"/>
      <c r="BK269" s="214"/>
      <c r="BL269" s="214"/>
      <c r="BM269" s="214"/>
      <c r="BN269" s="214"/>
      <c r="BO269" s="214"/>
      <c r="BP269" s="214"/>
      <c r="BQ269" s="214"/>
      <c r="BR269" s="214"/>
      <c r="BS269" s="214"/>
      <c r="BT269" s="214"/>
      <c r="BU269" s="214"/>
      <c r="BV269" s="214"/>
      <c r="BW269" s="214"/>
      <c r="BX269" s="214"/>
      <c r="BY269" s="214"/>
      <c r="BZ269" s="214"/>
      <c r="CA269" s="214"/>
      <c r="CB269" s="214"/>
      <c r="CC269" s="214"/>
      <c r="CD269" s="214"/>
      <c r="CE269" s="214"/>
      <c r="CF269" s="214"/>
      <c r="CG269" s="214"/>
      <c r="CH269" s="214"/>
      <c r="CI269" s="214"/>
      <c r="CJ269" s="214"/>
      <c r="CK269" s="214"/>
      <c r="CL269" s="214"/>
      <c r="CM269" s="214"/>
      <c r="CN269" s="214"/>
      <c r="CO269" s="214"/>
      <c r="CP269" s="214"/>
      <c r="CQ269" s="214"/>
      <c r="CR269" s="214"/>
      <c r="CS269" s="214"/>
      <c r="CT269" s="214"/>
      <c r="CU269" s="214"/>
      <c r="CV269" s="214"/>
      <c r="CW269" s="214"/>
      <c r="CX269" s="214"/>
      <c r="CY269" s="214"/>
      <c r="CZ269" s="214"/>
      <c r="DA269" s="214"/>
      <c r="DB269" s="214"/>
      <c r="DC269" s="214"/>
      <c r="DD269" s="214"/>
      <c r="DE269" s="214"/>
      <c r="DF269" s="214"/>
      <c r="DG269" s="82"/>
    </row>
    <row r="270" spans="2:111" ht="9" customHeight="1">
      <c r="B270" s="258"/>
      <c r="C270" s="258"/>
      <c r="D270" s="258"/>
      <c r="E270" s="258"/>
      <c r="F270" s="258"/>
      <c r="G270" s="258"/>
      <c r="H270" s="258"/>
      <c r="I270" s="258"/>
      <c r="J270" s="258"/>
      <c r="K270" s="258"/>
      <c r="L270" s="258"/>
      <c r="M270" s="258"/>
      <c r="N270" s="7"/>
      <c r="O270" s="361"/>
      <c r="P270" s="362"/>
      <c r="Q270" s="362"/>
      <c r="R270" s="362"/>
      <c r="S270" s="362"/>
      <c r="T270" s="362"/>
      <c r="U270" s="362"/>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c r="AS270" s="362"/>
      <c r="AT270" s="362"/>
      <c r="AU270" s="362"/>
      <c r="AV270" s="362"/>
      <c r="AW270" s="362"/>
      <c r="AX270" s="362"/>
      <c r="AY270" s="362"/>
      <c r="AZ270" s="362"/>
      <c r="BA270" s="363"/>
      <c r="BC270" s="82"/>
      <c r="BD270" s="82"/>
      <c r="BE270" s="82"/>
      <c r="BF270" s="82"/>
      <c r="BG270" s="82"/>
      <c r="BH270" s="214"/>
      <c r="BI270" s="214"/>
      <c r="BJ270" s="214"/>
      <c r="BK270" s="214"/>
      <c r="BL270" s="214"/>
      <c r="BM270" s="214"/>
      <c r="BN270" s="214"/>
      <c r="BO270" s="214"/>
      <c r="BP270" s="214"/>
      <c r="BQ270" s="214"/>
      <c r="BR270" s="214"/>
      <c r="BS270" s="214"/>
      <c r="BT270" s="214"/>
      <c r="BU270" s="214"/>
      <c r="BV270" s="214"/>
      <c r="BW270" s="214"/>
      <c r="BX270" s="214"/>
      <c r="BY270" s="214"/>
      <c r="BZ270" s="214"/>
      <c r="CA270" s="214"/>
      <c r="CB270" s="214"/>
      <c r="CC270" s="214"/>
      <c r="CD270" s="214"/>
      <c r="CE270" s="214"/>
      <c r="CF270" s="214"/>
      <c r="CG270" s="214"/>
      <c r="CH270" s="214"/>
      <c r="CI270" s="214"/>
      <c r="CJ270" s="214"/>
      <c r="CK270" s="214"/>
      <c r="CL270" s="214"/>
      <c r="CM270" s="214"/>
      <c r="CN270" s="214"/>
      <c r="CO270" s="214"/>
      <c r="CP270" s="214"/>
      <c r="CQ270" s="214"/>
      <c r="CR270" s="214"/>
      <c r="CS270" s="214"/>
      <c r="CT270" s="214"/>
      <c r="CU270" s="214"/>
      <c r="CV270" s="214"/>
      <c r="CW270" s="214"/>
      <c r="CX270" s="214"/>
      <c r="CY270" s="214"/>
      <c r="CZ270" s="214"/>
      <c r="DA270" s="214"/>
      <c r="DB270" s="214"/>
      <c r="DC270" s="214"/>
      <c r="DD270" s="214"/>
      <c r="DE270" s="214"/>
      <c r="DF270" s="214"/>
      <c r="DG270" s="82"/>
    </row>
    <row r="271" spans="2:111" ht="4.5" customHeight="1">
      <c r="BC271" s="82"/>
      <c r="BD271" s="82"/>
      <c r="BE271" s="82"/>
      <c r="BF271" s="82"/>
      <c r="BG271" s="82"/>
      <c r="BH271" s="214"/>
      <c r="BI271" s="214"/>
      <c r="BJ271" s="214"/>
      <c r="BK271" s="214"/>
      <c r="BL271" s="214"/>
      <c r="BM271" s="214"/>
      <c r="BN271" s="214"/>
      <c r="BO271" s="214"/>
      <c r="BP271" s="214"/>
      <c r="BQ271" s="214"/>
      <c r="BR271" s="214"/>
      <c r="BS271" s="214"/>
      <c r="BT271" s="214"/>
      <c r="BU271" s="214"/>
      <c r="BV271" s="214"/>
      <c r="BW271" s="214"/>
      <c r="BX271" s="214"/>
      <c r="BY271" s="214"/>
      <c r="BZ271" s="214"/>
      <c r="CA271" s="214"/>
      <c r="CB271" s="214"/>
      <c r="CC271" s="214"/>
      <c r="CD271" s="214"/>
      <c r="CE271" s="214"/>
      <c r="CF271" s="214"/>
      <c r="CG271" s="214"/>
      <c r="CH271" s="214"/>
      <c r="CI271" s="214"/>
      <c r="CJ271" s="214"/>
      <c r="CK271" s="214"/>
      <c r="CL271" s="214"/>
      <c r="CM271" s="214"/>
      <c r="CN271" s="214"/>
      <c r="CO271" s="214"/>
      <c r="CP271" s="214"/>
      <c r="CQ271" s="214"/>
      <c r="CR271" s="214"/>
      <c r="CS271" s="214"/>
      <c r="CT271" s="214"/>
      <c r="CU271" s="214"/>
      <c r="CV271" s="214"/>
      <c r="CW271" s="214"/>
      <c r="CX271" s="214"/>
      <c r="CY271" s="214"/>
      <c r="CZ271" s="214"/>
      <c r="DA271" s="214"/>
      <c r="DB271" s="214"/>
      <c r="DC271" s="214"/>
      <c r="DD271" s="214"/>
      <c r="DE271" s="214"/>
      <c r="DF271" s="214"/>
      <c r="DG271" s="82"/>
    </row>
    <row r="272" spans="2:111" ht="9" customHeight="1">
      <c r="B272" s="350"/>
      <c r="C272" s="350"/>
      <c r="D272" s="350"/>
      <c r="F272" s="351" t="str">
        <f>APOIO!$B$6</f>
        <v>(A) - Implementação de espaços territoriais especialmente protegidos relacionados à conectividade: projetos que contribuam para a conectividade de diferentes espécies de espaços ambientais protegidos e fragmentos de vegetação nativa.</v>
      </c>
      <c r="G272" s="351"/>
      <c r="H272" s="351"/>
      <c r="I272" s="351"/>
      <c r="J272" s="351"/>
      <c r="K272" s="351"/>
      <c r="L272" s="351"/>
      <c r="M272" s="351"/>
      <c r="N272" s="351"/>
      <c r="O272" s="351"/>
      <c r="P272" s="351"/>
      <c r="Q272" s="351"/>
      <c r="R272" s="351"/>
      <c r="S272" s="351"/>
      <c r="T272" s="351"/>
      <c r="U272" s="351"/>
      <c r="V272" s="351"/>
      <c r="W272" s="351"/>
      <c r="X272" s="351"/>
      <c r="Y272" s="351"/>
      <c r="Z272" s="351"/>
      <c r="AA272" s="351"/>
      <c r="AB272" s="351"/>
      <c r="AC272" s="351"/>
      <c r="AD272" s="351"/>
      <c r="AE272" s="351"/>
      <c r="AF272" s="351"/>
      <c r="AG272" s="351"/>
      <c r="AH272" s="351"/>
      <c r="AI272" s="351"/>
      <c r="AJ272" s="351"/>
      <c r="AK272" s="351"/>
      <c r="AL272" s="351"/>
      <c r="AM272" s="351"/>
      <c r="AN272" s="351"/>
      <c r="AO272" s="351"/>
      <c r="AP272" s="351"/>
      <c r="AQ272" s="351"/>
      <c r="AR272" s="351"/>
      <c r="AS272" s="351"/>
      <c r="AT272" s="351"/>
      <c r="AU272" s="351"/>
      <c r="AV272" s="351"/>
      <c r="AW272" s="351"/>
      <c r="AX272" s="351"/>
      <c r="AY272" s="351"/>
      <c r="AZ272" s="351"/>
      <c r="BA272" s="351"/>
      <c r="BC272" s="82"/>
      <c r="BD272" s="82"/>
      <c r="BE272" s="82"/>
      <c r="BF272" s="82"/>
      <c r="BG272" s="82"/>
      <c r="BH272" s="214"/>
      <c r="BI272" s="214"/>
      <c r="BJ272" s="214"/>
      <c r="BK272" s="214"/>
      <c r="BL272" s="214"/>
      <c r="BM272" s="214"/>
      <c r="BN272" s="214"/>
      <c r="BO272" s="214"/>
      <c r="BP272" s="214"/>
      <c r="BQ272" s="214"/>
      <c r="BR272" s="214"/>
      <c r="BS272" s="214"/>
      <c r="BT272" s="214"/>
      <c r="BU272" s="214"/>
      <c r="BV272" s="214"/>
      <c r="BW272" s="214"/>
      <c r="BX272" s="214"/>
      <c r="BY272" s="214"/>
      <c r="BZ272" s="214"/>
      <c r="CA272" s="214"/>
      <c r="CB272" s="214"/>
      <c r="CC272" s="214"/>
      <c r="CD272" s="214"/>
      <c r="CE272" s="214"/>
      <c r="CF272" s="214"/>
      <c r="CG272" s="214"/>
      <c r="CH272" s="214"/>
      <c r="CI272" s="214"/>
      <c r="CJ272" s="214"/>
      <c r="CK272" s="214"/>
      <c r="CL272" s="214"/>
      <c r="CM272" s="214"/>
      <c r="CN272" s="214"/>
      <c r="CO272" s="214"/>
      <c r="CP272" s="214"/>
      <c r="CQ272" s="214"/>
      <c r="CR272" s="214"/>
      <c r="CS272" s="214"/>
      <c r="CT272" s="214"/>
      <c r="CU272" s="214"/>
      <c r="CV272" s="214"/>
      <c r="CW272" s="214"/>
      <c r="CX272" s="214"/>
      <c r="CY272" s="214"/>
      <c r="CZ272" s="214"/>
      <c r="DA272" s="214"/>
      <c r="DB272" s="214"/>
      <c r="DC272" s="214"/>
      <c r="DD272" s="214"/>
      <c r="DE272" s="214"/>
      <c r="DF272" s="214"/>
      <c r="DG272" s="82"/>
    </row>
    <row r="273" spans="2:111" ht="9" customHeight="1">
      <c r="B273" s="350"/>
      <c r="C273" s="350"/>
      <c r="D273" s="350"/>
      <c r="F273" s="351"/>
      <c r="G273" s="351"/>
      <c r="H273" s="351"/>
      <c r="I273" s="351"/>
      <c r="J273" s="351"/>
      <c r="K273" s="351"/>
      <c r="L273" s="351"/>
      <c r="M273" s="351"/>
      <c r="N273" s="351"/>
      <c r="O273" s="351"/>
      <c r="P273" s="351"/>
      <c r="Q273" s="351"/>
      <c r="R273" s="351"/>
      <c r="S273" s="351"/>
      <c r="T273" s="351"/>
      <c r="U273" s="351"/>
      <c r="V273" s="351"/>
      <c r="W273" s="351"/>
      <c r="X273" s="351"/>
      <c r="Y273" s="351"/>
      <c r="Z273" s="351"/>
      <c r="AA273" s="351"/>
      <c r="AB273" s="351"/>
      <c r="AC273" s="351"/>
      <c r="AD273" s="351"/>
      <c r="AE273" s="351"/>
      <c r="AF273" s="351"/>
      <c r="AG273" s="351"/>
      <c r="AH273" s="351"/>
      <c r="AI273" s="351"/>
      <c r="AJ273" s="351"/>
      <c r="AK273" s="351"/>
      <c r="AL273" s="351"/>
      <c r="AM273" s="351"/>
      <c r="AN273" s="351"/>
      <c r="AO273" s="351"/>
      <c r="AP273" s="351"/>
      <c r="AQ273" s="351"/>
      <c r="AR273" s="351"/>
      <c r="AS273" s="351"/>
      <c r="AT273" s="351"/>
      <c r="AU273" s="351"/>
      <c r="AV273" s="351"/>
      <c r="AW273" s="351"/>
      <c r="AX273" s="351"/>
      <c r="AY273" s="351"/>
      <c r="AZ273" s="351"/>
      <c r="BA273" s="351"/>
      <c r="BC273" s="82"/>
      <c r="BD273" s="82"/>
      <c r="BE273" s="82"/>
      <c r="BF273" s="82"/>
      <c r="BG273" s="82"/>
      <c r="BH273" s="214"/>
      <c r="BI273" s="214"/>
      <c r="BJ273" s="214"/>
      <c r="BK273" s="214"/>
      <c r="BL273" s="214"/>
      <c r="BM273" s="214"/>
      <c r="BN273" s="214"/>
      <c r="BO273" s="214"/>
      <c r="BP273" s="214"/>
      <c r="BQ273" s="214"/>
      <c r="BR273" s="214"/>
      <c r="BS273" s="214"/>
      <c r="BT273" s="214"/>
      <c r="BU273" s="214"/>
      <c r="BV273" s="214"/>
      <c r="BW273" s="214"/>
      <c r="BX273" s="214"/>
      <c r="BY273" s="214"/>
      <c r="BZ273" s="214"/>
      <c r="CA273" s="214"/>
      <c r="CB273" s="214"/>
      <c r="CC273" s="214"/>
      <c r="CD273" s="214"/>
      <c r="CE273" s="214"/>
      <c r="CF273" s="214"/>
      <c r="CG273" s="214"/>
      <c r="CH273" s="214"/>
      <c r="CI273" s="214"/>
      <c r="CJ273" s="214"/>
      <c r="CK273" s="214"/>
      <c r="CL273" s="214"/>
      <c r="CM273" s="214"/>
      <c r="CN273" s="214"/>
      <c r="CO273" s="214"/>
      <c r="CP273" s="214"/>
      <c r="CQ273" s="214"/>
      <c r="CR273" s="214"/>
      <c r="CS273" s="214"/>
      <c r="CT273" s="214"/>
      <c r="CU273" s="214"/>
      <c r="CV273" s="214"/>
      <c r="CW273" s="214"/>
      <c r="CX273" s="214"/>
      <c r="CY273" s="214"/>
      <c r="CZ273" s="214"/>
      <c r="DA273" s="214"/>
      <c r="DB273" s="214"/>
      <c r="DC273" s="214"/>
      <c r="DD273" s="214"/>
      <c r="DE273" s="214"/>
      <c r="DF273" s="214"/>
      <c r="DG273" s="82"/>
    </row>
    <row r="274" spans="2:111" ht="9" customHeight="1">
      <c r="F274" s="351"/>
      <c r="G274" s="351"/>
      <c r="H274" s="351"/>
      <c r="I274" s="351"/>
      <c r="J274" s="351"/>
      <c r="K274" s="351"/>
      <c r="L274" s="351"/>
      <c r="M274" s="351"/>
      <c r="N274" s="351"/>
      <c r="O274" s="351"/>
      <c r="P274" s="351"/>
      <c r="Q274" s="351"/>
      <c r="R274" s="351"/>
      <c r="S274" s="351"/>
      <c r="T274" s="351"/>
      <c r="U274" s="351"/>
      <c r="V274" s="351"/>
      <c r="W274" s="351"/>
      <c r="X274" s="351"/>
      <c r="Y274" s="351"/>
      <c r="Z274" s="351"/>
      <c r="AA274" s="351"/>
      <c r="AB274" s="351"/>
      <c r="AC274" s="351"/>
      <c r="AD274" s="351"/>
      <c r="AE274" s="351"/>
      <c r="AF274" s="351"/>
      <c r="AG274" s="351"/>
      <c r="AH274" s="351"/>
      <c r="AI274" s="351"/>
      <c r="AJ274" s="351"/>
      <c r="AK274" s="351"/>
      <c r="AL274" s="351"/>
      <c r="AM274" s="351"/>
      <c r="AN274" s="351"/>
      <c r="AO274" s="351"/>
      <c r="AP274" s="351"/>
      <c r="AQ274" s="351"/>
      <c r="AR274" s="351"/>
      <c r="AS274" s="351"/>
      <c r="AT274" s="351"/>
      <c r="AU274" s="351"/>
      <c r="AV274" s="351"/>
      <c r="AW274" s="351"/>
      <c r="AX274" s="351"/>
      <c r="AY274" s="351"/>
      <c r="AZ274" s="351"/>
      <c r="BA274" s="351"/>
      <c r="BC274" s="82"/>
      <c r="BD274" s="82"/>
      <c r="BE274" s="82"/>
      <c r="BF274" s="82"/>
      <c r="BG274" s="82"/>
      <c r="BH274" s="214"/>
      <c r="BI274" s="214"/>
      <c r="BJ274" s="214"/>
      <c r="BK274" s="214"/>
      <c r="BL274" s="214"/>
      <c r="BM274" s="214"/>
      <c r="BN274" s="214"/>
      <c r="BO274" s="214"/>
      <c r="BP274" s="214"/>
      <c r="BQ274" s="214"/>
      <c r="BR274" s="214"/>
      <c r="BS274" s="214"/>
      <c r="BT274" s="214"/>
      <c r="BU274" s="214"/>
      <c r="BV274" s="214"/>
      <c r="BW274" s="214"/>
      <c r="BX274" s="214"/>
      <c r="BY274" s="214"/>
      <c r="BZ274" s="214"/>
      <c r="CA274" s="214"/>
      <c r="CB274" s="214"/>
      <c r="CC274" s="214"/>
      <c r="CD274" s="214"/>
      <c r="CE274" s="214"/>
      <c r="CF274" s="214"/>
      <c r="CG274" s="214"/>
      <c r="CH274" s="214"/>
      <c r="CI274" s="214"/>
      <c r="CJ274" s="214"/>
      <c r="CK274" s="214"/>
      <c r="CL274" s="214"/>
      <c r="CM274" s="214"/>
      <c r="CN274" s="214"/>
      <c r="CO274" s="214"/>
      <c r="CP274" s="214"/>
      <c r="CQ274" s="214"/>
      <c r="CR274" s="214"/>
      <c r="CS274" s="214"/>
      <c r="CT274" s="214"/>
      <c r="CU274" s="214"/>
      <c r="CV274" s="214"/>
      <c r="CW274" s="214"/>
      <c r="CX274" s="214"/>
      <c r="CY274" s="214"/>
      <c r="CZ274" s="214"/>
      <c r="DA274" s="214"/>
      <c r="DB274" s="214"/>
      <c r="DC274" s="214"/>
      <c r="DD274" s="214"/>
      <c r="DE274" s="214"/>
      <c r="DF274" s="214"/>
      <c r="DG274" s="82"/>
    </row>
    <row r="275" spans="2:111" ht="9" customHeight="1">
      <c r="F275" s="351"/>
      <c r="G275" s="351"/>
      <c r="H275" s="351"/>
      <c r="I275" s="351"/>
      <c r="J275" s="351"/>
      <c r="K275" s="351"/>
      <c r="L275" s="351"/>
      <c r="M275" s="351"/>
      <c r="N275" s="351"/>
      <c r="O275" s="351"/>
      <c r="P275" s="351"/>
      <c r="Q275" s="351"/>
      <c r="R275" s="351"/>
      <c r="S275" s="351"/>
      <c r="T275" s="351"/>
      <c r="U275" s="351"/>
      <c r="V275" s="351"/>
      <c r="W275" s="351"/>
      <c r="X275" s="351"/>
      <c r="Y275" s="351"/>
      <c r="Z275" s="351"/>
      <c r="AA275" s="351"/>
      <c r="AB275" s="351"/>
      <c r="AC275" s="351"/>
      <c r="AD275" s="351"/>
      <c r="AE275" s="351"/>
      <c r="AF275" s="351"/>
      <c r="AG275" s="351"/>
      <c r="AH275" s="351"/>
      <c r="AI275" s="351"/>
      <c r="AJ275" s="351"/>
      <c r="AK275" s="351"/>
      <c r="AL275" s="351"/>
      <c r="AM275" s="351"/>
      <c r="AN275" s="351"/>
      <c r="AO275" s="351"/>
      <c r="AP275" s="351"/>
      <c r="AQ275" s="351"/>
      <c r="AR275" s="351"/>
      <c r="AS275" s="351"/>
      <c r="AT275" s="351"/>
      <c r="AU275" s="351"/>
      <c r="AV275" s="351"/>
      <c r="AW275" s="351"/>
      <c r="AX275" s="351"/>
      <c r="AY275" s="351"/>
      <c r="AZ275" s="351"/>
      <c r="BA275" s="351"/>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row>
    <row r="276" spans="2:111" ht="9" customHeight="1">
      <c r="F276" s="351"/>
      <c r="G276" s="351"/>
      <c r="H276" s="351"/>
      <c r="I276" s="351"/>
      <c r="J276" s="351"/>
      <c r="K276" s="351"/>
      <c r="L276" s="351"/>
      <c r="M276" s="351"/>
      <c r="N276" s="351"/>
      <c r="O276" s="351"/>
      <c r="P276" s="351"/>
      <c r="Q276" s="351"/>
      <c r="R276" s="351"/>
      <c r="S276" s="351"/>
      <c r="T276" s="351"/>
      <c r="U276" s="351"/>
      <c r="V276" s="351"/>
      <c r="W276" s="351"/>
      <c r="X276" s="351"/>
      <c r="Y276" s="351"/>
      <c r="Z276" s="351"/>
      <c r="AA276" s="351"/>
      <c r="AB276" s="351"/>
      <c r="AC276" s="351"/>
      <c r="AD276" s="351"/>
      <c r="AE276" s="351"/>
      <c r="AF276" s="351"/>
      <c r="AG276" s="351"/>
      <c r="AH276" s="351"/>
      <c r="AI276" s="351"/>
      <c r="AJ276" s="351"/>
      <c r="AK276" s="351"/>
      <c r="AL276" s="351"/>
      <c r="AM276" s="351"/>
      <c r="AN276" s="351"/>
      <c r="AO276" s="351"/>
      <c r="AP276" s="351"/>
      <c r="AQ276" s="351"/>
      <c r="AR276" s="351"/>
      <c r="AS276" s="351"/>
      <c r="AT276" s="351"/>
      <c r="AU276" s="351"/>
      <c r="AV276" s="351"/>
      <c r="AW276" s="351"/>
      <c r="AX276" s="351"/>
      <c r="AY276" s="351"/>
      <c r="AZ276" s="351"/>
      <c r="BA276" s="351"/>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row>
    <row r="277" spans="2:111" ht="9" customHeight="1">
      <c r="F277" s="351"/>
      <c r="G277" s="351"/>
      <c r="H277" s="351"/>
      <c r="I277" s="351"/>
      <c r="J277" s="351"/>
      <c r="K277" s="351"/>
      <c r="L277" s="351"/>
      <c r="M277" s="351"/>
      <c r="N277" s="351"/>
      <c r="O277" s="351"/>
      <c r="P277" s="351"/>
      <c r="Q277" s="351"/>
      <c r="R277" s="351"/>
      <c r="S277" s="351"/>
      <c r="T277" s="351"/>
      <c r="U277" s="351"/>
      <c r="V277" s="351"/>
      <c r="W277" s="351"/>
      <c r="X277" s="351"/>
      <c r="Y277" s="351"/>
      <c r="Z277" s="351"/>
      <c r="AA277" s="351"/>
      <c r="AB277" s="351"/>
      <c r="AC277" s="351"/>
      <c r="AD277" s="351"/>
      <c r="AE277" s="351"/>
      <c r="AF277" s="351"/>
      <c r="AG277" s="351"/>
      <c r="AH277" s="351"/>
      <c r="AI277" s="351"/>
      <c r="AJ277" s="351"/>
      <c r="AK277" s="351"/>
      <c r="AL277" s="351"/>
      <c r="AM277" s="351"/>
      <c r="AN277" s="351"/>
      <c r="AO277" s="351"/>
      <c r="AP277" s="351"/>
      <c r="AQ277" s="351"/>
      <c r="AR277" s="351"/>
      <c r="AS277" s="351"/>
      <c r="AT277" s="351"/>
      <c r="AU277" s="351"/>
      <c r="AV277" s="351"/>
      <c r="AW277" s="351"/>
      <c r="AX277" s="351"/>
      <c r="AY277" s="351"/>
      <c r="AZ277" s="351"/>
      <c r="BA277" s="351"/>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row>
    <row r="278" spans="2:111" ht="9" customHeight="1">
      <c r="F278" s="351"/>
      <c r="G278" s="351"/>
      <c r="H278" s="351"/>
      <c r="I278" s="351"/>
      <c r="J278" s="351"/>
      <c r="K278" s="351"/>
      <c r="L278" s="351"/>
      <c r="M278" s="351"/>
      <c r="N278" s="351"/>
      <c r="O278" s="351"/>
      <c r="P278" s="351"/>
      <c r="Q278" s="351"/>
      <c r="R278" s="351"/>
      <c r="S278" s="351"/>
      <c r="T278" s="351"/>
      <c r="U278" s="351"/>
      <c r="V278" s="351"/>
      <c r="W278" s="351"/>
      <c r="X278" s="351"/>
      <c r="Y278" s="351"/>
      <c r="Z278" s="351"/>
      <c r="AA278" s="351"/>
      <c r="AB278" s="351"/>
      <c r="AC278" s="351"/>
      <c r="AD278" s="351"/>
      <c r="AE278" s="351"/>
      <c r="AF278" s="351"/>
      <c r="AG278" s="351"/>
      <c r="AH278" s="351"/>
      <c r="AI278" s="351"/>
      <c r="AJ278" s="351"/>
      <c r="AK278" s="351"/>
      <c r="AL278" s="351"/>
      <c r="AM278" s="351"/>
      <c r="AN278" s="351"/>
      <c r="AO278" s="351"/>
      <c r="AP278" s="351"/>
      <c r="AQ278" s="351"/>
      <c r="AR278" s="351"/>
      <c r="AS278" s="351"/>
      <c r="AT278" s="351"/>
      <c r="AU278" s="351"/>
      <c r="AV278" s="351"/>
      <c r="AW278" s="351"/>
      <c r="AX278" s="351"/>
      <c r="AY278" s="351"/>
      <c r="AZ278" s="351"/>
      <c r="BA278" s="351"/>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row>
    <row r="279" spans="2:111" ht="9" customHeight="1">
      <c r="F279" s="351"/>
      <c r="G279" s="351"/>
      <c r="H279" s="351"/>
      <c r="I279" s="351"/>
      <c r="J279" s="351"/>
      <c r="K279" s="351"/>
      <c r="L279" s="351"/>
      <c r="M279" s="351"/>
      <c r="N279" s="351"/>
      <c r="O279" s="351"/>
      <c r="P279" s="351"/>
      <c r="Q279" s="351"/>
      <c r="R279" s="351"/>
      <c r="S279" s="351"/>
      <c r="T279" s="351"/>
      <c r="U279" s="351"/>
      <c r="V279" s="351"/>
      <c r="W279" s="351"/>
      <c r="X279" s="351"/>
      <c r="Y279" s="351"/>
      <c r="Z279" s="351"/>
      <c r="AA279" s="351"/>
      <c r="AB279" s="351"/>
      <c r="AC279" s="351"/>
      <c r="AD279" s="351"/>
      <c r="AE279" s="351"/>
      <c r="AF279" s="351"/>
      <c r="AG279" s="351"/>
      <c r="AH279" s="351"/>
      <c r="AI279" s="351"/>
      <c r="AJ279" s="351"/>
      <c r="AK279" s="351"/>
      <c r="AL279" s="351"/>
      <c r="AM279" s="351"/>
      <c r="AN279" s="351"/>
      <c r="AO279" s="351"/>
      <c r="AP279" s="351"/>
      <c r="AQ279" s="351"/>
      <c r="AR279" s="351"/>
      <c r="AS279" s="351"/>
      <c r="AT279" s="351"/>
      <c r="AU279" s="351"/>
      <c r="AV279" s="351"/>
      <c r="AW279" s="351"/>
      <c r="AX279" s="351"/>
      <c r="AY279" s="351"/>
      <c r="AZ279" s="351"/>
      <c r="BA279" s="351"/>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row>
    <row r="280" spans="2:111" ht="9" customHeight="1">
      <c r="F280" s="351"/>
      <c r="G280" s="351"/>
      <c r="H280" s="351"/>
      <c r="I280" s="351"/>
      <c r="J280" s="351"/>
      <c r="K280" s="351"/>
      <c r="L280" s="351"/>
      <c r="M280" s="351"/>
      <c r="N280" s="351"/>
      <c r="O280" s="351"/>
      <c r="P280" s="351"/>
      <c r="Q280" s="351"/>
      <c r="R280" s="351"/>
      <c r="S280" s="351"/>
      <c r="T280" s="351"/>
      <c r="U280" s="351"/>
      <c r="V280" s="351"/>
      <c r="W280" s="351"/>
      <c r="X280" s="351"/>
      <c r="Y280" s="351"/>
      <c r="Z280" s="351"/>
      <c r="AA280" s="351"/>
      <c r="AB280" s="351"/>
      <c r="AC280" s="351"/>
      <c r="AD280" s="351"/>
      <c r="AE280" s="351"/>
      <c r="AF280" s="351"/>
      <c r="AG280" s="351"/>
      <c r="AH280" s="351"/>
      <c r="AI280" s="351"/>
      <c r="AJ280" s="351"/>
      <c r="AK280" s="351"/>
      <c r="AL280" s="351"/>
      <c r="AM280" s="351"/>
      <c r="AN280" s="351"/>
      <c r="AO280" s="351"/>
      <c r="AP280" s="351"/>
      <c r="AQ280" s="351"/>
      <c r="AR280" s="351"/>
      <c r="AS280" s="351"/>
      <c r="AT280" s="351"/>
      <c r="AU280" s="351"/>
      <c r="AV280" s="351"/>
      <c r="AW280" s="351"/>
      <c r="AX280" s="351"/>
      <c r="AY280" s="351"/>
      <c r="AZ280" s="351"/>
      <c r="BA280" s="351"/>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row>
    <row r="281" spans="2:111" ht="4.5" customHeight="1">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row>
    <row r="282" spans="2:111" ht="9" customHeight="1">
      <c r="B282" s="350"/>
      <c r="C282" s="350"/>
      <c r="D282" s="350"/>
      <c r="F282" s="351" t="str">
        <f>APOIO!$B$7</f>
        <v>(B) - Conservação da água e das florestas: projetos que contribuam para conservação, restauração, recuperação e uso sustentável dos recursos florestais e hídricos; que promovam a conservação e recuperação de nascentes e áreas de preservação permanente, além da recuperação de áreas degradadas.</v>
      </c>
      <c r="G282" s="351"/>
      <c r="H282" s="351"/>
      <c r="I282" s="351"/>
      <c r="J282" s="351"/>
      <c r="K282" s="351"/>
      <c r="L282" s="351"/>
      <c r="M282" s="351"/>
      <c r="N282" s="351"/>
      <c r="O282" s="351"/>
      <c r="P282" s="351"/>
      <c r="Q282" s="351"/>
      <c r="R282" s="351"/>
      <c r="S282" s="351"/>
      <c r="T282" s="351"/>
      <c r="U282" s="351"/>
      <c r="V282" s="351"/>
      <c r="W282" s="351"/>
      <c r="X282" s="351"/>
      <c r="Y282" s="351"/>
      <c r="Z282" s="351"/>
      <c r="AA282" s="351"/>
      <c r="AB282" s="351"/>
      <c r="AC282" s="351"/>
      <c r="AD282" s="351"/>
      <c r="AE282" s="351"/>
      <c r="AF282" s="351"/>
      <c r="AG282" s="351"/>
      <c r="AH282" s="351"/>
      <c r="AI282" s="351"/>
      <c r="AJ282" s="351"/>
      <c r="AK282" s="351"/>
      <c r="AL282" s="351"/>
      <c r="AM282" s="351"/>
      <c r="AN282" s="351"/>
      <c r="AO282" s="351"/>
      <c r="AP282" s="351"/>
      <c r="AQ282" s="351"/>
      <c r="AR282" s="351"/>
      <c r="AS282" s="351"/>
      <c r="AT282" s="351"/>
      <c r="AU282" s="351"/>
      <c r="AV282" s="351"/>
      <c r="AW282" s="351"/>
      <c r="AX282" s="351"/>
      <c r="AY282" s="351"/>
      <c r="AZ282" s="351"/>
      <c r="BA282" s="351"/>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row>
    <row r="283" spans="2:111" ht="9" customHeight="1">
      <c r="B283" s="350"/>
      <c r="C283" s="350"/>
      <c r="D283" s="350"/>
      <c r="F283" s="351"/>
      <c r="G283" s="351"/>
      <c r="H283" s="351"/>
      <c r="I283" s="351"/>
      <c r="J283" s="351"/>
      <c r="K283" s="351"/>
      <c r="L283" s="351"/>
      <c r="M283" s="351"/>
      <c r="N283" s="351"/>
      <c r="O283" s="351"/>
      <c r="P283" s="351"/>
      <c r="Q283" s="351"/>
      <c r="R283" s="351"/>
      <c r="S283" s="351"/>
      <c r="T283" s="351"/>
      <c r="U283" s="351"/>
      <c r="V283" s="351"/>
      <c r="W283" s="351"/>
      <c r="X283" s="351"/>
      <c r="Y283" s="351"/>
      <c r="Z283" s="351"/>
      <c r="AA283" s="351"/>
      <c r="AB283" s="351"/>
      <c r="AC283" s="351"/>
      <c r="AD283" s="351"/>
      <c r="AE283" s="351"/>
      <c r="AF283" s="351"/>
      <c r="AG283" s="351"/>
      <c r="AH283" s="351"/>
      <c r="AI283" s="351"/>
      <c r="AJ283" s="351"/>
      <c r="AK283" s="351"/>
      <c r="AL283" s="351"/>
      <c r="AM283" s="351"/>
      <c r="AN283" s="351"/>
      <c r="AO283" s="351"/>
      <c r="AP283" s="351"/>
      <c r="AQ283" s="351"/>
      <c r="AR283" s="351"/>
      <c r="AS283" s="351"/>
      <c r="AT283" s="351"/>
      <c r="AU283" s="351"/>
      <c r="AV283" s="351"/>
      <c r="AW283" s="351"/>
      <c r="AX283" s="351"/>
      <c r="AY283" s="351"/>
      <c r="AZ283" s="351"/>
      <c r="BA283" s="351"/>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row>
    <row r="284" spans="2:111" ht="9" customHeight="1">
      <c r="F284" s="351"/>
      <c r="G284" s="351"/>
      <c r="H284" s="351"/>
      <c r="I284" s="351"/>
      <c r="J284" s="351"/>
      <c r="K284" s="351"/>
      <c r="L284" s="351"/>
      <c r="M284" s="351"/>
      <c r="N284" s="351"/>
      <c r="O284" s="351"/>
      <c r="P284" s="351"/>
      <c r="Q284" s="351"/>
      <c r="R284" s="351"/>
      <c r="S284" s="351"/>
      <c r="T284" s="351"/>
      <c r="U284" s="351"/>
      <c r="V284" s="351"/>
      <c r="W284" s="351"/>
      <c r="X284" s="351"/>
      <c r="Y284" s="351"/>
      <c r="Z284" s="351"/>
      <c r="AA284" s="351"/>
      <c r="AB284" s="351"/>
      <c r="AC284" s="351"/>
      <c r="AD284" s="351"/>
      <c r="AE284" s="351"/>
      <c r="AF284" s="351"/>
      <c r="AG284" s="351"/>
      <c r="AH284" s="351"/>
      <c r="AI284" s="351"/>
      <c r="AJ284" s="351"/>
      <c r="AK284" s="351"/>
      <c r="AL284" s="351"/>
      <c r="AM284" s="351"/>
      <c r="AN284" s="351"/>
      <c r="AO284" s="351"/>
      <c r="AP284" s="351"/>
      <c r="AQ284" s="351"/>
      <c r="AR284" s="351"/>
      <c r="AS284" s="351"/>
      <c r="AT284" s="351"/>
      <c r="AU284" s="351"/>
      <c r="AV284" s="351"/>
      <c r="AW284" s="351"/>
      <c r="AX284" s="351"/>
      <c r="AY284" s="351"/>
      <c r="AZ284" s="351"/>
      <c r="BA284" s="351"/>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row>
    <row r="285" spans="2:111" ht="9" customHeight="1">
      <c r="F285" s="351"/>
      <c r="G285" s="351"/>
      <c r="H285" s="351"/>
      <c r="I285" s="351"/>
      <c r="J285" s="351"/>
      <c r="K285" s="351"/>
      <c r="L285" s="351"/>
      <c r="M285" s="351"/>
      <c r="N285" s="351"/>
      <c r="O285" s="351"/>
      <c r="P285" s="351"/>
      <c r="Q285" s="351"/>
      <c r="R285" s="351"/>
      <c r="S285" s="351"/>
      <c r="T285" s="351"/>
      <c r="U285" s="351"/>
      <c r="V285" s="351"/>
      <c r="W285" s="351"/>
      <c r="X285" s="351"/>
      <c r="Y285" s="351"/>
      <c r="Z285" s="351"/>
      <c r="AA285" s="351"/>
      <c r="AB285" s="351"/>
      <c r="AC285" s="351"/>
      <c r="AD285" s="351"/>
      <c r="AE285" s="351"/>
      <c r="AF285" s="351"/>
      <c r="AG285" s="351"/>
      <c r="AH285" s="351"/>
      <c r="AI285" s="351"/>
      <c r="AJ285" s="351"/>
      <c r="AK285" s="351"/>
      <c r="AL285" s="351"/>
      <c r="AM285" s="351"/>
      <c r="AN285" s="351"/>
      <c r="AO285" s="351"/>
      <c r="AP285" s="351"/>
      <c r="AQ285" s="351"/>
      <c r="AR285" s="351"/>
      <c r="AS285" s="351"/>
      <c r="AT285" s="351"/>
      <c r="AU285" s="351"/>
      <c r="AV285" s="351"/>
      <c r="AW285" s="351"/>
      <c r="AX285" s="351"/>
      <c r="AY285" s="351"/>
      <c r="AZ285" s="351"/>
      <c r="BA285" s="351"/>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row>
    <row r="286" spans="2:111" ht="9" customHeight="1">
      <c r="F286" s="351"/>
      <c r="G286" s="351"/>
      <c r="H286" s="351"/>
      <c r="I286" s="351"/>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1"/>
      <c r="AH286" s="351"/>
      <c r="AI286" s="351"/>
      <c r="AJ286" s="351"/>
      <c r="AK286" s="351"/>
      <c r="AL286" s="351"/>
      <c r="AM286" s="351"/>
      <c r="AN286" s="351"/>
      <c r="AO286" s="351"/>
      <c r="AP286" s="351"/>
      <c r="AQ286" s="351"/>
      <c r="AR286" s="351"/>
      <c r="AS286" s="351"/>
      <c r="AT286" s="351"/>
      <c r="AU286" s="351"/>
      <c r="AV286" s="351"/>
      <c r="AW286" s="351"/>
      <c r="AX286" s="351"/>
      <c r="AY286" s="351"/>
      <c r="AZ286" s="351"/>
      <c r="BA286" s="351"/>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row>
    <row r="287" spans="2:111" ht="9" customHeight="1">
      <c r="F287" s="351"/>
      <c r="G287" s="351"/>
      <c r="H287" s="351"/>
      <c r="I287" s="351"/>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1"/>
      <c r="AH287" s="351"/>
      <c r="AI287" s="351"/>
      <c r="AJ287" s="351"/>
      <c r="AK287" s="351"/>
      <c r="AL287" s="351"/>
      <c r="AM287" s="351"/>
      <c r="AN287" s="351"/>
      <c r="AO287" s="351"/>
      <c r="AP287" s="351"/>
      <c r="AQ287" s="351"/>
      <c r="AR287" s="351"/>
      <c r="AS287" s="351"/>
      <c r="AT287" s="351"/>
      <c r="AU287" s="351"/>
      <c r="AV287" s="351"/>
      <c r="AW287" s="351"/>
      <c r="AX287" s="351"/>
      <c r="AY287" s="351"/>
      <c r="AZ287" s="351"/>
      <c r="BA287" s="351"/>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row>
    <row r="288" spans="2:111" ht="9" customHeight="1">
      <c r="F288" s="351"/>
      <c r="G288" s="351"/>
      <c r="H288" s="351"/>
      <c r="I288" s="351"/>
      <c r="J288" s="351"/>
      <c r="K288" s="351"/>
      <c r="L288" s="351"/>
      <c r="M288" s="351"/>
      <c r="N288" s="351"/>
      <c r="O288" s="351"/>
      <c r="P288" s="351"/>
      <c r="Q288" s="351"/>
      <c r="R288" s="351"/>
      <c r="S288" s="351"/>
      <c r="T288" s="351"/>
      <c r="U288" s="351"/>
      <c r="V288" s="351"/>
      <c r="W288" s="351"/>
      <c r="X288" s="351"/>
      <c r="Y288" s="351"/>
      <c r="Z288" s="351"/>
      <c r="AA288" s="351"/>
      <c r="AB288" s="351"/>
      <c r="AC288" s="351"/>
      <c r="AD288" s="351"/>
      <c r="AE288" s="351"/>
      <c r="AF288" s="351"/>
      <c r="AG288" s="351"/>
      <c r="AH288" s="351"/>
      <c r="AI288" s="351"/>
      <c r="AJ288" s="351"/>
      <c r="AK288" s="351"/>
      <c r="AL288" s="351"/>
      <c r="AM288" s="351"/>
      <c r="AN288" s="351"/>
      <c r="AO288" s="351"/>
      <c r="AP288" s="351"/>
      <c r="AQ288" s="351"/>
      <c r="AR288" s="351"/>
      <c r="AS288" s="351"/>
      <c r="AT288" s="351"/>
      <c r="AU288" s="351"/>
      <c r="AV288" s="351"/>
      <c r="AW288" s="351"/>
      <c r="AX288" s="351"/>
      <c r="AY288" s="351"/>
      <c r="AZ288" s="351"/>
      <c r="BA288" s="351"/>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row>
    <row r="289" spans="2:111" ht="9" customHeight="1">
      <c r="F289" s="351"/>
      <c r="G289" s="351"/>
      <c r="H289" s="351"/>
      <c r="I289" s="351"/>
      <c r="J289" s="351"/>
      <c r="K289" s="351"/>
      <c r="L289" s="351"/>
      <c r="M289" s="351"/>
      <c r="N289" s="351"/>
      <c r="O289" s="351"/>
      <c r="P289" s="351"/>
      <c r="Q289" s="351"/>
      <c r="R289" s="351"/>
      <c r="S289" s="351"/>
      <c r="T289" s="351"/>
      <c r="U289" s="351"/>
      <c r="V289" s="351"/>
      <c r="W289" s="351"/>
      <c r="X289" s="351"/>
      <c r="Y289" s="351"/>
      <c r="Z289" s="351"/>
      <c r="AA289" s="351"/>
      <c r="AB289" s="351"/>
      <c r="AC289" s="351"/>
      <c r="AD289" s="351"/>
      <c r="AE289" s="351"/>
      <c r="AF289" s="351"/>
      <c r="AG289" s="351"/>
      <c r="AH289" s="351"/>
      <c r="AI289" s="351"/>
      <c r="AJ289" s="351"/>
      <c r="AK289" s="351"/>
      <c r="AL289" s="351"/>
      <c r="AM289" s="351"/>
      <c r="AN289" s="351"/>
      <c r="AO289" s="351"/>
      <c r="AP289" s="351"/>
      <c r="AQ289" s="351"/>
      <c r="AR289" s="351"/>
      <c r="AS289" s="351"/>
      <c r="AT289" s="351"/>
      <c r="AU289" s="351"/>
      <c r="AV289" s="351"/>
      <c r="AW289" s="351"/>
      <c r="AX289" s="351"/>
      <c r="AY289" s="351"/>
      <c r="AZ289" s="351"/>
      <c r="BA289" s="351"/>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row>
    <row r="290" spans="2:111" ht="9" customHeight="1">
      <c r="F290" s="351"/>
      <c r="G290" s="351"/>
      <c r="H290" s="351"/>
      <c r="I290" s="351"/>
      <c r="J290" s="351"/>
      <c r="K290" s="351"/>
      <c r="L290" s="351"/>
      <c r="M290" s="351"/>
      <c r="N290" s="351"/>
      <c r="O290" s="351"/>
      <c r="P290" s="351"/>
      <c r="Q290" s="351"/>
      <c r="R290" s="351"/>
      <c r="S290" s="351"/>
      <c r="T290" s="351"/>
      <c r="U290" s="351"/>
      <c r="V290" s="351"/>
      <c r="W290" s="351"/>
      <c r="X290" s="351"/>
      <c r="Y290" s="351"/>
      <c r="Z290" s="351"/>
      <c r="AA290" s="351"/>
      <c r="AB290" s="351"/>
      <c r="AC290" s="351"/>
      <c r="AD290" s="351"/>
      <c r="AE290" s="351"/>
      <c r="AF290" s="351"/>
      <c r="AG290" s="351"/>
      <c r="AH290" s="351"/>
      <c r="AI290" s="351"/>
      <c r="AJ290" s="351"/>
      <c r="AK290" s="351"/>
      <c r="AL290" s="351"/>
      <c r="AM290" s="351"/>
      <c r="AN290" s="351"/>
      <c r="AO290" s="351"/>
      <c r="AP290" s="351"/>
      <c r="AQ290" s="351"/>
      <c r="AR290" s="351"/>
      <c r="AS290" s="351"/>
      <c r="AT290" s="351"/>
      <c r="AU290" s="351"/>
      <c r="AV290" s="351"/>
      <c r="AW290" s="351"/>
      <c r="AX290" s="351"/>
      <c r="AY290" s="351"/>
      <c r="AZ290" s="351"/>
      <c r="BA290" s="351"/>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row>
    <row r="291" spans="2:111" ht="9" customHeight="1">
      <c r="F291" s="351"/>
      <c r="G291" s="351"/>
      <c r="H291" s="351"/>
      <c r="I291" s="351"/>
      <c r="J291" s="351"/>
      <c r="K291" s="351"/>
      <c r="L291" s="351"/>
      <c r="M291" s="351"/>
      <c r="N291" s="351"/>
      <c r="O291" s="351"/>
      <c r="P291" s="351"/>
      <c r="Q291" s="351"/>
      <c r="R291" s="351"/>
      <c r="S291" s="351"/>
      <c r="T291" s="351"/>
      <c r="U291" s="351"/>
      <c r="V291" s="351"/>
      <c r="W291" s="351"/>
      <c r="X291" s="351"/>
      <c r="Y291" s="351"/>
      <c r="Z291" s="351"/>
      <c r="AA291" s="351"/>
      <c r="AB291" s="351"/>
      <c r="AC291" s="351"/>
      <c r="AD291" s="351"/>
      <c r="AE291" s="351"/>
      <c r="AF291" s="351"/>
      <c r="AG291" s="351"/>
      <c r="AH291" s="351"/>
      <c r="AI291" s="351"/>
      <c r="AJ291" s="351"/>
      <c r="AK291" s="351"/>
      <c r="AL291" s="351"/>
      <c r="AM291" s="351"/>
      <c r="AN291" s="351"/>
      <c r="AO291" s="351"/>
      <c r="AP291" s="351"/>
      <c r="AQ291" s="351"/>
      <c r="AR291" s="351"/>
      <c r="AS291" s="351"/>
      <c r="AT291" s="351"/>
      <c r="AU291" s="351"/>
      <c r="AV291" s="351"/>
      <c r="AW291" s="351"/>
      <c r="AX291" s="351"/>
      <c r="AY291" s="351"/>
      <c r="AZ291" s="351"/>
      <c r="BA291" s="351"/>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row>
    <row r="292" spans="2:111" ht="9" customHeight="1">
      <c r="F292" s="351"/>
      <c r="G292" s="351"/>
      <c r="H292" s="351"/>
      <c r="I292" s="351"/>
      <c r="J292" s="351"/>
      <c r="K292" s="351"/>
      <c r="L292" s="351"/>
      <c r="M292" s="351"/>
      <c r="N292" s="351"/>
      <c r="O292" s="351"/>
      <c r="P292" s="351"/>
      <c r="Q292" s="351"/>
      <c r="R292" s="351"/>
      <c r="S292" s="351"/>
      <c r="T292" s="351"/>
      <c r="U292" s="351"/>
      <c r="V292" s="351"/>
      <c r="W292" s="351"/>
      <c r="X292" s="351"/>
      <c r="Y292" s="351"/>
      <c r="Z292" s="351"/>
      <c r="AA292" s="351"/>
      <c r="AB292" s="351"/>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351"/>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row>
    <row r="293" spans="2:111" ht="9" customHeight="1">
      <c r="F293" s="351"/>
      <c r="G293" s="351"/>
      <c r="H293" s="351"/>
      <c r="I293" s="351"/>
      <c r="J293" s="351"/>
      <c r="K293" s="351"/>
      <c r="L293" s="351"/>
      <c r="M293" s="351"/>
      <c r="N293" s="351"/>
      <c r="O293" s="351"/>
      <c r="P293" s="351"/>
      <c r="Q293" s="351"/>
      <c r="R293" s="351"/>
      <c r="S293" s="351"/>
      <c r="T293" s="351"/>
      <c r="U293" s="351"/>
      <c r="V293" s="351"/>
      <c r="W293" s="351"/>
      <c r="X293" s="351"/>
      <c r="Y293" s="351"/>
      <c r="Z293" s="351"/>
      <c r="AA293" s="351"/>
      <c r="AB293" s="351"/>
      <c r="AC293" s="351"/>
      <c r="AD293" s="351"/>
      <c r="AE293" s="351"/>
      <c r="AF293" s="351"/>
      <c r="AG293" s="351"/>
      <c r="AH293" s="351"/>
      <c r="AI293" s="351"/>
      <c r="AJ293" s="351"/>
      <c r="AK293" s="351"/>
      <c r="AL293" s="351"/>
      <c r="AM293" s="351"/>
      <c r="AN293" s="351"/>
      <c r="AO293" s="351"/>
      <c r="AP293" s="351"/>
      <c r="AQ293" s="351"/>
      <c r="AR293" s="351"/>
      <c r="AS293" s="351"/>
      <c r="AT293" s="351"/>
      <c r="AU293" s="351"/>
      <c r="AV293" s="351"/>
      <c r="AW293" s="351"/>
      <c r="AX293" s="351"/>
      <c r="AY293" s="351"/>
      <c r="AZ293" s="351"/>
      <c r="BA293" s="351"/>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row>
    <row r="294" spans="2:111" ht="9" customHeight="1">
      <c r="F294" s="351"/>
      <c r="G294" s="351"/>
      <c r="H294" s="351"/>
      <c r="I294" s="351"/>
      <c r="J294" s="351"/>
      <c r="K294" s="351"/>
      <c r="L294" s="351"/>
      <c r="M294" s="351"/>
      <c r="N294" s="351"/>
      <c r="O294" s="351"/>
      <c r="P294" s="351"/>
      <c r="Q294" s="351"/>
      <c r="R294" s="351"/>
      <c r="S294" s="351"/>
      <c r="T294" s="351"/>
      <c r="U294" s="351"/>
      <c r="V294" s="351"/>
      <c r="W294" s="351"/>
      <c r="X294" s="351"/>
      <c r="Y294" s="351"/>
      <c r="Z294" s="351"/>
      <c r="AA294" s="351"/>
      <c r="AB294" s="351"/>
      <c r="AC294" s="351"/>
      <c r="AD294" s="351"/>
      <c r="AE294" s="351"/>
      <c r="AF294" s="351"/>
      <c r="AG294" s="351"/>
      <c r="AH294" s="351"/>
      <c r="AI294" s="351"/>
      <c r="AJ294" s="351"/>
      <c r="AK294" s="351"/>
      <c r="AL294" s="351"/>
      <c r="AM294" s="351"/>
      <c r="AN294" s="351"/>
      <c r="AO294" s="351"/>
      <c r="AP294" s="351"/>
      <c r="AQ294" s="351"/>
      <c r="AR294" s="351"/>
      <c r="AS294" s="351"/>
      <c r="AT294" s="351"/>
      <c r="AU294" s="351"/>
      <c r="AV294" s="351"/>
      <c r="AW294" s="351"/>
      <c r="AX294" s="351"/>
      <c r="AY294" s="351"/>
      <c r="AZ294" s="351"/>
      <c r="BA294" s="351"/>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row>
    <row r="295" spans="2:111" ht="9" customHeight="1">
      <c r="F295" s="351"/>
      <c r="G295" s="351"/>
      <c r="H295" s="351"/>
      <c r="I295" s="351"/>
      <c r="J295" s="351"/>
      <c r="K295" s="351"/>
      <c r="L295" s="351"/>
      <c r="M295" s="351"/>
      <c r="N295" s="351"/>
      <c r="O295" s="351"/>
      <c r="P295" s="351"/>
      <c r="Q295" s="351"/>
      <c r="R295" s="351"/>
      <c r="S295" s="351"/>
      <c r="T295" s="351"/>
      <c r="U295" s="351"/>
      <c r="V295" s="351"/>
      <c r="W295" s="351"/>
      <c r="X295" s="351"/>
      <c r="Y295" s="351"/>
      <c r="Z295" s="351"/>
      <c r="AA295" s="351"/>
      <c r="AB295" s="351"/>
      <c r="AC295" s="351"/>
      <c r="AD295" s="351"/>
      <c r="AE295" s="351"/>
      <c r="AF295" s="351"/>
      <c r="AG295" s="351"/>
      <c r="AH295" s="351"/>
      <c r="AI295" s="351"/>
      <c r="AJ295" s="351"/>
      <c r="AK295" s="351"/>
      <c r="AL295" s="351"/>
      <c r="AM295" s="351"/>
      <c r="AN295" s="351"/>
      <c r="AO295" s="351"/>
      <c r="AP295" s="351"/>
      <c r="AQ295" s="351"/>
      <c r="AR295" s="351"/>
      <c r="AS295" s="351"/>
      <c r="AT295" s="351"/>
      <c r="AU295" s="351"/>
      <c r="AV295" s="351"/>
      <c r="AW295" s="351"/>
      <c r="AX295" s="351"/>
      <c r="AY295" s="351"/>
      <c r="AZ295" s="351"/>
      <c r="BA295" s="351"/>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row>
    <row r="296" spans="2:111" ht="4.5" customHeight="1">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row>
    <row r="297" spans="2:111" ht="9" customHeight="1">
      <c r="B297" s="350"/>
      <c r="C297" s="350"/>
      <c r="D297" s="350"/>
      <c r="F297" s="351" t="str">
        <f>APOIO!$B$8</f>
        <v>(C) - Promoção do consumo sustentável e da educação ambiental voltada para sustentabilidade: Projetos que promovam a educação ambiental e o consumo consciente e que valorizem a produção sustentável e o uso ambientalmente adequado dos recursos naturais. Os recursos solicitados poderão contemplar a elaboração de material pedagógico de apoio ao projeto de educação ambiental a ser empreendido.</v>
      </c>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51"/>
      <c r="AI297" s="351"/>
      <c r="AJ297" s="351"/>
      <c r="AK297" s="351"/>
      <c r="AL297" s="351"/>
      <c r="AM297" s="351"/>
      <c r="AN297" s="351"/>
      <c r="AO297" s="351"/>
      <c r="AP297" s="351"/>
      <c r="AQ297" s="351"/>
      <c r="AR297" s="351"/>
      <c r="AS297" s="351"/>
      <c r="AT297" s="351"/>
      <c r="AU297" s="351"/>
      <c r="AV297" s="351"/>
      <c r="AW297" s="351"/>
      <c r="AX297" s="351"/>
      <c r="AY297" s="351"/>
      <c r="AZ297" s="351"/>
      <c r="BA297" s="351"/>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row>
    <row r="298" spans="2:111" ht="9" customHeight="1">
      <c r="B298" s="350"/>
      <c r="C298" s="350"/>
      <c r="D298" s="350"/>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351"/>
      <c r="AU298" s="351"/>
      <c r="AV298" s="351"/>
      <c r="AW298" s="351"/>
      <c r="AX298" s="351"/>
      <c r="AY298" s="351"/>
      <c r="AZ298" s="351"/>
      <c r="BA298" s="351"/>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row>
    <row r="299" spans="2:111" ht="9" customHeight="1">
      <c r="F299" s="351"/>
      <c r="G299" s="351"/>
      <c r="H299" s="351"/>
      <c r="I299" s="351"/>
      <c r="J299" s="351"/>
      <c r="K299" s="351"/>
      <c r="L299" s="351"/>
      <c r="M299" s="351"/>
      <c r="N299" s="351"/>
      <c r="O299" s="351"/>
      <c r="P299" s="351"/>
      <c r="Q299" s="351"/>
      <c r="R299" s="351"/>
      <c r="S299" s="351"/>
      <c r="T299" s="351"/>
      <c r="U299" s="351"/>
      <c r="V299" s="351"/>
      <c r="W299" s="351"/>
      <c r="X299" s="351"/>
      <c r="Y299" s="351"/>
      <c r="Z299" s="351"/>
      <c r="AA299" s="351"/>
      <c r="AB299" s="351"/>
      <c r="AC299" s="351"/>
      <c r="AD299" s="351"/>
      <c r="AE299" s="351"/>
      <c r="AF299" s="351"/>
      <c r="AG299" s="351"/>
      <c r="AH299" s="351"/>
      <c r="AI299" s="351"/>
      <c r="AJ299" s="351"/>
      <c r="AK299" s="351"/>
      <c r="AL299" s="351"/>
      <c r="AM299" s="351"/>
      <c r="AN299" s="351"/>
      <c r="AO299" s="351"/>
      <c r="AP299" s="351"/>
      <c r="AQ299" s="351"/>
      <c r="AR299" s="351"/>
      <c r="AS299" s="351"/>
      <c r="AT299" s="351"/>
      <c r="AU299" s="351"/>
      <c r="AV299" s="351"/>
      <c r="AW299" s="351"/>
      <c r="AX299" s="351"/>
      <c r="AY299" s="351"/>
      <c r="AZ299" s="351"/>
      <c r="BA299" s="351"/>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row>
    <row r="300" spans="2:111" ht="9" customHeight="1">
      <c r="F300" s="351"/>
      <c r="G300" s="351"/>
      <c r="H300" s="351"/>
      <c r="I300" s="351"/>
      <c r="J300" s="351"/>
      <c r="K300" s="351"/>
      <c r="L300" s="351"/>
      <c r="M300" s="351"/>
      <c r="N300" s="351"/>
      <c r="O300" s="351"/>
      <c r="P300" s="351"/>
      <c r="Q300" s="351"/>
      <c r="R300" s="351"/>
      <c r="S300" s="351"/>
      <c r="T300" s="351"/>
      <c r="U300" s="351"/>
      <c r="V300" s="351"/>
      <c r="W300" s="351"/>
      <c r="X300" s="351"/>
      <c r="Y300" s="351"/>
      <c r="Z300" s="351"/>
      <c r="AA300" s="351"/>
      <c r="AB300" s="351"/>
      <c r="AC300" s="351"/>
      <c r="AD300" s="351"/>
      <c r="AE300" s="351"/>
      <c r="AF300" s="351"/>
      <c r="AG300" s="351"/>
      <c r="AH300" s="351"/>
      <c r="AI300" s="351"/>
      <c r="AJ300" s="351"/>
      <c r="AK300" s="351"/>
      <c r="AL300" s="351"/>
      <c r="AM300" s="351"/>
      <c r="AN300" s="351"/>
      <c r="AO300" s="351"/>
      <c r="AP300" s="351"/>
      <c r="AQ300" s="351"/>
      <c r="AR300" s="351"/>
      <c r="AS300" s="351"/>
      <c r="AT300" s="351"/>
      <c r="AU300" s="351"/>
      <c r="AV300" s="351"/>
      <c r="AW300" s="351"/>
      <c r="AX300" s="351"/>
      <c r="AY300" s="351"/>
      <c r="AZ300" s="351"/>
      <c r="BA300" s="351"/>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row>
    <row r="301" spans="2:111" ht="9" customHeight="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51"/>
      <c r="AK301" s="351"/>
      <c r="AL301" s="351"/>
      <c r="AM301" s="351"/>
      <c r="AN301" s="351"/>
      <c r="AO301" s="351"/>
      <c r="AP301" s="351"/>
      <c r="AQ301" s="351"/>
      <c r="AR301" s="351"/>
      <c r="AS301" s="351"/>
      <c r="AT301" s="351"/>
      <c r="AU301" s="351"/>
      <c r="AV301" s="351"/>
      <c r="AW301" s="351"/>
      <c r="AX301" s="351"/>
      <c r="AY301" s="351"/>
      <c r="AZ301" s="351"/>
      <c r="BA301" s="351"/>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row>
    <row r="302" spans="2:111" ht="9" customHeight="1">
      <c r="F302" s="351"/>
      <c r="G302" s="351"/>
      <c r="H302" s="351"/>
      <c r="I302" s="351"/>
      <c r="J302" s="351"/>
      <c r="K302" s="351"/>
      <c r="L302" s="351"/>
      <c r="M302" s="351"/>
      <c r="N302" s="351"/>
      <c r="O302" s="351"/>
      <c r="P302" s="351"/>
      <c r="Q302" s="351"/>
      <c r="R302" s="351"/>
      <c r="S302" s="351"/>
      <c r="T302" s="351"/>
      <c r="U302" s="351"/>
      <c r="V302" s="351"/>
      <c r="W302" s="351"/>
      <c r="X302" s="351"/>
      <c r="Y302" s="351"/>
      <c r="Z302" s="351"/>
      <c r="AA302" s="351"/>
      <c r="AB302" s="351"/>
      <c r="AC302" s="351"/>
      <c r="AD302" s="351"/>
      <c r="AE302" s="351"/>
      <c r="AF302" s="351"/>
      <c r="AG302" s="351"/>
      <c r="AH302" s="351"/>
      <c r="AI302" s="351"/>
      <c r="AJ302" s="351"/>
      <c r="AK302" s="351"/>
      <c r="AL302" s="351"/>
      <c r="AM302" s="351"/>
      <c r="AN302" s="351"/>
      <c r="AO302" s="351"/>
      <c r="AP302" s="351"/>
      <c r="AQ302" s="351"/>
      <c r="AR302" s="351"/>
      <c r="AS302" s="351"/>
      <c r="AT302" s="351"/>
      <c r="AU302" s="351"/>
      <c r="AV302" s="351"/>
      <c r="AW302" s="351"/>
      <c r="AX302" s="351"/>
      <c r="AY302" s="351"/>
      <c r="AZ302" s="351"/>
      <c r="BA302" s="351"/>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row>
    <row r="303" spans="2:111" ht="9" customHeight="1">
      <c r="F303" s="351"/>
      <c r="G303" s="351"/>
      <c r="H303" s="351"/>
      <c r="I303" s="351"/>
      <c r="J303" s="351"/>
      <c r="K303" s="351"/>
      <c r="L303" s="351"/>
      <c r="M303" s="351"/>
      <c r="N303" s="351"/>
      <c r="O303" s="351"/>
      <c r="P303" s="351"/>
      <c r="Q303" s="351"/>
      <c r="R303" s="351"/>
      <c r="S303" s="351"/>
      <c r="T303" s="351"/>
      <c r="U303" s="351"/>
      <c r="V303" s="351"/>
      <c r="W303" s="351"/>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351"/>
      <c r="AV303" s="351"/>
      <c r="AW303" s="351"/>
      <c r="AX303" s="351"/>
      <c r="AY303" s="351"/>
      <c r="AZ303" s="351"/>
      <c r="BA303" s="351"/>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row>
    <row r="304" spans="2:111" ht="9" customHeight="1">
      <c r="F304" s="351"/>
      <c r="G304" s="351"/>
      <c r="H304" s="351"/>
      <c r="I304" s="351"/>
      <c r="J304" s="351"/>
      <c r="K304" s="351"/>
      <c r="L304" s="351"/>
      <c r="M304" s="351"/>
      <c r="N304" s="351"/>
      <c r="O304" s="351"/>
      <c r="P304" s="351"/>
      <c r="Q304" s="351"/>
      <c r="R304" s="351"/>
      <c r="S304" s="351"/>
      <c r="T304" s="351"/>
      <c r="U304" s="351"/>
      <c r="V304" s="351"/>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51"/>
      <c r="AV304" s="351"/>
      <c r="AW304" s="351"/>
      <c r="AX304" s="351"/>
      <c r="AY304" s="351"/>
      <c r="AZ304" s="351"/>
      <c r="BA304" s="351"/>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row>
    <row r="305" spans="2:111" ht="4.5" customHeight="1">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row>
    <row r="306" spans="2:111" ht="9" customHeight="1">
      <c r="B306" s="350"/>
      <c r="C306" s="350"/>
      <c r="D306" s="350"/>
      <c r="F306" s="351" t="str">
        <f>APOIO!$B$9</f>
        <v>(D) Ações de manejo e gestão de resíduos sólidos: Projetos que incentivem o gerenciamento dos resíduos sólidos em áreas urbanas e rurais, contribuam para a implantação de políticas municipais ambientalmente corretas ou que promovam ações de redução, reutilização e reciclagem do lixo. Somente poderão ser beneficiados, pelo projeto apresentado por órgãos e pessoas jurídicas de direito público federais, municípios que tiverem seu Plano Municipal de Gestão Integrada de Resíduos Sólidos, conforme determina o art. 18 da Lei 12.305/10.</v>
      </c>
      <c r="G306" s="351"/>
      <c r="H306" s="351"/>
      <c r="I306" s="351"/>
      <c r="J306" s="351"/>
      <c r="K306" s="351"/>
      <c r="L306" s="351"/>
      <c r="M306" s="351"/>
      <c r="N306" s="351"/>
      <c r="O306" s="351"/>
      <c r="P306" s="351"/>
      <c r="Q306" s="351"/>
      <c r="R306" s="351"/>
      <c r="S306" s="351"/>
      <c r="T306" s="351"/>
      <c r="U306" s="351"/>
      <c r="V306" s="351"/>
      <c r="W306" s="351"/>
      <c r="X306" s="351"/>
      <c r="Y306" s="351"/>
      <c r="Z306" s="351"/>
      <c r="AA306" s="351"/>
      <c r="AB306" s="351"/>
      <c r="AC306" s="351"/>
      <c r="AD306" s="351"/>
      <c r="AE306" s="351"/>
      <c r="AF306" s="351"/>
      <c r="AG306" s="351"/>
      <c r="AH306" s="351"/>
      <c r="AI306" s="351"/>
      <c r="AJ306" s="351"/>
      <c r="AK306" s="351"/>
      <c r="AL306" s="351"/>
      <c r="AM306" s="351"/>
      <c r="AN306" s="351"/>
      <c r="AO306" s="351"/>
      <c r="AP306" s="351"/>
      <c r="AQ306" s="351"/>
      <c r="AR306" s="351"/>
      <c r="AS306" s="351"/>
      <c r="AT306" s="351"/>
      <c r="AU306" s="351"/>
      <c r="AV306" s="351"/>
      <c r="AW306" s="351"/>
      <c r="AX306" s="351"/>
      <c r="AY306" s="351"/>
      <c r="AZ306" s="351"/>
      <c r="BA306" s="351"/>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row>
    <row r="307" spans="2:111" ht="9" customHeight="1">
      <c r="B307" s="350"/>
      <c r="C307" s="350"/>
      <c r="D307" s="350"/>
      <c r="F307" s="351"/>
      <c r="G307" s="351"/>
      <c r="H307" s="351"/>
      <c r="I307" s="351"/>
      <c r="J307" s="351"/>
      <c r="K307" s="351"/>
      <c r="L307" s="351"/>
      <c r="M307" s="351"/>
      <c r="N307" s="351"/>
      <c r="O307" s="351"/>
      <c r="P307" s="351"/>
      <c r="Q307" s="351"/>
      <c r="R307" s="351"/>
      <c r="S307" s="351"/>
      <c r="T307" s="351"/>
      <c r="U307" s="351"/>
      <c r="V307" s="351"/>
      <c r="W307" s="351"/>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351"/>
      <c r="AV307" s="351"/>
      <c r="AW307" s="351"/>
      <c r="AX307" s="351"/>
      <c r="AY307" s="351"/>
      <c r="AZ307" s="351"/>
      <c r="BA307" s="351"/>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row>
    <row r="308" spans="2:111" ht="9" customHeight="1">
      <c r="F308" s="351"/>
      <c r="G308" s="351"/>
      <c r="H308" s="351"/>
      <c r="I308" s="351"/>
      <c r="J308" s="351"/>
      <c r="K308" s="351"/>
      <c r="L308" s="351"/>
      <c r="M308" s="351"/>
      <c r="N308" s="351"/>
      <c r="O308" s="351"/>
      <c r="P308" s="351"/>
      <c r="Q308" s="351"/>
      <c r="R308" s="351"/>
      <c r="S308" s="351"/>
      <c r="T308" s="351"/>
      <c r="U308" s="351"/>
      <c r="V308" s="351"/>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51"/>
      <c r="AV308" s="351"/>
      <c r="AW308" s="351"/>
      <c r="AX308" s="351"/>
      <c r="AY308" s="351"/>
      <c r="AZ308" s="351"/>
      <c r="BA308" s="351"/>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row>
    <row r="309" spans="2:111" ht="9" customHeight="1">
      <c r="F309" s="351"/>
      <c r="G309" s="351"/>
      <c r="H309" s="351"/>
      <c r="I309" s="351"/>
      <c r="J309" s="351"/>
      <c r="K309" s="351"/>
      <c r="L309" s="351"/>
      <c r="M309" s="351"/>
      <c r="N309" s="351"/>
      <c r="O309" s="351"/>
      <c r="P309" s="351"/>
      <c r="Q309" s="351"/>
      <c r="R309" s="351"/>
      <c r="S309" s="351"/>
      <c r="T309" s="351"/>
      <c r="U309" s="351"/>
      <c r="V309" s="351"/>
      <c r="W309" s="351"/>
      <c r="X309" s="351"/>
      <c r="Y309" s="351"/>
      <c r="Z309" s="351"/>
      <c r="AA309" s="351"/>
      <c r="AB309" s="351"/>
      <c r="AC309" s="351"/>
      <c r="AD309" s="351"/>
      <c r="AE309" s="351"/>
      <c r="AF309" s="351"/>
      <c r="AG309" s="351"/>
      <c r="AH309" s="351"/>
      <c r="AI309" s="351"/>
      <c r="AJ309" s="351"/>
      <c r="AK309" s="351"/>
      <c r="AL309" s="351"/>
      <c r="AM309" s="351"/>
      <c r="AN309" s="351"/>
      <c r="AO309" s="351"/>
      <c r="AP309" s="351"/>
      <c r="AQ309" s="351"/>
      <c r="AR309" s="351"/>
      <c r="AS309" s="351"/>
      <c r="AT309" s="351"/>
      <c r="AU309" s="351"/>
      <c r="AV309" s="351"/>
      <c r="AW309" s="351"/>
      <c r="AX309" s="351"/>
      <c r="AY309" s="351"/>
      <c r="AZ309" s="351"/>
      <c r="BA309" s="351"/>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row>
    <row r="310" spans="2:111" ht="9" customHeight="1">
      <c r="F310" s="351"/>
      <c r="G310" s="351"/>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1"/>
      <c r="AY310" s="351"/>
      <c r="AZ310" s="351"/>
      <c r="BA310" s="351"/>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row>
    <row r="311" spans="2:111" ht="9" customHeight="1">
      <c r="F311" s="351"/>
      <c r="G311" s="351"/>
      <c r="H311" s="351"/>
      <c r="I311" s="351"/>
      <c r="J311" s="351"/>
      <c r="K311" s="351"/>
      <c r="L311" s="351"/>
      <c r="M311" s="351"/>
      <c r="N311" s="351"/>
      <c r="O311" s="351"/>
      <c r="P311" s="351"/>
      <c r="Q311" s="351"/>
      <c r="R311" s="351"/>
      <c r="S311" s="351"/>
      <c r="T311" s="351"/>
      <c r="U311" s="351"/>
      <c r="V311" s="351"/>
      <c r="W311" s="351"/>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351"/>
      <c r="AV311" s="351"/>
      <c r="AW311" s="351"/>
      <c r="AX311" s="351"/>
      <c r="AY311" s="351"/>
      <c r="AZ311" s="351"/>
      <c r="BA311" s="351"/>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row>
    <row r="312" spans="2:111" ht="9" customHeight="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51"/>
      <c r="AV312" s="351"/>
      <c r="AW312" s="351"/>
      <c r="AX312" s="351"/>
      <c r="AY312" s="351"/>
      <c r="AZ312" s="351"/>
      <c r="BA312" s="351"/>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row>
    <row r="313" spans="2:111" ht="9" customHeight="1">
      <c r="F313" s="351"/>
      <c r="G313" s="351"/>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351"/>
      <c r="AF313" s="351"/>
      <c r="AG313" s="351"/>
      <c r="AH313" s="351"/>
      <c r="AI313" s="351"/>
      <c r="AJ313" s="351"/>
      <c r="AK313" s="351"/>
      <c r="AL313" s="351"/>
      <c r="AM313" s="351"/>
      <c r="AN313" s="351"/>
      <c r="AO313" s="351"/>
      <c r="AP313" s="351"/>
      <c r="AQ313" s="351"/>
      <c r="AR313" s="351"/>
      <c r="AS313" s="351"/>
      <c r="AT313" s="351"/>
      <c r="AU313" s="351"/>
      <c r="AV313" s="351"/>
      <c r="AW313" s="351"/>
      <c r="AX313" s="351"/>
      <c r="AY313" s="351"/>
      <c r="AZ313" s="351"/>
      <c r="BA313" s="351"/>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row>
    <row r="314" spans="2:111" ht="9" customHeight="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row>
    <row r="315" spans="2:111" ht="4.5" customHeight="1">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row>
    <row r="316" spans="2:111" ht="9" customHeight="1">
      <c r="B316" s="350"/>
      <c r="C316" s="350"/>
      <c r="D316" s="350"/>
      <c r="F316" s="351" t="str">
        <f>APOIO!$B$10</f>
        <v>(E) Conhecimentos tradicionais: projetos que promovam o resgate, a valorização e a manutenção de práticas tradicionais de produção com base no uso sustentável dos recursos naturais, por meio de levantamentos, estudos, disseminação ou fortalecimento de tais práticas produtivas.</v>
      </c>
      <c r="G316" s="351"/>
      <c r="H316" s="351"/>
      <c r="I316" s="351"/>
      <c r="J316" s="351"/>
      <c r="K316" s="351"/>
      <c r="L316" s="351"/>
      <c r="M316" s="351"/>
      <c r="N316" s="351"/>
      <c r="O316" s="351"/>
      <c r="P316" s="351"/>
      <c r="Q316" s="351"/>
      <c r="R316" s="351"/>
      <c r="S316" s="351"/>
      <c r="T316" s="351"/>
      <c r="U316" s="351"/>
      <c r="V316" s="351"/>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51"/>
      <c r="AV316" s="351"/>
      <c r="AW316" s="351"/>
      <c r="AX316" s="351"/>
      <c r="AY316" s="351"/>
      <c r="AZ316" s="351"/>
      <c r="BA316" s="351"/>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row>
    <row r="317" spans="2:111" ht="9" customHeight="1">
      <c r="B317" s="350"/>
      <c r="C317" s="350"/>
      <c r="D317" s="350"/>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row>
    <row r="318" spans="2:111" ht="9" customHeight="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row>
    <row r="319" spans="2:111" ht="9" customHeight="1">
      <c r="F319" s="351"/>
      <c r="G319" s="351"/>
      <c r="H319" s="351"/>
      <c r="I319" s="351"/>
      <c r="J319" s="351"/>
      <c r="K319" s="351"/>
      <c r="L319" s="351"/>
      <c r="M319" s="351"/>
      <c r="N319" s="351"/>
      <c r="O319" s="351"/>
      <c r="P319" s="351"/>
      <c r="Q319" s="351"/>
      <c r="R319" s="351"/>
      <c r="S319" s="351"/>
      <c r="T319" s="351"/>
      <c r="U319" s="351"/>
      <c r="V319" s="351"/>
      <c r="W319" s="351"/>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351"/>
      <c r="AV319" s="351"/>
      <c r="AW319" s="351"/>
      <c r="AX319" s="351"/>
      <c r="AY319" s="351"/>
      <c r="AZ319" s="351"/>
      <c r="BA319" s="351"/>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row>
    <row r="320" spans="2:111" ht="9" customHeight="1">
      <c r="F320" s="351"/>
      <c r="G320" s="351"/>
      <c r="H320" s="351"/>
      <c r="I320" s="351"/>
      <c r="J320" s="351"/>
      <c r="K320" s="351"/>
      <c r="L320" s="351"/>
      <c r="M320" s="351"/>
      <c r="N320" s="351"/>
      <c r="O320" s="351"/>
      <c r="P320" s="351"/>
      <c r="Q320" s="351"/>
      <c r="R320" s="351"/>
      <c r="S320" s="351"/>
      <c r="T320" s="351"/>
      <c r="U320" s="351"/>
      <c r="V320" s="351"/>
      <c r="W320" s="351"/>
      <c r="X320" s="351"/>
      <c r="Y320" s="351"/>
      <c r="Z320" s="351"/>
      <c r="AA320" s="351"/>
      <c r="AB320" s="351"/>
      <c r="AC320" s="351"/>
      <c r="AD320" s="351"/>
      <c r="AE320" s="351"/>
      <c r="AF320" s="351"/>
      <c r="AG320" s="351"/>
      <c r="AH320" s="351"/>
      <c r="AI320" s="351"/>
      <c r="AJ320" s="351"/>
      <c r="AK320" s="351"/>
      <c r="AL320" s="351"/>
      <c r="AM320" s="351"/>
      <c r="AN320" s="351"/>
      <c r="AO320" s="351"/>
      <c r="AP320" s="351"/>
      <c r="AQ320" s="351"/>
      <c r="AR320" s="351"/>
      <c r="AS320" s="351"/>
      <c r="AT320" s="351"/>
      <c r="AU320" s="351"/>
      <c r="AV320" s="351"/>
      <c r="AW320" s="351"/>
      <c r="AX320" s="351"/>
      <c r="AY320" s="351"/>
      <c r="AZ320" s="351"/>
      <c r="BA320" s="351"/>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row>
    <row r="321" spans="2:111" ht="4.5" customHeight="1">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row>
    <row r="322" spans="2:111" ht="9" customHeight="1">
      <c r="B322" s="350"/>
      <c r="C322" s="350"/>
      <c r="D322" s="350"/>
      <c r="F322" s="351" t="str">
        <f>APOIO!$B$11</f>
        <v>(F) Fauna: projetos que promovam a proteção do patrimônio da biodiversidade e a conservação das espécies da fauna brasileira, em especial das ameaçadas de extinção.</v>
      </c>
      <c r="G322" s="351"/>
      <c r="H322" s="351"/>
      <c r="I322" s="351"/>
      <c r="J322" s="351"/>
      <c r="K322" s="351"/>
      <c r="L322" s="351"/>
      <c r="M322" s="351"/>
      <c r="N322" s="351"/>
      <c r="O322" s="351"/>
      <c r="P322" s="351"/>
      <c r="Q322" s="351"/>
      <c r="R322" s="351"/>
      <c r="S322" s="351"/>
      <c r="T322" s="351"/>
      <c r="U322" s="351"/>
      <c r="V322" s="351"/>
      <c r="W322" s="351"/>
      <c r="X322" s="351"/>
      <c r="Y322" s="351"/>
      <c r="Z322" s="351"/>
      <c r="AA322" s="351"/>
      <c r="AB322" s="351"/>
      <c r="AC322" s="351"/>
      <c r="AD322" s="351"/>
      <c r="AE322" s="351"/>
      <c r="AF322" s="351"/>
      <c r="AG322" s="351"/>
      <c r="AH322" s="351"/>
      <c r="AI322" s="351"/>
      <c r="AJ322" s="351"/>
      <c r="AK322" s="351"/>
      <c r="AL322" s="351"/>
      <c r="AM322" s="351"/>
      <c r="AN322" s="351"/>
      <c r="AO322" s="351"/>
      <c r="AP322" s="351"/>
      <c r="AQ322" s="351"/>
      <c r="AR322" s="351"/>
      <c r="AS322" s="351"/>
      <c r="AT322" s="351"/>
      <c r="AU322" s="351"/>
      <c r="AV322" s="351"/>
      <c r="AW322" s="351"/>
      <c r="AX322" s="351"/>
      <c r="AY322" s="351"/>
      <c r="AZ322" s="351"/>
      <c r="BA322" s="351"/>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row>
    <row r="323" spans="2:111" ht="9" customHeight="1">
      <c r="B323" s="350"/>
      <c r="C323" s="350"/>
      <c r="D323" s="350"/>
      <c r="F323" s="351"/>
      <c r="G323" s="351"/>
      <c r="H323" s="351"/>
      <c r="I323" s="351"/>
      <c r="J323" s="351"/>
      <c r="K323" s="351"/>
      <c r="L323" s="351"/>
      <c r="M323" s="351"/>
      <c r="N323" s="351"/>
      <c r="O323" s="351"/>
      <c r="P323" s="351"/>
      <c r="Q323" s="351"/>
      <c r="R323" s="351"/>
      <c r="S323" s="351"/>
      <c r="T323" s="351"/>
      <c r="U323" s="351"/>
      <c r="V323" s="351"/>
      <c r="W323" s="351"/>
      <c r="X323" s="351"/>
      <c r="Y323" s="351"/>
      <c r="Z323" s="351"/>
      <c r="AA323" s="351"/>
      <c r="AB323" s="351"/>
      <c r="AC323" s="351"/>
      <c r="AD323" s="351"/>
      <c r="AE323" s="351"/>
      <c r="AF323" s="351"/>
      <c r="AG323" s="351"/>
      <c r="AH323" s="351"/>
      <c r="AI323" s="351"/>
      <c r="AJ323" s="351"/>
      <c r="AK323" s="351"/>
      <c r="AL323" s="351"/>
      <c r="AM323" s="351"/>
      <c r="AN323" s="351"/>
      <c r="AO323" s="351"/>
      <c r="AP323" s="351"/>
      <c r="AQ323" s="351"/>
      <c r="AR323" s="351"/>
      <c r="AS323" s="351"/>
      <c r="AT323" s="351"/>
      <c r="AU323" s="351"/>
      <c r="AV323" s="351"/>
      <c r="AW323" s="351"/>
      <c r="AX323" s="351"/>
      <c r="AY323" s="351"/>
      <c r="AZ323" s="351"/>
      <c r="BA323" s="351"/>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row>
    <row r="324" spans="2:111" ht="9" customHeight="1">
      <c r="F324" s="351"/>
      <c r="G324" s="351"/>
      <c r="H324" s="351"/>
      <c r="I324" s="351"/>
      <c r="J324" s="351"/>
      <c r="K324" s="351"/>
      <c r="L324" s="351"/>
      <c r="M324" s="351"/>
      <c r="N324" s="351"/>
      <c r="O324" s="351"/>
      <c r="P324" s="351"/>
      <c r="Q324" s="351"/>
      <c r="R324" s="351"/>
      <c r="S324" s="351"/>
      <c r="T324" s="351"/>
      <c r="U324" s="351"/>
      <c r="V324" s="351"/>
      <c r="W324" s="351"/>
      <c r="X324" s="351"/>
      <c r="Y324" s="351"/>
      <c r="Z324" s="351"/>
      <c r="AA324" s="351"/>
      <c r="AB324" s="351"/>
      <c r="AC324" s="351"/>
      <c r="AD324" s="351"/>
      <c r="AE324" s="351"/>
      <c r="AF324" s="351"/>
      <c r="AG324" s="351"/>
      <c r="AH324" s="351"/>
      <c r="AI324" s="351"/>
      <c r="AJ324" s="351"/>
      <c r="AK324" s="351"/>
      <c r="AL324" s="351"/>
      <c r="AM324" s="351"/>
      <c r="AN324" s="351"/>
      <c r="AO324" s="351"/>
      <c r="AP324" s="351"/>
      <c r="AQ324" s="351"/>
      <c r="AR324" s="351"/>
      <c r="AS324" s="351"/>
      <c r="AT324" s="351"/>
      <c r="AU324" s="351"/>
      <c r="AV324" s="351"/>
      <c r="AW324" s="351"/>
      <c r="AX324" s="351"/>
      <c r="AY324" s="351"/>
      <c r="AZ324" s="351"/>
      <c r="BA324" s="351"/>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row>
    <row r="325" spans="2:111" ht="9" customHeight="1">
      <c r="F325" s="351"/>
      <c r="G325" s="351"/>
      <c r="H325" s="351"/>
      <c r="I325" s="351"/>
      <c r="J325" s="351"/>
      <c r="K325" s="351"/>
      <c r="L325" s="351"/>
      <c r="M325" s="351"/>
      <c r="N325" s="351"/>
      <c r="O325" s="351"/>
      <c r="P325" s="351"/>
      <c r="Q325" s="351"/>
      <c r="R325" s="351"/>
      <c r="S325" s="351"/>
      <c r="T325" s="351"/>
      <c r="U325" s="351"/>
      <c r="V325" s="351"/>
      <c r="W325" s="351"/>
      <c r="X325" s="351"/>
      <c r="Y325" s="351"/>
      <c r="Z325" s="351"/>
      <c r="AA325" s="351"/>
      <c r="AB325" s="351"/>
      <c r="AC325" s="351"/>
      <c r="AD325" s="351"/>
      <c r="AE325" s="351"/>
      <c r="AF325" s="351"/>
      <c r="AG325" s="351"/>
      <c r="AH325" s="351"/>
      <c r="AI325" s="351"/>
      <c r="AJ325" s="351"/>
      <c r="AK325" s="351"/>
      <c r="AL325" s="351"/>
      <c r="AM325" s="351"/>
      <c r="AN325" s="351"/>
      <c r="AO325" s="351"/>
      <c r="AP325" s="351"/>
      <c r="AQ325" s="351"/>
      <c r="AR325" s="351"/>
      <c r="AS325" s="351"/>
      <c r="AT325" s="351"/>
      <c r="AU325" s="351"/>
      <c r="AV325" s="351"/>
      <c r="AW325" s="351"/>
      <c r="AX325" s="351"/>
      <c r="AY325" s="351"/>
      <c r="AZ325" s="351"/>
      <c r="BA325" s="351"/>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row>
    <row r="326" spans="2:111" ht="4.5" customHeight="1">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row>
    <row r="327" spans="2:111" ht="9" customHeight="1">
      <c r="B327" s="350"/>
      <c r="C327" s="350"/>
      <c r="D327" s="350"/>
      <c r="F327" s="351" t="str">
        <f>APOIO!$B$12</f>
        <v>(G) Fortalecimento da Gestão Ambiental Local: projetos que promovam a implementação de mecanismos de gestão ambiental local, tais como: apoio à implementação do fundo municipal de meio ambiente, do Conselho Municipal de Meio Ambiente, sistema de licenciamento ambiental local, elaboração de legislação ambiental local, estruturação do setor de meio ambiente de municípios, a partir da compra de equipamentos e material permanente, capacitação para a equipe técnica da prefeitura responsável pela área ambiental, dentre outras ações.</v>
      </c>
      <c r="G327" s="351"/>
      <c r="H327" s="351"/>
      <c r="I327" s="351"/>
      <c r="J327" s="351"/>
      <c r="K327" s="351"/>
      <c r="L327" s="351"/>
      <c r="M327" s="351"/>
      <c r="N327" s="351"/>
      <c r="O327" s="351"/>
      <c r="P327" s="351"/>
      <c r="Q327" s="351"/>
      <c r="R327" s="351"/>
      <c r="S327" s="351"/>
      <c r="T327" s="351"/>
      <c r="U327" s="351"/>
      <c r="V327" s="351"/>
      <c r="W327" s="351"/>
      <c r="X327" s="351"/>
      <c r="Y327" s="351"/>
      <c r="Z327" s="351"/>
      <c r="AA327" s="351"/>
      <c r="AB327" s="351"/>
      <c r="AC327" s="351"/>
      <c r="AD327" s="351"/>
      <c r="AE327" s="351"/>
      <c r="AF327" s="351"/>
      <c r="AG327" s="351"/>
      <c r="AH327" s="351"/>
      <c r="AI327" s="351"/>
      <c r="AJ327" s="351"/>
      <c r="AK327" s="351"/>
      <c r="AL327" s="351"/>
      <c r="AM327" s="351"/>
      <c r="AN327" s="351"/>
      <c r="AO327" s="351"/>
      <c r="AP327" s="351"/>
      <c r="AQ327" s="351"/>
      <c r="AR327" s="351"/>
      <c r="AS327" s="351"/>
      <c r="AT327" s="351"/>
      <c r="AU327" s="351"/>
      <c r="AV327" s="351"/>
      <c r="AW327" s="351"/>
      <c r="AX327" s="351"/>
      <c r="AY327" s="351"/>
      <c r="AZ327" s="351"/>
      <c r="BA327" s="351"/>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row>
    <row r="328" spans="2:111" ht="9" customHeight="1">
      <c r="B328" s="350"/>
      <c r="C328" s="350"/>
      <c r="D328" s="350"/>
      <c r="F328" s="351"/>
      <c r="G328" s="351"/>
      <c r="H328" s="351"/>
      <c r="I328" s="351"/>
      <c r="J328" s="351"/>
      <c r="K328" s="351"/>
      <c r="L328" s="351"/>
      <c r="M328" s="351"/>
      <c r="N328" s="351"/>
      <c r="O328" s="351"/>
      <c r="P328" s="351"/>
      <c r="Q328" s="351"/>
      <c r="R328" s="351"/>
      <c r="S328" s="351"/>
      <c r="T328" s="351"/>
      <c r="U328" s="351"/>
      <c r="V328" s="351"/>
      <c r="W328" s="351"/>
      <c r="X328" s="351"/>
      <c r="Y328" s="351"/>
      <c r="Z328" s="351"/>
      <c r="AA328" s="351"/>
      <c r="AB328" s="351"/>
      <c r="AC328" s="351"/>
      <c r="AD328" s="351"/>
      <c r="AE328" s="351"/>
      <c r="AF328" s="351"/>
      <c r="AG328" s="351"/>
      <c r="AH328" s="351"/>
      <c r="AI328" s="351"/>
      <c r="AJ328" s="351"/>
      <c r="AK328" s="351"/>
      <c r="AL328" s="351"/>
      <c r="AM328" s="351"/>
      <c r="AN328" s="351"/>
      <c r="AO328" s="351"/>
      <c r="AP328" s="351"/>
      <c r="AQ328" s="351"/>
      <c r="AR328" s="351"/>
      <c r="AS328" s="351"/>
      <c r="AT328" s="351"/>
      <c r="AU328" s="351"/>
      <c r="AV328" s="351"/>
      <c r="AW328" s="351"/>
      <c r="AX328" s="351"/>
      <c r="AY328" s="351"/>
      <c r="AZ328" s="351"/>
      <c r="BA328" s="351"/>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row>
    <row r="329" spans="2:111" ht="9" customHeight="1">
      <c r="F329" s="351"/>
      <c r="G329" s="351"/>
      <c r="H329" s="351"/>
      <c r="I329" s="351"/>
      <c r="J329" s="351"/>
      <c r="K329" s="351"/>
      <c r="L329" s="351"/>
      <c r="M329" s="351"/>
      <c r="N329" s="351"/>
      <c r="O329" s="351"/>
      <c r="P329" s="351"/>
      <c r="Q329" s="351"/>
      <c r="R329" s="351"/>
      <c r="S329" s="351"/>
      <c r="T329" s="351"/>
      <c r="U329" s="351"/>
      <c r="V329" s="351"/>
      <c r="W329" s="351"/>
      <c r="X329" s="351"/>
      <c r="Y329" s="351"/>
      <c r="Z329" s="351"/>
      <c r="AA329" s="351"/>
      <c r="AB329" s="351"/>
      <c r="AC329" s="351"/>
      <c r="AD329" s="351"/>
      <c r="AE329" s="351"/>
      <c r="AF329" s="351"/>
      <c r="AG329" s="351"/>
      <c r="AH329" s="351"/>
      <c r="AI329" s="351"/>
      <c r="AJ329" s="351"/>
      <c r="AK329" s="351"/>
      <c r="AL329" s="351"/>
      <c r="AM329" s="351"/>
      <c r="AN329" s="351"/>
      <c r="AO329" s="351"/>
      <c r="AP329" s="351"/>
      <c r="AQ329" s="351"/>
      <c r="AR329" s="351"/>
      <c r="AS329" s="351"/>
      <c r="AT329" s="351"/>
      <c r="AU329" s="351"/>
      <c r="AV329" s="351"/>
      <c r="AW329" s="351"/>
      <c r="AX329" s="351"/>
      <c r="AY329" s="351"/>
      <c r="AZ329" s="351"/>
      <c r="BA329" s="351"/>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row>
    <row r="330" spans="2:111" ht="9" customHeight="1">
      <c r="F330" s="351"/>
      <c r="G330" s="351"/>
      <c r="H330" s="351"/>
      <c r="I330" s="351"/>
      <c r="J330" s="351"/>
      <c r="K330" s="351"/>
      <c r="L330" s="351"/>
      <c r="M330" s="351"/>
      <c r="N330" s="351"/>
      <c r="O330" s="351"/>
      <c r="P330" s="351"/>
      <c r="Q330" s="351"/>
      <c r="R330" s="351"/>
      <c r="S330" s="351"/>
      <c r="T330" s="351"/>
      <c r="U330" s="351"/>
      <c r="V330" s="351"/>
      <c r="W330" s="351"/>
      <c r="X330" s="351"/>
      <c r="Y330" s="351"/>
      <c r="Z330" s="351"/>
      <c r="AA330" s="351"/>
      <c r="AB330" s="351"/>
      <c r="AC330" s="351"/>
      <c r="AD330" s="351"/>
      <c r="AE330" s="351"/>
      <c r="AF330" s="351"/>
      <c r="AG330" s="351"/>
      <c r="AH330" s="351"/>
      <c r="AI330" s="351"/>
      <c r="AJ330" s="351"/>
      <c r="AK330" s="351"/>
      <c r="AL330" s="351"/>
      <c r="AM330" s="351"/>
      <c r="AN330" s="351"/>
      <c r="AO330" s="351"/>
      <c r="AP330" s="351"/>
      <c r="AQ330" s="351"/>
      <c r="AR330" s="351"/>
      <c r="AS330" s="351"/>
      <c r="AT330" s="351"/>
      <c r="AU330" s="351"/>
      <c r="AV330" s="351"/>
      <c r="AW330" s="351"/>
      <c r="AX330" s="351"/>
      <c r="AY330" s="351"/>
      <c r="AZ330" s="351"/>
      <c r="BA330" s="351"/>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row>
    <row r="331" spans="2:111" ht="9" customHeight="1">
      <c r="F331" s="351"/>
      <c r="G331" s="351"/>
      <c r="H331" s="351"/>
      <c r="I331" s="351"/>
      <c r="J331" s="351"/>
      <c r="K331" s="351"/>
      <c r="L331" s="351"/>
      <c r="M331" s="351"/>
      <c r="N331" s="351"/>
      <c r="O331" s="351"/>
      <c r="P331" s="351"/>
      <c r="Q331" s="351"/>
      <c r="R331" s="351"/>
      <c r="S331" s="351"/>
      <c r="T331" s="351"/>
      <c r="U331" s="351"/>
      <c r="V331" s="351"/>
      <c r="W331" s="351"/>
      <c r="X331" s="351"/>
      <c r="Y331" s="351"/>
      <c r="Z331" s="351"/>
      <c r="AA331" s="351"/>
      <c r="AB331" s="351"/>
      <c r="AC331" s="351"/>
      <c r="AD331" s="351"/>
      <c r="AE331" s="351"/>
      <c r="AF331" s="351"/>
      <c r="AG331" s="351"/>
      <c r="AH331" s="351"/>
      <c r="AI331" s="351"/>
      <c r="AJ331" s="351"/>
      <c r="AK331" s="351"/>
      <c r="AL331" s="351"/>
      <c r="AM331" s="351"/>
      <c r="AN331" s="351"/>
      <c r="AO331" s="351"/>
      <c r="AP331" s="351"/>
      <c r="AQ331" s="351"/>
      <c r="AR331" s="351"/>
      <c r="AS331" s="351"/>
      <c r="AT331" s="351"/>
      <c r="AU331" s="351"/>
      <c r="AV331" s="351"/>
      <c r="AW331" s="351"/>
      <c r="AX331" s="351"/>
      <c r="AY331" s="351"/>
      <c r="AZ331" s="351"/>
      <c r="BA331" s="351"/>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row>
    <row r="332" spans="2:111" ht="9" customHeight="1">
      <c r="F332" s="351"/>
      <c r="G332" s="351"/>
      <c r="H332" s="351"/>
      <c r="I332" s="351"/>
      <c r="J332" s="351"/>
      <c r="K332" s="351"/>
      <c r="L332" s="351"/>
      <c r="M332" s="351"/>
      <c r="N332" s="351"/>
      <c r="O332" s="351"/>
      <c r="P332" s="351"/>
      <c r="Q332" s="351"/>
      <c r="R332" s="351"/>
      <c r="S332" s="351"/>
      <c r="T332" s="351"/>
      <c r="U332" s="351"/>
      <c r="V332" s="351"/>
      <c r="W332" s="351"/>
      <c r="X332" s="351"/>
      <c r="Y332" s="351"/>
      <c r="Z332" s="351"/>
      <c r="AA332" s="351"/>
      <c r="AB332" s="351"/>
      <c r="AC332" s="351"/>
      <c r="AD332" s="351"/>
      <c r="AE332" s="351"/>
      <c r="AF332" s="351"/>
      <c r="AG332" s="351"/>
      <c r="AH332" s="351"/>
      <c r="AI332" s="351"/>
      <c r="AJ332" s="351"/>
      <c r="AK332" s="351"/>
      <c r="AL332" s="351"/>
      <c r="AM332" s="351"/>
      <c r="AN332" s="351"/>
      <c r="AO332" s="351"/>
      <c r="AP332" s="351"/>
      <c r="AQ332" s="351"/>
      <c r="AR332" s="351"/>
      <c r="AS332" s="351"/>
      <c r="AT332" s="351"/>
      <c r="AU332" s="351"/>
      <c r="AV332" s="351"/>
      <c r="AW332" s="351"/>
      <c r="AX332" s="351"/>
      <c r="AY332" s="351"/>
      <c r="AZ332" s="351"/>
      <c r="BA332" s="351"/>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row>
    <row r="333" spans="2:111" ht="9" customHeight="1">
      <c r="F333" s="351"/>
      <c r="G333" s="351"/>
      <c r="H333" s="351"/>
      <c r="I333" s="351"/>
      <c r="J333" s="351"/>
      <c r="K333" s="351"/>
      <c r="L333" s="351"/>
      <c r="M333" s="351"/>
      <c r="N333" s="351"/>
      <c r="O333" s="351"/>
      <c r="P333" s="351"/>
      <c r="Q333" s="351"/>
      <c r="R333" s="351"/>
      <c r="S333" s="351"/>
      <c r="T333" s="351"/>
      <c r="U333" s="351"/>
      <c r="V333" s="351"/>
      <c r="W333" s="351"/>
      <c r="X333" s="351"/>
      <c r="Y333" s="351"/>
      <c r="Z333" s="351"/>
      <c r="AA333" s="351"/>
      <c r="AB333" s="351"/>
      <c r="AC333" s="351"/>
      <c r="AD333" s="351"/>
      <c r="AE333" s="351"/>
      <c r="AF333" s="351"/>
      <c r="AG333" s="351"/>
      <c r="AH333" s="351"/>
      <c r="AI333" s="351"/>
      <c r="AJ333" s="351"/>
      <c r="AK333" s="351"/>
      <c r="AL333" s="351"/>
      <c r="AM333" s="351"/>
      <c r="AN333" s="351"/>
      <c r="AO333" s="351"/>
      <c r="AP333" s="351"/>
      <c r="AQ333" s="351"/>
      <c r="AR333" s="351"/>
      <c r="AS333" s="351"/>
      <c r="AT333" s="351"/>
      <c r="AU333" s="351"/>
      <c r="AV333" s="351"/>
      <c r="AW333" s="351"/>
      <c r="AX333" s="351"/>
      <c r="AY333" s="351"/>
      <c r="AZ333" s="351"/>
      <c r="BA333" s="351"/>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row>
    <row r="334" spans="2:111" ht="4.5" customHeight="1">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row>
    <row r="335" spans="2:111" ht="9" customHeight="1">
      <c r="B335" s="350" t="s">
        <v>482</v>
      </c>
      <c r="C335" s="350"/>
      <c r="D335" s="350"/>
      <c r="F335" s="351" t="str">
        <f>APOIO!$B$13</f>
        <v>(H) Fortalecimento das Instituições Públicas envolvidas na fiscalização e controle ambiental: projetos que promovam a qualificação administrativa e operacional de órgãos governamentais ligados à fiscalização e controle de práticas lesivas ao meio ambiente, por meio do fomento a capacitações de equipes, criação e implementação de salas de situação, aquisição de equipamentos e material permanente, promoção de estratégias de articulação entre as instituições públicas envolvidas nessa missão (Ministério Público, Polícia Militar Ambiental, Polícia Civil, Ibama, Oemas e Poder Judiciário) por meio da realização de seminários, reuniões de intercâmbio de agendas e organização de operações integradas.</v>
      </c>
      <c r="G335" s="351"/>
      <c r="H335" s="351"/>
      <c r="I335" s="351"/>
      <c r="J335" s="351"/>
      <c r="K335" s="351"/>
      <c r="L335" s="351"/>
      <c r="M335" s="351"/>
      <c r="N335" s="351"/>
      <c r="O335" s="351"/>
      <c r="P335" s="351"/>
      <c r="Q335" s="351"/>
      <c r="R335" s="351"/>
      <c r="S335" s="351"/>
      <c r="T335" s="351"/>
      <c r="U335" s="351"/>
      <c r="V335" s="351"/>
      <c r="W335" s="351"/>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351"/>
      <c r="AV335" s="351"/>
      <c r="AW335" s="351"/>
      <c r="AX335" s="351"/>
      <c r="AY335" s="351"/>
      <c r="AZ335" s="351"/>
      <c r="BA335" s="351"/>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row>
    <row r="336" spans="2:111" ht="9" customHeight="1">
      <c r="B336" s="350"/>
      <c r="C336" s="350"/>
      <c r="D336" s="350"/>
      <c r="F336" s="351"/>
      <c r="G336" s="351"/>
      <c r="H336" s="351"/>
      <c r="I336" s="351"/>
      <c r="J336" s="351"/>
      <c r="K336" s="351"/>
      <c r="L336" s="351"/>
      <c r="M336" s="351"/>
      <c r="N336" s="351"/>
      <c r="O336" s="351"/>
      <c r="P336" s="351"/>
      <c r="Q336" s="351"/>
      <c r="R336" s="351"/>
      <c r="S336" s="351"/>
      <c r="T336" s="351"/>
      <c r="U336" s="351"/>
      <c r="V336" s="351"/>
      <c r="W336" s="351"/>
      <c r="X336" s="351"/>
      <c r="Y336" s="351"/>
      <c r="Z336" s="351"/>
      <c r="AA336" s="351"/>
      <c r="AB336" s="351"/>
      <c r="AC336" s="351"/>
      <c r="AD336" s="351"/>
      <c r="AE336" s="351"/>
      <c r="AF336" s="351"/>
      <c r="AG336" s="351"/>
      <c r="AH336" s="351"/>
      <c r="AI336" s="351"/>
      <c r="AJ336" s="351"/>
      <c r="AK336" s="351"/>
      <c r="AL336" s="351"/>
      <c r="AM336" s="351"/>
      <c r="AN336" s="351"/>
      <c r="AO336" s="351"/>
      <c r="AP336" s="351"/>
      <c r="AQ336" s="351"/>
      <c r="AR336" s="351"/>
      <c r="AS336" s="351"/>
      <c r="AT336" s="351"/>
      <c r="AU336" s="351"/>
      <c r="AV336" s="351"/>
      <c r="AW336" s="351"/>
      <c r="AX336" s="351"/>
      <c r="AY336" s="351"/>
      <c r="AZ336" s="351"/>
      <c r="BA336" s="351"/>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row>
    <row r="337" spans="2:111" ht="9" customHeight="1">
      <c r="F337" s="351"/>
      <c r="G337" s="351"/>
      <c r="H337" s="351"/>
      <c r="I337" s="351"/>
      <c r="J337" s="351"/>
      <c r="K337" s="351"/>
      <c r="L337" s="351"/>
      <c r="M337" s="351"/>
      <c r="N337" s="351"/>
      <c r="O337" s="351"/>
      <c r="P337" s="351"/>
      <c r="Q337" s="351"/>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351"/>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row>
    <row r="338" spans="2:111" ht="9" customHeight="1">
      <c r="F338" s="351"/>
      <c r="G338" s="351"/>
      <c r="H338" s="351"/>
      <c r="I338" s="351"/>
      <c r="J338" s="351"/>
      <c r="K338" s="351"/>
      <c r="L338" s="351"/>
      <c r="M338" s="351"/>
      <c r="N338" s="351"/>
      <c r="O338" s="351"/>
      <c r="P338" s="351"/>
      <c r="Q338" s="351"/>
      <c r="R338" s="351"/>
      <c r="S338" s="351"/>
      <c r="T338" s="351"/>
      <c r="U338" s="351"/>
      <c r="V338" s="351"/>
      <c r="W338" s="351"/>
      <c r="X338" s="351"/>
      <c r="Y338" s="351"/>
      <c r="Z338" s="351"/>
      <c r="AA338" s="351"/>
      <c r="AB338" s="351"/>
      <c r="AC338" s="351"/>
      <c r="AD338" s="351"/>
      <c r="AE338" s="351"/>
      <c r="AF338" s="351"/>
      <c r="AG338" s="351"/>
      <c r="AH338" s="351"/>
      <c r="AI338" s="351"/>
      <c r="AJ338" s="351"/>
      <c r="AK338" s="351"/>
      <c r="AL338" s="351"/>
      <c r="AM338" s="351"/>
      <c r="AN338" s="351"/>
      <c r="AO338" s="351"/>
      <c r="AP338" s="351"/>
      <c r="AQ338" s="351"/>
      <c r="AR338" s="351"/>
      <c r="AS338" s="351"/>
      <c r="AT338" s="351"/>
      <c r="AU338" s="351"/>
      <c r="AV338" s="351"/>
      <c r="AW338" s="351"/>
      <c r="AX338" s="351"/>
      <c r="AY338" s="351"/>
      <c r="AZ338" s="351"/>
      <c r="BA338" s="351"/>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row>
    <row r="339" spans="2:111" ht="9" customHeight="1">
      <c r="F339" s="351"/>
      <c r="G339" s="351"/>
      <c r="H339" s="351"/>
      <c r="I339" s="351"/>
      <c r="J339" s="351"/>
      <c r="K339" s="351"/>
      <c r="L339" s="351"/>
      <c r="M339" s="351"/>
      <c r="N339" s="351"/>
      <c r="O339" s="351"/>
      <c r="P339" s="351"/>
      <c r="Q339" s="351"/>
      <c r="R339" s="351"/>
      <c r="S339" s="351"/>
      <c r="T339" s="351"/>
      <c r="U339" s="351"/>
      <c r="V339" s="351"/>
      <c r="W339" s="351"/>
      <c r="X339" s="351"/>
      <c r="Y339" s="351"/>
      <c r="Z339" s="351"/>
      <c r="AA339" s="351"/>
      <c r="AB339" s="351"/>
      <c r="AC339" s="351"/>
      <c r="AD339" s="351"/>
      <c r="AE339" s="351"/>
      <c r="AF339" s="351"/>
      <c r="AG339" s="351"/>
      <c r="AH339" s="351"/>
      <c r="AI339" s="351"/>
      <c r="AJ339" s="351"/>
      <c r="AK339" s="351"/>
      <c r="AL339" s="351"/>
      <c r="AM339" s="351"/>
      <c r="AN339" s="351"/>
      <c r="AO339" s="351"/>
      <c r="AP339" s="351"/>
      <c r="AQ339" s="351"/>
      <c r="AR339" s="351"/>
      <c r="AS339" s="351"/>
      <c r="AT339" s="351"/>
      <c r="AU339" s="351"/>
      <c r="AV339" s="351"/>
      <c r="AW339" s="351"/>
      <c r="AX339" s="351"/>
      <c r="AY339" s="351"/>
      <c r="AZ339" s="351"/>
      <c r="BA339" s="351"/>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row>
    <row r="340" spans="2:111" ht="9" customHeight="1">
      <c r="F340" s="351"/>
      <c r="G340" s="351"/>
      <c r="H340" s="351"/>
      <c r="I340" s="351"/>
      <c r="J340" s="351"/>
      <c r="K340" s="351"/>
      <c r="L340" s="351"/>
      <c r="M340" s="351"/>
      <c r="N340" s="351"/>
      <c r="O340" s="351"/>
      <c r="P340" s="351"/>
      <c r="Q340" s="351"/>
      <c r="R340" s="351"/>
      <c r="S340" s="351"/>
      <c r="T340" s="351"/>
      <c r="U340" s="351"/>
      <c r="V340" s="351"/>
      <c r="W340" s="351"/>
      <c r="X340" s="351"/>
      <c r="Y340" s="351"/>
      <c r="Z340" s="351"/>
      <c r="AA340" s="351"/>
      <c r="AB340" s="351"/>
      <c r="AC340" s="351"/>
      <c r="AD340" s="351"/>
      <c r="AE340" s="351"/>
      <c r="AF340" s="351"/>
      <c r="AG340" s="351"/>
      <c r="AH340" s="351"/>
      <c r="AI340" s="351"/>
      <c r="AJ340" s="351"/>
      <c r="AK340" s="351"/>
      <c r="AL340" s="351"/>
      <c r="AM340" s="351"/>
      <c r="AN340" s="351"/>
      <c r="AO340" s="351"/>
      <c r="AP340" s="351"/>
      <c r="AQ340" s="351"/>
      <c r="AR340" s="351"/>
      <c r="AS340" s="351"/>
      <c r="AT340" s="351"/>
      <c r="AU340" s="351"/>
      <c r="AV340" s="351"/>
      <c r="AW340" s="351"/>
      <c r="AX340" s="351"/>
      <c r="AY340" s="351"/>
      <c r="AZ340" s="351"/>
      <c r="BA340" s="351"/>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row>
    <row r="341" spans="2:111" ht="9" customHeight="1">
      <c r="F341" s="351"/>
      <c r="G341" s="351"/>
      <c r="H341" s="351"/>
      <c r="I341" s="351"/>
      <c r="J341" s="351"/>
      <c r="K341" s="351"/>
      <c r="L341" s="351"/>
      <c r="M341" s="351"/>
      <c r="N341" s="351"/>
      <c r="O341" s="351"/>
      <c r="P341" s="351"/>
      <c r="Q341" s="351"/>
      <c r="R341" s="351"/>
      <c r="S341" s="351"/>
      <c r="T341" s="351"/>
      <c r="U341" s="351"/>
      <c r="V341" s="351"/>
      <c r="W341" s="351"/>
      <c r="X341" s="351"/>
      <c r="Y341" s="351"/>
      <c r="Z341" s="351"/>
      <c r="AA341" s="351"/>
      <c r="AB341" s="351"/>
      <c r="AC341" s="351"/>
      <c r="AD341" s="351"/>
      <c r="AE341" s="351"/>
      <c r="AF341" s="351"/>
      <c r="AG341" s="351"/>
      <c r="AH341" s="351"/>
      <c r="AI341" s="351"/>
      <c r="AJ341" s="351"/>
      <c r="AK341" s="351"/>
      <c r="AL341" s="351"/>
      <c r="AM341" s="351"/>
      <c r="AN341" s="351"/>
      <c r="AO341" s="351"/>
      <c r="AP341" s="351"/>
      <c r="AQ341" s="351"/>
      <c r="AR341" s="351"/>
      <c r="AS341" s="351"/>
      <c r="AT341" s="351"/>
      <c r="AU341" s="351"/>
      <c r="AV341" s="351"/>
      <c r="AW341" s="351"/>
      <c r="AX341" s="351"/>
      <c r="AY341" s="351"/>
      <c r="AZ341" s="351"/>
      <c r="BA341" s="351"/>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row>
    <row r="342" spans="2:111" ht="9" customHeight="1">
      <c r="F342" s="351"/>
      <c r="G342" s="351"/>
      <c r="H342" s="351"/>
      <c r="I342" s="351"/>
      <c r="J342" s="351"/>
      <c r="K342" s="351"/>
      <c r="L342" s="351"/>
      <c r="M342" s="351"/>
      <c r="N342" s="351"/>
      <c r="O342" s="351"/>
      <c r="P342" s="351"/>
      <c r="Q342" s="351"/>
      <c r="R342" s="351"/>
      <c r="S342" s="351"/>
      <c r="T342" s="351"/>
      <c r="U342" s="351"/>
      <c r="V342" s="351"/>
      <c r="W342" s="351"/>
      <c r="X342" s="351"/>
      <c r="Y342" s="351"/>
      <c r="Z342" s="351"/>
      <c r="AA342" s="351"/>
      <c r="AB342" s="351"/>
      <c r="AC342" s="351"/>
      <c r="AD342" s="351"/>
      <c r="AE342" s="351"/>
      <c r="AF342" s="351"/>
      <c r="AG342" s="351"/>
      <c r="AH342" s="351"/>
      <c r="AI342" s="351"/>
      <c r="AJ342" s="351"/>
      <c r="AK342" s="351"/>
      <c r="AL342" s="351"/>
      <c r="AM342" s="351"/>
      <c r="AN342" s="351"/>
      <c r="AO342" s="351"/>
      <c r="AP342" s="351"/>
      <c r="AQ342" s="351"/>
      <c r="AR342" s="351"/>
      <c r="AS342" s="351"/>
      <c r="AT342" s="351"/>
      <c r="AU342" s="351"/>
      <c r="AV342" s="351"/>
      <c r="AW342" s="351"/>
      <c r="AX342" s="351"/>
      <c r="AY342" s="351"/>
      <c r="AZ342" s="351"/>
      <c r="BA342" s="351"/>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row>
    <row r="343" spans="2:111" ht="9" customHeight="1">
      <c r="F343" s="351"/>
      <c r="G343" s="351"/>
      <c r="H343" s="351"/>
      <c r="I343" s="351"/>
      <c r="J343" s="351"/>
      <c r="K343" s="351"/>
      <c r="L343" s="351"/>
      <c r="M343" s="351"/>
      <c r="N343" s="351"/>
      <c r="O343" s="351"/>
      <c r="P343" s="351"/>
      <c r="Q343" s="351"/>
      <c r="R343" s="351"/>
      <c r="S343" s="351"/>
      <c r="T343" s="351"/>
      <c r="U343" s="351"/>
      <c r="V343" s="351"/>
      <c r="W343" s="351"/>
      <c r="X343" s="351"/>
      <c r="Y343" s="351"/>
      <c r="Z343" s="351"/>
      <c r="AA343" s="351"/>
      <c r="AB343" s="351"/>
      <c r="AC343" s="351"/>
      <c r="AD343" s="351"/>
      <c r="AE343" s="351"/>
      <c r="AF343" s="351"/>
      <c r="AG343" s="351"/>
      <c r="AH343" s="351"/>
      <c r="AI343" s="351"/>
      <c r="AJ343" s="351"/>
      <c r="AK343" s="351"/>
      <c r="AL343" s="351"/>
      <c r="AM343" s="351"/>
      <c r="AN343" s="351"/>
      <c r="AO343" s="351"/>
      <c r="AP343" s="351"/>
      <c r="AQ343" s="351"/>
      <c r="AR343" s="351"/>
      <c r="AS343" s="351"/>
      <c r="AT343" s="351"/>
      <c r="AU343" s="351"/>
      <c r="AV343" s="351"/>
      <c r="AW343" s="351"/>
      <c r="AX343" s="351"/>
      <c r="AY343" s="351"/>
      <c r="AZ343" s="351"/>
      <c r="BA343" s="351"/>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row>
    <row r="344" spans="2:111" ht="4.5" customHeight="1">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row>
    <row r="345" spans="2:111" ht="9" customHeight="1">
      <c r="B345" s="350"/>
      <c r="C345" s="350"/>
      <c r="D345" s="350"/>
      <c r="F345" s="351" t="str">
        <f>APOIO!$B$14</f>
        <v>-</v>
      </c>
      <c r="G345" s="351"/>
      <c r="H345" s="351"/>
      <c r="I345" s="351"/>
      <c r="J345" s="351"/>
      <c r="K345" s="351"/>
      <c r="L345" s="351"/>
      <c r="M345" s="351"/>
      <c r="N345" s="351"/>
      <c r="O345" s="351"/>
      <c r="P345" s="351"/>
      <c r="Q345" s="351"/>
      <c r="R345" s="351"/>
      <c r="S345" s="351"/>
      <c r="T345" s="351"/>
      <c r="U345" s="351"/>
      <c r="V345" s="351"/>
      <c r="W345" s="351"/>
      <c r="X345" s="351"/>
      <c r="Y345" s="351"/>
      <c r="Z345" s="351"/>
      <c r="AA345" s="351"/>
      <c r="AB345" s="351"/>
      <c r="AC345" s="351"/>
      <c r="AD345" s="351"/>
      <c r="AE345" s="351"/>
      <c r="AF345" s="351"/>
      <c r="AG345" s="351"/>
      <c r="AH345" s="351"/>
      <c r="AI345" s="351"/>
      <c r="AJ345" s="351"/>
      <c r="AK345" s="351"/>
      <c r="AL345" s="351"/>
      <c r="AM345" s="351"/>
      <c r="AN345" s="351"/>
      <c r="AO345" s="351"/>
      <c r="AP345" s="351"/>
      <c r="AQ345" s="351"/>
      <c r="AR345" s="351"/>
      <c r="AS345" s="351"/>
      <c r="AT345" s="351"/>
      <c r="AU345" s="351"/>
      <c r="AV345" s="351"/>
      <c r="AW345" s="351"/>
      <c r="AX345" s="351"/>
      <c r="AY345" s="351"/>
      <c r="AZ345" s="351"/>
      <c r="BA345" s="351"/>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row>
    <row r="346" spans="2:111" ht="9" customHeight="1">
      <c r="B346" s="350"/>
      <c r="C346" s="350"/>
      <c r="D346" s="350"/>
      <c r="F346" s="351"/>
      <c r="G346" s="351"/>
      <c r="H346" s="351"/>
      <c r="I346" s="351"/>
      <c r="J346" s="351"/>
      <c r="K346" s="351"/>
      <c r="L346" s="351"/>
      <c r="M346" s="351"/>
      <c r="N346" s="351"/>
      <c r="O346" s="351"/>
      <c r="P346" s="351"/>
      <c r="Q346" s="351"/>
      <c r="R346" s="351"/>
      <c r="S346" s="351"/>
      <c r="T346" s="351"/>
      <c r="U346" s="351"/>
      <c r="V346" s="351"/>
      <c r="W346" s="351"/>
      <c r="X346" s="351"/>
      <c r="Y346" s="351"/>
      <c r="Z346" s="351"/>
      <c r="AA346" s="351"/>
      <c r="AB346" s="351"/>
      <c r="AC346" s="351"/>
      <c r="AD346" s="351"/>
      <c r="AE346" s="351"/>
      <c r="AF346" s="351"/>
      <c r="AG346" s="351"/>
      <c r="AH346" s="351"/>
      <c r="AI346" s="351"/>
      <c r="AJ346" s="351"/>
      <c r="AK346" s="351"/>
      <c r="AL346" s="351"/>
      <c r="AM346" s="351"/>
      <c r="AN346" s="351"/>
      <c r="AO346" s="351"/>
      <c r="AP346" s="351"/>
      <c r="AQ346" s="351"/>
      <c r="AR346" s="351"/>
      <c r="AS346" s="351"/>
      <c r="AT346" s="351"/>
      <c r="AU346" s="351"/>
      <c r="AV346" s="351"/>
      <c r="AW346" s="351"/>
      <c r="AX346" s="351"/>
      <c r="AY346" s="351"/>
      <c r="AZ346" s="351"/>
      <c r="BA346" s="351"/>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row>
    <row r="347" spans="2:111" ht="9" customHeight="1">
      <c r="F347" s="351"/>
      <c r="G347" s="351"/>
      <c r="H347" s="351"/>
      <c r="I347" s="351"/>
      <c r="J347" s="351"/>
      <c r="K347" s="351"/>
      <c r="L347" s="351"/>
      <c r="M347" s="351"/>
      <c r="N347" s="351"/>
      <c r="O347" s="351"/>
      <c r="P347" s="351"/>
      <c r="Q347" s="351"/>
      <c r="R347" s="351"/>
      <c r="S347" s="351"/>
      <c r="T347" s="351"/>
      <c r="U347" s="351"/>
      <c r="V347" s="351"/>
      <c r="W347" s="351"/>
      <c r="X347" s="351"/>
      <c r="Y347" s="351"/>
      <c r="Z347" s="351"/>
      <c r="AA347" s="351"/>
      <c r="AB347" s="351"/>
      <c r="AC347" s="351"/>
      <c r="AD347" s="351"/>
      <c r="AE347" s="351"/>
      <c r="AF347" s="351"/>
      <c r="AG347" s="351"/>
      <c r="AH347" s="351"/>
      <c r="AI347" s="351"/>
      <c r="AJ347" s="351"/>
      <c r="AK347" s="351"/>
      <c r="AL347" s="351"/>
      <c r="AM347" s="351"/>
      <c r="AN347" s="351"/>
      <c r="AO347" s="351"/>
      <c r="AP347" s="351"/>
      <c r="AQ347" s="351"/>
      <c r="AR347" s="351"/>
      <c r="AS347" s="351"/>
      <c r="AT347" s="351"/>
      <c r="AU347" s="351"/>
      <c r="AV347" s="351"/>
      <c r="AW347" s="351"/>
      <c r="AX347" s="351"/>
      <c r="AY347" s="351"/>
      <c r="AZ347" s="351"/>
      <c r="BA347" s="351"/>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row>
    <row r="348" spans="2:111" ht="9" customHeight="1">
      <c r="F348" s="351"/>
      <c r="G348" s="351"/>
      <c r="H348" s="351"/>
      <c r="I348" s="351"/>
      <c r="J348" s="351"/>
      <c r="K348" s="351"/>
      <c r="L348" s="351"/>
      <c r="M348" s="351"/>
      <c r="N348" s="351"/>
      <c r="O348" s="351"/>
      <c r="P348" s="351"/>
      <c r="Q348" s="351"/>
      <c r="R348" s="351"/>
      <c r="S348" s="351"/>
      <c r="T348" s="351"/>
      <c r="U348" s="351"/>
      <c r="V348" s="351"/>
      <c r="W348" s="351"/>
      <c r="X348" s="351"/>
      <c r="Y348" s="351"/>
      <c r="Z348" s="351"/>
      <c r="AA348" s="351"/>
      <c r="AB348" s="351"/>
      <c r="AC348" s="351"/>
      <c r="AD348" s="351"/>
      <c r="AE348" s="351"/>
      <c r="AF348" s="351"/>
      <c r="AG348" s="351"/>
      <c r="AH348" s="351"/>
      <c r="AI348" s="351"/>
      <c r="AJ348" s="351"/>
      <c r="AK348" s="351"/>
      <c r="AL348" s="351"/>
      <c r="AM348" s="351"/>
      <c r="AN348" s="351"/>
      <c r="AO348" s="351"/>
      <c r="AP348" s="351"/>
      <c r="AQ348" s="351"/>
      <c r="AR348" s="351"/>
      <c r="AS348" s="351"/>
      <c r="AT348" s="351"/>
      <c r="AU348" s="351"/>
      <c r="AV348" s="351"/>
      <c r="AW348" s="351"/>
      <c r="AX348" s="351"/>
      <c r="AY348" s="351"/>
      <c r="AZ348" s="351"/>
      <c r="BA348" s="351"/>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row>
    <row r="349" spans="2:111" ht="9" customHeight="1">
      <c r="F349" s="351"/>
      <c r="G349" s="351"/>
      <c r="H349" s="351"/>
      <c r="I349" s="351"/>
      <c r="J349" s="351"/>
      <c r="K349" s="351"/>
      <c r="L349" s="351"/>
      <c r="M349" s="351"/>
      <c r="N349" s="351"/>
      <c r="O349" s="351"/>
      <c r="P349" s="351"/>
      <c r="Q349" s="351"/>
      <c r="R349" s="351"/>
      <c r="S349" s="351"/>
      <c r="T349" s="351"/>
      <c r="U349" s="351"/>
      <c r="V349" s="351"/>
      <c r="W349" s="351"/>
      <c r="X349" s="351"/>
      <c r="Y349" s="351"/>
      <c r="Z349" s="351"/>
      <c r="AA349" s="351"/>
      <c r="AB349" s="351"/>
      <c r="AC349" s="351"/>
      <c r="AD349" s="351"/>
      <c r="AE349" s="351"/>
      <c r="AF349" s="351"/>
      <c r="AG349" s="351"/>
      <c r="AH349" s="351"/>
      <c r="AI349" s="351"/>
      <c r="AJ349" s="351"/>
      <c r="AK349" s="351"/>
      <c r="AL349" s="351"/>
      <c r="AM349" s="351"/>
      <c r="AN349" s="351"/>
      <c r="AO349" s="351"/>
      <c r="AP349" s="351"/>
      <c r="AQ349" s="351"/>
      <c r="AR349" s="351"/>
      <c r="AS349" s="351"/>
      <c r="AT349" s="351"/>
      <c r="AU349" s="351"/>
      <c r="AV349" s="351"/>
      <c r="AW349" s="351"/>
      <c r="AX349" s="351"/>
      <c r="AY349" s="351"/>
      <c r="AZ349" s="351"/>
      <c r="BA349" s="351"/>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row>
    <row r="350" spans="2:111" ht="9" customHeight="1">
      <c r="F350" s="351"/>
      <c r="G350" s="351"/>
      <c r="H350" s="351"/>
      <c r="I350" s="351"/>
      <c r="J350" s="351"/>
      <c r="K350" s="351"/>
      <c r="L350" s="351"/>
      <c r="M350" s="351"/>
      <c r="N350" s="351"/>
      <c r="O350" s="351"/>
      <c r="P350" s="351"/>
      <c r="Q350" s="351"/>
      <c r="R350" s="351"/>
      <c r="S350" s="351"/>
      <c r="T350" s="351"/>
      <c r="U350" s="351"/>
      <c r="V350" s="351"/>
      <c r="W350" s="351"/>
      <c r="X350" s="351"/>
      <c r="Y350" s="351"/>
      <c r="Z350" s="351"/>
      <c r="AA350" s="351"/>
      <c r="AB350" s="351"/>
      <c r="AC350" s="351"/>
      <c r="AD350" s="351"/>
      <c r="AE350" s="351"/>
      <c r="AF350" s="351"/>
      <c r="AG350" s="351"/>
      <c r="AH350" s="351"/>
      <c r="AI350" s="351"/>
      <c r="AJ350" s="351"/>
      <c r="AK350" s="351"/>
      <c r="AL350" s="351"/>
      <c r="AM350" s="351"/>
      <c r="AN350" s="351"/>
      <c r="AO350" s="351"/>
      <c r="AP350" s="351"/>
      <c r="AQ350" s="351"/>
      <c r="AR350" s="351"/>
      <c r="AS350" s="351"/>
      <c r="AT350" s="351"/>
      <c r="AU350" s="351"/>
      <c r="AV350" s="351"/>
      <c r="AW350" s="351"/>
      <c r="AX350" s="351"/>
      <c r="AY350" s="351"/>
      <c r="AZ350" s="351"/>
      <c r="BA350" s="351"/>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row>
    <row r="351" spans="2:111" ht="9" customHeight="1">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row>
    <row r="352" spans="2:111" ht="9" customHeight="1" thickBot="1">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row>
    <row r="353" spans="2:111" ht="9" customHeight="1">
      <c r="B353" s="245" t="s">
        <v>279</v>
      </c>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6"/>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row>
    <row r="354" spans="2:111" ht="9" customHeight="1">
      <c r="B354" s="247"/>
      <c r="C354" s="247"/>
      <c r="D354" s="247"/>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8"/>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row>
    <row r="355" spans="2:111" ht="9" customHeight="1">
      <c r="B355" s="249"/>
      <c r="C355" s="249"/>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49"/>
      <c r="AA355" s="249"/>
      <c r="AB355" s="249"/>
      <c r="AC355" s="249"/>
      <c r="AD355" s="249"/>
      <c r="AE355" s="249"/>
      <c r="AF355" s="249"/>
      <c r="AG355" s="249"/>
      <c r="AH355" s="249"/>
      <c r="AI355" s="249"/>
      <c r="AJ355" s="249"/>
      <c r="AK355" s="249"/>
      <c r="AL355" s="249"/>
      <c r="AM355" s="249"/>
      <c r="AN355" s="249"/>
      <c r="AO355" s="249"/>
      <c r="AP355" s="249"/>
      <c r="AQ355" s="249"/>
      <c r="AR355" s="249"/>
      <c r="AS355" s="249"/>
      <c r="AT355" s="249"/>
      <c r="AU355" s="249"/>
      <c r="AV355" s="249"/>
      <c r="AW355" s="249"/>
      <c r="AX355" s="249"/>
      <c r="AY355" s="249"/>
      <c r="AZ355" s="249"/>
      <c r="BA355" s="250"/>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row>
    <row r="356" spans="2:111" ht="9" customHeight="1">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row>
    <row r="357" spans="2:111" ht="9" customHeight="1">
      <c r="B357" s="257" t="s">
        <v>29</v>
      </c>
      <c r="C357" s="257"/>
      <c r="D357" s="257"/>
      <c r="E357" s="257"/>
      <c r="F357" s="257"/>
      <c r="G357" s="257"/>
      <c r="H357" s="257"/>
      <c r="I357" s="257"/>
      <c r="J357" s="257"/>
      <c r="K357" s="257"/>
      <c r="L357" s="257"/>
      <c r="M357" s="257"/>
      <c r="N357" s="257"/>
      <c r="O357" s="257"/>
      <c r="P357" s="257"/>
      <c r="Q357" s="257"/>
      <c r="R357" s="257"/>
      <c r="S357" s="257"/>
      <c r="T357" s="257"/>
      <c r="U357" s="257"/>
      <c r="V357" s="257"/>
      <c r="W357" s="257"/>
      <c r="X357" s="257"/>
      <c r="Y357" s="257"/>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7"/>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row>
    <row r="358" spans="2:111" ht="9" customHeight="1">
      <c r="B358" s="257"/>
      <c r="C358" s="257"/>
      <c r="D358" s="257"/>
      <c r="E358" s="257"/>
      <c r="F358" s="257"/>
      <c r="G358" s="257"/>
      <c r="H358" s="257"/>
      <c r="I358" s="257"/>
      <c r="J358" s="257"/>
      <c r="K358" s="257"/>
      <c r="L358" s="257"/>
      <c r="M358" s="257"/>
      <c r="N358" s="257"/>
      <c r="O358" s="257"/>
      <c r="P358" s="257"/>
      <c r="Q358" s="257"/>
      <c r="R358" s="257"/>
      <c r="S358" s="257"/>
      <c r="T358" s="257"/>
      <c r="U358" s="257"/>
      <c r="V358" s="257"/>
      <c r="W358" s="257"/>
      <c r="X358" s="257"/>
      <c r="Y358" s="257"/>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7"/>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row>
    <row r="359" spans="2:111" ht="9" customHeight="1">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row>
    <row r="360" spans="2:111" ht="9" customHeight="1">
      <c r="B360" s="258" t="s">
        <v>28</v>
      </c>
      <c r="C360" s="258"/>
      <c r="D360" s="258"/>
      <c r="E360" s="258"/>
      <c r="F360" s="258"/>
      <c r="G360" s="258"/>
      <c r="H360" s="258"/>
      <c r="I360" s="258"/>
      <c r="J360" s="258"/>
      <c r="K360" s="258"/>
      <c r="L360" s="258"/>
      <c r="M360" s="258"/>
      <c r="N360" s="7"/>
      <c r="O360" s="216" t="s">
        <v>509</v>
      </c>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51"/>
      <c r="BC360" s="82"/>
      <c r="BD360" s="82"/>
      <c r="BE360" s="82"/>
      <c r="BF360" s="82"/>
      <c r="BG360" s="82"/>
      <c r="BH360" s="214" t="s">
        <v>358</v>
      </c>
      <c r="BI360" s="214"/>
      <c r="BJ360" s="214"/>
      <c r="BK360" s="214"/>
      <c r="BL360" s="214"/>
      <c r="BM360" s="214"/>
      <c r="BN360" s="214"/>
      <c r="BO360" s="214"/>
      <c r="BP360" s="214"/>
      <c r="BQ360" s="214"/>
      <c r="BR360" s="214"/>
      <c r="BS360" s="214"/>
      <c r="BT360" s="214"/>
      <c r="BU360" s="214"/>
      <c r="BV360" s="214"/>
      <c r="BW360" s="214"/>
      <c r="BX360" s="214"/>
      <c r="BY360" s="214"/>
      <c r="BZ360" s="214"/>
      <c r="CA360" s="214"/>
      <c r="CB360" s="214"/>
      <c r="CC360" s="214"/>
      <c r="CD360" s="214"/>
      <c r="CE360" s="214"/>
      <c r="CF360" s="214"/>
      <c r="CG360" s="214"/>
      <c r="CH360" s="214"/>
      <c r="CI360" s="214"/>
      <c r="CJ360" s="214"/>
      <c r="CK360" s="214"/>
      <c r="CL360" s="214"/>
      <c r="CM360" s="214"/>
      <c r="CN360" s="214"/>
      <c r="CO360" s="214"/>
      <c r="CP360" s="214"/>
      <c r="CQ360" s="214"/>
      <c r="CR360" s="214"/>
      <c r="CS360" s="214"/>
      <c r="CT360" s="214"/>
      <c r="CU360" s="214"/>
      <c r="CV360" s="214"/>
      <c r="CW360" s="214"/>
      <c r="CX360" s="214"/>
      <c r="CY360" s="214"/>
      <c r="CZ360" s="214"/>
      <c r="DA360" s="214"/>
      <c r="DB360" s="214"/>
      <c r="DC360" s="214"/>
      <c r="DD360" s="214"/>
      <c r="DE360" s="214"/>
      <c r="DF360" s="214"/>
      <c r="DG360" s="82"/>
    </row>
    <row r="361" spans="2:111" ht="9" customHeight="1">
      <c r="B361" s="258"/>
      <c r="C361" s="258"/>
      <c r="D361" s="258"/>
      <c r="E361" s="258"/>
      <c r="F361" s="258"/>
      <c r="G361" s="258"/>
      <c r="H361" s="258"/>
      <c r="I361" s="258"/>
      <c r="J361" s="258"/>
      <c r="K361" s="258"/>
      <c r="L361" s="258"/>
      <c r="M361" s="258"/>
      <c r="N361" s="7"/>
      <c r="O361" s="219"/>
      <c r="P361" s="220"/>
      <c r="Q361" s="220"/>
      <c r="R361" s="220"/>
      <c r="S361" s="220"/>
      <c r="T361" s="220"/>
      <c r="U361" s="220"/>
      <c r="V361" s="220"/>
      <c r="W361" s="220"/>
      <c r="X361" s="220"/>
      <c r="Y361" s="220"/>
      <c r="Z361" s="220"/>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52"/>
      <c r="BC361" s="82"/>
      <c r="BD361" s="82"/>
      <c r="BE361" s="82"/>
      <c r="BF361" s="82"/>
      <c r="BG361" s="82"/>
      <c r="BH361" s="214"/>
      <c r="BI361" s="214"/>
      <c r="BJ361" s="214"/>
      <c r="BK361" s="214"/>
      <c r="BL361" s="214"/>
      <c r="BM361" s="214"/>
      <c r="BN361" s="214"/>
      <c r="BO361" s="214"/>
      <c r="BP361" s="214"/>
      <c r="BQ361" s="214"/>
      <c r="BR361" s="214"/>
      <c r="BS361" s="214"/>
      <c r="BT361" s="214"/>
      <c r="BU361" s="214"/>
      <c r="BV361" s="214"/>
      <c r="BW361" s="214"/>
      <c r="BX361" s="214"/>
      <c r="BY361" s="214"/>
      <c r="BZ361" s="214"/>
      <c r="CA361" s="214"/>
      <c r="CB361" s="214"/>
      <c r="CC361" s="214"/>
      <c r="CD361" s="214"/>
      <c r="CE361" s="214"/>
      <c r="CF361" s="214"/>
      <c r="CG361" s="214"/>
      <c r="CH361" s="214"/>
      <c r="CI361" s="214"/>
      <c r="CJ361" s="214"/>
      <c r="CK361" s="214"/>
      <c r="CL361" s="214"/>
      <c r="CM361" s="214"/>
      <c r="CN361" s="214"/>
      <c r="CO361" s="214"/>
      <c r="CP361" s="214"/>
      <c r="CQ361" s="214"/>
      <c r="CR361" s="214"/>
      <c r="CS361" s="214"/>
      <c r="CT361" s="214"/>
      <c r="CU361" s="214"/>
      <c r="CV361" s="214"/>
      <c r="CW361" s="214"/>
      <c r="CX361" s="214"/>
      <c r="CY361" s="214"/>
      <c r="CZ361" s="214"/>
      <c r="DA361" s="214"/>
      <c r="DB361" s="214"/>
      <c r="DC361" s="214"/>
      <c r="DD361" s="214"/>
      <c r="DE361" s="214"/>
      <c r="DF361" s="214"/>
      <c r="DG361" s="82"/>
    </row>
    <row r="362" spans="2:111" ht="9" customHeight="1">
      <c r="B362" s="8"/>
      <c r="C362" s="8"/>
      <c r="D362" s="8"/>
      <c r="E362" s="8"/>
      <c r="F362" s="8"/>
      <c r="G362" s="8"/>
      <c r="H362" s="8"/>
      <c r="I362" s="8"/>
      <c r="J362" s="8"/>
      <c r="K362" s="8"/>
      <c r="L362" s="8"/>
      <c r="M362" s="8"/>
      <c r="N362" s="7"/>
      <c r="O362" s="219"/>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52"/>
      <c r="BC362" s="82"/>
      <c r="BD362" s="82"/>
      <c r="BE362" s="82"/>
      <c r="BF362" s="82"/>
      <c r="BG362" s="82"/>
      <c r="BH362" s="214"/>
      <c r="BI362" s="214"/>
      <c r="BJ362" s="214"/>
      <c r="BK362" s="214"/>
      <c r="BL362" s="214"/>
      <c r="BM362" s="214"/>
      <c r="BN362" s="214"/>
      <c r="BO362" s="214"/>
      <c r="BP362" s="214"/>
      <c r="BQ362" s="214"/>
      <c r="BR362" s="214"/>
      <c r="BS362" s="214"/>
      <c r="BT362" s="214"/>
      <c r="BU362" s="214"/>
      <c r="BV362" s="214"/>
      <c r="BW362" s="214"/>
      <c r="BX362" s="214"/>
      <c r="BY362" s="214"/>
      <c r="BZ362" s="214"/>
      <c r="CA362" s="214"/>
      <c r="CB362" s="214"/>
      <c r="CC362" s="214"/>
      <c r="CD362" s="214"/>
      <c r="CE362" s="214"/>
      <c r="CF362" s="214"/>
      <c r="CG362" s="214"/>
      <c r="CH362" s="214"/>
      <c r="CI362" s="214"/>
      <c r="CJ362" s="214"/>
      <c r="CK362" s="214"/>
      <c r="CL362" s="214"/>
      <c r="CM362" s="214"/>
      <c r="CN362" s="214"/>
      <c r="CO362" s="214"/>
      <c r="CP362" s="214"/>
      <c r="CQ362" s="214"/>
      <c r="CR362" s="214"/>
      <c r="CS362" s="214"/>
      <c r="CT362" s="214"/>
      <c r="CU362" s="214"/>
      <c r="CV362" s="214"/>
      <c r="CW362" s="214"/>
      <c r="CX362" s="214"/>
      <c r="CY362" s="214"/>
      <c r="CZ362" s="214"/>
      <c r="DA362" s="214"/>
      <c r="DB362" s="214"/>
      <c r="DC362" s="214"/>
      <c r="DD362" s="214"/>
      <c r="DE362" s="214"/>
      <c r="DF362" s="214"/>
      <c r="DG362" s="82"/>
    </row>
    <row r="363" spans="2:111" ht="9" customHeight="1">
      <c r="B363" s="8"/>
      <c r="C363" s="8"/>
      <c r="D363" s="8"/>
      <c r="E363" s="8"/>
      <c r="F363" s="8"/>
      <c r="G363" s="8"/>
      <c r="H363" s="8"/>
      <c r="I363" s="8"/>
      <c r="J363" s="8"/>
      <c r="K363" s="8"/>
      <c r="L363" s="8"/>
      <c r="M363" s="8"/>
      <c r="N363" s="7"/>
      <c r="O363" s="219"/>
      <c r="P363" s="220"/>
      <c r="Q363" s="220"/>
      <c r="R363" s="220"/>
      <c r="S363" s="220"/>
      <c r="T363" s="220"/>
      <c r="U363" s="220"/>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52"/>
      <c r="BC363" s="82"/>
      <c r="BD363" s="82"/>
      <c r="BE363" s="82"/>
      <c r="BF363" s="82"/>
      <c r="BG363" s="82"/>
      <c r="BH363" s="214"/>
      <c r="BI363" s="214"/>
      <c r="BJ363" s="214"/>
      <c r="BK363" s="214"/>
      <c r="BL363" s="214"/>
      <c r="BM363" s="214"/>
      <c r="BN363" s="214"/>
      <c r="BO363" s="214"/>
      <c r="BP363" s="214"/>
      <c r="BQ363" s="214"/>
      <c r="BR363" s="214"/>
      <c r="BS363" s="214"/>
      <c r="BT363" s="214"/>
      <c r="BU363" s="214"/>
      <c r="BV363" s="214"/>
      <c r="BW363" s="214"/>
      <c r="BX363" s="214"/>
      <c r="BY363" s="214"/>
      <c r="BZ363" s="214"/>
      <c r="CA363" s="214"/>
      <c r="CB363" s="214"/>
      <c r="CC363" s="214"/>
      <c r="CD363" s="214"/>
      <c r="CE363" s="214"/>
      <c r="CF363" s="214"/>
      <c r="CG363" s="214"/>
      <c r="CH363" s="214"/>
      <c r="CI363" s="214"/>
      <c r="CJ363" s="214"/>
      <c r="CK363" s="214"/>
      <c r="CL363" s="214"/>
      <c r="CM363" s="214"/>
      <c r="CN363" s="214"/>
      <c r="CO363" s="214"/>
      <c r="CP363" s="214"/>
      <c r="CQ363" s="214"/>
      <c r="CR363" s="214"/>
      <c r="CS363" s="214"/>
      <c r="CT363" s="214"/>
      <c r="CU363" s="214"/>
      <c r="CV363" s="214"/>
      <c r="CW363" s="214"/>
      <c r="CX363" s="214"/>
      <c r="CY363" s="214"/>
      <c r="CZ363" s="214"/>
      <c r="DA363" s="214"/>
      <c r="DB363" s="214"/>
      <c r="DC363" s="214"/>
      <c r="DD363" s="214"/>
      <c r="DE363" s="214"/>
      <c r="DF363" s="214"/>
      <c r="DG363" s="82"/>
    </row>
    <row r="364" spans="2:111" ht="9" customHeight="1">
      <c r="B364" s="7"/>
      <c r="C364" s="7"/>
      <c r="D364" s="7"/>
      <c r="E364" s="7"/>
      <c r="F364" s="7"/>
      <c r="G364" s="7"/>
      <c r="H364" s="7"/>
      <c r="I364" s="7"/>
      <c r="J364" s="7"/>
      <c r="K364" s="7"/>
      <c r="L364" s="7"/>
      <c r="M364" s="7"/>
      <c r="N364" s="7"/>
      <c r="O364" s="219"/>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52"/>
      <c r="BC364" s="82"/>
      <c r="BD364" s="82"/>
      <c r="BE364" s="82"/>
      <c r="BF364" s="82"/>
      <c r="BG364" s="82"/>
      <c r="BH364" s="214"/>
      <c r="BI364" s="214"/>
      <c r="BJ364" s="214"/>
      <c r="BK364" s="214"/>
      <c r="BL364" s="214"/>
      <c r="BM364" s="214"/>
      <c r="BN364" s="214"/>
      <c r="BO364" s="214"/>
      <c r="BP364" s="214"/>
      <c r="BQ364" s="214"/>
      <c r="BR364" s="214"/>
      <c r="BS364" s="214"/>
      <c r="BT364" s="214"/>
      <c r="BU364" s="214"/>
      <c r="BV364" s="214"/>
      <c r="BW364" s="214"/>
      <c r="BX364" s="214"/>
      <c r="BY364" s="214"/>
      <c r="BZ364" s="214"/>
      <c r="CA364" s="214"/>
      <c r="CB364" s="214"/>
      <c r="CC364" s="214"/>
      <c r="CD364" s="214"/>
      <c r="CE364" s="214"/>
      <c r="CF364" s="214"/>
      <c r="CG364" s="214"/>
      <c r="CH364" s="214"/>
      <c r="CI364" s="214"/>
      <c r="CJ364" s="214"/>
      <c r="CK364" s="214"/>
      <c r="CL364" s="214"/>
      <c r="CM364" s="214"/>
      <c r="CN364" s="214"/>
      <c r="CO364" s="214"/>
      <c r="CP364" s="214"/>
      <c r="CQ364" s="214"/>
      <c r="CR364" s="214"/>
      <c r="CS364" s="214"/>
      <c r="CT364" s="214"/>
      <c r="CU364" s="214"/>
      <c r="CV364" s="214"/>
      <c r="CW364" s="214"/>
      <c r="CX364" s="214"/>
      <c r="CY364" s="214"/>
      <c r="CZ364" s="214"/>
      <c r="DA364" s="214"/>
      <c r="DB364" s="214"/>
      <c r="DC364" s="214"/>
      <c r="DD364" s="214"/>
      <c r="DE364" s="214"/>
      <c r="DF364" s="214"/>
      <c r="DG364" s="82"/>
    </row>
    <row r="365" spans="2:111" ht="9" customHeight="1">
      <c r="B365" s="7"/>
      <c r="C365" s="7"/>
      <c r="D365" s="7"/>
      <c r="E365" s="7"/>
      <c r="F365" s="7"/>
      <c r="G365" s="7"/>
      <c r="H365" s="7"/>
      <c r="I365" s="7"/>
      <c r="J365" s="7"/>
      <c r="K365" s="7"/>
      <c r="L365" s="7"/>
      <c r="M365" s="7"/>
      <c r="N365" s="7"/>
      <c r="O365" s="219"/>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52"/>
      <c r="BC365" s="82"/>
      <c r="BD365" s="82"/>
      <c r="BE365" s="82"/>
      <c r="BF365" s="82"/>
      <c r="BG365" s="82"/>
      <c r="BH365" s="214"/>
      <c r="BI365" s="214"/>
      <c r="BJ365" s="214"/>
      <c r="BK365" s="214"/>
      <c r="BL365" s="214"/>
      <c r="BM365" s="214"/>
      <c r="BN365" s="214"/>
      <c r="BO365" s="214"/>
      <c r="BP365" s="214"/>
      <c r="BQ365" s="214"/>
      <c r="BR365" s="214"/>
      <c r="BS365" s="214"/>
      <c r="BT365" s="214"/>
      <c r="BU365" s="214"/>
      <c r="BV365" s="214"/>
      <c r="BW365" s="214"/>
      <c r="BX365" s="214"/>
      <c r="BY365" s="214"/>
      <c r="BZ365" s="214"/>
      <c r="CA365" s="214"/>
      <c r="CB365" s="214"/>
      <c r="CC365" s="214"/>
      <c r="CD365" s="214"/>
      <c r="CE365" s="214"/>
      <c r="CF365" s="214"/>
      <c r="CG365" s="214"/>
      <c r="CH365" s="214"/>
      <c r="CI365" s="214"/>
      <c r="CJ365" s="214"/>
      <c r="CK365" s="214"/>
      <c r="CL365" s="214"/>
      <c r="CM365" s="214"/>
      <c r="CN365" s="214"/>
      <c r="CO365" s="214"/>
      <c r="CP365" s="214"/>
      <c r="CQ365" s="214"/>
      <c r="CR365" s="214"/>
      <c r="CS365" s="214"/>
      <c r="CT365" s="214"/>
      <c r="CU365" s="214"/>
      <c r="CV365" s="214"/>
      <c r="CW365" s="214"/>
      <c r="CX365" s="214"/>
      <c r="CY365" s="214"/>
      <c r="CZ365" s="214"/>
      <c r="DA365" s="214"/>
      <c r="DB365" s="214"/>
      <c r="DC365" s="214"/>
      <c r="DD365" s="214"/>
      <c r="DE365" s="214"/>
      <c r="DF365" s="214"/>
      <c r="DG365" s="82"/>
    </row>
    <row r="366" spans="2:111" ht="9" customHeight="1">
      <c r="O366" s="219"/>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52"/>
      <c r="BC366" s="82"/>
      <c r="BD366" s="82"/>
      <c r="BE366" s="82"/>
      <c r="BF366" s="82"/>
      <c r="BG366" s="82"/>
      <c r="BH366" s="214"/>
      <c r="BI366" s="214"/>
      <c r="BJ366" s="214"/>
      <c r="BK366" s="214"/>
      <c r="BL366" s="214"/>
      <c r="BM366" s="214"/>
      <c r="BN366" s="214"/>
      <c r="BO366" s="214"/>
      <c r="BP366" s="214"/>
      <c r="BQ366" s="214"/>
      <c r="BR366" s="214"/>
      <c r="BS366" s="214"/>
      <c r="BT366" s="214"/>
      <c r="BU366" s="214"/>
      <c r="BV366" s="214"/>
      <c r="BW366" s="214"/>
      <c r="BX366" s="214"/>
      <c r="BY366" s="214"/>
      <c r="BZ366" s="214"/>
      <c r="CA366" s="214"/>
      <c r="CB366" s="214"/>
      <c r="CC366" s="214"/>
      <c r="CD366" s="214"/>
      <c r="CE366" s="214"/>
      <c r="CF366" s="214"/>
      <c r="CG366" s="214"/>
      <c r="CH366" s="214"/>
      <c r="CI366" s="214"/>
      <c r="CJ366" s="214"/>
      <c r="CK366" s="214"/>
      <c r="CL366" s="214"/>
      <c r="CM366" s="214"/>
      <c r="CN366" s="214"/>
      <c r="CO366" s="214"/>
      <c r="CP366" s="214"/>
      <c r="CQ366" s="214"/>
      <c r="CR366" s="214"/>
      <c r="CS366" s="214"/>
      <c r="CT366" s="214"/>
      <c r="CU366" s="214"/>
      <c r="CV366" s="214"/>
      <c r="CW366" s="214"/>
      <c r="CX366" s="214"/>
      <c r="CY366" s="214"/>
      <c r="CZ366" s="214"/>
      <c r="DA366" s="214"/>
      <c r="DB366" s="214"/>
      <c r="DC366" s="214"/>
      <c r="DD366" s="214"/>
      <c r="DE366" s="214"/>
      <c r="DF366" s="214"/>
      <c r="DG366" s="82"/>
    </row>
    <row r="367" spans="2:111" ht="9" customHeight="1">
      <c r="O367" s="219"/>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5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row>
    <row r="368" spans="2:111" ht="9" customHeight="1">
      <c r="O368" s="219"/>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5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row>
    <row r="369" spans="15:111" ht="9" customHeight="1">
      <c r="O369" s="219"/>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5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row>
    <row r="370" spans="15:111" ht="9" customHeight="1">
      <c r="O370" s="219"/>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5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row>
    <row r="371" spans="15:111" ht="9" customHeight="1">
      <c r="O371" s="219"/>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5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row>
    <row r="372" spans="15:111" ht="9" customHeight="1">
      <c r="O372" s="219"/>
      <c r="P372" s="220"/>
      <c r="Q372" s="220"/>
      <c r="R372" s="220"/>
      <c r="S372" s="220"/>
      <c r="T372" s="220"/>
      <c r="U372" s="220"/>
      <c r="V372" s="220"/>
      <c r="W372" s="220"/>
      <c r="X372" s="220"/>
      <c r="Y372" s="220"/>
      <c r="Z372" s="220"/>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5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row>
    <row r="373" spans="15:111" ht="9" customHeight="1">
      <c r="O373" s="219"/>
      <c r="P373" s="220"/>
      <c r="Q373" s="220"/>
      <c r="R373" s="220"/>
      <c r="S373" s="220"/>
      <c r="T373" s="220"/>
      <c r="U373" s="220"/>
      <c r="V373" s="220"/>
      <c r="W373" s="220"/>
      <c r="X373" s="220"/>
      <c r="Y373" s="220"/>
      <c r="Z373" s="220"/>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5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row>
    <row r="374" spans="15:111" ht="9" customHeight="1">
      <c r="O374" s="219"/>
      <c r="P374" s="220"/>
      <c r="Q374" s="220"/>
      <c r="R374" s="220"/>
      <c r="S374" s="220"/>
      <c r="T374" s="220"/>
      <c r="U374" s="220"/>
      <c r="V374" s="220"/>
      <c r="W374" s="220"/>
      <c r="X374" s="220"/>
      <c r="Y374" s="220"/>
      <c r="Z374" s="220"/>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5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row>
    <row r="375" spans="15:111" ht="9" customHeight="1">
      <c r="O375" s="219"/>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5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row>
    <row r="376" spans="15:111" ht="9" customHeight="1">
      <c r="O376" s="219"/>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5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row>
    <row r="377" spans="15:111" ht="9" customHeight="1">
      <c r="O377" s="219"/>
      <c r="P377" s="220"/>
      <c r="Q377" s="220"/>
      <c r="R377" s="220"/>
      <c r="S377" s="220"/>
      <c r="T377" s="220"/>
      <c r="U377" s="220"/>
      <c r="V377" s="220"/>
      <c r="W377" s="220"/>
      <c r="X377" s="220"/>
      <c r="Y377" s="220"/>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5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row>
    <row r="378" spans="15:111" ht="9" customHeight="1">
      <c r="O378" s="219"/>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5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row>
    <row r="379" spans="15:111" ht="9" customHeight="1">
      <c r="O379" s="219"/>
      <c r="P379" s="220"/>
      <c r="Q379" s="220"/>
      <c r="R379" s="220"/>
      <c r="S379" s="220"/>
      <c r="T379" s="220"/>
      <c r="U379" s="220"/>
      <c r="V379" s="220"/>
      <c r="W379" s="220"/>
      <c r="X379" s="220"/>
      <c r="Y379" s="220"/>
      <c r="Z379" s="220"/>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52"/>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row>
    <row r="380" spans="15:111" ht="9" customHeight="1">
      <c r="O380" s="219"/>
      <c r="P380" s="220"/>
      <c r="Q380" s="220"/>
      <c r="R380" s="220"/>
      <c r="S380" s="220"/>
      <c r="T380" s="220"/>
      <c r="U380" s="220"/>
      <c r="V380" s="220"/>
      <c r="W380" s="220"/>
      <c r="X380" s="220"/>
      <c r="Y380" s="220"/>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52"/>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row>
    <row r="381" spans="15:111" ht="9" customHeight="1">
      <c r="O381" s="219"/>
      <c r="P381" s="220"/>
      <c r="Q381" s="220"/>
      <c r="R381" s="220"/>
      <c r="S381" s="220"/>
      <c r="T381" s="220"/>
      <c r="U381" s="220"/>
      <c r="V381" s="220"/>
      <c r="W381" s="220"/>
      <c r="X381" s="220"/>
      <c r="Y381" s="220"/>
      <c r="Z381" s="220"/>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5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row>
    <row r="382" spans="15:111" ht="9" customHeight="1">
      <c r="O382" s="219"/>
      <c r="P382" s="220"/>
      <c r="Q382" s="220"/>
      <c r="R382" s="220"/>
      <c r="S382" s="220"/>
      <c r="T382" s="220"/>
      <c r="U382" s="220"/>
      <c r="V382" s="220"/>
      <c r="W382" s="220"/>
      <c r="X382" s="220"/>
      <c r="Y382" s="220"/>
      <c r="Z382" s="220"/>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5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row>
    <row r="383" spans="15:111" ht="9" customHeight="1">
      <c r="O383" s="219"/>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5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row>
    <row r="384" spans="15:111" ht="9" customHeight="1">
      <c r="O384" s="219"/>
      <c r="P384" s="220"/>
      <c r="Q384" s="220"/>
      <c r="R384" s="220"/>
      <c r="S384" s="220"/>
      <c r="T384" s="220"/>
      <c r="U384" s="220"/>
      <c r="V384" s="220"/>
      <c r="W384" s="220"/>
      <c r="X384" s="220"/>
      <c r="Y384" s="220"/>
      <c r="Z384" s="220"/>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5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row>
    <row r="385" spans="2:111" ht="9" customHeight="1">
      <c r="O385" s="219"/>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52"/>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row>
    <row r="386" spans="2:111" ht="9" customHeight="1">
      <c r="O386" s="253"/>
      <c r="P386" s="254"/>
      <c r="Q386" s="254"/>
      <c r="R386" s="254"/>
      <c r="S386" s="254"/>
      <c r="T386" s="254"/>
      <c r="U386" s="254"/>
      <c r="V386" s="254"/>
      <c r="W386" s="254"/>
      <c r="X386" s="254"/>
      <c r="Y386" s="254"/>
      <c r="Z386" s="254"/>
      <c r="AA386" s="254"/>
      <c r="AB386" s="254"/>
      <c r="AC386" s="254"/>
      <c r="AD386" s="254"/>
      <c r="AE386" s="254"/>
      <c r="AF386" s="254"/>
      <c r="AG386" s="254"/>
      <c r="AH386" s="254"/>
      <c r="AI386" s="254"/>
      <c r="AJ386" s="254"/>
      <c r="AK386" s="254"/>
      <c r="AL386" s="254"/>
      <c r="AM386" s="254"/>
      <c r="AN386" s="254"/>
      <c r="AO386" s="254"/>
      <c r="AP386" s="254"/>
      <c r="AQ386" s="254"/>
      <c r="AR386" s="254"/>
      <c r="AS386" s="254"/>
      <c r="AT386" s="254"/>
      <c r="AU386" s="254"/>
      <c r="AV386" s="254"/>
      <c r="AW386" s="254"/>
      <c r="AX386" s="254"/>
      <c r="AY386" s="254"/>
      <c r="AZ386" s="254"/>
      <c r="BA386" s="255"/>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row>
    <row r="387" spans="2:111" ht="9" customHeight="1">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row>
    <row r="388" spans="2:111" ht="9" customHeight="1">
      <c r="B388" s="258" t="s">
        <v>30</v>
      </c>
      <c r="C388" s="258"/>
      <c r="D388" s="258"/>
      <c r="E388" s="258"/>
      <c r="F388" s="258"/>
      <c r="G388" s="258"/>
      <c r="H388" s="258"/>
      <c r="I388" s="258"/>
      <c r="J388" s="258"/>
      <c r="K388" s="258"/>
      <c r="L388" s="258"/>
      <c r="M388" s="258"/>
      <c r="N388" s="7"/>
      <c r="O388" s="216" t="s">
        <v>604</v>
      </c>
      <c r="P388" s="217"/>
      <c r="Q388" s="217"/>
      <c r="R388" s="217"/>
      <c r="S388" s="217"/>
      <c r="T388" s="217"/>
      <c r="U388" s="217"/>
      <c r="V388" s="217"/>
      <c r="W388" s="217"/>
      <c r="X388" s="217"/>
      <c r="Y388" s="217"/>
      <c r="Z388" s="217"/>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51"/>
      <c r="BC388" s="82"/>
      <c r="BD388" s="82"/>
      <c r="BE388" s="82"/>
      <c r="BF388" s="82"/>
      <c r="BG388" s="82"/>
      <c r="BH388" s="214" t="s">
        <v>359</v>
      </c>
      <c r="BI388" s="214"/>
      <c r="BJ388" s="214"/>
      <c r="BK388" s="214"/>
      <c r="BL388" s="214"/>
      <c r="BM388" s="214"/>
      <c r="BN388" s="214"/>
      <c r="BO388" s="214"/>
      <c r="BP388" s="214"/>
      <c r="BQ388" s="214"/>
      <c r="BR388" s="214"/>
      <c r="BS388" s="214"/>
      <c r="BT388" s="214"/>
      <c r="BU388" s="214"/>
      <c r="BV388" s="214"/>
      <c r="BW388" s="214"/>
      <c r="BX388" s="214"/>
      <c r="BY388" s="214"/>
      <c r="BZ388" s="214"/>
      <c r="CA388" s="214"/>
      <c r="CB388" s="214"/>
      <c r="CC388" s="214"/>
      <c r="CD388" s="214"/>
      <c r="CE388" s="214"/>
      <c r="CF388" s="214"/>
      <c r="CG388" s="214"/>
      <c r="CH388" s="214"/>
      <c r="CI388" s="214"/>
      <c r="CJ388" s="214"/>
      <c r="CK388" s="214"/>
      <c r="CL388" s="214"/>
      <c r="CM388" s="214"/>
      <c r="CN388" s="214"/>
      <c r="CO388" s="214"/>
      <c r="CP388" s="214"/>
      <c r="CQ388" s="214"/>
      <c r="CR388" s="214"/>
      <c r="CS388" s="214"/>
      <c r="CT388" s="214"/>
      <c r="CU388" s="214"/>
      <c r="CV388" s="214"/>
      <c r="CW388" s="214"/>
      <c r="CX388" s="214"/>
      <c r="CY388" s="214"/>
      <c r="CZ388" s="214"/>
      <c r="DA388" s="214"/>
      <c r="DB388" s="214"/>
      <c r="DC388" s="214"/>
      <c r="DD388" s="214"/>
      <c r="DE388" s="214"/>
      <c r="DF388" s="214"/>
      <c r="DG388" s="82"/>
    </row>
    <row r="389" spans="2:111" ht="9" customHeight="1">
      <c r="B389" s="258"/>
      <c r="C389" s="258"/>
      <c r="D389" s="258"/>
      <c r="E389" s="258"/>
      <c r="F389" s="258"/>
      <c r="G389" s="258"/>
      <c r="H389" s="258"/>
      <c r="I389" s="258"/>
      <c r="J389" s="258"/>
      <c r="K389" s="258"/>
      <c r="L389" s="258"/>
      <c r="M389" s="258"/>
      <c r="N389" s="7"/>
      <c r="O389" s="219"/>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52"/>
      <c r="BC389" s="82"/>
      <c r="BD389" s="82"/>
      <c r="BE389" s="82"/>
      <c r="BF389" s="82"/>
      <c r="BG389" s="82"/>
      <c r="BH389" s="214"/>
      <c r="BI389" s="214"/>
      <c r="BJ389" s="214"/>
      <c r="BK389" s="214"/>
      <c r="BL389" s="214"/>
      <c r="BM389" s="214"/>
      <c r="BN389" s="214"/>
      <c r="BO389" s="214"/>
      <c r="BP389" s="214"/>
      <c r="BQ389" s="214"/>
      <c r="BR389" s="214"/>
      <c r="BS389" s="214"/>
      <c r="BT389" s="214"/>
      <c r="BU389" s="214"/>
      <c r="BV389" s="214"/>
      <c r="BW389" s="214"/>
      <c r="BX389" s="214"/>
      <c r="BY389" s="214"/>
      <c r="BZ389" s="214"/>
      <c r="CA389" s="214"/>
      <c r="CB389" s="214"/>
      <c r="CC389" s="214"/>
      <c r="CD389" s="214"/>
      <c r="CE389" s="214"/>
      <c r="CF389" s="214"/>
      <c r="CG389" s="214"/>
      <c r="CH389" s="214"/>
      <c r="CI389" s="214"/>
      <c r="CJ389" s="214"/>
      <c r="CK389" s="214"/>
      <c r="CL389" s="214"/>
      <c r="CM389" s="214"/>
      <c r="CN389" s="214"/>
      <c r="CO389" s="214"/>
      <c r="CP389" s="214"/>
      <c r="CQ389" s="214"/>
      <c r="CR389" s="214"/>
      <c r="CS389" s="214"/>
      <c r="CT389" s="214"/>
      <c r="CU389" s="214"/>
      <c r="CV389" s="214"/>
      <c r="CW389" s="214"/>
      <c r="CX389" s="214"/>
      <c r="CY389" s="214"/>
      <c r="CZ389" s="214"/>
      <c r="DA389" s="214"/>
      <c r="DB389" s="214"/>
      <c r="DC389" s="214"/>
      <c r="DD389" s="214"/>
      <c r="DE389" s="214"/>
      <c r="DF389" s="214"/>
      <c r="DG389" s="82"/>
    </row>
    <row r="390" spans="2:111" ht="9" customHeight="1">
      <c r="B390" s="8"/>
      <c r="C390" s="8"/>
      <c r="D390" s="8"/>
      <c r="E390" s="8"/>
      <c r="F390" s="8"/>
      <c r="G390" s="8"/>
      <c r="H390" s="8"/>
      <c r="I390" s="8"/>
      <c r="J390" s="8"/>
      <c r="K390" s="8"/>
      <c r="L390" s="8"/>
      <c r="M390" s="8"/>
      <c r="N390" s="7"/>
      <c r="O390" s="219"/>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52"/>
      <c r="BC390" s="82"/>
      <c r="BD390" s="82"/>
      <c r="BE390" s="82"/>
      <c r="BF390" s="82"/>
      <c r="BG390" s="82"/>
      <c r="BH390" s="214"/>
      <c r="BI390" s="214"/>
      <c r="BJ390" s="214"/>
      <c r="BK390" s="214"/>
      <c r="BL390" s="214"/>
      <c r="BM390" s="214"/>
      <c r="BN390" s="214"/>
      <c r="BO390" s="214"/>
      <c r="BP390" s="214"/>
      <c r="BQ390" s="214"/>
      <c r="BR390" s="214"/>
      <c r="BS390" s="214"/>
      <c r="BT390" s="214"/>
      <c r="BU390" s="214"/>
      <c r="BV390" s="214"/>
      <c r="BW390" s="214"/>
      <c r="BX390" s="214"/>
      <c r="BY390" s="214"/>
      <c r="BZ390" s="214"/>
      <c r="CA390" s="214"/>
      <c r="CB390" s="214"/>
      <c r="CC390" s="214"/>
      <c r="CD390" s="214"/>
      <c r="CE390" s="214"/>
      <c r="CF390" s="214"/>
      <c r="CG390" s="214"/>
      <c r="CH390" s="214"/>
      <c r="CI390" s="214"/>
      <c r="CJ390" s="214"/>
      <c r="CK390" s="214"/>
      <c r="CL390" s="214"/>
      <c r="CM390" s="214"/>
      <c r="CN390" s="214"/>
      <c r="CO390" s="214"/>
      <c r="CP390" s="214"/>
      <c r="CQ390" s="214"/>
      <c r="CR390" s="214"/>
      <c r="CS390" s="214"/>
      <c r="CT390" s="214"/>
      <c r="CU390" s="214"/>
      <c r="CV390" s="214"/>
      <c r="CW390" s="214"/>
      <c r="CX390" s="214"/>
      <c r="CY390" s="214"/>
      <c r="CZ390" s="214"/>
      <c r="DA390" s="214"/>
      <c r="DB390" s="214"/>
      <c r="DC390" s="214"/>
      <c r="DD390" s="214"/>
      <c r="DE390" s="214"/>
      <c r="DF390" s="214"/>
      <c r="DG390" s="82"/>
    </row>
    <row r="391" spans="2:111" ht="9" customHeight="1">
      <c r="B391" s="8"/>
      <c r="C391" s="8"/>
      <c r="D391" s="8"/>
      <c r="E391" s="8"/>
      <c r="F391" s="8"/>
      <c r="G391" s="8"/>
      <c r="H391" s="8"/>
      <c r="I391" s="8"/>
      <c r="J391" s="8"/>
      <c r="K391" s="8"/>
      <c r="L391" s="8"/>
      <c r="M391" s="8"/>
      <c r="N391" s="7"/>
      <c r="O391" s="219"/>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52"/>
      <c r="BC391" s="82"/>
      <c r="BD391" s="82"/>
      <c r="BE391" s="82"/>
      <c r="BF391" s="82"/>
      <c r="BG391" s="82"/>
      <c r="BH391" s="214"/>
      <c r="BI391" s="214"/>
      <c r="BJ391" s="214"/>
      <c r="BK391" s="214"/>
      <c r="BL391" s="214"/>
      <c r="BM391" s="214"/>
      <c r="BN391" s="214"/>
      <c r="BO391" s="214"/>
      <c r="BP391" s="214"/>
      <c r="BQ391" s="214"/>
      <c r="BR391" s="214"/>
      <c r="BS391" s="214"/>
      <c r="BT391" s="214"/>
      <c r="BU391" s="214"/>
      <c r="BV391" s="214"/>
      <c r="BW391" s="214"/>
      <c r="BX391" s="214"/>
      <c r="BY391" s="214"/>
      <c r="BZ391" s="214"/>
      <c r="CA391" s="214"/>
      <c r="CB391" s="214"/>
      <c r="CC391" s="214"/>
      <c r="CD391" s="214"/>
      <c r="CE391" s="214"/>
      <c r="CF391" s="214"/>
      <c r="CG391" s="214"/>
      <c r="CH391" s="214"/>
      <c r="CI391" s="214"/>
      <c r="CJ391" s="214"/>
      <c r="CK391" s="214"/>
      <c r="CL391" s="214"/>
      <c r="CM391" s="214"/>
      <c r="CN391" s="214"/>
      <c r="CO391" s="214"/>
      <c r="CP391" s="214"/>
      <c r="CQ391" s="214"/>
      <c r="CR391" s="214"/>
      <c r="CS391" s="214"/>
      <c r="CT391" s="214"/>
      <c r="CU391" s="214"/>
      <c r="CV391" s="214"/>
      <c r="CW391" s="214"/>
      <c r="CX391" s="214"/>
      <c r="CY391" s="214"/>
      <c r="CZ391" s="214"/>
      <c r="DA391" s="214"/>
      <c r="DB391" s="214"/>
      <c r="DC391" s="214"/>
      <c r="DD391" s="214"/>
      <c r="DE391" s="214"/>
      <c r="DF391" s="214"/>
      <c r="DG391" s="82"/>
    </row>
    <row r="392" spans="2:111" ht="9" customHeight="1">
      <c r="B392" s="7"/>
      <c r="C392" s="7"/>
      <c r="D392" s="7"/>
      <c r="E392" s="7"/>
      <c r="F392" s="7"/>
      <c r="G392" s="7"/>
      <c r="H392" s="7"/>
      <c r="I392" s="7"/>
      <c r="J392" s="7"/>
      <c r="K392" s="7"/>
      <c r="L392" s="7"/>
      <c r="M392" s="7"/>
      <c r="N392" s="7"/>
      <c r="O392" s="219"/>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52"/>
      <c r="BC392" s="82"/>
      <c r="BD392" s="82"/>
      <c r="BE392" s="82"/>
      <c r="BF392" s="82"/>
      <c r="BG392" s="82"/>
      <c r="BH392" s="214"/>
      <c r="BI392" s="214"/>
      <c r="BJ392" s="214"/>
      <c r="BK392" s="214"/>
      <c r="BL392" s="214"/>
      <c r="BM392" s="214"/>
      <c r="BN392" s="214"/>
      <c r="BO392" s="214"/>
      <c r="BP392" s="214"/>
      <c r="BQ392" s="214"/>
      <c r="BR392" s="214"/>
      <c r="BS392" s="214"/>
      <c r="BT392" s="214"/>
      <c r="BU392" s="214"/>
      <c r="BV392" s="214"/>
      <c r="BW392" s="214"/>
      <c r="BX392" s="214"/>
      <c r="BY392" s="214"/>
      <c r="BZ392" s="214"/>
      <c r="CA392" s="214"/>
      <c r="CB392" s="214"/>
      <c r="CC392" s="214"/>
      <c r="CD392" s="214"/>
      <c r="CE392" s="214"/>
      <c r="CF392" s="214"/>
      <c r="CG392" s="214"/>
      <c r="CH392" s="214"/>
      <c r="CI392" s="214"/>
      <c r="CJ392" s="214"/>
      <c r="CK392" s="214"/>
      <c r="CL392" s="214"/>
      <c r="CM392" s="214"/>
      <c r="CN392" s="214"/>
      <c r="CO392" s="214"/>
      <c r="CP392" s="214"/>
      <c r="CQ392" s="214"/>
      <c r="CR392" s="214"/>
      <c r="CS392" s="214"/>
      <c r="CT392" s="214"/>
      <c r="CU392" s="214"/>
      <c r="CV392" s="214"/>
      <c r="CW392" s="214"/>
      <c r="CX392" s="214"/>
      <c r="CY392" s="214"/>
      <c r="CZ392" s="214"/>
      <c r="DA392" s="214"/>
      <c r="DB392" s="214"/>
      <c r="DC392" s="214"/>
      <c r="DD392" s="214"/>
      <c r="DE392" s="214"/>
      <c r="DF392" s="214"/>
      <c r="DG392" s="82"/>
    </row>
    <row r="393" spans="2:111" ht="9" customHeight="1">
      <c r="B393" s="7"/>
      <c r="C393" s="7"/>
      <c r="D393" s="7"/>
      <c r="E393" s="7"/>
      <c r="F393" s="7"/>
      <c r="G393" s="7"/>
      <c r="H393" s="7"/>
      <c r="I393" s="7"/>
      <c r="J393" s="7"/>
      <c r="K393" s="7"/>
      <c r="L393" s="7"/>
      <c r="M393" s="7"/>
      <c r="N393" s="7"/>
      <c r="O393" s="219"/>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52"/>
      <c r="BC393" s="82"/>
      <c r="BD393" s="82"/>
      <c r="BE393" s="82"/>
      <c r="BF393" s="82"/>
      <c r="BG393" s="82"/>
      <c r="BH393" s="214"/>
      <c r="BI393" s="214"/>
      <c r="BJ393" s="214"/>
      <c r="BK393" s="214"/>
      <c r="BL393" s="214"/>
      <c r="BM393" s="214"/>
      <c r="BN393" s="214"/>
      <c r="BO393" s="214"/>
      <c r="BP393" s="214"/>
      <c r="BQ393" s="214"/>
      <c r="BR393" s="214"/>
      <c r="BS393" s="214"/>
      <c r="BT393" s="214"/>
      <c r="BU393" s="214"/>
      <c r="BV393" s="214"/>
      <c r="BW393" s="214"/>
      <c r="BX393" s="214"/>
      <c r="BY393" s="214"/>
      <c r="BZ393" s="214"/>
      <c r="CA393" s="214"/>
      <c r="CB393" s="214"/>
      <c r="CC393" s="214"/>
      <c r="CD393" s="214"/>
      <c r="CE393" s="214"/>
      <c r="CF393" s="214"/>
      <c r="CG393" s="214"/>
      <c r="CH393" s="214"/>
      <c r="CI393" s="214"/>
      <c r="CJ393" s="214"/>
      <c r="CK393" s="214"/>
      <c r="CL393" s="214"/>
      <c r="CM393" s="214"/>
      <c r="CN393" s="214"/>
      <c r="CO393" s="214"/>
      <c r="CP393" s="214"/>
      <c r="CQ393" s="214"/>
      <c r="CR393" s="214"/>
      <c r="CS393" s="214"/>
      <c r="CT393" s="214"/>
      <c r="CU393" s="214"/>
      <c r="CV393" s="214"/>
      <c r="CW393" s="214"/>
      <c r="CX393" s="214"/>
      <c r="CY393" s="214"/>
      <c r="CZ393" s="214"/>
      <c r="DA393" s="214"/>
      <c r="DB393" s="214"/>
      <c r="DC393" s="214"/>
      <c r="DD393" s="214"/>
      <c r="DE393" s="214"/>
      <c r="DF393" s="214"/>
      <c r="DG393" s="82"/>
    </row>
    <row r="394" spans="2:111" ht="9" customHeight="1">
      <c r="O394" s="219"/>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52"/>
      <c r="BC394" s="82"/>
      <c r="BD394" s="82"/>
      <c r="BE394" s="82"/>
      <c r="BF394" s="82"/>
      <c r="BG394" s="82"/>
      <c r="BH394" s="214"/>
      <c r="BI394" s="214"/>
      <c r="BJ394" s="214"/>
      <c r="BK394" s="214"/>
      <c r="BL394" s="214"/>
      <c r="BM394" s="214"/>
      <c r="BN394" s="214"/>
      <c r="BO394" s="214"/>
      <c r="BP394" s="214"/>
      <c r="BQ394" s="214"/>
      <c r="BR394" s="214"/>
      <c r="BS394" s="214"/>
      <c r="BT394" s="214"/>
      <c r="BU394" s="214"/>
      <c r="BV394" s="214"/>
      <c r="BW394" s="214"/>
      <c r="BX394" s="214"/>
      <c r="BY394" s="214"/>
      <c r="BZ394" s="214"/>
      <c r="CA394" s="214"/>
      <c r="CB394" s="214"/>
      <c r="CC394" s="214"/>
      <c r="CD394" s="214"/>
      <c r="CE394" s="214"/>
      <c r="CF394" s="214"/>
      <c r="CG394" s="214"/>
      <c r="CH394" s="214"/>
      <c r="CI394" s="214"/>
      <c r="CJ394" s="214"/>
      <c r="CK394" s="214"/>
      <c r="CL394" s="214"/>
      <c r="CM394" s="214"/>
      <c r="CN394" s="214"/>
      <c r="CO394" s="214"/>
      <c r="CP394" s="214"/>
      <c r="CQ394" s="214"/>
      <c r="CR394" s="214"/>
      <c r="CS394" s="214"/>
      <c r="CT394" s="214"/>
      <c r="CU394" s="214"/>
      <c r="CV394" s="214"/>
      <c r="CW394" s="214"/>
      <c r="CX394" s="214"/>
      <c r="CY394" s="214"/>
      <c r="CZ394" s="214"/>
      <c r="DA394" s="214"/>
      <c r="DB394" s="214"/>
      <c r="DC394" s="214"/>
      <c r="DD394" s="214"/>
      <c r="DE394" s="214"/>
      <c r="DF394" s="214"/>
      <c r="DG394" s="82"/>
    </row>
    <row r="395" spans="2:111" ht="9" customHeight="1">
      <c r="O395" s="219"/>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52"/>
      <c r="BC395" s="82"/>
      <c r="BD395" s="82"/>
      <c r="BE395" s="82"/>
      <c r="BF395" s="82"/>
      <c r="BG395" s="82"/>
      <c r="BH395" s="214"/>
      <c r="BI395" s="214"/>
      <c r="BJ395" s="214"/>
      <c r="BK395" s="214"/>
      <c r="BL395" s="214"/>
      <c r="BM395" s="214"/>
      <c r="BN395" s="214"/>
      <c r="BO395" s="214"/>
      <c r="BP395" s="214"/>
      <c r="BQ395" s="214"/>
      <c r="BR395" s="214"/>
      <c r="BS395" s="214"/>
      <c r="BT395" s="214"/>
      <c r="BU395" s="214"/>
      <c r="BV395" s="214"/>
      <c r="BW395" s="214"/>
      <c r="BX395" s="214"/>
      <c r="BY395" s="214"/>
      <c r="BZ395" s="214"/>
      <c r="CA395" s="214"/>
      <c r="CB395" s="214"/>
      <c r="CC395" s="214"/>
      <c r="CD395" s="214"/>
      <c r="CE395" s="214"/>
      <c r="CF395" s="214"/>
      <c r="CG395" s="214"/>
      <c r="CH395" s="214"/>
      <c r="CI395" s="214"/>
      <c r="CJ395" s="214"/>
      <c r="CK395" s="214"/>
      <c r="CL395" s="214"/>
      <c r="CM395" s="214"/>
      <c r="CN395" s="214"/>
      <c r="CO395" s="214"/>
      <c r="CP395" s="214"/>
      <c r="CQ395" s="214"/>
      <c r="CR395" s="214"/>
      <c r="CS395" s="214"/>
      <c r="CT395" s="214"/>
      <c r="CU395" s="214"/>
      <c r="CV395" s="214"/>
      <c r="CW395" s="214"/>
      <c r="CX395" s="214"/>
      <c r="CY395" s="214"/>
      <c r="CZ395" s="214"/>
      <c r="DA395" s="214"/>
      <c r="DB395" s="214"/>
      <c r="DC395" s="214"/>
      <c r="DD395" s="214"/>
      <c r="DE395" s="214"/>
      <c r="DF395" s="214"/>
      <c r="DG395" s="82"/>
    </row>
    <row r="396" spans="2:111" ht="9" customHeight="1">
      <c r="O396" s="219"/>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52"/>
      <c r="BC396" s="82"/>
      <c r="BD396" s="82"/>
      <c r="BE396" s="82"/>
      <c r="BF396" s="82"/>
      <c r="BG396" s="82"/>
      <c r="BH396" s="214"/>
      <c r="BI396" s="214"/>
      <c r="BJ396" s="214"/>
      <c r="BK396" s="214"/>
      <c r="BL396" s="214"/>
      <c r="BM396" s="214"/>
      <c r="BN396" s="214"/>
      <c r="BO396" s="214"/>
      <c r="BP396" s="214"/>
      <c r="BQ396" s="214"/>
      <c r="BR396" s="214"/>
      <c r="BS396" s="214"/>
      <c r="BT396" s="214"/>
      <c r="BU396" s="214"/>
      <c r="BV396" s="214"/>
      <c r="BW396" s="214"/>
      <c r="BX396" s="214"/>
      <c r="BY396" s="214"/>
      <c r="BZ396" s="214"/>
      <c r="CA396" s="214"/>
      <c r="CB396" s="214"/>
      <c r="CC396" s="214"/>
      <c r="CD396" s="214"/>
      <c r="CE396" s="214"/>
      <c r="CF396" s="214"/>
      <c r="CG396" s="214"/>
      <c r="CH396" s="214"/>
      <c r="CI396" s="214"/>
      <c r="CJ396" s="214"/>
      <c r="CK396" s="214"/>
      <c r="CL396" s="214"/>
      <c r="CM396" s="214"/>
      <c r="CN396" s="214"/>
      <c r="CO396" s="214"/>
      <c r="CP396" s="214"/>
      <c r="CQ396" s="214"/>
      <c r="CR396" s="214"/>
      <c r="CS396" s="214"/>
      <c r="CT396" s="214"/>
      <c r="CU396" s="214"/>
      <c r="CV396" s="214"/>
      <c r="CW396" s="214"/>
      <c r="CX396" s="214"/>
      <c r="CY396" s="214"/>
      <c r="CZ396" s="214"/>
      <c r="DA396" s="214"/>
      <c r="DB396" s="214"/>
      <c r="DC396" s="214"/>
      <c r="DD396" s="214"/>
      <c r="DE396" s="214"/>
      <c r="DF396" s="214"/>
      <c r="DG396" s="82"/>
    </row>
    <row r="397" spans="2:111" ht="9" customHeight="1">
      <c r="O397" s="219"/>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52"/>
      <c r="BC397" s="82"/>
      <c r="BD397" s="82"/>
      <c r="BE397" s="82"/>
      <c r="BF397" s="82"/>
      <c r="BG397" s="82"/>
      <c r="BH397" s="214"/>
      <c r="BI397" s="214"/>
      <c r="BJ397" s="214"/>
      <c r="BK397" s="214"/>
      <c r="BL397" s="214"/>
      <c r="BM397" s="214"/>
      <c r="BN397" s="214"/>
      <c r="BO397" s="214"/>
      <c r="BP397" s="214"/>
      <c r="BQ397" s="214"/>
      <c r="BR397" s="214"/>
      <c r="BS397" s="214"/>
      <c r="BT397" s="214"/>
      <c r="BU397" s="214"/>
      <c r="BV397" s="214"/>
      <c r="BW397" s="214"/>
      <c r="BX397" s="214"/>
      <c r="BY397" s="214"/>
      <c r="BZ397" s="214"/>
      <c r="CA397" s="214"/>
      <c r="CB397" s="214"/>
      <c r="CC397" s="214"/>
      <c r="CD397" s="214"/>
      <c r="CE397" s="214"/>
      <c r="CF397" s="214"/>
      <c r="CG397" s="214"/>
      <c r="CH397" s="214"/>
      <c r="CI397" s="214"/>
      <c r="CJ397" s="214"/>
      <c r="CK397" s="214"/>
      <c r="CL397" s="214"/>
      <c r="CM397" s="214"/>
      <c r="CN397" s="214"/>
      <c r="CO397" s="214"/>
      <c r="CP397" s="214"/>
      <c r="CQ397" s="214"/>
      <c r="CR397" s="214"/>
      <c r="CS397" s="214"/>
      <c r="CT397" s="214"/>
      <c r="CU397" s="214"/>
      <c r="CV397" s="214"/>
      <c r="CW397" s="214"/>
      <c r="CX397" s="214"/>
      <c r="CY397" s="214"/>
      <c r="CZ397" s="214"/>
      <c r="DA397" s="214"/>
      <c r="DB397" s="214"/>
      <c r="DC397" s="214"/>
      <c r="DD397" s="214"/>
      <c r="DE397" s="214"/>
      <c r="DF397" s="214"/>
      <c r="DG397" s="82"/>
    </row>
    <row r="398" spans="2:111" ht="9" customHeight="1">
      <c r="O398" s="219"/>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52"/>
      <c r="BC398" s="82"/>
      <c r="BD398" s="82"/>
      <c r="BE398" s="82"/>
      <c r="BF398" s="82"/>
      <c r="BG398" s="82"/>
      <c r="BH398" s="82"/>
      <c r="BI398" s="82"/>
      <c r="BJ398" s="82"/>
      <c r="BK398" s="82"/>
      <c r="BL398" s="82"/>
      <c r="BM398" s="82"/>
      <c r="BN398" s="82"/>
      <c r="BO398" s="82"/>
      <c r="BP398" s="82"/>
      <c r="BQ398" s="82"/>
      <c r="BR398" s="82"/>
      <c r="BS398" s="82"/>
      <c r="BT398" s="82"/>
      <c r="BU398" s="8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row>
    <row r="399" spans="2:111" ht="9" customHeight="1">
      <c r="O399" s="219"/>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52"/>
      <c r="BC399" s="82"/>
      <c r="BD399" s="82"/>
      <c r="BE399" s="82"/>
      <c r="BF399" s="82"/>
      <c r="BG399" s="82"/>
      <c r="BH399" s="82"/>
      <c r="BI399" s="82"/>
      <c r="BJ399" s="82"/>
      <c r="BK399" s="82"/>
      <c r="BL399" s="82"/>
      <c r="BM399" s="82"/>
      <c r="BN399" s="82"/>
      <c r="BO399" s="82"/>
      <c r="BP399" s="82"/>
      <c r="BQ399" s="82"/>
      <c r="BR399" s="82"/>
      <c r="BS399" s="82"/>
      <c r="BT399" s="82"/>
      <c r="BU399" s="8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row>
    <row r="400" spans="2:111" ht="9" customHeight="1">
      <c r="O400" s="219"/>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5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row>
    <row r="401" spans="2:111" ht="9" customHeight="1">
      <c r="B401" s="7"/>
      <c r="C401" s="7"/>
      <c r="D401" s="7"/>
      <c r="E401" s="7"/>
      <c r="F401" s="7"/>
      <c r="G401" s="7"/>
      <c r="H401" s="7"/>
      <c r="I401" s="7"/>
      <c r="J401" s="7"/>
      <c r="K401" s="7"/>
      <c r="L401" s="7"/>
      <c r="M401" s="7"/>
      <c r="N401" s="7"/>
      <c r="O401" s="219"/>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5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row>
    <row r="402" spans="2:111" ht="9" customHeight="1">
      <c r="O402" s="219"/>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5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row>
    <row r="403" spans="2:111" ht="9" customHeight="1">
      <c r="O403" s="219"/>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52"/>
      <c r="BC403" s="82"/>
      <c r="BD403" s="82"/>
      <c r="BE403" s="82"/>
      <c r="BF403" s="82"/>
      <c r="BG403" s="82"/>
      <c r="BH403" s="82"/>
      <c r="BI403" s="82"/>
      <c r="BJ403" s="82"/>
      <c r="BK403" s="82"/>
      <c r="BL403" s="82"/>
      <c r="BM403" s="82"/>
      <c r="BN403" s="82"/>
      <c r="BO403" s="82"/>
      <c r="BP403" s="82"/>
      <c r="BQ403" s="82"/>
      <c r="BR403" s="82"/>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row>
    <row r="404" spans="2:111" ht="9" customHeight="1">
      <c r="O404" s="219"/>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5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row>
    <row r="405" spans="2:111" ht="9" customHeight="1">
      <c r="O405" s="219"/>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52"/>
      <c r="BC405" s="82"/>
      <c r="BD405" s="82"/>
      <c r="BE405" s="82"/>
      <c r="BF405" s="82"/>
      <c r="BG405" s="82"/>
      <c r="BH405" s="82"/>
      <c r="BI405" s="82"/>
      <c r="BJ405" s="82"/>
      <c r="BK405" s="82"/>
      <c r="BL405" s="82"/>
      <c r="BM405" s="82"/>
      <c r="BN405" s="82"/>
      <c r="BO405" s="82"/>
      <c r="BP405" s="82"/>
      <c r="BQ405" s="82"/>
      <c r="BR405" s="82"/>
      <c r="BS405" s="82"/>
      <c r="BT405" s="82"/>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row>
    <row r="406" spans="2:111" ht="9" customHeight="1">
      <c r="O406" s="219"/>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52"/>
      <c r="BC406" s="82"/>
      <c r="BD406" s="82"/>
      <c r="BE406" s="82"/>
      <c r="BF406" s="82"/>
      <c r="BG406" s="82"/>
      <c r="BH406" s="82"/>
      <c r="BI406" s="82"/>
      <c r="BJ406" s="82"/>
      <c r="BK406" s="82"/>
      <c r="BL406" s="82"/>
      <c r="BM406" s="82"/>
      <c r="BN406" s="82"/>
      <c r="BO406" s="82"/>
      <c r="BP406" s="82"/>
      <c r="BQ406" s="82"/>
      <c r="BR406" s="82"/>
      <c r="BS406" s="82"/>
      <c r="BT406" s="82"/>
      <c r="BU406" s="82"/>
      <c r="BV406" s="82"/>
      <c r="BW406" s="82"/>
      <c r="BX406" s="82"/>
      <c r="BY406" s="82"/>
      <c r="BZ406" s="82"/>
      <c r="CA406" s="82"/>
      <c r="CB406" s="82"/>
      <c r="CC406" s="82"/>
      <c r="CD406" s="82"/>
      <c r="CE406" s="82"/>
      <c r="CF406" s="82"/>
      <c r="CG406" s="82"/>
      <c r="CH406" s="82"/>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row>
    <row r="407" spans="2:111" ht="9" customHeight="1">
      <c r="O407" s="219"/>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52"/>
      <c r="BC407" s="82"/>
      <c r="BD407" s="82"/>
      <c r="BE407" s="82"/>
      <c r="BF407" s="82"/>
      <c r="BG407" s="82"/>
      <c r="BH407" s="82"/>
      <c r="BI407" s="82"/>
      <c r="BJ407" s="82"/>
      <c r="BK407" s="82"/>
      <c r="BL407" s="82"/>
      <c r="BM407" s="82"/>
      <c r="BN407" s="82"/>
      <c r="BO407" s="82"/>
      <c r="BP407" s="82"/>
      <c r="BQ407" s="82"/>
      <c r="BR407" s="82"/>
      <c r="BS407" s="82"/>
      <c r="BT407" s="82"/>
      <c r="BU407" s="82"/>
      <c r="BV407" s="82"/>
      <c r="BW407" s="82"/>
      <c r="BX407" s="82"/>
      <c r="BY407" s="82"/>
      <c r="BZ407" s="82"/>
      <c r="CA407" s="82"/>
      <c r="CB407" s="82"/>
      <c r="CC407" s="82"/>
      <c r="CD407" s="82"/>
      <c r="CE407" s="82"/>
      <c r="CF407" s="82"/>
      <c r="CG407" s="82"/>
      <c r="CH407" s="82"/>
      <c r="CI407" s="82"/>
      <c r="CJ407" s="82"/>
      <c r="CK407" s="82"/>
      <c r="CL407" s="82"/>
      <c r="CM407" s="82"/>
      <c r="CN407" s="82"/>
      <c r="CO407" s="82"/>
      <c r="CP407" s="82"/>
      <c r="CQ407" s="82"/>
      <c r="CR407" s="82"/>
      <c r="CS407" s="82"/>
      <c r="CT407" s="82"/>
      <c r="CU407" s="82"/>
      <c r="CV407" s="82"/>
      <c r="CW407" s="82"/>
      <c r="CX407" s="82"/>
      <c r="CY407" s="82"/>
      <c r="CZ407" s="82"/>
      <c r="DA407" s="82"/>
      <c r="DB407" s="82"/>
      <c r="DC407" s="82"/>
      <c r="DD407" s="82"/>
      <c r="DE407" s="82"/>
      <c r="DF407" s="82"/>
      <c r="DG407" s="82"/>
    </row>
    <row r="408" spans="2:111" ht="9" customHeight="1">
      <c r="O408" s="219"/>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52"/>
      <c r="BC408" s="82"/>
      <c r="BD408" s="82"/>
      <c r="BE408" s="82"/>
      <c r="BF408" s="82"/>
      <c r="BG408" s="82"/>
      <c r="BH408" s="82"/>
      <c r="BI408" s="82"/>
      <c r="BJ408" s="82"/>
      <c r="BK408" s="82"/>
      <c r="BL408" s="82"/>
      <c r="BM408" s="82"/>
      <c r="BN408" s="82"/>
      <c r="BO408" s="82"/>
      <c r="BP408" s="82"/>
      <c r="BQ408" s="82"/>
      <c r="BR408" s="82"/>
      <c r="BS408" s="82"/>
      <c r="BT408" s="82"/>
      <c r="BU408" s="82"/>
      <c r="BV408" s="82"/>
      <c r="BW408" s="82"/>
      <c r="BX408" s="82"/>
      <c r="BY408" s="82"/>
      <c r="BZ408" s="82"/>
      <c r="CA408" s="82"/>
      <c r="CB408" s="82"/>
      <c r="CC408" s="82"/>
      <c r="CD408" s="82"/>
      <c r="CE408" s="82"/>
      <c r="CF408" s="82"/>
      <c r="CG408" s="82"/>
      <c r="CH408" s="82"/>
      <c r="CI408" s="82"/>
      <c r="CJ408" s="82"/>
      <c r="CK408" s="82"/>
      <c r="CL408" s="82"/>
      <c r="CM408" s="82"/>
      <c r="CN408" s="82"/>
      <c r="CO408" s="82"/>
      <c r="CP408" s="82"/>
      <c r="CQ408" s="82"/>
      <c r="CR408" s="82"/>
      <c r="CS408" s="82"/>
      <c r="CT408" s="82"/>
      <c r="CU408" s="82"/>
      <c r="CV408" s="82"/>
      <c r="CW408" s="82"/>
      <c r="CX408" s="82"/>
      <c r="CY408" s="82"/>
      <c r="CZ408" s="82"/>
      <c r="DA408" s="82"/>
      <c r="DB408" s="82"/>
      <c r="DC408" s="82"/>
      <c r="DD408" s="82"/>
      <c r="DE408" s="82"/>
      <c r="DF408" s="82"/>
      <c r="DG408" s="82"/>
    </row>
    <row r="409" spans="2:111" ht="9" customHeight="1">
      <c r="O409" s="219"/>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52"/>
      <c r="BC409" s="82"/>
      <c r="BD409" s="82"/>
      <c r="BE409" s="82"/>
      <c r="BF409" s="82"/>
      <c r="BG409" s="82"/>
      <c r="BH409" s="82"/>
      <c r="BI409" s="82"/>
      <c r="BJ409" s="82"/>
      <c r="BK409" s="82"/>
      <c r="BL409" s="82"/>
      <c r="BM409" s="82"/>
      <c r="BN409" s="82"/>
      <c r="BO409" s="82"/>
      <c r="BP409" s="82"/>
      <c r="BQ409" s="82"/>
      <c r="BR409" s="82"/>
      <c r="BS409" s="82"/>
      <c r="BT409" s="82"/>
      <c r="BU409" s="82"/>
      <c r="BV409" s="82"/>
      <c r="BW409" s="82"/>
      <c r="BX409" s="82"/>
      <c r="BY409" s="82"/>
      <c r="BZ409" s="82"/>
      <c r="CA409" s="82"/>
      <c r="CB409" s="82"/>
      <c r="CC409" s="82"/>
      <c r="CD409" s="82"/>
      <c r="CE409" s="82"/>
      <c r="CF409" s="82"/>
      <c r="CG409" s="82"/>
      <c r="CH409" s="82"/>
      <c r="CI409" s="82"/>
      <c r="CJ409" s="82"/>
      <c r="CK409" s="82"/>
      <c r="CL409" s="82"/>
      <c r="CM409" s="82"/>
      <c r="CN409" s="82"/>
      <c r="CO409" s="82"/>
      <c r="CP409" s="82"/>
      <c r="CQ409" s="82"/>
      <c r="CR409" s="82"/>
      <c r="CS409" s="82"/>
      <c r="CT409" s="82"/>
      <c r="CU409" s="82"/>
      <c r="CV409" s="82"/>
      <c r="CW409" s="82"/>
      <c r="CX409" s="82"/>
      <c r="CY409" s="82"/>
      <c r="CZ409" s="82"/>
      <c r="DA409" s="82"/>
      <c r="DB409" s="82"/>
      <c r="DC409" s="82"/>
      <c r="DD409" s="82"/>
      <c r="DE409" s="82"/>
      <c r="DF409" s="82"/>
      <c r="DG409" s="82"/>
    </row>
    <row r="410" spans="2:111" ht="9" customHeight="1">
      <c r="O410" s="219"/>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52"/>
      <c r="BC410" s="82"/>
      <c r="BD410" s="82"/>
      <c r="BE410" s="82"/>
      <c r="BF410" s="82"/>
      <c r="BG410" s="82"/>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c r="CR410" s="82"/>
      <c r="CS410" s="82"/>
      <c r="CT410" s="82"/>
      <c r="CU410" s="82"/>
      <c r="CV410" s="82"/>
      <c r="CW410" s="82"/>
      <c r="CX410" s="82"/>
      <c r="CY410" s="82"/>
      <c r="CZ410" s="82"/>
      <c r="DA410" s="82"/>
      <c r="DB410" s="82"/>
      <c r="DC410" s="82"/>
      <c r="DD410" s="82"/>
      <c r="DE410" s="82"/>
      <c r="DF410" s="82"/>
      <c r="DG410" s="82"/>
    </row>
    <row r="411" spans="2:111" ht="9" customHeight="1">
      <c r="O411" s="219"/>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52"/>
      <c r="BC411" s="82"/>
      <c r="BD411" s="82"/>
      <c r="BE411" s="82"/>
      <c r="BF411" s="82"/>
      <c r="BG411" s="82"/>
      <c r="BH411" s="82"/>
      <c r="BI411" s="82"/>
      <c r="BJ411" s="82"/>
      <c r="BK411" s="82"/>
      <c r="BL411" s="82"/>
      <c r="BM411" s="82"/>
      <c r="BN411" s="82"/>
      <c r="BO411" s="82"/>
      <c r="BP411" s="82"/>
      <c r="BQ411" s="82"/>
      <c r="BR411" s="82"/>
      <c r="BS411" s="82"/>
      <c r="BT411" s="82"/>
      <c r="BU411" s="82"/>
      <c r="BV411" s="82"/>
      <c r="BW411" s="82"/>
      <c r="BX411" s="82"/>
      <c r="BY411" s="82"/>
      <c r="BZ411" s="82"/>
      <c r="CA411" s="82"/>
      <c r="CB411" s="82"/>
      <c r="CC411" s="82"/>
      <c r="CD411" s="82"/>
      <c r="CE411" s="82"/>
      <c r="CF411" s="82"/>
      <c r="CG411" s="82"/>
      <c r="CH411" s="82"/>
      <c r="CI411" s="82"/>
      <c r="CJ411" s="82"/>
      <c r="CK411" s="82"/>
      <c r="CL411" s="82"/>
      <c r="CM411" s="82"/>
      <c r="CN411" s="82"/>
      <c r="CO411" s="82"/>
      <c r="CP411" s="82"/>
      <c r="CQ411" s="82"/>
      <c r="CR411" s="82"/>
      <c r="CS411" s="82"/>
      <c r="CT411" s="82"/>
      <c r="CU411" s="82"/>
      <c r="CV411" s="82"/>
      <c r="CW411" s="82"/>
      <c r="CX411" s="82"/>
      <c r="CY411" s="82"/>
      <c r="CZ411" s="82"/>
      <c r="DA411" s="82"/>
      <c r="DB411" s="82"/>
      <c r="DC411" s="82"/>
      <c r="DD411" s="82"/>
      <c r="DE411" s="82"/>
      <c r="DF411" s="82"/>
      <c r="DG411" s="82"/>
    </row>
    <row r="412" spans="2:111" ht="9" customHeight="1">
      <c r="O412" s="219"/>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52"/>
      <c r="BC412" s="82"/>
      <c r="BD412" s="82"/>
      <c r="BE412" s="82"/>
      <c r="BF412" s="82"/>
      <c r="BG412" s="82"/>
      <c r="BH412" s="82"/>
      <c r="BI412" s="82"/>
      <c r="BJ412" s="82"/>
      <c r="BK412" s="82"/>
      <c r="BL412" s="82"/>
      <c r="BM412" s="82"/>
      <c r="BN412" s="82"/>
      <c r="BO412" s="82"/>
      <c r="BP412" s="82"/>
      <c r="BQ412" s="82"/>
      <c r="BR412" s="82"/>
      <c r="BS412" s="82"/>
      <c r="BT412" s="82"/>
      <c r="BU412" s="82"/>
      <c r="BV412" s="82"/>
      <c r="BW412" s="82"/>
      <c r="BX412" s="82"/>
      <c r="BY412" s="82"/>
      <c r="BZ412" s="82"/>
      <c r="CA412" s="82"/>
      <c r="CB412" s="82"/>
      <c r="CC412" s="82"/>
      <c r="CD412" s="82"/>
      <c r="CE412" s="82"/>
      <c r="CF412" s="82"/>
      <c r="CG412" s="82"/>
      <c r="CH412" s="82"/>
      <c r="CI412" s="82"/>
      <c r="CJ412" s="82"/>
      <c r="CK412" s="82"/>
      <c r="CL412" s="82"/>
      <c r="CM412" s="82"/>
      <c r="CN412" s="82"/>
      <c r="CO412" s="82"/>
      <c r="CP412" s="82"/>
      <c r="CQ412" s="82"/>
      <c r="CR412" s="82"/>
      <c r="CS412" s="82"/>
      <c r="CT412" s="82"/>
      <c r="CU412" s="82"/>
      <c r="CV412" s="82"/>
      <c r="CW412" s="82"/>
      <c r="CX412" s="82"/>
      <c r="CY412" s="82"/>
      <c r="CZ412" s="82"/>
      <c r="DA412" s="82"/>
      <c r="DB412" s="82"/>
      <c r="DC412" s="82"/>
      <c r="DD412" s="82"/>
      <c r="DE412" s="82"/>
      <c r="DF412" s="82"/>
      <c r="DG412" s="82"/>
    </row>
    <row r="413" spans="2:111" ht="9" customHeight="1">
      <c r="B413" s="7"/>
      <c r="C413" s="7"/>
      <c r="D413" s="7"/>
      <c r="E413" s="7"/>
      <c r="F413" s="7"/>
      <c r="G413" s="7"/>
      <c r="H413" s="7"/>
      <c r="I413" s="7"/>
      <c r="J413" s="7"/>
      <c r="K413" s="7"/>
      <c r="L413" s="7"/>
      <c r="M413" s="7"/>
      <c r="N413" s="7"/>
      <c r="O413" s="219"/>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52"/>
      <c r="BC413" s="82"/>
      <c r="BD413" s="82"/>
      <c r="BE413" s="82"/>
      <c r="BF413" s="82"/>
      <c r="BG413" s="82"/>
      <c r="BH413" s="82"/>
      <c r="BI413" s="82"/>
      <c r="BJ413" s="82"/>
      <c r="BK413" s="82"/>
      <c r="BL413" s="82"/>
      <c r="BM413" s="82"/>
      <c r="BN413" s="82"/>
      <c r="BO413" s="82"/>
      <c r="BP413" s="82"/>
      <c r="BQ413" s="82"/>
      <c r="BR413" s="82"/>
      <c r="BS413" s="82"/>
      <c r="BT413" s="82"/>
      <c r="BU413" s="82"/>
      <c r="BV413" s="82"/>
      <c r="BW413" s="82"/>
      <c r="BX413" s="82"/>
      <c r="BY413" s="82"/>
      <c r="BZ413" s="82"/>
      <c r="CA413" s="82"/>
      <c r="CB413" s="82"/>
      <c r="CC413" s="82"/>
      <c r="CD413" s="82"/>
      <c r="CE413" s="82"/>
      <c r="CF413" s="82"/>
      <c r="CG413" s="82"/>
      <c r="CH413" s="82"/>
      <c r="CI413" s="82"/>
      <c r="CJ413" s="82"/>
      <c r="CK413" s="82"/>
      <c r="CL413" s="82"/>
      <c r="CM413" s="82"/>
      <c r="CN413" s="82"/>
      <c r="CO413" s="82"/>
      <c r="CP413" s="82"/>
      <c r="CQ413" s="82"/>
      <c r="CR413" s="82"/>
      <c r="CS413" s="82"/>
      <c r="CT413" s="82"/>
      <c r="CU413" s="82"/>
      <c r="CV413" s="82"/>
      <c r="CW413" s="82"/>
      <c r="CX413" s="82"/>
      <c r="CY413" s="82"/>
      <c r="CZ413" s="82"/>
      <c r="DA413" s="82"/>
      <c r="DB413" s="82"/>
      <c r="DC413" s="82"/>
      <c r="DD413" s="82"/>
      <c r="DE413" s="82"/>
      <c r="DF413" s="82"/>
      <c r="DG413" s="82"/>
    </row>
    <row r="414" spans="2:111" ht="9" customHeight="1">
      <c r="O414" s="219"/>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52"/>
      <c r="BC414" s="82"/>
      <c r="BD414" s="82"/>
      <c r="BE414" s="82"/>
      <c r="BF414" s="82"/>
      <c r="BG414" s="82"/>
      <c r="BH414" s="82"/>
      <c r="BI414" s="82"/>
      <c r="BJ414" s="82"/>
      <c r="BK414" s="82"/>
      <c r="BL414" s="82"/>
      <c r="BM414" s="82"/>
      <c r="BN414" s="82"/>
      <c r="BO414" s="82"/>
      <c r="BP414" s="82"/>
      <c r="BQ414" s="82"/>
      <c r="BR414" s="82"/>
      <c r="BS414" s="82"/>
      <c r="BT414" s="82"/>
      <c r="BU414" s="82"/>
      <c r="BV414" s="82"/>
      <c r="BW414" s="82"/>
      <c r="BX414" s="82"/>
      <c r="BY414" s="82"/>
      <c r="BZ414" s="82"/>
      <c r="CA414" s="82"/>
      <c r="CB414" s="82"/>
      <c r="CC414" s="82"/>
      <c r="CD414" s="82"/>
      <c r="CE414" s="82"/>
      <c r="CF414" s="82"/>
      <c r="CG414" s="82"/>
      <c r="CH414" s="82"/>
      <c r="CI414" s="82"/>
      <c r="CJ414" s="82"/>
      <c r="CK414" s="82"/>
      <c r="CL414" s="82"/>
      <c r="CM414" s="82"/>
      <c r="CN414" s="82"/>
      <c r="CO414" s="82"/>
      <c r="CP414" s="82"/>
      <c r="CQ414" s="82"/>
      <c r="CR414" s="82"/>
      <c r="CS414" s="82"/>
      <c r="CT414" s="82"/>
      <c r="CU414" s="82"/>
      <c r="CV414" s="82"/>
      <c r="CW414" s="82"/>
      <c r="CX414" s="82"/>
      <c r="CY414" s="82"/>
      <c r="CZ414" s="82"/>
      <c r="DA414" s="82"/>
      <c r="DB414" s="82"/>
      <c r="DC414" s="82"/>
      <c r="DD414" s="82"/>
      <c r="DE414" s="82"/>
      <c r="DF414" s="82"/>
      <c r="DG414" s="82"/>
    </row>
    <row r="415" spans="2:111" ht="9" customHeight="1">
      <c r="O415" s="219"/>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5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c r="CA415" s="82"/>
      <c r="CB415" s="82"/>
      <c r="CC415" s="82"/>
      <c r="CD415" s="82"/>
      <c r="CE415" s="82"/>
      <c r="CF415" s="82"/>
      <c r="CG415" s="82"/>
      <c r="CH415" s="82"/>
      <c r="CI415" s="82"/>
      <c r="CJ415" s="82"/>
      <c r="CK415" s="82"/>
      <c r="CL415" s="82"/>
      <c r="CM415" s="82"/>
      <c r="CN415" s="82"/>
      <c r="CO415" s="82"/>
      <c r="CP415" s="82"/>
      <c r="CQ415" s="82"/>
      <c r="CR415" s="82"/>
      <c r="CS415" s="82"/>
      <c r="CT415" s="82"/>
      <c r="CU415" s="82"/>
      <c r="CV415" s="82"/>
      <c r="CW415" s="82"/>
      <c r="CX415" s="82"/>
      <c r="CY415" s="82"/>
      <c r="CZ415" s="82"/>
      <c r="DA415" s="82"/>
      <c r="DB415" s="82"/>
      <c r="DC415" s="82"/>
      <c r="DD415" s="82"/>
      <c r="DE415" s="82"/>
      <c r="DF415" s="82"/>
      <c r="DG415" s="82"/>
    </row>
    <row r="416" spans="2:111" ht="9" customHeight="1">
      <c r="O416" s="219"/>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5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row>
    <row r="417" spans="15:111" ht="9" customHeight="1">
      <c r="O417" s="219"/>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52"/>
      <c r="BC417" s="82"/>
      <c r="BD417" s="82"/>
      <c r="BE417" s="82"/>
      <c r="BF417" s="82"/>
      <c r="BG417" s="82"/>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c r="CR417" s="82"/>
      <c r="CS417" s="82"/>
      <c r="CT417" s="82"/>
      <c r="CU417" s="82"/>
      <c r="CV417" s="82"/>
      <c r="CW417" s="82"/>
      <c r="CX417" s="82"/>
      <c r="CY417" s="82"/>
      <c r="CZ417" s="82"/>
      <c r="DA417" s="82"/>
      <c r="DB417" s="82"/>
      <c r="DC417" s="82"/>
      <c r="DD417" s="82"/>
      <c r="DE417" s="82"/>
      <c r="DF417" s="82"/>
      <c r="DG417" s="82"/>
    </row>
    <row r="418" spans="15:111" ht="9" customHeight="1">
      <c r="O418" s="219"/>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52"/>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A418" s="82"/>
      <c r="CB418" s="82"/>
      <c r="CC418" s="82"/>
      <c r="CD418" s="82"/>
      <c r="CE418" s="82"/>
      <c r="CF418" s="82"/>
      <c r="CG418" s="82"/>
      <c r="CH418" s="82"/>
      <c r="CI418" s="82"/>
      <c r="CJ418" s="82"/>
      <c r="CK418" s="82"/>
      <c r="CL418" s="82"/>
      <c r="CM418" s="82"/>
      <c r="CN418" s="82"/>
      <c r="CO418" s="82"/>
      <c r="CP418" s="82"/>
      <c r="CQ418" s="82"/>
      <c r="CR418" s="82"/>
      <c r="CS418" s="82"/>
      <c r="CT418" s="82"/>
      <c r="CU418" s="82"/>
      <c r="CV418" s="82"/>
      <c r="CW418" s="82"/>
      <c r="CX418" s="82"/>
      <c r="CY418" s="82"/>
      <c r="CZ418" s="82"/>
      <c r="DA418" s="82"/>
      <c r="DB418" s="82"/>
      <c r="DC418" s="82"/>
      <c r="DD418" s="82"/>
      <c r="DE418" s="82"/>
      <c r="DF418" s="82"/>
      <c r="DG418" s="82"/>
    </row>
    <row r="419" spans="15:111" ht="9" customHeight="1">
      <c r="O419" s="219"/>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52"/>
      <c r="BC419" s="82"/>
      <c r="BD419" s="82"/>
      <c r="BE419" s="82"/>
      <c r="BF419" s="82"/>
      <c r="BG419" s="82"/>
      <c r="BH419" s="82"/>
      <c r="BI419" s="82"/>
      <c r="BJ419" s="82"/>
      <c r="BK419" s="82"/>
      <c r="BL419" s="82"/>
      <c r="BM419" s="82"/>
      <c r="BN419" s="82"/>
      <c r="BO419" s="82"/>
      <c r="BP419" s="82"/>
      <c r="BQ419" s="82"/>
      <c r="BR419" s="82"/>
      <c r="BS419" s="82"/>
      <c r="BT419" s="82"/>
      <c r="BU419" s="82"/>
      <c r="BV419" s="82"/>
      <c r="BW419" s="82"/>
      <c r="BX419" s="82"/>
      <c r="BY419" s="82"/>
      <c r="BZ419" s="82"/>
      <c r="CA419" s="82"/>
      <c r="CB419" s="82"/>
      <c r="CC419" s="82"/>
      <c r="CD419" s="82"/>
      <c r="CE419" s="82"/>
      <c r="CF419" s="82"/>
      <c r="CG419" s="82"/>
      <c r="CH419" s="82"/>
      <c r="CI419" s="82"/>
      <c r="CJ419" s="82"/>
      <c r="CK419" s="82"/>
      <c r="CL419" s="82"/>
      <c r="CM419" s="82"/>
      <c r="CN419" s="82"/>
      <c r="CO419" s="82"/>
      <c r="CP419" s="82"/>
      <c r="CQ419" s="82"/>
      <c r="CR419" s="82"/>
      <c r="CS419" s="82"/>
      <c r="CT419" s="82"/>
      <c r="CU419" s="82"/>
      <c r="CV419" s="82"/>
      <c r="CW419" s="82"/>
      <c r="CX419" s="82"/>
      <c r="CY419" s="82"/>
      <c r="CZ419" s="82"/>
      <c r="DA419" s="82"/>
      <c r="DB419" s="82"/>
      <c r="DC419" s="82"/>
      <c r="DD419" s="82"/>
      <c r="DE419" s="82"/>
      <c r="DF419" s="82"/>
      <c r="DG419" s="82"/>
    </row>
    <row r="420" spans="15:111" ht="9" customHeight="1">
      <c r="O420" s="219"/>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5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c r="CA420" s="82"/>
      <c r="CB420" s="82"/>
      <c r="CC420" s="82"/>
      <c r="CD420" s="82"/>
      <c r="CE420" s="82"/>
      <c r="CF420" s="82"/>
      <c r="CG420" s="82"/>
      <c r="CH420" s="82"/>
      <c r="CI420" s="82"/>
      <c r="CJ420" s="82"/>
      <c r="CK420" s="82"/>
      <c r="CL420" s="82"/>
      <c r="CM420" s="82"/>
      <c r="CN420" s="82"/>
      <c r="CO420" s="82"/>
      <c r="CP420" s="82"/>
      <c r="CQ420" s="82"/>
      <c r="CR420" s="82"/>
      <c r="CS420" s="82"/>
      <c r="CT420" s="82"/>
      <c r="CU420" s="82"/>
      <c r="CV420" s="82"/>
      <c r="CW420" s="82"/>
      <c r="CX420" s="82"/>
      <c r="CY420" s="82"/>
      <c r="CZ420" s="82"/>
      <c r="DA420" s="82"/>
      <c r="DB420" s="82"/>
      <c r="DC420" s="82"/>
      <c r="DD420" s="82"/>
      <c r="DE420" s="82"/>
      <c r="DF420" s="82"/>
      <c r="DG420" s="82"/>
    </row>
    <row r="421" spans="15:111" ht="9" customHeight="1">
      <c r="O421" s="219"/>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5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c r="CA421" s="82"/>
      <c r="CB421" s="82"/>
      <c r="CC421" s="82"/>
      <c r="CD421" s="82"/>
      <c r="CE421" s="82"/>
      <c r="CF421" s="82"/>
      <c r="CG421" s="82"/>
      <c r="CH421" s="82"/>
      <c r="CI421" s="82"/>
      <c r="CJ421" s="82"/>
      <c r="CK421" s="82"/>
      <c r="CL421" s="82"/>
      <c r="CM421" s="82"/>
      <c r="CN421" s="82"/>
      <c r="CO421" s="82"/>
      <c r="CP421" s="82"/>
      <c r="CQ421" s="82"/>
      <c r="CR421" s="82"/>
      <c r="CS421" s="82"/>
      <c r="CT421" s="82"/>
      <c r="CU421" s="82"/>
      <c r="CV421" s="82"/>
      <c r="CW421" s="82"/>
      <c r="CX421" s="82"/>
      <c r="CY421" s="82"/>
      <c r="CZ421" s="82"/>
      <c r="DA421" s="82"/>
      <c r="DB421" s="82"/>
      <c r="DC421" s="82"/>
      <c r="DD421" s="82"/>
      <c r="DE421" s="82"/>
      <c r="DF421" s="82"/>
      <c r="DG421" s="82"/>
    </row>
    <row r="422" spans="15:111" ht="9" customHeight="1">
      <c r="O422" s="219"/>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52"/>
      <c r="BC422" s="82"/>
      <c r="BD422" s="82"/>
      <c r="BE422" s="82"/>
      <c r="BF422" s="82"/>
      <c r="BG422" s="82"/>
      <c r="BH422" s="82"/>
      <c r="BI422" s="82"/>
      <c r="BJ422" s="82"/>
      <c r="BK422" s="82"/>
      <c r="BL422" s="82"/>
      <c r="BM422" s="82"/>
      <c r="BN422" s="82"/>
      <c r="BO422" s="82"/>
      <c r="BP422" s="82"/>
      <c r="BQ422" s="82"/>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2"/>
      <c r="CZ422" s="82"/>
      <c r="DA422" s="82"/>
      <c r="DB422" s="82"/>
      <c r="DC422" s="82"/>
      <c r="DD422" s="82"/>
      <c r="DE422" s="82"/>
      <c r="DF422" s="82"/>
      <c r="DG422" s="82"/>
    </row>
    <row r="423" spans="15:111" ht="9" customHeight="1">
      <c r="O423" s="219"/>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52"/>
      <c r="BC423" s="82"/>
      <c r="BD423" s="82"/>
      <c r="BE423" s="82"/>
      <c r="BF423" s="82"/>
      <c r="BG423" s="82"/>
      <c r="BH423" s="82"/>
      <c r="BI423" s="82"/>
      <c r="BJ423" s="82"/>
      <c r="BK423" s="82"/>
      <c r="BL423" s="82"/>
      <c r="BM423" s="82"/>
      <c r="BN423" s="82"/>
      <c r="BO423" s="82"/>
      <c r="BP423" s="82"/>
      <c r="BQ423" s="82"/>
      <c r="BR423" s="82"/>
      <c r="BS423" s="82"/>
      <c r="BT423" s="82"/>
      <c r="BU423" s="82"/>
      <c r="BV423" s="82"/>
      <c r="BW423" s="82"/>
      <c r="BX423" s="82"/>
      <c r="BY423" s="82"/>
      <c r="BZ423" s="82"/>
      <c r="CA423" s="82"/>
      <c r="CB423" s="82"/>
      <c r="CC423" s="82"/>
      <c r="CD423" s="82"/>
      <c r="CE423" s="82"/>
      <c r="CF423" s="82"/>
      <c r="CG423" s="82"/>
      <c r="CH423" s="82"/>
      <c r="CI423" s="82"/>
      <c r="CJ423" s="82"/>
      <c r="CK423" s="82"/>
      <c r="CL423" s="82"/>
      <c r="CM423" s="82"/>
      <c r="CN423" s="82"/>
      <c r="CO423" s="82"/>
      <c r="CP423" s="82"/>
      <c r="CQ423" s="82"/>
      <c r="CR423" s="82"/>
      <c r="CS423" s="82"/>
      <c r="CT423" s="82"/>
      <c r="CU423" s="82"/>
      <c r="CV423" s="82"/>
      <c r="CW423" s="82"/>
      <c r="CX423" s="82"/>
      <c r="CY423" s="82"/>
      <c r="CZ423" s="82"/>
      <c r="DA423" s="82"/>
      <c r="DB423" s="82"/>
      <c r="DC423" s="82"/>
      <c r="DD423" s="82"/>
      <c r="DE423" s="82"/>
      <c r="DF423" s="82"/>
      <c r="DG423" s="82"/>
    </row>
    <row r="424" spans="15:111" ht="9" customHeight="1">
      <c r="O424" s="219"/>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52"/>
      <c r="BC424" s="82"/>
      <c r="BD424" s="82"/>
      <c r="BE424" s="82"/>
      <c r="BF424" s="82"/>
      <c r="BG424" s="82"/>
      <c r="BH424" s="82"/>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c r="CR424" s="82"/>
      <c r="CS424" s="82"/>
      <c r="CT424" s="82"/>
      <c r="CU424" s="82"/>
      <c r="CV424" s="82"/>
      <c r="CW424" s="82"/>
      <c r="CX424" s="82"/>
      <c r="CY424" s="82"/>
      <c r="CZ424" s="82"/>
      <c r="DA424" s="82"/>
      <c r="DB424" s="82"/>
      <c r="DC424" s="82"/>
      <c r="DD424" s="82"/>
      <c r="DE424" s="82"/>
      <c r="DF424" s="82"/>
      <c r="DG424" s="82"/>
    </row>
    <row r="425" spans="15:111" ht="9" customHeight="1">
      <c r="O425" s="219"/>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52"/>
      <c r="BC425" s="82"/>
      <c r="BD425" s="82"/>
      <c r="BE425" s="82"/>
      <c r="BF425" s="82"/>
      <c r="BG425" s="82"/>
      <c r="BH425" s="82"/>
      <c r="BI425" s="82"/>
      <c r="BJ425" s="82"/>
      <c r="BK425" s="82"/>
      <c r="BL425" s="82"/>
      <c r="BM425" s="82"/>
      <c r="BN425" s="82"/>
      <c r="BO425" s="82"/>
      <c r="BP425" s="82"/>
      <c r="BQ425" s="82"/>
      <c r="BR425" s="82"/>
      <c r="BS425" s="82"/>
      <c r="BT425" s="82"/>
      <c r="BU425" s="82"/>
      <c r="BV425" s="82"/>
      <c r="BW425" s="82"/>
      <c r="BX425" s="82"/>
      <c r="BY425" s="82"/>
      <c r="BZ425" s="82"/>
      <c r="CA425" s="82"/>
      <c r="CB425" s="82"/>
      <c r="CC425" s="82"/>
      <c r="CD425" s="82"/>
      <c r="CE425" s="82"/>
      <c r="CF425" s="82"/>
      <c r="CG425" s="82"/>
      <c r="CH425" s="82"/>
      <c r="CI425" s="82"/>
      <c r="CJ425" s="82"/>
      <c r="CK425" s="82"/>
      <c r="CL425" s="82"/>
      <c r="CM425" s="82"/>
      <c r="CN425" s="82"/>
      <c r="CO425" s="82"/>
      <c r="CP425" s="82"/>
      <c r="CQ425" s="82"/>
      <c r="CR425" s="82"/>
      <c r="CS425" s="82"/>
      <c r="CT425" s="82"/>
      <c r="CU425" s="82"/>
      <c r="CV425" s="82"/>
      <c r="CW425" s="82"/>
      <c r="CX425" s="82"/>
      <c r="CY425" s="82"/>
      <c r="CZ425" s="82"/>
      <c r="DA425" s="82"/>
      <c r="DB425" s="82"/>
      <c r="DC425" s="82"/>
      <c r="DD425" s="82"/>
      <c r="DE425" s="82"/>
      <c r="DF425" s="82"/>
      <c r="DG425" s="82"/>
    </row>
    <row r="426" spans="15:111" ht="9" customHeight="1">
      <c r="O426" s="219"/>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52"/>
      <c r="BC426" s="82"/>
      <c r="BD426" s="82"/>
      <c r="BE426" s="82"/>
      <c r="BF426" s="82"/>
      <c r="BG426" s="82"/>
      <c r="BH426" s="82"/>
      <c r="BI426" s="82"/>
      <c r="BJ426" s="82"/>
      <c r="BK426" s="82"/>
      <c r="BL426" s="82"/>
      <c r="BM426" s="82"/>
      <c r="BN426" s="82"/>
      <c r="BO426" s="82"/>
      <c r="BP426" s="82"/>
      <c r="BQ426" s="82"/>
      <c r="BR426" s="82"/>
      <c r="BS426" s="82"/>
      <c r="BT426" s="82"/>
      <c r="BU426" s="82"/>
      <c r="BV426" s="82"/>
      <c r="BW426" s="82"/>
      <c r="BX426" s="82"/>
      <c r="BY426" s="82"/>
      <c r="BZ426" s="82"/>
      <c r="CA426" s="82"/>
      <c r="CB426" s="82"/>
      <c r="CC426" s="82"/>
      <c r="CD426" s="82"/>
      <c r="CE426" s="82"/>
      <c r="CF426" s="82"/>
      <c r="CG426" s="82"/>
      <c r="CH426" s="82"/>
      <c r="CI426" s="82"/>
      <c r="CJ426" s="82"/>
      <c r="CK426" s="82"/>
      <c r="CL426" s="82"/>
      <c r="CM426" s="82"/>
      <c r="CN426" s="82"/>
      <c r="CO426" s="82"/>
      <c r="CP426" s="82"/>
      <c r="CQ426" s="82"/>
      <c r="CR426" s="82"/>
      <c r="CS426" s="82"/>
      <c r="CT426" s="82"/>
      <c r="CU426" s="82"/>
      <c r="CV426" s="82"/>
      <c r="CW426" s="82"/>
      <c r="CX426" s="82"/>
      <c r="CY426" s="82"/>
      <c r="CZ426" s="82"/>
      <c r="DA426" s="82"/>
      <c r="DB426" s="82"/>
      <c r="DC426" s="82"/>
      <c r="DD426" s="82"/>
      <c r="DE426" s="82"/>
      <c r="DF426" s="82"/>
      <c r="DG426" s="82"/>
    </row>
    <row r="427" spans="15:111" ht="9" customHeight="1">
      <c r="O427" s="219"/>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52"/>
      <c r="BC427" s="82"/>
      <c r="BD427" s="82"/>
      <c r="BE427" s="82"/>
      <c r="BF427" s="82"/>
      <c r="BG427" s="82"/>
      <c r="BH427" s="82"/>
      <c r="BI427" s="82"/>
      <c r="BJ427" s="82"/>
      <c r="BK427" s="82"/>
      <c r="BL427" s="82"/>
      <c r="BM427" s="82"/>
      <c r="BN427" s="82"/>
      <c r="BO427" s="82"/>
      <c r="BP427" s="82"/>
      <c r="BQ427" s="82"/>
      <c r="BR427" s="82"/>
      <c r="BS427" s="82"/>
      <c r="BT427" s="82"/>
      <c r="BU427" s="82"/>
      <c r="BV427" s="82"/>
      <c r="BW427" s="82"/>
      <c r="BX427" s="82"/>
      <c r="BY427" s="82"/>
      <c r="BZ427" s="82"/>
      <c r="CA427" s="82"/>
      <c r="CB427" s="82"/>
      <c r="CC427" s="82"/>
      <c r="CD427" s="82"/>
      <c r="CE427" s="82"/>
      <c r="CF427" s="82"/>
      <c r="CG427" s="82"/>
      <c r="CH427" s="82"/>
      <c r="CI427" s="82"/>
      <c r="CJ427" s="82"/>
      <c r="CK427" s="82"/>
      <c r="CL427" s="82"/>
      <c r="CM427" s="82"/>
      <c r="CN427" s="82"/>
      <c r="CO427" s="82"/>
      <c r="CP427" s="82"/>
      <c r="CQ427" s="82"/>
      <c r="CR427" s="82"/>
      <c r="CS427" s="82"/>
      <c r="CT427" s="82"/>
      <c r="CU427" s="82"/>
      <c r="CV427" s="82"/>
      <c r="CW427" s="82"/>
      <c r="CX427" s="82"/>
      <c r="CY427" s="82"/>
      <c r="CZ427" s="82"/>
      <c r="DA427" s="82"/>
      <c r="DB427" s="82"/>
      <c r="DC427" s="82"/>
      <c r="DD427" s="82"/>
      <c r="DE427" s="82"/>
      <c r="DF427" s="82"/>
      <c r="DG427" s="82"/>
    </row>
    <row r="428" spans="15:111" ht="9" customHeight="1">
      <c r="O428" s="219"/>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52"/>
      <c r="BC428" s="82"/>
      <c r="BD428" s="82"/>
      <c r="BE428" s="82"/>
      <c r="BF428" s="82"/>
      <c r="BG428" s="82"/>
      <c r="BH428" s="82"/>
      <c r="BI428" s="82"/>
      <c r="BJ428" s="82"/>
      <c r="BK428" s="82"/>
      <c r="BL428" s="82"/>
      <c r="BM428" s="82"/>
      <c r="BN428" s="82"/>
      <c r="BO428" s="82"/>
      <c r="BP428" s="82"/>
      <c r="BQ428" s="82"/>
      <c r="BR428" s="82"/>
      <c r="BS428" s="82"/>
      <c r="BT428" s="82"/>
      <c r="BU428" s="82"/>
      <c r="BV428" s="82"/>
      <c r="BW428" s="82"/>
      <c r="BX428" s="82"/>
      <c r="BY428" s="82"/>
      <c r="BZ428" s="82"/>
      <c r="CA428" s="82"/>
      <c r="CB428" s="82"/>
      <c r="CC428" s="82"/>
      <c r="CD428" s="82"/>
      <c r="CE428" s="82"/>
      <c r="CF428" s="82"/>
      <c r="CG428" s="82"/>
      <c r="CH428" s="82"/>
      <c r="CI428" s="82"/>
      <c r="CJ428" s="82"/>
      <c r="CK428" s="82"/>
      <c r="CL428" s="82"/>
      <c r="CM428" s="82"/>
      <c r="CN428" s="82"/>
      <c r="CO428" s="82"/>
      <c r="CP428" s="82"/>
      <c r="CQ428" s="82"/>
      <c r="CR428" s="82"/>
      <c r="CS428" s="82"/>
      <c r="CT428" s="82"/>
      <c r="CU428" s="82"/>
      <c r="CV428" s="82"/>
      <c r="CW428" s="82"/>
      <c r="CX428" s="82"/>
      <c r="CY428" s="82"/>
      <c r="CZ428" s="82"/>
      <c r="DA428" s="82"/>
      <c r="DB428" s="82"/>
      <c r="DC428" s="82"/>
      <c r="DD428" s="82"/>
      <c r="DE428" s="82"/>
      <c r="DF428" s="82"/>
      <c r="DG428" s="82"/>
    </row>
    <row r="429" spans="15:111" ht="9" customHeight="1">
      <c r="O429" s="219"/>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52"/>
      <c r="BC429" s="82"/>
      <c r="BD429" s="82"/>
      <c r="BE429" s="82"/>
      <c r="BF429" s="82"/>
      <c r="BG429" s="82"/>
      <c r="BH429" s="82"/>
      <c r="BI429" s="82"/>
      <c r="BJ429" s="82"/>
      <c r="BK429" s="82"/>
      <c r="BL429" s="82"/>
      <c r="BM429" s="82"/>
      <c r="BN429" s="82"/>
      <c r="BO429" s="82"/>
      <c r="BP429" s="82"/>
      <c r="BQ429" s="82"/>
      <c r="BR429" s="82"/>
      <c r="BS429" s="82"/>
      <c r="BT429" s="82"/>
      <c r="BU429" s="82"/>
      <c r="BV429" s="82"/>
      <c r="BW429" s="82"/>
      <c r="BX429" s="82"/>
      <c r="BY429" s="82"/>
      <c r="BZ429" s="82"/>
      <c r="CA429" s="82"/>
      <c r="CB429" s="82"/>
      <c r="CC429" s="82"/>
      <c r="CD429" s="82"/>
      <c r="CE429" s="82"/>
      <c r="CF429" s="82"/>
      <c r="CG429" s="82"/>
      <c r="CH429" s="82"/>
      <c r="CI429" s="82"/>
      <c r="CJ429" s="82"/>
      <c r="CK429" s="82"/>
      <c r="CL429" s="82"/>
      <c r="CM429" s="82"/>
      <c r="CN429" s="82"/>
      <c r="CO429" s="82"/>
      <c r="CP429" s="82"/>
      <c r="CQ429" s="82"/>
      <c r="CR429" s="82"/>
      <c r="CS429" s="82"/>
      <c r="CT429" s="82"/>
      <c r="CU429" s="82"/>
      <c r="CV429" s="82"/>
      <c r="CW429" s="82"/>
      <c r="CX429" s="82"/>
      <c r="CY429" s="82"/>
      <c r="CZ429" s="82"/>
      <c r="DA429" s="82"/>
      <c r="DB429" s="82"/>
      <c r="DC429" s="82"/>
      <c r="DD429" s="82"/>
      <c r="DE429" s="82"/>
      <c r="DF429" s="82"/>
      <c r="DG429" s="82"/>
    </row>
    <row r="430" spans="15:111" ht="9" customHeight="1">
      <c r="O430" s="219"/>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52"/>
      <c r="BC430" s="82"/>
      <c r="BD430" s="82"/>
      <c r="BE430" s="82"/>
      <c r="BF430" s="82"/>
      <c r="BG430" s="82"/>
      <c r="BH430" s="82"/>
      <c r="BI430" s="82"/>
      <c r="BJ430" s="82"/>
      <c r="BK430" s="82"/>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c r="CP430" s="82"/>
      <c r="CQ430" s="82"/>
      <c r="CR430" s="82"/>
      <c r="CS430" s="82"/>
      <c r="CT430" s="82"/>
      <c r="CU430" s="82"/>
      <c r="CV430" s="82"/>
      <c r="CW430" s="82"/>
      <c r="CX430" s="82"/>
      <c r="CY430" s="82"/>
      <c r="CZ430" s="82"/>
      <c r="DA430" s="82"/>
      <c r="DB430" s="82"/>
      <c r="DC430" s="82"/>
      <c r="DD430" s="82"/>
      <c r="DE430" s="82"/>
      <c r="DF430" s="82"/>
      <c r="DG430" s="82"/>
    </row>
    <row r="431" spans="15:111" ht="9" customHeight="1">
      <c r="O431" s="219"/>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52"/>
      <c r="BC431" s="82"/>
      <c r="BD431" s="82"/>
      <c r="BE431" s="82"/>
      <c r="BF431" s="82"/>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c r="CR431" s="82"/>
      <c r="CS431" s="82"/>
      <c r="CT431" s="82"/>
      <c r="CU431" s="82"/>
      <c r="CV431" s="82"/>
      <c r="CW431" s="82"/>
      <c r="CX431" s="82"/>
      <c r="CY431" s="82"/>
      <c r="CZ431" s="82"/>
      <c r="DA431" s="82"/>
      <c r="DB431" s="82"/>
      <c r="DC431" s="82"/>
      <c r="DD431" s="82"/>
      <c r="DE431" s="82"/>
      <c r="DF431" s="82"/>
      <c r="DG431" s="82"/>
    </row>
    <row r="432" spans="15:111" ht="9" customHeight="1">
      <c r="O432" s="219"/>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52"/>
      <c r="BC432" s="82"/>
      <c r="BD432" s="82"/>
      <c r="BE432" s="82"/>
      <c r="BF432" s="82"/>
      <c r="BG432" s="82"/>
      <c r="BH432" s="82"/>
      <c r="BI432" s="82"/>
      <c r="BJ432" s="82"/>
      <c r="BK432" s="82"/>
      <c r="BL432" s="82"/>
      <c r="BM432" s="82"/>
      <c r="BN432" s="82"/>
      <c r="BO432" s="82"/>
      <c r="BP432" s="82"/>
      <c r="BQ432" s="82"/>
      <c r="BR432" s="82"/>
      <c r="BS432" s="82"/>
      <c r="BT432" s="82"/>
      <c r="BU432" s="82"/>
      <c r="BV432" s="82"/>
      <c r="BW432" s="82"/>
      <c r="BX432" s="82"/>
      <c r="BY432" s="82"/>
      <c r="BZ432" s="82"/>
      <c r="CA432" s="82"/>
      <c r="CB432" s="82"/>
      <c r="CC432" s="82"/>
      <c r="CD432" s="82"/>
      <c r="CE432" s="82"/>
      <c r="CF432" s="82"/>
      <c r="CG432" s="82"/>
      <c r="CH432" s="82"/>
      <c r="CI432" s="82"/>
      <c r="CJ432" s="82"/>
      <c r="CK432" s="82"/>
      <c r="CL432" s="82"/>
      <c r="CM432" s="82"/>
      <c r="CN432" s="82"/>
      <c r="CO432" s="82"/>
      <c r="CP432" s="82"/>
      <c r="CQ432" s="82"/>
      <c r="CR432" s="82"/>
      <c r="CS432" s="82"/>
      <c r="CT432" s="82"/>
      <c r="CU432" s="82"/>
      <c r="CV432" s="82"/>
      <c r="CW432" s="82"/>
      <c r="CX432" s="82"/>
      <c r="CY432" s="82"/>
      <c r="CZ432" s="82"/>
      <c r="DA432" s="82"/>
      <c r="DB432" s="82"/>
      <c r="DC432" s="82"/>
      <c r="DD432" s="82"/>
      <c r="DE432" s="82"/>
      <c r="DF432" s="82"/>
      <c r="DG432" s="82"/>
    </row>
    <row r="433" spans="2:111" ht="9" customHeight="1">
      <c r="O433" s="219"/>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52"/>
      <c r="BC433" s="82"/>
      <c r="BD433" s="82"/>
      <c r="BE433" s="82"/>
      <c r="BF433" s="82"/>
      <c r="BG433" s="82"/>
      <c r="BH433" s="82"/>
      <c r="BI433" s="82"/>
      <c r="BJ433" s="82"/>
      <c r="BK433" s="82"/>
      <c r="BL433" s="82"/>
      <c r="BM433" s="82"/>
      <c r="BN433" s="82"/>
      <c r="BO433" s="82"/>
      <c r="BP433" s="82"/>
      <c r="BQ433" s="82"/>
      <c r="BR433" s="82"/>
      <c r="BS433" s="82"/>
      <c r="BT433" s="82"/>
      <c r="BU433" s="82"/>
      <c r="BV433" s="82"/>
      <c r="BW433" s="82"/>
      <c r="BX433" s="82"/>
      <c r="BY433" s="82"/>
      <c r="BZ433" s="82"/>
      <c r="CA433" s="82"/>
      <c r="CB433" s="82"/>
      <c r="CC433" s="82"/>
      <c r="CD433" s="82"/>
      <c r="CE433" s="82"/>
      <c r="CF433" s="82"/>
      <c r="CG433" s="82"/>
      <c r="CH433" s="82"/>
      <c r="CI433" s="82"/>
      <c r="CJ433" s="82"/>
      <c r="CK433" s="82"/>
      <c r="CL433" s="82"/>
      <c r="CM433" s="82"/>
      <c r="CN433" s="82"/>
      <c r="CO433" s="82"/>
      <c r="CP433" s="82"/>
      <c r="CQ433" s="82"/>
      <c r="CR433" s="82"/>
      <c r="CS433" s="82"/>
      <c r="CT433" s="82"/>
      <c r="CU433" s="82"/>
      <c r="CV433" s="82"/>
      <c r="CW433" s="82"/>
      <c r="CX433" s="82"/>
      <c r="CY433" s="82"/>
      <c r="CZ433" s="82"/>
      <c r="DA433" s="82"/>
      <c r="DB433" s="82"/>
      <c r="DC433" s="82"/>
      <c r="DD433" s="82"/>
      <c r="DE433" s="82"/>
      <c r="DF433" s="82"/>
      <c r="DG433" s="82"/>
    </row>
    <row r="434" spans="2:111" ht="9" customHeight="1">
      <c r="O434" s="253"/>
      <c r="P434" s="254"/>
      <c r="Q434" s="254"/>
      <c r="R434" s="254"/>
      <c r="S434" s="254"/>
      <c r="T434" s="254"/>
      <c r="U434" s="254"/>
      <c r="V434" s="254"/>
      <c r="W434" s="254"/>
      <c r="X434" s="254"/>
      <c r="Y434" s="254"/>
      <c r="Z434" s="254"/>
      <c r="AA434" s="254"/>
      <c r="AB434" s="254"/>
      <c r="AC434" s="254"/>
      <c r="AD434" s="254"/>
      <c r="AE434" s="254"/>
      <c r="AF434" s="254"/>
      <c r="AG434" s="254"/>
      <c r="AH434" s="254"/>
      <c r="AI434" s="254"/>
      <c r="AJ434" s="254"/>
      <c r="AK434" s="254"/>
      <c r="AL434" s="254"/>
      <c r="AM434" s="254"/>
      <c r="AN434" s="254"/>
      <c r="AO434" s="254"/>
      <c r="AP434" s="254"/>
      <c r="AQ434" s="254"/>
      <c r="AR434" s="254"/>
      <c r="AS434" s="254"/>
      <c r="AT434" s="254"/>
      <c r="AU434" s="254"/>
      <c r="AV434" s="254"/>
      <c r="AW434" s="254"/>
      <c r="AX434" s="254"/>
      <c r="AY434" s="254"/>
      <c r="AZ434" s="254"/>
      <c r="BA434" s="255"/>
      <c r="BC434" s="82"/>
      <c r="BD434" s="82"/>
      <c r="BE434" s="82"/>
      <c r="BF434" s="82"/>
      <c r="BG434" s="82"/>
      <c r="BH434" s="82"/>
      <c r="BI434" s="82"/>
      <c r="BJ434" s="82"/>
      <c r="BK434" s="82"/>
      <c r="BL434" s="82"/>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82"/>
      <c r="CN434" s="82"/>
      <c r="CO434" s="82"/>
      <c r="CP434" s="82"/>
      <c r="CQ434" s="82"/>
      <c r="CR434" s="82"/>
      <c r="CS434" s="82"/>
      <c r="CT434" s="82"/>
      <c r="CU434" s="82"/>
      <c r="CV434" s="82"/>
      <c r="CW434" s="82"/>
      <c r="CX434" s="82"/>
      <c r="CY434" s="82"/>
      <c r="CZ434" s="82"/>
      <c r="DA434" s="82"/>
      <c r="DB434" s="82"/>
      <c r="DC434" s="82"/>
      <c r="DD434" s="82"/>
      <c r="DE434" s="82"/>
      <c r="DF434" s="82"/>
      <c r="DG434" s="82"/>
    </row>
    <row r="435" spans="2:111" ht="9" customHeight="1">
      <c r="BC435" s="82"/>
      <c r="BD435" s="82"/>
      <c r="BE435" s="82"/>
      <c r="BF435" s="82"/>
      <c r="BG435" s="82"/>
      <c r="BH435" s="82"/>
      <c r="BI435" s="82"/>
      <c r="BJ435" s="82"/>
      <c r="BK435" s="82"/>
      <c r="BL435" s="82"/>
      <c r="BM435" s="82"/>
      <c r="BN435" s="82"/>
      <c r="BO435" s="82"/>
      <c r="BP435" s="82"/>
      <c r="BQ435" s="82"/>
      <c r="BR435" s="82"/>
      <c r="BS435" s="82"/>
      <c r="BT435" s="82"/>
      <c r="BU435" s="82"/>
      <c r="BV435" s="82"/>
      <c r="BW435" s="82"/>
      <c r="BX435" s="82"/>
      <c r="BY435" s="82"/>
      <c r="BZ435" s="82"/>
      <c r="CA435" s="82"/>
      <c r="CB435" s="82"/>
      <c r="CC435" s="82"/>
      <c r="CD435" s="82"/>
      <c r="CE435" s="82"/>
      <c r="CF435" s="82"/>
      <c r="CG435" s="82"/>
      <c r="CH435" s="82"/>
      <c r="CI435" s="82"/>
      <c r="CJ435" s="82"/>
      <c r="CK435" s="82"/>
      <c r="CL435" s="82"/>
      <c r="CM435" s="82"/>
      <c r="CN435" s="82"/>
      <c r="CO435" s="82"/>
      <c r="CP435" s="82"/>
      <c r="CQ435" s="82"/>
      <c r="CR435" s="82"/>
      <c r="CS435" s="82"/>
      <c r="CT435" s="82"/>
      <c r="CU435" s="82"/>
      <c r="CV435" s="82"/>
      <c r="CW435" s="82"/>
      <c r="CX435" s="82"/>
      <c r="CY435" s="82"/>
      <c r="CZ435" s="82"/>
      <c r="DA435" s="82"/>
      <c r="DB435" s="82"/>
      <c r="DC435" s="82"/>
      <c r="DD435" s="82"/>
      <c r="DE435" s="82"/>
      <c r="DF435" s="82"/>
      <c r="DG435" s="82"/>
    </row>
    <row r="436" spans="2:111" ht="9" customHeight="1" thickBot="1">
      <c r="BC436" s="82"/>
      <c r="BD436" s="82"/>
      <c r="BE436" s="82"/>
      <c r="BF436" s="82"/>
      <c r="BG436" s="82"/>
      <c r="BH436" s="82"/>
      <c r="BI436" s="82"/>
      <c r="BJ436" s="82"/>
      <c r="BK436" s="82"/>
      <c r="BL436" s="82"/>
      <c r="BM436" s="82"/>
      <c r="BN436" s="82"/>
      <c r="BO436" s="82"/>
      <c r="BP436" s="82"/>
      <c r="BQ436" s="82"/>
      <c r="BR436" s="82"/>
      <c r="BS436" s="82"/>
      <c r="BT436" s="82"/>
      <c r="BU436" s="82"/>
      <c r="BV436" s="82"/>
      <c r="BW436" s="82"/>
      <c r="BX436" s="82"/>
      <c r="BY436" s="82"/>
      <c r="BZ436" s="82"/>
      <c r="CA436" s="82"/>
      <c r="CB436" s="82"/>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82"/>
      <c r="CZ436" s="82"/>
      <c r="DA436" s="82"/>
      <c r="DB436" s="82"/>
      <c r="DC436" s="82"/>
      <c r="DD436" s="82"/>
      <c r="DE436" s="82"/>
      <c r="DF436" s="82"/>
      <c r="DG436" s="82"/>
    </row>
    <row r="437" spans="2:111" ht="9" customHeight="1">
      <c r="B437" s="245" t="s">
        <v>279</v>
      </c>
      <c r="C437" s="245"/>
      <c r="D437" s="245"/>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c r="AA437" s="245"/>
      <c r="AB437" s="245"/>
      <c r="AC437" s="245"/>
      <c r="AD437" s="245"/>
      <c r="AE437" s="245"/>
      <c r="AF437" s="245"/>
      <c r="AG437" s="245"/>
      <c r="AH437" s="245"/>
      <c r="AI437" s="245"/>
      <c r="AJ437" s="245"/>
      <c r="AK437" s="245"/>
      <c r="AL437" s="245"/>
      <c r="AM437" s="245"/>
      <c r="AN437" s="245"/>
      <c r="AO437" s="245"/>
      <c r="AP437" s="245"/>
      <c r="AQ437" s="245"/>
      <c r="AR437" s="245"/>
      <c r="AS437" s="245"/>
      <c r="AT437" s="245"/>
      <c r="AU437" s="245"/>
      <c r="AV437" s="245"/>
      <c r="AW437" s="245"/>
      <c r="AX437" s="245"/>
      <c r="AY437" s="245"/>
      <c r="AZ437" s="245"/>
      <c r="BA437" s="246"/>
      <c r="BC437" s="82"/>
      <c r="BD437" s="82"/>
      <c r="BE437" s="82"/>
      <c r="BF437" s="82"/>
      <c r="BG437" s="82"/>
      <c r="BH437" s="82"/>
      <c r="BI437" s="82"/>
      <c r="BJ437" s="82"/>
      <c r="BK437" s="82"/>
      <c r="BL437" s="82"/>
      <c r="BM437" s="82"/>
      <c r="BN437" s="82"/>
      <c r="BO437" s="82"/>
      <c r="BP437" s="82"/>
      <c r="BQ437" s="82"/>
      <c r="BR437" s="82"/>
      <c r="BS437" s="82"/>
      <c r="BT437" s="82"/>
      <c r="BU437" s="82"/>
      <c r="BV437" s="82"/>
      <c r="BW437" s="82"/>
      <c r="BX437" s="82"/>
      <c r="BY437" s="82"/>
      <c r="BZ437" s="82"/>
      <c r="CA437" s="82"/>
      <c r="CB437" s="82"/>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82"/>
      <c r="CZ437" s="82"/>
      <c r="DA437" s="82"/>
      <c r="DB437" s="82"/>
      <c r="DC437" s="82"/>
      <c r="DD437" s="82"/>
      <c r="DE437" s="82"/>
      <c r="DF437" s="82"/>
      <c r="DG437" s="82"/>
    </row>
    <row r="438" spans="2:111" ht="9" customHeight="1">
      <c r="B438" s="247"/>
      <c r="C438" s="247"/>
      <c r="D438" s="247"/>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247"/>
      <c r="AL438" s="247"/>
      <c r="AM438" s="247"/>
      <c r="AN438" s="247"/>
      <c r="AO438" s="247"/>
      <c r="AP438" s="247"/>
      <c r="AQ438" s="247"/>
      <c r="AR438" s="247"/>
      <c r="AS438" s="247"/>
      <c r="AT438" s="247"/>
      <c r="AU438" s="247"/>
      <c r="AV438" s="247"/>
      <c r="AW438" s="247"/>
      <c r="AX438" s="247"/>
      <c r="AY438" s="247"/>
      <c r="AZ438" s="247"/>
      <c r="BA438" s="248"/>
      <c r="BC438" s="82"/>
      <c r="BD438" s="82"/>
      <c r="BE438" s="82"/>
      <c r="BF438" s="82"/>
      <c r="BG438" s="82"/>
      <c r="BH438" s="82"/>
      <c r="BI438" s="82"/>
      <c r="BJ438" s="82"/>
      <c r="BK438" s="82"/>
      <c r="BL438" s="82"/>
      <c r="BM438" s="82"/>
      <c r="BN438" s="82"/>
      <c r="BO438" s="82"/>
      <c r="BP438" s="82"/>
      <c r="BQ438" s="82"/>
      <c r="BR438" s="82"/>
      <c r="BS438" s="82"/>
      <c r="BT438" s="82"/>
      <c r="BU438" s="82"/>
      <c r="BV438" s="82"/>
      <c r="BW438" s="82"/>
      <c r="BX438" s="82"/>
      <c r="BY438" s="82"/>
      <c r="BZ438" s="82"/>
      <c r="CA438" s="82"/>
      <c r="CB438" s="82"/>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82"/>
      <c r="CZ438" s="82"/>
      <c r="DA438" s="82"/>
      <c r="DB438" s="82"/>
      <c r="DC438" s="82"/>
      <c r="DD438" s="82"/>
      <c r="DE438" s="82"/>
      <c r="DF438" s="82"/>
      <c r="DG438" s="82"/>
    </row>
    <row r="439" spans="2:111" ht="9" customHeight="1">
      <c r="B439" s="249"/>
      <c r="C439" s="249"/>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c r="AA439" s="249"/>
      <c r="AB439" s="249"/>
      <c r="AC439" s="249"/>
      <c r="AD439" s="249"/>
      <c r="AE439" s="249"/>
      <c r="AF439" s="249"/>
      <c r="AG439" s="249"/>
      <c r="AH439" s="249"/>
      <c r="AI439" s="249"/>
      <c r="AJ439" s="249"/>
      <c r="AK439" s="249"/>
      <c r="AL439" s="249"/>
      <c r="AM439" s="249"/>
      <c r="AN439" s="249"/>
      <c r="AO439" s="249"/>
      <c r="AP439" s="249"/>
      <c r="AQ439" s="249"/>
      <c r="AR439" s="249"/>
      <c r="AS439" s="249"/>
      <c r="AT439" s="249"/>
      <c r="AU439" s="249"/>
      <c r="AV439" s="249"/>
      <c r="AW439" s="249"/>
      <c r="AX439" s="249"/>
      <c r="AY439" s="249"/>
      <c r="AZ439" s="249"/>
      <c r="BA439" s="250"/>
      <c r="BC439" s="82"/>
      <c r="BD439" s="82"/>
      <c r="BE439" s="82"/>
      <c r="BF439" s="82"/>
      <c r="BG439" s="82"/>
      <c r="BH439" s="82"/>
      <c r="BI439" s="82"/>
      <c r="BJ439" s="82"/>
      <c r="BK439" s="82"/>
      <c r="BL439" s="82"/>
      <c r="BM439" s="82"/>
      <c r="BN439" s="82"/>
      <c r="BO439" s="82"/>
      <c r="BP439" s="82"/>
      <c r="BQ439" s="82"/>
      <c r="BR439" s="82"/>
      <c r="BS439" s="82"/>
      <c r="BT439" s="82"/>
      <c r="BU439" s="82"/>
      <c r="BV439" s="82"/>
      <c r="BW439" s="82"/>
      <c r="BX439" s="82"/>
      <c r="BY439" s="82"/>
      <c r="BZ439" s="82"/>
      <c r="CA439" s="82"/>
      <c r="CB439" s="82"/>
      <c r="CC439" s="82"/>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82"/>
      <c r="CZ439" s="82"/>
      <c r="DA439" s="82"/>
      <c r="DB439" s="82"/>
      <c r="DC439" s="82"/>
      <c r="DD439" s="82"/>
      <c r="DE439" s="82"/>
      <c r="DF439" s="82"/>
      <c r="DG439" s="82"/>
    </row>
    <row r="440" spans="2:111" ht="9" customHeight="1">
      <c r="BC440" s="82"/>
      <c r="BD440" s="82"/>
      <c r="BE440" s="82"/>
      <c r="BF440" s="82"/>
      <c r="BG440" s="82"/>
      <c r="BH440" s="82"/>
      <c r="BI440" s="82"/>
      <c r="BJ440" s="82"/>
      <c r="BK440" s="82"/>
      <c r="BL440" s="82"/>
      <c r="BM440" s="82"/>
      <c r="BN440" s="82"/>
      <c r="BO440" s="82"/>
      <c r="BP440" s="82"/>
      <c r="BQ440" s="82"/>
      <c r="BR440" s="82"/>
      <c r="BS440" s="82"/>
      <c r="BT440" s="82"/>
      <c r="BU440" s="82"/>
      <c r="BV440" s="82"/>
      <c r="BW440" s="82"/>
      <c r="BX440" s="82"/>
      <c r="BY440" s="82"/>
      <c r="BZ440" s="82"/>
      <c r="CA440" s="82"/>
      <c r="CB440" s="82"/>
      <c r="CC440" s="82"/>
      <c r="CD440" s="82"/>
      <c r="CE440" s="82"/>
      <c r="CF440" s="82"/>
      <c r="CG440" s="82"/>
      <c r="CH440" s="82"/>
      <c r="CI440" s="82"/>
      <c r="CJ440" s="82"/>
      <c r="CK440" s="82"/>
      <c r="CL440" s="82"/>
      <c r="CM440" s="82"/>
      <c r="CN440" s="82"/>
      <c r="CO440" s="82"/>
      <c r="CP440" s="82"/>
      <c r="CQ440" s="82"/>
      <c r="CR440" s="82"/>
      <c r="CS440" s="82"/>
      <c r="CT440" s="82"/>
      <c r="CU440" s="82"/>
      <c r="CV440" s="82"/>
      <c r="CW440" s="82"/>
      <c r="CX440" s="82"/>
      <c r="CY440" s="82"/>
      <c r="CZ440" s="82"/>
      <c r="DA440" s="82"/>
      <c r="DB440" s="82"/>
      <c r="DC440" s="82"/>
      <c r="DD440" s="82"/>
      <c r="DE440" s="82"/>
      <c r="DF440" s="82"/>
      <c r="DG440" s="82"/>
    </row>
    <row r="441" spans="2:111" ht="9" customHeight="1">
      <c r="BC441" s="82"/>
      <c r="BD441" s="82"/>
      <c r="BE441" s="82"/>
      <c r="BF441" s="82"/>
      <c r="BG441" s="82"/>
      <c r="BH441" s="82"/>
      <c r="BI441" s="82"/>
      <c r="BJ441" s="82"/>
      <c r="BK441" s="82"/>
      <c r="BL441" s="82"/>
      <c r="BM441" s="82"/>
      <c r="BN441" s="82"/>
      <c r="BO441" s="82"/>
      <c r="BP441" s="82"/>
      <c r="BQ441" s="82"/>
      <c r="BR441" s="82"/>
      <c r="BS441" s="82"/>
      <c r="BT441" s="82"/>
      <c r="BU441" s="82"/>
      <c r="BV441" s="82"/>
      <c r="BW441" s="82"/>
      <c r="BX441" s="82"/>
      <c r="BY441" s="82"/>
      <c r="BZ441" s="82"/>
      <c r="CA441" s="82"/>
      <c r="CB441" s="82"/>
      <c r="CC441" s="82"/>
      <c r="CD441" s="82"/>
      <c r="CE441" s="82"/>
      <c r="CF441" s="82"/>
      <c r="CG441" s="82"/>
      <c r="CH441" s="82"/>
      <c r="CI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82"/>
    </row>
    <row r="442" spans="2:111" ht="9" customHeight="1">
      <c r="B442" s="215" t="s">
        <v>262</v>
      </c>
      <c r="C442" s="215"/>
      <c r="D442" s="215"/>
      <c r="E442" s="215"/>
      <c r="F442" s="215"/>
      <c r="G442" s="215"/>
      <c r="H442" s="215"/>
      <c r="I442" s="215"/>
      <c r="J442" s="215"/>
      <c r="K442" s="215"/>
      <c r="L442" s="215"/>
      <c r="M442" s="215"/>
      <c r="N442" s="7"/>
      <c r="O442" s="216" t="s">
        <v>605</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51"/>
      <c r="BC442" s="82"/>
      <c r="BD442" s="82"/>
      <c r="BE442" s="82"/>
      <c r="BF442" s="82"/>
      <c r="BG442" s="82"/>
      <c r="BH442" s="214" t="s">
        <v>360</v>
      </c>
      <c r="BI442" s="214"/>
      <c r="BJ442" s="214"/>
      <c r="BK442" s="214"/>
      <c r="BL442" s="214"/>
      <c r="BM442" s="214"/>
      <c r="BN442" s="214"/>
      <c r="BO442" s="214"/>
      <c r="BP442" s="214"/>
      <c r="BQ442" s="214"/>
      <c r="BR442" s="214"/>
      <c r="BS442" s="214"/>
      <c r="BT442" s="214"/>
      <c r="BU442" s="214"/>
      <c r="BV442" s="214"/>
      <c r="BW442" s="214"/>
      <c r="BX442" s="214"/>
      <c r="BY442" s="214"/>
      <c r="BZ442" s="214"/>
      <c r="CA442" s="214"/>
      <c r="CB442" s="214"/>
      <c r="CC442" s="214"/>
      <c r="CD442" s="214"/>
      <c r="CE442" s="214"/>
      <c r="CF442" s="214"/>
      <c r="CG442" s="214"/>
      <c r="CH442" s="214"/>
      <c r="CI442" s="214"/>
      <c r="CJ442" s="214"/>
      <c r="CK442" s="214"/>
      <c r="CL442" s="214"/>
      <c r="CM442" s="214"/>
      <c r="CN442" s="214"/>
      <c r="CO442" s="214"/>
      <c r="CP442" s="214"/>
      <c r="CQ442" s="214"/>
      <c r="CR442" s="214"/>
      <c r="CS442" s="214"/>
      <c r="CT442" s="214"/>
      <c r="CU442" s="214"/>
      <c r="CV442" s="214"/>
      <c r="CW442" s="214"/>
      <c r="CX442" s="214"/>
      <c r="CY442" s="214"/>
      <c r="CZ442" s="214"/>
      <c r="DA442" s="214"/>
      <c r="DB442" s="214"/>
      <c r="DC442" s="214"/>
      <c r="DD442" s="214"/>
      <c r="DE442" s="214"/>
      <c r="DF442" s="214"/>
      <c r="DG442" s="82"/>
    </row>
    <row r="443" spans="2:111" ht="9" customHeight="1">
      <c r="B443" s="215"/>
      <c r="C443" s="215"/>
      <c r="D443" s="215"/>
      <c r="E443" s="215"/>
      <c r="F443" s="215"/>
      <c r="G443" s="215"/>
      <c r="H443" s="215"/>
      <c r="I443" s="215"/>
      <c r="J443" s="215"/>
      <c r="K443" s="215"/>
      <c r="L443" s="215"/>
      <c r="M443" s="215"/>
      <c r="N443" s="7"/>
      <c r="O443" s="219"/>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52"/>
      <c r="BC443" s="82"/>
      <c r="BD443" s="82"/>
      <c r="BE443" s="82"/>
      <c r="BF443" s="82"/>
      <c r="BG443" s="82"/>
      <c r="BH443" s="214"/>
      <c r="BI443" s="214"/>
      <c r="BJ443" s="214"/>
      <c r="BK443" s="214"/>
      <c r="BL443" s="214"/>
      <c r="BM443" s="214"/>
      <c r="BN443" s="214"/>
      <c r="BO443" s="214"/>
      <c r="BP443" s="214"/>
      <c r="BQ443" s="214"/>
      <c r="BR443" s="214"/>
      <c r="BS443" s="214"/>
      <c r="BT443" s="214"/>
      <c r="BU443" s="214"/>
      <c r="BV443" s="214"/>
      <c r="BW443" s="214"/>
      <c r="BX443" s="214"/>
      <c r="BY443" s="214"/>
      <c r="BZ443" s="214"/>
      <c r="CA443" s="214"/>
      <c r="CB443" s="214"/>
      <c r="CC443" s="214"/>
      <c r="CD443" s="214"/>
      <c r="CE443" s="214"/>
      <c r="CF443" s="214"/>
      <c r="CG443" s="214"/>
      <c r="CH443" s="214"/>
      <c r="CI443" s="214"/>
      <c r="CJ443" s="214"/>
      <c r="CK443" s="214"/>
      <c r="CL443" s="214"/>
      <c r="CM443" s="214"/>
      <c r="CN443" s="214"/>
      <c r="CO443" s="214"/>
      <c r="CP443" s="214"/>
      <c r="CQ443" s="214"/>
      <c r="CR443" s="214"/>
      <c r="CS443" s="214"/>
      <c r="CT443" s="214"/>
      <c r="CU443" s="214"/>
      <c r="CV443" s="214"/>
      <c r="CW443" s="214"/>
      <c r="CX443" s="214"/>
      <c r="CY443" s="214"/>
      <c r="CZ443" s="214"/>
      <c r="DA443" s="214"/>
      <c r="DB443" s="214"/>
      <c r="DC443" s="214"/>
      <c r="DD443" s="214"/>
      <c r="DE443" s="214"/>
      <c r="DF443" s="214"/>
      <c r="DG443" s="82"/>
    </row>
    <row r="444" spans="2:111" ht="9" customHeight="1">
      <c r="B444" s="215"/>
      <c r="C444" s="215"/>
      <c r="D444" s="215"/>
      <c r="E444" s="215"/>
      <c r="F444" s="215"/>
      <c r="G444" s="215"/>
      <c r="H444" s="215"/>
      <c r="I444" s="215"/>
      <c r="J444" s="215"/>
      <c r="K444" s="215"/>
      <c r="L444" s="215"/>
      <c r="M444" s="215"/>
      <c r="N444" s="7"/>
      <c r="O444" s="219"/>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52"/>
      <c r="BC444" s="82"/>
      <c r="BD444" s="82"/>
      <c r="BE444" s="82"/>
      <c r="BF444" s="82"/>
      <c r="BG444" s="82"/>
      <c r="BH444" s="214"/>
      <c r="BI444" s="214"/>
      <c r="BJ444" s="214"/>
      <c r="BK444" s="214"/>
      <c r="BL444" s="214"/>
      <c r="BM444" s="214"/>
      <c r="BN444" s="214"/>
      <c r="BO444" s="214"/>
      <c r="BP444" s="214"/>
      <c r="BQ444" s="214"/>
      <c r="BR444" s="214"/>
      <c r="BS444" s="214"/>
      <c r="BT444" s="214"/>
      <c r="BU444" s="214"/>
      <c r="BV444" s="214"/>
      <c r="BW444" s="214"/>
      <c r="BX444" s="214"/>
      <c r="BY444" s="214"/>
      <c r="BZ444" s="214"/>
      <c r="CA444" s="214"/>
      <c r="CB444" s="214"/>
      <c r="CC444" s="214"/>
      <c r="CD444" s="214"/>
      <c r="CE444" s="214"/>
      <c r="CF444" s="214"/>
      <c r="CG444" s="214"/>
      <c r="CH444" s="214"/>
      <c r="CI444" s="214"/>
      <c r="CJ444" s="214"/>
      <c r="CK444" s="214"/>
      <c r="CL444" s="214"/>
      <c r="CM444" s="214"/>
      <c r="CN444" s="214"/>
      <c r="CO444" s="214"/>
      <c r="CP444" s="214"/>
      <c r="CQ444" s="214"/>
      <c r="CR444" s="214"/>
      <c r="CS444" s="214"/>
      <c r="CT444" s="214"/>
      <c r="CU444" s="214"/>
      <c r="CV444" s="214"/>
      <c r="CW444" s="214"/>
      <c r="CX444" s="214"/>
      <c r="CY444" s="214"/>
      <c r="CZ444" s="214"/>
      <c r="DA444" s="214"/>
      <c r="DB444" s="214"/>
      <c r="DC444" s="214"/>
      <c r="DD444" s="214"/>
      <c r="DE444" s="214"/>
      <c r="DF444" s="214"/>
      <c r="DG444" s="82"/>
    </row>
    <row r="445" spans="2:111" ht="9" customHeight="1">
      <c r="B445" s="6"/>
      <c r="C445" s="6"/>
      <c r="D445" s="6"/>
      <c r="E445" s="6"/>
      <c r="F445" s="6"/>
      <c r="G445" s="6"/>
      <c r="H445" s="6"/>
      <c r="I445" s="6"/>
      <c r="J445" s="6"/>
      <c r="K445" s="6"/>
      <c r="L445" s="6"/>
      <c r="M445" s="6"/>
      <c r="N445" s="7"/>
      <c r="O445" s="219"/>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52"/>
      <c r="BC445" s="82"/>
      <c r="BD445" s="82"/>
      <c r="BE445" s="82"/>
      <c r="BF445" s="82"/>
      <c r="BG445" s="82"/>
      <c r="BH445" s="214"/>
      <c r="BI445" s="214"/>
      <c r="BJ445" s="214"/>
      <c r="BK445" s="214"/>
      <c r="BL445" s="214"/>
      <c r="BM445" s="214"/>
      <c r="BN445" s="214"/>
      <c r="BO445" s="214"/>
      <c r="BP445" s="214"/>
      <c r="BQ445" s="214"/>
      <c r="BR445" s="214"/>
      <c r="BS445" s="214"/>
      <c r="BT445" s="214"/>
      <c r="BU445" s="214"/>
      <c r="BV445" s="214"/>
      <c r="BW445" s="214"/>
      <c r="BX445" s="214"/>
      <c r="BY445" s="214"/>
      <c r="BZ445" s="214"/>
      <c r="CA445" s="214"/>
      <c r="CB445" s="214"/>
      <c r="CC445" s="214"/>
      <c r="CD445" s="214"/>
      <c r="CE445" s="214"/>
      <c r="CF445" s="214"/>
      <c r="CG445" s="214"/>
      <c r="CH445" s="214"/>
      <c r="CI445" s="214"/>
      <c r="CJ445" s="214"/>
      <c r="CK445" s="214"/>
      <c r="CL445" s="214"/>
      <c r="CM445" s="214"/>
      <c r="CN445" s="214"/>
      <c r="CO445" s="214"/>
      <c r="CP445" s="214"/>
      <c r="CQ445" s="214"/>
      <c r="CR445" s="214"/>
      <c r="CS445" s="214"/>
      <c r="CT445" s="214"/>
      <c r="CU445" s="214"/>
      <c r="CV445" s="214"/>
      <c r="CW445" s="214"/>
      <c r="CX445" s="214"/>
      <c r="CY445" s="214"/>
      <c r="CZ445" s="214"/>
      <c r="DA445" s="214"/>
      <c r="DB445" s="214"/>
      <c r="DC445" s="214"/>
      <c r="DD445" s="214"/>
      <c r="DE445" s="214"/>
      <c r="DF445" s="214"/>
      <c r="DG445" s="82"/>
    </row>
    <row r="446" spans="2:111" ht="9" customHeight="1">
      <c r="B446" s="8"/>
      <c r="C446" s="8"/>
      <c r="D446" s="8"/>
      <c r="E446" s="8"/>
      <c r="F446" s="8"/>
      <c r="G446" s="8"/>
      <c r="H446" s="8"/>
      <c r="I446" s="8"/>
      <c r="J446" s="8"/>
      <c r="K446" s="8"/>
      <c r="L446" s="8"/>
      <c r="M446" s="8"/>
      <c r="N446" s="7"/>
      <c r="O446" s="219"/>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52"/>
      <c r="BC446" s="82"/>
      <c r="BD446" s="82"/>
      <c r="BE446" s="82"/>
      <c r="BF446" s="82"/>
      <c r="BG446" s="82"/>
      <c r="BH446" s="214"/>
      <c r="BI446" s="214"/>
      <c r="BJ446" s="214"/>
      <c r="BK446" s="214"/>
      <c r="BL446" s="214"/>
      <c r="BM446" s="214"/>
      <c r="BN446" s="214"/>
      <c r="BO446" s="214"/>
      <c r="BP446" s="214"/>
      <c r="BQ446" s="214"/>
      <c r="BR446" s="214"/>
      <c r="BS446" s="214"/>
      <c r="BT446" s="214"/>
      <c r="BU446" s="214"/>
      <c r="BV446" s="214"/>
      <c r="BW446" s="214"/>
      <c r="BX446" s="214"/>
      <c r="BY446" s="214"/>
      <c r="BZ446" s="214"/>
      <c r="CA446" s="214"/>
      <c r="CB446" s="214"/>
      <c r="CC446" s="214"/>
      <c r="CD446" s="214"/>
      <c r="CE446" s="214"/>
      <c r="CF446" s="214"/>
      <c r="CG446" s="214"/>
      <c r="CH446" s="214"/>
      <c r="CI446" s="214"/>
      <c r="CJ446" s="214"/>
      <c r="CK446" s="214"/>
      <c r="CL446" s="214"/>
      <c r="CM446" s="214"/>
      <c r="CN446" s="214"/>
      <c r="CO446" s="214"/>
      <c r="CP446" s="214"/>
      <c r="CQ446" s="214"/>
      <c r="CR446" s="214"/>
      <c r="CS446" s="214"/>
      <c r="CT446" s="214"/>
      <c r="CU446" s="214"/>
      <c r="CV446" s="214"/>
      <c r="CW446" s="214"/>
      <c r="CX446" s="214"/>
      <c r="CY446" s="214"/>
      <c r="CZ446" s="214"/>
      <c r="DA446" s="214"/>
      <c r="DB446" s="214"/>
      <c r="DC446" s="214"/>
      <c r="DD446" s="214"/>
      <c r="DE446" s="214"/>
      <c r="DF446" s="214"/>
      <c r="DG446" s="82"/>
    </row>
    <row r="447" spans="2:111" ht="9" customHeight="1">
      <c r="B447" s="8"/>
      <c r="C447" s="8"/>
      <c r="D447" s="8"/>
      <c r="E447" s="8"/>
      <c r="F447" s="8"/>
      <c r="G447" s="8"/>
      <c r="H447" s="8"/>
      <c r="I447" s="8"/>
      <c r="J447" s="8"/>
      <c r="K447" s="8"/>
      <c r="L447" s="8"/>
      <c r="M447" s="8"/>
      <c r="N447" s="7"/>
      <c r="O447" s="219"/>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52"/>
      <c r="BC447" s="82"/>
      <c r="BD447" s="82"/>
      <c r="BE447" s="82"/>
      <c r="BF447" s="82"/>
      <c r="BG447" s="82"/>
      <c r="BH447" s="214"/>
      <c r="BI447" s="214"/>
      <c r="BJ447" s="214"/>
      <c r="BK447" s="214"/>
      <c r="BL447" s="214"/>
      <c r="BM447" s="214"/>
      <c r="BN447" s="214"/>
      <c r="BO447" s="214"/>
      <c r="BP447" s="214"/>
      <c r="BQ447" s="214"/>
      <c r="BR447" s="214"/>
      <c r="BS447" s="214"/>
      <c r="BT447" s="214"/>
      <c r="BU447" s="214"/>
      <c r="BV447" s="214"/>
      <c r="BW447" s="214"/>
      <c r="BX447" s="214"/>
      <c r="BY447" s="214"/>
      <c r="BZ447" s="214"/>
      <c r="CA447" s="214"/>
      <c r="CB447" s="214"/>
      <c r="CC447" s="214"/>
      <c r="CD447" s="214"/>
      <c r="CE447" s="214"/>
      <c r="CF447" s="214"/>
      <c r="CG447" s="214"/>
      <c r="CH447" s="214"/>
      <c r="CI447" s="214"/>
      <c r="CJ447" s="214"/>
      <c r="CK447" s="214"/>
      <c r="CL447" s="214"/>
      <c r="CM447" s="214"/>
      <c r="CN447" s="214"/>
      <c r="CO447" s="214"/>
      <c r="CP447" s="214"/>
      <c r="CQ447" s="214"/>
      <c r="CR447" s="214"/>
      <c r="CS447" s="214"/>
      <c r="CT447" s="214"/>
      <c r="CU447" s="214"/>
      <c r="CV447" s="214"/>
      <c r="CW447" s="214"/>
      <c r="CX447" s="214"/>
      <c r="CY447" s="214"/>
      <c r="CZ447" s="214"/>
      <c r="DA447" s="214"/>
      <c r="DB447" s="214"/>
      <c r="DC447" s="214"/>
      <c r="DD447" s="214"/>
      <c r="DE447" s="214"/>
      <c r="DF447" s="214"/>
      <c r="DG447" s="82"/>
    </row>
    <row r="448" spans="2:111" ht="9" customHeight="1">
      <c r="B448" s="7"/>
      <c r="C448" s="7"/>
      <c r="D448" s="7"/>
      <c r="E448" s="7"/>
      <c r="F448" s="7"/>
      <c r="G448" s="7"/>
      <c r="H448" s="7"/>
      <c r="I448" s="7"/>
      <c r="J448" s="7"/>
      <c r="K448" s="7"/>
      <c r="L448" s="7"/>
      <c r="M448" s="7"/>
      <c r="N448" s="7"/>
      <c r="O448" s="219"/>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52"/>
      <c r="BC448" s="82"/>
      <c r="BD448" s="82"/>
      <c r="BE448" s="82"/>
      <c r="BF448" s="82"/>
      <c r="BG448" s="82"/>
      <c r="BH448" s="214"/>
      <c r="BI448" s="214"/>
      <c r="BJ448" s="214"/>
      <c r="BK448" s="214"/>
      <c r="BL448" s="214"/>
      <c r="BM448" s="214"/>
      <c r="BN448" s="214"/>
      <c r="BO448" s="214"/>
      <c r="BP448" s="214"/>
      <c r="BQ448" s="214"/>
      <c r="BR448" s="214"/>
      <c r="BS448" s="214"/>
      <c r="BT448" s="214"/>
      <c r="BU448" s="214"/>
      <c r="BV448" s="214"/>
      <c r="BW448" s="214"/>
      <c r="BX448" s="214"/>
      <c r="BY448" s="214"/>
      <c r="BZ448" s="214"/>
      <c r="CA448" s="214"/>
      <c r="CB448" s="214"/>
      <c r="CC448" s="214"/>
      <c r="CD448" s="214"/>
      <c r="CE448" s="214"/>
      <c r="CF448" s="214"/>
      <c r="CG448" s="214"/>
      <c r="CH448" s="214"/>
      <c r="CI448" s="214"/>
      <c r="CJ448" s="214"/>
      <c r="CK448" s="214"/>
      <c r="CL448" s="214"/>
      <c r="CM448" s="214"/>
      <c r="CN448" s="214"/>
      <c r="CO448" s="214"/>
      <c r="CP448" s="214"/>
      <c r="CQ448" s="214"/>
      <c r="CR448" s="214"/>
      <c r="CS448" s="214"/>
      <c r="CT448" s="214"/>
      <c r="CU448" s="214"/>
      <c r="CV448" s="214"/>
      <c r="CW448" s="214"/>
      <c r="CX448" s="214"/>
      <c r="CY448" s="214"/>
      <c r="CZ448" s="214"/>
      <c r="DA448" s="214"/>
      <c r="DB448" s="214"/>
      <c r="DC448" s="214"/>
      <c r="DD448" s="214"/>
      <c r="DE448" s="214"/>
      <c r="DF448" s="214"/>
      <c r="DG448" s="82"/>
    </row>
    <row r="449" spans="2:111" ht="9" customHeight="1">
      <c r="B449" s="7"/>
      <c r="C449" s="7"/>
      <c r="D449" s="7"/>
      <c r="E449" s="7"/>
      <c r="F449" s="7"/>
      <c r="G449" s="7"/>
      <c r="H449" s="7"/>
      <c r="I449" s="7"/>
      <c r="J449" s="7"/>
      <c r="K449" s="7"/>
      <c r="L449" s="7"/>
      <c r="M449" s="7"/>
      <c r="N449" s="7"/>
      <c r="O449" s="219"/>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52"/>
      <c r="BC449" s="82"/>
      <c r="BD449" s="82"/>
      <c r="BE449" s="82"/>
      <c r="BF449" s="82"/>
      <c r="BG449" s="82"/>
      <c r="BH449" s="214"/>
      <c r="BI449" s="214"/>
      <c r="BJ449" s="214"/>
      <c r="BK449" s="214"/>
      <c r="BL449" s="214"/>
      <c r="BM449" s="214"/>
      <c r="BN449" s="214"/>
      <c r="BO449" s="214"/>
      <c r="BP449" s="214"/>
      <c r="BQ449" s="214"/>
      <c r="BR449" s="214"/>
      <c r="BS449" s="214"/>
      <c r="BT449" s="214"/>
      <c r="BU449" s="214"/>
      <c r="BV449" s="214"/>
      <c r="BW449" s="214"/>
      <c r="BX449" s="214"/>
      <c r="BY449" s="214"/>
      <c r="BZ449" s="214"/>
      <c r="CA449" s="214"/>
      <c r="CB449" s="214"/>
      <c r="CC449" s="214"/>
      <c r="CD449" s="214"/>
      <c r="CE449" s="214"/>
      <c r="CF449" s="214"/>
      <c r="CG449" s="214"/>
      <c r="CH449" s="214"/>
      <c r="CI449" s="214"/>
      <c r="CJ449" s="214"/>
      <c r="CK449" s="214"/>
      <c r="CL449" s="214"/>
      <c r="CM449" s="214"/>
      <c r="CN449" s="214"/>
      <c r="CO449" s="214"/>
      <c r="CP449" s="214"/>
      <c r="CQ449" s="214"/>
      <c r="CR449" s="214"/>
      <c r="CS449" s="214"/>
      <c r="CT449" s="214"/>
      <c r="CU449" s="214"/>
      <c r="CV449" s="214"/>
      <c r="CW449" s="214"/>
      <c r="CX449" s="214"/>
      <c r="CY449" s="214"/>
      <c r="CZ449" s="214"/>
      <c r="DA449" s="214"/>
      <c r="DB449" s="214"/>
      <c r="DC449" s="214"/>
      <c r="DD449" s="214"/>
      <c r="DE449" s="214"/>
      <c r="DF449" s="214"/>
      <c r="DG449" s="82"/>
    </row>
    <row r="450" spans="2:111" ht="9" customHeight="1">
      <c r="O450" s="219"/>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52"/>
      <c r="BC450" s="82"/>
      <c r="BD450" s="82"/>
      <c r="BE450" s="82"/>
      <c r="BF450" s="82"/>
      <c r="BG450" s="82"/>
      <c r="BH450" s="214"/>
      <c r="BI450" s="214"/>
      <c r="BJ450" s="214"/>
      <c r="BK450" s="214"/>
      <c r="BL450" s="214"/>
      <c r="BM450" s="214"/>
      <c r="BN450" s="214"/>
      <c r="BO450" s="214"/>
      <c r="BP450" s="214"/>
      <c r="BQ450" s="214"/>
      <c r="BR450" s="214"/>
      <c r="BS450" s="214"/>
      <c r="BT450" s="214"/>
      <c r="BU450" s="214"/>
      <c r="BV450" s="214"/>
      <c r="BW450" s="214"/>
      <c r="BX450" s="214"/>
      <c r="BY450" s="214"/>
      <c r="BZ450" s="214"/>
      <c r="CA450" s="214"/>
      <c r="CB450" s="214"/>
      <c r="CC450" s="214"/>
      <c r="CD450" s="214"/>
      <c r="CE450" s="214"/>
      <c r="CF450" s="214"/>
      <c r="CG450" s="214"/>
      <c r="CH450" s="214"/>
      <c r="CI450" s="214"/>
      <c r="CJ450" s="214"/>
      <c r="CK450" s="214"/>
      <c r="CL450" s="214"/>
      <c r="CM450" s="214"/>
      <c r="CN450" s="214"/>
      <c r="CO450" s="214"/>
      <c r="CP450" s="214"/>
      <c r="CQ450" s="214"/>
      <c r="CR450" s="214"/>
      <c r="CS450" s="214"/>
      <c r="CT450" s="214"/>
      <c r="CU450" s="214"/>
      <c r="CV450" s="214"/>
      <c r="CW450" s="214"/>
      <c r="CX450" s="214"/>
      <c r="CY450" s="214"/>
      <c r="CZ450" s="214"/>
      <c r="DA450" s="214"/>
      <c r="DB450" s="214"/>
      <c r="DC450" s="214"/>
      <c r="DD450" s="214"/>
      <c r="DE450" s="214"/>
      <c r="DF450" s="214"/>
      <c r="DG450" s="82"/>
    </row>
    <row r="451" spans="2:111" ht="9" customHeight="1">
      <c r="O451" s="219"/>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52"/>
      <c r="BC451" s="82"/>
      <c r="BD451" s="82"/>
      <c r="BE451" s="82"/>
      <c r="BF451" s="82"/>
      <c r="BG451" s="82"/>
      <c r="BH451" s="214"/>
      <c r="BI451" s="214"/>
      <c r="BJ451" s="214"/>
      <c r="BK451" s="214"/>
      <c r="BL451" s="214"/>
      <c r="BM451" s="214"/>
      <c r="BN451" s="214"/>
      <c r="BO451" s="214"/>
      <c r="BP451" s="214"/>
      <c r="BQ451" s="214"/>
      <c r="BR451" s="214"/>
      <c r="BS451" s="214"/>
      <c r="BT451" s="214"/>
      <c r="BU451" s="214"/>
      <c r="BV451" s="214"/>
      <c r="BW451" s="214"/>
      <c r="BX451" s="214"/>
      <c r="BY451" s="214"/>
      <c r="BZ451" s="214"/>
      <c r="CA451" s="214"/>
      <c r="CB451" s="214"/>
      <c r="CC451" s="214"/>
      <c r="CD451" s="214"/>
      <c r="CE451" s="214"/>
      <c r="CF451" s="214"/>
      <c r="CG451" s="214"/>
      <c r="CH451" s="214"/>
      <c r="CI451" s="214"/>
      <c r="CJ451" s="214"/>
      <c r="CK451" s="214"/>
      <c r="CL451" s="214"/>
      <c r="CM451" s="214"/>
      <c r="CN451" s="214"/>
      <c r="CO451" s="214"/>
      <c r="CP451" s="214"/>
      <c r="CQ451" s="214"/>
      <c r="CR451" s="214"/>
      <c r="CS451" s="214"/>
      <c r="CT451" s="214"/>
      <c r="CU451" s="214"/>
      <c r="CV451" s="214"/>
      <c r="CW451" s="214"/>
      <c r="CX451" s="214"/>
      <c r="CY451" s="214"/>
      <c r="CZ451" s="214"/>
      <c r="DA451" s="214"/>
      <c r="DB451" s="214"/>
      <c r="DC451" s="214"/>
      <c r="DD451" s="214"/>
      <c r="DE451" s="214"/>
      <c r="DF451" s="214"/>
      <c r="DG451" s="82"/>
    </row>
    <row r="452" spans="2:111" ht="9" customHeight="1">
      <c r="O452" s="219"/>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52"/>
      <c r="BC452" s="82"/>
      <c r="BD452" s="82"/>
      <c r="BE452" s="82"/>
      <c r="BF452" s="82"/>
      <c r="BG452" s="82"/>
      <c r="BH452" s="214"/>
      <c r="BI452" s="214"/>
      <c r="BJ452" s="214"/>
      <c r="BK452" s="214"/>
      <c r="BL452" s="214"/>
      <c r="BM452" s="214"/>
      <c r="BN452" s="214"/>
      <c r="BO452" s="214"/>
      <c r="BP452" s="214"/>
      <c r="BQ452" s="214"/>
      <c r="BR452" s="214"/>
      <c r="BS452" s="214"/>
      <c r="BT452" s="214"/>
      <c r="BU452" s="214"/>
      <c r="BV452" s="214"/>
      <c r="BW452" s="214"/>
      <c r="BX452" s="214"/>
      <c r="BY452" s="214"/>
      <c r="BZ452" s="214"/>
      <c r="CA452" s="214"/>
      <c r="CB452" s="214"/>
      <c r="CC452" s="214"/>
      <c r="CD452" s="214"/>
      <c r="CE452" s="214"/>
      <c r="CF452" s="214"/>
      <c r="CG452" s="214"/>
      <c r="CH452" s="214"/>
      <c r="CI452" s="214"/>
      <c r="CJ452" s="214"/>
      <c r="CK452" s="214"/>
      <c r="CL452" s="214"/>
      <c r="CM452" s="214"/>
      <c r="CN452" s="214"/>
      <c r="CO452" s="214"/>
      <c r="CP452" s="214"/>
      <c r="CQ452" s="214"/>
      <c r="CR452" s="214"/>
      <c r="CS452" s="214"/>
      <c r="CT452" s="214"/>
      <c r="CU452" s="214"/>
      <c r="CV452" s="214"/>
      <c r="CW452" s="214"/>
      <c r="CX452" s="214"/>
      <c r="CY452" s="214"/>
      <c r="CZ452" s="214"/>
      <c r="DA452" s="214"/>
      <c r="DB452" s="214"/>
      <c r="DC452" s="214"/>
      <c r="DD452" s="214"/>
      <c r="DE452" s="214"/>
      <c r="DF452" s="214"/>
      <c r="DG452" s="82"/>
    </row>
    <row r="453" spans="2:111" ht="9" customHeight="1">
      <c r="O453" s="219"/>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52"/>
      <c r="BC453" s="82"/>
      <c r="BD453" s="82"/>
      <c r="BE453" s="82"/>
      <c r="BF453" s="82"/>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row>
    <row r="454" spans="2:111" ht="9" customHeight="1">
      <c r="O454" s="219"/>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52"/>
      <c r="BC454" s="82"/>
      <c r="BD454" s="82"/>
      <c r="BE454" s="82"/>
      <c r="BF454" s="82"/>
      <c r="BG454" s="82"/>
      <c r="BH454" s="82"/>
      <c r="BI454" s="82"/>
      <c r="BJ454" s="82"/>
      <c r="BK454" s="82"/>
      <c r="BL454" s="82"/>
      <c r="BM454" s="82"/>
      <c r="BN454" s="82"/>
      <c r="BO454" s="82"/>
      <c r="BP454" s="82"/>
      <c r="BQ454" s="82"/>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c r="CR454" s="82"/>
      <c r="CS454" s="82"/>
      <c r="CT454" s="82"/>
      <c r="CU454" s="82"/>
      <c r="CV454" s="82"/>
      <c r="CW454" s="82"/>
      <c r="CX454" s="82"/>
      <c r="CY454" s="82"/>
      <c r="CZ454" s="82"/>
      <c r="DA454" s="82"/>
      <c r="DB454" s="82"/>
      <c r="DC454" s="82"/>
      <c r="DD454" s="82"/>
      <c r="DE454" s="82"/>
      <c r="DF454" s="82"/>
      <c r="DG454" s="82"/>
    </row>
    <row r="455" spans="2:111" ht="9" customHeight="1">
      <c r="O455" s="219"/>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52"/>
      <c r="BC455" s="82"/>
      <c r="BD455" s="82"/>
      <c r="BE455" s="82"/>
      <c r="BF455" s="82"/>
      <c r="BG455" s="82"/>
      <c r="BH455" s="82"/>
      <c r="BI455" s="82"/>
      <c r="BJ455" s="82"/>
      <c r="BK455" s="82"/>
      <c r="BL455" s="82"/>
      <c r="BM455" s="82"/>
      <c r="BN455" s="82"/>
      <c r="BO455" s="82"/>
      <c r="BP455" s="82"/>
      <c r="BQ455" s="82"/>
      <c r="BR455" s="82"/>
      <c r="BS455" s="82"/>
      <c r="BT455" s="82"/>
      <c r="BU455" s="82"/>
      <c r="BV455" s="82"/>
      <c r="BW455" s="82"/>
      <c r="BX455" s="82"/>
      <c r="BY455" s="82"/>
      <c r="BZ455" s="82"/>
      <c r="CA455" s="82"/>
      <c r="CB455" s="82"/>
      <c r="CC455" s="82"/>
      <c r="CD455" s="82"/>
      <c r="CE455" s="82"/>
      <c r="CF455" s="82"/>
      <c r="CG455" s="82"/>
      <c r="CH455" s="82"/>
      <c r="CI455" s="82"/>
      <c r="CJ455" s="82"/>
      <c r="CK455" s="82"/>
      <c r="CL455" s="82"/>
      <c r="CM455" s="82"/>
      <c r="CN455" s="82"/>
      <c r="CO455" s="82"/>
      <c r="CP455" s="82"/>
      <c r="CQ455" s="82"/>
      <c r="CR455" s="82"/>
      <c r="CS455" s="82"/>
      <c r="CT455" s="82"/>
      <c r="CU455" s="82"/>
      <c r="CV455" s="82"/>
      <c r="CW455" s="82"/>
      <c r="CX455" s="82"/>
      <c r="CY455" s="82"/>
      <c r="CZ455" s="82"/>
      <c r="DA455" s="82"/>
      <c r="DB455" s="82"/>
      <c r="DC455" s="82"/>
      <c r="DD455" s="82"/>
      <c r="DE455" s="82"/>
      <c r="DF455" s="82"/>
      <c r="DG455" s="82"/>
    </row>
    <row r="456" spans="2:111" ht="9" customHeight="1">
      <c r="O456" s="219"/>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52"/>
      <c r="BC456" s="82"/>
      <c r="BD456" s="82"/>
      <c r="BE456" s="82"/>
      <c r="BF456" s="82"/>
      <c r="BG456" s="82"/>
      <c r="BH456" s="82"/>
      <c r="BI456" s="82"/>
      <c r="BJ456" s="82"/>
      <c r="BK456" s="82"/>
      <c r="BL456" s="82"/>
      <c r="BM456" s="82"/>
      <c r="BN456" s="82"/>
      <c r="BO456" s="82"/>
      <c r="BP456" s="82"/>
      <c r="BQ456" s="82"/>
      <c r="BR456" s="82"/>
      <c r="BS456" s="82"/>
      <c r="BT456" s="82"/>
      <c r="BU456" s="82"/>
      <c r="BV456" s="82"/>
      <c r="BW456" s="82"/>
      <c r="BX456" s="82"/>
      <c r="BY456" s="82"/>
      <c r="BZ456" s="82"/>
      <c r="CA456" s="82"/>
      <c r="CB456" s="82"/>
      <c r="CC456" s="82"/>
      <c r="CD456" s="82"/>
      <c r="CE456" s="82"/>
      <c r="CF456" s="82"/>
      <c r="CG456" s="82"/>
      <c r="CH456" s="82"/>
      <c r="CI456" s="82"/>
      <c r="CJ456" s="82"/>
      <c r="CK456" s="82"/>
      <c r="CL456" s="82"/>
      <c r="CM456" s="82"/>
      <c r="CN456" s="82"/>
      <c r="CO456" s="82"/>
      <c r="CP456" s="82"/>
      <c r="CQ456" s="82"/>
      <c r="CR456" s="82"/>
      <c r="CS456" s="82"/>
      <c r="CT456" s="82"/>
      <c r="CU456" s="82"/>
      <c r="CV456" s="82"/>
      <c r="CW456" s="82"/>
      <c r="CX456" s="82"/>
      <c r="CY456" s="82"/>
      <c r="CZ456" s="82"/>
      <c r="DA456" s="82"/>
      <c r="DB456" s="82"/>
      <c r="DC456" s="82"/>
      <c r="DD456" s="82"/>
      <c r="DE456" s="82"/>
      <c r="DF456" s="82"/>
      <c r="DG456" s="82"/>
    </row>
    <row r="457" spans="2:111" ht="9" customHeight="1">
      <c r="O457" s="219"/>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52"/>
      <c r="BC457" s="82"/>
      <c r="BD457" s="82"/>
      <c r="BE457" s="82"/>
      <c r="BF457" s="82"/>
      <c r="BG457" s="82"/>
      <c r="BH457" s="82"/>
      <c r="BI457" s="82"/>
      <c r="BJ457" s="82"/>
      <c r="BK457" s="82"/>
      <c r="BL457" s="82"/>
      <c r="BM457" s="82"/>
      <c r="BN457" s="82"/>
      <c r="BO457" s="82"/>
      <c r="BP457" s="82"/>
      <c r="BQ457" s="82"/>
      <c r="BR457" s="82"/>
      <c r="BS457" s="82"/>
      <c r="BT457" s="82"/>
      <c r="BU457" s="82"/>
      <c r="BV457" s="82"/>
      <c r="BW457" s="82"/>
      <c r="BX457" s="82"/>
      <c r="BY457" s="82"/>
      <c r="BZ457" s="82"/>
      <c r="CA457" s="82"/>
      <c r="CB457" s="82"/>
      <c r="CC457" s="82"/>
      <c r="CD457" s="82"/>
      <c r="CE457" s="82"/>
      <c r="CF457" s="82"/>
      <c r="CG457" s="82"/>
      <c r="CH457" s="82"/>
      <c r="CI457" s="82"/>
      <c r="CJ457" s="82"/>
      <c r="CK457" s="82"/>
      <c r="CL457" s="82"/>
      <c r="CM457" s="82"/>
      <c r="CN457" s="82"/>
      <c r="CO457" s="82"/>
      <c r="CP457" s="82"/>
      <c r="CQ457" s="82"/>
      <c r="CR457" s="82"/>
      <c r="CS457" s="82"/>
      <c r="CT457" s="82"/>
      <c r="CU457" s="82"/>
      <c r="CV457" s="82"/>
      <c r="CW457" s="82"/>
      <c r="CX457" s="82"/>
      <c r="CY457" s="82"/>
      <c r="CZ457" s="82"/>
      <c r="DA457" s="82"/>
      <c r="DB457" s="82"/>
      <c r="DC457" s="82"/>
      <c r="DD457" s="82"/>
      <c r="DE457" s="82"/>
      <c r="DF457" s="82"/>
      <c r="DG457" s="82"/>
    </row>
    <row r="458" spans="2:111" ht="9" customHeight="1">
      <c r="O458" s="219"/>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5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2"/>
      <c r="CZ458" s="82"/>
      <c r="DA458" s="82"/>
      <c r="DB458" s="82"/>
      <c r="DC458" s="82"/>
      <c r="DD458" s="82"/>
      <c r="DE458" s="82"/>
      <c r="DF458" s="82"/>
      <c r="DG458" s="82"/>
    </row>
    <row r="459" spans="2:111" ht="9" customHeight="1">
      <c r="O459" s="219"/>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52"/>
      <c r="BC459" s="82"/>
      <c r="BD459" s="82"/>
      <c r="BE459" s="82"/>
      <c r="BF459" s="82"/>
      <c r="BG459" s="82"/>
      <c r="BH459" s="82"/>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2"/>
      <c r="CZ459" s="82"/>
      <c r="DA459" s="82"/>
      <c r="DB459" s="82"/>
      <c r="DC459" s="82"/>
      <c r="DD459" s="82"/>
      <c r="DE459" s="82"/>
      <c r="DF459" s="82"/>
      <c r="DG459" s="82"/>
    </row>
    <row r="460" spans="2:111" ht="9" customHeight="1">
      <c r="O460" s="219"/>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5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c r="CA460" s="82"/>
      <c r="CB460" s="82"/>
      <c r="CC460" s="82"/>
      <c r="CD460" s="82"/>
      <c r="CE460" s="82"/>
      <c r="CF460" s="82"/>
      <c r="CG460" s="82"/>
      <c r="CH460" s="82"/>
      <c r="CI460" s="82"/>
      <c r="CJ460" s="82"/>
      <c r="CK460" s="82"/>
      <c r="CL460" s="82"/>
      <c r="CM460" s="82"/>
      <c r="CN460" s="82"/>
      <c r="CO460" s="82"/>
      <c r="CP460" s="82"/>
      <c r="CQ460" s="82"/>
      <c r="CR460" s="82"/>
      <c r="CS460" s="82"/>
      <c r="CT460" s="82"/>
      <c r="CU460" s="82"/>
      <c r="CV460" s="82"/>
      <c r="CW460" s="82"/>
      <c r="CX460" s="82"/>
      <c r="CY460" s="82"/>
      <c r="CZ460" s="82"/>
      <c r="DA460" s="82"/>
      <c r="DB460" s="82"/>
      <c r="DC460" s="82"/>
      <c r="DD460" s="82"/>
      <c r="DE460" s="82"/>
      <c r="DF460" s="82"/>
      <c r="DG460" s="82"/>
    </row>
    <row r="461" spans="2:111" ht="9" customHeight="1">
      <c r="O461" s="219"/>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52"/>
      <c r="BC461" s="82"/>
      <c r="BD461" s="82"/>
      <c r="BE461" s="82"/>
      <c r="BF461" s="82"/>
      <c r="BG461" s="82"/>
      <c r="BH461" s="82"/>
      <c r="BI461" s="82"/>
      <c r="BJ461" s="82"/>
      <c r="BK461" s="82"/>
      <c r="BL461" s="82"/>
      <c r="BM461" s="82"/>
      <c r="BN461" s="82"/>
      <c r="BO461" s="82"/>
      <c r="BP461" s="82"/>
      <c r="BQ461" s="82"/>
      <c r="BR461" s="82"/>
      <c r="BS461" s="82"/>
      <c r="BT461" s="82"/>
      <c r="BU461" s="82"/>
      <c r="BV461" s="82"/>
      <c r="BW461" s="82"/>
      <c r="BX461" s="82"/>
      <c r="BY461" s="82"/>
      <c r="BZ461" s="82"/>
      <c r="CA461" s="82"/>
      <c r="CB461" s="82"/>
      <c r="CC461" s="82"/>
      <c r="CD461" s="82"/>
      <c r="CE461" s="82"/>
      <c r="CF461" s="82"/>
      <c r="CG461" s="82"/>
      <c r="CH461" s="82"/>
      <c r="CI461" s="82"/>
      <c r="CJ461" s="82"/>
      <c r="CK461" s="82"/>
      <c r="CL461" s="82"/>
      <c r="CM461" s="82"/>
      <c r="CN461" s="82"/>
      <c r="CO461" s="82"/>
      <c r="CP461" s="82"/>
      <c r="CQ461" s="82"/>
      <c r="CR461" s="82"/>
      <c r="CS461" s="82"/>
      <c r="CT461" s="82"/>
      <c r="CU461" s="82"/>
      <c r="CV461" s="82"/>
      <c r="CW461" s="82"/>
      <c r="CX461" s="82"/>
      <c r="CY461" s="82"/>
      <c r="CZ461" s="82"/>
      <c r="DA461" s="82"/>
      <c r="DB461" s="82"/>
      <c r="DC461" s="82"/>
      <c r="DD461" s="82"/>
      <c r="DE461" s="82"/>
      <c r="DF461" s="82"/>
      <c r="DG461" s="82"/>
    </row>
    <row r="462" spans="2:111" ht="9" customHeight="1">
      <c r="O462" s="219"/>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52"/>
      <c r="BC462" s="82"/>
      <c r="BD462" s="82"/>
      <c r="BE462" s="82"/>
      <c r="BF462" s="82"/>
      <c r="BG462" s="82"/>
      <c r="BH462" s="82"/>
      <c r="BI462" s="82"/>
      <c r="BJ462" s="82"/>
      <c r="BK462" s="82"/>
      <c r="BL462" s="82"/>
      <c r="BM462" s="82"/>
      <c r="BN462" s="82"/>
      <c r="BO462" s="82"/>
      <c r="BP462" s="82"/>
      <c r="BQ462" s="82"/>
      <c r="BR462" s="82"/>
      <c r="BS462" s="82"/>
      <c r="BT462" s="82"/>
      <c r="BU462" s="82"/>
      <c r="BV462" s="82"/>
      <c r="BW462" s="82"/>
      <c r="BX462" s="82"/>
      <c r="BY462" s="82"/>
      <c r="BZ462" s="82"/>
      <c r="CA462" s="82"/>
      <c r="CB462" s="82"/>
      <c r="CC462" s="82"/>
      <c r="CD462" s="82"/>
      <c r="CE462" s="82"/>
      <c r="CF462" s="82"/>
      <c r="CG462" s="82"/>
      <c r="CH462" s="82"/>
      <c r="CI462" s="82"/>
      <c r="CJ462" s="82"/>
      <c r="CK462" s="82"/>
      <c r="CL462" s="82"/>
      <c r="CM462" s="82"/>
      <c r="CN462" s="82"/>
      <c r="CO462" s="82"/>
      <c r="CP462" s="82"/>
      <c r="CQ462" s="82"/>
      <c r="CR462" s="82"/>
      <c r="CS462" s="82"/>
      <c r="CT462" s="82"/>
      <c r="CU462" s="82"/>
      <c r="CV462" s="82"/>
      <c r="CW462" s="82"/>
      <c r="CX462" s="82"/>
      <c r="CY462" s="82"/>
      <c r="CZ462" s="82"/>
      <c r="DA462" s="82"/>
      <c r="DB462" s="82"/>
      <c r="DC462" s="82"/>
      <c r="DD462" s="82"/>
      <c r="DE462" s="82"/>
      <c r="DF462" s="82"/>
      <c r="DG462" s="82"/>
    </row>
    <row r="463" spans="2:111" ht="9" customHeight="1">
      <c r="O463" s="219"/>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52"/>
      <c r="BC463" s="82"/>
      <c r="BD463" s="82"/>
      <c r="BE463" s="82"/>
      <c r="BF463" s="82"/>
      <c r="BG463" s="82"/>
      <c r="BH463" s="82"/>
      <c r="BI463" s="82"/>
      <c r="BJ463" s="82"/>
      <c r="BK463" s="82"/>
      <c r="BL463" s="82"/>
      <c r="BM463" s="82"/>
      <c r="BN463" s="82"/>
      <c r="BO463" s="82"/>
      <c r="BP463" s="82"/>
      <c r="BQ463" s="82"/>
      <c r="BR463" s="82"/>
      <c r="BS463" s="82"/>
      <c r="BT463" s="82"/>
      <c r="BU463" s="82"/>
      <c r="BV463" s="82"/>
      <c r="BW463" s="82"/>
      <c r="BX463" s="82"/>
      <c r="BY463" s="82"/>
      <c r="BZ463" s="82"/>
      <c r="CA463" s="82"/>
      <c r="CB463" s="82"/>
      <c r="CC463" s="82"/>
      <c r="CD463" s="82"/>
      <c r="CE463" s="82"/>
      <c r="CF463" s="82"/>
      <c r="CG463" s="82"/>
      <c r="CH463" s="82"/>
      <c r="CI463" s="82"/>
      <c r="CJ463" s="82"/>
      <c r="CK463" s="82"/>
      <c r="CL463" s="82"/>
      <c r="CM463" s="82"/>
      <c r="CN463" s="82"/>
      <c r="CO463" s="82"/>
      <c r="CP463" s="82"/>
      <c r="CQ463" s="82"/>
      <c r="CR463" s="82"/>
      <c r="CS463" s="82"/>
      <c r="CT463" s="82"/>
      <c r="CU463" s="82"/>
      <c r="CV463" s="82"/>
      <c r="CW463" s="82"/>
      <c r="CX463" s="82"/>
      <c r="CY463" s="82"/>
      <c r="CZ463" s="82"/>
      <c r="DA463" s="82"/>
      <c r="DB463" s="82"/>
      <c r="DC463" s="82"/>
      <c r="DD463" s="82"/>
      <c r="DE463" s="82"/>
      <c r="DF463" s="82"/>
      <c r="DG463" s="82"/>
    </row>
    <row r="464" spans="2:111" ht="9" customHeight="1">
      <c r="O464" s="219"/>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52"/>
      <c r="BC464" s="82"/>
      <c r="BD464" s="82"/>
      <c r="BE464" s="82"/>
      <c r="BF464" s="82"/>
      <c r="BG464" s="82"/>
      <c r="BH464" s="82"/>
      <c r="BI464" s="82"/>
      <c r="BJ464" s="82"/>
      <c r="BK464" s="82"/>
      <c r="BL464" s="82"/>
      <c r="BM464" s="82"/>
      <c r="BN464" s="82"/>
      <c r="BO464" s="82"/>
      <c r="BP464" s="82"/>
      <c r="BQ464" s="82"/>
      <c r="BR464" s="82"/>
      <c r="BS464" s="82"/>
      <c r="BT464" s="82"/>
      <c r="BU464" s="82"/>
      <c r="BV464" s="82"/>
      <c r="BW464" s="82"/>
      <c r="BX464" s="82"/>
      <c r="BY464" s="82"/>
      <c r="BZ464" s="82"/>
      <c r="CA464" s="82"/>
      <c r="CB464" s="82"/>
      <c r="CC464" s="82"/>
      <c r="CD464" s="82"/>
      <c r="CE464" s="82"/>
      <c r="CF464" s="82"/>
      <c r="CG464" s="82"/>
      <c r="CH464" s="82"/>
      <c r="CI464" s="82"/>
      <c r="CJ464" s="82"/>
      <c r="CK464" s="82"/>
      <c r="CL464" s="82"/>
      <c r="CM464" s="82"/>
      <c r="CN464" s="82"/>
      <c r="CO464" s="82"/>
      <c r="CP464" s="82"/>
      <c r="CQ464" s="82"/>
      <c r="CR464" s="82"/>
      <c r="CS464" s="82"/>
      <c r="CT464" s="82"/>
      <c r="CU464" s="82"/>
      <c r="CV464" s="82"/>
      <c r="CW464" s="82"/>
      <c r="CX464" s="82"/>
      <c r="CY464" s="82"/>
      <c r="CZ464" s="82"/>
      <c r="DA464" s="82"/>
      <c r="DB464" s="82"/>
      <c r="DC464" s="82"/>
      <c r="DD464" s="82"/>
      <c r="DE464" s="82"/>
      <c r="DF464" s="82"/>
      <c r="DG464" s="82"/>
    </row>
    <row r="465" spans="15:111" ht="9" customHeight="1">
      <c r="O465" s="219"/>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52"/>
      <c r="BC465" s="82"/>
      <c r="BD465" s="82"/>
      <c r="BE465" s="82"/>
      <c r="BF465" s="82"/>
      <c r="BG465" s="82"/>
      <c r="BH465" s="82"/>
      <c r="BI465" s="82"/>
      <c r="BJ465" s="82"/>
      <c r="BK465" s="82"/>
      <c r="BL465" s="82"/>
      <c r="BM465" s="82"/>
      <c r="BN465" s="82"/>
      <c r="BO465" s="82"/>
      <c r="BP465" s="82"/>
      <c r="BQ465" s="82"/>
      <c r="BR465" s="82"/>
      <c r="BS465" s="82"/>
      <c r="BT465" s="82"/>
      <c r="BU465" s="82"/>
      <c r="BV465" s="82"/>
      <c r="BW465" s="82"/>
      <c r="BX465" s="82"/>
      <c r="BY465" s="82"/>
      <c r="BZ465" s="82"/>
      <c r="CA465" s="82"/>
      <c r="CB465" s="82"/>
      <c r="CC465" s="82"/>
      <c r="CD465" s="82"/>
      <c r="CE465" s="82"/>
      <c r="CF465" s="82"/>
      <c r="CG465" s="82"/>
      <c r="CH465" s="82"/>
      <c r="CI465" s="82"/>
      <c r="CJ465" s="82"/>
      <c r="CK465" s="82"/>
      <c r="CL465" s="82"/>
      <c r="CM465" s="82"/>
      <c r="CN465" s="82"/>
      <c r="CO465" s="82"/>
      <c r="CP465" s="82"/>
      <c r="CQ465" s="82"/>
      <c r="CR465" s="82"/>
      <c r="CS465" s="82"/>
      <c r="CT465" s="82"/>
      <c r="CU465" s="82"/>
      <c r="CV465" s="82"/>
      <c r="CW465" s="82"/>
      <c r="CX465" s="82"/>
      <c r="CY465" s="82"/>
      <c r="CZ465" s="82"/>
      <c r="DA465" s="82"/>
      <c r="DB465" s="82"/>
      <c r="DC465" s="82"/>
      <c r="DD465" s="82"/>
      <c r="DE465" s="82"/>
      <c r="DF465" s="82"/>
      <c r="DG465" s="82"/>
    </row>
    <row r="466" spans="15:111" ht="9" customHeight="1">
      <c r="O466" s="219"/>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52"/>
      <c r="BC466" s="82"/>
      <c r="BD466" s="82"/>
      <c r="BE466" s="82"/>
      <c r="BF466" s="82"/>
      <c r="BG466" s="82"/>
      <c r="BH466" s="82"/>
      <c r="BI466" s="82"/>
      <c r="BJ466" s="82"/>
      <c r="BK466" s="82"/>
      <c r="BL466" s="82"/>
      <c r="BM466" s="82"/>
      <c r="BN466" s="82"/>
      <c r="BO466" s="82"/>
      <c r="BP466" s="82"/>
      <c r="BQ466" s="82"/>
      <c r="BR466" s="82"/>
      <c r="BS466" s="82"/>
      <c r="BT466" s="82"/>
      <c r="BU466" s="82"/>
      <c r="BV466" s="82"/>
      <c r="BW466" s="82"/>
      <c r="BX466" s="82"/>
      <c r="BY466" s="82"/>
      <c r="BZ466" s="82"/>
      <c r="CA466" s="82"/>
      <c r="CB466" s="82"/>
      <c r="CC466" s="82"/>
      <c r="CD466" s="82"/>
      <c r="CE466" s="82"/>
      <c r="CF466" s="82"/>
      <c r="CG466" s="82"/>
      <c r="CH466" s="82"/>
      <c r="CI466" s="82"/>
      <c r="CJ466" s="82"/>
      <c r="CK466" s="82"/>
      <c r="CL466" s="82"/>
      <c r="CM466" s="82"/>
      <c r="CN466" s="82"/>
      <c r="CO466" s="82"/>
      <c r="CP466" s="82"/>
      <c r="CQ466" s="82"/>
      <c r="CR466" s="82"/>
      <c r="CS466" s="82"/>
      <c r="CT466" s="82"/>
      <c r="CU466" s="82"/>
      <c r="CV466" s="82"/>
      <c r="CW466" s="82"/>
      <c r="CX466" s="82"/>
      <c r="CY466" s="82"/>
      <c r="CZ466" s="82"/>
      <c r="DA466" s="82"/>
      <c r="DB466" s="82"/>
      <c r="DC466" s="82"/>
      <c r="DD466" s="82"/>
      <c r="DE466" s="82"/>
      <c r="DF466" s="82"/>
      <c r="DG466" s="82"/>
    </row>
    <row r="467" spans="15:111" ht="9" customHeight="1">
      <c r="O467" s="219"/>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52"/>
      <c r="BC467" s="82"/>
      <c r="BD467" s="82"/>
      <c r="BE467" s="82"/>
      <c r="BF467" s="82"/>
      <c r="BG467" s="82"/>
      <c r="BH467" s="82"/>
      <c r="BI467" s="82"/>
      <c r="BJ467" s="82"/>
      <c r="BK467" s="82"/>
      <c r="BL467" s="82"/>
      <c r="BM467" s="82"/>
      <c r="BN467" s="82"/>
      <c r="BO467" s="82"/>
      <c r="BP467" s="82"/>
      <c r="BQ467" s="82"/>
      <c r="BR467" s="82"/>
      <c r="BS467" s="82"/>
      <c r="BT467" s="82"/>
      <c r="BU467" s="82"/>
      <c r="BV467" s="82"/>
      <c r="BW467" s="82"/>
      <c r="BX467" s="82"/>
      <c r="BY467" s="82"/>
      <c r="BZ467" s="82"/>
      <c r="CA467" s="82"/>
      <c r="CB467" s="82"/>
      <c r="CC467" s="82"/>
      <c r="CD467" s="82"/>
      <c r="CE467" s="82"/>
      <c r="CF467" s="82"/>
      <c r="CG467" s="82"/>
      <c r="CH467" s="82"/>
      <c r="CI467" s="82"/>
      <c r="CJ467" s="82"/>
      <c r="CK467" s="82"/>
      <c r="CL467" s="82"/>
      <c r="CM467" s="82"/>
      <c r="CN467" s="82"/>
      <c r="CO467" s="82"/>
      <c r="CP467" s="82"/>
      <c r="CQ467" s="82"/>
      <c r="CR467" s="82"/>
      <c r="CS467" s="82"/>
      <c r="CT467" s="82"/>
      <c r="CU467" s="82"/>
      <c r="CV467" s="82"/>
      <c r="CW467" s="82"/>
      <c r="CX467" s="82"/>
      <c r="CY467" s="82"/>
      <c r="CZ467" s="82"/>
      <c r="DA467" s="82"/>
      <c r="DB467" s="82"/>
      <c r="DC467" s="82"/>
      <c r="DD467" s="82"/>
      <c r="DE467" s="82"/>
      <c r="DF467" s="82"/>
      <c r="DG467" s="82"/>
    </row>
    <row r="468" spans="15:111" ht="9" customHeight="1">
      <c r="O468" s="219"/>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52"/>
      <c r="BC468" s="82"/>
      <c r="BD468" s="82"/>
      <c r="BE468" s="82"/>
      <c r="BF468" s="82"/>
      <c r="BG468" s="82"/>
      <c r="BH468" s="82"/>
      <c r="BI468" s="82"/>
      <c r="BJ468" s="82"/>
      <c r="BK468" s="82"/>
      <c r="BL468" s="82"/>
      <c r="BM468" s="82"/>
      <c r="BN468" s="82"/>
      <c r="BO468" s="82"/>
      <c r="BP468" s="82"/>
      <c r="BQ468" s="82"/>
      <c r="BR468" s="82"/>
      <c r="BS468" s="82"/>
      <c r="BT468" s="82"/>
      <c r="BU468" s="82"/>
      <c r="BV468" s="82"/>
      <c r="BW468" s="82"/>
      <c r="BX468" s="82"/>
      <c r="BY468" s="82"/>
      <c r="BZ468" s="82"/>
      <c r="CA468" s="82"/>
      <c r="CB468" s="82"/>
      <c r="CC468" s="82"/>
      <c r="CD468" s="82"/>
      <c r="CE468" s="82"/>
      <c r="CF468" s="82"/>
      <c r="CG468" s="82"/>
      <c r="CH468" s="82"/>
      <c r="CI468" s="82"/>
      <c r="CJ468" s="82"/>
      <c r="CK468" s="82"/>
      <c r="CL468" s="82"/>
      <c r="CM468" s="82"/>
      <c r="CN468" s="82"/>
      <c r="CO468" s="82"/>
      <c r="CP468" s="82"/>
      <c r="CQ468" s="82"/>
      <c r="CR468" s="82"/>
      <c r="CS468" s="82"/>
      <c r="CT468" s="82"/>
      <c r="CU468" s="82"/>
      <c r="CV468" s="82"/>
      <c r="CW468" s="82"/>
      <c r="CX468" s="82"/>
      <c r="CY468" s="82"/>
      <c r="CZ468" s="82"/>
      <c r="DA468" s="82"/>
      <c r="DB468" s="82"/>
      <c r="DC468" s="82"/>
      <c r="DD468" s="82"/>
      <c r="DE468" s="82"/>
      <c r="DF468" s="82"/>
      <c r="DG468" s="82"/>
    </row>
    <row r="469" spans="15:111" ht="9" customHeight="1">
      <c r="O469" s="219"/>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52"/>
      <c r="BC469" s="82"/>
      <c r="BD469" s="82"/>
      <c r="BE469" s="82"/>
      <c r="BF469" s="82"/>
      <c r="BG469" s="82"/>
      <c r="BH469" s="82"/>
      <c r="BI469" s="82"/>
      <c r="BJ469" s="82"/>
      <c r="BK469" s="82"/>
      <c r="BL469" s="82"/>
      <c r="BM469" s="82"/>
      <c r="BN469" s="82"/>
      <c r="BO469" s="82"/>
      <c r="BP469" s="82"/>
      <c r="BQ469" s="82"/>
      <c r="BR469" s="82"/>
      <c r="BS469" s="82"/>
      <c r="BT469" s="82"/>
      <c r="BU469" s="82"/>
      <c r="BV469" s="82"/>
      <c r="BW469" s="82"/>
      <c r="BX469" s="82"/>
      <c r="BY469" s="82"/>
      <c r="BZ469" s="82"/>
      <c r="CA469" s="82"/>
      <c r="CB469" s="82"/>
      <c r="CC469" s="82"/>
      <c r="CD469" s="82"/>
      <c r="CE469" s="82"/>
      <c r="CF469" s="82"/>
      <c r="CG469" s="82"/>
      <c r="CH469" s="82"/>
      <c r="CI469" s="82"/>
      <c r="CJ469" s="82"/>
      <c r="CK469" s="82"/>
      <c r="CL469" s="82"/>
      <c r="CM469" s="82"/>
      <c r="CN469" s="82"/>
      <c r="CO469" s="82"/>
      <c r="CP469" s="82"/>
      <c r="CQ469" s="82"/>
      <c r="CR469" s="82"/>
      <c r="CS469" s="82"/>
      <c r="CT469" s="82"/>
      <c r="CU469" s="82"/>
      <c r="CV469" s="82"/>
      <c r="CW469" s="82"/>
      <c r="CX469" s="82"/>
      <c r="CY469" s="82"/>
      <c r="CZ469" s="82"/>
      <c r="DA469" s="82"/>
      <c r="DB469" s="82"/>
      <c r="DC469" s="82"/>
      <c r="DD469" s="82"/>
      <c r="DE469" s="82"/>
      <c r="DF469" s="82"/>
      <c r="DG469" s="82"/>
    </row>
    <row r="470" spans="15:111" ht="9" customHeight="1">
      <c r="O470" s="219"/>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52"/>
      <c r="BC470" s="82"/>
      <c r="BD470" s="82"/>
      <c r="BE470" s="82"/>
      <c r="BF470" s="82"/>
      <c r="BG470" s="82"/>
      <c r="BH470" s="82"/>
      <c r="BI470" s="82"/>
      <c r="BJ470" s="82"/>
      <c r="BK470" s="82"/>
      <c r="BL470" s="82"/>
      <c r="BM470" s="82"/>
      <c r="BN470" s="82"/>
      <c r="BO470" s="82"/>
      <c r="BP470" s="82"/>
      <c r="BQ470" s="82"/>
      <c r="BR470" s="82"/>
      <c r="BS470" s="82"/>
      <c r="BT470" s="82"/>
      <c r="BU470" s="82"/>
      <c r="BV470" s="82"/>
      <c r="BW470" s="82"/>
      <c r="BX470" s="82"/>
      <c r="BY470" s="82"/>
      <c r="BZ470" s="82"/>
      <c r="CA470" s="82"/>
      <c r="CB470" s="82"/>
      <c r="CC470" s="82"/>
      <c r="CD470" s="82"/>
      <c r="CE470" s="82"/>
      <c r="CF470" s="82"/>
      <c r="CG470" s="82"/>
      <c r="CH470" s="82"/>
      <c r="CI470" s="82"/>
      <c r="CJ470" s="82"/>
      <c r="CK470" s="82"/>
      <c r="CL470" s="82"/>
      <c r="CM470" s="82"/>
      <c r="CN470" s="82"/>
      <c r="CO470" s="82"/>
      <c r="CP470" s="82"/>
      <c r="CQ470" s="82"/>
      <c r="CR470" s="82"/>
      <c r="CS470" s="82"/>
      <c r="CT470" s="82"/>
      <c r="CU470" s="82"/>
      <c r="CV470" s="82"/>
      <c r="CW470" s="82"/>
      <c r="CX470" s="82"/>
      <c r="CY470" s="82"/>
      <c r="CZ470" s="82"/>
      <c r="DA470" s="82"/>
      <c r="DB470" s="82"/>
      <c r="DC470" s="82"/>
      <c r="DD470" s="82"/>
      <c r="DE470" s="82"/>
      <c r="DF470" s="82"/>
      <c r="DG470" s="82"/>
    </row>
    <row r="471" spans="15:111" ht="9" customHeight="1">
      <c r="O471" s="219"/>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52"/>
      <c r="BC471" s="82"/>
      <c r="BD471" s="82"/>
      <c r="BE471" s="82"/>
      <c r="BF471" s="82"/>
      <c r="BG471" s="82"/>
      <c r="BH471" s="82"/>
      <c r="BI471" s="82"/>
      <c r="BJ471" s="82"/>
      <c r="BK471" s="82"/>
      <c r="BL471" s="82"/>
      <c r="BM471" s="82"/>
      <c r="BN471" s="82"/>
      <c r="BO471" s="82"/>
      <c r="BP471" s="82"/>
      <c r="BQ471" s="82"/>
      <c r="BR471" s="82"/>
      <c r="BS471" s="82"/>
      <c r="BT471" s="82"/>
      <c r="BU471" s="82"/>
      <c r="BV471" s="82"/>
      <c r="BW471" s="82"/>
      <c r="BX471" s="82"/>
      <c r="BY471" s="82"/>
      <c r="BZ471" s="82"/>
      <c r="CA471" s="82"/>
      <c r="CB471" s="82"/>
      <c r="CC471" s="82"/>
      <c r="CD471" s="82"/>
      <c r="CE471" s="82"/>
      <c r="CF471" s="82"/>
      <c r="CG471" s="82"/>
      <c r="CH471" s="82"/>
      <c r="CI471" s="82"/>
      <c r="CJ471" s="82"/>
      <c r="CK471" s="82"/>
      <c r="CL471" s="82"/>
      <c r="CM471" s="82"/>
      <c r="CN471" s="82"/>
      <c r="CO471" s="82"/>
      <c r="CP471" s="82"/>
      <c r="CQ471" s="82"/>
      <c r="CR471" s="82"/>
      <c r="CS471" s="82"/>
      <c r="CT471" s="82"/>
      <c r="CU471" s="82"/>
      <c r="CV471" s="82"/>
      <c r="CW471" s="82"/>
      <c r="CX471" s="82"/>
      <c r="CY471" s="82"/>
      <c r="CZ471" s="82"/>
      <c r="DA471" s="82"/>
      <c r="DB471" s="82"/>
      <c r="DC471" s="82"/>
      <c r="DD471" s="82"/>
      <c r="DE471" s="82"/>
      <c r="DF471" s="82"/>
      <c r="DG471" s="82"/>
    </row>
    <row r="472" spans="15:111" ht="9" customHeight="1">
      <c r="O472" s="219"/>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52"/>
      <c r="BC472" s="82"/>
      <c r="BD472" s="82"/>
      <c r="BE472" s="82"/>
      <c r="BF472" s="82"/>
      <c r="BG472" s="82"/>
      <c r="BH472" s="82"/>
      <c r="BI472" s="82"/>
      <c r="BJ472" s="82"/>
      <c r="BK472" s="82"/>
      <c r="BL472" s="82"/>
      <c r="BM472" s="82"/>
      <c r="BN472" s="82"/>
      <c r="BO472" s="82"/>
      <c r="BP472" s="82"/>
      <c r="BQ472" s="82"/>
      <c r="BR472" s="82"/>
      <c r="BS472" s="82"/>
      <c r="BT472" s="82"/>
      <c r="BU472" s="82"/>
      <c r="BV472" s="82"/>
      <c r="BW472" s="82"/>
      <c r="BX472" s="82"/>
      <c r="BY472" s="82"/>
      <c r="BZ472" s="82"/>
      <c r="CA472" s="82"/>
      <c r="CB472" s="82"/>
      <c r="CC472" s="82"/>
      <c r="CD472" s="82"/>
      <c r="CE472" s="82"/>
      <c r="CF472" s="82"/>
      <c r="CG472" s="82"/>
      <c r="CH472" s="82"/>
      <c r="CI472" s="82"/>
      <c r="CJ472" s="82"/>
      <c r="CK472" s="82"/>
      <c r="CL472" s="82"/>
      <c r="CM472" s="82"/>
      <c r="CN472" s="82"/>
      <c r="CO472" s="82"/>
      <c r="CP472" s="82"/>
      <c r="CQ472" s="82"/>
      <c r="CR472" s="82"/>
      <c r="CS472" s="82"/>
      <c r="CT472" s="82"/>
      <c r="CU472" s="82"/>
      <c r="CV472" s="82"/>
      <c r="CW472" s="82"/>
      <c r="CX472" s="82"/>
      <c r="CY472" s="82"/>
      <c r="CZ472" s="82"/>
      <c r="DA472" s="82"/>
      <c r="DB472" s="82"/>
      <c r="DC472" s="82"/>
      <c r="DD472" s="82"/>
      <c r="DE472" s="82"/>
      <c r="DF472" s="82"/>
      <c r="DG472" s="82"/>
    </row>
    <row r="473" spans="15:111" ht="9" customHeight="1">
      <c r="O473" s="219"/>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52"/>
      <c r="BC473" s="82"/>
      <c r="BD473" s="82"/>
      <c r="BE473" s="82"/>
      <c r="BF473" s="82"/>
      <c r="BG473" s="82"/>
      <c r="BH473" s="82"/>
      <c r="BI473" s="82"/>
      <c r="BJ473" s="82"/>
      <c r="BK473" s="82"/>
      <c r="BL473" s="82"/>
      <c r="BM473" s="82"/>
      <c r="BN473" s="82"/>
      <c r="BO473" s="82"/>
      <c r="BP473" s="82"/>
      <c r="BQ473" s="82"/>
      <c r="BR473" s="82"/>
      <c r="BS473" s="82"/>
      <c r="BT473" s="82"/>
      <c r="BU473" s="82"/>
      <c r="BV473" s="82"/>
      <c r="BW473" s="82"/>
      <c r="BX473" s="82"/>
      <c r="BY473" s="82"/>
      <c r="BZ473" s="82"/>
      <c r="CA473" s="82"/>
      <c r="CB473" s="82"/>
      <c r="CC473" s="82"/>
      <c r="CD473" s="82"/>
      <c r="CE473" s="82"/>
      <c r="CF473" s="82"/>
      <c r="CG473" s="82"/>
      <c r="CH473" s="82"/>
      <c r="CI473" s="82"/>
      <c r="CJ473" s="82"/>
      <c r="CK473" s="82"/>
      <c r="CL473" s="82"/>
      <c r="CM473" s="82"/>
      <c r="CN473" s="82"/>
      <c r="CO473" s="82"/>
      <c r="CP473" s="82"/>
      <c r="CQ473" s="82"/>
      <c r="CR473" s="82"/>
      <c r="CS473" s="82"/>
      <c r="CT473" s="82"/>
      <c r="CU473" s="82"/>
      <c r="CV473" s="82"/>
      <c r="CW473" s="82"/>
      <c r="CX473" s="82"/>
      <c r="CY473" s="82"/>
      <c r="CZ473" s="82"/>
      <c r="DA473" s="82"/>
      <c r="DB473" s="82"/>
      <c r="DC473" s="82"/>
      <c r="DD473" s="82"/>
      <c r="DE473" s="82"/>
      <c r="DF473" s="82"/>
      <c r="DG473" s="82"/>
    </row>
    <row r="474" spans="15:111" ht="9" customHeight="1">
      <c r="O474" s="219"/>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52"/>
      <c r="BC474" s="82"/>
      <c r="BD474" s="82"/>
      <c r="BE474" s="82"/>
      <c r="BF474" s="82"/>
      <c r="BG474" s="82"/>
      <c r="BH474" s="82"/>
      <c r="BI474" s="82"/>
      <c r="BJ474" s="82"/>
      <c r="BK474" s="82"/>
      <c r="BL474" s="82"/>
      <c r="BM474" s="82"/>
      <c r="BN474" s="82"/>
      <c r="BO474" s="82"/>
      <c r="BP474" s="82"/>
      <c r="BQ474" s="82"/>
      <c r="BR474" s="82"/>
      <c r="BS474" s="82"/>
      <c r="BT474" s="82"/>
      <c r="BU474" s="82"/>
      <c r="BV474" s="82"/>
      <c r="BW474" s="82"/>
      <c r="BX474" s="82"/>
      <c r="BY474" s="82"/>
      <c r="BZ474" s="82"/>
      <c r="CA474" s="82"/>
      <c r="CB474" s="82"/>
      <c r="CC474" s="82"/>
      <c r="CD474" s="82"/>
      <c r="CE474" s="82"/>
      <c r="CF474" s="82"/>
      <c r="CG474" s="82"/>
      <c r="CH474" s="82"/>
      <c r="CI474" s="82"/>
      <c r="CJ474" s="82"/>
      <c r="CK474" s="82"/>
      <c r="CL474" s="82"/>
      <c r="CM474" s="82"/>
      <c r="CN474" s="82"/>
      <c r="CO474" s="82"/>
      <c r="CP474" s="82"/>
      <c r="CQ474" s="82"/>
      <c r="CR474" s="82"/>
      <c r="CS474" s="82"/>
      <c r="CT474" s="82"/>
      <c r="CU474" s="82"/>
      <c r="CV474" s="82"/>
      <c r="CW474" s="82"/>
      <c r="CX474" s="82"/>
      <c r="CY474" s="82"/>
      <c r="CZ474" s="82"/>
      <c r="DA474" s="82"/>
      <c r="DB474" s="82"/>
      <c r="DC474" s="82"/>
      <c r="DD474" s="82"/>
      <c r="DE474" s="82"/>
      <c r="DF474" s="82"/>
      <c r="DG474" s="82"/>
    </row>
    <row r="475" spans="15:111" ht="9" customHeight="1">
      <c r="O475" s="219"/>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52"/>
      <c r="BC475" s="82"/>
      <c r="BD475" s="82"/>
      <c r="BE475" s="82"/>
      <c r="BF475" s="82"/>
      <c r="BG475" s="82"/>
      <c r="BH475" s="82"/>
      <c r="BI475" s="82"/>
      <c r="BJ475" s="82"/>
      <c r="BK475" s="82"/>
      <c r="BL475" s="82"/>
      <c r="BM475" s="82"/>
      <c r="BN475" s="82"/>
      <c r="BO475" s="82"/>
      <c r="BP475" s="82"/>
      <c r="BQ475" s="82"/>
      <c r="BR475" s="82"/>
      <c r="BS475" s="82"/>
      <c r="BT475" s="82"/>
      <c r="BU475" s="82"/>
      <c r="BV475" s="82"/>
      <c r="BW475" s="82"/>
      <c r="BX475" s="82"/>
      <c r="BY475" s="82"/>
      <c r="BZ475" s="82"/>
      <c r="CA475" s="82"/>
      <c r="CB475" s="82"/>
      <c r="CC475" s="82"/>
      <c r="CD475" s="82"/>
      <c r="CE475" s="82"/>
      <c r="CF475" s="82"/>
      <c r="CG475" s="82"/>
      <c r="CH475" s="82"/>
      <c r="CI475" s="82"/>
      <c r="CJ475" s="82"/>
      <c r="CK475" s="82"/>
      <c r="CL475" s="82"/>
      <c r="CM475" s="82"/>
      <c r="CN475" s="82"/>
      <c r="CO475" s="82"/>
      <c r="CP475" s="82"/>
      <c r="CQ475" s="82"/>
      <c r="CR475" s="82"/>
      <c r="CS475" s="82"/>
      <c r="CT475" s="82"/>
      <c r="CU475" s="82"/>
      <c r="CV475" s="82"/>
      <c r="CW475" s="82"/>
      <c r="CX475" s="82"/>
      <c r="CY475" s="82"/>
      <c r="CZ475" s="82"/>
      <c r="DA475" s="82"/>
      <c r="DB475" s="82"/>
      <c r="DC475" s="82"/>
      <c r="DD475" s="82"/>
      <c r="DE475" s="82"/>
      <c r="DF475" s="82"/>
      <c r="DG475" s="82"/>
    </row>
    <row r="476" spans="15:111" ht="9" customHeight="1">
      <c r="O476" s="219"/>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5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row>
    <row r="477" spans="15:111" ht="9" customHeight="1">
      <c r="O477" s="219"/>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52"/>
      <c r="BC477" s="82"/>
      <c r="BD477" s="82"/>
      <c r="BE477" s="82"/>
      <c r="BF477" s="82"/>
      <c r="BG477" s="82"/>
      <c r="BH477" s="82"/>
      <c r="BI477" s="82"/>
      <c r="BJ477" s="82"/>
      <c r="BK477" s="82"/>
      <c r="BL477" s="82"/>
      <c r="BM477" s="82"/>
      <c r="BN477" s="82"/>
      <c r="BO477" s="82"/>
      <c r="BP477" s="82"/>
      <c r="BQ477" s="82"/>
      <c r="BR477" s="82"/>
      <c r="BS477" s="82"/>
      <c r="BT477" s="82"/>
      <c r="BU477" s="82"/>
      <c r="BV477" s="82"/>
      <c r="BW477" s="82"/>
      <c r="BX477" s="82"/>
      <c r="BY477" s="82"/>
      <c r="BZ477" s="82"/>
      <c r="CA477" s="82"/>
      <c r="CB477" s="82"/>
      <c r="CC477" s="82"/>
      <c r="CD477" s="82"/>
      <c r="CE477" s="82"/>
      <c r="CF477" s="82"/>
      <c r="CG477" s="82"/>
      <c r="CH477" s="82"/>
      <c r="CI477" s="82"/>
      <c r="CJ477" s="82"/>
      <c r="CK477" s="82"/>
      <c r="CL477" s="82"/>
      <c r="CM477" s="82"/>
      <c r="CN477" s="82"/>
      <c r="CO477" s="82"/>
      <c r="CP477" s="82"/>
      <c r="CQ477" s="82"/>
      <c r="CR477" s="82"/>
      <c r="CS477" s="82"/>
      <c r="CT477" s="82"/>
      <c r="CU477" s="82"/>
      <c r="CV477" s="82"/>
      <c r="CW477" s="82"/>
      <c r="CX477" s="82"/>
      <c r="CY477" s="82"/>
      <c r="CZ477" s="82"/>
      <c r="DA477" s="82"/>
      <c r="DB477" s="82"/>
      <c r="DC477" s="82"/>
      <c r="DD477" s="82"/>
      <c r="DE477" s="82"/>
      <c r="DF477" s="82"/>
      <c r="DG477" s="82"/>
    </row>
    <row r="478" spans="15:111" ht="9" customHeight="1">
      <c r="O478" s="219"/>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52"/>
      <c r="BC478" s="82"/>
      <c r="BD478" s="82"/>
      <c r="BE478" s="82"/>
      <c r="BF478" s="82"/>
      <c r="BG478" s="82"/>
      <c r="BH478" s="82"/>
      <c r="BI478" s="82"/>
      <c r="BJ478" s="82"/>
      <c r="BK478" s="82"/>
      <c r="BL478" s="82"/>
      <c r="BM478" s="82"/>
      <c r="BN478" s="82"/>
      <c r="BO478" s="82"/>
      <c r="BP478" s="82"/>
      <c r="BQ478" s="82"/>
      <c r="BR478" s="82"/>
      <c r="BS478" s="82"/>
      <c r="BT478" s="82"/>
      <c r="BU478" s="82"/>
      <c r="BV478" s="82"/>
      <c r="BW478" s="82"/>
      <c r="BX478" s="82"/>
      <c r="BY478" s="82"/>
      <c r="BZ478" s="82"/>
      <c r="CA478" s="82"/>
      <c r="CB478" s="82"/>
      <c r="CC478" s="82"/>
      <c r="CD478" s="82"/>
      <c r="CE478" s="82"/>
      <c r="CF478" s="82"/>
      <c r="CG478" s="82"/>
      <c r="CH478" s="82"/>
      <c r="CI478" s="82"/>
      <c r="CJ478" s="82"/>
      <c r="CK478" s="82"/>
      <c r="CL478" s="82"/>
      <c r="CM478" s="82"/>
      <c r="CN478" s="82"/>
      <c r="CO478" s="82"/>
      <c r="CP478" s="82"/>
      <c r="CQ478" s="82"/>
      <c r="CR478" s="82"/>
      <c r="CS478" s="82"/>
      <c r="CT478" s="82"/>
      <c r="CU478" s="82"/>
      <c r="CV478" s="82"/>
      <c r="CW478" s="82"/>
      <c r="CX478" s="82"/>
      <c r="CY478" s="82"/>
      <c r="CZ478" s="82"/>
      <c r="DA478" s="82"/>
      <c r="DB478" s="82"/>
      <c r="DC478" s="82"/>
      <c r="DD478" s="82"/>
      <c r="DE478" s="82"/>
      <c r="DF478" s="82"/>
      <c r="DG478" s="82"/>
    </row>
    <row r="479" spans="15:111" ht="9" customHeight="1">
      <c r="O479" s="219"/>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5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row>
    <row r="480" spans="15:111" ht="9" customHeight="1">
      <c r="O480" s="219"/>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52"/>
      <c r="BC480" s="82"/>
      <c r="BD480" s="82"/>
      <c r="BE480" s="82"/>
      <c r="BF480" s="82"/>
      <c r="BG480" s="82"/>
      <c r="BH480" s="82"/>
      <c r="BI480" s="82"/>
      <c r="BJ480" s="82"/>
      <c r="BK480" s="82"/>
      <c r="BL480" s="82"/>
      <c r="BM480" s="82"/>
      <c r="BN480" s="82"/>
      <c r="BO480" s="82"/>
      <c r="BP480" s="82"/>
      <c r="BQ480" s="82"/>
      <c r="BR480" s="82"/>
      <c r="BS480" s="82"/>
      <c r="BT480" s="82"/>
      <c r="BU480" s="82"/>
      <c r="BV480" s="82"/>
      <c r="BW480" s="82"/>
      <c r="BX480" s="82"/>
      <c r="BY480" s="82"/>
      <c r="BZ480" s="82"/>
      <c r="CA480" s="82"/>
      <c r="CB480" s="82"/>
      <c r="CC480" s="82"/>
      <c r="CD480" s="82"/>
      <c r="CE480" s="82"/>
      <c r="CF480" s="82"/>
      <c r="CG480" s="82"/>
      <c r="CH480" s="82"/>
      <c r="CI480" s="82"/>
      <c r="CJ480" s="82"/>
      <c r="CK480" s="82"/>
      <c r="CL480" s="82"/>
      <c r="CM480" s="82"/>
      <c r="CN480" s="82"/>
      <c r="CO480" s="82"/>
      <c r="CP480" s="82"/>
      <c r="CQ480" s="82"/>
      <c r="CR480" s="82"/>
      <c r="CS480" s="82"/>
      <c r="CT480" s="82"/>
      <c r="CU480" s="82"/>
      <c r="CV480" s="82"/>
      <c r="CW480" s="82"/>
      <c r="CX480" s="82"/>
      <c r="CY480" s="82"/>
      <c r="CZ480" s="82"/>
      <c r="DA480" s="82"/>
      <c r="DB480" s="82"/>
      <c r="DC480" s="82"/>
      <c r="DD480" s="82"/>
      <c r="DE480" s="82"/>
      <c r="DF480" s="82"/>
      <c r="DG480" s="82"/>
    </row>
    <row r="481" spans="15:111" ht="9" customHeight="1">
      <c r="O481" s="219"/>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52"/>
      <c r="BC481" s="82"/>
      <c r="BD481" s="82"/>
      <c r="BE481" s="82"/>
      <c r="BF481" s="82"/>
      <c r="BG481" s="82"/>
      <c r="BH481" s="82"/>
      <c r="BI481" s="82"/>
      <c r="BJ481" s="82"/>
      <c r="BK481" s="82"/>
      <c r="BL481" s="82"/>
      <c r="BM481" s="82"/>
      <c r="BN481" s="82"/>
      <c r="BO481" s="82"/>
      <c r="BP481" s="82"/>
      <c r="BQ481" s="82"/>
      <c r="BR481" s="82"/>
      <c r="BS481" s="82"/>
      <c r="BT481" s="82"/>
      <c r="BU481" s="82"/>
      <c r="BV481" s="82"/>
      <c r="BW481" s="82"/>
      <c r="BX481" s="82"/>
      <c r="BY481" s="82"/>
      <c r="BZ481" s="82"/>
      <c r="CA481" s="82"/>
      <c r="CB481" s="82"/>
      <c r="CC481" s="82"/>
      <c r="CD481" s="82"/>
      <c r="CE481" s="82"/>
      <c r="CF481" s="82"/>
      <c r="CG481" s="82"/>
      <c r="CH481" s="82"/>
      <c r="CI481" s="82"/>
      <c r="CJ481" s="82"/>
      <c r="CK481" s="82"/>
      <c r="CL481" s="82"/>
      <c r="CM481" s="82"/>
      <c r="CN481" s="82"/>
      <c r="CO481" s="82"/>
      <c r="CP481" s="82"/>
      <c r="CQ481" s="82"/>
      <c r="CR481" s="82"/>
      <c r="CS481" s="82"/>
      <c r="CT481" s="82"/>
      <c r="CU481" s="82"/>
      <c r="CV481" s="82"/>
      <c r="CW481" s="82"/>
      <c r="CX481" s="82"/>
      <c r="CY481" s="82"/>
      <c r="CZ481" s="82"/>
      <c r="DA481" s="82"/>
      <c r="DB481" s="82"/>
      <c r="DC481" s="82"/>
      <c r="DD481" s="82"/>
      <c r="DE481" s="82"/>
      <c r="DF481" s="82"/>
      <c r="DG481" s="82"/>
    </row>
    <row r="482" spans="15:111" ht="9" customHeight="1">
      <c r="O482" s="219"/>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52"/>
      <c r="BC482" s="82"/>
      <c r="BD482" s="82"/>
      <c r="BE482" s="82"/>
      <c r="BF482" s="82"/>
      <c r="BG482" s="82"/>
      <c r="BH482" s="82"/>
      <c r="BI482" s="82"/>
      <c r="BJ482" s="82"/>
      <c r="BK482" s="82"/>
      <c r="BL482" s="82"/>
      <c r="BM482" s="82"/>
      <c r="BN482" s="82"/>
      <c r="BO482" s="82"/>
      <c r="BP482" s="82"/>
      <c r="BQ482" s="82"/>
      <c r="BR482" s="82"/>
      <c r="BS482" s="82"/>
      <c r="BT482" s="82"/>
      <c r="BU482" s="82"/>
      <c r="BV482" s="82"/>
      <c r="BW482" s="82"/>
      <c r="BX482" s="82"/>
      <c r="BY482" s="82"/>
      <c r="BZ482" s="82"/>
      <c r="CA482" s="82"/>
      <c r="CB482" s="82"/>
      <c r="CC482" s="82"/>
      <c r="CD482" s="82"/>
      <c r="CE482" s="82"/>
      <c r="CF482" s="82"/>
      <c r="CG482" s="82"/>
      <c r="CH482" s="82"/>
      <c r="CI482" s="82"/>
      <c r="CJ482" s="82"/>
      <c r="CK482" s="82"/>
      <c r="CL482" s="82"/>
      <c r="CM482" s="82"/>
      <c r="CN482" s="82"/>
      <c r="CO482" s="82"/>
      <c r="CP482" s="82"/>
      <c r="CQ482" s="82"/>
      <c r="CR482" s="82"/>
      <c r="CS482" s="82"/>
      <c r="CT482" s="82"/>
      <c r="CU482" s="82"/>
      <c r="CV482" s="82"/>
      <c r="CW482" s="82"/>
      <c r="CX482" s="82"/>
      <c r="CY482" s="82"/>
      <c r="CZ482" s="82"/>
      <c r="DA482" s="82"/>
      <c r="DB482" s="82"/>
      <c r="DC482" s="82"/>
      <c r="DD482" s="82"/>
      <c r="DE482" s="82"/>
      <c r="DF482" s="82"/>
      <c r="DG482" s="82"/>
    </row>
    <row r="483" spans="15:111" ht="9" customHeight="1">
      <c r="O483" s="219"/>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52"/>
      <c r="BC483" s="82"/>
      <c r="BD483" s="82"/>
      <c r="BE483" s="82"/>
      <c r="BF483" s="82"/>
      <c r="BG483" s="82"/>
      <c r="BH483" s="82"/>
      <c r="BI483" s="82"/>
      <c r="BJ483" s="82"/>
      <c r="BK483" s="82"/>
      <c r="BL483" s="82"/>
      <c r="BM483" s="82"/>
      <c r="BN483" s="82"/>
      <c r="BO483" s="82"/>
      <c r="BP483" s="82"/>
      <c r="BQ483" s="82"/>
      <c r="BR483" s="82"/>
      <c r="BS483" s="82"/>
      <c r="BT483" s="82"/>
      <c r="BU483" s="82"/>
      <c r="BV483" s="82"/>
      <c r="BW483" s="82"/>
      <c r="BX483" s="82"/>
      <c r="BY483" s="82"/>
      <c r="BZ483" s="82"/>
      <c r="CA483" s="82"/>
      <c r="CB483" s="82"/>
      <c r="CC483" s="82"/>
      <c r="CD483" s="82"/>
      <c r="CE483" s="82"/>
      <c r="CF483" s="82"/>
      <c r="CG483" s="82"/>
      <c r="CH483" s="82"/>
      <c r="CI483" s="82"/>
      <c r="CJ483" s="82"/>
      <c r="CK483" s="82"/>
      <c r="CL483" s="82"/>
      <c r="CM483" s="82"/>
      <c r="CN483" s="82"/>
      <c r="CO483" s="82"/>
      <c r="CP483" s="82"/>
      <c r="CQ483" s="82"/>
      <c r="CR483" s="82"/>
      <c r="CS483" s="82"/>
      <c r="CT483" s="82"/>
      <c r="CU483" s="82"/>
      <c r="CV483" s="82"/>
      <c r="CW483" s="82"/>
      <c r="CX483" s="82"/>
      <c r="CY483" s="82"/>
      <c r="CZ483" s="82"/>
      <c r="DA483" s="82"/>
      <c r="DB483" s="82"/>
      <c r="DC483" s="82"/>
      <c r="DD483" s="82"/>
      <c r="DE483" s="82"/>
      <c r="DF483" s="82"/>
      <c r="DG483" s="82"/>
    </row>
    <row r="484" spans="15:111" ht="9" customHeight="1">
      <c r="O484" s="219"/>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5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row>
    <row r="485" spans="15:111" ht="9" customHeight="1">
      <c r="O485" s="219"/>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52"/>
      <c r="BC485" s="82"/>
      <c r="BD485" s="82"/>
      <c r="BE485" s="82"/>
      <c r="BF485" s="82"/>
      <c r="BG485" s="82"/>
      <c r="BH485" s="82"/>
      <c r="BI485" s="82"/>
      <c r="BJ485" s="82"/>
      <c r="BK485" s="82"/>
      <c r="BL485" s="82"/>
      <c r="BM485" s="82"/>
      <c r="BN485" s="82"/>
      <c r="BO485" s="82"/>
      <c r="BP485" s="82"/>
      <c r="BQ485" s="82"/>
      <c r="BR485" s="82"/>
      <c r="BS485" s="82"/>
      <c r="BT485" s="82"/>
      <c r="BU485" s="82"/>
      <c r="BV485" s="82"/>
      <c r="BW485" s="82"/>
      <c r="BX485" s="82"/>
      <c r="BY485" s="82"/>
      <c r="BZ485" s="82"/>
      <c r="CA485" s="82"/>
      <c r="CB485" s="82"/>
      <c r="CC485" s="82"/>
      <c r="CD485" s="82"/>
      <c r="CE485" s="82"/>
      <c r="CF485" s="82"/>
      <c r="CG485" s="82"/>
      <c r="CH485" s="82"/>
      <c r="CI485" s="82"/>
      <c r="CJ485" s="82"/>
      <c r="CK485" s="82"/>
      <c r="CL485" s="82"/>
      <c r="CM485" s="82"/>
      <c r="CN485" s="82"/>
      <c r="CO485" s="82"/>
      <c r="CP485" s="82"/>
      <c r="CQ485" s="82"/>
      <c r="CR485" s="82"/>
      <c r="CS485" s="82"/>
      <c r="CT485" s="82"/>
      <c r="CU485" s="82"/>
      <c r="CV485" s="82"/>
      <c r="CW485" s="82"/>
      <c r="CX485" s="82"/>
      <c r="CY485" s="82"/>
      <c r="CZ485" s="82"/>
      <c r="DA485" s="82"/>
      <c r="DB485" s="82"/>
      <c r="DC485" s="82"/>
      <c r="DD485" s="82"/>
      <c r="DE485" s="82"/>
      <c r="DF485" s="82"/>
      <c r="DG485" s="82"/>
    </row>
    <row r="486" spans="15:111" ht="9" customHeight="1">
      <c r="O486" s="219"/>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52"/>
      <c r="BC486" s="82"/>
      <c r="BD486" s="82"/>
      <c r="BE486" s="82"/>
      <c r="BF486" s="82"/>
      <c r="BG486" s="82"/>
      <c r="BH486" s="82"/>
      <c r="BI486" s="82"/>
      <c r="BJ486" s="82"/>
      <c r="BK486" s="82"/>
      <c r="BL486" s="82"/>
      <c r="BM486" s="82"/>
      <c r="BN486" s="82"/>
      <c r="BO486" s="82"/>
      <c r="BP486" s="82"/>
      <c r="BQ486" s="82"/>
      <c r="BR486" s="82"/>
      <c r="BS486" s="82"/>
      <c r="BT486" s="82"/>
      <c r="BU486" s="82"/>
      <c r="BV486" s="82"/>
      <c r="BW486" s="82"/>
      <c r="BX486" s="82"/>
      <c r="BY486" s="82"/>
      <c r="BZ486" s="82"/>
      <c r="CA486" s="82"/>
      <c r="CB486" s="82"/>
      <c r="CC486" s="82"/>
      <c r="CD486" s="82"/>
      <c r="CE486" s="82"/>
      <c r="CF486" s="82"/>
      <c r="CG486" s="82"/>
      <c r="CH486" s="82"/>
      <c r="CI486" s="82"/>
      <c r="CJ486" s="82"/>
      <c r="CK486" s="82"/>
      <c r="CL486" s="82"/>
      <c r="CM486" s="82"/>
      <c r="CN486" s="82"/>
      <c r="CO486" s="82"/>
      <c r="CP486" s="82"/>
      <c r="CQ486" s="82"/>
      <c r="CR486" s="82"/>
      <c r="CS486" s="82"/>
      <c r="CT486" s="82"/>
      <c r="CU486" s="82"/>
      <c r="CV486" s="82"/>
      <c r="CW486" s="82"/>
      <c r="CX486" s="82"/>
      <c r="CY486" s="82"/>
      <c r="CZ486" s="82"/>
      <c r="DA486" s="82"/>
      <c r="DB486" s="82"/>
      <c r="DC486" s="82"/>
      <c r="DD486" s="82"/>
      <c r="DE486" s="82"/>
      <c r="DF486" s="82"/>
      <c r="DG486" s="82"/>
    </row>
    <row r="487" spans="15:111" ht="9" customHeight="1">
      <c r="O487" s="219"/>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52"/>
      <c r="BC487" s="82"/>
      <c r="BD487" s="82"/>
      <c r="BE487" s="82"/>
      <c r="BF487" s="82"/>
      <c r="BG487" s="82"/>
      <c r="BH487" s="82"/>
      <c r="BI487" s="82"/>
      <c r="BJ487" s="82"/>
      <c r="BK487" s="82"/>
      <c r="BL487" s="82"/>
      <c r="BM487" s="82"/>
      <c r="BN487" s="82"/>
      <c r="BO487" s="82"/>
      <c r="BP487" s="82"/>
      <c r="BQ487" s="82"/>
      <c r="BR487" s="82"/>
      <c r="BS487" s="82"/>
      <c r="BT487" s="82"/>
      <c r="BU487" s="82"/>
      <c r="BV487" s="82"/>
      <c r="BW487" s="82"/>
      <c r="BX487" s="82"/>
      <c r="BY487" s="82"/>
      <c r="BZ487" s="82"/>
      <c r="CA487" s="82"/>
      <c r="CB487" s="82"/>
      <c r="CC487" s="82"/>
      <c r="CD487" s="82"/>
      <c r="CE487" s="82"/>
      <c r="CF487" s="82"/>
      <c r="CG487" s="82"/>
      <c r="CH487" s="82"/>
      <c r="CI487" s="82"/>
      <c r="CJ487" s="82"/>
      <c r="CK487" s="82"/>
      <c r="CL487" s="82"/>
      <c r="CM487" s="82"/>
      <c r="CN487" s="82"/>
      <c r="CO487" s="82"/>
      <c r="CP487" s="82"/>
      <c r="CQ487" s="82"/>
      <c r="CR487" s="82"/>
      <c r="CS487" s="82"/>
      <c r="CT487" s="82"/>
      <c r="CU487" s="82"/>
      <c r="CV487" s="82"/>
      <c r="CW487" s="82"/>
      <c r="CX487" s="82"/>
      <c r="CY487" s="82"/>
      <c r="CZ487" s="82"/>
      <c r="DA487" s="82"/>
      <c r="DB487" s="82"/>
      <c r="DC487" s="82"/>
      <c r="DD487" s="82"/>
      <c r="DE487" s="82"/>
      <c r="DF487" s="82"/>
      <c r="DG487" s="82"/>
    </row>
    <row r="488" spans="15:111" ht="9" customHeight="1">
      <c r="O488" s="219"/>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52"/>
      <c r="BC488" s="82"/>
      <c r="BD488" s="82"/>
      <c r="BE488" s="82"/>
      <c r="BF488" s="82"/>
      <c r="BG488" s="82"/>
      <c r="BH488" s="82"/>
      <c r="BI488" s="82"/>
      <c r="BJ488" s="82"/>
      <c r="BK488" s="82"/>
      <c r="BL488" s="82"/>
      <c r="BM488" s="82"/>
      <c r="BN488" s="82"/>
      <c r="BO488" s="82"/>
      <c r="BP488" s="82"/>
      <c r="BQ488" s="82"/>
      <c r="BR488" s="82"/>
      <c r="BS488" s="82"/>
      <c r="BT488" s="82"/>
      <c r="BU488" s="82"/>
      <c r="BV488" s="82"/>
      <c r="BW488" s="82"/>
      <c r="BX488" s="82"/>
      <c r="BY488" s="82"/>
      <c r="BZ488" s="82"/>
      <c r="CA488" s="82"/>
      <c r="CB488" s="82"/>
      <c r="CC488" s="82"/>
      <c r="CD488" s="82"/>
      <c r="CE488" s="82"/>
      <c r="CF488" s="82"/>
      <c r="CG488" s="82"/>
      <c r="CH488" s="82"/>
      <c r="CI488" s="82"/>
      <c r="CJ488" s="82"/>
      <c r="CK488" s="82"/>
      <c r="CL488" s="82"/>
      <c r="CM488" s="82"/>
      <c r="CN488" s="82"/>
      <c r="CO488" s="82"/>
      <c r="CP488" s="82"/>
      <c r="CQ488" s="82"/>
      <c r="CR488" s="82"/>
      <c r="CS488" s="82"/>
      <c r="CT488" s="82"/>
      <c r="CU488" s="82"/>
      <c r="CV488" s="82"/>
      <c r="CW488" s="82"/>
      <c r="CX488" s="82"/>
      <c r="CY488" s="82"/>
      <c r="CZ488" s="82"/>
      <c r="DA488" s="82"/>
      <c r="DB488" s="82"/>
      <c r="DC488" s="82"/>
      <c r="DD488" s="82"/>
      <c r="DE488" s="82"/>
      <c r="DF488" s="82"/>
      <c r="DG488" s="82"/>
    </row>
    <row r="489" spans="15:111" ht="9" customHeight="1">
      <c r="O489" s="219"/>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52"/>
      <c r="BC489" s="82"/>
      <c r="BD489" s="82"/>
      <c r="BE489" s="82"/>
      <c r="BF489" s="82"/>
      <c r="BG489" s="82"/>
      <c r="BH489" s="82"/>
      <c r="BI489" s="82"/>
      <c r="BJ489" s="82"/>
      <c r="BK489" s="82"/>
      <c r="BL489" s="82"/>
      <c r="BM489" s="82"/>
      <c r="BN489" s="82"/>
      <c r="BO489" s="82"/>
      <c r="BP489" s="82"/>
      <c r="BQ489" s="82"/>
      <c r="BR489" s="82"/>
      <c r="BS489" s="82"/>
      <c r="BT489" s="82"/>
      <c r="BU489" s="82"/>
      <c r="BV489" s="82"/>
      <c r="BW489" s="82"/>
      <c r="BX489" s="82"/>
      <c r="BY489" s="82"/>
      <c r="BZ489" s="82"/>
      <c r="CA489" s="82"/>
      <c r="CB489" s="82"/>
      <c r="CC489" s="82"/>
      <c r="CD489" s="82"/>
      <c r="CE489" s="82"/>
      <c r="CF489" s="82"/>
      <c r="CG489" s="82"/>
      <c r="CH489" s="82"/>
      <c r="CI489" s="82"/>
      <c r="CJ489" s="82"/>
      <c r="CK489" s="82"/>
      <c r="CL489" s="82"/>
      <c r="CM489" s="82"/>
      <c r="CN489" s="82"/>
      <c r="CO489" s="82"/>
      <c r="CP489" s="82"/>
      <c r="CQ489" s="82"/>
      <c r="CR489" s="82"/>
      <c r="CS489" s="82"/>
      <c r="CT489" s="82"/>
      <c r="CU489" s="82"/>
      <c r="CV489" s="82"/>
      <c r="CW489" s="82"/>
      <c r="CX489" s="82"/>
      <c r="CY489" s="82"/>
      <c r="CZ489" s="82"/>
      <c r="DA489" s="82"/>
      <c r="DB489" s="82"/>
      <c r="DC489" s="82"/>
      <c r="DD489" s="82"/>
      <c r="DE489" s="82"/>
      <c r="DF489" s="82"/>
      <c r="DG489" s="82"/>
    </row>
    <row r="490" spans="15:111" ht="9" customHeight="1">
      <c r="O490" s="219"/>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5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c r="CA490" s="82"/>
      <c r="CB490" s="82"/>
      <c r="CC490" s="82"/>
      <c r="CD490" s="82"/>
      <c r="CE490" s="82"/>
      <c r="CF490" s="82"/>
      <c r="CG490" s="82"/>
      <c r="CH490" s="82"/>
      <c r="CI490" s="82"/>
      <c r="CJ490" s="82"/>
      <c r="CK490" s="82"/>
      <c r="CL490" s="82"/>
      <c r="CM490" s="82"/>
      <c r="CN490" s="82"/>
      <c r="CO490" s="82"/>
      <c r="CP490" s="82"/>
      <c r="CQ490" s="82"/>
      <c r="CR490" s="82"/>
      <c r="CS490" s="82"/>
      <c r="CT490" s="82"/>
      <c r="CU490" s="82"/>
      <c r="CV490" s="82"/>
      <c r="CW490" s="82"/>
      <c r="CX490" s="82"/>
      <c r="CY490" s="82"/>
      <c r="CZ490" s="82"/>
      <c r="DA490" s="82"/>
      <c r="DB490" s="82"/>
      <c r="DC490" s="82"/>
      <c r="DD490" s="82"/>
      <c r="DE490" s="82"/>
      <c r="DF490" s="82"/>
      <c r="DG490" s="82"/>
    </row>
    <row r="491" spans="15:111" ht="9" customHeight="1">
      <c r="O491" s="219"/>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5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c r="CA491" s="82"/>
      <c r="CB491" s="82"/>
      <c r="CC491" s="82"/>
      <c r="CD491" s="82"/>
      <c r="CE491" s="82"/>
      <c r="CF491" s="82"/>
      <c r="CG491" s="82"/>
      <c r="CH491" s="82"/>
      <c r="CI491" s="82"/>
      <c r="CJ491" s="82"/>
      <c r="CK491" s="82"/>
      <c r="CL491" s="82"/>
      <c r="CM491" s="82"/>
      <c r="CN491" s="82"/>
      <c r="CO491" s="82"/>
      <c r="CP491" s="82"/>
      <c r="CQ491" s="82"/>
      <c r="CR491" s="82"/>
      <c r="CS491" s="82"/>
      <c r="CT491" s="82"/>
      <c r="CU491" s="82"/>
      <c r="CV491" s="82"/>
      <c r="CW491" s="82"/>
      <c r="CX491" s="82"/>
      <c r="CY491" s="82"/>
      <c r="CZ491" s="82"/>
      <c r="DA491" s="82"/>
      <c r="DB491" s="82"/>
      <c r="DC491" s="82"/>
      <c r="DD491" s="82"/>
      <c r="DE491" s="82"/>
      <c r="DF491" s="82"/>
      <c r="DG491" s="82"/>
    </row>
    <row r="492" spans="15:111" ht="9" customHeight="1">
      <c r="O492" s="219"/>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52"/>
      <c r="BC492" s="82"/>
      <c r="BD492" s="82"/>
      <c r="BE492" s="82"/>
      <c r="BF492" s="82"/>
      <c r="BG492" s="82"/>
      <c r="BH492" s="82"/>
      <c r="BI492" s="82"/>
      <c r="BJ492" s="82"/>
      <c r="BK492" s="82"/>
      <c r="BL492" s="82"/>
      <c r="BM492" s="82"/>
      <c r="BN492" s="82"/>
      <c r="BO492" s="82"/>
      <c r="BP492" s="82"/>
      <c r="BQ492" s="82"/>
      <c r="BR492" s="82"/>
      <c r="BS492" s="82"/>
      <c r="BT492" s="82"/>
      <c r="BU492" s="82"/>
      <c r="BV492" s="82"/>
      <c r="BW492" s="82"/>
      <c r="BX492" s="82"/>
      <c r="BY492" s="82"/>
      <c r="BZ492" s="82"/>
      <c r="CA492" s="82"/>
      <c r="CB492" s="82"/>
      <c r="CC492" s="82"/>
      <c r="CD492" s="82"/>
      <c r="CE492" s="82"/>
      <c r="CF492" s="82"/>
      <c r="CG492" s="82"/>
      <c r="CH492" s="82"/>
      <c r="CI492" s="82"/>
      <c r="CJ492" s="82"/>
      <c r="CK492" s="82"/>
      <c r="CL492" s="82"/>
      <c r="CM492" s="82"/>
      <c r="CN492" s="82"/>
      <c r="CO492" s="82"/>
      <c r="CP492" s="82"/>
      <c r="CQ492" s="82"/>
      <c r="CR492" s="82"/>
      <c r="CS492" s="82"/>
      <c r="CT492" s="82"/>
      <c r="CU492" s="82"/>
      <c r="CV492" s="82"/>
      <c r="CW492" s="82"/>
      <c r="CX492" s="82"/>
      <c r="CY492" s="82"/>
      <c r="CZ492" s="82"/>
      <c r="DA492" s="82"/>
      <c r="DB492" s="82"/>
      <c r="DC492" s="82"/>
      <c r="DD492" s="82"/>
      <c r="DE492" s="82"/>
      <c r="DF492" s="82"/>
      <c r="DG492" s="82"/>
    </row>
    <row r="493" spans="15:111" ht="9" customHeight="1">
      <c r="O493" s="219"/>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52"/>
      <c r="BC493" s="82"/>
      <c r="BD493" s="82"/>
      <c r="BE493" s="82"/>
      <c r="BF493" s="82"/>
      <c r="BG493" s="82"/>
      <c r="BH493" s="82"/>
      <c r="BI493" s="82"/>
      <c r="BJ493" s="82"/>
      <c r="BK493" s="82"/>
      <c r="BL493" s="82"/>
      <c r="BM493" s="82"/>
      <c r="BN493" s="82"/>
      <c r="BO493" s="82"/>
      <c r="BP493" s="82"/>
      <c r="BQ493" s="82"/>
      <c r="BR493" s="82"/>
      <c r="BS493" s="82"/>
      <c r="BT493" s="82"/>
      <c r="BU493" s="82"/>
      <c r="BV493" s="82"/>
      <c r="BW493" s="82"/>
      <c r="BX493" s="82"/>
      <c r="BY493" s="82"/>
      <c r="BZ493" s="82"/>
      <c r="CA493" s="82"/>
      <c r="CB493" s="82"/>
      <c r="CC493" s="82"/>
      <c r="CD493" s="82"/>
      <c r="CE493" s="82"/>
      <c r="CF493" s="82"/>
      <c r="CG493" s="82"/>
      <c r="CH493" s="82"/>
      <c r="CI493" s="82"/>
      <c r="CJ493" s="82"/>
      <c r="CK493" s="82"/>
      <c r="CL493" s="82"/>
      <c r="CM493" s="82"/>
      <c r="CN493" s="82"/>
      <c r="CO493" s="82"/>
      <c r="CP493" s="82"/>
      <c r="CQ493" s="82"/>
      <c r="CR493" s="82"/>
      <c r="CS493" s="82"/>
      <c r="CT493" s="82"/>
      <c r="CU493" s="82"/>
      <c r="CV493" s="82"/>
      <c r="CW493" s="82"/>
      <c r="CX493" s="82"/>
      <c r="CY493" s="82"/>
      <c r="CZ493" s="82"/>
      <c r="DA493" s="82"/>
      <c r="DB493" s="82"/>
      <c r="DC493" s="82"/>
      <c r="DD493" s="82"/>
      <c r="DE493" s="82"/>
      <c r="DF493" s="82"/>
      <c r="DG493" s="82"/>
    </row>
    <row r="494" spans="15:111" ht="9" customHeight="1">
      <c r="O494" s="219"/>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52"/>
      <c r="BC494" s="82"/>
      <c r="BD494" s="82"/>
      <c r="BE494" s="82"/>
      <c r="BF494" s="82"/>
      <c r="BG494" s="82"/>
      <c r="BH494" s="82"/>
      <c r="BI494" s="82"/>
      <c r="BJ494" s="82"/>
      <c r="BK494" s="82"/>
      <c r="BL494" s="82"/>
      <c r="BM494" s="82"/>
      <c r="BN494" s="82"/>
      <c r="BO494" s="82"/>
      <c r="BP494" s="82"/>
      <c r="BQ494" s="82"/>
      <c r="BR494" s="82"/>
      <c r="BS494" s="82"/>
      <c r="BT494" s="82"/>
      <c r="BU494" s="82"/>
      <c r="BV494" s="82"/>
      <c r="BW494" s="82"/>
      <c r="BX494" s="82"/>
      <c r="BY494" s="82"/>
      <c r="BZ494" s="82"/>
      <c r="CA494" s="82"/>
      <c r="CB494" s="82"/>
      <c r="CC494" s="82"/>
      <c r="CD494" s="82"/>
      <c r="CE494" s="82"/>
      <c r="CF494" s="82"/>
      <c r="CG494" s="82"/>
      <c r="CH494" s="82"/>
      <c r="CI494" s="82"/>
      <c r="CJ494" s="82"/>
      <c r="CK494" s="82"/>
      <c r="CL494" s="82"/>
      <c r="CM494" s="82"/>
      <c r="CN494" s="82"/>
      <c r="CO494" s="82"/>
      <c r="CP494" s="82"/>
      <c r="CQ494" s="82"/>
      <c r="CR494" s="82"/>
      <c r="CS494" s="82"/>
      <c r="CT494" s="82"/>
      <c r="CU494" s="82"/>
      <c r="CV494" s="82"/>
      <c r="CW494" s="82"/>
      <c r="CX494" s="82"/>
      <c r="CY494" s="82"/>
      <c r="CZ494" s="82"/>
      <c r="DA494" s="82"/>
      <c r="DB494" s="82"/>
      <c r="DC494" s="82"/>
      <c r="DD494" s="82"/>
      <c r="DE494" s="82"/>
      <c r="DF494" s="82"/>
      <c r="DG494" s="82"/>
    </row>
    <row r="495" spans="15:111" ht="9" customHeight="1">
      <c r="O495" s="219"/>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52"/>
      <c r="BC495" s="82"/>
      <c r="BD495" s="82"/>
      <c r="BE495" s="82"/>
      <c r="BF495" s="82"/>
      <c r="BG495" s="82"/>
      <c r="BH495" s="82"/>
      <c r="BI495" s="82"/>
      <c r="BJ495" s="82"/>
      <c r="BK495" s="82"/>
      <c r="BL495" s="82"/>
      <c r="BM495" s="82"/>
      <c r="BN495" s="82"/>
      <c r="BO495" s="82"/>
      <c r="BP495" s="82"/>
      <c r="BQ495" s="82"/>
      <c r="BR495" s="82"/>
      <c r="BS495" s="82"/>
      <c r="BT495" s="82"/>
      <c r="BU495" s="82"/>
      <c r="BV495" s="82"/>
      <c r="BW495" s="82"/>
      <c r="BX495" s="82"/>
      <c r="BY495" s="82"/>
      <c r="BZ495" s="82"/>
      <c r="CA495" s="82"/>
      <c r="CB495" s="82"/>
      <c r="CC495" s="82"/>
      <c r="CD495" s="82"/>
      <c r="CE495" s="82"/>
      <c r="CF495" s="82"/>
      <c r="CG495" s="82"/>
      <c r="CH495" s="82"/>
      <c r="CI495" s="82"/>
      <c r="CJ495" s="82"/>
      <c r="CK495" s="82"/>
      <c r="CL495" s="82"/>
      <c r="CM495" s="82"/>
      <c r="CN495" s="82"/>
      <c r="CO495" s="82"/>
      <c r="CP495" s="82"/>
      <c r="CQ495" s="82"/>
      <c r="CR495" s="82"/>
      <c r="CS495" s="82"/>
      <c r="CT495" s="82"/>
      <c r="CU495" s="82"/>
      <c r="CV495" s="82"/>
      <c r="CW495" s="82"/>
      <c r="CX495" s="82"/>
      <c r="CY495" s="82"/>
      <c r="CZ495" s="82"/>
      <c r="DA495" s="82"/>
      <c r="DB495" s="82"/>
      <c r="DC495" s="82"/>
      <c r="DD495" s="82"/>
      <c r="DE495" s="82"/>
      <c r="DF495" s="82"/>
      <c r="DG495" s="82"/>
    </row>
    <row r="496" spans="15:111" ht="9" customHeight="1">
      <c r="O496" s="219"/>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52"/>
      <c r="BC496" s="82"/>
      <c r="BD496" s="82"/>
      <c r="BE496" s="82"/>
      <c r="BF496" s="82"/>
      <c r="BG496" s="82"/>
      <c r="BH496" s="82"/>
      <c r="BI496" s="82"/>
      <c r="BJ496" s="82"/>
      <c r="BK496" s="82"/>
      <c r="BL496" s="82"/>
      <c r="BM496" s="82"/>
      <c r="BN496" s="82"/>
      <c r="BO496" s="82"/>
      <c r="BP496" s="82"/>
      <c r="BQ496" s="82"/>
      <c r="BR496" s="82"/>
      <c r="BS496" s="82"/>
      <c r="BT496" s="82"/>
      <c r="BU496" s="82"/>
      <c r="BV496" s="82"/>
      <c r="BW496" s="82"/>
      <c r="BX496" s="82"/>
      <c r="BY496" s="82"/>
      <c r="BZ496" s="82"/>
      <c r="CA496" s="82"/>
      <c r="CB496" s="82"/>
      <c r="CC496" s="82"/>
      <c r="CD496" s="82"/>
      <c r="CE496" s="82"/>
      <c r="CF496" s="82"/>
      <c r="CG496" s="82"/>
      <c r="CH496" s="82"/>
      <c r="CI496" s="82"/>
      <c r="CJ496" s="82"/>
      <c r="CK496" s="82"/>
      <c r="CL496" s="82"/>
      <c r="CM496" s="82"/>
      <c r="CN496" s="82"/>
      <c r="CO496" s="82"/>
      <c r="CP496" s="82"/>
      <c r="CQ496" s="82"/>
      <c r="CR496" s="82"/>
      <c r="CS496" s="82"/>
      <c r="CT496" s="82"/>
      <c r="CU496" s="82"/>
      <c r="CV496" s="82"/>
      <c r="CW496" s="82"/>
      <c r="CX496" s="82"/>
      <c r="CY496" s="82"/>
      <c r="CZ496" s="82"/>
      <c r="DA496" s="82"/>
      <c r="DB496" s="82"/>
      <c r="DC496" s="82"/>
      <c r="DD496" s="82"/>
      <c r="DE496" s="82"/>
      <c r="DF496" s="82"/>
      <c r="DG496" s="82"/>
    </row>
    <row r="497" spans="15:111" ht="9" customHeight="1">
      <c r="O497" s="219"/>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52"/>
      <c r="BC497" s="82"/>
      <c r="BD497" s="82"/>
      <c r="BE497" s="82"/>
      <c r="BF497" s="82"/>
      <c r="BG497" s="82"/>
      <c r="BH497" s="82"/>
      <c r="BI497" s="82"/>
      <c r="BJ497" s="82"/>
      <c r="BK497" s="82"/>
      <c r="BL497" s="82"/>
      <c r="BM497" s="82"/>
      <c r="BN497" s="82"/>
      <c r="BO497" s="82"/>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c r="CR497" s="82"/>
      <c r="CS497" s="82"/>
      <c r="CT497" s="82"/>
      <c r="CU497" s="82"/>
      <c r="CV497" s="82"/>
      <c r="CW497" s="82"/>
      <c r="CX497" s="82"/>
      <c r="CY497" s="82"/>
      <c r="CZ497" s="82"/>
      <c r="DA497" s="82"/>
      <c r="DB497" s="82"/>
      <c r="DC497" s="82"/>
      <c r="DD497" s="82"/>
      <c r="DE497" s="82"/>
      <c r="DF497" s="82"/>
      <c r="DG497" s="82"/>
    </row>
    <row r="498" spans="15:111" ht="9" customHeight="1">
      <c r="O498" s="219"/>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52"/>
      <c r="BC498" s="82"/>
      <c r="BD498" s="82"/>
      <c r="BE498" s="82"/>
      <c r="BF498" s="82"/>
      <c r="BG498" s="82"/>
      <c r="BH498" s="82"/>
      <c r="BI498" s="82"/>
      <c r="BJ498" s="82"/>
      <c r="BK498" s="82"/>
      <c r="BL498" s="82"/>
      <c r="BM498" s="82"/>
      <c r="BN498" s="82"/>
      <c r="BO498" s="82"/>
      <c r="BP498" s="82"/>
      <c r="BQ498" s="82"/>
      <c r="BR498" s="82"/>
      <c r="BS498" s="82"/>
      <c r="BT498" s="82"/>
      <c r="BU498" s="82"/>
      <c r="BV498" s="82"/>
      <c r="BW498" s="82"/>
      <c r="BX498" s="82"/>
      <c r="BY498" s="82"/>
      <c r="BZ498" s="82"/>
      <c r="CA498" s="82"/>
      <c r="CB498" s="82"/>
      <c r="CC498" s="82"/>
      <c r="CD498" s="82"/>
      <c r="CE498" s="82"/>
      <c r="CF498" s="82"/>
      <c r="CG498" s="82"/>
      <c r="CH498" s="82"/>
      <c r="CI498" s="82"/>
      <c r="CJ498" s="82"/>
      <c r="CK498" s="82"/>
      <c r="CL498" s="82"/>
      <c r="CM498" s="82"/>
      <c r="CN498" s="82"/>
      <c r="CO498" s="82"/>
      <c r="CP498" s="82"/>
      <c r="CQ498" s="82"/>
      <c r="CR498" s="82"/>
      <c r="CS498" s="82"/>
      <c r="CT498" s="82"/>
      <c r="CU498" s="82"/>
      <c r="CV498" s="82"/>
      <c r="CW498" s="82"/>
      <c r="CX498" s="82"/>
      <c r="CY498" s="82"/>
      <c r="CZ498" s="82"/>
      <c r="DA498" s="82"/>
      <c r="DB498" s="82"/>
      <c r="DC498" s="82"/>
      <c r="DD498" s="82"/>
      <c r="DE498" s="82"/>
      <c r="DF498" s="82"/>
      <c r="DG498" s="82"/>
    </row>
    <row r="499" spans="15:111" ht="9" customHeight="1">
      <c r="O499" s="219"/>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52"/>
      <c r="BC499" s="82"/>
      <c r="BD499" s="82"/>
      <c r="BE499" s="82"/>
      <c r="BF499" s="82"/>
      <c r="BG499" s="82"/>
      <c r="BH499" s="82"/>
      <c r="BI499" s="82"/>
      <c r="BJ499" s="82"/>
      <c r="BK499" s="82"/>
      <c r="BL499" s="82"/>
      <c r="BM499" s="82"/>
      <c r="BN499" s="82"/>
      <c r="BO499" s="82"/>
      <c r="BP499" s="82"/>
      <c r="BQ499" s="82"/>
      <c r="BR499" s="82"/>
      <c r="BS499" s="82"/>
      <c r="BT499" s="82"/>
      <c r="BU499" s="82"/>
      <c r="BV499" s="82"/>
      <c r="BW499" s="82"/>
      <c r="BX499" s="82"/>
      <c r="BY499" s="82"/>
      <c r="BZ499" s="82"/>
      <c r="CA499" s="82"/>
      <c r="CB499" s="82"/>
      <c r="CC499" s="82"/>
      <c r="CD499" s="82"/>
      <c r="CE499" s="82"/>
      <c r="CF499" s="82"/>
      <c r="CG499" s="82"/>
      <c r="CH499" s="82"/>
      <c r="CI499" s="82"/>
      <c r="CJ499" s="82"/>
      <c r="CK499" s="82"/>
      <c r="CL499" s="82"/>
      <c r="CM499" s="82"/>
      <c r="CN499" s="82"/>
      <c r="CO499" s="82"/>
      <c r="CP499" s="82"/>
      <c r="CQ499" s="82"/>
      <c r="CR499" s="82"/>
      <c r="CS499" s="82"/>
      <c r="CT499" s="82"/>
      <c r="CU499" s="82"/>
      <c r="CV499" s="82"/>
      <c r="CW499" s="82"/>
      <c r="CX499" s="82"/>
      <c r="CY499" s="82"/>
      <c r="CZ499" s="82"/>
      <c r="DA499" s="82"/>
      <c r="DB499" s="82"/>
      <c r="DC499" s="82"/>
      <c r="DD499" s="82"/>
      <c r="DE499" s="82"/>
      <c r="DF499" s="82"/>
      <c r="DG499" s="82"/>
    </row>
    <row r="500" spans="15:111" ht="9" customHeight="1">
      <c r="O500" s="219"/>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52"/>
      <c r="BC500" s="82"/>
      <c r="BD500" s="82"/>
      <c r="BE500" s="82"/>
      <c r="BF500" s="82"/>
      <c r="BG500" s="82"/>
      <c r="BH500" s="82"/>
      <c r="BI500" s="82"/>
      <c r="BJ500" s="82"/>
      <c r="BK500" s="82"/>
      <c r="BL500" s="82"/>
      <c r="BM500" s="82"/>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c r="CX500" s="82"/>
      <c r="CY500" s="82"/>
      <c r="CZ500" s="82"/>
      <c r="DA500" s="82"/>
      <c r="DB500" s="82"/>
      <c r="DC500" s="82"/>
      <c r="DD500" s="82"/>
      <c r="DE500" s="82"/>
      <c r="DF500" s="82"/>
      <c r="DG500" s="82"/>
    </row>
    <row r="501" spans="15:111" ht="9" customHeight="1">
      <c r="O501" s="219"/>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52"/>
      <c r="BC501" s="82"/>
      <c r="BD501" s="82"/>
      <c r="BE501" s="82"/>
      <c r="BF501" s="82"/>
      <c r="BG501" s="82"/>
      <c r="BH501" s="82"/>
      <c r="BI501" s="82"/>
      <c r="BJ501" s="82"/>
      <c r="BK501" s="82"/>
      <c r="BL501" s="82"/>
      <c r="BM501" s="82"/>
      <c r="BN501" s="82"/>
      <c r="BO501" s="82"/>
      <c r="BP501" s="82"/>
      <c r="BQ501" s="82"/>
      <c r="BR501" s="82"/>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row>
    <row r="502" spans="15:111" ht="9" customHeight="1">
      <c r="O502" s="219"/>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52"/>
      <c r="BC502" s="82"/>
      <c r="BD502" s="82"/>
      <c r="BE502" s="82"/>
      <c r="BF502" s="82"/>
      <c r="BG502" s="82"/>
      <c r="BH502" s="82"/>
      <c r="BI502" s="82"/>
      <c r="BJ502" s="82"/>
      <c r="BK502" s="82"/>
      <c r="BL502" s="82"/>
      <c r="BM502" s="82"/>
      <c r="BN502" s="82"/>
      <c r="BO502" s="82"/>
      <c r="BP502" s="82"/>
      <c r="BQ502" s="82"/>
      <c r="BR502" s="82"/>
      <c r="BS502" s="82"/>
      <c r="BT502" s="82"/>
      <c r="BU502" s="82"/>
      <c r="BV502" s="82"/>
      <c r="BW502" s="82"/>
      <c r="BX502" s="82"/>
      <c r="BY502" s="82"/>
      <c r="BZ502" s="82"/>
      <c r="CA502" s="82"/>
      <c r="CB502" s="82"/>
      <c r="CC502" s="82"/>
      <c r="CD502" s="82"/>
      <c r="CE502" s="82"/>
      <c r="CF502" s="82"/>
      <c r="CG502" s="82"/>
      <c r="CH502" s="82"/>
      <c r="CI502" s="82"/>
      <c r="CJ502" s="82"/>
      <c r="CK502" s="82"/>
      <c r="CL502" s="82"/>
      <c r="CM502" s="82"/>
      <c r="CN502" s="82"/>
      <c r="CO502" s="82"/>
      <c r="CP502" s="82"/>
      <c r="CQ502" s="82"/>
      <c r="CR502" s="82"/>
      <c r="CS502" s="82"/>
      <c r="CT502" s="82"/>
      <c r="CU502" s="82"/>
      <c r="CV502" s="82"/>
      <c r="CW502" s="82"/>
      <c r="CX502" s="82"/>
      <c r="CY502" s="82"/>
      <c r="CZ502" s="82"/>
      <c r="DA502" s="82"/>
      <c r="DB502" s="82"/>
      <c r="DC502" s="82"/>
      <c r="DD502" s="82"/>
      <c r="DE502" s="82"/>
      <c r="DF502" s="82"/>
      <c r="DG502" s="82"/>
    </row>
    <row r="503" spans="15:111" ht="9" customHeight="1">
      <c r="O503" s="219"/>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52"/>
      <c r="BC503" s="82"/>
      <c r="BD503" s="82"/>
      <c r="BE503" s="82"/>
      <c r="BF503" s="82"/>
      <c r="BG503" s="82"/>
      <c r="BH503" s="82"/>
      <c r="BI503" s="82"/>
      <c r="BJ503" s="82"/>
      <c r="BK503" s="82"/>
      <c r="BL503" s="82"/>
      <c r="BM503" s="82"/>
      <c r="BN503" s="82"/>
      <c r="BO503" s="82"/>
      <c r="BP503" s="82"/>
      <c r="BQ503" s="82"/>
      <c r="BR503" s="82"/>
      <c r="BS503" s="82"/>
      <c r="BT503" s="82"/>
      <c r="BU503" s="82"/>
      <c r="BV503" s="82"/>
      <c r="BW503" s="82"/>
      <c r="BX503" s="82"/>
      <c r="BY503" s="82"/>
      <c r="BZ503" s="82"/>
      <c r="CA503" s="82"/>
      <c r="CB503" s="82"/>
      <c r="CC503" s="82"/>
      <c r="CD503" s="82"/>
      <c r="CE503" s="82"/>
      <c r="CF503" s="82"/>
      <c r="CG503" s="82"/>
      <c r="CH503" s="82"/>
      <c r="CI503" s="82"/>
      <c r="CJ503" s="82"/>
      <c r="CK503" s="82"/>
      <c r="CL503" s="82"/>
      <c r="CM503" s="82"/>
      <c r="CN503" s="82"/>
      <c r="CO503" s="82"/>
      <c r="CP503" s="82"/>
      <c r="CQ503" s="82"/>
      <c r="CR503" s="82"/>
      <c r="CS503" s="82"/>
      <c r="CT503" s="82"/>
      <c r="CU503" s="82"/>
      <c r="CV503" s="82"/>
      <c r="CW503" s="82"/>
      <c r="CX503" s="82"/>
      <c r="CY503" s="82"/>
      <c r="CZ503" s="82"/>
      <c r="DA503" s="82"/>
      <c r="DB503" s="82"/>
      <c r="DC503" s="82"/>
      <c r="DD503" s="82"/>
      <c r="DE503" s="82"/>
      <c r="DF503" s="82"/>
      <c r="DG503" s="82"/>
    </row>
    <row r="504" spans="15:111" ht="9" customHeight="1">
      <c r="O504" s="219"/>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52"/>
      <c r="BC504" s="82"/>
      <c r="BD504" s="82"/>
      <c r="BE504" s="82"/>
      <c r="BF504" s="82"/>
      <c r="BG504" s="82"/>
      <c r="BH504" s="82"/>
      <c r="BI504" s="82"/>
      <c r="BJ504" s="82"/>
      <c r="BK504" s="82"/>
      <c r="BL504" s="82"/>
      <c r="BM504" s="82"/>
      <c r="BN504" s="82"/>
      <c r="BO504" s="82"/>
      <c r="BP504" s="82"/>
      <c r="BQ504" s="82"/>
      <c r="BR504" s="82"/>
      <c r="BS504" s="82"/>
      <c r="BT504" s="82"/>
      <c r="BU504" s="82"/>
      <c r="BV504" s="82"/>
      <c r="BW504" s="82"/>
      <c r="BX504" s="82"/>
      <c r="BY504" s="82"/>
      <c r="BZ504" s="82"/>
      <c r="CA504" s="82"/>
      <c r="CB504" s="82"/>
      <c r="CC504" s="82"/>
      <c r="CD504" s="82"/>
      <c r="CE504" s="82"/>
      <c r="CF504" s="82"/>
      <c r="CG504" s="82"/>
      <c r="CH504" s="82"/>
      <c r="CI504" s="82"/>
      <c r="CJ504" s="82"/>
      <c r="CK504" s="82"/>
      <c r="CL504" s="82"/>
      <c r="CM504" s="82"/>
      <c r="CN504" s="82"/>
      <c r="CO504" s="82"/>
      <c r="CP504" s="82"/>
      <c r="CQ504" s="82"/>
      <c r="CR504" s="82"/>
      <c r="CS504" s="82"/>
      <c r="CT504" s="82"/>
      <c r="CU504" s="82"/>
      <c r="CV504" s="82"/>
      <c r="CW504" s="82"/>
      <c r="CX504" s="82"/>
      <c r="CY504" s="82"/>
      <c r="CZ504" s="82"/>
      <c r="DA504" s="82"/>
      <c r="DB504" s="82"/>
      <c r="DC504" s="82"/>
      <c r="DD504" s="82"/>
      <c r="DE504" s="82"/>
      <c r="DF504" s="82"/>
      <c r="DG504" s="82"/>
    </row>
    <row r="505" spans="15:111" ht="9" customHeight="1">
      <c r="O505" s="219"/>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52"/>
      <c r="BC505" s="82"/>
      <c r="BD505" s="82"/>
      <c r="BE505" s="82"/>
      <c r="BF505" s="82"/>
      <c r="BG505" s="82"/>
      <c r="BH505" s="82"/>
      <c r="BI505" s="82"/>
      <c r="BJ505" s="82"/>
      <c r="BK505" s="82"/>
      <c r="BL505" s="82"/>
      <c r="BM505" s="82"/>
      <c r="BN505" s="82"/>
      <c r="BO505" s="82"/>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c r="CR505" s="82"/>
      <c r="CS505" s="82"/>
      <c r="CT505" s="82"/>
      <c r="CU505" s="82"/>
      <c r="CV505" s="82"/>
      <c r="CW505" s="82"/>
      <c r="CX505" s="82"/>
      <c r="CY505" s="82"/>
      <c r="CZ505" s="82"/>
      <c r="DA505" s="82"/>
      <c r="DB505" s="82"/>
      <c r="DC505" s="82"/>
      <c r="DD505" s="82"/>
      <c r="DE505" s="82"/>
      <c r="DF505" s="82"/>
      <c r="DG505" s="82"/>
    </row>
    <row r="506" spans="15:111" ht="9" customHeight="1">
      <c r="O506" s="219"/>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52"/>
      <c r="BC506" s="82"/>
      <c r="BD506" s="82"/>
      <c r="BE506" s="82"/>
      <c r="BF506" s="82"/>
      <c r="BG506" s="82"/>
      <c r="BH506" s="82"/>
      <c r="BI506" s="82"/>
      <c r="BJ506" s="82"/>
      <c r="BK506" s="82"/>
      <c r="BL506" s="82"/>
      <c r="BM506" s="82"/>
      <c r="BN506" s="82"/>
      <c r="BO506" s="82"/>
      <c r="BP506" s="82"/>
      <c r="BQ506" s="82"/>
      <c r="BR506" s="82"/>
      <c r="BS506" s="82"/>
      <c r="BT506" s="82"/>
      <c r="BU506" s="82"/>
      <c r="BV506" s="82"/>
      <c r="BW506" s="82"/>
      <c r="BX506" s="82"/>
      <c r="BY506" s="82"/>
      <c r="BZ506" s="82"/>
      <c r="CA506" s="82"/>
      <c r="CB506" s="82"/>
      <c r="CC506" s="82"/>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c r="DF506" s="82"/>
      <c r="DG506" s="82"/>
    </row>
    <row r="507" spans="15:111" ht="9" customHeight="1">
      <c r="O507" s="219"/>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52"/>
      <c r="BC507" s="82"/>
      <c r="BD507" s="82"/>
      <c r="BE507" s="82"/>
      <c r="BF507" s="82"/>
      <c r="BG507" s="82"/>
      <c r="BH507" s="82"/>
      <c r="BI507" s="82"/>
      <c r="BJ507" s="82"/>
      <c r="BK507" s="82"/>
      <c r="BL507" s="82"/>
      <c r="BM507" s="82"/>
      <c r="BN507" s="82"/>
      <c r="BO507" s="82"/>
      <c r="BP507" s="82"/>
      <c r="BQ507" s="82"/>
      <c r="BR507" s="82"/>
      <c r="BS507" s="82"/>
      <c r="BT507" s="82"/>
      <c r="BU507" s="82"/>
      <c r="BV507" s="82"/>
      <c r="BW507" s="82"/>
      <c r="BX507" s="82"/>
      <c r="BY507" s="82"/>
      <c r="BZ507" s="82"/>
      <c r="CA507" s="82"/>
      <c r="CB507" s="82"/>
      <c r="CC507" s="82"/>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c r="DF507" s="82"/>
      <c r="DG507" s="82"/>
    </row>
    <row r="508" spans="15:111" ht="9" customHeight="1">
      <c r="O508" s="219"/>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52"/>
      <c r="BC508" s="82"/>
      <c r="BD508" s="82"/>
      <c r="BE508" s="82"/>
      <c r="BF508" s="82"/>
      <c r="BG508" s="82"/>
      <c r="BH508" s="82"/>
      <c r="BI508" s="82"/>
      <c r="BJ508" s="82"/>
      <c r="BK508" s="82"/>
      <c r="BL508" s="82"/>
      <c r="BM508" s="82"/>
      <c r="BN508" s="82"/>
      <c r="BO508" s="82"/>
      <c r="BP508" s="82"/>
      <c r="BQ508" s="82"/>
      <c r="BR508" s="82"/>
      <c r="BS508" s="82"/>
      <c r="BT508" s="82"/>
      <c r="BU508" s="82"/>
      <c r="BV508" s="82"/>
      <c r="BW508" s="82"/>
      <c r="BX508" s="82"/>
      <c r="BY508" s="82"/>
      <c r="BZ508" s="82"/>
      <c r="CA508" s="82"/>
      <c r="CB508" s="82"/>
      <c r="CC508" s="82"/>
      <c r="CD508" s="82"/>
      <c r="CE508" s="82"/>
      <c r="CF508" s="82"/>
      <c r="CG508" s="82"/>
      <c r="CH508" s="82"/>
      <c r="CI508" s="82"/>
      <c r="CJ508" s="82"/>
      <c r="CK508" s="82"/>
      <c r="CL508" s="82"/>
      <c r="CM508" s="82"/>
      <c r="CN508" s="82"/>
      <c r="CO508" s="82"/>
      <c r="CP508" s="82"/>
      <c r="CQ508" s="82"/>
      <c r="CR508" s="82"/>
      <c r="CS508" s="82"/>
      <c r="CT508" s="82"/>
      <c r="CU508" s="82"/>
      <c r="CV508" s="82"/>
      <c r="CW508" s="82"/>
      <c r="CX508" s="82"/>
      <c r="CY508" s="82"/>
      <c r="CZ508" s="82"/>
      <c r="DA508" s="82"/>
      <c r="DB508" s="82"/>
      <c r="DC508" s="82"/>
      <c r="DD508" s="82"/>
      <c r="DE508" s="82"/>
      <c r="DF508" s="82"/>
      <c r="DG508" s="82"/>
    </row>
    <row r="509" spans="15:111" ht="9" customHeight="1">
      <c r="O509" s="219"/>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5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c r="DG509" s="82"/>
    </row>
    <row r="510" spans="15:111" ht="9" customHeight="1">
      <c r="O510" s="219"/>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5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c r="DG510" s="82"/>
    </row>
    <row r="511" spans="15:111" ht="9" customHeight="1">
      <c r="O511" s="219"/>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52"/>
      <c r="BC511" s="82"/>
      <c r="BD511" s="82"/>
      <c r="BE511" s="82"/>
      <c r="BF511" s="82"/>
      <c r="BG511" s="82"/>
      <c r="BH511" s="82"/>
      <c r="BI511" s="82"/>
      <c r="BJ511" s="82"/>
      <c r="BK511" s="82"/>
      <c r="BL511" s="82"/>
      <c r="BM511" s="82"/>
      <c r="BN511" s="82"/>
      <c r="BO511" s="82"/>
      <c r="BP511" s="82"/>
      <c r="BQ511" s="82"/>
      <c r="BR511" s="82"/>
      <c r="BS511" s="82"/>
      <c r="BT511" s="82"/>
      <c r="BU511" s="82"/>
      <c r="BV511" s="82"/>
      <c r="BW511" s="82"/>
      <c r="BX511" s="82"/>
      <c r="BY511" s="82"/>
      <c r="BZ511" s="82"/>
      <c r="CA511" s="82"/>
      <c r="CB511" s="82"/>
      <c r="CC511" s="82"/>
      <c r="CD511" s="82"/>
      <c r="CE511" s="82"/>
      <c r="CF511" s="82"/>
      <c r="CG511" s="82"/>
      <c r="CH511" s="82"/>
      <c r="CI511" s="82"/>
      <c r="CJ511" s="82"/>
      <c r="CK511" s="82"/>
      <c r="CL511" s="82"/>
      <c r="CM511" s="82"/>
      <c r="CN511" s="82"/>
      <c r="CO511" s="82"/>
      <c r="CP511" s="82"/>
      <c r="CQ511" s="82"/>
      <c r="CR511" s="82"/>
      <c r="CS511" s="82"/>
      <c r="CT511" s="82"/>
      <c r="CU511" s="82"/>
      <c r="CV511" s="82"/>
      <c r="CW511" s="82"/>
      <c r="CX511" s="82"/>
      <c r="CY511" s="82"/>
      <c r="CZ511" s="82"/>
      <c r="DA511" s="82"/>
      <c r="DB511" s="82"/>
      <c r="DC511" s="82"/>
      <c r="DD511" s="82"/>
      <c r="DE511" s="82"/>
      <c r="DF511" s="82"/>
      <c r="DG511" s="82"/>
    </row>
    <row r="512" spans="15:111" ht="9" customHeight="1">
      <c r="O512" s="219"/>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52"/>
      <c r="BC512" s="82"/>
      <c r="BD512" s="82"/>
      <c r="BE512" s="82"/>
      <c r="BF512" s="82"/>
      <c r="BG512" s="82"/>
      <c r="BH512" s="82"/>
      <c r="BI512" s="82"/>
      <c r="BJ512" s="82"/>
      <c r="BK512" s="82"/>
      <c r="BL512" s="82"/>
      <c r="BM512" s="82"/>
      <c r="BN512" s="82"/>
      <c r="BO512" s="82"/>
      <c r="BP512" s="82"/>
      <c r="BQ512" s="82"/>
      <c r="BR512" s="82"/>
      <c r="BS512" s="82"/>
      <c r="BT512" s="82"/>
      <c r="BU512" s="82"/>
      <c r="BV512" s="82"/>
      <c r="BW512" s="82"/>
      <c r="BX512" s="82"/>
      <c r="BY512" s="82"/>
      <c r="BZ512" s="82"/>
      <c r="CA512" s="82"/>
      <c r="CB512" s="82"/>
      <c r="CC512" s="82"/>
      <c r="CD512" s="82"/>
      <c r="CE512" s="82"/>
      <c r="CF512" s="82"/>
      <c r="CG512" s="82"/>
      <c r="CH512" s="82"/>
      <c r="CI512" s="82"/>
      <c r="CJ512" s="82"/>
      <c r="CK512" s="82"/>
      <c r="CL512" s="82"/>
      <c r="CM512" s="82"/>
      <c r="CN512" s="82"/>
      <c r="CO512" s="82"/>
      <c r="CP512" s="82"/>
      <c r="CQ512" s="82"/>
      <c r="CR512" s="82"/>
      <c r="CS512" s="82"/>
      <c r="CT512" s="82"/>
      <c r="CU512" s="82"/>
      <c r="CV512" s="82"/>
      <c r="CW512" s="82"/>
      <c r="CX512" s="82"/>
      <c r="CY512" s="82"/>
      <c r="CZ512" s="82"/>
      <c r="DA512" s="82"/>
      <c r="DB512" s="82"/>
      <c r="DC512" s="82"/>
      <c r="DD512" s="82"/>
      <c r="DE512" s="82"/>
      <c r="DF512" s="82"/>
      <c r="DG512" s="82"/>
    </row>
    <row r="513" spans="2:111" ht="9" customHeight="1">
      <c r="O513" s="219"/>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52"/>
      <c r="BC513" s="82"/>
      <c r="BD513" s="82"/>
      <c r="BE513" s="82"/>
      <c r="BF513" s="82"/>
      <c r="BG513" s="82"/>
      <c r="BH513" s="82"/>
      <c r="BI513" s="82"/>
      <c r="BJ513" s="82"/>
      <c r="BK513" s="82"/>
      <c r="BL513" s="82"/>
      <c r="BM513" s="82"/>
      <c r="BN513" s="82"/>
      <c r="BO513" s="82"/>
      <c r="BP513" s="82"/>
      <c r="BQ513" s="82"/>
      <c r="BR513" s="82"/>
      <c r="BS513" s="82"/>
      <c r="BT513" s="82"/>
      <c r="BU513" s="82"/>
      <c r="BV513" s="82"/>
      <c r="BW513" s="82"/>
      <c r="BX513" s="82"/>
      <c r="BY513" s="82"/>
      <c r="BZ513" s="82"/>
      <c r="CA513" s="82"/>
      <c r="CB513" s="82"/>
      <c r="CC513" s="82"/>
      <c r="CD513" s="82"/>
      <c r="CE513" s="82"/>
      <c r="CF513" s="82"/>
      <c r="CG513" s="82"/>
      <c r="CH513" s="82"/>
      <c r="CI513" s="82"/>
      <c r="CJ513" s="82"/>
      <c r="CK513" s="82"/>
      <c r="CL513" s="82"/>
      <c r="CM513" s="82"/>
      <c r="CN513" s="82"/>
      <c r="CO513" s="82"/>
      <c r="CP513" s="82"/>
      <c r="CQ513" s="82"/>
      <c r="CR513" s="82"/>
      <c r="CS513" s="82"/>
      <c r="CT513" s="82"/>
      <c r="CU513" s="82"/>
      <c r="CV513" s="82"/>
      <c r="CW513" s="82"/>
      <c r="CX513" s="82"/>
      <c r="CY513" s="82"/>
      <c r="CZ513" s="82"/>
      <c r="DA513" s="82"/>
      <c r="DB513" s="82"/>
      <c r="DC513" s="82"/>
      <c r="DD513" s="82"/>
      <c r="DE513" s="82"/>
      <c r="DF513" s="82"/>
      <c r="DG513" s="82"/>
    </row>
    <row r="514" spans="2:111" ht="9" customHeight="1">
      <c r="O514" s="219"/>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5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c r="CG514" s="82"/>
      <c r="CH514" s="82"/>
      <c r="CI514" s="82"/>
      <c r="CJ514" s="82"/>
      <c r="CK514" s="82"/>
      <c r="CL514" s="82"/>
      <c r="CM514" s="82"/>
      <c r="CN514" s="82"/>
      <c r="CO514" s="82"/>
      <c r="CP514" s="82"/>
      <c r="CQ514" s="82"/>
      <c r="CR514" s="82"/>
      <c r="CS514" s="82"/>
      <c r="CT514" s="82"/>
      <c r="CU514" s="82"/>
      <c r="CV514" s="82"/>
      <c r="CW514" s="82"/>
      <c r="CX514" s="82"/>
      <c r="CY514" s="82"/>
      <c r="CZ514" s="82"/>
      <c r="DA514" s="82"/>
      <c r="DB514" s="82"/>
      <c r="DC514" s="82"/>
      <c r="DD514" s="82"/>
      <c r="DE514" s="82"/>
      <c r="DF514" s="82"/>
      <c r="DG514" s="82"/>
    </row>
    <row r="515" spans="2:111" ht="9" customHeight="1">
      <c r="O515" s="219"/>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52"/>
      <c r="BC515" s="82"/>
      <c r="BD515" s="82"/>
      <c r="BE515" s="82"/>
      <c r="BF515" s="82"/>
      <c r="BG515" s="82"/>
      <c r="BH515" s="82"/>
      <c r="BI515" s="82"/>
      <c r="BJ515" s="82"/>
      <c r="BK515" s="82"/>
      <c r="BL515" s="82"/>
      <c r="BM515" s="82"/>
      <c r="BN515" s="82"/>
      <c r="BO515" s="82"/>
      <c r="BP515" s="82"/>
      <c r="BQ515" s="82"/>
      <c r="BR515" s="82"/>
      <c r="BS515" s="82"/>
      <c r="BT515" s="82"/>
      <c r="BU515" s="82"/>
      <c r="BV515" s="82"/>
      <c r="BW515" s="82"/>
      <c r="BX515" s="82"/>
      <c r="BY515" s="82"/>
      <c r="BZ515" s="82"/>
      <c r="CA515" s="82"/>
      <c r="CB515" s="82"/>
      <c r="CC515" s="82"/>
      <c r="CD515" s="82"/>
      <c r="CE515" s="82"/>
      <c r="CF515" s="82"/>
      <c r="CG515" s="82"/>
      <c r="CH515" s="82"/>
      <c r="CI515" s="82"/>
      <c r="CJ515" s="82"/>
      <c r="CK515" s="82"/>
      <c r="CL515" s="82"/>
      <c r="CM515" s="82"/>
      <c r="CN515" s="82"/>
      <c r="CO515" s="82"/>
      <c r="CP515" s="82"/>
      <c r="CQ515" s="82"/>
      <c r="CR515" s="82"/>
      <c r="CS515" s="82"/>
      <c r="CT515" s="82"/>
      <c r="CU515" s="82"/>
      <c r="CV515" s="82"/>
      <c r="CW515" s="82"/>
      <c r="CX515" s="82"/>
      <c r="CY515" s="82"/>
      <c r="CZ515" s="82"/>
      <c r="DA515" s="82"/>
      <c r="DB515" s="82"/>
      <c r="DC515" s="82"/>
      <c r="DD515" s="82"/>
      <c r="DE515" s="82"/>
      <c r="DF515" s="82"/>
      <c r="DG515" s="82"/>
    </row>
    <row r="516" spans="2:111" ht="9" customHeight="1">
      <c r="O516" s="219"/>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52"/>
      <c r="BC516" s="82"/>
      <c r="BD516" s="82"/>
      <c r="BE516" s="82"/>
      <c r="BF516" s="82"/>
      <c r="BG516" s="82"/>
      <c r="BH516" s="82"/>
      <c r="BI516" s="82"/>
      <c r="BJ516" s="82"/>
      <c r="BK516" s="82"/>
      <c r="BL516" s="82"/>
      <c r="BM516" s="82"/>
      <c r="BN516" s="82"/>
      <c r="BO516" s="82"/>
      <c r="BP516" s="82"/>
      <c r="BQ516" s="82"/>
      <c r="BR516" s="82"/>
      <c r="BS516" s="82"/>
      <c r="BT516" s="82"/>
      <c r="BU516" s="82"/>
      <c r="BV516" s="82"/>
      <c r="BW516" s="82"/>
      <c r="BX516" s="82"/>
      <c r="BY516" s="82"/>
      <c r="BZ516" s="82"/>
      <c r="CA516" s="82"/>
      <c r="CB516" s="82"/>
      <c r="CC516" s="82"/>
      <c r="CD516" s="82"/>
      <c r="CE516" s="82"/>
      <c r="CF516" s="82"/>
      <c r="CG516" s="82"/>
      <c r="CH516" s="82"/>
      <c r="CI516" s="82"/>
      <c r="CJ516" s="82"/>
      <c r="CK516" s="82"/>
      <c r="CL516" s="82"/>
      <c r="CM516" s="82"/>
      <c r="CN516" s="82"/>
      <c r="CO516" s="82"/>
      <c r="CP516" s="82"/>
      <c r="CQ516" s="82"/>
      <c r="CR516" s="82"/>
      <c r="CS516" s="82"/>
      <c r="CT516" s="82"/>
      <c r="CU516" s="82"/>
      <c r="CV516" s="82"/>
      <c r="CW516" s="82"/>
      <c r="CX516" s="82"/>
      <c r="CY516" s="82"/>
      <c r="CZ516" s="82"/>
      <c r="DA516" s="82"/>
      <c r="DB516" s="82"/>
      <c r="DC516" s="82"/>
      <c r="DD516" s="82"/>
      <c r="DE516" s="82"/>
      <c r="DF516" s="82"/>
      <c r="DG516" s="82"/>
    </row>
    <row r="517" spans="2:111" ht="9" customHeight="1">
      <c r="O517" s="219"/>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52"/>
      <c r="BC517" s="82"/>
      <c r="BD517" s="82"/>
      <c r="BE517" s="82"/>
      <c r="BF517" s="82"/>
      <c r="BG517" s="82"/>
      <c r="BH517" s="82"/>
      <c r="BI517" s="82"/>
      <c r="BJ517" s="82"/>
      <c r="BK517" s="82"/>
      <c r="BL517" s="82"/>
      <c r="BM517" s="82"/>
      <c r="BN517" s="82"/>
      <c r="BO517" s="82"/>
      <c r="BP517" s="82"/>
      <c r="BQ517" s="82"/>
      <c r="BR517" s="82"/>
      <c r="BS517" s="82"/>
      <c r="BT517" s="82"/>
      <c r="BU517" s="82"/>
      <c r="BV517" s="82"/>
      <c r="BW517" s="82"/>
      <c r="BX517" s="82"/>
      <c r="BY517" s="82"/>
      <c r="BZ517" s="82"/>
      <c r="CA517" s="82"/>
      <c r="CB517" s="82"/>
      <c r="CC517" s="82"/>
      <c r="CD517" s="82"/>
      <c r="CE517" s="82"/>
      <c r="CF517" s="82"/>
      <c r="CG517" s="82"/>
      <c r="CH517" s="82"/>
      <c r="CI517" s="82"/>
      <c r="CJ517" s="82"/>
      <c r="CK517" s="82"/>
      <c r="CL517" s="82"/>
      <c r="CM517" s="82"/>
      <c r="CN517" s="82"/>
      <c r="CO517" s="82"/>
      <c r="CP517" s="82"/>
      <c r="CQ517" s="82"/>
      <c r="CR517" s="82"/>
      <c r="CS517" s="82"/>
      <c r="CT517" s="82"/>
      <c r="CU517" s="82"/>
      <c r="CV517" s="82"/>
      <c r="CW517" s="82"/>
      <c r="CX517" s="82"/>
      <c r="CY517" s="82"/>
      <c r="CZ517" s="82"/>
      <c r="DA517" s="82"/>
      <c r="DB517" s="82"/>
      <c r="DC517" s="82"/>
      <c r="DD517" s="82"/>
      <c r="DE517" s="82"/>
      <c r="DF517" s="82"/>
      <c r="DG517" s="82"/>
    </row>
    <row r="518" spans="2:111" ht="9" customHeight="1">
      <c r="O518" s="253"/>
      <c r="P518" s="254"/>
      <c r="Q518" s="254"/>
      <c r="R518" s="254"/>
      <c r="S518" s="254"/>
      <c r="T518" s="254"/>
      <c r="U518" s="254"/>
      <c r="V518" s="254"/>
      <c r="W518" s="254"/>
      <c r="X518" s="254"/>
      <c r="Y518" s="254"/>
      <c r="Z518" s="254"/>
      <c r="AA518" s="254"/>
      <c r="AB518" s="254"/>
      <c r="AC518" s="254"/>
      <c r="AD518" s="254"/>
      <c r="AE518" s="254"/>
      <c r="AF518" s="254"/>
      <c r="AG518" s="254"/>
      <c r="AH518" s="254"/>
      <c r="AI518" s="254"/>
      <c r="AJ518" s="254"/>
      <c r="AK518" s="254"/>
      <c r="AL518" s="254"/>
      <c r="AM518" s="254"/>
      <c r="AN518" s="254"/>
      <c r="AO518" s="254"/>
      <c r="AP518" s="254"/>
      <c r="AQ518" s="254"/>
      <c r="AR518" s="254"/>
      <c r="AS518" s="254"/>
      <c r="AT518" s="254"/>
      <c r="AU518" s="254"/>
      <c r="AV518" s="254"/>
      <c r="AW518" s="254"/>
      <c r="AX518" s="254"/>
      <c r="AY518" s="254"/>
      <c r="AZ518" s="254"/>
      <c r="BA518" s="255"/>
      <c r="BC518" s="82"/>
      <c r="BD518" s="82"/>
      <c r="BE518" s="82"/>
      <c r="BF518" s="82"/>
      <c r="BG518" s="82"/>
      <c r="BH518" s="82"/>
      <c r="BI518" s="82"/>
      <c r="BJ518" s="82"/>
      <c r="BK518" s="82"/>
      <c r="BL518" s="82"/>
      <c r="BM518" s="82"/>
      <c r="BN518" s="82"/>
      <c r="BO518" s="82"/>
      <c r="BP518" s="82"/>
      <c r="BQ518" s="82"/>
      <c r="BR518" s="82"/>
      <c r="BS518" s="82"/>
      <c r="BT518" s="82"/>
      <c r="BU518" s="82"/>
      <c r="BV518" s="82"/>
      <c r="BW518" s="82"/>
      <c r="BX518" s="82"/>
      <c r="BY518" s="82"/>
      <c r="BZ518" s="82"/>
      <c r="CA518" s="82"/>
      <c r="CB518" s="82"/>
      <c r="CC518" s="82"/>
      <c r="CD518" s="82"/>
      <c r="CE518" s="82"/>
      <c r="CF518" s="82"/>
      <c r="CG518" s="82"/>
      <c r="CH518" s="82"/>
      <c r="CI518" s="82"/>
      <c r="CJ518" s="82"/>
      <c r="CK518" s="82"/>
      <c r="CL518" s="82"/>
      <c r="CM518" s="82"/>
      <c r="CN518" s="82"/>
      <c r="CO518" s="82"/>
      <c r="CP518" s="82"/>
      <c r="CQ518" s="82"/>
      <c r="CR518" s="82"/>
      <c r="CS518" s="82"/>
      <c r="CT518" s="82"/>
      <c r="CU518" s="82"/>
      <c r="CV518" s="82"/>
      <c r="CW518" s="82"/>
      <c r="CX518" s="82"/>
      <c r="CY518" s="82"/>
      <c r="CZ518" s="82"/>
      <c r="DA518" s="82"/>
      <c r="DB518" s="82"/>
      <c r="DC518" s="82"/>
      <c r="DD518" s="82"/>
      <c r="DE518" s="82"/>
      <c r="DF518" s="82"/>
      <c r="DG518" s="82"/>
    </row>
    <row r="519" spans="2:111" ht="9" customHeight="1">
      <c r="BC519" s="82"/>
      <c r="BD519" s="82"/>
      <c r="BE519" s="82"/>
      <c r="BF519" s="82"/>
      <c r="BG519" s="82"/>
      <c r="BH519" s="82"/>
      <c r="BI519" s="82"/>
      <c r="BJ519" s="82"/>
      <c r="BK519" s="82"/>
      <c r="BL519" s="82"/>
      <c r="BM519" s="82"/>
      <c r="BN519" s="82"/>
      <c r="BO519" s="82"/>
      <c r="BP519" s="82"/>
      <c r="BQ519" s="82"/>
      <c r="BR519" s="82"/>
      <c r="BS519" s="82"/>
      <c r="BT519" s="82"/>
      <c r="BU519" s="82"/>
      <c r="BV519" s="82"/>
      <c r="BW519" s="82"/>
      <c r="BX519" s="82"/>
      <c r="BY519" s="82"/>
      <c r="BZ519" s="82"/>
      <c r="CA519" s="82"/>
      <c r="CB519" s="82"/>
      <c r="CC519" s="82"/>
      <c r="CD519" s="82"/>
      <c r="CE519" s="82"/>
      <c r="CF519" s="82"/>
      <c r="CG519" s="82"/>
      <c r="CH519" s="82"/>
      <c r="CI519" s="82"/>
      <c r="CJ519" s="82"/>
      <c r="CK519" s="82"/>
      <c r="CL519" s="82"/>
      <c r="CM519" s="82"/>
      <c r="CN519" s="82"/>
      <c r="CO519" s="82"/>
      <c r="CP519" s="82"/>
      <c r="CQ519" s="82"/>
      <c r="CR519" s="82"/>
      <c r="CS519" s="82"/>
      <c r="CT519" s="82"/>
      <c r="CU519" s="82"/>
      <c r="CV519" s="82"/>
      <c r="CW519" s="82"/>
      <c r="CX519" s="82"/>
      <c r="CY519" s="82"/>
      <c r="CZ519" s="82"/>
      <c r="DA519" s="82"/>
      <c r="DB519" s="82"/>
      <c r="DC519" s="82"/>
      <c r="DD519" s="82"/>
      <c r="DE519" s="82"/>
      <c r="DF519" s="82"/>
      <c r="DG519" s="82"/>
    </row>
    <row r="520" spans="2:111" ht="9" customHeight="1" thickBot="1">
      <c r="BC520" s="82"/>
      <c r="BD520" s="82"/>
      <c r="BE520" s="82"/>
      <c r="BF520" s="82"/>
      <c r="BG520" s="82"/>
      <c r="BH520" s="82"/>
      <c r="BI520" s="82"/>
      <c r="BJ520" s="82"/>
      <c r="BK520" s="82"/>
      <c r="BL520" s="82"/>
      <c r="BM520" s="82"/>
      <c r="BN520" s="82"/>
      <c r="BO520" s="82"/>
      <c r="BP520" s="82"/>
      <c r="BQ520" s="82"/>
      <c r="BR520" s="82"/>
      <c r="BS520" s="82"/>
      <c r="BT520" s="82"/>
      <c r="BU520" s="82"/>
      <c r="BV520" s="82"/>
      <c r="BW520" s="82"/>
      <c r="BX520" s="82"/>
      <c r="BY520" s="82"/>
      <c r="BZ520" s="82"/>
      <c r="CA520" s="82"/>
      <c r="CB520" s="82"/>
      <c r="CC520" s="82"/>
      <c r="CD520" s="82"/>
      <c r="CE520" s="82"/>
      <c r="CF520" s="82"/>
      <c r="CG520" s="82"/>
      <c r="CH520" s="82"/>
      <c r="CI520" s="82"/>
      <c r="CJ520" s="82"/>
      <c r="CK520" s="82"/>
      <c r="CL520" s="82"/>
      <c r="CM520" s="82"/>
      <c r="CN520" s="82"/>
      <c r="CO520" s="82"/>
      <c r="CP520" s="82"/>
      <c r="CQ520" s="82"/>
      <c r="CR520" s="82"/>
      <c r="CS520" s="82"/>
      <c r="CT520" s="82"/>
      <c r="CU520" s="82"/>
      <c r="CV520" s="82"/>
      <c r="CW520" s="82"/>
      <c r="CX520" s="82"/>
      <c r="CY520" s="82"/>
      <c r="CZ520" s="82"/>
      <c r="DA520" s="82"/>
      <c r="DB520" s="82"/>
      <c r="DC520" s="82"/>
      <c r="DD520" s="82"/>
      <c r="DE520" s="82"/>
      <c r="DF520" s="82"/>
      <c r="DG520" s="82"/>
    </row>
    <row r="521" spans="2:111" ht="9" customHeight="1">
      <c r="B521" s="245" t="s">
        <v>279</v>
      </c>
      <c r="C521" s="245"/>
      <c r="D521" s="245"/>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c r="AA521" s="245"/>
      <c r="AB521" s="245"/>
      <c r="AC521" s="245"/>
      <c r="AD521" s="245"/>
      <c r="AE521" s="245"/>
      <c r="AF521" s="245"/>
      <c r="AG521" s="245"/>
      <c r="AH521" s="245"/>
      <c r="AI521" s="245"/>
      <c r="AJ521" s="245"/>
      <c r="AK521" s="245"/>
      <c r="AL521" s="245"/>
      <c r="AM521" s="245"/>
      <c r="AN521" s="245"/>
      <c r="AO521" s="245"/>
      <c r="AP521" s="245"/>
      <c r="AQ521" s="245"/>
      <c r="AR521" s="245"/>
      <c r="AS521" s="245"/>
      <c r="AT521" s="245"/>
      <c r="AU521" s="245"/>
      <c r="AV521" s="245"/>
      <c r="AW521" s="245"/>
      <c r="AX521" s="245"/>
      <c r="AY521" s="245"/>
      <c r="AZ521" s="245"/>
      <c r="BA521" s="246"/>
      <c r="BC521" s="82"/>
      <c r="BD521" s="82"/>
      <c r="BE521" s="82"/>
      <c r="BF521" s="82"/>
      <c r="BG521" s="82"/>
      <c r="BH521" s="82"/>
      <c r="BI521" s="82"/>
      <c r="BJ521" s="82"/>
      <c r="BK521" s="82"/>
      <c r="BL521" s="82"/>
      <c r="BM521" s="82"/>
      <c r="BN521" s="82"/>
      <c r="BO521" s="82"/>
      <c r="BP521" s="82"/>
      <c r="BQ521" s="82"/>
      <c r="BR521" s="82"/>
      <c r="BS521" s="82"/>
      <c r="BT521" s="82"/>
      <c r="BU521" s="82"/>
      <c r="BV521" s="82"/>
      <c r="BW521" s="82"/>
      <c r="BX521" s="82"/>
      <c r="BY521" s="82"/>
      <c r="BZ521" s="82"/>
      <c r="CA521" s="82"/>
      <c r="CB521" s="82"/>
      <c r="CC521" s="82"/>
      <c r="CD521" s="82"/>
      <c r="CE521" s="82"/>
      <c r="CF521" s="82"/>
      <c r="CG521" s="82"/>
      <c r="CH521" s="82"/>
      <c r="CI521" s="82"/>
      <c r="CJ521" s="82"/>
      <c r="CK521" s="82"/>
      <c r="CL521" s="82"/>
      <c r="CM521" s="82"/>
      <c r="CN521" s="82"/>
      <c r="CO521" s="82"/>
      <c r="CP521" s="82"/>
      <c r="CQ521" s="82"/>
      <c r="CR521" s="82"/>
      <c r="CS521" s="82"/>
      <c r="CT521" s="82"/>
      <c r="CU521" s="82"/>
      <c r="CV521" s="82"/>
      <c r="CW521" s="82"/>
      <c r="CX521" s="82"/>
      <c r="CY521" s="82"/>
      <c r="CZ521" s="82"/>
      <c r="DA521" s="82"/>
      <c r="DB521" s="82"/>
      <c r="DC521" s="82"/>
      <c r="DD521" s="82"/>
      <c r="DE521" s="82"/>
      <c r="DF521" s="82"/>
      <c r="DG521" s="82"/>
    </row>
    <row r="522" spans="2:111" ht="9" customHeight="1">
      <c r="B522" s="247"/>
      <c r="C522" s="247"/>
      <c r="D522" s="247"/>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c r="AA522" s="247"/>
      <c r="AB522" s="247"/>
      <c r="AC522" s="247"/>
      <c r="AD522" s="247"/>
      <c r="AE522" s="247"/>
      <c r="AF522" s="247"/>
      <c r="AG522" s="247"/>
      <c r="AH522" s="247"/>
      <c r="AI522" s="247"/>
      <c r="AJ522" s="247"/>
      <c r="AK522" s="247"/>
      <c r="AL522" s="247"/>
      <c r="AM522" s="247"/>
      <c r="AN522" s="247"/>
      <c r="AO522" s="247"/>
      <c r="AP522" s="247"/>
      <c r="AQ522" s="247"/>
      <c r="AR522" s="247"/>
      <c r="AS522" s="247"/>
      <c r="AT522" s="247"/>
      <c r="AU522" s="247"/>
      <c r="AV522" s="247"/>
      <c r="AW522" s="247"/>
      <c r="AX522" s="247"/>
      <c r="AY522" s="247"/>
      <c r="AZ522" s="247"/>
      <c r="BA522" s="248"/>
      <c r="BC522" s="82"/>
      <c r="BD522" s="82"/>
      <c r="BE522" s="82"/>
      <c r="BF522" s="82"/>
      <c r="BG522" s="82"/>
      <c r="BH522" s="82"/>
      <c r="BI522" s="82"/>
      <c r="BJ522" s="82"/>
      <c r="BK522" s="82"/>
      <c r="BL522" s="82"/>
      <c r="BM522" s="82"/>
      <c r="BN522" s="82"/>
      <c r="BO522" s="82"/>
      <c r="BP522" s="82"/>
      <c r="BQ522" s="82"/>
      <c r="BR522" s="82"/>
      <c r="BS522" s="82"/>
      <c r="BT522" s="82"/>
      <c r="BU522" s="82"/>
      <c r="BV522" s="82"/>
      <c r="BW522" s="82"/>
      <c r="BX522" s="82"/>
      <c r="BY522" s="82"/>
      <c r="BZ522" s="82"/>
      <c r="CA522" s="82"/>
      <c r="CB522" s="82"/>
      <c r="CC522" s="82"/>
      <c r="CD522" s="82"/>
      <c r="CE522" s="82"/>
      <c r="CF522" s="82"/>
      <c r="CG522" s="82"/>
      <c r="CH522" s="82"/>
      <c r="CI522" s="82"/>
      <c r="CJ522" s="82"/>
      <c r="CK522" s="82"/>
      <c r="CL522" s="82"/>
      <c r="CM522" s="82"/>
      <c r="CN522" s="82"/>
      <c r="CO522" s="82"/>
      <c r="CP522" s="82"/>
      <c r="CQ522" s="82"/>
      <c r="CR522" s="82"/>
      <c r="CS522" s="82"/>
      <c r="CT522" s="82"/>
      <c r="CU522" s="82"/>
      <c r="CV522" s="82"/>
      <c r="CW522" s="82"/>
      <c r="CX522" s="82"/>
      <c r="CY522" s="82"/>
      <c r="CZ522" s="82"/>
      <c r="DA522" s="82"/>
      <c r="DB522" s="82"/>
      <c r="DC522" s="82"/>
      <c r="DD522" s="82"/>
      <c r="DE522" s="82"/>
      <c r="DF522" s="82"/>
      <c r="DG522" s="82"/>
    </row>
    <row r="523" spans="2:111" ht="9" customHeight="1">
      <c r="B523" s="249"/>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c r="AA523" s="249"/>
      <c r="AB523" s="249"/>
      <c r="AC523" s="249"/>
      <c r="AD523" s="249"/>
      <c r="AE523" s="249"/>
      <c r="AF523" s="249"/>
      <c r="AG523" s="249"/>
      <c r="AH523" s="249"/>
      <c r="AI523" s="249"/>
      <c r="AJ523" s="249"/>
      <c r="AK523" s="249"/>
      <c r="AL523" s="249"/>
      <c r="AM523" s="249"/>
      <c r="AN523" s="249"/>
      <c r="AO523" s="249"/>
      <c r="AP523" s="249"/>
      <c r="AQ523" s="249"/>
      <c r="AR523" s="249"/>
      <c r="AS523" s="249"/>
      <c r="AT523" s="249"/>
      <c r="AU523" s="249"/>
      <c r="AV523" s="249"/>
      <c r="AW523" s="249"/>
      <c r="AX523" s="249"/>
      <c r="AY523" s="249"/>
      <c r="AZ523" s="249"/>
      <c r="BA523" s="250"/>
      <c r="BC523" s="82"/>
      <c r="BD523" s="82"/>
      <c r="BE523" s="82"/>
      <c r="BF523" s="82"/>
      <c r="BG523" s="82"/>
      <c r="BH523" s="82"/>
      <c r="BI523" s="82"/>
      <c r="BJ523" s="82"/>
      <c r="BK523" s="82"/>
      <c r="BL523" s="82"/>
      <c r="BM523" s="82"/>
      <c r="BN523" s="82"/>
      <c r="BO523" s="82"/>
      <c r="BP523" s="82"/>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c r="CR523" s="82"/>
      <c r="CS523" s="82"/>
      <c r="CT523" s="82"/>
      <c r="CU523" s="82"/>
      <c r="CV523" s="82"/>
      <c r="CW523" s="82"/>
      <c r="CX523" s="82"/>
      <c r="CY523" s="82"/>
      <c r="CZ523" s="82"/>
      <c r="DA523" s="82"/>
      <c r="DB523" s="82"/>
      <c r="DC523" s="82"/>
      <c r="DD523" s="82"/>
      <c r="DE523" s="82"/>
      <c r="DF523" s="82"/>
      <c r="DG523" s="82"/>
    </row>
    <row r="524" spans="2:111" ht="9" customHeight="1">
      <c r="BC524" s="82"/>
      <c r="BD524" s="82"/>
      <c r="BE524" s="82"/>
      <c r="BF524" s="82"/>
      <c r="BG524" s="82"/>
      <c r="BH524" s="82"/>
      <c r="BI524" s="82"/>
      <c r="BJ524" s="82"/>
      <c r="BK524" s="82"/>
      <c r="BL524" s="82"/>
      <c r="BM524" s="82"/>
      <c r="BN524" s="82"/>
      <c r="BO524" s="82"/>
      <c r="BP524" s="82"/>
      <c r="BQ524" s="82"/>
      <c r="BR524" s="82"/>
      <c r="BS524" s="82"/>
      <c r="BT524" s="82"/>
      <c r="BU524" s="82"/>
      <c r="BV524" s="82"/>
      <c r="BW524" s="82"/>
      <c r="BX524" s="82"/>
      <c r="BY524" s="82"/>
      <c r="BZ524" s="82"/>
      <c r="CA524" s="82"/>
      <c r="CB524" s="82"/>
      <c r="CC524" s="82"/>
      <c r="CD524" s="82"/>
      <c r="CE524" s="82"/>
      <c r="CF524" s="82"/>
      <c r="CG524" s="82"/>
      <c r="CH524" s="82"/>
      <c r="CI524" s="82"/>
      <c r="CJ524" s="82"/>
      <c r="CK524" s="82"/>
      <c r="CL524" s="82"/>
      <c r="CM524" s="82"/>
      <c r="CN524" s="82"/>
      <c r="CO524" s="82"/>
      <c r="CP524" s="82"/>
      <c r="CQ524" s="82"/>
      <c r="CR524" s="82"/>
      <c r="CS524" s="82"/>
      <c r="CT524" s="82"/>
      <c r="CU524" s="82"/>
      <c r="CV524" s="82"/>
      <c r="CW524" s="82"/>
      <c r="CX524" s="82"/>
      <c r="CY524" s="82"/>
      <c r="CZ524" s="82"/>
      <c r="DA524" s="82"/>
      <c r="DB524" s="82"/>
      <c r="DC524" s="82"/>
      <c r="DD524" s="82"/>
      <c r="DE524" s="82"/>
      <c r="DF524" s="82"/>
      <c r="DG524" s="82"/>
    </row>
    <row r="525" spans="2:111" ht="9" customHeight="1">
      <c r="BC525" s="82"/>
      <c r="BD525" s="82"/>
      <c r="BE525" s="82"/>
      <c r="BF525" s="82"/>
      <c r="BG525" s="82"/>
      <c r="BH525" s="82"/>
      <c r="BI525" s="82"/>
      <c r="BJ525" s="82"/>
      <c r="BK525" s="82"/>
      <c r="BL525" s="82"/>
      <c r="BM525" s="82"/>
      <c r="BN525" s="82"/>
      <c r="BO525" s="82"/>
      <c r="BP525" s="82"/>
      <c r="BQ525" s="82"/>
      <c r="BR525" s="82"/>
      <c r="BS525" s="82"/>
      <c r="BT525" s="82"/>
      <c r="BU525" s="82"/>
      <c r="BV525" s="82"/>
      <c r="BW525" s="82"/>
      <c r="BX525" s="82"/>
      <c r="BY525" s="82"/>
      <c r="BZ525" s="82"/>
      <c r="CA525" s="82"/>
      <c r="CB525" s="82"/>
      <c r="CC525" s="82"/>
      <c r="CD525" s="82"/>
      <c r="CE525" s="82"/>
      <c r="CF525" s="82"/>
      <c r="CG525" s="82"/>
      <c r="CH525" s="82"/>
      <c r="CI525" s="82"/>
      <c r="CJ525" s="82"/>
      <c r="CK525" s="82"/>
      <c r="CL525" s="82"/>
      <c r="CM525" s="82"/>
      <c r="CN525" s="82"/>
      <c r="CO525" s="82"/>
      <c r="CP525" s="82"/>
      <c r="CQ525" s="82"/>
      <c r="CR525" s="82"/>
      <c r="CS525" s="82"/>
      <c r="CT525" s="82"/>
      <c r="CU525" s="82"/>
      <c r="CV525" s="82"/>
      <c r="CW525" s="82"/>
      <c r="CX525" s="82"/>
      <c r="CY525" s="82"/>
      <c r="CZ525" s="82"/>
      <c r="DA525" s="82"/>
      <c r="DB525" s="82"/>
      <c r="DC525" s="82"/>
      <c r="DD525" s="82"/>
      <c r="DE525" s="82"/>
      <c r="DF525" s="82"/>
      <c r="DG525" s="82"/>
    </row>
    <row r="526" spans="2:111" ht="9" customHeight="1">
      <c r="B526" s="215" t="s">
        <v>263</v>
      </c>
      <c r="C526" s="215"/>
      <c r="D526" s="215"/>
      <c r="E526" s="215"/>
      <c r="F526" s="215"/>
      <c r="G526" s="215"/>
      <c r="H526" s="215"/>
      <c r="I526" s="215"/>
      <c r="J526" s="215"/>
      <c r="K526" s="215"/>
      <c r="L526" s="215"/>
      <c r="M526" s="215"/>
      <c r="N526" s="7"/>
      <c r="O526" s="216" t="s">
        <v>510</v>
      </c>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c r="AQ526" s="217"/>
      <c r="AR526" s="217"/>
      <c r="AS526" s="217"/>
      <c r="AT526" s="217"/>
      <c r="AU526" s="217"/>
      <c r="AV526" s="217"/>
      <c r="AW526" s="217"/>
      <c r="AX526" s="217"/>
      <c r="AY526" s="217"/>
      <c r="AZ526" s="217"/>
      <c r="BA526" s="251"/>
      <c r="BC526" s="82"/>
      <c r="BD526" s="82"/>
      <c r="BE526" s="82"/>
      <c r="BF526" s="82"/>
      <c r="BG526" s="82"/>
      <c r="BH526" s="214" t="s">
        <v>361</v>
      </c>
      <c r="BI526" s="214"/>
      <c r="BJ526" s="214"/>
      <c r="BK526" s="214"/>
      <c r="BL526" s="214"/>
      <c r="BM526" s="214"/>
      <c r="BN526" s="214"/>
      <c r="BO526" s="214"/>
      <c r="BP526" s="214"/>
      <c r="BQ526" s="214"/>
      <c r="BR526" s="214"/>
      <c r="BS526" s="214"/>
      <c r="BT526" s="214"/>
      <c r="BU526" s="214"/>
      <c r="BV526" s="214"/>
      <c r="BW526" s="214"/>
      <c r="BX526" s="214"/>
      <c r="BY526" s="214"/>
      <c r="BZ526" s="214"/>
      <c r="CA526" s="214"/>
      <c r="CB526" s="214"/>
      <c r="CC526" s="214"/>
      <c r="CD526" s="214"/>
      <c r="CE526" s="214"/>
      <c r="CF526" s="214"/>
      <c r="CG526" s="214"/>
      <c r="CH526" s="214"/>
      <c r="CI526" s="214"/>
      <c r="CJ526" s="214"/>
      <c r="CK526" s="214"/>
      <c r="CL526" s="214"/>
      <c r="CM526" s="214"/>
      <c r="CN526" s="214"/>
      <c r="CO526" s="214"/>
      <c r="CP526" s="214"/>
      <c r="CQ526" s="214"/>
      <c r="CR526" s="214"/>
      <c r="CS526" s="214"/>
      <c r="CT526" s="214"/>
      <c r="CU526" s="214"/>
      <c r="CV526" s="214"/>
      <c r="CW526" s="214"/>
      <c r="CX526" s="214"/>
      <c r="CY526" s="214"/>
      <c r="CZ526" s="214"/>
      <c r="DA526" s="214"/>
      <c r="DB526" s="214"/>
      <c r="DC526" s="214"/>
      <c r="DD526" s="214"/>
      <c r="DE526" s="214"/>
      <c r="DF526" s="214"/>
      <c r="DG526" s="82"/>
    </row>
    <row r="527" spans="2:111" ht="9" customHeight="1">
      <c r="B527" s="215"/>
      <c r="C527" s="215"/>
      <c r="D527" s="215"/>
      <c r="E527" s="215"/>
      <c r="F527" s="215"/>
      <c r="G527" s="215"/>
      <c r="H527" s="215"/>
      <c r="I527" s="215"/>
      <c r="J527" s="215"/>
      <c r="K527" s="215"/>
      <c r="L527" s="215"/>
      <c r="M527" s="215"/>
      <c r="N527" s="7"/>
      <c r="O527" s="219"/>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52"/>
      <c r="BC527" s="82"/>
      <c r="BD527" s="82"/>
      <c r="BE527" s="82"/>
      <c r="BF527" s="82"/>
      <c r="BG527" s="82"/>
      <c r="BH527" s="214"/>
      <c r="BI527" s="214"/>
      <c r="BJ527" s="214"/>
      <c r="BK527" s="214"/>
      <c r="BL527" s="214"/>
      <c r="BM527" s="214"/>
      <c r="BN527" s="214"/>
      <c r="BO527" s="214"/>
      <c r="BP527" s="214"/>
      <c r="BQ527" s="214"/>
      <c r="BR527" s="214"/>
      <c r="BS527" s="214"/>
      <c r="BT527" s="214"/>
      <c r="BU527" s="214"/>
      <c r="BV527" s="214"/>
      <c r="BW527" s="214"/>
      <c r="BX527" s="214"/>
      <c r="BY527" s="214"/>
      <c r="BZ527" s="214"/>
      <c r="CA527" s="214"/>
      <c r="CB527" s="214"/>
      <c r="CC527" s="214"/>
      <c r="CD527" s="214"/>
      <c r="CE527" s="214"/>
      <c r="CF527" s="214"/>
      <c r="CG527" s="214"/>
      <c r="CH527" s="214"/>
      <c r="CI527" s="214"/>
      <c r="CJ527" s="214"/>
      <c r="CK527" s="214"/>
      <c r="CL527" s="214"/>
      <c r="CM527" s="214"/>
      <c r="CN527" s="214"/>
      <c r="CO527" s="214"/>
      <c r="CP527" s="214"/>
      <c r="CQ527" s="214"/>
      <c r="CR527" s="214"/>
      <c r="CS527" s="214"/>
      <c r="CT527" s="214"/>
      <c r="CU527" s="214"/>
      <c r="CV527" s="214"/>
      <c r="CW527" s="214"/>
      <c r="CX527" s="214"/>
      <c r="CY527" s="214"/>
      <c r="CZ527" s="214"/>
      <c r="DA527" s="214"/>
      <c r="DB527" s="214"/>
      <c r="DC527" s="214"/>
      <c r="DD527" s="214"/>
      <c r="DE527" s="214"/>
      <c r="DF527" s="214"/>
      <c r="DG527" s="82"/>
    </row>
    <row r="528" spans="2:111" ht="9" customHeight="1">
      <c r="B528" s="215"/>
      <c r="C528" s="215"/>
      <c r="D528" s="215"/>
      <c r="E528" s="215"/>
      <c r="F528" s="215"/>
      <c r="G528" s="215"/>
      <c r="H528" s="215"/>
      <c r="I528" s="215"/>
      <c r="J528" s="215"/>
      <c r="K528" s="215"/>
      <c r="L528" s="215"/>
      <c r="M528" s="215"/>
      <c r="N528" s="7"/>
      <c r="O528" s="219"/>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52"/>
      <c r="BC528" s="82"/>
      <c r="BD528" s="82"/>
      <c r="BE528" s="82"/>
      <c r="BF528" s="82"/>
      <c r="BG528" s="82"/>
      <c r="BH528" s="214"/>
      <c r="BI528" s="214"/>
      <c r="BJ528" s="214"/>
      <c r="BK528" s="214"/>
      <c r="BL528" s="214"/>
      <c r="BM528" s="214"/>
      <c r="BN528" s="214"/>
      <c r="BO528" s="214"/>
      <c r="BP528" s="214"/>
      <c r="BQ528" s="214"/>
      <c r="BR528" s="214"/>
      <c r="BS528" s="214"/>
      <c r="BT528" s="214"/>
      <c r="BU528" s="214"/>
      <c r="BV528" s="214"/>
      <c r="BW528" s="214"/>
      <c r="BX528" s="214"/>
      <c r="BY528" s="214"/>
      <c r="BZ528" s="214"/>
      <c r="CA528" s="214"/>
      <c r="CB528" s="214"/>
      <c r="CC528" s="214"/>
      <c r="CD528" s="214"/>
      <c r="CE528" s="214"/>
      <c r="CF528" s="214"/>
      <c r="CG528" s="214"/>
      <c r="CH528" s="214"/>
      <c r="CI528" s="214"/>
      <c r="CJ528" s="214"/>
      <c r="CK528" s="214"/>
      <c r="CL528" s="214"/>
      <c r="CM528" s="214"/>
      <c r="CN528" s="214"/>
      <c r="CO528" s="214"/>
      <c r="CP528" s="214"/>
      <c r="CQ528" s="214"/>
      <c r="CR528" s="214"/>
      <c r="CS528" s="214"/>
      <c r="CT528" s="214"/>
      <c r="CU528" s="214"/>
      <c r="CV528" s="214"/>
      <c r="CW528" s="214"/>
      <c r="CX528" s="214"/>
      <c r="CY528" s="214"/>
      <c r="CZ528" s="214"/>
      <c r="DA528" s="214"/>
      <c r="DB528" s="214"/>
      <c r="DC528" s="214"/>
      <c r="DD528" s="214"/>
      <c r="DE528" s="214"/>
      <c r="DF528" s="214"/>
      <c r="DG528" s="82"/>
    </row>
    <row r="529" spans="2:111" ht="9" customHeight="1">
      <c r="B529" s="215"/>
      <c r="C529" s="215"/>
      <c r="D529" s="215"/>
      <c r="E529" s="215"/>
      <c r="F529" s="215"/>
      <c r="G529" s="215"/>
      <c r="H529" s="215"/>
      <c r="I529" s="215"/>
      <c r="J529" s="215"/>
      <c r="K529" s="215"/>
      <c r="L529" s="215"/>
      <c r="M529" s="215"/>
      <c r="N529" s="7"/>
      <c r="O529" s="219"/>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52"/>
      <c r="BC529" s="82"/>
      <c r="BD529" s="82"/>
      <c r="BE529" s="82"/>
      <c r="BF529" s="82"/>
      <c r="BG529" s="82"/>
      <c r="BH529" s="214"/>
      <c r="BI529" s="214"/>
      <c r="BJ529" s="214"/>
      <c r="BK529" s="214"/>
      <c r="BL529" s="214"/>
      <c r="BM529" s="214"/>
      <c r="BN529" s="214"/>
      <c r="BO529" s="214"/>
      <c r="BP529" s="214"/>
      <c r="BQ529" s="214"/>
      <c r="BR529" s="214"/>
      <c r="BS529" s="214"/>
      <c r="BT529" s="214"/>
      <c r="BU529" s="214"/>
      <c r="BV529" s="214"/>
      <c r="BW529" s="214"/>
      <c r="BX529" s="214"/>
      <c r="BY529" s="214"/>
      <c r="BZ529" s="214"/>
      <c r="CA529" s="214"/>
      <c r="CB529" s="214"/>
      <c r="CC529" s="214"/>
      <c r="CD529" s="214"/>
      <c r="CE529" s="214"/>
      <c r="CF529" s="214"/>
      <c r="CG529" s="214"/>
      <c r="CH529" s="214"/>
      <c r="CI529" s="214"/>
      <c r="CJ529" s="214"/>
      <c r="CK529" s="214"/>
      <c r="CL529" s="214"/>
      <c r="CM529" s="214"/>
      <c r="CN529" s="214"/>
      <c r="CO529" s="214"/>
      <c r="CP529" s="214"/>
      <c r="CQ529" s="214"/>
      <c r="CR529" s="214"/>
      <c r="CS529" s="214"/>
      <c r="CT529" s="214"/>
      <c r="CU529" s="214"/>
      <c r="CV529" s="214"/>
      <c r="CW529" s="214"/>
      <c r="CX529" s="214"/>
      <c r="CY529" s="214"/>
      <c r="CZ529" s="214"/>
      <c r="DA529" s="214"/>
      <c r="DB529" s="214"/>
      <c r="DC529" s="214"/>
      <c r="DD529" s="214"/>
      <c r="DE529" s="214"/>
      <c r="DF529" s="214"/>
      <c r="DG529" s="82"/>
    </row>
    <row r="530" spans="2:111" ht="9" customHeight="1">
      <c r="B530" s="8"/>
      <c r="C530" s="8"/>
      <c r="D530" s="8"/>
      <c r="E530" s="8"/>
      <c r="F530" s="8"/>
      <c r="G530" s="8"/>
      <c r="H530" s="8"/>
      <c r="I530" s="8"/>
      <c r="J530" s="8"/>
      <c r="K530" s="8"/>
      <c r="L530" s="8"/>
      <c r="M530" s="8"/>
      <c r="N530" s="7"/>
      <c r="O530" s="219"/>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52"/>
      <c r="BC530" s="82"/>
      <c r="BD530" s="82"/>
      <c r="BE530" s="82"/>
      <c r="BF530" s="82"/>
      <c r="BG530" s="82"/>
      <c r="BH530" s="214"/>
      <c r="BI530" s="214"/>
      <c r="BJ530" s="214"/>
      <c r="BK530" s="214"/>
      <c r="BL530" s="214"/>
      <c r="BM530" s="214"/>
      <c r="BN530" s="214"/>
      <c r="BO530" s="214"/>
      <c r="BP530" s="214"/>
      <c r="BQ530" s="214"/>
      <c r="BR530" s="214"/>
      <c r="BS530" s="214"/>
      <c r="BT530" s="214"/>
      <c r="BU530" s="214"/>
      <c r="BV530" s="214"/>
      <c r="BW530" s="214"/>
      <c r="BX530" s="214"/>
      <c r="BY530" s="214"/>
      <c r="BZ530" s="214"/>
      <c r="CA530" s="214"/>
      <c r="CB530" s="214"/>
      <c r="CC530" s="214"/>
      <c r="CD530" s="214"/>
      <c r="CE530" s="214"/>
      <c r="CF530" s="214"/>
      <c r="CG530" s="214"/>
      <c r="CH530" s="214"/>
      <c r="CI530" s="214"/>
      <c r="CJ530" s="214"/>
      <c r="CK530" s="214"/>
      <c r="CL530" s="214"/>
      <c r="CM530" s="214"/>
      <c r="CN530" s="214"/>
      <c r="CO530" s="214"/>
      <c r="CP530" s="214"/>
      <c r="CQ530" s="214"/>
      <c r="CR530" s="214"/>
      <c r="CS530" s="214"/>
      <c r="CT530" s="214"/>
      <c r="CU530" s="214"/>
      <c r="CV530" s="214"/>
      <c r="CW530" s="214"/>
      <c r="CX530" s="214"/>
      <c r="CY530" s="214"/>
      <c r="CZ530" s="214"/>
      <c r="DA530" s="214"/>
      <c r="DB530" s="214"/>
      <c r="DC530" s="214"/>
      <c r="DD530" s="214"/>
      <c r="DE530" s="214"/>
      <c r="DF530" s="214"/>
      <c r="DG530" s="82"/>
    </row>
    <row r="531" spans="2:111" ht="9" customHeight="1">
      <c r="B531" s="8"/>
      <c r="C531" s="8"/>
      <c r="D531" s="8"/>
      <c r="E531" s="8"/>
      <c r="F531" s="8"/>
      <c r="G531" s="8"/>
      <c r="H531" s="8"/>
      <c r="I531" s="8"/>
      <c r="J531" s="8"/>
      <c r="K531" s="8"/>
      <c r="L531" s="8"/>
      <c r="M531" s="8"/>
      <c r="N531" s="7"/>
      <c r="O531" s="219"/>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52"/>
      <c r="BC531" s="82"/>
      <c r="BD531" s="82"/>
      <c r="BE531" s="82"/>
      <c r="BF531" s="82"/>
      <c r="BG531" s="82"/>
      <c r="BH531" s="214"/>
      <c r="BI531" s="214"/>
      <c r="BJ531" s="214"/>
      <c r="BK531" s="214"/>
      <c r="BL531" s="214"/>
      <c r="BM531" s="214"/>
      <c r="BN531" s="214"/>
      <c r="BO531" s="214"/>
      <c r="BP531" s="214"/>
      <c r="BQ531" s="214"/>
      <c r="BR531" s="214"/>
      <c r="BS531" s="214"/>
      <c r="BT531" s="214"/>
      <c r="BU531" s="214"/>
      <c r="BV531" s="214"/>
      <c r="BW531" s="214"/>
      <c r="BX531" s="214"/>
      <c r="BY531" s="214"/>
      <c r="BZ531" s="214"/>
      <c r="CA531" s="214"/>
      <c r="CB531" s="214"/>
      <c r="CC531" s="214"/>
      <c r="CD531" s="214"/>
      <c r="CE531" s="214"/>
      <c r="CF531" s="214"/>
      <c r="CG531" s="214"/>
      <c r="CH531" s="214"/>
      <c r="CI531" s="214"/>
      <c r="CJ531" s="214"/>
      <c r="CK531" s="214"/>
      <c r="CL531" s="214"/>
      <c r="CM531" s="214"/>
      <c r="CN531" s="214"/>
      <c r="CO531" s="214"/>
      <c r="CP531" s="214"/>
      <c r="CQ531" s="214"/>
      <c r="CR531" s="214"/>
      <c r="CS531" s="214"/>
      <c r="CT531" s="214"/>
      <c r="CU531" s="214"/>
      <c r="CV531" s="214"/>
      <c r="CW531" s="214"/>
      <c r="CX531" s="214"/>
      <c r="CY531" s="214"/>
      <c r="CZ531" s="214"/>
      <c r="DA531" s="214"/>
      <c r="DB531" s="214"/>
      <c r="DC531" s="214"/>
      <c r="DD531" s="214"/>
      <c r="DE531" s="214"/>
      <c r="DF531" s="214"/>
      <c r="DG531" s="82"/>
    </row>
    <row r="532" spans="2:111" ht="9" customHeight="1">
      <c r="B532" s="7"/>
      <c r="C532" s="7"/>
      <c r="D532" s="7"/>
      <c r="E532" s="7"/>
      <c r="F532" s="7"/>
      <c r="G532" s="7"/>
      <c r="H532" s="7"/>
      <c r="I532" s="7"/>
      <c r="J532" s="7"/>
      <c r="K532" s="7"/>
      <c r="L532" s="7"/>
      <c r="M532" s="7"/>
      <c r="N532" s="7"/>
      <c r="O532" s="219"/>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52"/>
      <c r="BC532" s="82"/>
      <c r="BD532" s="82"/>
      <c r="BE532" s="82"/>
      <c r="BF532" s="82"/>
      <c r="BG532" s="82"/>
      <c r="BH532" s="82"/>
      <c r="BI532" s="82"/>
      <c r="BJ532" s="82"/>
      <c r="BK532" s="82"/>
      <c r="BL532" s="82"/>
      <c r="BM532" s="82"/>
      <c r="BN532" s="82"/>
      <c r="BO532" s="82"/>
      <c r="BP532" s="82"/>
      <c r="BQ532" s="82"/>
      <c r="BR532" s="82"/>
      <c r="BS532" s="82"/>
      <c r="BT532" s="82"/>
      <c r="BU532" s="82"/>
      <c r="BV532" s="82"/>
      <c r="BW532" s="82"/>
      <c r="BX532" s="82"/>
      <c r="BY532" s="82"/>
      <c r="BZ532" s="82"/>
      <c r="CA532" s="82"/>
      <c r="CB532" s="82"/>
      <c r="CC532" s="82"/>
      <c r="CD532" s="82"/>
      <c r="CE532" s="82"/>
      <c r="CF532" s="82"/>
      <c r="CG532" s="82"/>
      <c r="CH532" s="82"/>
      <c r="CI532" s="82"/>
      <c r="CJ532" s="82"/>
      <c r="CK532" s="82"/>
      <c r="CL532" s="82"/>
      <c r="CM532" s="82"/>
      <c r="CN532" s="82"/>
      <c r="CO532" s="82"/>
      <c r="CP532" s="82"/>
      <c r="CQ532" s="82"/>
      <c r="CR532" s="82"/>
      <c r="CS532" s="82"/>
      <c r="CT532" s="82"/>
      <c r="CU532" s="82"/>
      <c r="CV532" s="82"/>
      <c r="CW532" s="82"/>
      <c r="CX532" s="82"/>
      <c r="CY532" s="82"/>
      <c r="CZ532" s="82"/>
      <c r="DA532" s="82"/>
      <c r="DB532" s="82"/>
      <c r="DC532" s="82"/>
      <c r="DD532" s="82"/>
      <c r="DE532" s="82"/>
      <c r="DF532" s="82"/>
      <c r="DG532" s="82"/>
    </row>
    <row r="533" spans="2:111" ht="9" customHeight="1">
      <c r="B533" s="7"/>
      <c r="C533" s="7"/>
      <c r="D533" s="7"/>
      <c r="E533" s="7"/>
      <c r="F533" s="7"/>
      <c r="G533" s="7"/>
      <c r="H533" s="7"/>
      <c r="I533" s="7"/>
      <c r="J533" s="7"/>
      <c r="K533" s="7"/>
      <c r="L533" s="7"/>
      <c r="M533" s="7"/>
      <c r="N533" s="7"/>
      <c r="O533" s="253"/>
      <c r="P533" s="254"/>
      <c r="Q533" s="254"/>
      <c r="R533" s="254"/>
      <c r="S533" s="254"/>
      <c r="T533" s="254"/>
      <c r="U533" s="254"/>
      <c r="V533" s="254"/>
      <c r="W533" s="254"/>
      <c r="X533" s="254"/>
      <c r="Y533" s="254"/>
      <c r="Z533" s="254"/>
      <c r="AA533" s="254"/>
      <c r="AB533" s="254"/>
      <c r="AC533" s="254"/>
      <c r="AD533" s="254"/>
      <c r="AE533" s="254"/>
      <c r="AF533" s="254"/>
      <c r="AG533" s="254"/>
      <c r="AH533" s="254"/>
      <c r="AI533" s="254"/>
      <c r="AJ533" s="254"/>
      <c r="AK533" s="254"/>
      <c r="AL533" s="254"/>
      <c r="AM533" s="254"/>
      <c r="AN533" s="254"/>
      <c r="AO533" s="254"/>
      <c r="AP533" s="254"/>
      <c r="AQ533" s="254"/>
      <c r="AR533" s="254"/>
      <c r="AS533" s="254"/>
      <c r="AT533" s="254"/>
      <c r="AU533" s="254"/>
      <c r="AV533" s="254"/>
      <c r="AW533" s="254"/>
      <c r="AX533" s="254"/>
      <c r="AY533" s="254"/>
      <c r="AZ533" s="254"/>
      <c r="BA533" s="255"/>
      <c r="BC533" s="82"/>
      <c r="BD533" s="82"/>
      <c r="BE533" s="82"/>
      <c r="BF533" s="82"/>
      <c r="BG533" s="82"/>
      <c r="BH533" s="82"/>
      <c r="BI533" s="82"/>
      <c r="BJ533" s="82"/>
      <c r="BK533" s="82"/>
      <c r="BL533" s="82"/>
      <c r="BM533" s="82"/>
      <c r="BN533" s="82"/>
      <c r="BO533" s="82"/>
      <c r="BP533" s="82"/>
      <c r="BQ533" s="82"/>
      <c r="BR533" s="82"/>
      <c r="BS533" s="82"/>
      <c r="BT533" s="82"/>
      <c r="BU533" s="82"/>
      <c r="BV533" s="82"/>
      <c r="BW533" s="82"/>
      <c r="BX533" s="82"/>
      <c r="BY533" s="82"/>
      <c r="BZ533" s="82"/>
      <c r="CA533" s="82"/>
      <c r="CB533" s="82"/>
      <c r="CC533" s="82"/>
      <c r="CD533" s="82"/>
      <c r="CE533" s="82"/>
      <c r="CF533" s="82"/>
      <c r="CG533" s="82"/>
      <c r="CH533" s="82"/>
      <c r="CI533" s="82"/>
      <c r="CJ533" s="82"/>
      <c r="CK533" s="82"/>
      <c r="CL533" s="82"/>
      <c r="CM533" s="82"/>
      <c r="CN533" s="82"/>
      <c r="CO533" s="82"/>
      <c r="CP533" s="82"/>
      <c r="CQ533" s="82"/>
      <c r="CR533" s="82"/>
      <c r="CS533" s="82"/>
      <c r="CT533" s="82"/>
      <c r="CU533" s="82"/>
      <c r="CV533" s="82"/>
      <c r="CW533" s="82"/>
      <c r="CX533" s="82"/>
      <c r="CY533" s="82"/>
      <c r="CZ533" s="82"/>
      <c r="DA533" s="82"/>
      <c r="DB533" s="82"/>
      <c r="DC533" s="82"/>
      <c r="DD533" s="82"/>
      <c r="DE533" s="82"/>
      <c r="DF533" s="82"/>
      <c r="DG533" s="82"/>
    </row>
    <row r="534" spans="2:111" ht="9" customHeight="1">
      <c r="BC534" s="82"/>
      <c r="BD534" s="82"/>
      <c r="BE534" s="82"/>
      <c r="BF534" s="82"/>
      <c r="BG534" s="82"/>
      <c r="BH534" s="82"/>
      <c r="BI534" s="82"/>
      <c r="BJ534" s="82"/>
      <c r="BK534" s="82"/>
      <c r="BL534" s="82"/>
      <c r="BM534" s="82"/>
      <c r="BN534" s="82"/>
      <c r="BO534" s="82"/>
      <c r="BP534" s="82"/>
      <c r="BQ534" s="82"/>
      <c r="BR534" s="82"/>
      <c r="BS534" s="82"/>
      <c r="BT534" s="82"/>
      <c r="BU534" s="82"/>
      <c r="BV534" s="82"/>
      <c r="BW534" s="82"/>
      <c r="BX534" s="82"/>
      <c r="BY534" s="82"/>
      <c r="BZ534" s="82"/>
      <c r="CA534" s="82"/>
      <c r="CB534" s="82"/>
      <c r="CC534" s="82"/>
      <c r="CD534" s="82"/>
      <c r="CE534" s="82"/>
      <c r="CF534" s="82"/>
      <c r="CG534" s="82"/>
      <c r="CH534" s="82"/>
      <c r="CI534" s="82"/>
      <c r="CJ534" s="82"/>
      <c r="CK534" s="82"/>
      <c r="CL534" s="82"/>
      <c r="CM534" s="82"/>
      <c r="CN534" s="82"/>
      <c r="CO534" s="82"/>
      <c r="CP534" s="82"/>
      <c r="CQ534" s="82"/>
      <c r="CR534" s="82"/>
      <c r="CS534" s="82"/>
      <c r="CT534" s="82"/>
      <c r="CU534" s="82"/>
      <c r="CV534" s="82"/>
      <c r="CW534" s="82"/>
      <c r="CX534" s="82"/>
      <c r="CY534" s="82"/>
      <c r="CZ534" s="82"/>
      <c r="DA534" s="82"/>
      <c r="DB534" s="82"/>
      <c r="DC534" s="82"/>
      <c r="DD534" s="82"/>
      <c r="DE534" s="82"/>
      <c r="DF534" s="82"/>
      <c r="DG534" s="82"/>
    </row>
    <row r="535" spans="2:111" ht="9" customHeight="1">
      <c r="B535" s="215" t="s">
        <v>264</v>
      </c>
      <c r="C535" s="215"/>
      <c r="D535" s="215"/>
      <c r="E535" s="215"/>
      <c r="F535" s="215"/>
      <c r="G535" s="215"/>
      <c r="H535" s="215"/>
      <c r="I535" s="215"/>
      <c r="J535" s="215"/>
      <c r="K535" s="215"/>
      <c r="L535" s="215"/>
      <c r="M535" s="215"/>
      <c r="N535" s="7"/>
      <c r="O535" s="216" t="s">
        <v>511</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51"/>
      <c r="BC535" s="82"/>
      <c r="BD535" s="82"/>
      <c r="BE535" s="82"/>
      <c r="BF535" s="82"/>
      <c r="BG535" s="82"/>
      <c r="BH535" s="214" t="s">
        <v>362</v>
      </c>
      <c r="BI535" s="214"/>
      <c r="BJ535" s="214"/>
      <c r="BK535" s="214"/>
      <c r="BL535" s="214"/>
      <c r="BM535" s="214"/>
      <c r="BN535" s="214"/>
      <c r="BO535" s="214"/>
      <c r="BP535" s="214"/>
      <c r="BQ535" s="214"/>
      <c r="BR535" s="214"/>
      <c r="BS535" s="214"/>
      <c r="BT535" s="214"/>
      <c r="BU535" s="214"/>
      <c r="BV535" s="214"/>
      <c r="BW535" s="214"/>
      <c r="BX535" s="214"/>
      <c r="BY535" s="214"/>
      <c r="BZ535" s="214"/>
      <c r="CA535" s="214"/>
      <c r="CB535" s="214"/>
      <c r="CC535" s="214"/>
      <c r="CD535" s="214"/>
      <c r="CE535" s="214"/>
      <c r="CF535" s="214"/>
      <c r="CG535" s="214"/>
      <c r="CH535" s="214"/>
      <c r="CI535" s="214"/>
      <c r="CJ535" s="214"/>
      <c r="CK535" s="214"/>
      <c r="CL535" s="214"/>
      <c r="CM535" s="214"/>
      <c r="CN535" s="214"/>
      <c r="CO535" s="214"/>
      <c r="CP535" s="214"/>
      <c r="CQ535" s="214"/>
      <c r="CR535" s="214"/>
      <c r="CS535" s="214"/>
      <c r="CT535" s="214"/>
      <c r="CU535" s="214"/>
      <c r="CV535" s="214"/>
      <c r="CW535" s="214"/>
      <c r="CX535" s="214"/>
      <c r="CY535" s="214"/>
      <c r="CZ535" s="214"/>
      <c r="DA535" s="214"/>
      <c r="DB535" s="214"/>
      <c r="DC535" s="214"/>
      <c r="DD535" s="214"/>
      <c r="DE535" s="214"/>
      <c r="DF535" s="214"/>
      <c r="DG535" s="82"/>
    </row>
    <row r="536" spans="2:111" ht="9" customHeight="1">
      <c r="B536" s="215"/>
      <c r="C536" s="215"/>
      <c r="D536" s="215"/>
      <c r="E536" s="215"/>
      <c r="F536" s="215"/>
      <c r="G536" s="215"/>
      <c r="H536" s="215"/>
      <c r="I536" s="215"/>
      <c r="J536" s="215"/>
      <c r="K536" s="215"/>
      <c r="L536" s="215"/>
      <c r="M536" s="215"/>
      <c r="N536" s="7"/>
      <c r="O536" s="219"/>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52"/>
      <c r="BC536" s="82"/>
      <c r="BD536" s="82"/>
      <c r="BE536" s="82"/>
      <c r="BF536" s="82"/>
      <c r="BG536" s="82"/>
      <c r="BH536" s="214"/>
      <c r="BI536" s="214"/>
      <c r="BJ536" s="214"/>
      <c r="BK536" s="214"/>
      <c r="BL536" s="214"/>
      <c r="BM536" s="214"/>
      <c r="BN536" s="214"/>
      <c r="BO536" s="214"/>
      <c r="BP536" s="214"/>
      <c r="BQ536" s="214"/>
      <c r="BR536" s="214"/>
      <c r="BS536" s="214"/>
      <c r="BT536" s="214"/>
      <c r="BU536" s="214"/>
      <c r="BV536" s="214"/>
      <c r="BW536" s="214"/>
      <c r="BX536" s="214"/>
      <c r="BY536" s="214"/>
      <c r="BZ536" s="214"/>
      <c r="CA536" s="214"/>
      <c r="CB536" s="214"/>
      <c r="CC536" s="214"/>
      <c r="CD536" s="214"/>
      <c r="CE536" s="214"/>
      <c r="CF536" s="214"/>
      <c r="CG536" s="214"/>
      <c r="CH536" s="214"/>
      <c r="CI536" s="214"/>
      <c r="CJ536" s="214"/>
      <c r="CK536" s="214"/>
      <c r="CL536" s="214"/>
      <c r="CM536" s="214"/>
      <c r="CN536" s="214"/>
      <c r="CO536" s="214"/>
      <c r="CP536" s="214"/>
      <c r="CQ536" s="214"/>
      <c r="CR536" s="214"/>
      <c r="CS536" s="214"/>
      <c r="CT536" s="214"/>
      <c r="CU536" s="214"/>
      <c r="CV536" s="214"/>
      <c r="CW536" s="214"/>
      <c r="CX536" s="214"/>
      <c r="CY536" s="214"/>
      <c r="CZ536" s="214"/>
      <c r="DA536" s="214"/>
      <c r="DB536" s="214"/>
      <c r="DC536" s="214"/>
      <c r="DD536" s="214"/>
      <c r="DE536" s="214"/>
      <c r="DF536" s="214"/>
      <c r="DG536" s="82"/>
    </row>
    <row r="537" spans="2:111" ht="9" customHeight="1">
      <c r="B537" s="215"/>
      <c r="C537" s="215"/>
      <c r="D537" s="215"/>
      <c r="E537" s="215"/>
      <c r="F537" s="215"/>
      <c r="G537" s="215"/>
      <c r="H537" s="215"/>
      <c r="I537" s="215"/>
      <c r="J537" s="215"/>
      <c r="K537" s="215"/>
      <c r="L537" s="215"/>
      <c r="M537" s="215"/>
      <c r="N537" s="7"/>
      <c r="O537" s="219"/>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52"/>
      <c r="BC537" s="82"/>
      <c r="BD537" s="82"/>
      <c r="BE537" s="82"/>
      <c r="BF537" s="82"/>
      <c r="BG537" s="82"/>
      <c r="BH537" s="214"/>
      <c r="BI537" s="214"/>
      <c r="BJ537" s="214"/>
      <c r="BK537" s="214"/>
      <c r="BL537" s="214"/>
      <c r="BM537" s="214"/>
      <c r="BN537" s="214"/>
      <c r="BO537" s="214"/>
      <c r="BP537" s="214"/>
      <c r="BQ537" s="214"/>
      <c r="BR537" s="214"/>
      <c r="BS537" s="214"/>
      <c r="BT537" s="214"/>
      <c r="BU537" s="214"/>
      <c r="BV537" s="214"/>
      <c r="BW537" s="214"/>
      <c r="BX537" s="214"/>
      <c r="BY537" s="214"/>
      <c r="BZ537" s="214"/>
      <c r="CA537" s="214"/>
      <c r="CB537" s="214"/>
      <c r="CC537" s="214"/>
      <c r="CD537" s="214"/>
      <c r="CE537" s="214"/>
      <c r="CF537" s="214"/>
      <c r="CG537" s="214"/>
      <c r="CH537" s="214"/>
      <c r="CI537" s="214"/>
      <c r="CJ537" s="214"/>
      <c r="CK537" s="214"/>
      <c r="CL537" s="214"/>
      <c r="CM537" s="214"/>
      <c r="CN537" s="214"/>
      <c r="CO537" s="214"/>
      <c r="CP537" s="214"/>
      <c r="CQ537" s="214"/>
      <c r="CR537" s="214"/>
      <c r="CS537" s="214"/>
      <c r="CT537" s="214"/>
      <c r="CU537" s="214"/>
      <c r="CV537" s="214"/>
      <c r="CW537" s="214"/>
      <c r="CX537" s="214"/>
      <c r="CY537" s="214"/>
      <c r="CZ537" s="214"/>
      <c r="DA537" s="214"/>
      <c r="DB537" s="214"/>
      <c r="DC537" s="214"/>
      <c r="DD537" s="214"/>
      <c r="DE537" s="214"/>
      <c r="DF537" s="214"/>
      <c r="DG537" s="82"/>
    </row>
    <row r="538" spans="2:111" ht="9" customHeight="1">
      <c r="B538" s="215"/>
      <c r="C538" s="215"/>
      <c r="D538" s="215"/>
      <c r="E538" s="215"/>
      <c r="F538" s="215"/>
      <c r="G538" s="215"/>
      <c r="H538" s="215"/>
      <c r="I538" s="215"/>
      <c r="J538" s="215"/>
      <c r="K538" s="215"/>
      <c r="L538" s="215"/>
      <c r="M538" s="215"/>
      <c r="N538" s="7"/>
      <c r="O538" s="219"/>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52"/>
      <c r="BC538" s="82"/>
      <c r="BD538" s="82"/>
      <c r="BE538" s="82"/>
      <c r="BF538" s="82"/>
      <c r="BG538" s="82"/>
      <c r="BH538" s="214"/>
      <c r="BI538" s="214"/>
      <c r="BJ538" s="214"/>
      <c r="BK538" s="214"/>
      <c r="BL538" s="214"/>
      <c r="BM538" s="214"/>
      <c r="BN538" s="214"/>
      <c r="BO538" s="214"/>
      <c r="BP538" s="214"/>
      <c r="BQ538" s="214"/>
      <c r="BR538" s="214"/>
      <c r="BS538" s="214"/>
      <c r="BT538" s="214"/>
      <c r="BU538" s="214"/>
      <c r="BV538" s="214"/>
      <c r="BW538" s="214"/>
      <c r="BX538" s="214"/>
      <c r="BY538" s="214"/>
      <c r="BZ538" s="214"/>
      <c r="CA538" s="214"/>
      <c r="CB538" s="214"/>
      <c r="CC538" s="214"/>
      <c r="CD538" s="214"/>
      <c r="CE538" s="214"/>
      <c r="CF538" s="214"/>
      <c r="CG538" s="214"/>
      <c r="CH538" s="214"/>
      <c r="CI538" s="214"/>
      <c r="CJ538" s="214"/>
      <c r="CK538" s="214"/>
      <c r="CL538" s="214"/>
      <c r="CM538" s="214"/>
      <c r="CN538" s="214"/>
      <c r="CO538" s="214"/>
      <c r="CP538" s="214"/>
      <c r="CQ538" s="214"/>
      <c r="CR538" s="214"/>
      <c r="CS538" s="214"/>
      <c r="CT538" s="214"/>
      <c r="CU538" s="214"/>
      <c r="CV538" s="214"/>
      <c r="CW538" s="214"/>
      <c r="CX538" s="214"/>
      <c r="CY538" s="214"/>
      <c r="CZ538" s="214"/>
      <c r="DA538" s="214"/>
      <c r="DB538" s="214"/>
      <c r="DC538" s="214"/>
      <c r="DD538" s="214"/>
      <c r="DE538" s="214"/>
      <c r="DF538" s="214"/>
      <c r="DG538" s="82"/>
    </row>
    <row r="539" spans="2:111" ht="9" customHeight="1">
      <c r="B539" s="8"/>
      <c r="C539" s="8"/>
      <c r="D539" s="8"/>
      <c r="E539" s="8"/>
      <c r="F539" s="8"/>
      <c r="G539" s="8"/>
      <c r="H539" s="8"/>
      <c r="I539" s="8"/>
      <c r="J539" s="8"/>
      <c r="K539" s="8"/>
      <c r="L539" s="8"/>
      <c r="M539" s="8"/>
      <c r="N539" s="7"/>
      <c r="O539" s="219"/>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52"/>
      <c r="BC539" s="82"/>
      <c r="BD539" s="82"/>
      <c r="BE539" s="82"/>
      <c r="BF539" s="82"/>
      <c r="BG539" s="82"/>
      <c r="BH539" s="214"/>
      <c r="BI539" s="214"/>
      <c r="BJ539" s="214"/>
      <c r="BK539" s="214"/>
      <c r="BL539" s="214"/>
      <c r="BM539" s="214"/>
      <c r="BN539" s="214"/>
      <c r="BO539" s="214"/>
      <c r="BP539" s="214"/>
      <c r="BQ539" s="214"/>
      <c r="BR539" s="214"/>
      <c r="BS539" s="214"/>
      <c r="BT539" s="214"/>
      <c r="BU539" s="214"/>
      <c r="BV539" s="214"/>
      <c r="BW539" s="214"/>
      <c r="BX539" s="214"/>
      <c r="BY539" s="214"/>
      <c r="BZ539" s="214"/>
      <c r="CA539" s="214"/>
      <c r="CB539" s="214"/>
      <c r="CC539" s="214"/>
      <c r="CD539" s="214"/>
      <c r="CE539" s="214"/>
      <c r="CF539" s="214"/>
      <c r="CG539" s="214"/>
      <c r="CH539" s="214"/>
      <c r="CI539" s="214"/>
      <c r="CJ539" s="214"/>
      <c r="CK539" s="214"/>
      <c r="CL539" s="214"/>
      <c r="CM539" s="214"/>
      <c r="CN539" s="214"/>
      <c r="CO539" s="214"/>
      <c r="CP539" s="214"/>
      <c r="CQ539" s="214"/>
      <c r="CR539" s="214"/>
      <c r="CS539" s="214"/>
      <c r="CT539" s="214"/>
      <c r="CU539" s="214"/>
      <c r="CV539" s="214"/>
      <c r="CW539" s="214"/>
      <c r="CX539" s="214"/>
      <c r="CY539" s="214"/>
      <c r="CZ539" s="214"/>
      <c r="DA539" s="214"/>
      <c r="DB539" s="214"/>
      <c r="DC539" s="214"/>
      <c r="DD539" s="214"/>
      <c r="DE539" s="214"/>
      <c r="DF539" s="214"/>
      <c r="DG539" s="82"/>
    </row>
    <row r="540" spans="2:111" ht="9" customHeight="1">
      <c r="B540" s="8"/>
      <c r="C540" s="8"/>
      <c r="D540" s="8"/>
      <c r="E540" s="8"/>
      <c r="F540" s="8"/>
      <c r="G540" s="8"/>
      <c r="H540" s="8"/>
      <c r="I540" s="8"/>
      <c r="J540" s="8"/>
      <c r="K540" s="8"/>
      <c r="L540" s="8"/>
      <c r="M540" s="8"/>
      <c r="N540" s="7"/>
      <c r="O540" s="219"/>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52"/>
      <c r="BC540" s="82"/>
      <c r="BD540" s="82"/>
      <c r="BE540" s="82"/>
      <c r="BF540" s="82"/>
      <c r="BG540" s="82"/>
      <c r="BH540" s="214"/>
      <c r="BI540" s="214"/>
      <c r="BJ540" s="214"/>
      <c r="BK540" s="214"/>
      <c r="BL540" s="214"/>
      <c r="BM540" s="214"/>
      <c r="BN540" s="214"/>
      <c r="BO540" s="214"/>
      <c r="BP540" s="214"/>
      <c r="BQ540" s="214"/>
      <c r="BR540" s="214"/>
      <c r="BS540" s="214"/>
      <c r="BT540" s="214"/>
      <c r="BU540" s="214"/>
      <c r="BV540" s="214"/>
      <c r="BW540" s="214"/>
      <c r="BX540" s="214"/>
      <c r="BY540" s="214"/>
      <c r="BZ540" s="214"/>
      <c r="CA540" s="214"/>
      <c r="CB540" s="214"/>
      <c r="CC540" s="214"/>
      <c r="CD540" s="214"/>
      <c r="CE540" s="214"/>
      <c r="CF540" s="214"/>
      <c r="CG540" s="214"/>
      <c r="CH540" s="214"/>
      <c r="CI540" s="214"/>
      <c r="CJ540" s="214"/>
      <c r="CK540" s="214"/>
      <c r="CL540" s="214"/>
      <c r="CM540" s="214"/>
      <c r="CN540" s="214"/>
      <c r="CO540" s="214"/>
      <c r="CP540" s="214"/>
      <c r="CQ540" s="214"/>
      <c r="CR540" s="214"/>
      <c r="CS540" s="214"/>
      <c r="CT540" s="214"/>
      <c r="CU540" s="214"/>
      <c r="CV540" s="214"/>
      <c r="CW540" s="214"/>
      <c r="CX540" s="214"/>
      <c r="CY540" s="214"/>
      <c r="CZ540" s="214"/>
      <c r="DA540" s="214"/>
      <c r="DB540" s="214"/>
      <c r="DC540" s="214"/>
      <c r="DD540" s="214"/>
      <c r="DE540" s="214"/>
      <c r="DF540" s="214"/>
      <c r="DG540" s="82"/>
    </row>
    <row r="541" spans="2:111" ht="9" customHeight="1">
      <c r="B541" s="7"/>
      <c r="C541" s="7"/>
      <c r="D541" s="7"/>
      <c r="E541" s="7"/>
      <c r="F541" s="7"/>
      <c r="G541" s="7"/>
      <c r="H541" s="7"/>
      <c r="I541" s="7"/>
      <c r="J541" s="7"/>
      <c r="K541" s="7"/>
      <c r="L541" s="7"/>
      <c r="M541" s="7"/>
      <c r="N541" s="7"/>
      <c r="O541" s="219"/>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52"/>
      <c r="BC541" s="82"/>
      <c r="BD541" s="82"/>
      <c r="BE541" s="82"/>
      <c r="BF541" s="82"/>
      <c r="BG541" s="82"/>
      <c r="BH541" s="214"/>
      <c r="BI541" s="214"/>
      <c r="BJ541" s="214"/>
      <c r="BK541" s="214"/>
      <c r="BL541" s="214"/>
      <c r="BM541" s="214"/>
      <c r="BN541" s="214"/>
      <c r="BO541" s="214"/>
      <c r="BP541" s="214"/>
      <c r="BQ541" s="214"/>
      <c r="BR541" s="214"/>
      <c r="BS541" s="214"/>
      <c r="BT541" s="214"/>
      <c r="BU541" s="214"/>
      <c r="BV541" s="214"/>
      <c r="BW541" s="214"/>
      <c r="BX541" s="214"/>
      <c r="BY541" s="214"/>
      <c r="BZ541" s="214"/>
      <c r="CA541" s="214"/>
      <c r="CB541" s="214"/>
      <c r="CC541" s="214"/>
      <c r="CD541" s="214"/>
      <c r="CE541" s="214"/>
      <c r="CF541" s="214"/>
      <c r="CG541" s="214"/>
      <c r="CH541" s="214"/>
      <c r="CI541" s="214"/>
      <c r="CJ541" s="214"/>
      <c r="CK541" s="214"/>
      <c r="CL541" s="214"/>
      <c r="CM541" s="214"/>
      <c r="CN541" s="214"/>
      <c r="CO541" s="214"/>
      <c r="CP541" s="214"/>
      <c r="CQ541" s="214"/>
      <c r="CR541" s="214"/>
      <c r="CS541" s="214"/>
      <c r="CT541" s="214"/>
      <c r="CU541" s="214"/>
      <c r="CV541" s="214"/>
      <c r="CW541" s="214"/>
      <c r="CX541" s="214"/>
      <c r="CY541" s="214"/>
      <c r="CZ541" s="214"/>
      <c r="DA541" s="214"/>
      <c r="DB541" s="214"/>
      <c r="DC541" s="214"/>
      <c r="DD541" s="214"/>
      <c r="DE541" s="214"/>
      <c r="DF541" s="214"/>
      <c r="DG541" s="82"/>
    </row>
    <row r="542" spans="2:111" ht="9" customHeight="1">
      <c r="B542" s="7"/>
      <c r="C542" s="7"/>
      <c r="D542" s="7"/>
      <c r="E542" s="7"/>
      <c r="F542" s="7"/>
      <c r="G542" s="7"/>
      <c r="H542" s="7"/>
      <c r="I542" s="7"/>
      <c r="J542" s="7"/>
      <c r="K542" s="7"/>
      <c r="L542" s="7"/>
      <c r="M542" s="7"/>
      <c r="N542" s="7"/>
      <c r="O542" s="253"/>
      <c r="P542" s="254"/>
      <c r="Q542" s="254"/>
      <c r="R542" s="254"/>
      <c r="S542" s="254"/>
      <c r="T542" s="254"/>
      <c r="U542" s="254"/>
      <c r="V542" s="254"/>
      <c r="W542" s="254"/>
      <c r="X542" s="254"/>
      <c r="Y542" s="254"/>
      <c r="Z542" s="254"/>
      <c r="AA542" s="254"/>
      <c r="AB542" s="254"/>
      <c r="AC542" s="254"/>
      <c r="AD542" s="254"/>
      <c r="AE542" s="254"/>
      <c r="AF542" s="254"/>
      <c r="AG542" s="254"/>
      <c r="AH542" s="254"/>
      <c r="AI542" s="254"/>
      <c r="AJ542" s="254"/>
      <c r="AK542" s="254"/>
      <c r="AL542" s="254"/>
      <c r="AM542" s="254"/>
      <c r="AN542" s="254"/>
      <c r="AO542" s="254"/>
      <c r="AP542" s="254"/>
      <c r="AQ542" s="254"/>
      <c r="AR542" s="254"/>
      <c r="AS542" s="254"/>
      <c r="AT542" s="254"/>
      <c r="AU542" s="254"/>
      <c r="AV542" s="254"/>
      <c r="AW542" s="254"/>
      <c r="AX542" s="254"/>
      <c r="AY542" s="254"/>
      <c r="AZ542" s="254"/>
      <c r="BA542" s="255"/>
      <c r="BC542" s="82"/>
      <c r="BD542" s="82"/>
      <c r="BE542" s="82"/>
      <c r="BF542" s="82"/>
      <c r="BG542" s="82"/>
      <c r="BH542" s="82"/>
      <c r="BI542" s="82"/>
      <c r="BJ542" s="82"/>
      <c r="BK542" s="82"/>
      <c r="BL542" s="82"/>
      <c r="BM542" s="82"/>
      <c r="BN542" s="82"/>
      <c r="BO542" s="82"/>
      <c r="BP542" s="82"/>
      <c r="BQ542" s="82"/>
      <c r="BR542" s="82"/>
      <c r="BS542" s="82"/>
      <c r="BT542" s="82"/>
      <c r="BU542" s="82"/>
      <c r="BV542" s="82"/>
      <c r="BW542" s="82"/>
      <c r="BX542" s="82"/>
      <c r="BY542" s="82"/>
      <c r="BZ542" s="82"/>
      <c r="CA542" s="82"/>
      <c r="CB542" s="82"/>
      <c r="CC542" s="82"/>
      <c r="CD542" s="82"/>
      <c r="CE542" s="82"/>
      <c r="CF542" s="82"/>
      <c r="CG542" s="82"/>
      <c r="CH542" s="82"/>
      <c r="CI542" s="82"/>
      <c r="CJ542" s="82"/>
      <c r="CK542" s="82"/>
      <c r="CL542" s="82"/>
      <c r="CM542" s="82"/>
      <c r="CN542" s="82"/>
      <c r="CO542" s="82"/>
      <c r="CP542" s="82"/>
      <c r="CQ542" s="82"/>
      <c r="CR542" s="82"/>
      <c r="CS542" s="82"/>
      <c r="CT542" s="82"/>
      <c r="CU542" s="82"/>
      <c r="CV542" s="82"/>
      <c r="CW542" s="82"/>
      <c r="CX542" s="82"/>
      <c r="CY542" s="82"/>
      <c r="CZ542" s="82"/>
      <c r="DA542" s="82"/>
      <c r="DB542" s="82"/>
      <c r="DC542" s="82"/>
      <c r="DD542" s="82"/>
      <c r="DE542" s="82"/>
      <c r="DF542" s="82"/>
      <c r="DG542" s="82"/>
    </row>
    <row r="543" spans="2:111" ht="9" customHeight="1">
      <c r="BC543" s="82"/>
      <c r="BD543" s="82"/>
      <c r="BE543" s="82"/>
      <c r="BF543" s="82"/>
      <c r="BG543" s="82"/>
      <c r="BH543" s="82"/>
      <c r="BI543" s="82"/>
      <c r="BJ543" s="82"/>
      <c r="BK543" s="82"/>
      <c r="BL543" s="82"/>
      <c r="BM543" s="82"/>
      <c r="BN543" s="82"/>
      <c r="BO543" s="82"/>
      <c r="BP543" s="82"/>
      <c r="BQ543" s="82"/>
      <c r="BR543" s="82"/>
      <c r="BS543" s="82"/>
      <c r="BT543" s="82"/>
      <c r="BU543" s="82"/>
      <c r="BV543" s="82"/>
      <c r="BW543" s="82"/>
      <c r="BX543" s="82"/>
      <c r="BY543" s="82"/>
      <c r="BZ543" s="82"/>
      <c r="CA543" s="82"/>
      <c r="CB543" s="82"/>
      <c r="CC543" s="82"/>
      <c r="CD543" s="82"/>
      <c r="CE543" s="82"/>
      <c r="CF543" s="82"/>
      <c r="CG543" s="82"/>
      <c r="CH543" s="82"/>
      <c r="CI543" s="82"/>
      <c r="CJ543" s="82"/>
      <c r="CK543" s="82"/>
      <c r="CL543" s="82"/>
      <c r="CM543" s="82"/>
      <c r="CN543" s="82"/>
      <c r="CO543" s="82"/>
      <c r="CP543" s="82"/>
      <c r="CQ543" s="82"/>
      <c r="CR543" s="82"/>
      <c r="CS543" s="82"/>
      <c r="CT543" s="82"/>
      <c r="CU543" s="82"/>
      <c r="CV543" s="82"/>
      <c r="CW543" s="82"/>
      <c r="CX543" s="82"/>
      <c r="CY543" s="82"/>
      <c r="CZ543" s="82"/>
      <c r="DA543" s="82"/>
      <c r="DB543" s="82"/>
      <c r="DC543" s="82"/>
      <c r="DD543" s="82"/>
      <c r="DE543" s="82"/>
      <c r="DF543" s="82"/>
      <c r="DG543" s="82"/>
    </row>
    <row r="544" spans="2:111" ht="9" customHeight="1">
      <c r="B544" s="215" t="s">
        <v>92</v>
      </c>
      <c r="C544" s="215"/>
      <c r="D544" s="215"/>
      <c r="E544" s="215"/>
      <c r="F544" s="215"/>
      <c r="G544" s="215"/>
      <c r="H544" s="215"/>
      <c r="I544" s="215"/>
      <c r="J544" s="215"/>
      <c r="K544" s="215"/>
      <c r="L544" s="215"/>
      <c r="M544" s="215"/>
      <c r="N544" s="7"/>
      <c r="O544" s="216" t="s">
        <v>512</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51"/>
      <c r="BC544" s="82"/>
      <c r="BD544" s="82"/>
      <c r="BE544" s="82"/>
      <c r="BF544" s="82"/>
      <c r="BG544" s="82"/>
      <c r="BH544" s="214" t="s">
        <v>363</v>
      </c>
      <c r="BI544" s="214"/>
      <c r="BJ544" s="214"/>
      <c r="BK544" s="214"/>
      <c r="BL544" s="214"/>
      <c r="BM544" s="214"/>
      <c r="BN544" s="214"/>
      <c r="BO544" s="214"/>
      <c r="BP544" s="214"/>
      <c r="BQ544" s="214"/>
      <c r="BR544" s="214"/>
      <c r="BS544" s="214"/>
      <c r="BT544" s="214"/>
      <c r="BU544" s="214"/>
      <c r="BV544" s="214"/>
      <c r="BW544" s="214"/>
      <c r="BX544" s="214"/>
      <c r="BY544" s="214"/>
      <c r="BZ544" s="214"/>
      <c r="CA544" s="214"/>
      <c r="CB544" s="214"/>
      <c r="CC544" s="214"/>
      <c r="CD544" s="214"/>
      <c r="CE544" s="214"/>
      <c r="CF544" s="214"/>
      <c r="CG544" s="214"/>
      <c r="CH544" s="214"/>
      <c r="CI544" s="214"/>
      <c r="CJ544" s="214"/>
      <c r="CK544" s="214"/>
      <c r="CL544" s="214"/>
      <c r="CM544" s="214"/>
      <c r="CN544" s="214"/>
      <c r="CO544" s="214"/>
      <c r="CP544" s="214"/>
      <c r="CQ544" s="214"/>
      <c r="CR544" s="214"/>
      <c r="CS544" s="214"/>
      <c r="CT544" s="214"/>
      <c r="CU544" s="214"/>
      <c r="CV544" s="214"/>
      <c r="CW544" s="214"/>
      <c r="CX544" s="214"/>
      <c r="CY544" s="214"/>
      <c r="CZ544" s="214"/>
      <c r="DA544" s="214"/>
      <c r="DB544" s="214"/>
      <c r="DC544" s="214"/>
      <c r="DD544" s="214"/>
      <c r="DE544" s="214"/>
      <c r="DF544" s="214"/>
      <c r="DG544" s="82"/>
    </row>
    <row r="545" spans="2:111" ht="9" customHeight="1">
      <c r="B545" s="215"/>
      <c r="C545" s="215"/>
      <c r="D545" s="215"/>
      <c r="E545" s="215"/>
      <c r="F545" s="215"/>
      <c r="G545" s="215"/>
      <c r="H545" s="215"/>
      <c r="I545" s="215"/>
      <c r="J545" s="215"/>
      <c r="K545" s="215"/>
      <c r="L545" s="215"/>
      <c r="M545" s="215"/>
      <c r="N545" s="7"/>
      <c r="O545" s="219"/>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52"/>
      <c r="BC545" s="82"/>
      <c r="BD545" s="82"/>
      <c r="BE545" s="82"/>
      <c r="BF545" s="82"/>
      <c r="BG545" s="82"/>
      <c r="BH545" s="214"/>
      <c r="BI545" s="214"/>
      <c r="BJ545" s="214"/>
      <c r="BK545" s="214"/>
      <c r="BL545" s="214"/>
      <c r="BM545" s="214"/>
      <c r="BN545" s="214"/>
      <c r="BO545" s="214"/>
      <c r="BP545" s="214"/>
      <c r="BQ545" s="214"/>
      <c r="BR545" s="214"/>
      <c r="BS545" s="214"/>
      <c r="BT545" s="214"/>
      <c r="BU545" s="214"/>
      <c r="BV545" s="214"/>
      <c r="BW545" s="214"/>
      <c r="BX545" s="214"/>
      <c r="BY545" s="214"/>
      <c r="BZ545" s="214"/>
      <c r="CA545" s="214"/>
      <c r="CB545" s="214"/>
      <c r="CC545" s="214"/>
      <c r="CD545" s="214"/>
      <c r="CE545" s="214"/>
      <c r="CF545" s="214"/>
      <c r="CG545" s="214"/>
      <c r="CH545" s="214"/>
      <c r="CI545" s="214"/>
      <c r="CJ545" s="214"/>
      <c r="CK545" s="214"/>
      <c r="CL545" s="214"/>
      <c r="CM545" s="214"/>
      <c r="CN545" s="214"/>
      <c r="CO545" s="214"/>
      <c r="CP545" s="214"/>
      <c r="CQ545" s="214"/>
      <c r="CR545" s="214"/>
      <c r="CS545" s="214"/>
      <c r="CT545" s="214"/>
      <c r="CU545" s="214"/>
      <c r="CV545" s="214"/>
      <c r="CW545" s="214"/>
      <c r="CX545" s="214"/>
      <c r="CY545" s="214"/>
      <c r="CZ545" s="214"/>
      <c r="DA545" s="214"/>
      <c r="DB545" s="214"/>
      <c r="DC545" s="214"/>
      <c r="DD545" s="214"/>
      <c r="DE545" s="214"/>
      <c r="DF545" s="214"/>
      <c r="DG545" s="82"/>
    </row>
    <row r="546" spans="2:111" ht="9" customHeight="1">
      <c r="B546" s="215"/>
      <c r="C546" s="215"/>
      <c r="D546" s="215"/>
      <c r="E546" s="215"/>
      <c r="F546" s="215"/>
      <c r="G546" s="215"/>
      <c r="H546" s="215"/>
      <c r="I546" s="215"/>
      <c r="J546" s="215"/>
      <c r="K546" s="215"/>
      <c r="L546" s="215"/>
      <c r="M546" s="215"/>
      <c r="N546" s="7"/>
      <c r="O546" s="219"/>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52"/>
      <c r="BC546" s="82"/>
      <c r="BD546" s="82"/>
      <c r="BE546" s="82"/>
      <c r="BF546" s="82"/>
      <c r="BG546" s="82"/>
      <c r="BH546" s="214"/>
      <c r="BI546" s="214"/>
      <c r="BJ546" s="214"/>
      <c r="BK546" s="214"/>
      <c r="BL546" s="214"/>
      <c r="BM546" s="214"/>
      <c r="BN546" s="214"/>
      <c r="BO546" s="214"/>
      <c r="BP546" s="214"/>
      <c r="BQ546" s="214"/>
      <c r="BR546" s="214"/>
      <c r="BS546" s="214"/>
      <c r="BT546" s="214"/>
      <c r="BU546" s="214"/>
      <c r="BV546" s="214"/>
      <c r="BW546" s="214"/>
      <c r="BX546" s="214"/>
      <c r="BY546" s="214"/>
      <c r="BZ546" s="214"/>
      <c r="CA546" s="214"/>
      <c r="CB546" s="214"/>
      <c r="CC546" s="214"/>
      <c r="CD546" s="214"/>
      <c r="CE546" s="214"/>
      <c r="CF546" s="214"/>
      <c r="CG546" s="214"/>
      <c r="CH546" s="214"/>
      <c r="CI546" s="214"/>
      <c r="CJ546" s="214"/>
      <c r="CK546" s="214"/>
      <c r="CL546" s="214"/>
      <c r="CM546" s="214"/>
      <c r="CN546" s="214"/>
      <c r="CO546" s="214"/>
      <c r="CP546" s="214"/>
      <c r="CQ546" s="214"/>
      <c r="CR546" s="214"/>
      <c r="CS546" s="214"/>
      <c r="CT546" s="214"/>
      <c r="CU546" s="214"/>
      <c r="CV546" s="214"/>
      <c r="CW546" s="214"/>
      <c r="CX546" s="214"/>
      <c r="CY546" s="214"/>
      <c r="CZ546" s="214"/>
      <c r="DA546" s="214"/>
      <c r="DB546" s="214"/>
      <c r="DC546" s="214"/>
      <c r="DD546" s="214"/>
      <c r="DE546" s="214"/>
      <c r="DF546" s="214"/>
      <c r="DG546" s="82"/>
    </row>
    <row r="547" spans="2:111" ht="9" customHeight="1">
      <c r="B547" s="215"/>
      <c r="C547" s="215"/>
      <c r="D547" s="215"/>
      <c r="E547" s="215"/>
      <c r="F547" s="215"/>
      <c r="G547" s="215"/>
      <c r="H547" s="215"/>
      <c r="I547" s="215"/>
      <c r="J547" s="215"/>
      <c r="K547" s="215"/>
      <c r="L547" s="215"/>
      <c r="M547" s="215"/>
      <c r="N547" s="7"/>
      <c r="O547" s="219"/>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52"/>
      <c r="BC547" s="82"/>
      <c r="BD547" s="82"/>
      <c r="BE547" s="82"/>
      <c r="BF547" s="82"/>
      <c r="BG547" s="82"/>
      <c r="BH547" s="214"/>
      <c r="BI547" s="214"/>
      <c r="BJ547" s="214"/>
      <c r="BK547" s="214"/>
      <c r="BL547" s="214"/>
      <c r="BM547" s="214"/>
      <c r="BN547" s="214"/>
      <c r="BO547" s="214"/>
      <c r="BP547" s="214"/>
      <c r="BQ547" s="214"/>
      <c r="BR547" s="214"/>
      <c r="BS547" s="214"/>
      <c r="BT547" s="214"/>
      <c r="BU547" s="214"/>
      <c r="BV547" s="214"/>
      <c r="BW547" s="214"/>
      <c r="BX547" s="214"/>
      <c r="BY547" s="214"/>
      <c r="BZ547" s="214"/>
      <c r="CA547" s="214"/>
      <c r="CB547" s="214"/>
      <c r="CC547" s="214"/>
      <c r="CD547" s="214"/>
      <c r="CE547" s="214"/>
      <c r="CF547" s="214"/>
      <c r="CG547" s="214"/>
      <c r="CH547" s="214"/>
      <c r="CI547" s="214"/>
      <c r="CJ547" s="214"/>
      <c r="CK547" s="214"/>
      <c r="CL547" s="214"/>
      <c r="CM547" s="214"/>
      <c r="CN547" s="214"/>
      <c r="CO547" s="214"/>
      <c r="CP547" s="214"/>
      <c r="CQ547" s="214"/>
      <c r="CR547" s="214"/>
      <c r="CS547" s="214"/>
      <c r="CT547" s="214"/>
      <c r="CU547" s="214"/>
      <c r="CV547" s="214"/>
      <c r="CW547" s="214"/>
      <c r="CX547" s="214"/>
      <c r="CY547" s="214"/>
      <c r="CZ547" s="214"/>
      <c r="DA547" s="214"/>
      <c r="DB547" s="214"/>
      <c r="DC547" s="214"/>
      <c r="DD547" s="214"/>
      <c r="DE547" s="214"/>
      <c r="DF547" s="214"/>
      <c r="DG547" s="82"/>
    </row>
    <row r="548" spans="2:111" ht="9" customHeight="1">
      <c r="B548" s="8"/>
      <c r="C548" s="8"/>
      <c r="D548" s="8"/>
      <c r="E548" s="8"/>
      <c r="F548" s="8"/>
      <c r="G548" s="8"/>
      <c r="H548" s="8"/>
      <c r="I548" s="8"/>
      <c r="J548" s="8"/>
      <c r="K548" s="8"/>
      <c r="L548" s="8"/>
      <c r="M548" s="8"/>
      <c r="N548" s="7"/>
      <c r="O548" s="219"/>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52"/>
      <c r="BC548" s="82"/>
      <c r="BD548" s="82"/>
      <c r="BE548" s="82"/>
      <c r="BF548" s="82"/>
      <c r="BG548" s="82"/>
      <c r="BH548" s="214"/>
      <c r="BI548" s="214"/>
      <c r="BJ548" s="214"/>
      <c r="BK548" s="214"/>
      <c r="BL548" s="214"/>
      <c r="BM548" s="214"/>
      <c r="BN548" s="214"/>
      <c r="BO548" s="214"/>
      <c r="BP548" s="214"/>
      <c r="BQ548" s="214"/>
      <c r="BR548" s="214"/>
      <c r="BS548" s="214"/>
      <c r="BT548" s="214"/>
      <c r="BU548" s="214"/>
      <c r="BV548" s="214"/>
      <c r="BW548" s="214"/>
      <c r="BX548" s="214"/>
      <c r="BY548" s="214"/>
      <c r="BZ548" s="214"/>
      <c r="CA548" s="214"/>
      <c r="CB548" s="214"/>
      <c r="CC548" s="214"/>
      <c r="CD548" s="214"/>
      <c r="CE548" s="214"/>
      <c r="CF548" s="214"/>
      <c r="CG548" s="214"/>
      <c r="CH548" s="214"/>
      <c r="CI548" s="214"/>
      <c r="CJ548" s="214"/>
      <c r="CK548" s="214"/>
      <c r="CL548" s="214"/>
      <c r="CM548" s="214"/>
      <c r="CN548" s="214"/>
      <c r="CO548" s="214"/>
      <c r="CP548" s="214"/>
      <c r="CQ548" s="214"/>
      <c r="CR548" s="214"/>
      <c r="CS548" s="214"/>
      <c r="CT548" s="214"/>
      <c r="CU548" s="214"/>
      <c r="CV548" s="214"/>
      <c r="CW548" s="214"/>
      <c r="CX548" s="214"/>
      <c r="CY548" s="214"/>
      <c r="CZ548" s="214"/>
      <c r="DA548" s="214"/>
      <c r="DB548" s="214"/>
      <c r="DC548" s="214"/>
      <c r="DD548" s="214"/>
      <c r="DE548" s="214"/>
      <c r="DF548" s="214"/>
      <c r="DG548" s="82"/>
    </row>
    <row r="549" spans="2:111" ht="9" customHeight="1">
      <c r="B549" s="8"/>
      <c r="C549" s="8"/>
      <c r="D549" s="8"/>
      <c r="E549" s="8"/>
      <c r="F549" s="8"/>
      <c r="G549" s="8"/>
      <c r="H549" s="8"/>
      <c r="I549" s="8"/>
      <c r="J549" s="8"/>
      <c r="K549" s="8"/>
      <c r="L549" s="8"/>
      <c r="M549" s="8"/>
      <c r="N549" s="7"/>
      <c r="O549" s="219"/>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52"/>
      <c r="BC549" s="82"/>
      <c r="BD549" s="82"/>
      <c r="BE549" s="82"/>
      <c r="BF549" s="82"/>
      <c r="BG549" s="82"/>
      <c r="BH549" s="214"/>
      <c r="BI549" s="214"/>
      <c r="BJ549" s="214"/>
      <c r="BK549" s="214"/>
      <c r="BL549" s="214"/>
      <c r="BM549" s="214"/>
      <c r="BN549" s="214"/>
      <c r="BO549" s="214"/>
      <c r="BP549" s="214"/>
      <c r="BQ549" s="214"/>
      <c r="BR549" s="214"/>
      <c r="BS549" s="214"/>
      <c r="BT549" s="214"/>
      <c r="BU549" s="214"/>
      <c r="BV549" s="214"/>
      <c r="BW549" s="214"/>
      <c r="BX549" s="214"/>
      <c r="BY549" s="214"/>
      <c r="BZ549" s="214"/>
      <c r="CA549" s="214"/>
      <c r="CB549" s="214"/>
      <c r="CC549" s="214"/>
      <c r="CD549" s="214"/>
      <c r="CE549" s="214"/>
      <c r="CF549" s="214"/>
      <c r="CG549" s="214"/>
      <c r="CH549" s="214"/>
      <c r="CI549" s="214"/>
      <c r="CJ549" s="214"/>
      <c r="CK549" s="214"/>
      <c r="CL549" s="214"/>
      <c r="CM549" s="214"/>
      <c r="CN549" s="214"/>
      <c r="CO549" s="214"/>
      <c r="CP549" s="214"/>
      <c r="CQ549" s="214"/>
      <c r="CR549" s="214"/>
      <c r="CS549" s="214"/>
      <c r="CT549" s="214"/>
      <c r="CU549" s="214"/>
      <c r="CV549" s="214"/>
      <c r="CW549" s="214"/>
      <c r="CX549" s="214"/>
      <c r="CY549" s="214"/>
      <c r="CZ549" s="214"/>
      <c r="DA549" s="214"/>
      <c r="DB549" s="214"/>
      <c r="DC549" s="214"/>
      <c r="DD549" s="214"/>
      <c r="DE549" s="214"/>
      <c r="DF549" s="214"/>
      <c r="DG549" s="82"/>
    </row>
    <row r="550" spans="2:111" ht="9" customHeight="1">
      <c r="B550" s="7"/>
      <c r="C550" s="7"/>
      <c r="D550" s="7"/>
      <c r="E550" s="7"/>
      <c r="F550" s="7"/>
      <c r="G550" s="7"/>
      <c r="H550" s="7"/>
      <c r="I550" s="7"/>
      <c r="J550" s="7"/>
      <c r="K550" s="7"/>
      <c r="L550" s="7"/>
      <c r="M550" s="7"/>
      <c r="N550" s="7"/>
      <c r="O550" s="219"/>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52"/>
      <c r="BC550" s="82"/>
      <c r="BD550" s="82"/>
      <c r="BE550" s="82"/>
      <c r="BF550" s="82"/>
      <c r="BG550" s="82"/>
      <c r="BH550" s="214"/>
      <c r="BI550" s="214"/>
      <c r="BJ550" s="214"/>
      <c r="BK550" s="214"/>
      <c r="BL550" s="214"/>
      <c r="BM550" s="214"/>
      <c r="BN550" s="214"/>
      <c r="BO550" s="214"/>
      <c r="BP550" s="214"/>
      <c r="BQ550" s="214"/>
      <c r="BR550" s="214"/>
      <c r="BS550" s="214"/>
      <c r="BT550" s="214"/>
      <c r="BU550" s="214"/>
      <c r="BV550" s="214"/>
      <c r="BW550" s="214"/>
      <c r="BX550" s="214"/>
      <c r="BY550" s="214"/>
      <c r="BZ550" s="214"/>
      <c r="CA550" s="214"/>
      <c r="CB550" s="214"/>
      <c r="CC550" s="214"/>
      <c r="CD550" s="214"/>
      <c r="CE550" s="214"/>
      <c r="CF550" s="214"/>
      <c r="CG550" s="214"/>
      <c r="CH550" s="214"/>
      <c r="CI550" s="214"/>
      <c r="CJ550" s="214"/>
      <c r="CK550" s="214"/>
      <c r="CL550" s="214"/>
      <c r="CM550" s="214"/>
      <c r="CN550" s="214"/>
      <c r="CO550" s="214"/>
      <c r="CP550" s="214"/>
      <c r="CQ550" s="214"/>
      <c r="CR550" s="214"/>
      <c r="CS550" s="214"/>
      <c r="CT550" s="214"/>
      <c r="CU550" s="214"/>
      <c r="CV550" s="214"/>
      <c r="CW550" s="214"/>
      <c r="CX550" s="214"/>
      <c r="CY550" s="214"/>
      <c r="CZ550" s="214"/>
      <c r="DA550" s="214"/>
      <c r="DB550" s="214"/>
      <c r="DC550" s="214"/>
      <c r="DD550" s="214"/>
      <c r="DE550" s="214"/>
      <c r="DF550" s="214"/>
      <c r="DG550" s="82"/>
    </row>
    <row r="551" spans="2:111" ht="9" customHeight="1">
      <c r="B551" s="7"/>
      <c r="C551" s="7"/>
      <c r="D551" s="7"/>
      <c r="E551" s="7"/>
      <c r="F551" s="7"/>
      <c r="G551" s="7"/>
      <c r="H551" s="7"/>
      <c r="I551" s="7"/>
      <c r="J551" s="7"/>
      <c r="K551" s="7"/>
      <c r="L551" s="7"/>
      <c r="M551" s="7"/>
      <c r="N551" s="7"/>
      <c r="O551" s="253"/>
      <c r="P551" s="254"/>
      <c r="Q551" s="254"/>
      <c r="R551" s="254"/>
      <c r="S551" s="254"/>
      <c r="T551" s="254"/>
      <c r="U551" s="254"/>
      <c r="V551" s="254"/>
      <c r="W551" s="254"/>
      <c r="X551" s="254"/>
      <c r="Y551" s="254"/>
      <c r="Z551" s="254"/>
      <c r="AA551" s="254"/>
      <c r="AB551" s="254"/>
      <c r="AC551" s="254"/>
      <c r="AD551" s="254"/>
      <c r="AE551" s="254"/>
      <c r="AF551" s="254"/>
      <c r="AG551" s="254"/>
      <c r="AH551" s="254"/>
      <c r="AI551" s="254"/>
      <c r="AJ551" s="254"/>
      <c r="AK551" s="254"/>
      <c r="AL551" s="254"/>
      <c r="AM551" s="254"/>
      <c r="AN551" s="254"/>
      <c r="AO551" s="254"/>
      <c r="AP551" s="254"/>
      <c r="AQ551" s="254"/>
      <c r="AR551" s="254"/>
      <c r="AS551" s="254"/>
      <c r="AT551" s="254"/>
      <c r="AU551" s="254"/>
      <c r="AV551" s="254"/>
      <c r="AW551" s="254"/>
      <c r="AX551" s="254"/>
      <c r="AY551" s="254"/>
      <c r="AZ551" s="254"/>
      <c r="BA551" s="255"/>
      <c r="BC551" s="82"/>
      <c r="BD551" s="82"/>
      <c r="BE551" s="82"/>
      <c r="BF551" s="82"/>
      <c r="BG551" s="82"/>
      <c r="BH551" s="82"/>
      <c r="BI551" s="82"/>
      <c r="BJ551" s="82"/>
      <c r="BK551" s="82"/>
      <c r="BL551" s="82"/>
      <c r="BM551" s="82"/>
      <c r="BN551" s="82"/>
      <c r="BO551" s="82"/>
      <c r="BP551" s="82"/>
      <c r="BQ551" s="82"/>
      <c r="BR551" s="82"/>
      <c r="BS551" s="82"/>
      <c r="BT551" s="82"/>
      <c r="BU551" s="82"/>
      <c r="BV551" s="82"/>
      <c r="BW551" s="82"/>
      <c r="BX551" s="82"/>
      <c r="BY551" s="82"/>
      <c r="BZ551" s="82"/>
      <c r="CA551" s="82"/>
      <c r="CB551" s="82"/>
      <c r="CC551" s="82"/>
      <c r="CD551" s="82"/>
      <c r="CE551" s="82"/>
      <c r="CF551" s="82"/>
      <c r="CG551" s="82"/>
      <c r="CH551" s="82"/>
      <c r="CI551" s="82"/>
      <c r="CJ551" s="82"/>
      <c r="CK551" s="82"/>
      <c r="CL551" s="82"/>
      <c r="CM551" s="82"/>
      <c r="CN551" s="82"/>
      <c r="CO551" s="82"/>
      <c r="CP551" s="82"/>
      <c r="CQ551" s="82"/>
      <c r="CR551" s="82"/>
      <c r="CS551" s="82"/>
      <c r="CT551" s="82"/>
      <c r="CU551" s="82"/>
      <c r="CV551" s="82"/>
      <c r="CW551" s="82"/>
      <c r="CX551" s="82"/>
      <c r="CY551" s="82"/>
      <c r="CZ551" s="82"/>
      <c r="DA551" s="82"/>
      <c r="DB551" s="82"/>
      <c r="DC551" s="82"/>
      <c r="DD551" s="82"/>
      <c r="DE551" s="82"/>
      <c r="DF551" s="82"/>
      <c r="DG551" s="82"/>
    </row>
    <row r="552" spans="2:111" ht="9" customHeight="1">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row>
    <row r="553" spans="2:111" ht="9" customHeight="1">
      <c r="B553" s="215" t="s">
        <v>91</v>
      </c>
      <c r="C553" s="215"/>
      <c r="D553" s="215"/>
      <c r="E553" s="215"/>
      <c r="F553" s="215"/>
      <c r="G553" s="215"/>
      <c r="H553" s="215"/>
      <c r="I553" s="215"/>
      <c r="J553" s="215"/>
      <c r="K553" s="215"/>
      <c r="L553" s="215"/>
      <c r="M553" s="215"/>
      <c r="N553" s="7"/>
      <c r="O553" s="216" t="s">
        <v>606</v>
      </c>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c r="AQ553" s="217"/>
      <c r="AR553" s="217"/>
      <c r="AS553" s="217"/>
      <c r="AT553" s="217"/>
      <c r="AU553" s="217"/>
      <c r="AV553" s="217"/>
      <c r="AW553" s="217"/>
      <c r="AX553" s="217"/>
      <c r="AY553" s="217"/>
      <c r="AZ553" s="217"/>
      <c r="BA553" s="251"/>
      <c r="BC553" s="82"/>
      <c r="BD553" s="82"/>
      <c r="BE553" s="82"/>
      <c r="BF553" s="82"/>
      <c r="BG553" s="82"/>
      <c r="BH553" s="385"/>
      <c r="BI553" s="385"/>
      <c r="BJ553" s="385"/>
      <c r="BK553" s="385"/>
      <c r="BL553" s="385"/>
      <c r="BM553" s="385"/>
      <c r="BN553" s="385"/>
      <c r="BO553" s="385"/>
      <c r="BP553" s="385"/>
      <c r="BQ553" s="385"/>
      <c r="BR553" s="385"/>
      <c r="BS553" s="385"/>
      <c r="BT553" s="385"/>
      <c r="BU553" s="385"/>
      <c r="BV553" s="385"/>
      <c r="BW553" s="385"/>
      <c r="BX553" s="385"/>
      <c r="BY553" s="385"/>
      <c r="BZ553" s="385"/>
      <c r="CA553" s="385"/>
      <c r="CB553" s="385"/>
      <c r="CC553" s="385"/>
      <c r="CD553" s="385"/>
      <c r="CE553" s="385"/>
      <c r="CF553" s="385"/>
      <c r="CG553" s="385"/>
      <c r="CH553" s="385"/>
      <c r="CI553" s="385"/>
      <c r="CJ553" s="385"/>
      <c r="CK553" s="385"/>
      <c r="CL553" s="385"/>
      <c r="CM553" s="385"/>
      <c r="CN553" s="385"/>
      <c r="CO553" s="385"/>
      <c r="CP553" s="385"/>
      <c r="CQ553" s="385"/>
      <c r="CR553" s="385"/>
      <c r="CS553" s="385"/>
      <c r="CT553" s="385"/>
      <c r="CU553" s="385"/>
      <c r="CV553" s="385"/>
      <c r="CW553" s="385"/>
      <c r="CX553" s="385"/>
      <c r="CY553" s="385"/>
      <c r="CZ553" s="385"/>
      <c r="DA553" s="385"/>
      <c r="DB553" s="385"/>
      <c r="DC553" s="385"/>
      <c r="DD553" s="385"/>
      <c r="DE553" s="385"/>
      <c r="DF553" s="385"/>
      <c r="DG553" s="82"/>
    </row>
    <row r="554" spans="2:111" ht="9" customHeight="1">
      <c r="B554" s="215"/>
      <c r="C554" s="215"/>
      <c r="D554" s="215"/>
      <c r="E554" s="215"/>
      <c r="F554" s="215"/>
      <c r="G554" s="215"/>
      <c r="H554" s="215"/>
      <c r="I554" s="215"/>
      <c r="J554" s="215"/>
      <c r="K554" s="215"/>
      <c r="L554" s="215"/>
      <c r="M554" s="215"/>
      <c r="N554" s="7"/>
      <c r="O554" s="219"/>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52"/>
      <c r="BC554" s="82"/>
      <c r="BD554" s="82"/>
      <c r="BE554" s="82"/>
      <c r="BF554" s="82"/>
      <c r="BG554" s="82"/>
      <c r="BH554" s="385"/>
      <c r="BI554" s="385"/>
      <c r="BJ554" s="385"/>
      <c r="BK554" s="385"/>
      <c r="BL554" s="385"/>
      <c r="BM554" s="385"/>
      <c r="BN554" s="385"/>
      <c r="BO554" s="385"/>
      <c r="BP554" s="385"/>
      <c r="BQ554" s="385"/>
      <c r="BR554" s="385"/>
      <c r="BS554" s="385"/>
      <c r="BT554" s="385"/>
      <c r="BU554" s="385"/>
      <c r="BV554" s="385"/>
      <c r="BW554" s="385"/>
      <c r="BX554" s="385"/>
      <c r="BY554" s="385"/>
      <c r="BZ554" s="385"/>
      <c r="CA554" s="385"/>
      <c r="CB554" s="385"/>
      <c r="CC554" s="385"/>
      <c r="CD554" s="385"/>
      <c r="CE554" s="385"/>
      <c r="CF554" s="385"/>
      <c r="CG554" s="385"/>
      <c r="CH554" s="385"/>
      <c r="CI554" s="385"/>
      <c r="CJ554" s="385"/>
      <c r="CK554" s="385"/>
      <c r="CL554" s="385"/>
      <c r="CM554" s="385"/>
      <c r="CN554" s="385"/>
      <c r="CO554" s="385"/>
      <c r="CP554" s="385"/>
      <c r="CQ554" s="385"/>
      <c r="CR554" s="385"/>
      <c r="CS554" s="385"/>
      <c r="CT554" s="385"/>
      <c r="CU554" s="385"/>
      <c r="CV554" s="385"/>
      <c r="CW554" s="385"/>
      <c r="CX554" s="385"/>
      <c r="CY554" s="385"/>
      <c r="CZ554" s="385"/>
      <c r="DA554" s="385"/>
      <c r="DB554" s="385"/>
      <c r="DC554" s="385"/>
      <c r="DD554" s="385"/>
      <c r="DE554" s="385"/>
      <c r="DF554" s="385"/>
      <c r="DG554" s="82"/>
    </row>
    <row r="555" spans="2:111" ht="9" customHeight="1">
      <c r="B555" s="215"/>
      <c r="C555" s="215"/>
      <c r="D555" s="215"/>
      <c r="E555" s="215"/>
      <c r="F555" s="215"/>
      <c r="G555" s="215"/>
      <c r="H555" s="215"/>
      <c r="I555" s="215"/>
      <c r="J555" s="215"/>
      <c r="K555" s="215"/>
      <c r="L555" s="215"/>
      <c r="M555" s="215"/>
      <c r="N555" s="7"/>
      <c r="O555" s="219"/>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52"/>
      <c r="BC555" s="82"/>
      <c r="BD555" s="82"/>
      <c r="BE555" s="82"/>
      <c r="BF555" s="82"/>
      <c r="BG555" s="82"/>
      <c r="BH555" s="385"/>
      <c r="BI555" s="385"/>
      <c r="BJ555" s="385"/>
      <c r="BK555" s="385"/>
      <c r="BL555" s="385"/>
      <c r="BM555" s="385"/>
      <c r="BN555" s="385"/>
      <c r="BO555" s="385"/>
      <c r="BP555" s="385"/>
      <c r="BQ555" s="385"/>
      <c r="BR555" s="385"/>
      <c r="BS555" s="385"/>
      <c r="BT555" s="385"/>
      <c r="BU555" s="385"/>
      <c r="BV555" s="385"/>
      <c r="BW555" s="385"/>
      <c r="BX555" s="385"/>
      <c r="BY555" s="385"/>
      <c r="BZ555" s="385"/>
      <c r="CA555" s="385"/>
      <c r="CB555" s="385"/>
      <c r="CC555" s="385"/>
      <c r="CD555" s="385"/>
      <c r="CE555" s="385"/>
      <c r="CF555" s="385"/>
      <c r="CG555" s="385"/>
      <c r="CH555" s="385"/>
      <c r="CI555" s="385"/>
      <c r="CJ555" s="385"/>
      <c r="CK555" s="385"/>
      <c r="CL555" s="385"/>
      <c r="CM555" s="385"/>
      <c r="CN555" s="385"/>
      <c r="CO555" s="385"/>
      <c r="CP555" s="385"/>
      <c r="CQ555" s="385"/>
      <c r="CR555" s="385"/>
      <c r="CS555" s="385"/>
      <c r="CT555" s="385"/>
      <c r="CU555" s="385"/>
      <c r="CV555" s="385"/>
      <c r="CW555" s="385"/>
      <c r="CX555" s="385"/>
      <c r="CY555" s="385"/>
      <c r="CZ555" s="385"/>
      <c r="DA555" s="385"/>
      <c r="DB555" s="385"/>
      <c r="DC555" s="385"/>
      <c r="DD555" s="385"/>
      <c r="DE555" s="385"/>
      <c r="DF555" s="385"/>
      <c r="DG555" s="82"/>
    </row>
    <row r="556" spans="2:111" ht="9" customHeight="1">
      <c r="B556" s="215"/>
      <c r="C556" s="215"/>
      <c r="D556" s="215"/>
      <c r="E556" s="215"/>
      <c r="F556" s="215"/>
      <c r="G556" s="215"/>
      <c r="H556" s="215"/>
      <c r="I556" s="215"/>
      <c r="J556" s="215"/>
      <c r="K556" s="215"/>
      <c r="L556" s="215"/>
      <c r="M556" s="215"/>
      <c r="N556" s="7"/>
      <c r="O556" s="219"/>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52"/>
      <c r="BC556" s="82"/>
      <c r="BD556" s="82"/>
      <c r="BE556" s="82"/>
      <c r="BF556" s="82"/>
      <c r="BG556" s="82"/>
      <c r="BH556" s="385"/>
      <c r="BI556" s="385"/>
      <c r="BJ556" s="385"/>
      <c r="BK556" s="385"/>
      <c r="BL556" s="385"/>
      <c r="BM556" s="385"/>
      <c r="BN556" s="385"/>
      <c r="BO556" s="385"/>
      <c r="BP556" s="385"/>
      <c r="BQ556" s="385"/>
      <c r="BR556" s="385"/>
      <c r="BS556" s="385"/>
      <c r="BT556" s="385"/>
      <c r="BU556" s="385"/>
      <c r="BV556" s="385"/>
      <c r="BW556" s="385"/>
      <c r="BX556" s="385"/>
      <c r="BY556" s="385"/>
      <c r="BZ556" s="385"/>
      <c r="CA556" s="385"/>
      <c r="CB556" s="385"/>
      <c r="CC556" s="385"/>
      <c r="CD556" s="385"/>
      <c r="CE556" s="385"/>
      <c r="CF556" s="385"/>
      <c r="CG556" s="385"/>
      <c r="CH556" s="385"/>
      <c r="CI556" s="385"/>
      <c r="CJ556" s="385"/>
      <c r="CK556" s="385"/>
      <c r="CL556" s="385"/>
      <c r="CM556" s="385"/>
      <c r="CN556" s="385"/>
      <c r="CO556" s="385"/>
      <c r="CP556" s="385"/>
      <c r="CQ556" s="385"/>
      <c r="CR556" s="385"/>
      <c r="CS556" s="385"/>
      <c r="CT556" s="385"/>
      <c r="CU556" s="385"/>
      <c r="CV556" s="385"/>
      <c r="CW556" s="385"/>
      <c r="CX556" s="385"/>
      <c r="CY556" s="385"/>
      <c r="CZ556" s="385"/>
      <c r="DA556" s="385"/>
      <c r="DB556" s="385"/>
      <c r="DC556" s="385"/>
      <c r="DD556" s="385"/>
      <c r="DE556" s="385"/>
      <c r="DF556" s="385"/>
      <c r="DG556" s="82"/>
    </row>
    <row r="557" spans="2:111" ht="9" customHeight="1">
      <c r="B557" s="8"/>
      <c r="C557" s="8"/>
      <c r="D557" s="8"/>
      <c r="E557" s="8"/>
      <c r="F557" s="8"/>
      <c r="G557" s="8"/>
      <c r="H557" s="8"/>
      <c r="I557" s="8"/>
      <c r="J557" s="8"/>
      <c r="K557" s="8"/>
      <c r="L557" s="8"/>
      <c r="M557" s="8"/>
      <c r="N557" s="7"/>
      <c r="O557" s="219"/>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52"/>
      <c r="BC557" s="82"/>
      <c r="BD557" s="82"/>
      <c r="BE557" s="82"/>
      <c r="BF557" s="82"/>
      <c r="BG557" s="82"/>
      <c r="BH557" s="385"/>
      <c r="BI557" s="385"/>
      <c r="BJ557" s="385"/>
      <c r="BK557" s="385"/>
      <c r="BL557" s="385"/>
      <c r="BM557" s="385"/>
      <c r="BN557" s="385"/>
      <c r="BO557" s="385"/>
      <c r="BP557" s="385"/>
      <c r="BQ557" s="385"/>
      <c r="BR557" s="385"/>
      <c r="BS557" s="385"/>
      <c r="BT557" s="385"/>
      <c r="BU557" s="385"/>
      <c r="BV557" s="385"/>
      <c r="BW557" s="385"/>
      <c r="BX557" s="385"/>
      <c r="BY557" s="385"/>
      <c r="BZ557" s="385"/>
      <c r="CA557" s="385"/>
      <c r="CB557" s="385"/>
      <c r="CC557" s="385"/>
      <c r="CD557" s="385"/>
      <c r="CE557" s="385"/>
      <c r="CF557" s="385"/>
      <c r="CG557" s="385"/>
      <c r="CH557" s="385"/>
      <c r="CI557" s="385"/>
      <c r="CJ557" s="385"/>
      <c r="CK557" s="385"/>
      <c r="CL557" s="385"/>
      <c r="CM557" s="385"/>
      <c r="CN557" s="385"/>
      <c r="CO557" s="385"/>
      <c r="CP557" s="385"/>
      <c r="CQ557" s="385"/>
      <c r="CR557" s="385"/>
      <c r="CS557" s="385"/>
      <c r="CT557" s="385"/>
      <c r="CU557" s="385"/>
      <c r="CV557" s="385"/>
      <c r="CW557" s="385"/>
      <c r="CX557" s="385"/>
      <c r="CY557" s="385"/>
      <c r="CZ557" s="385"/>
      <c r="DA557" s="385"/>
      <c r="DB557" s="385"/>
      <c r="DC557" s="385"/>
      <c r="DD557" s="385"/>
      <c r="DE557" s="385"/>
      <c r="DF557" s="385"/>
      <c r="DG557" s="82"/>
    </row>
    <row r="558" spans="2:111" ht="9" customHeight="1">
      <c r="B558" s="8"/>
      <c r="C558" s="8"/>
      <c r="D558" s="8"/>
      <c r="E558" s="8"/>
      <c r="F558" s="8"/>
      <c r="G558" s="8"/>
      <c r="H558" s="8"/>
      <c r="I558" s="8"/>
      <c r="J558" s="8"/>
      <c r="K558" s="8"/>
      <c r="L558" s="8"/>
      <c r="M558" s="8"/>
      <c r="N558" s="7"/>
      <c r="O558" s="219"/>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52"/>
      <c r="BC558" s="82"/>
      <c r="BD558" s="82"/>
      <c r="BE558" s="82"/>
      <c r="BF558" s="82"/>
      <c r="BG558" s="82"/>
      <c r="BH558" s="385"/>
      <c r="BI558" s="385"/>
      <c r="BJ558" s="385"/>
      <c r="BK558" s="385"/>
      <c r="BL558" s="385"/>
      <c r="BM558" s="385"/>
      <c r="BN558" s="385"/>
      <c r="BO558" s="385"/>
      <c r="BP558" s="385"/>
      <c r="BQ558" s="385"/>
      <c r="BR558" s="385"/>
      <c r="BS558" s="385"/>
      <c r="BT558" s="385"/>
      <c r="BU558" s="385"/>
      <c r="BV558" s="385"/>
      <c r="BW558" s="385"/>
      <c r="BX558" s="385"/>
      <c r="BY558" s="385"/>
      <c r="BZ558" s="385"/>
      <c r="CA558" s="385"/>
      <c r="CB558" s="385"/>
      <c r="CC558" s="385"/>
      <c r="CD558" s="385"/>
      <c r="CE558" s="385"/>
      <c r="CF558" s="385"/>
      <c r="CG558" s="385"/>
      <c r="CH558" s="385"/>
      <c r="CI558" s="385"/>
      <c r="CJ558" s="385"/>
      <c r="CK558" s="385"/>
      <c r="CL558" s="385"/>
      <c r="CM558" s="385"/>
      <c r="CN558" s="385"/>
      <c r="CO558" s="385"/>
      <c r="CP558" s="385"/>
      <c r="CQ558" s="385"/>
      <c r="CR558" s="385"/>
      <c r="CS558" s="385"/>
      <c r="CT558" s="385"/>
      <c r="CU558" s="385"/>
      <c r="CV558" s="385"/>
      <c r="CW558" s="385"/>
      <c r="CX558" s="385"/>
      <c r="CY558" s="385"/>
      <c r="CZ558" s="385"/>
      <c r="DA558" s="385"/>
      <c r="DB558" s="385"/>
      <c r="DC558" s="385"/>
      <c r="DD558" s="385"/>
      <c r="DE558" s="385"/>
      <c r="DF558" s="385"/>
      <c r="DG558" s="82"/>
    </row>
    <row r="559" spans="2:111" ht="9" customHeight="1">
      <c r="B559" s="7"/>
      <c r="C559" s="7"/>
      <c r="D559" s="7"/>
      <c r="E559" s="7"/>
      <c r="F559" s="7"/>
      <c r="G559" s="7"/>
      <c r="H559" s="7"/>
      <c r="I559" s="7"/>
      <c r="J559" s="7"/>
      <c r="K559" s="7"/>
      <c r="L559" s="7"/>
      <c r="M559" s="7"/>
      <c r="N559" s="7"/>
      <c r="O559" s="219"/>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52"/>
      <c r="BC559" s="82"/>
      <c r="BD559" s="82"/>
      <c r="BE559" s="82"/>
      <c r="BF559" s="82"/>
      <c r="BG559" s="82"/>
      <c r="BH559" s="82"/>
      <c r="BI559" s="82"/>
      <c r="BJ559" s="82"/>
      <c r="BK559" s="82"/>
      <c r="BL559" s="82"/>
      <c r="BM559" s="82"/>
      <c r="BN559" s="82"/>
      <c r="BO559" s="82"/>
      <c r="BP559" s="82"/>
      <c r="BQ559" s="82"/>
      <c r="BR559" s="82"/>
      <c r="BS559" s="82"/>
      <c r="BT559" s="82"/>
      <c r="BU559" s="82"/>
      <c r="BV559" s="82"/>
      <c r="BW559" s="82"/>
      <c r="BX559" s="82"/>
      <c r="BY559" s="82"/>
      <c r="BZ559" s="82"/>
      <c r="CA559" s="82"/>
      <c r="CB559" s="82"/>
      <c r="CC559" s="82"/>
      <c r="CD559" s="82"/>
      <c r="CE559" s="82"/>
      <c r="CF559" s="82"/>
      <c r="CG559" s="82"/>
      <c r="CH559" s="82"/>
      <c r="CI559" s="82"/>
      <c r="CJ559" s="82"/>
      <c r="CK559" s="82"/>
      <c r="CL559" s="82"/>
      <c r="CM559" s="82"/>
      <c r="CN559" s="82"/>
      <c r="CO559" s="82"/>
      <c r="CP559" s="82"/>
      <c r="CQ559" s="82"/>
      <c r="CR559" s="82"/>
      <c r="CS559" s="82"/>
      <c r="CT559" s="82"/>
      <c r="CU559" s="82"/>
      <c r="CV559" s="82"/>
      <c r="CW559" s="82"/>
      <c r="CX559" s="82"/>
      <c r="CY559" s="82"/>
      <c r="CZ559" s="82"/>
      <c r="DA559" s="82"/>
      <c r="DB559" s="82"/>
      <c r="DC559" s="82"/>
      <c r="DD559" s="82"/>
      <c r="DE559" s="82"/>
      <c r="DF559" s="82"/>
      <c r="DG559" s="82"/>
    </row>
    <row r="560" spans="2:111" ht="9" customHeight="1">
      <c r="B560" s="7"/>
      <c r="C560" s="7"/>
      <c r="D560" s="7"/>
      <c r="E560" s="7"/>
      <c r="F560" s="7"/>
      <c r="G560" s="7"/>
      <c r="H560" s="7"/>
      <c r="I560" s="7"/>
      <c r="J560" s="7"/>
      <c r="K560" s="7"/>
      <c r="L560" s="7"/>
      <c r="M560" s="7"/>
      <c r="N560" s="7"/>
      <c r="O560" s="253"/>
      <c r="P560" s="254"/>
      <c r="Q560" s="254"/>
      <c r="R560" s="254"/>
      <c r="S560" s="254"/>
      <c r="T560" s="254"/>
      <c r="U560" s="254"/>
      <c r="V560" s="254"/>
      <c r="W560" s="254"/>
      <c r="X560" s="254"/>
      <c r="Y560" s="254"/>
      <c r="Z560" s="254"/>
      <c r="AA560" s="254"/>
      <c r="AB560" s="254"/>
      <c r="AC560" s="254"/>
      <c r="AD560" s="254"/>
      <c r="AE560" s="254"/>
      <c r="AF560" s="254"/>
      <c r="AG560" s="254"/>
      <c r="AH560" s="254"/>
      <c r="AI560" s="254"/>
      <c r="AJ560" s="254"/>
      <c r="AK560" s="254"/>
      <c r="AL560" s="254"/>
      <c r="AM560" s="254"/>
      <c r="AN560" s="254"/>
      <c r="AO560" s="254"/>
      <c r="AP560" s="254"/>
      <c r="AQ560" s="254"/>
      <c r="AR560" s="254"/>
      <c r="AS560" s="254"/>
      <c r="AT560" s="254"/>
      <c r="AU560" s="254"/>
      <c r="AV560" s="254"/>
      <c r="AW560" s="254"/>
      <c r="AX560" s="254"/>
      <c r="AY560" s="254"/>
      <c r="AZ560" s="254"/>
      <c r="BA560" s="255"/>
      <c r="BC560" s="82"/>
      <c r="BD560" s="82"/>
      <c r="BE560" s="82"/>
      <c r="BF560" s="82"/>
      <c r="BG560" s="82"/>
      <c r="BH560" s="82"/>
      <c r="BI560" s="82"/>
      <c r="BJ560" s="82"/>
      <c r="BK560" s="82"/>
      <c r="BL560" s="82"/>
      <c r="BM560" s="82"/>
      <c r="BN560" s="82"/>
      <c r="BO560" s="82"/>
      <c r="BP560" s="82"/>
      <c r="BQ560" s="82"/>
      <c r="BR560" s="82"/>
      <c r="BS560" s="82"/>
      <c r="BT560" s="82"/>
      <c r="BU560" s="82"/>
      <c r="BV560" s="82"/>
      <c r="BW560" s="82"/>
      <c r="BX560" s="82"/>
      <c r="BY560" s="82"/>
      <c r="BZ560" s="82"/>
      <c r="CA560" s="82"/>
      <c r="CB560" s="82"/>
      <c r="CC560" s="82"/>
      <c r="CD560" s="82"/>
      <c r="CE560" s="82"/>
      <c r="CF560" s="82"/>
      <c r="CG560" s="82"/>
      <c r="CH560" s="82"/>
      <c r="CI560" s="82"/>
      <c r="CJ560" s="82"/>
      <c r="CK560" s="82"/>
      <c r="CL560" s="82"/>
      <c r="CM560" s="82"/>
      <c r="CN560" s="82"/>
      <c r="CO560" s="82"/>
      <c r="CP560" s="82"/>
      <c r="CQ560" s="82"/>
      <c r="CR560" s="82"/>
      <c r="CS560" s="82"/>
      <c r="CT560" s="82"/>
      <c r="CU560" s="82"/>
      <c r="CV560" s="82"/>
      <c r="CW560" s="82"/>
      <c r="CX560" s="82"/>
      <c r="CY560" s="82"/>
      <c r="CZ560" s="82"/>
      <c r="DA560" s="82"/>
      <c r="DB560" s="82"/>
      <c r="DC560" s="82"/>
      <c r="DD560" s="82"/>
      <c r="DE560" s="82"/>
      <c r="DF560" s="82"/>
      <c r="DG560" s="82"/>
    </row>
    <row r="561" spans="2:111" ht="9" customHeight="1">
      <c r="BC561" s="82"/>
      <c r="BD561" s="82"/>
      <c r="BE561" s="82"/>
      <c r="BF561" s="82"/>
      <c r="BG561" s="82"/>
      <c r="BH561" s="82"/>
      <c r="BI561" s="82"/>
      <c r="BJ561" s="82"/>
      <c r="BK561" s="82"/>
      <c r="BL561" s="82"/>
      <c r="BM561" s="82"/>
      <c r="BN561" s="82"/>
      <c r="BO561" s="82"/>
      <c r="BP561" s="82"/>
      <c r="BQ561" s="82"/>
      <c r="BR561" s="82"/>
      <c r="BS561" s="82"/>
      <c r="BT561" s="82"/>
      <c r="BU561" s="82"/>
      <c r="BV561" s="82"/>
      <c r="BW561" s="82"/>
      <c r="BX561" s="82"/>
      <c r="BY561" s="82"/>
      <c r="BZ561" s="82"/>
      <c r="CA561" s="82"/>
      <c r="CB561" s="82"/>
      <c r="CC561" s="82"/>
      <c r="CD561" s="82"/>
      <c r="CE561" s="82"/>
      <c r="CF561" s="82"/>
      <c r="CG561" s="82"/>
      <c r="CH561" s="82"/>
      <c r="CI561" s="82"/>
      <c r="CJ561" s="82"/>
      <c r="CK561" s="82"/>
      <c r="CL561" s="82"/>
      <c r="CM561" s="82"/>
      <c r="CN561" s="82"/>
      <c r="CO561" s="82"/>
      <c r="CP561" s="82"/>
      <c r="CQ561" s="82"/>
      <c r="CR561" s="82"/>
      <c r="CS561" s="82"/>
      <c r="CT561" s="82"/>
      <c r="CU561" s="82"/>
      <c r="CV561" s="82"/>
      <c r="CW561" s="82"/>
      <c r="CX561" s="82"/>
      <c r="CY561" s="82"/>
      <c r="CZ561" s="82"/>
      <c r="DA561" s="82"/>
      <c r="DB561" s="82"/>
      <c r="DC561" s="82"/>
      <c r="DD561" s="82"/>
      <c r="DE561" s="82"/>
      <c r="DF561" s="82"/>
      <c r="DG561" s="82"/>
    </row>
    <row r="562" spans="2:111" ht="9" customHeight="1">
      <c r="B562" s="215" t="s">
        <v>265</v>
      </c>
      <c r="C562" s="215"/>
      <c r="D562" s="215"/>
      <c r="E562" s="215"/>
      <c r="F562" s="215"/>
      <c r="G562" s="215"/>
      <c r="H562" s="215"/>
      <c r="I562" s="215"/>
      <c r="J562" s="215"/>
      <c r="K562" s="215"/>
      <c r="L562" s="215"/>
      <c r="M562" s="215"/>
      <c r="N562" s="7"/>
      <c r="O562" s="216" t="s">
        <v>607</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51"/>
      <c r="BC562" s="82"/>
      <c r="BD562" s="82"/>
      <c r="BE562" s="82"/>
      <c r="BF562" s="82"/>
      <c r="BG562" s="82"/>
      <c r="BH562" s="214" t="s">
        <v>364</v>
      </c>
      <c r="BI562" s="214"/>
      <c r="BJ562" s="214"/>
      <c r="BK562" s="214"/>
      <c r="BL562" s="214"/>
      <c r="BM562" s="214"/>
      <c r="BN562" s="214"/>
      <c r="BO562" s="214"/>
      <c r="BP562" s="214"/>
      <c r="BQ562" s="214"/>
      <c r="BR562" s="214"/>
      <c r="BS562" s="214"/>
      <c r="BT562" s="214"/>
      <c r="BU562" s="214"/>
      <c r="BV562" s="214"/>
      <c r="BW562" s="214"/>
      <c r="BX562" s="214"/>
      <c r="BY562" s="214"/>
      <c r="BZ562" s="214"/>
      <c r="CA562" s="214"/>
      <c r="CB562" s="214"/>
      <c r="CC562" s="214"/>
      <c r="CD562" s="214"/>
      <c r="CE562" s="214"/>
      <c r="CF562" s="214"/>
      <c r="CG562" s="214"/>
      <c r="CH562" s="214"/>
      <c r="CI562" s="214"/>
      <c r="CJ562" s="214"/>
      <c r="CK562" s="214"/>
      <c r="CL562" s="214"/>
      <c r="CM562" s="214"/>
      <c r="CN562" s="214"/>
      <c r="CO562" s="214"/>
      <c r="CP562" s="214"/>
      <c r="CQ562" s="214"/>
      <c r="CR562" s="214"/>
      <c r="CS562" s="214"/>
      <c r="CT562" s="214"/>
      <c r="CU562" s="214"/>
      <c r="CV562" s="214"/>
      <c r="CW562" s="214"/>
      <c r="CX562" s="214"/>
      <c r="CY562" s="214"/>
      <c r="CZ562" s="214"/>
      <c r="DA562" s="214"/>
      <c r="DB562" s="214"/>
      <c r="DC562" s="214"/>
      <c r="DD562" s="214"/>
      <c r="DE562" s="214"/>
      <c r="DF562" s="214"/>
      <c r="DG562" s="82"/>
    </row>
    <row r="563" spans="2:111" ht="9" customHeight="1">
      <c r="B563" s="215"/>
      <c r="C563" s="215"/>
      <c r="D563" s="215"/>
      <c r="E563" s="215"/>
      <c r="F563" s="215"/>
      <c r="G563" s="215"/>
      <c r="H563" s="215"/>
      <c r="I563" s="215"/>
      <c r="J563" s="215"/>
      <c r="K563" s="215"/>
      <c r="L563" s="215"/>
      <c r="M563" s="215"/>
      <c r="N563" s="7"/>
      <c r="O563" s="219"/>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52"/>
      <c r="BC563" s="82"/>
      <c r="BD563" s="82"/>
      <c r="BE563" s="82"/>
      <c r="BF563" s="82"/>
      <c r="BG563" s="82"/>
      <c r="BH563" s="214"/>
      <c r="BI563" s="214"/>
      <c r="BJ563" s="214"/>
      <c r="BK563" s="214"/>
      <c r="BL563" s="214"/>
      <c r="BM563" s="214"/>
      <c r="BN563" s="214"/>
      <c r="BO563" s="214"/>
      <c r="BP563" s="214"/>
      <c r="BQ563" s="214"/>
      <c r="BR563" s="214"/>
      <c r="BS563" s="214"/>
      <c r="BT563" s="214"/>
      <c r="BU563" s="214"/>
      <c r="BV563" s="214"/>
      <c r="BW563" s="214"/>
      <c r="BX563" s="214"/>
      <c r="BY563" s="214"/>
      <c r="BZ563" s="214"/>
      <c r="CA563" s="214"/>
      <c r="CB563" s="214"/>
      <c r="CC563" s="214"/>
      <c r="CD563" s="214"/>
      <c r="CE563" s="214"/>
      <c r="CF563" s="214"/>
      <c r="CG563" s="214"/>
      <c r="CH563" s="214"/>
      <c r="CI563" s="214"/>
      <c r="CJ563" s="214"/>
      <c r="CK563" s="214"/>
      <c r="CL563" s="214"/>
      <c r="CM563" s="214"/>
      <c r="CN563" s="214"/>
      <c r="CO563" s="214"/>
      <c r="CP563" s="214"/>
      <c r="CQ563" s="214"/>
      <c r="CR563" s="214"/>
      <c r="CS563" s="214"/>
      <c r="CT563" s="214"/>
      <c r="CU563" s="214"/>
      <c r="CV563" s="214"/>
      <c r="CW563" s="214"/>
      <c r="CX563" s="214"/>
      <c r="CY563" s="214"/>
      <c r="CZ563" s="214"/>
      <c r="DA563" s="214"/>
      <c r="DB563" s="214"/>
      <c r="DC563" s="214"/>
      <c r="DD563" s="214"/>
      <c r="DE563" s="214"/>
      <c r="DF563" s="214"/>
      <c r="DG563" s="82"/>
    </row>
    <row r="564" spans="2:111" ht="9" customHeight="1">
      <c r="B564" s="215"/>
      <c r="C564" s="215"/>
      <c r="D564" s="215"/>
      <c r="E564" s="215"/>
      <c r="F564" s="215"/>
      <c r="G564" s="215"/>
      <c r="H564" s="215"/>
      <c r="I564" s="215"/>
      <c r="J564" s="215"/>
      <c r="K564" s="215"/>
      <c r="L564" s="215"/>
      <c r="M564" s="215"/>
      <c r="N564" s="7"/>
      <c r="O564" s="219"/>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52"/>
      <c r="BC564" s="82"/>
      <c r="BD564" s="82"/>
      <c r="BE564" s="82"/>
      <c r="BF564" s="82"/>
      <c r="BG564" s="82"/>
      <c r="BH564" s="214"/>
      <c r="BI564" s="214"/>
      <c r="BJ564" s="214"/>
      <c r="BK564" s="214"/>
      <c r="BL564" s="214"/>
      <c r="BM564" s="214"/>
      <c r="BN564" s="214"/>
      <c r="BO564" s="214"/>
      <c r="BP564" s="214"/>
      <c r="BQ564" s="214"/>
      <c r="BR564" s="214"/>
      <c r="BS564" s="214"/>
      <c r="BT564" s="214"/>
      <c r="BU564" s="214"/>
      <c r="BV564" s="214"/>
      <c r="BW564" s="214"/>
      <c r="BX564" s="214"/>
      <c r="BY564" s="214"/>
      <c r="BZ564" s="214"/>
      <c r="CA564" s="214"/>
      <c r="CB564" s="214"/>
      <c r="CC564" s="214"/>
      <c r="CD564" s="214"/>
      <c r="CE564" s="214"/>
      <c r="CF564" s="214"/>
      <c r="CG564" s="214"/>
      <c r="CH564" s="214"/>
      <c r="CI564" s="214"/>
      <c r="CJ564" s="214"/>
      <c r="CK564" s="214"/>
      <c r="CL564" s="214"/>
      <c r="CM564" s="214"/>
      <c r="CN564" s="214"/>
      <c r="CO564" s="214"/>
      <c r="CP564" s="214"/>
      <c r="CQ564" s="214"/>
      <c r="CR564" s="214"/>
      <c r="CS564" s="214"/>
      <c r="CT564" s="214"/>
      <c r="CU564" s="214"/>
      <c r="CV564" s="214"/>
      <c r="CW564" s="214"/>
      <c r="CX564" s="214"/>
      <c r="CY564" s="214"/>
      <c r="CZ564" s="214"/>
      <c r="DA564" s="214"/>
      <c r="DB564" s="214"/>
      <c r="DC564" s="214"/>
      <c r="DD564" s="214"/>
      <c r="DE564" s="214"/>
      <c r="DF564" s="214"/>
      <c r="DG564" s="82"/>
    </row>
    <row r="565" spans="2:111" ht="9" customHeight="1">
      <c r="B565" s="215"/>
      <c r="C565" s="215"/>
      <c r="D565" s="215"/>
      <c r="E565" s="215"/>
      <c r="F565" s="215"/>
      <c r="G565" s="215"/>
      <c r="H565" s="215"/>
      <c r="I565" s="215"/>
      <c r="J565" s="215"/>
      <c r="K565" s="215"/>
      <c r="L565" s="215"/>
      <c r="M565" s="215"/>
      <c r="N565" s="7"/>
      <c r="O565" s="219"/>
      <c r="P565" s="220"/>
      <c r="Q565" s="220"/>
      <c r="R565" s="220"/>
      <c r="S565" s="220"/>
      <c r="T565" s="220"/>
      <c r="U565" s="220"/>
      <c r="V565" s="220"/>
      <c r="W565" s="220"/>
      <c r="X565" s="220"/>
      <c r="Y565" s="220"/>
      <c r="Z565" s="220"/>
      <c r="AA565" s="220"/>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52"/>
      <c r="BC565" s="82"/>
      <c r="BD565" s="82"/>
      <c r="BE565" s="82"/>
      <c r="BF565" s="82"/>
      <c r="BG565" s="82"/>
      <c r="BH565" s="214"/>
      <c r="BI565" s="214"/>
      <c r="BJ565" s="214"/>
      <c r="BK565" s="214"/>
      <c r="BL565" s="214"/>
      <c r="BM565" s="214"/>
      <c r="BN565" s="214"/>
      <c r="BO565" s="214"/>
      <c r="BP565" s="214"/>
      <c r="BQ565" s="214"/>
      <c r="BR565" s="214"/>
      <c r="BS565" s="214"/>
      <c r="BT565" s="214"/>
      <c r="BU565" s="214"/>
      <c r="BV565" s="214"/>
      <c r="BW565" s="214"/>
      <c r="BX565" s="214"/>
      <c r="BY565" s="214"/>
      <c r="BZ565" s="214"/>
      <c r="CA565" s="214"/>
      <c r="CB565" s="214"/>
      <c r="CC565" s="214"/>
      <c r="CD565" s="214"/>
      <c r="CE565" s="214"/>
      <c r="CF565" s="214"/>
      <c r="CG565" s="214"/>
      <c r="CH565" s="214"/>
      <c r="CI565" s="214"/>
      <c r="CJ565" s="214"/>
      <c r="CK565" s="214"/>
      <c r="CL565" s="214"/>
      <c r="CM565" s="214"/>
      <c r="CN565" s="214"/>
      <c r="CO565" s="214"/>
      <c r="CP565" s="214"/>
      <c r="CQ565" s="214"/>
      <c r="CR565" s="214"/>
      <c r="CS565" s="214"/>
      <c r="CT565" s="214"/>
      <c r="CU565" s="214"/>
      <c r="CV565" s="214"/>
      <c r="CW565" s="214"/>
      <c r="CX565" s="214"/>
      <c r="CY565" s="214"/>
      <c r="CZ565" s="214"/>
      <c r="DA565" s="214"/>
      <c r="DB565" s="214"/>
      <c r="DC565" s="214"/>
      <c r="DD565" s="214"/>
      <c r="DE565" s="214"/>
      <c r="DF565" s="214"/>
      <c r="DG565" s="82"/>
    </row>
    <row r="566" spans="2:111" ht="9" customHeight="1">
      <c r="B566" s="215"/>
      <c r="C566" s="215"/>
      <c r="D566" s="215"/>
      <c r="E566" s="215"/>
      <c r="F566" s="215"/>
      <c r="G566" s="215"/>
      <c r="H566" s="215"/>
      <c r="I566" s="215"/>
      <c r="J566" s="215"/>
      <c r="K566" s="215"/>
      <c r="L566" s="215"/>
      <c r="M566" s="215"/>
      <c r="N566" s="7"/>
      <c r="O566" s="219"/>
      <c r="P566" s="220"/>
      <c r="Q566" s="220"/>
      <c r="R566" s="220"/>
      <c r="S566" s="220"/>
      <c r="T566" s="220"/>
      <c r="U566" s="220"/>
      <c r="V566" s="220"/>
      <c r="W566" s="220"/>
      <c r="X566" s="220"/>
      <c r="Y566" s="220"/>
      <c r="Z566" s="220"/>
      <c r="AA566" s="220"/>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52"/>
      <c r="BC566" s="82"/>
      <c r="BD566" s="82"/>
      <c r="BE566" s="82"/>
      <c r="BF566" s="82"/>
      <c r="BG566" s="82"/>
      <c r="BH566" s="214"/>
      <c r="BI566" s="214"/>
      <c r="BJ566" s="214"/>
      <c r="BK566" s="214"/>
      <c r="BL566" s="214"/>
      <c r="BM566" s="214"/>
      <c r="BN566" s="214"/>
      <c r="BO566" s="214"/>
      <c r="BP566" s="214"/>
      <c r="BQ566" s="214"/>
      <c r="BR566" s="214"/>
      <c r="BS566" s="214"/>
      <c r="BT566" s="214"/>
      <c r="BU566" s="214"/>
      <c r="BV566" s="214"/>
      <c r="BW566" s="214"/>
      <c r="BX566" s="214"/>
      <c r="BY566" s="214"/>
      <c r="BZ566" s="214"/>
      <c r="CA566" s="214"/>
      <c r="CB566" s="214"/>
      <c r="CC566" s="214"/>
      <c r="CD566" s="214"/>
      <c r="CE566" s="214"/>
      <c r="CF566" s="214"/>
      <c r="CG566" s="214"/>
      <c r="CH566" s="214"/>
      <c r="CI566" s="214"/>
      <c r="CJ566" s="214"/>
      <c r="CK566" s="214"/>
      <c r="CL566" s="214"/>
      <c r="CM566" s="214"/>
      <c r="CN566" s="214"/>
      <c r="CO566" s="214"/>
      <c r="CP566" s="214"/>
      <c r="CQ566" s="214"/>
      <c r="CR566" s="214"/>
      <c r="CS566" s="214"/>
      <c r="CT566" s="214"/>
      <c r="CU566" s="214"/>
      <c r="CV566" s="214"/>
      <c r="CW566" s="214"/>
      <c r="CX566" s="214"/>
      <c r="CY566" s="214"/>
      <c r="CZ566" s="214"/>
      <c r="DA566" s="214"/>
      <c r="DB566" s="214"/>
      <c r="DC566" s="214"/>
      <c r="DD566" s="214"/>
      <c r="DE566" s="214"/>
      <c r="DF566" s="214"/>
      <c r="DG566" s="82"/>
    </row>
    <row r="567" spans="2:111" ht="9" customHeight="1">
      <c r="B567" s="215"/>
      <c r="C567" s="215"/>
      <c r="D567" s="215"/>
      <c r="E567" s="215"/>
      <c r="F567" s="215"/>
      <c r="G567" s="215"/>
      <c r="H567" s="215"/>
      <c r="I567" s="215"/>
      <c r="J567" s="215"/>
      <c r="K567" s="215"/>
      <c r="L567" s="215"/>
      <c r="M567" s="215"/>
      <c r="N567" s="7"/>
      <c r="O567" s="219"/>
      <c r="P567" s="220"/>
      <c r="Q567" s="220"/>
      <c r="R567" s="220"/>
      <c r="S567" s="220"/>
      <c r="T567" s="220"/>
      <c r="U567" s="220"/>
      <c r="V567" s="220"/>
      <c r="W567" s="220"/>
      <c r="X567" s="220"/>
      <c r="Y567" s="220"/>
      <c r="Z567" s="220"/>
      <c r="AA567" s="220"/>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52"/>
      <c r="BC567" s="82"/>
      <c r="BD567" s="82"/>
      <c r="BE567" s="82"/>
      <c r="BF567" s="82"/>
      <c r="BG567" s="82"/>
      <c r="BH567" s="214"/>
      <c r="BI567" s="214"/>
      <c r="BJ567" s="214"/>
      <c r="BK567" s="214"/>
      <c r="BL567" s="214"/>
      <c r="BM567" s="214"/>
      <c r="BN567" s="214"/>
      <c r="BO567" s="214"/>
      <c r="BP567" s="214"/>
      <c r="BQ567" s="214"/>
      <c r="BR567" s="214"/>
      <c r="BS567" s="214"/>
      <c r="BT567" s="214"/>
      <c r="BU567" s="214"/>
      <c r="BV567" s="214"/>
      <c r="BW567" s="214"/>
      <c r="BX567" s="214"/>
      <c r="BY567" s="214"/>
      <c r="BZ567" s="214"/>
      <c r="CA567" s="214"/>
      <c r="CB567" s="214"/>
      <c r="CC567" s="214"/>
      <c r="CD567" s="214"/>
      <c r="CE567" s="214"/>
      <c r="CF567" s="214"/>
      <c r="CG567" s="214"/>
      <c r="CH567" s="214"/>
      <c r="CI567" s="214"/>
      <c r="CJ567" s="214"/>
      <c r="CK567" s="214"/>
      <c r="CL567" s="214"/>
      <c r="CM567" s="214"/>
      <c r="CN567" s="214"/>
      <c r="CO567" s="214"/>
      <c r="CP567" s="214"/>
      <c r="CQ567" s="214"/>
      <c r="CR567" s="214"/>
      <c r="CS567" s="214"/>
      <c r="CT567" s="214"/>
      <c r="CU567" s="214"/>
      <c r="CV567" s="214"/>
      <c r="CW567" s="214"/>
      <c r="CX567" s="214"/>
      <c r="CY567" s="214"/>
      <c r="CZ567" s="214"/>
      <c r="DA567" s="214"/>
      <c r="DB567" s="214"/>
      <c r="DC567" s="214"/>
      <c r="DD567" s="214"/>
      <c r="DE567" s="214"/>
      <c r="DF567" s="214"/>
      <c r="DG567" s="82"/>
    </row>
    <row r="568" spans="2:111" ht="9" customHeight="1">
      <c r="B568" s="215"/>
      <c r="C568" s="215"/>
      <c r="D568" s="215"/>
      <c r="E568" s="215"/>
      <c r="F568" s="215"/>
      <c r="G568" s="215"/>
      <c r="H568" s="215"/>
      <c r="I568" s="215"/>
      <c r="J568" s="215"/>
      <c r="K568" s="215"/>
      <c r="L568" s="215"/>
      <c r="M568" s="215"/>
      <c r="N568" s="7"/>
      <c r="O568" s="219"/>
      <c r="P568" s="220"/>
      <c r="Q568" s="220"/>
      <c r="R568" s="220"/>
      <c r="S568" s="220"/>
      <c r="T568" s="220"/>
      <c r="U568" s="220"/>
      <c r="V568" s="220"/>
      <c r="W568" s="220"/>
      <c r="X568" s="220"/>
      <c r="Y568" s="220"/>
      <c r="Z568" s="220"/>
      <c r="AA568" s="220"/>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52"/>
      <c r="BC568" s="82"/>
      <c r="BD568" s="82"/>
      <c r="BE568" s="82"/>
      <c r="BF568" s="82"/>
      <c r="BG568" s="82"/>
      <c r="BH568" s="82"/>
      <c r="BI568" s="82"/>
      <c r="BJ568" s="82"/>
      <c r="BK568" s="82"/>
      <c r="BL568" s="82"/>
      <c r="BM568" s="82"/>
      <c r="BN568" s="82"/>
      <c r="BO568" s="82"/>
      <c r="BP568" s="82"/>
      <c r="BQ568" s="82"/>
      <c r="BR568" s="82"/>
      <c r="BS568" s="82"/>
      <c r="BT568" s="82"/>
      <c r="BU568" s="82"/>
      <c r="BV568" s="82"/>
      <c r="BW568" s="82"/>
      <c r="BX568" s="82"/>
      <c r="BY568" s="82"/>
      <c r="BZ568" s="82"/>
      <c r="CA568" s="82"/>
      <c r="CB568" s="82"/>
      <c r="CC568" s="82"/>
      <c r="CD568" s="82"/>
      <c r="CE568" s="82"/>
      <c r="CF568" s="82"/>
      <c r="CG568" s="82"/>
      <c r="CH568" s="82"/>
      <c r="CI568" s="82"/>
      <c r="CJ568" s="82"/>
      <c r="CK568" s="82"/>
      <c r="CL568" s="82"/>
      <c r="CM568" s="82"/>
      <c r="CN568" s="82"/>
      <c r="CO568" s="82"/>
      <c r="CP568" s="82"/>
      <c r="CQ568" s="82"/>
      <c r="CR568" s="82"/>
      <c r="CS568" s="82"/>
      <c r="CT568" s="82"/>
      <c r="CU568" s="82"/>
      <c r="CV568" s="82"/>
      <c r="CW568" s="82"/>
      <c r="CX568" s="82"/>
      <c r="CY568" s="82"/>
      <c r="CZ568" s="82"/>
      <c r="DA568" s="82"/>
      <c r="DB568" s="82"/>
      <c r="DC568" s="82"/>
      <c r="DD568" s="82"/>
      <c r="DE568" s="82"/>
      <c r="DF568" s="82"/>
      <c r="DG568" s="82"/>
    </row>
    <row r="569" spans="2:111" ht="9" customHeight="1">
      <c r="B569" s="215"/>
      <c r="C569" s="215"/>
      <c r="D569" s="215"/>
      <c r="E569" s="215"/>
      <c r="F569" s="215"/>
      <c r="G569" s="215"/>
      <c r="H569" s="215"/>
      <c r="I569" s="215"/>
      <c r="J569" s="215"/>
      <c r="K569" s="215"/>
      <c r="L569" s="215"/>
      <c r="M569" s="215"/>
      <c r="N569" s="7"/>
      <c r="O569" s="219"/>
      <c r="P569" s="220"/>
      <c r="Q569" s="220"/>
      <c r="R569" s="220"/>
      <c r="S569" s="220"/>
      <c r="T569" s="220"/>
      <c r="U569" s="220"/>
      <c r="V569" s="220"/>
      <c r="W569" s="220"/>
      <c r="X569" s="220"/>
      <c r="Y569" s="220"/>
      <c r="Z569" s="220"/>
      <c r="AA569" s="220"/>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52"/>
      <c r="BC569" s="82"/>
      <c r="BD569" s="82"/>
      <c r="BE569" s="82"/>
      <c r="BF569" s="82"/>
      <c r="BG569" s="82"/>
      <c r="BH569" s="82"/>
      <c r="BI569" s="82"/>
      <c r="BJ569" s="82"/>
      <c r="BK569" s="82"/>
      <c r="BL569" s="82"/>
      <c r="BM569" s="82"/>
      <c r="BN569" s="82"/>
      <c r="BO569" s="82"/>
      <c r="BP569" s="82"/>
      <c r="BQ569" s="82"/>
      <c r="BR569" s="82"/>
      <c r="BS569" s="82"/>
      <c r="BT569" s="82"/>
      <c r="BU569" s="82"/>
      <c r="BV569" s="82"/>
      <c r="BW569" s="82"/>
      <c r="BX569" s="82"/>
      <c r="BY569" s="82"/>
      <c r="BZ569" s="82"/>
      <c r="CA569" s="82"/>
      <c r="CB569" s="82"/>
      <c r="CC569" s="82"/>
      <c r="CD569" s="82"/>
      <c r="CE569" s="82"/>
      <c r="CF569" s="82"/>
      <c r="CG569" s="82"/>
      <c r="CH569" s="82"/>
      <c r="CI569" s="82"/>
      <c r="CJ569" s="82"/>
      <c r="CK569" s="82"/>
      <c r="CL569" s="82"/>
      <c r="CM569" s="82"/>
      <c r="CN569" s="82"/>
      <c r="CO569" s="82"/>
      <c r="CP569" s="82"/>
      <c r="CQ569" s="82"/>
      <c r="CR569" s="82"/>
      <c r="CS569" s="82"/>
      <c r="CT569" s="82"/>
      <c r="CU569" s="82"/>
      <c r="CV569" s="82"/>
      <c r="CW569" s="82"/>
      <c r="CX569" s="82"/>
      <c r="CY569" s="82"/>
      <c r="CZ569" s="82"/>
      <c r="DA569" s="82"/>
      <c r="DB569" s="82"/>
      <c r="DC569" s="82"/>
      <c r="DD569" s="82"/>
      <c r="DE569" s="82"/>
      <c r="DF569" s="82"/>
      <c r="DG569" s="82"/>
    </row>
    <row r="570" spans="2:111" ht="9" customHeight="1">
      <c r="B570" s="215"/>
      <c r="C570" s="215"/>
      <c r="D570" s="215"/>
      <c r="E570" s="215"/>
      <c r="F570" s="215"/>
      <c r="G570" s="215"/>
      <c r="H570" s="215"/>
      <c r="I570" s="215"/>
      <c r="J570" s="215"/>
      <c r="K570" s="215"/>
      <c r="L570" s="215"/>
      <c r="M570" s="215"/>
      <c r="N570" s="7"/>
      <c r="O570" s="219"/>
      <c r="P570" s="220"/>
      <c r="Q570" s="220"/>
      <c r="R570" s="220"/>
      <c r="S570" s="220"/>
      <c r="T570" s="220"/>
      <c r="U570" s="220"/>
      <c r="V570" s="220"/>
      <c r="W570" s="220"/>
      <c r="X570" s="220"/>
      <c r="Y570" s="220"/>
      <c r="Z570" s="220"/>
      <c r="AA570" s="220"/>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52"/>
      <c r="BC570" s="82"/>
      <c r="BD570" s="82"/>
      <c r="BE570" s="82"/>
      <c r="BF570" s="82"/>
      <c r="BG570" s="82"/>
      <c r="BH570" s="82"/>
      <c r="BI570" s="82"/>
      <c r="BJ570" s="82"/>
      <c r="BK570" s="82"/>
      <c r="BL570" s="82"/>
      <c r="BM570" s="82"/>
      <c r="BN570" s="82"/>
      <c r="BO570" s="82"/>
      <c r="BP570" s="82"/>
      <c r="BQ570" s="82"/>
      <c r="BR570" s="82"/>
      <c r="BS570" s="82"/>
      <c r="BT570" s="82"/>
      <c r="BU570" s="82"/>
      <c r="BV570" s="82"/>
      <c r="BW570" s="82"/>
      <c r="BX570" s="82"/>
      <c r="BY570" s="82"/>
      <c r="BZ570" s="82"/>
      <c r="CA570" s="82"/>
      <c r="CB570" s="82"/>
      <c r="CC570" s="82"/>
      <c r="CD570" s="82"/>
      <c r="CE570" s="82"/>
      <c r="CF570" s="82"/>
      <c r="CG570" s="82"/>
      <c r="CH570" s="82"/>
      <c r="CI570" s="82"/>
      <c r="CJ570" s="82"/>
      <c r="CK570" s="82"/>
      <c r="CL570" s="82"/>
      <c r="CM570" s="82"/>
      <c r="CN570" s="82"/>
      <c r="CO570" s="82"/>
      <c r="CP570" s="82"/>
      <c r="CQ570" s="82"/>
      <c r="CR570" s="82"/>
      <c r="CS570" s="82"/>
      <c r="CT570" s="82"/>
      <c r="CU570" s="82"/>
      <c r="CV570" s="82"/>
      <c r="CW570" s="82"/>
      <c r="CX570" s="82"/>
      <c r="CY570" s="82"/>
      <c r="CZ570" s="82"/>
      <c r="DA570" s="82"/>
      <c r="DB570" s="82"/>
      <c r="DC570" s="82"/>
      <c r="DD570" s="82"/>
      <c r="DE570" s="82"/>
      <c r="DF570" s="82"/>
      <c r="DG570" s="82"/>
    </row>
    <row r="571" spans="2:111" ht="9" customHeight="1">
      <c r="B571" s="215"/>
      <c r="C571" s="215"/>
      <c r="D571" s="215"/>
      <c r="E571" s="215"/>
      <c r="F571" s="215"/>
      <c r="G571" s="215"/>
      <c r="H571" s="215"/>
      <c r="I571" s="215"/>
      <c r="J571" s="215"/>
      <c r="K571" s="215"/>
      <c r="L571" s="215"/>
      <c r="M571" s="215"/>
      <c r="N571" s="7"/>
      <c r="O571" s="219"/>
      <c r="P571" s="220"/>
      <c r="Q571" s="220"/>
      <c r="R571" s="220"/>
      <c r="S571" s="220"/>
      <c r="T571" s="220"/>
      <c r="U571" s="220"/>
      <c r="V571" s="220"/>
      <c r="W571" s="220"/>
      <c r="X571" s="220"/>
      <c r="Y571" s="220"/>
      <c r="Z571" s="220"/>
      <c r="AA571" s="220"/>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52"/>
      <c r="BC571" s="82"/>
      <c r="BD571" s="82"/>
      <c r="BE571" s="82"/>
      <c r="BF571" s="82"/>
      <c r="BG571" s="82"/>
      <c r="BH571" s="82"/>
      <c r="BI571" s="82"/>
      <c r="BJ571" s="82"/>
      <c r="BK571" s="82"/>
      <c r="BL571" s="82"/>
      <c r="BM571" s="82"/>
      <c r="BN571" s="82"/>
      <c r="BO571" s="82"/>
      <c r="BP571" s="82"/>
      <c r="BQ571" s="82"/>
      <c r="BR571" s="82"/>
      <c r="BS571" s="82"/>
      <c r="BT571" s="82"/>
      <c r="BU571" s="82"/>
      <c r="BV571" s="82"/>
      <c r="BW571" s="82"/>
      <c r="BX571" s="82"/>
      <c r="BY571" s="82"/>
      <c r="BZ571" s="82"/>
      <c r="CA571" s="82"/>
      <c r="CB571" s="82"/>
      <c r="CC571" s="82"/>
      <c r="CD571" s="82"/>
      <c r="CE571" s="82"/>
      <c r="CF571" s="82"/>
      <c r="CG571" s="82"/>
      <c r="CH571" s="82"/>
      <c r="CI571" s="82"/>
      <c r="CJ571" s="82"/>
      <c r="CK571" s="82"/>
      <c r="CL571" s="82"/>
      <c r="CM571" s="82"/>
      <c r="CN571" s="82"/>
      <c r="CO571" s="82"/>
      <c r="CP571" s="82"/>
      <c r="CQ571" s="82"/>
      <c r="CR571" s="82"/>
      <c r="CS571" s="82"/>
      <c r="CT571" s="82"/>
      <c r="CU571" s="82"/>
      <c r="CV571" s="82"/>
      <c r="CW571" s="82"/>
      <c r="CX571" s="82"/>
      <c r="CY571" s="82"/>
      <c r="CZ571" s="82"/>
      <c r="DA571" s="82"/>
      <c r="DB571" s="82"/>
      <c r="DC571" s="82"/>
      <c r="DD571" s="82"/>
      <c r="DE571" s="82"/>
      <c r="DF571" s="82"/>
      <c r="DG571" s="82"/>
    </row>
    <row r="572" spans="2:111" ht="9" customHeight="1">
      <c r="B572" s="215"/>
      <c r="C572" s="215"/>
      <c r="D572" s="215"/>
      <c r="E572" s="215"/>
      <c r="F572" s="215"/>
      <c r="G572" s="215"/>
      <c r="H572" s="215"/>
      <c r="I572" s="215"/>
      <c r="J572" s="215"/>
      <c r="K572" s="215"/>
      <c r="L572" s="215"/>
      <c r="M572" s="215"/>
      <c r="N572" s="7"/>
      <c r="O572" s="219"/>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52"/>
      <c r="BC572" s="82"/>
      <c r="BD572" s="82"/>
      <c r="BE572" s="82"/>
      <c r="BF572" s="82"/>
      <c r="BG572" s="82"/>
      <c r="BH572" s="82"/>
      <c r="BI572" s="82"/>
      <c r="BJ572" s="82"/>
      <c r="BK572" s="82"/>
      <c r="BL572" s="82"/>
      <c r="BM572" s="82"/>
      <c r="BN572" s="82"/>
      <c r="BO572" s="82"/>
      <c r="BP572" s="82"/>
      <c r="BQ572" s="82"/>
      <c r="BR572" s="82"/>
      <c r="BS572" s="82"/>
      <c r="BT572" s="82"/>
      <c r="BU572" s="82"/>
      <c r="BV572" s="82"/>
      <c r="BW572" s="82"/>
      <c r="BX572" s="82"/>
      <c r="BY572" s="82"/>
      <c r="BZ572" s="82"/>
      <c r="CA572" s="82"/>
      <c r="CB572" s="82"/>
      <c r="CC572" s="82"/>
      <c r="CD572" s="82"/>
      <c r="CE572" s="82"/>
      <c r="CF572" s="82"/>
      <c r="CG572" s="82"/>
      <c r="CH572" s="82"/>
      <c r="CI572" s="82"/>
      <c r="CJ572" s="82"/>
      <c r="CK572" s="82"/>
      <c r="CL572" s="82"/>
      <c r="CM572" s="82"/>
      <c r="CN572" s="82"/>
      <c r="CO572" s="82"/>
      <c r="CP572" s="82"/>
      <c r="CQ572" s="82"/>
      <c r="CR572" s="82"/>
      <c r="CS572" s="82"/>
      <c r="CT572" s="82"/>
      <c r="CU572" s="82"/>
      <c r="CV572" s="82"/>
      <c r="CW572" s="82"/>
      <c r="CX572" s="82"/>
      <c r="CY572" s="82"/>
      <c r="CZ572" s="82"/>
      <c r="DA572" s="82"/>
      <c r="DB572" s="82"/>
      <c r="DC572" s="82"/>
      <c r="DD572" s="82"/>
      <c r="DE572" s="82"/>
      <c r="DF572" s="82"/>
      <c r="DG572" s="82"/>
    </row>
    <row r="573" spans="2:111" ht="9" customHeight="1">
      <c r="B573" s="8"/>
      <c r="C573" s="8"/>
      <c r="D573" s="8"/>
      <c r="E573" s="8"/>
      <c r="F573" s="8"/>
      <c r="G573" s="8"/>
      <c r="H573" s="8"/>
      <c r="I573" s="8"/>
      <c r="J573" s="8"/>
      <c r="K573" s="8"/>
      <c r="L573" s="8"/>
      <c r="M573" s="8"/>
      <c r="N573" s="7"/>
      <c r="O573" s="219"/>
      <c r="P573" s="220"/>
      <c r="Q573" s="220"/>
      <c r="R573" s="220"/>
      <c r="S573" s="220"/>
      <c r="T573" s="220"/>
      <c r="U573" s="220"/>
      <c r="V573" s="220"/>
      <c r="W573" s="220"/>
      <c r="X573" s="220"/>
      <c r="Y573" s="220"/>
      <c r="Z573" s="220"/>
      <c r="AA573" s="220"/>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52"/>
      <c r="BC573" s="82"/>
      <c r="BD573" s="82"/>
      <c r="BE573" s="82"/>
      <c r="BF573" s="82"/>
      <c r="BG573" s="82"/>
      <c r="BH573" s="82"/>
      <c r="BI573" s="82"/>
      <c r="BJ573" s="82"/>
      <c r="BK573" s="82"/>
      <c r="BL573" s="82"/>
      <c r="BM573" s="82"/>
      <c r="BN573" s="82"/>
      <c r="BO573" s="82"/>
      <c r="BP573" s="82"/>
      <c r="BQ573" s="82"/>
      <c r="BR573" s="82"/>
      <c r="BS573" s="82"/>
      <c r="BT573" s="82"/>
      <c r="BU573" s="82"/>
      <c r="BV573" s="82"/>
      <c r="BW573" s="82"/>
      <c r="BX573" s="82"/>
      <c r="BY573" s="82"/>
      <c r="BZ573" s="82"/>
      <c r="CA573" s="82"/>
      <c r="CB573" s="82"/>
      <c r="CC573" s="82"/>
      <c r="CD573" s="82"/>
      <c r="CE573" s="82"/>
      <c r="CF573" s="82"/>
      <c r="CG573" s="82"/>
      <c r="CH573" s="82"/>
      <c r="CI573" s="82"/>
      <c r="CJ573" s="82"/>
      <c r="CK573" s="82"/>
      <c r="CL573" s="82"/>
      <c r="CM573" s="82"/>
      <c r="CN573" s="82"/>
      <c r="CO573" s="82"/>
      <c r="CP573" s="82"/>
      <c r="CQ573" s="82"/>
      <c r="CR573" s="82"/>
      <c r="CS573" s="82"/>
      <c r="CT573" s="82"/>
      <c r="CU573" s="82"/>
      <c r="CV573" s="82"/>
      <c r="CW573" s="82"/>
      <c r="CX573" s="82"/>
      <c r="CY573" s="82"/>
      <c r="CZ573" s="82"/>
      <c r="DA573" s="82"/>
      <c r="DB573" s="82"/>
      <c r="DC573" s="82"/>
      <c r="DD573" s="82"/>
      <c r="DE573" s="82"/>
      <c r="DF573" s="82"/>
      <c r="DG573" s="82"/>
    </row>
    <row r="574" spans="2:111" ht="9" customHeight="1">
      <c r="B574" s="8"/>
      <c r="C574" s="8"/>
      <c r="D574" s="8"/>
      <c r="E574" s="8"/>
      <c r="F574" s="8"/>
      <c r="G574" s="8"/>
      <c r="H574" s="8"/>
      <c r="I574" s="8"/>
      <c r="J574" s="8"/>
      <c r="K574" s="8"/>
      <c r="L574" s="8"/>
      <c r="M574" s="8"/>
      <c r="N574" s="7"/>
      <c r="O574" s="219"/>
      <c r="P574" s="220"/>
      <c r="Q574" s="220"/>
      <c r="R574" s="220"/>
      <c r="S574" s="220"/>
      <c r="T574" s="220"/>
      <c r="U574" s="220"/>
      <c r="V574" s="220"/>
      <c r="W574" s="220"/>
      <c r="X574" s="220"/>
      <c r="Y574" s="220"/>
      <c r="Z574" s="220"/>
      <c r="AA574" s="220"/>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52"/>
      <c r="BC574" s="82"/>
      <c r="BD574" s="82"/>
      <c r="BE574" s="82"/>
      <c r="BF574" s="82"/>
      <c r="BG574" s="82"/>
      <c r="BH574" s="82"/>
      <c r="BI574" s="82"/>
      <c r="BJ574" s="82"/>
      <c r="BK574" s="82"/>
      <c r="BL574" s="82"/>
      <c r="BM574" s="82"/>
      <c r="BN574" s="82"/>
      <c r="BO574" s="82"/>
      <c r="BP574" s="82"/>
      <c r="BQ574" s="82"/>
      <c r="BR574" s="82"/>
      <c r="BS574" s="82"/>
      <c r="BT574" s="82"/>
      <c r="BU574" s="82"/>
      <c r="BV574" s="82"/>
      <c r="BW574" s="82"/>
      <c r="BX574" s="82"/>
      <c r="BY574" s="82"/>
      <c r="BZ574" s="82"/>
      <c r="CA574" s="82"/>
      <c r="CB574" s="82"/>
      <c r="CC574" s="82"/>
      <c r="CD574" s="82"/>
      <c r="CE574" s="82"/>
      <c r="CF574" s="82"/>
      <c r="CG574" s="82"/>
      <c r="CH574" s="82"/>
      <c r="CI574" s="82"/>
      <c r="CJ574" s="82"/>
      <c r="CK574" s="82"/>
      <c r="CL574" s="82"/>
      <c r="CM574" s="82"/>
      <c r="CN574" s="82"/>
      <c r="CO574" s="82"/>
      <c r="CP574" s="82"/>
      <c r="CQ574" s="82"/>
      <c r="CR574" s="82"/>
      <c r="CS574" s="82"/>
      <c r="CT574" s="82"/>
      <c r="CU574" s="82"/>
      <c r="CV574" s="82"/>
      <c r="CW574" s="82"/>
      <c r="CX574" s="82"/>
      <c r="CY574" s="82"/>
      <c r="CZ574" s="82"/>
      <c r="DA574" s="82"/>
      <c r="DB574" s="82"/>
      <c r="DC574" s="82"/>
      <c r="DD574" s="82"/>
      <c r="DE574" s="82"/>
      <c r="DF574" s="82"/>
      <c r="DG574" s="82"/>
    </row>
    <row r="575" spans="2:111" ht="9" customHeight="1">
      <c r="B575" s="7"/>
      <c r="C575" s="7"/>
      <c r="D575" s="7"/>
      <c r="E575" s="7"/>
      <c r="F575" s="7"/>
      <c r="G575" s="7"/>
      <c r="H575" s="7"/>
      <c r="I575" s="7"/>
      <c r="J575" s="7"/>
      <c r="K575" s="7"/>
      <c r="L575" s="7"/>
      <c r="M575" s="7"/>
      <c r="N575" s="7"/>
      <c r="O575" s="219"/>
      <c r="P575" s="220"/>
      <c r="Q575" s="220"/>
      <c r="R575" s="220"/>
      <c r="S575" s="220"/>
      <c r="T575" s="220"/>
      <c r="U575" s="220"/>
      <c r="V575" s="220"/>
      <c r="W575" s="220"/>
      <c r="X575" s="220"/>
      <c r="Y575" s="220"/>
      <c r="Z575" s="220"/>
      <c r="AA575" s="220"/>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52"/>
      <c r="BC575" s="82"/>
      <c r="BD575" s="82"/>
      <c r="BE575" s="82"/>
      <c r="BF575" s="82"/>
      <c r="BG575" s="82"/>
      <c r="BH575" s="82"/>
      <c r="BI575" s="82"/>
      <c r="BJ575" s="82"/>
      <c r="BK575" s="82"/>
      <c r="BL575" s="82"/>
      <c r="BM575" s="82"/>
      <c r="BN575" s="82"/>
      <c r="BO575" s="82"/>
      <c r="BP575" s="82"/>
      <c r="BQ575" s="82"/>
      <c r="BR575" s="82"/>
      <c r="BS575" s="82"/>
      <c r="BT575" s="82"/>
      <c r="BU575" s="82"/>
      <c r="BV575" s="82"/>
      <c r="BW575" s="82"/>
      <c r="BX575" s="82"/>
      <c r="BY575" s="82"/>
      <c r="BZ575" s="82"/>
      <c r="CA575" s="82"/>
      <c r="CB575" s="82"/>
      <c r="CC575" s="82"/>
      <c r="CD575" s="82"/>
      <c r="CE575" s="82"/>
      <c r="CF575" s="82"/>
      <c r="CG575" s="82"/>
      <c r="CH575" s="82"/>
      <c r="CI575" s="82"/>
      <c r="CJ575" s="82"/>
      <c r="CK575" s="82"/>
      <c r="CL575" s="82"/>
      <c r="CM575" s="82"/>
      <c r="CN575" s="82"/>
      <c r="CO575" s="82"/>
      <c r="CP575" s="82"/>
      <c r="CQ575" s="82"/>
      <c r="CR575" s="82"/>
      <c r="CS575" s="82"/>
      <c r="CT575" s="82"/>
      <c r="CU575" s="82"/>
      <c r="CV575" s="82"/>
      <c r="CW575" s="82"/>
      <c r="CX575" s="82"/>
      <c r="CY575" s="82"/>
      <c r="CZ575" s="82"/>
      <c r="DA575" s="82"/>
      <c r="DB575" s="82"/>
      <c r="DC575" s="82"/>
      <c r="DD575" s="82"/>
      <c r="DE575" s="82"/>
      <c r="DF575" s="82"/>
      <c r="DG575" s="82"/>
    </row>
    <row r="576" spans="2:111" ht="9" customHeight="1">
      <c r="B576" s="7"/>
      <c r="C576" s="7"/>
      <c r="D576" s="7"/>
      <c r="E576" s="7"/>
      <c r="F576" s="7"/>
      <c r="G576" s="7"/>
      <c r="H576" s="7"/>
      <c r="I576" s="7"/>
      <c r="J576" s="7"/>
      <c r="K576" s="7"/>
      <c r="L576" s="7"/>
      <c r="M576" s="7"/>
      <c r="N576" s="7"/>
      <c r="O576" s="253"/>
      <c r="P576" s="254"/>
      <c r="Q576" s="254"/>
      <c r="R576" s="254"/>
      <c r="S576" s="254"/>
      <c r="T576" s="254"/>
      <c r="U576" s="254"/>
      <c r="V576" s="254"/>
      <c r="W576" s="254"/>
      <c r="X576" s="254"/>
      <c r="Y576" s="254"/>
      <c r="Z576" s="254"/>
      <c r="AA576" s="254"/>
      <c r="AB576" s="254"/>
      <c r="AC576" s="254"/>
      <c r="AD576" s="254"/>
      <c r="AE576" s="254"/>
      <c r="AF576" s="254"/>
      <c r="AG576" s="254"/>
      <c r="AH576" s="254"/>
      <c r="AI576" s="254"/>
      <c r="AJ576" s="254"/>
      <c r="AK576" s="254"/>
      <c r="AL576" s="254"/>
      <c r="AM576" s="254"/>
      <c r="AN576" s="254"/>
      <c r="AO576" s="254"/>
      <c r="AP576" s="254"/>
      <c r="AQ576" s="254"/>
      <c r="AR576" s="254"/>
      <c r="AS576" s="254"/>
      <c r="AT576" s="254"/>
      <c r="AU576" s="254"/>
      <c r="AV576" s="254"/>
      <c r="AW576" s="254"/>
      <c r="AX576" s="254"/>
      <c r="AY576" s="254"/>
      <c r="AZ576" s="254"/>
      <c r="BA576" s="255"/>
      <c r="BC576" s="82"/>
      <c r="BD576" s="82"/>
      <c r="BE576" s="82"/>
      <c r="BF576" s="82"/>
      <c r="BG576" s="82"/>
      <c r="BH576" s="82"/>
      <c r="BI576" s="82"/>
      <c r="BJ576" s="82"/>
      <c r="BK576" s="82"/>
      <c r="BL576" s="82"/>
      <c r="BM576" s="82"/>
      <c r="BN576" s="82"/>
      <c r="BO576" s="82"/>
      <c r="BP576" s="82"/>
      <c r="BQ576" s="82"/>
      <c r="BR576" s="82"/>
      <c r="BS576" s="82"/>
      <c r="BT576" s="82"/>
      <c r="BU576" s="82"/>
      <c r="BV576" s="82"/>
      <c r="BW576" s="82"/>
      <c r="BX576" s="82"/>
      <c r="BY576" s="82"/>
      <c r="BZ576" s="82"/>
      <c r="CA576" s="82"/>
      <c r="CB576" s="82"/>
      <c r="CC576" s="82"/>
      <c r="CD576" s="82"/>
      <c r="CE576" s="82"/>
      <c r="CF576" s="82"/>
      <c r="CG576" s="82"/>
      <c r="CH576" s="82"/>
      <c r="CI576" s="82"/>
      <c r="CJ576" s="82"/>
      <c r="CK576" s="82"/>
      <c r="CL576" s="82"/>
      <c r="CM576" s="82"/>
      <c r="CN576" s="82"/>
      <c r="CO576" s="82"/>
      <c r="CP576" s="82"/>
      <c r="CQ576" s="82"/>
      <c r="CR576" s="82"/>
      <c r="CS576" s="82"/>
      <c r="CT576" s="82"/>
      <c r="CU576" s="82"/>
      <c r="CV576" s="82"/>
      <c r="CW576" s="82"/>
      <c r="CX576" s="82"/>
      <c r="CY576" s="82"/>
      <c r="CZ576" s="82"/>
      <c r="DA576" s="82"/>
      <c r="DB576" s="82"/>
      <c r="DC576" s="82"/>
      <c r="DD576" s="82"/>
      <c r="DE576" s="82"/>
      <c r="DF576" s="82"/>
      <c r="DG576" s="82"/>
    </row>
    <row r="577" spans="2:111" ht="9" customHeight="1">
      <c r="BC577" s="82"/>
      <c r="BD577" s="82"/>
      <c r="BE577" s="82"/>
      <c r="BF577" s="82"/>
      <c r="BG577" s="82"/>
      <c r="BH577" s="82"/>
      <c r="BI577" s="82"/>
      <c r="BJ577" s="82"/>
      <c r="BK577" s="82"/>
      <c r="BL577" s="82"/>
      <c r="BM577" s="82"/>
      <c r="BN577" s="82"/>
      <c r="BO577" s="82"/>
      <c r="BP577" s="82"/>
      <c r="BQ577" s="82"/>
      <c r="BR577" s="82"/>
      <c r="BS577" s="82"/>
      <c r="BT577" s="82"/>
      <c r="BU577" s="82"/>
      <c r="BV577" s="82"/>
      <c r="BW577" s="82"/>
      <c r="BX577" s="82"/>
      <c r="BY577" s="82"/>
      <c r="BZ577" s="82"/>
      <c r="CA577" s="82"/>
      <c r="CB577" s="82"/>
      <c r="CC577" s="82"/>
      <c r="CD577" s="82"/>
      <c r="CE577" s="82"/>
      <c r="CF577" s="82"/>
      <c r="CG577" s="82"/>
      <c r="CH577" s="82"/>
      <c r="CI577" s="82"/>
      <c r="CJ577" s="82"/>
      <c r="CK577" s="82"/>
      <c r="CL577" s="82"/>
      <c r="CM577" s="82"/>
      <c r="CN577" s="82"/>
      <c r="CO577" s="82"/>
      <c r="CP577" s="82"/>
      <c r="CQ577" s="82"/>
      <c r="CR577" s="82"/>
      <c r="CS577" s="82"/>
      <c r="CT577" s="82"/>
      <c r="CU577" s="82"/>
      <c r="CV577" s="82"/>
      <c r="CW577" s="82"/>
      <c r="CX577" s="82"/>
      <c r="CY577" s="82"/>
      <c r="CZ577" s="82"/>
      <c r="DA577" s="82"/>
      <c r="DB577" s="82"/>
      <c r="DC577" s="82"/>
      <c r="DD577" s="82"/>
      <c r="DE577" s="82"/>
      <c r="DF577" s="82"/>
      <c r="DG577" s="82"/>
    </row>
    <row r="578" spans="2:111" ht="9" customHeight="1">
      <c r="B578" s="215" t="s">
        <v>266</v>
      </c>
      <c r="C578" s="215"/>
      <c r="D578" s="215"/>
      <c r="E578" s="215"/>
      <c r="F578" s="215"/>
      <c r="G578" s="215"/>
      <c r="H578" s="215"/>
      <c r="I578" s="215"/>
      <c r="J578" s="215"/>
      <c r="K578" s="215"/>
      <c r="L578" s="215"/>
      <c r="M578" s="215"/>
      <c r="N578" s="7"/>
      <c r="O578" s="216" t="s">
        <v>608</v>
      </c>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c r="AQ578" s="217"/>
      <c r="AR578" s="217"/>
      <c r="AS578" s="217"/>
      <c r="AT578" s="217"/>
      <c r="AU578" s="217"/>
      <c r="AV578" s="217"/>
      <c r="AW578" s="217"/>
      <c r="AX578" s="217"/>
      <c r="AY578" s="217"/>
      <c r="AZ578" s="217"/>
      <c r="BA578" s="251"/>
      <c r="BC578" s="82"/>
      <c r="BD578" s="82"/>
      <c r="BE578" s="82"/>
      <c r="BF578" s="82"/>
      <c r="BG578" s="82"/>
      <c r="BH578" s="214" t="s">
        <v>365</v>
      </c>
      <c r="BI578" s="214"/>
      <c r="BJ578" s="214"/>
      <c r="BK578" s="214"/>
      <c r="BL578" s="214"/>
      <c r="BM578" s="214"/>
      <c r="BN578" s="214"/>
      <c r="BO578" s="214"/>
      <c r="BP578" s="214"/>
      <c r="BQ578" s="214"/>
      <c r="BR578" s="214"/>
      <c r="BS578" s="214"/>
      <c r="BT578" s="214"/>
      <c r="BU578" s="214"/>
      <c r="BV578" s="214"/>
      <c r="BW578" s="214"/>
      <c r="BX578" s="214"/>
      <c r="BY578" s="214"/>
      <c r="BZ578" s="214"/>
      <c r="CA578" s="214"/>
      <c r="CB578" s="214"/>
      <c r="CC578" s="214"/>
      <c r="CD578" s="214"/>
      <c r="CE578" s="214"/>
      <c r="CF578" s="214"/>
      <c r="CG578" s="214"/>
      <c r="CH578" s="214"/>
      <c r="CI578" s="214"/>
      <c r="CJ578" s="214"/>
      <c r="CK578" s="214"/>
      <c r="CL578" s="214"/>
      <c r="CM578" s="214"/>
      <c r="CN578" s="214"/>
      <c r="CO578" s="214"/>
      <c r="CP578" s="214"/>
      <c r="CQ578" s="214"/>
      <c r="CR578" s="214"/>
      <c r="CS578" s="214"/>
      <c r="CT578" s="214"/>
      <c r="CU578" s="214"/>
      <c r="CV578" s="214"/>
      <c r="CW578" s="214"/>
      <c r="CX578" s="214"/>
      <c r="CY578" s="214"/>
      <c r="CZ578" s="214"/>
      <c r="DA578" s="214"/>
      <c r="DB578" s="214"/>
      <c r="DC578" s="214"/>
      <c r="DD578" s="214"/>
      <c r="DE578" s="214"/>
      <c r="DF578" s="214"/>
      <c r="DG578" s="82"/>
    </row>
    <row r="579" spans="2:111" ht="9" customHeight="1">
      <c r="B579" s="215"/>
      <c r="C579" s="215"/>
      <c r="D579" s="215"/>
      <c r="E579" s="215"/>
      <c r="F579" s="215"/>
      <c r="G579" s="215"/>
      <c r="H579" s="215"/>
      <c r="I579" s="215"/>
      <c r="J579" s="215"/>
      <c r="K579" s="215"/>
      <c r="L579" s="215"/>
      <c r="M579" s="215"/>
      <c r="N579" s="7"/>
      <c r="O579" s="219"/>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52"/>
      <c r="BC579" s="82"/>
      <c r="BD579" s="82"/>
      <c r="BE579" s="82"/>
      <c r="BF579" s="82"/>
      <c r="BG579" s="82"/>
      <c r="BH579" s="214"/>
      <c r="BI579" s="214"/>
      <c r="BJ579" s="214"/>
      <c r="BK579" s="214"/>
      <c r="BL579" s="214"/>
      <c r="BM579" s="214"/>
      <c r="BN579" s="214"/>
      <c r="BO579" s="214"/>
      <c r="BP579" s="214"/>
      <c r="BQ579" s="214"/>
      <c r="BR579" s="214"/>
      <c r="BS579" s="214"/>
      <c r="BT579" s="214"/>
      <c r="BU579" s="214"/>
      <c r="BV579" s="214"/>
      <c r="BW579" s="214"/>
      <c r="BX579" s="214"/>
      <c r="BY579" s="214"/>
      <c r="BZ579" s="214"/>
      <c r="CA579" s="214"/>
      <c r="CB579" s="214"/>
      <c r="CC579" s="214"/>
      <c r="CD579" s="214"/>
      <c r="CE579" s="214"/>
      <c r="CF579" s="214"/>
      <c r="CG579" s="214"/>
      <c r="CH579" s="214"/>
      <c r="CI579" s="214"/>
      <c r="CJ579" s="214"/>
      <c r="CK579" s="214"/>
      <c r="CL579" s="214"/>
      <c r="CM579" s="214"/>
      <c r="CN579" s="214"/>
      <c r="CO579" s="214"/>
      <c r="CP579" s="214"/>
      <c r="CQ579" s="214"/>
      <c r="CR579" s="214"/>
      <c r="CS579" s="214"/>
      <c r="CT579" s="214"/>
      <c r="CU579" s="214"/>
      <c r="CV579" s="214"/>
      <c r="CW579" s="214"/>
      <c r="CX579" s="214"/>
      <c r="CY579" s="214"/>
      <c r="CZ579" s="214"/>
      <c r="DA579" s="214"/>
      <c r="DB579" s="214"/>
      <c r="DC579" s="214"/>
      <c r="DD579" s="214"/>
      <c r="DE579" s="214"/>
      <c r="DF579" s="214"/>
      <c r="DG579" s="82"/>
    </row>
    <row r="580" spans="2:111" ht="9" customHeight="1">
      <c r="B580" s="215"/>
      <c r="C580" s="215"/>
      <c r="D580" s="215"/>
      <c r="E580" s="215"/>
      <c r="F580" s="215"/>
      <c r="G580" s="215"/>
      <c r="H580" s="215"/>
      <c r="I580" s="215"/>
      <c r="J580" s="215"/>
      <c r="K580" s="215"/>
      <c r="L580" s="215"/>
      <c r="M580" s="215"/>
      <c r="N580" s="7"/>
      <c r="O580" s="219"/>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52"/>
      <c r="BC580" s="82"/>
      <c r="BD580" s="82"/>
      <c r="BE580" s="82"/>
      <c r="BF580" s="82"/>
      <c r="BG580" s="82"/>
      <c r="BH580" s="214"/>
      <c r="BI580" s="214"/>
      <c r="BJ580" s="214"/>
      <c r="BK580" s="214"/>
      <c r="BL580" s="214"/>
      <c r="BM580" s="214"/>
      <c r="BN580" s="214"/>
      <c r="BO580" s="214"/>
      <c r="BP580" s="214"/>
      <c r="BQ580" s="214"/>
      <c r="BR580" s="214"/>
      <c r="BS580" s="214"/>
      <c r="BT580" s="214"/>
      <c r="BU580" s="214"/>
      <c r="BV580" s="214"/>
      <c r="BW580" s="214"/>
      <c r="BX580" s="214"/>
      <c r="BY580" s="214"/>
      <c r="BZ580" s="214"/>
      <c r="CA580" s="214"/>
      <c r="CB580" s="214"/>
      <c r="CC580" s="214"/>
      <c r="CD580" s="214"/>
      <c r="CE580" s="214"/>
      <c r="CF580" s="214"/>
      <c r="CG580" s="214"/>
      <c r="CH580" s="214"/>
      <c r="CI580" s="214"/>
      <c r="CJ580" s="214"/>
      <c r="CK580" s="214"/>
      <c r="CL580" s="214"/>
      <c r="CM580" s="214"/>
      <c r="CN580" s="214"/>
      <c r="CO580" s="214"/>
      <c r="CP580" s="214"/>
      <c r="CQ580" s="214"/>
      <c r="CR580" s="214"/>
      <c r="CS580" s="214"/>
      <c r="CT580" s="214"/>
      <c r="CU580" s="214"/>
      <c r="CV580" s="214"/>
      <c r="CW580" s="214"/>
      <c r="CX580" s="214"/>
      <c r="CY580" s="214"/>
      <c r="CZ580" s="214"/>
      <c r="DA580" s="214"/>
      <c r="DB580" s="214"/>
      <c r="DC580" s="214"/>
      <c r="DD580" s="214"/>
      <c r="DE580" s="214"/>
      <c r="DF580" s="214"/>
      <c r="DG580" s="82"/>
    </row>
    <row r="581" spans="2:111" ht="9" customHeight="1">
      <c r="B581" s="215"/>
      <c r="C581" s="215"/>
      <c r="D581" s="215"/>
      <c r="E581" s="215"/>
      <c r="F581" s="215"/>
      <c r="G581" s="215"/>
      <c r="H581" s="215"/>
      <c r="I581" s="215"/>
      <c r="J581" s="215"/>
      <c r="K581" s="215"/>
      <c r="L581" s="215"/>
      <c r="M581" s="215"/>
      <c r="N581" s="7"/>
      <c r="O581" s="219"/>
      <c r="P581" s="220"/>
      <c r="Q581" s="220"/>
      <c r="R581" s="220"/>
      <c r="S581" s="220"/>
      <c r="T581" s="220"/>
      <c r="U581" s="220"/>
      <c r="V581" s="220"/>
      <c r="W581" s="220"/>
      <c r="X581" s="220"/>
      <c r="Y581" s="220"/>
      <c r="Z581" s="220"/>
      <c r="AA581" s="220"/>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52"/>
      <c r="BC581" s="82"/>
      <c r="BD581" s="82"/>
      <c r="BE581" s="82"/>
      <c r="BF581" s="82"/>
      <c r="BG581" s="82"/>
      <c r="BH581" s="214"/>
      <c r="BI581" s="214"/>
      <c r="BJ581" s="214"/>
      <c r="BK581" s="214"/>
      <c r="BL581" s="214"/>
      <c r="BM581" s="214"/>
      <c r="BN581" s="214"/>
      <c r="BO581" s="214"/>
      <c r="BP581" s="214"/>
      <c r="BQ581" s="214"/>
      <c r="BR581" s="214"/>
      <c r="BS581" s="214"/>
      <c r="BT581" s="214"/>
      <c r="BU581" s="214"/>
      <c r="BV581" s="214"/>
      <c r="BW581" s="214"/>
      <c r="BX581" s="214"/>
      <c r="BY581" s="214"/>
      <c r="BZ581" s="214"/>
      <c r="CA581" s="214"/>
      <c r="CB581" s="214"/>
      <c r="CC581" s="214"/>
      <c r="CD581" s="214"/>
      <c r="CE581" s="214"/>
      <c r="CF581" s="214"/>
      <c r="CG581" s="214"/>
      <c r="CH581" s="214"/>
      <c r="CI581" s="214"/>
      <c r="CJ581" s="214"/>
      <c r="CK581" s="214"/>
      <c r="CL581" s="214"/>
      <c r="CM581" s="214"/>
      <c r="CN581" s="214"/>
      <c r="CO581" s="214"/>
      <c r="CP581" s="214"/>
      <c r="CQ581" s="214"/>
      <c r="CR581" s="214"/>
      <c r="CS581" s="214"/>
      <c r="CT581" s="214"/>
      <c r="CU581" s="214"/>
      <c r="CV581" s="214"/>
      <c r="CW581" s="214"/>
      <c r="CX581" s="214"/>
      <c r="CY581" s="214"/>
      <c r="CZ581" s="214"/>
      <c r="DA581" s="214"/>
      <c r="DB581" s="214"/>
      <c r="DC581" s="214"/>
      <c r="DD581" s="214"/>
      <c r="DE581" s="214"/>
      <c r="DF581" s="214"/>
      <c r="DG581" s="82"/>
    </row>
    <row r="582" spans="2:111" ht="9" customHeight="1">
      <c r="B582" s="215"/>
      <c r="C582" s="215"/>
      <c r="D582" s="215"/>
      <c r="E582" s="215"/>
      <c r="F582" s="215"/>
      <c r="G582" s="215"/>
      <c r="H582" s="215"/>
      <c r="I582" s="215"/>
      <c r="J582" s="215"/>
      <c r="K582" s="215"/>
      <c r="L582" s="215"/>
      <c r="M582" s="215"/>
      <c r="N582" s="7"/>
      <c r="O582" s="219"/>
      <c r="P582" s="220"/>
      <c r="Q582" s="220"/>
      <c r="R582" s="220"/>
      <c r="S582" s="220"/>
      <c r="T582" s="220"/>
      <c r="U582" s="220"/>
      <c r="V582" s="220"/>
      <c r="W582" s="220"/>
      <c r="X582" s="220"/>
      <c r="Y582" s="220"/>
      <c r="Z582" s="220"/>
      <c r="AA582" s="220"/>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52"/>
      <c r="BC582" s="82"/>
      <c r="BD582" s="82"/>
      <c r="BE582" s="82"/>
      <c r="BF582" s="82"/>
      <c r="BG582" s="82"/>
      <c r="BH582" s="214"/>
      <c r="BI582" s="214"/>
      <c r="BJ582" s="214"/>
      <c r="BK582" s="214"/>
      <c r="BL582" s="214"/>
      <c r="BM582" s="214"/>
      <c r="BN582" s="214"/>
      <c r="BO582" s="214"/>
      <c r="BP582" s="214"/>
      <c r="BQ582" s="214"/>
      <c r="BR582" s="214"/>
      <c r="BS582" s="214"/>
      <c r="BT582" s="214"/>
      <c r="BU582" s="214"/>
      <c r="BV582" s="214"/>
      <c r="BW582" s="214"/>
      <c r="BX582" s="214"/>
      <c r="BY582" s="214"/>
      <c r="BZ582" s="214"/>
      <c r="CA582" s="214"/>
      <c r="CB582" s="214"/>
      <c r="CC582" s="214"/>
      <c r="CD582" s="214"/>
      <c r="CE582" s="214"/>
      <c r="CF582" s="214"/>
      <c r="CG582" s="214"/>
      <c r="CH582" s="214"/>
      <c r="CI582" s="214"/>
      <c r="CJ582" s="214"/>
      <c r="CK582" s="214"/>
      <c r="CL582" s="214"/>
      <c r="CM582" s="214"/>
      <c r="CN582" s="214"/>
      <c r="CO582" s="214"/>
      <c r="CP582" s="214"/>
      <c r="CQ582" s="214"/>
      <c r="CR582" s="214"/>
      <c r="CS582" s="214"/>
      <c r="CT582" s="214"/>
      <c r="CU582" s="214"/>
      <c r="CV582" s="214"/>
      <c r="CW582" s="214"/>
      <c r="CX582" s="214"/>
      <c r="CY582" s="214"/>
      <c r="CZ582" s="214"/>
      <c r="DA582" s="214"/>
      <c r="DB582" s="214"/>
      <c r="DC582" s="214"/>
      <c r="DD582" s="214"/>
      <c r="DE582" s="214"/>
      <c r="DF582" s="214"/>
      <c r="DG582" s="82"/>
    </row>
    <row r="583" spans="2:111" ht="9" customHeight="1">
      <c r="B583" s="8"/>
      <c r="C583" s="8"/>
      <c r="D583" s="8"/>
      <c r="E583" s="8"/>
      <c r="F583" s="8"/>
      <c r="G583" s="8"/>
      <c r="H583" s="8"/>
      <c r="I583" s="8"/>
      <c r="J583" s="8"/>
      <c r="K583" s="8"/>
      <c r="L583" s="8"/>
      <c r="M583" s="8"/>
      <c r="N583" s="7"/>
      <c r="O583" s="219"/>
      <c r="P583" s="220"/>
      <c r="Q583" s="220"/>
      <c r="R583" s="220"/>
      <c r="S583" s="220"/>
      <c r="T583" s="220"/>
      <c r="U583" s="220"/>
      <c r="V583" s="220"/>
      <c r="W583" s="220"/>
      <c r="X583" s="220"/>
      <c r="Y583" s="220"/>
      <c r="Z583" s="220"/>
      <c r="AA583" s="220"/>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52"/>
      <c r="BC583" s="82"/>
      <c r="BD583" s="82"/>
      <c r="BE583" s="82"/>
      <c r="BF583" s="82"/>
      <c r="BG583" s="82"/>
      <c r="BH583" s="214"/>
      <c r="BI583" s="214"/>
      <c r="BJ583" s="214"/>
      <c r="BK583" s="214"/>
      <c r="BL583" s="214"/>
      <c r="BM583" s="214"/>
      <c r="BN583" s="214"/>
      <c r="BO583" s="214"/>
      <c r="BP583" s="214"/>
      <c r="BQ583" s="214"/>
      <c r="BR583" s="214"/>
      <c r="BS583" s="214"/>
      <c r="BT583" s="214"/>
      <c r="BU583" s="214"/>
      <c r="BV583" s="214"/>
      <c r="BW583" s="214"/>
      <c r="BX583" s="214"/>
      <c r="BY583" s="214"/>
      <c r="BZ583" s="214"/>
      <c r="CA583" s="214"/>
      <c r="CB583" s="214"/>
      <c r="CC583" s="214"/>
      <c r="CD583" s="214"/>
      <c r="CE583" s="214"/>
      <c r="CF583" s="214"/>
      <c r="CG583" s="214"/>
      <c r="CH583" s="214"/>
      <c r="CI583" s="214"/>
      <c r="CJ583" s="214"/>
      <c r="CK583" s="214"/>
      <c r="CL583" s="214"/>
      <c r="CM583" s="214"/>
      <c r="CN583" s="214"/>
      <c r="CO583" s="214"/>
      <c r="CP583" s="214"/>
      <c r="CQ583" s="214"/>
      <c r="CR583" s="214"/>
      <c r="CS583" s="214"/>
      <c r="CT583" s="214"/>
      <c r="CU583" s="214"/>
      <c r="CV583" s="214"/>
      <c r="CW583" s="214"/>
      <c r="CX583" s="214"/>
      <c r="CY583" s="214"/>
      <c r="CZ583" s="214"/>
      <c r="DA583" s="214"/>
      <c r="DB583" s="214"/>
      <c r="DC583" s="214"/>
      <c r="DD583" s="214"/>
      <c r="DE583" s="214"/>
      <c r="DF583" s="214"/>
      <c r="DG583" s="82"/>
    </row>
    <row r="584" spans="2:111" ht="9" customHeight="1">
      <c r="B584" s="7"/>
      <c r="C584" s="7"/>
      <c r="D584" s="7"/>
      <c r="E584" s="7"/>
      <c r="F584" s="7"/>
      <c r="G584" s="7"/>
      <c r="H584" s="7"/>
      <c r="I584" s="7"/>
      <c r="J584" s="7"/>
      <c r="K584" s="7"/>
      <c r="L584" s="7"/>
      <c r="M584" s="7"/>
      <c r="N584" s="7"/>
      <c r="O584" s="219"/>
      <c r="P584" s="220"/>
      <c r="Q584" s="220"/>
      <c r="R584" s="220"/>
      <c r="S584" s="220"/>
      <c r="T584" s="220"/>
      <c r="U584" s="220"/>
      <c r="V584" s="220"/>
      <c r="W584" s="220"/>
      <c r="X584" s="220"/>
      <c r="Y584" s="220"/>
      <c r="Z584" s="220"/>
      <c r="AA584" s="220"/>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52"/>
      <c r="BC584" s="82"/>
      <c r="BD584" s="82"/>
      <c r="BE584" s="82"/>
      <c r="BF584" s="82"/>
      <c r="BG584" s="82"/>
      <c r="BH584" s="214"/>
      <c r="BI584" s="214"/>
      <c r="BJ584" s="214"/>
      <c r="BK584" s="214"/>
      <c r="BL584" s="214"/>
      <c r="BM584" s="214"/>
      <c r="BN584" s="214"/>
      <c r="BO584" s="214"/>
      <c r="BP584" s="214"/>
      <c r="BQ584" s="214"/>
      <c r="BR584" s="214"/>
      <c r="BS584" s="214"/>
      <c r="BT584" s="214"/>
      <c r="BU584" s="214"/>
      <c r="BV584" s="214"/>
      <c r="BW584" s="214"/>
      <c r="BX584" s="214"/>
      <c r="BY584" s="214"/>
      <c r="BZ584" s="214"/>
      <c r="CA584" s="214"/>
      <c r="CB584" s="214"/>
      <c r="CC584" s="214"/>
      <c r="CD584" s="214"/>
      <c r="CE584" s="214"/>
      <c r="CF584" s="214"/>
      <c r="CG584" s="214"/>
      <c r="CH584" s="214"/>
      <c r="CI584" s="214"/>
      <c r="CJ584" s="214"/>
      <c r="CK584" s="214"/>
      <c r="CL584" s="214"/>
      <c r="CM584" s="214"/>
      <c r="CN584" s="214"/>
      <c r="CO584" s="214"/>
      <c r="CP584" s="214"/>
      <c r="CQ584" s="214"/>
      <c r="CR584" s="214"/>
      <c r="CS584" s="214"/>
      <c r="CT584" s="214"/>
      <c r="CU584" s="214"/>
      <c r="CV584" s="214"/>
      <c r="CW584" s="214"/>
      <c r="CX584" s="214"/>
      <c r="CY584" s="214"/>
      <c r="CZ584" s="214"/>
      <c r="DA584" s="214"/>
      <c r="DB584" s="214"/>
      <c r="DC584" s="214"/>
      <c r="DD584" s="214"/>
      <c r="DE584" s="214"/>
      <c r="DF584" s="214"/>
      <c r="DG584" s="82"/>
    </row>
    <row r="585" spans="2:111" ht="9" customHeight="1">
      <c r="B585" s="7"/>
      <c r="C585" s="7"/>
      <c r="D585" s="7"/>
      <c r="E585" s="7"/>
      <c r="F585" s="7"/>
      <c r="G585" s="7"/>
      <c r="H585" s="7"/>
      <c r="I585" s="7"/>
      <c r="J585" s="7"/>
      <c r="K585" s="7"/>
      <c r="L585" s="7"/>
      <c r="M585" s="7"/>
      <c r="N585" s="7"/>
      <c r="O585" s="253"/>
      <c r="P585" s="254"/>
      <c r="Q585" s="254"/>
      <c r="R585" s="254"/>
      <c r="S585" s="254"/>
      <c r="T585" s="254"/>
      <c r="U585" s="254"/>
      <c r="V585" s="254"/>
      <c r="W585" s="254"/>
      <c r="X585" s="254"/>
      <c r="Y585" s="254"/>
      <c r="Z585" s="254"/>
      <c r="AA585" s="254"/>
      <c r="AB585" s="254"/>
      <c r="AC585" s="254"/>
      <c r="AD585" s="254"/>
      <c r="AE585" s="254"/>
      <c r="AF585" s="254"/>
      <c r="AG585" s="254"/>
      <c r="AH585" s="254"/>
      <c r="AI585" s="254"/>
      <c r="AJ585" s="254"/>
      <c r="AK585" s="254"/>
      <c r="AL585" s="254"/>
      <c r="AM585" s="254"/>
      <c r="AN585" s="254"/>
      <c r="AO585" s="254"/>
      <c r="AP585" s="254"/>
      <c r="AQ585" s="254"/>
      <c r="AR585" s="254"/>
      <c r="AS585" s="254"/>
      <c r="AT585" s="254"/>
      <c r="AU585" s="254"/>
      <c r="AV585" s="254"/>
      <c r="AW585" s="254"/>
      <c r="AX585" s="254"/>
      <c r="AY585" s="254"/>
      <c r="AZ585" s="254"/>
      <c r="BA585" s="255"/>
      <c r="BC585" s="82"/>
      <c r="BD585" s="82"/>
      <c r="BE585" s="82"/>
      <c r="BF585" s="82"/>
      <c r="BG585" s="82"/>
      <c r="BH585" s="82"/>
      <c r="BI585" s="82"/>
      <c r="BJ585" s="82"/>
      <c r="BK585" s="82"/>
      <c r="BL585" s="82"/>
      <c r="BM585" s="82"/>
      <c r="BN585" s="82"/>
      <c r="BO585" s="82"/>
      <c r="BP585" s="82"/>
      <c r="BQ585" s="82"/>
      <c r="BR585" s="82"/>
      <c r="BS585" s="82"/>
      <c r="BT585" s="82"/>
      <c r="BU585" s="82"/>
      <c r="BV585" s="82"/>
      <c r="BW585" s="82"/>
      <c r="BX585" s="82"/>
      <c r="BY585" s="82"/>
      <c r="BZ585" s="82"/>
      <c r="CA585" s="82"/>
      <c r="CB585" s="82"/>
      <c r="CC585" s="82"/>
      <c r="CD585" s="82"/>
      <c r="CE585" s="82"/>
      <c r="CF585" s="82"/>
      <c r="CG585" s="82"/>
      <c r="CH585" s="82"/>
      <c r="CI585" s="82"/>
      <c r="CJ585" s="82"/>
      <c r="CK585" s="82"/>
      <c r="CL585" s="82"/>
      <c r="CM585" s="82"/>
      <c r="CN585" s="82"/>
      <c r="CO585" s="82"/>
      <c r="CP585" s="82"/>
      <c r="CQ585" s="82"/>
      <c r="CR585" s="82"/>
      <c r="CS585" s="82"/>
      <c r="CT585" s="82"/>
      <c r="CU585" s="82"/>
      <c r="CV585" s="82"/>
      <c r="CW585" s="82"/>
      <c r="CX585" s="82"/>
      <c r="CY585" s="82"/>
      <c r="CZ585" s="82"/>
      <c r="DA585" s="82"/>
      <c r="DB585" s="82"/>
      <c r="DC585" s="82"/>
      <c r="DD585" s="82"/>
      <c r="DE585" s="82"/>
      <c r="DF585" s="82"/>
      <c r="DG585" s="82"/>
    </row>
    <row r="586" spans="2:111" ht="9" customHeight="1">
      <c r="BC586" s="82"/>
      <c r="BD586" s="82"/>
      <c r="BE586" s="82"/>
      <c r="BF586" s="82"/>
      <c r="BG586" s="82"/>
      <c r="BH586" s="82"/>
      <c r="BI586" s="82"/>
      <c r="BJ586" s="82"/>
      <c r="BK586" s="82"/>
      <c r="BL586" s="82"/>
      <c r="BM586" s="82"/>
      <c r="BN586" s="82"/>
      <c r="BO586" s="82"/>
      <c r="BP586" s="82"/>
      <c r="BQ586" s="82"/>
      <c r="BR586" s="82"/>
      <c r="BS586" s="82"/>
      <c r="BT586" s="82"/>
      <c r="BU586" s="82"/>
      <c r="BV586" s="82"/>
      <c r="BW586" s="82"/>
      <c r="BX586" s="82"/>
      <c r="BY586" s="82"/>
      <c r="BZ586" s="82"/>
      <c r="CA586" s="82"/>
      <c r="CB586" s="82"/>
      <c r="CC586" s="82"/>
      <c r="CD586" s="82"/>
      <c r="CE586" s="82"/>
      <c r="CF586" s="82"/>
      <c r="CG586" s="82"/>
      <c r="CH586" s="82"/>
      <c r="CI586" s="82"/>
      <c r="CJ586" s="82"/>
      <c r="CK586" s="82"/>
      <c r="CL586" s="82"/>
      <c r="CM586" s="82"/>
      <c r="CN586" s="82"/>
      <c r="CO586" s="82"/>
      <c r="CP586" s="82"/>
      <c r="CQ586" s="82"/>
      <c r="CR586" s="82"/>
      <c r="CS586" s="82"/>
      <c r="CT586" s="82"/>
      <c r="CU586" s="82"/>
      <c r="CV586" s="82"/>
      <c r="CW586" s="82"/>
      <c r="CX586" s="82"/>
      <c r="CY586" s="82"/>
      <c r="CZ586" s="82"/>
      <c r="DA586" s="82"/>
      <c r="DB586" s="82"/>
      <c r="DC586" s="82"/>
      <c r="DD586" s="82"/>
      <c r="DE586" s="82"/>
      <c r="DF586" s="82"/>
      <c r="DG586" s="82"/>
    </row>
    <row r="587" spans="2:111" ht="9" customHeight="1">
      <c r="B587" s="215" t="s">
        <v>354</v>
      </c>
      <c r="C587" s="215"/>
      <c r="D587" s="215"/>
      <c r="E587" s="215"/>
      <c r="F587" s="215"/>
      <c r="G587" s="215"/>
      <c r="H587" s="215"/>
      <c r="I587" s="215"/>
      <c r="J587" s="215"/>
      <c r="K587" s="215"/>
      <c r="L587" s="215"/>
      <c r="M587" s="215"/>
      <c r="N587" s="7"/>
      <c r="O587" s="216" t="s">
        <v>513</v>
      </c>
      <c r="P587" s="217"/>
      <c r="Q587" s="217"/>
      <c r="R587" s="217"/>
      <c r="S587" s="217"/>
      <c r="T587" s="217"/>
      <c r="U587" s="217"/>
      <c r="V587" s="217"/>
      <c r="W587" s="217"/>
      <c r="X587" s="217"/>
      <c r="Y587" s="217"/>
      <c r="Z587" s="217"/>
      <c r="AA587" s="217"/>
      <c r="AB587" s="217"/>
      <c r="AC587" s="217"/>
      <c r="AD587" s="217"/>
      <c r="AE587" s="217"/>
      <c r="AF587" s="217"/>
      <c r="AG587" s="217"/>
      <c r="AH587" s="217"/>
      <c r="AI587" s="217"/>
      <c r="AJ587" s="217"/>
      <c r="AK587" s="217"/>
      <c r="AL587" s="217"/>
      <c r="AM587" s="217"/>
      <c r="AN587" s="217"/>
      <c r="AO587" s="217"/>
      <c r="AP587" s="217"/>
      <c r="AQ587" s="217"/>
      <c r="AR587" s="217"/>
      <c r="AS587" s="217"/>
      <c r="AT587" s="217"/>
      <c r="AU587" s="217"/>
      <c r="AV587" s="217"/>
      <c r="AW587" s="217"/>
      <c r="AX587" s="217"/>
      <c r="AY587" s="217"/>
      <c r="AZ587" s="217"/>
      <c r="BA587" s="218"/>
      <c r="BC587" s="82"/>
      <c r="BD587" s="82"/>
      <c r="BE587" s="82"/>
      <c r="BF587" s="82"/>
      <c r="BG587" s="82"/>
      <c r="BH587" s="214" t="s">
        <v>366</v>
      </c>
      <c r="BI587" s="214"/>
      <c r="BJ587" s="214"/>
      <c r="BK587" s="214"/>
      <c r="BL587" s="214"/>
      <c r="BM587" s="214"/>
      <c r="BN587" s="214"/>
      <c r="BO587" s="214"/>
      <c r="BP587" s="214"/>
      <c r="BQ587" s="214"/>
      <c r="BR587" s="214"/>
      <c r="BS587" s="214"/>
      <c r="BT587" s="214"/>
      <c r="BU587" s="214"/>
      <c r="BV587" s="214"/>
      <c r="BW587" s="214"/>
      <c r="BX587" s="214"/>
      <c r="BY587" s="214"/>
      <c r="BZ587" s="214"/>
      <c r="CA587" s="214"/>
      <c r="CB587" s="214"/>
      <c r="CC587" s="214"/>
      <c r="CD587" s="214"/>
      <c r="CE587" s="214"/>
      <c r="CF587" s="214"/>
      <c r="CG587" s="214"/>
      <c r="CH587" s="214"/>
      <c r="CI587" s="214"/>
      <c r="CJ587" s="214"/>
      <c r="CK587" s="214"/>
      <c r="CL587" s="214"/>
      <c r="CM587" s="214"/>
      <c r="CN587" s="214"/>
      <c r="CO587" s="214"/>
      <c r="CP587" s="214"/>
      <c r="CQ587" s="214"/>
      <c r="CR587" s="214"/>
      <c r="CS587" s="214"/>
      <c r="CT587" s="214"/>
      <c r="CU587" s="214"/>
      <c r="CV587" s="214"/>
      <c r="CW587" s="214"/>
      <c r="CX587" s="214"/>
      <c r="CY587" s="214"/>
      <c r="CZ587" s="214"/>
      <c r="DA587" s="214"/>
      <c r="DB587" s="214"/>
      <c r="DC587" s="214"/>
      <c r="DD587" s="214"/>
      <c r="DE587" s="214"/>
      <c r="DF587" s="214"/>
      <c r="DG587" s="82"/>
    </row>
    <row r="588" spans="2:111" ht="9" customHeight="1">
      <c r="B588" s="215"/>
      <c r="C588" s="215"/>
      <c r="D588" s="215"/>
      <c r="E588" s="215"/>
      <c r="F588" s="215"/>
      <c r="G588" s="215"/>
      <c r="H588" s="215"/>
      <c r="I588" s="215"/>
      <c r="J588" s="215"/>
      <c r="K588" s="215"/>
      <c r="L588" s="215"/>
      <c r="M588" s="215"/>
      <c r="N588" s="7"/>
      <c r="O588" s="219"/>
      <c r="P588" s="220"/>
      <c r="Q588" s="220"/>
      <c r="R588" s="220"/>
      <c r="S588" s="220"/>
      <c r="T588" s="220"/>
      <c r="U588" s="220"/>
      <c r="V588" s="220"/>
      <c r="W588" s="220"/>
      <c r="X588" s="220"/>
      <c r="Y588" s="220"/>
      <c r="Z588" s="220"/>
      <c r="AA588" s="220"/>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1"/>
      <c r="BC588" s="82"/>
      <c r="BD588" s="82"/>
      <c r="BE588" s="82"/>
      <c r="BF588" s="82"/>
      <c r="BG588" s="82"/>
      <c r="BH588" s="214"/>
      <c r="BI588" s="214"/>
      <c r="BJ588" s="214"/>
      <c r="BK588" s="214"/>
      <c r="BL588" s="214"/>
      <c r="BM588" s="214"/>
      <c r="BN588" s="214"/>
      <c r="BO588" s="214"/>
      <c r="BP588" s="214"/>
      <c r="BQ588" s="214"/>
      <c r="BR588" s="214"/>
      <c r="BS588" s="214"/>
      <c r="BT588" s="214"/>
      <c r="BU588" s="214"/>
      <c r="BV588" s="214"/>
      <c r="BW588" s="214"/>
      <c r="BX588" s="214"/>
      <c r="BY588" s="214"/>
      <c r="BZ588" s="214"/>
      <c r="CA588" s="214"/>
      <c r="CB588" s="214"/>
      <c r="CC588" s="214"/>
      <c r="CD588" s="214"/>
      <c r="CE588" s="214"/>
      <c r="CF588" s="214"/>
      <c r="CG588" s="214"/>
      <c r="CH588" s="214"/>
      <c r="CI588" s="214"/>
      <c r="CJ588" s="214"/>
      <c r="CK588" s="214"/>
      <c r="CL588" s="214"/>
      <c r="CM588" s="214"/>
      <c r="CN588" s="214"/>
      <c r="CO588" s="214"/>
      <c r="CP588" s="214"/>
      <c r="CQ588" s="214"/>
      <c r="CR588" s="214"/>
      <c r="CS588" s="214"/>
      <c r="CT588" s="214"/>
      <c r="CU588" s="214"/>
      <c r="CV588" s="214"/>
      <c r="CW588" s="214"/>
      <c r="CX588" s="214"/>
      <c r="CY588" s="214"/>
      <c r="CZ588" s="214"/>
      <c r="DA588" s="214"/>
      <c r="DB588" s="214"/>
      <c r="DC588" s="214"/>
      <c r="DD588" s="214"/>
      <c r="DE588" s="214"/>
      <c r="DF588" s="214"/>
      <c r="DG588" s="82"/>
    </row>
    <row r="589" spans="2:111" ht="9" customHeight="1">
      <c r="B589" s="215"/>
      <c r="C589" s="215"/>
      <c r="D589" s="215"/>
      <c r="E589" s="215"/>
      <c r="F589" s="215"/>
      <c r="G589" s="215"/>
      <c r="H589" s="215"/>
      <c r="I589" s="215"/>
      <c r="J589" s="215"/>
      <c r="K589" s="215"/>
      <c r="L589" s="215"/>
      <c r="M589" s="215"/>
      <c r="N589" s="7"/>
      <c r="O589" s="219"/>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1"/>
      <c r="BC589" s="82"/>
      <c r="BD589" s="82"/>
      <c r="BE589" s="82"/>
      <c r="BF589" s="82"/>
      <c r="BG589" s="82"/>
      <c r="BH589" s="214"/>
      <c r="BI589" s="214"/>
      <c r="BJ589" s="214"/>
      <c r="BK589" s="214"/>
      <c r="BL589" s="214"/>
      <c r="BM589" s="214"/>
      <c r="BN589" s="214"/>
      <c r="BO589" s="214"/>
      <c r="BP589" s="214"/>
      <c r="BQ589" s="214"/>
      <c r="BR589" s="214"/>
      <c r="BS589" s="214"/>
      <c r="BT589" s="214"/>
      <c r="BU589" s="214"/>
      <c r="BV589" s="214"/>
      <c r="BW589" s="214"/>
      <c r="BX589" s="214"/>
      <c r="BY589" s="214"/>
      <c r="BZ589" s="214"/>
      <c r="CA589" s="214"/>
      <c r="CB589" s="214"/>
      <c r="CC589" s="214"/>
      <c r="CD589" s="214"/>
      <c r="CE589" s="214"/>
      <c r="CF589" s="214"/>
      <c r="CG589" s="214"/>
      <c r="CH589" s="214"/>
      <c r="CI589" s="214"/>
      <c r="CJ589" s="214"/>
      <c r="CK589" s="214"/>
      <c r="CL589" s="214"/>
      <c r="CM589" s="214"/>
      <c r="CN589" s="214"/>
      <c r="CO589" s="214"/>
      <c r="CP589" s="214"/>
      <c r="CQ589" s="214"/>
      <c r="CR589" s="214"/>
      <c r="CS589" s="214"/>
      <c r="CT589" s="214"/>
      <c r="CU589" s="214"/>
      <c r="CV589" s="214"/>
      <c r="CW589" s="214"/>
      <c r="CX589" s="214"/>
      <c r="CY589" s="214"/>
      <c r="CZ589" s="214"/>
      <c r="DA589" s="214"/>
      <c r="DB589" s="214"/>
      <c r="DC589" s="214"/>
      <c r="DD589" s="214"/>
      <c r="DE589" s="214"/>
      <c r="DF589" s="214"/>
      <c r="DG589" s="82"/>
    </row>
    <row r="590" spans="2:111" ht="9" customHeight="1">
      <c r="B590" s="215"/>
      <c r="C590" s="215"/>
      <c r="D590" s="215"/>
      <c r="E590" s="215"/>
      <c r="F590" s="215"/>
      <c r="G590" s="215"/>
      <c r="H590" s="215"/>
      <c r="I590" s="215"/>
      <c r="J590" s="215"/>
      <c r="K590" s="215"/>
      <c r="L590" s="215"/>
      <c r="M590" s="215"/>
      <c r="N590" s="7"/>
      <c r="O590" s="219"/>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1"/>
      <c r="BC590" s="82"/>
      <c r="BD590" s="82"/>
      <c r="BE590" s="82"/>
      <c r="BF590" s="82"/>
      <c r="BG590" s="82"/>
      <c r="BH590" s="214"/>
      <c r="BI590" s="214"/>
      <c r="BJ590" s="214"/>
      <c r="BK590" s="214"/>
      <c r="BL590" s="214"/>
      <c r="BM590" s="214"/>
      <c r="BN590" s="214"/>
      <c r="BO590" s="214"/>
      <c r="BP590" s="214"/>
      <c r="BQ590" s="214"/>
      <c r="BR590" s="214"/>
      <c r="BS590" s="214"/>
      <c r="BT590" s="214"/>
      <c r="BU590" s="214"/>
      <c r="BV590" s="214"/>
      <c r="BW590" s="214"/>
      <c r="BX590" s="214"/>
      <c r="BY590" s="214"/>
      <c r="BZ590" s="214"/>
      <c r="CA590" s="214"/>
      <c r="CB590" s="214"/>
      <c r="CC590" s="214"/>
      <c r="CD590" s="214"/>
      <c r="CE590" s="214"/>
      <c r="CF590" s="214"/>
      <c r="CG590" s="214"/>
      <c r="CH590" s="214"/>
      <c r="CI590" s="214"/>
      <c r="CJ590" s="214"/>
      <c r="CK590" s="214"/>
      <c r="CL590" s="214"/>
      <c r="CM590" s="214"/>
      <c r="CN590" s="214"/>
      <c r="CO590" s="214"/>
      <c r="CP590" s="214"/>
      <c r="CQ590" s="214"/>
      <c r="CR590" s="214"/>
      <c r="CS590" s="214"/>
      <c r="CT590" s="214"/>
      <c r="CU590" s="214"/>
      <c r="CV590" s="214"/>
      <c r="CW590" s="214"/>
      <c r="CX590" s="214"/>
      <c r="CY590" s="214"/>
      <c r="CZ590" s="214"/>
      <c r="DA590" s="214"/>
      <c r="DB590" s="214"/>
      <c r="DC590" s="214"/>
      <c r="DD590" s="214"/>
      <c r="DE590" s="214"/>
      <c r="DF590" s="214"/>
      <c r="DG590" s="82"/>
    </row>
    <row r="591" spans="2:111" ht="9" customHeight="1">
      <c r="B591" s="215"/>
      <c r="C591" s="215"/>
      <c r="D591" s="215"/>
      <c r="E591" s="215"/>
      <c r="F591" s="215"/>
      <c r="G591" s="215"/>
      <c r="H591" s="215"/>
      <c r="I591" s="215"/>
      <c r="J591" s="215"/>
      <c r="K591" s="215"/>
      <c r="L591" s="215"/>
      <c r="M591" s="215"/>
      <c r="N591" s="7"/>
      <c r="O591" s="219"/>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1"/>
      <c r="BC591" s="82"/>
      <c r="BD591" s="82"/>
      <c r="BE591" s="82"/>
      <c r="BF591" s="82"/>
      <c r="BG591" s="82"/>
      <c r="BH591" s="214"/>
      <c r="BI591" s="214"/>
      <c r="BJ591" s="214"/>
      <c r="BK591" s="214"/>
      <c r="BL591" s="214"/>
      <c r="BM591" s="214"/>
      <c r="BN591" s="214"/>
      <c r="BO591" s="214"/>
      <c r="BP591" s="214"/>
      <c r="BQ591" s="214"/>
      <c r="BR591" s="214"/>
      <c r="BS591" s="214"/>
      <c r="BT591" s="214"/>
      <c r="BU591" s="214"/>
      <c r="BV591" s="214"/>
      <c r="BW591" s="214"/>
      <c r="BX591" s="214"/>
      <c r="BY591" s="214"/>
      <c r="BZ591" s="214"/>
      <c r="CA591" s="214"/>
      <c r="CB591" s="214"/>
      <c r="CC591" s="214"/>
      <c r="CD591" s="214"/>
      <c r="CE591" s="214"/>
      <c r="CF591" s="214"/>
      <c r="CG591" s="214"/>
      <c r="CH591" s="214"/>
      <c r="CI591" s="214"/>
      <c r="CJ591" s="214"/>
      <c r="CK591" s="214"/>
      <c r="CL591" s="214"/>
      <c r="CM591" s="214"/>
      <c r="CN591" s="214"/>
      <c r="CO591" s="214"/>
      <c r="CP591" s="214"/>
      <c r="CQ591" s="214"/>
      <c r="CR591" s="214"/>
      <c r="CS591" s="214"/>
      <c r="CT591" s="214"/>
      <c r="CU591" s="214"/>
      <c r="CV591" s="214"/>
      <c r="CW591" s="214"/>
      <c r="CX591" s="214"/>
      <c r="CY591" s="214"/>
      <c r="CZ591" s="214"/>
      <c r="DA591" s="214"/>
      <c r="DB591" s="214"/>
      <c r="DC591" s="214"/>
      <c r="DD591" s="214"/>
      <c r="DE591" s="214"/>
      <c r="DF591" s="214"/>
      <c r="DG591" s="82"/>
    </row>
    <row r="592" spans="2:111" ht="9" customHeight="1">
      <c r="B592" s="8"/>
      <c r="C592" s="8"/>
      <c r="D592" s="8"/>
      <c r="E592" s="8"/>
      <c r="F592" s="8"/>
      <c r="G592" s="8"/>
      <c r="H592" s="8"/>
      <c r="I592" s="8"/>
      <c r="J592" s="8"/>
      <c r="K592" s="8"/>
      <c r="L592" s="8"/>
      <c r="M592" s="8"/>
      <c r="N592" s="7"/>
      <c r="O592" s="219"/>
      <c r="P592" s="220"/>
      <c r="Q592" s="220"/>
      <c r="R592" s="220"/>
      <c r="S592" s="220"/>
      <c r="T592" s="220"/>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1"/>
      <c r="BC592" s="82"/>
      <c r="BD592" s="82"/>
      <c r="BE592" s="82"/>
      <c r="BF592" s="82"/>
      <c r="BG592" s="82"/>
      <c r="BH592" s="214"/>
      <c r="BI592" s="214"/>
      <c r="BJ592" s="214"/>
      <c r="BK592" s="214"/>
      <c r="BL592" s="214"/>
      <c r="BM592" s="214"/>
      <c r="BN592" s="214"/>
      <c r="BO592" s="214"/>
      <c r="BP592" s="214"/>
      <c r="BQ592" s="214"/>
      <c r="BR592" s="214"/>
      <c r="BS592" s="214"/>
      <c r="BT592" s="214"/>
      <c r="BU592" s="214"/>
      <c r="BV592" s="214"/>
      <c r="BW592" s="214"/>
      <c r="BX592" s="214"/>
      <c r="BY592" s="214"/>
      <c r="BZ592" s="214"/>
      <c r="CA592" s="214"/>
      <c r="CB592" s="214"/>
      <c r="CC592" s="214"/>
      <c r="CD592" s="214"/>
      <c r="CE592" s="214"/>
      <c r="CF592" s="214"/>
      <c r="CG592" s="214"/>
      <c r="CH592" s="214"/>
      <c r="CI592" s="214"/>
      <c r="CJ592" s="214"/>
      <c r="CK592" s="214"/>
      <c r="CL592" s="214"/>
      <c r="CM592" s="214"/>
      <c r="CN592" s="214"/>
      <c r="CO592" s="214"/>
      <c r="CP592" s="214"/>
      <c r="CQ592" s="214"/>
      <c r="CR592" s="214"/>
      <c r="CS592" s="214"/>
      <c r="CT592" s="214"/>
      <c r="CU592" s="214"/>
      <c r="CV592" s="214"/>
      <c r="CW592" s="214"/>
      <c r="CX592" s="214"/>
      <c r="CY592" s="214"/>
      <c r="CZ592" s="214"/>
      <c r="DA592" s="214"/>
      <c r="DB592" s="214"/>
      <c r="DC592" s="214"/>
      <c r="DD592" s="214"/>
      <c r="DE592" s="214"/>
      <c r="DF592" s="214"/>
      <c r="DG592" s="82"/>
    </row>
    <row r="593" spans="2:111" ht="9" customHeight="1">
      <c r="B593" s="7"/>
      <c r="C593" s="7"/>
      <c r="D593" s="7"/>
      <c r="E593" s="7"/>
      <c r="F593" s="7"/>
      <c r="G593" s="7"/>
      <c r="H593" s="7"/>
      <c r="I593" s="7"/>
      <c r="J593" s="7"/>
      <c r="K593" s="7"/>
      <c r="L593" s="7"/>
      <c r="M593" s="7"/>
      <c r="N593" s="7"/>
      <c r="O593" s="219"/>
      <c r="P593" s="220"/>
      <c r="Q593" s="220"/>
      <c r="R593" s="220"/>
      <c r="S593" s="220"/>
      <c r="T593" s="220"/>
      <c r="U593" s="220"/>
      <c r="V593" s="220"/>
      <c r="W593" s="220"/>
      <c r="X593" s="220"/>
      <c r="Y593" s="220"/>
      <c r="Z593" s="220"/>
      <c r="AA593" s="220"/>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1"/>
      <c r="BC593" s="82"/>
      <c r="BD593" s="82"/>
      <c r="BE593" s="82"/>
      <c r="BF593" s="82"/>
      <c r="BG593" s="82"/>
      <c r="BH593" s="82"/>
      <c r="BI593" s="82"/>
      <c r="BJ593" s="82"/>
      <c r="BK593" s="82"/>
      <c r="BL593" s="82"/>
      <c r="BM593" s="82"/>
      <c r="BN593" s="82"/>
      <c r="BO593" s="82"/>
      <c r="BP593" s="82"/>
      <c r="BQ593" s="82"/>
      <c r="BR593" s="82"/>
      <c r="BS593" s="82"/>
      <c r="BT593" s="82"/>
      <c r="BU593" s="82"/>
      <c r="BV593" s="82"/>
      <c r="BW593" s="82"/>
      <c r="BX593" s="82"/>
      <c r="BY593" s="82"/>
      <c r="BZ593" s="82"/>
      <c r="CA593" s="82"/>
      <c r="CB593" s="82"/>
      <c r="CC593" s="82"/>
      <c r="CD593" s="82"/>
      <c r="CE593" s="82"/>
      <c r="CF593" s="82"/>
      <c r="CG593" s="82"/>
      <c r="CH593" s="82"/>
      <c r="CI593" s="82"/>
      <c r="CJ593" s="82"/>
      <c r="CK593" s="82"/>
      <c r="CL593" s="82"/>
      <c r="CM593" s="82"/>
      <c r="CN593" s="82"/>
      <c r="CO593" s="82"/>
      <c r="CP593" s="82"/>
      <c r="CQ593" s="82"/>
      <c r="CR593" s="82"/>
      <c r="CS593" s="82"/>
      <c r="CT593" s="82"/>
      <c r="CU593" s="82"/>
      <c r="CV593" s="82"/>
      <c r="CW593" s="82"/>
      <c r="CX593" s="82"/>
      <c r="CY593" s="82"/>
      <c r="CZ593" s="82"/>
      <c r="DA593" s="82"/>
      <c r="DB593" s="82"/>
      <c r="DC593" s="82"/>
      <c r="DD593" s="82"/>
      <c r="DE593" s="82"/>
      <c r="DF593" s="82"/>
      <c r="DG593" s="82"/>
    </row>
    <row r="594" spans="2:111" ht="9" customHeight="1">
      <c r="B594" s="7"/>
      <c r="C594" s="7"/>
      <c r="D594" s="7"/>
      <c r="E594" s="7"/>
      <c r="F594" s="7"/>
      <c r="G594" s="7"/>
      <c r="H594" s="7"/>
      <c r="I594" s="7"/>
      <c r="J594" s="7"/>
      <c r="K594" s="7"/>
      <c r="L594" s="7"/>
      <c r="M594" s="7"/>
      <c r="N594" s="7"/>
      <c r="O594" s="219"/>
      <c r="P594" s="220"/>
      <c r="Q594" s="220"/>
      <c r="R594" s="220"/>
      <c r="S594" s="220"/>
      <c r="T594" s="220"/>
      <c r="U594" s="220"/>
      <c r="V594" s="220"/>
      <c r="W594" s="220"/>
      <c r="X594" s="220"/>
      <c r="Y594" s="220"/>
      <c r="Z594" s="220"/>
      <c r="AA594" s="220"/>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1"/>
      <c r="BC594" s="82"/>
      <c r="BD594" s="82"/>
      <c r="BE594" s="82"/>
      <c r="BF594" s="82"/>
      <c r="BG594" s="82"/>
      <c r="BH594" s="82"/>
      <c r="BI594" s="82"/>
      <c r="BJ594" s="82"/>
      <c r="BK594" s="82"/>
      <c r="BL594" s="82"/>
      <c r="BM594" s="82"/>
      <c r="BN594" s="82"/>
      <c r="BO594" s="82"/>
      <c r="BP594" s="82"/>
      <c r="BQ594" s="82"/>
      <c r="BR594" s="82"/>
      <c r="BS594" s="82"/>
      <c r="BT594" s="82"/>
      <c r="BU594" s="82"/>
      <c r="BV594" s="82"/>
      <c r="BW594" s="82"/>
      <c r="BX594" s="82"/>
      <c r="BY594" s="82"/>
      <c r="BZ594" s="82"/>
      <c r="CA594" s="82"/>
      <c r="CB594" s="82"/>
      <c r="CC594" s="82"/>
      <c r="CD594" s="82"/>
      <c r="CE594" s="82"/>
      <c r="CF594" s="82"/>
      <c r="CG594" s="82"/>
      <c r="CH594" s="82"/>
      <c r="CI594" s="82"/>
      <c r="CJ594" s="82"/>
      <c r="CK594" s="82"/>
      <c r="CL594" s="82"/>
      <c r="CM594" s="82"/>
      <c r="CN594" s="82"/>
      <c r="CO594" s="82"/>
      <c r="CP594" s="82"/>
      <c r="CQ594" s="82"/>
      <c r="CR594" s="82"/>
      <c r="CS594" s="82"/>
      <c r="CT594" s="82"/>
      <c r="CU594" s="82"/>
      <c r="CV594" s="82"/>
      <c r="CW594" s="82"/>
      <c r="CX594" s="82"/>
      <c r="CY594" s="82"/>
      <c r="CZ594" s="82"/>
      <c r="DA594" s="82"/>
      <c r="DB594" s="82"/>
      <c r="DC594" s="82"/>
      <c r="DD594" s="82"/>
      <c r="DE594" s="82"/>
      <c r="DF594" s="82"/>
      <c r="DG594" s="82"/>
    </row>
    <row r="595" spans="2:111" ht="9" customHeight="1">
      <c r="O595" s="219"/>
      <c r="P595" s="220"/>
      <c r="Q595" s="220"/>
      <c r="R595" s="220"/>
      <c r="S595" s="220"/>
      <c r="T595" s="220"/>
      <c r="U595" s="220"/>
      <c r="V595" s="220"/>
      <c r="W595" s="220"/>
      <c r="X595" s="220"/>
      <c r="Y595" s="220"/>
      <c r="Z595" s="220"/>
      <c r="AA595" s="220"/>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1"/>
      <c r="BC595" s="82"/>
      <c r="BD595" s="82"/>
      <c r="BE595" s="82"/>
      <c r="BF595" s="82"/>
      <c r="BG595" s="82"/>
      <c r="BH595" s="82"/>
      <c r="BI595" s="82"/>
      <c r="BJ595" s="82"/>
      <c r="BK595" s="82"/>
      <c r="BL595" s="82"/>
      <c r="BM595" s="82"/>
      <c r="BN595" s="82"/>
      <c r="BO595" s="82"/>
      <c r="BP595" s="82"/>
      <c r="BQ595" s="82"/>
      <c r="BR595" s="82"/>
      <c r="BS595" s="82"/>
      <c r="BT595" s="82"/>
      <c r="BU595" s="82"/>
      <c r="BV595" s="82"/>
      <c r="BW595" s="82"/>
      <c r="BX595" s="82"/>
      <c r="BY595" s="82"/>
      <c r="BZ595" s="82"/>
      <c r="CA595" s="82"/>
      <c r="CB595" s="82"/>
      <c r="CC595" s="82"/>
      <c r="CD595" s="82"/>
      <c r="CE595" s="82"/>
      <c r="CF595" s="82"/>
      <c r="CG595" s="82"/>
      <c r="CH595" s="82"/>
      <c r="CI595" s="82"/>
      <c r="CJ595" s="82"/>
      <c r="CK595" s="82"/>
      <c r="CL595" s="82"/>
      <c r="CM595" s="82"/>
      <c r="CN595" s="82"/>
      <c r="CO595" s="82"/>
      <c r="CP595" s="82"/>
      <c r="CQ595" s="82"/>
      <c r="CR595" s="82"/>
      <c r="CS595" s="82"/>
      <c r="CT595" s="82"/>
      <c r="CU595" s="82"/>
      <c r="CV595" s="82"/>
      <c r="CW595" s="82"/>
      <c r="CX595" s="82"/>
      <c r="CY595" s="82"/>
      <c r="CZ595" s="82"/>
      <c r="DA595" s="82"/>
      <c r="DB595" s="82"/>
      <c r="DC595" s="82"/>
      <c r="DD595" s="82"/>
      <c r="DE595" s="82"/>
      <c r="DF595" s="82"/>
      <c r="DG595" s="82"/>
    </row>
    <row r="596" spans="2:111" ht="9" customHeight="1">
      <c r="O596" s="219"/>
      <c r="P596" s="220"/>
      <c r="Q596" s="220"/>
      <c r="R596" s="220"/>
      <c r="S596" s="220"/>
      <c r="T596" s="220"/>
      <c r="U596" s="220"/>
      <c r="V596" s="220"/>
      <c r="W596" s="220"/>
      <c r="X596" s="220"/>
      <c r="Y596" s="220"/>
      <c r="Z596" s="220"/>
      <c r="AA596" s="220"/>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1"/>
      <c r="BC596" s="82"/>
      <c r="BD596" s="82"/>
      <c r="BE596" s="82"/>
      <c r="BF596" s="82"/>
      <c r="BG596" s="82"/>
      <c r="BH596" s="82"/>
      <c r="BI596" s="82"/>
      <c r="BJ596" s="82"/>
      <c r="BK596" s="82"/>
      <c r="BL596" s="82"/>
      <c r="BM596" s="82"/>
      <c r="BN596" s="82"/>
      <c r="BO596" s="82"/>
      <c r="BP596" s="82"/>
      <c r="BQ596" s="82"/>
      <c r="BR596" s="82"/>
      <c r="BS596" s="82"/>
      <c r="BT596" s="82"/>
      <c r="BU596" s="82"/>
      <c r="BV596" s="82"/>
      <c r="BW596" s="82"/>
      <c r="BX596" s="82"/>
      <c r="BY596" s="82"/>
      <c r="BZ596" s="82"/>
      <c r="CA596" s="82"/>
      <c r="CB596" s="82"/>
      <c r="CC596" s="82"/>
      <c r="CD596" s="82"/>
      <c r="CE596" s="82"/>
      <c r="CF596" s="82"/>
      <c r="CG596" s="82"/>
      <c r="CH596" s="82"/>
      <c r="CI596" s="82"/>
      <c r="CJ596" s="82"/>
      <c r="CK596" s="82"/>
      <c r="CL596" s="82"/>
      <c r="CM596" s="82"/>
      <c r="CN596" s="82"/>
      <c r="CO596" s="82"/>
      <c r="CP596" s="82"/>
      <c r="CQ596" s="82"/>
      <c r="CR596" s="82"/>
      <c r="CS596" s="82"/>
      <c r="CT596" s="82"/>
      <c r="CU596" s="82"/>
      <c r="CV596" s="82"/>
      <c r="CW596" s="82"/>
      <c r="CX596" s="82"/>
      <c r="CY596" s="82"/>
      <c r="CZ596" s="82"/>
      <c r="DA596" s="82"/>
      <c r="DB596" s="82"/>
      <c r="DC596" s="82"/>
      <c r="DD596" s="82"/>
      <c r="DE596" s="82"/>
      <c r="DF596" s="82"/>
      <c r="DG596" s="82"/>
    </row>
    <row r="597" spans="2:111" ht="9" customHeight="1">
      <c r="O597" s="219"/>
      <c r="P597" s="220"/>
      <c r="Q597" s="220"/>
      <c r="R597" s="220"/>
      <c r="S597" s="220"/>
      <c r="T597" s="220"/>
      <c r="U597" s="220"/>
      <c r="V597" s="220"/>
      <c r="W597" s="220"/>
      <c r="X597" s="220"/>
      <c r="Y597" s="220"/>
      <c r="Z597" s="220"/>
      <c r="AA597" s="220"/>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1"/>
      <c r="BC597" s="82"/>
      <c r="BD597" s="82"/>
      <c r="BE597" s="82"/>
      <c r="BF597" s="82"/>
      <c r="BG597" s="82"/>
      <c r="BH597" s="82"/>
      <c r="BI597" s="82"/>
      <c r="BJ597" s="82"/>
      <c r="BK597" s="82"/>
      <c r="BL597" s="82"/>
      <c r="BM597" s="82"/>
      <c r="BN597" s="82"/>
      <c r="BO597" s="82"/>
      <c r="BP597" s="82"/>
      <c r="BQ597" s="82"/>
      <c r="BR597" s="82"/>
      <c r="BS597" s="82"/>
      <c r="BT597" s="82"/>
      <c r="BU597" s="82"/>
      <c r="BV597" s="82"/>
      <c r="BW597" s="82"/>
      <c r="BX597" s="82"/>
      <c r="BY597" s="82"/>
      <c r="BZ597" s="82"/>
      <c r="CA597" s="82"/>
      <c r="CB597" s="82"/>
      <c r="CC597" s="82"/>
      <c r="CD597" s="82"/>
      <c r="CE597" s="82"/>
      <c r="CF597" s="82"/>
      <c r="CG597" s="82"/>
      <c r="CH597" s="82"/>
      <c r="CI597" s="82"/>
      <c r="CJ597" s="82"/>
      <c r="CK597" s="82"/>
      <c r="CL597" s="82"/>
      <c r="CM597" s="82"/>
      <c r="CN597" s="82"/>
      <c r="CO597" s="82"/>
      <c r="CP597" s="82"/>
      <c r="CQ597" s="82"/>
      <c r="CR597" s="82"/>
      <c r="CS597" s="82"/>
      <c r="CT597" s="82"/>
      <c r="CU597" s="82"/>
      <c r="CV597" s="82"/>
      <c r="CW597" s="82"/>
      <c r="CX597" s="82"/>
      <c r="CY597" s="82"/>
      <c r="CZ597" s="82"/>
      <c r="DA597" s="82"/>
      <c r="DB597" s="82"/>
      <c r="DC597" s="82"/>
      <c r="DD597" s="82"/>
      <c r="DE597" s="82"/>
      <c r="DF597" s="82"/>
      <c r="DG597" s="82"/>
    </row>
    <row r="598" spans="2:111" ht="9" customHeight="1">
      <c r="O598" s="222"/>
      <c r="P598" s="223"/>
      <c r="Q598" s="223"/>
      <c r="R598" s="223"/>
      <c r="S598" s="223"/>
      <c r="T598" s="223"/>
      <c r="U598" s="223"/>
      <c r="V598" s="223"/>
      <c r="W598" s="223"/>
      <c r="X598" s="223"/>
      <c r="Y598" s="223"/>
      <c r="Z598" s="223"/>
      <c r="AA598" s="223"/>
      <c r="AB598" s="223"/>
      <c r="AC598" s="223"/>
      <c r="AD598" s="223"/>
      <c r="AE598" s="223"/>
      <c r="AF598" s="223"/>
      <c r="AG598" s="223"/>
      <c r="AH598" s="223"/>
      <c r="AI598" s="223"/>
      <c r="AJ598" s="223"/>
      <c r="AK598" s="223"/>
      <c r="AL598" s="223"/>
      <c r="AM598" s="223"/>
      <c r="AN598" s="223"/>
      <c r="AO598" s="223"/>
      <c r="AP598" s="223"/>
      <c r="AQ598" s="223"/>
      <c r="AR598" s="223"/>
      <c r="AS598" s="223"/>
      <c r="AT598" s="223"/>
      <c r="AU598" s="223"/>
      <c r="AV598" s="223"/>
      <c r="AW598" s="223"/>
      <c r="AX598" s="223"/>
      <c r="AY598" s="223"/>
      <c r="AZ598" s="223"/>
      <c r="BA598" s="224"/>
      <c r="BC598" s="82"/>
      <c r="BD598" s="82"/>
      <c r="BE598" s="82"/>
      <c r="BF598" s="82"/>
      <c r="BG598" s="82"/>
      <c r="BH598" s="82"/>
      <c r="BI598" s="82"/>
      <c r="BJ598" s="82"/>
      <c r="BK598" s="82"/>
      <c r="BL598" s="82"/>
      <c r="BM598" s="82"/>
      <c r="BN598" s="82"/>
      <c r="BO598" s="82"/>
      <c r="BP598" s="82"/>
      <c r="BQ598" s="82"/>
      <c r="BR598" s="82"/>
      <c r="BS598" s="82"/>
      <c r="BT598" s="82"/>
      <c r="BU598" s="82"/>
      <c r="BV598" s="82"/>
      <c r="BW598" s="82"/>
      <c r="BX598" s="82"/>
      <c r="BY598" s="82"/>
      <c r="BZ598" s="82"/>
      <c r="CA598" s="82"/>
      <c r="CB598" s="82"/>
      <c r="CC598" s="82"/>
      <c r="CD598" s="82"/>
      <c r="CE598" s="82"/>
      <c r="CF598" s="82"/>
      <c r="CG598" s="82"/>
      <c r="CH598" s="82"/>
      <c r="CI598" s="82"/>
      <c r="CJ598" s="82"/>
      <c r="CK598" s="82"/>
      <c r="CL598" s="82"/>
      <c r="CM598" s="82"/>
      <c r="CN598" s="82"/>
      <c r="CO598" s="82"/>
      <c r="CP598" s="82"/>
      <c r="CQ598" s="82"/>
      <c r="CR598" s="82"/>
      <c r="CS598" s="82"/>
      <c r="CT598" s="82"/>
      <c r="CU598" s="82"/>
      <c r="CV598" s="82"/>
      <c r="CW598" s="82"/>
      <c r="CX598" s="82"/>
      <c r="CY598" s="82"/>
      <c r="CZ598" s="82"/>
      <c r="DA598" s="82"/>
      <c r="DB598" s="82"/>
      <c r="DC598" s="82"/>
      <c r="DD598" s="82"/>
      <c r="DE598" s="82"/>
      <c r="DF598" s="82"/>
      <c r="DG598" s="82"/>
    </row>
    <row r="599" spans="2:111" ht="9" customHeight="1">
      <c r="BC599" s="82"/>
      <c r="BD599" s="82"/>
      <c r="BE599" s="82"/>
      <c r="BF599" s="82"/>
      <c r="BG599" s="82"/>
      <c r="BH599" s="82"/>
      <c r="BI599" s="82"/>
      <c r="BJ599" s="82"/>
      <c r="BK599" s="82"/>
      <c r="BL599" s="82"/>
      <c r="BM599" s="82"/>
      <c r="BN599" s="82"/>
      <c r="BO599" s="82"/>
      <c r="BP599" s="82"/>
      <c r="BQ599" s="82"/>
      <c r="BR599" s="82"/>
      <c r="BS599" s="82"/>
      <c r="BT599" s="82"/>
      <c r="BU599" s="82"/>
      <c r="BV599" s="82"/>
      <c r="BW599" s="82"/>
      <c r="BX599" s="82"/>
      <c r="BY599" s="82"/>
      <c r="BZ599" s="82"/>
      <c r="CA599" s="82"/>
      <c r="CB599" s="82"/>
      <c r="CC599" s="82"/>
      <c r="CD599" s="82"/>
      <c r="CE599" s="82"/>
      <c r="CF599" s="82"/>
      <c r="CG599" s="82"/>
      <c r="CH599" s="82"/>
      <c r="CI599" s="82"/>
      <c r="CJ599" s="82"/>
      <c r="CK599" s="82"/>
      <c r="CL599" s="82"/>
      <c r="CM599" s="82"/>
      <c r="CN599" s="82"/>
      <c r="CO599" s="82"/>
      <c r="CP599" s="82"/>
      <c r="CQ599" s="82"/>
      <c r="CR599" s="82"/>
      <c r="CS599" s="82"/>
      <c r="CT599" s="82"/>
      <c r="CU599" s="82"/>
      <c r="CV599" s="82"/>
      <c r="CW599" s="82"/>
      <c r="CX599" s="82"/>
      <c r="CY599" s="82"/>
      <c r="CZ599" s="82"/>
      <c r="DA599" s="82"/>
      <c r="DB599" s="82"/>
      <c r="DC599" s="82"/>
      <c r="DD599" s="82"/>
      <c r="DE599" s="82"/>
      <c r="DF599" s="82"/>
      <c r="DG599" s="82"/>
    </row>
    <row r="600" spans="2:111" ht="9" customHeight="1">
      <c r="BC600" s="82"/>
      <c r="BD600" s="82"/>
      <c r="BE600" s="82"/>
      <c r="BF600" s="82"/>
      <c r="BG600" s="82"/>
      <c r="BH600" s="82"/>
      <c r="BI600" s="82"/>
      <c r="BJ600" s="82"/>
      <c r="BK600" s="82"/>
      <c r="BL600" s="82"/>
      <c r="BM600" s="82"/>
      <c r="BN600" s="82"/>
      <c r="BO600" s="82"/>
      <c r="BP600" s="82"/>
      <c r="BQ600" s="82"/>
      <c r="BR600" s="82"/>
      <c r="BS600" s="82"/>
      <c r="BT600" s="82"/>
      <c r="BU600" s="82"/>
      <c r="BV600" s="82"/>
      <c r="BW600" s="82"/>
      <c r="BX600" s="82"/>
      <c r="BY600" s="82"/>
      <c r="BZ600" s="82"/>
      <c r="CA600" s="82"/>
      <c r="CB600" s="82"/>
      <c r="CC600" s="82"/>
      <c r="CD600" s="82"/>
      <c r="CE600" s="82"/>
      <c r="CF600" s="82"/>
      <c r="CG600" s="82"/>
      <c r="CH600" s="82"/>
      <c r="CI600" s="82"/>
      <c r="CJ600" s="82"/>
      <c r="CK600" s="82"/>
      <c r="CL600" s="82"/>
      <c r="CM600" s="82"/>
      <c r="CN600" s="82"/>
      <c r="CO600" s="82"/>
      <c r="CP600" s="82"/>
      <c r="CQ600" s="82"/>
      <c r="CR600" s="82"/>
      <c r="CS600" s="82"/>
      <c r="CT600" s="82"/>
      <c r="CU600" s="82"/>
      <c r="CV600" s="82"/>
      <c r="CW600" s="82"/>
      <c r="CX600" s="82"/>
      <c r="CY600" s="82"/>
      <c r="CZ600" s="82"/>
      <c r="DA600" s="82"/>
      <c r="DB600" s="82"/>
      <c r="DC600" s="82"/>
      <c r="DD600" s="82"/>
      <c r="DE600" s="82"/>
      <c r="DF600" s="82"/>
      <c r="DG600" s="82"/>
    </row>
    <row r="601" spans="2:111" ht="9" customHeight="1">
      <c r="BC601" s="82"/>
      <c r="BD601" s="82"/>
      <c r="BE601" s="82"/>
      <c r="BF601" s="82"/>
      <c r="BG601" s="82"/>
      <c r="BH601" s="82"/>
      <c r="BI601" s="82"/>
      <c r="BJ601" s="82"/>
      <c r="BK601" s="82"/>
      <c r="BL601" s="82"/>
      <c r="BM601" s="82"/>
      <c r="BN601" s="82"/>
      <c r="BO601" s="82"/>
      <c r="BP601" s="82"/>
      <c r="BQ601" s="82"/>
      <c r="BR601" s="82"/>
      <c r="BS601" s="82"/>
      <c r="BT601" s="82"/>
      <c r="BU601" s="82"/>
      <c r="BV601" s="82"/>
      <c r="BW601" s="82"/>
      <c r="BX601" s="82"/>
      <c r="BY601" s="82"/>
      <c r="BZ601" s="82"/>
      <c r="CA601" s="82"/>
      <c r="CB601" s="82"/>
      <c r="CC601" s="82"/>
      <c r="CD601" s="82"/>
      <c r="CE601" s="82"/>
      <c r="CF601" s="82"/>
      <c r="CG601" s="82"/>
      <c r="CH601" s="82"/>
      <c r="CI601" s="82"/>
      <c r="CJ601" s="82"/>
      <c r="CK601" s="82"/>
      <c r="CL601" s="82"/>
      <c r="CM601" s="82"/>
      <c r="CN601" s="82"/>
      <c r="CO601" s="82"/>
      <c r="CP601" s="82"/>
      <c r="CQ601" s="82"/>
      <c r="CR601" s="82"/>
      <c r="CS601" s="82"/>
      <c r="CT601" s="82"/>
      <c r="CU601" s="82"/>
      <c r="CV601" s="82"/>
      <c r="CW601" s="82"/>
      <c r="CX601" s="82"/>
      <c r="CY601" s="82"/>
      <c r="CZ601" s="82"/>
      <c r="DA601" s="82"/>
      <c r="DB601" s="82"/>
      <c r="DC601" s="82"/>
      <c r="DD601" s="82"/>
      <c r="DE601" s="82"/>
      <c r="DF601" s="82"/>
      <c r="DG601" s="82"/>
    </row>
    <row r="602" spans="2:111" ht="9" customHeight="1">
      <c r="BC602" s="82"/>
      <c r="BD602" s="82"/>
      <c r="BE602" s="82"/>
      <c r="BF602" s="82"/>
      <c r="BG602" s="82"/>
      <c r="BH602" s="82"/>
      <c r="BI602" s="82"/>
      <c r="BJ602" s="82"/>
      <c r="BK602" s="82"/>
      <c r="BL602" s="82"/>
      <c r="BM602" s="82"/>
      <c r="BN602" s="82"/>
      <c r="BO602" s="82"/>
      <c r="BP602" s="82"/>
      <c r="BQ602" s="82"/>
      <c r="BR602" s="82"/>
      <c r="BS602" s="82"/>
      <c r="BT602" s="82"/>
      <c r="BU602" s="82"/>
      <c r="BV602" s="82"/>
      <c r="BW602" s="82"/>
      <c r="BX602" s="82"/>
      <c r="BY602" s="82"/>
      <c r="BZ602" s="82"/>
      <c r="CA602" s="82"/>
      <c r="CB602" s="82"/>
      <c r="CC602" s="82"/>
      <c r="CD602" s="82"/>
      <c r="CE602" s="82"/>
      <c r="CF602" s="82"/>
      <c r="CG602" s="82"/>
      <c r="CH602" s="82"/>
      <c r="CI602" s="82"/>
      <c r="CJ602" s="82"/>
      <c r="CK602" s="82"/>
      <c r="CL602" s="82"/>
      <c r="CM602" s="82"/>
      <c r="CN602" s="82"/>
      <c r="CO602" s="82"/>
      <c r="CP602" s="82"/>
      <c r="CQ602" s="82"/>
      <c r="CR602" s="82"/>
      <c r="CS602" s="82"/>
      <c r="CT602" s="82"/>
      <c r="CU602" s="82"/>
      <c r="CV602" s="82"/>
      <c r="CW602" s="82"/>
      <c r="CX602" s="82"/>
      <c r="CY602" s="82"/>
      <c r="CZ602" s="82"/>
      <c r="DA602" s="82"/>
      <c r="DB602" s="82"/>
      <c r="DC602" s="82"/>
      <c r="DD602" s="82"/>
      <c r="DE602" s="82"/>
      <c r="DF602" s="82"/>
      <c r="DG602" s="82"/>
    </row>
    <row r="603" spans="2:111" ht="9" customHeight="1">
      <c r="BC603" s="82"/>
      <c r="BD603" s="82"/>
      <c r="BE603" s="82"/>
      <c r="BF603" s="82"/>
      <c r="BG603" s="82"/>
      <c r="BH603" s="82"/>
      <c r="BI603" s="82"/>
      <c r="BJ603" s="82"/>
      <c r="BK603" s="82"/>
      <c r="BL603" s="82"/>
      <c r="BM603" s="82"/>
      <c r="BN603" s="82"/>
      <c r="BO603" s="82"/>
      <c r="BP603" s="82"/>
      <c r="BQ603" s="82"/>
      <c r="BR603" s="82"/>
      <c r="BS603" s="82"/>
      <c r="BT603" s="82"/>
      <c r="BU603" s="82"/>
      <c r="BV603" s="82"/>
      <c r="BW603" s="82"/>
      <c r="BX603" s="82"/>
      <c r="BY603" s="82"/>
      <c r="BZ603" s="82"/>
      <c r="CA603" s="82"/>
      <c r="CB603" s="82"/>
      <c r="CC603" s="82"/>
      <c r="CD603" s="82"/>
      <c r="CE603" s="82"/>
      <c r="CF603" s="82"/>
      <c r="CG603" s="82"/>
      <c r="CH603" s="82"/>
      <c r="CI603" s="82"/>
      <c r="CJ603" s="82"/>
      <c r="CK603" s="82"/>
      <c r="CL603" s="82"/>
      <c r="CM603" s="82"/>
      <c r="CN603" s="82"/>
      <c r="CO603" s="82"/>
      <c r="CP603" s="82"/>
      <c r="CQ603" s="82"/>
      <c r="CR603" s="82"/>
      <c r="CS603" s="82"/>
      <c r="CT603" s="82"/>
      <c r="CU603" s="82"/>
      <c r="CV603" s="82"/>
      <c r="CW603" s="82"/>
      <c r="CX603" s="82"/>
      <c r="CY603" s="82"/>
      <c r="CZ603" s="82"/>
      <c r="DA603" s="82"/>
      <c r="DB603" s="82"/>
      <c r="DC603" s="82"/>
      <c r="DD603" s="82"/>
      <c r="DE603" s="82"/>
      <c r="DF603" s="82"/>
      <c r="DG603" s="82"/>
    </row>
    <row r="604" spans="2:111" ht="9" customHeight="1" thickBot="1">
      <c r="BC604" s="82"/>
      <c r="BD604" s="82"/>
      <c r="BE604" s="82"/>
      <c r="BF604" s="82"/>
      <c r="BG604" s="82"/>
      <c r="BH604" s="82"/>
      <c r="BI604" s="82"/>
      <c r="BJ604" s="82"/>
      <c r="BK604" s="82"/>
      <c r="BL604" s="82"/>
      <c r="BM604" s="82"/>
      <c r="BN604" s="82"/>
      <c r="BO604" s="82"/>
      <c r="BP604" s="82"/>
      <c r="BQ604" s="82"/>
      <c r="BR604" s="82"/>
      <c r="BS604" s="82"/>
      <c r="BT604" s="82"/>
      <c r="BU604" s="82"/>
      <c r="BV604" s="82"/>
      <c r="BW604" s="82"/>
      <c r="BX604" s="82"/>
      <c r="BY604" s="82"/>
      <c r="BZ604" s="82"/>
      <c r="CA604" s="82"/>
      <c r="CB604" s="82"/>
      <c r="CC604" s="82"/>
      <c r="CD604" s="82"/>
      <c r="CE604" s="82"/>
      <c r="CF604" s="82"/>
      <c r="CG604" s="82"/>
      <c r="CH604" s="82"/>
      <c r="CI604" s="82"/>
      <c r="CJ604" s="82"/>
      <c r="CK604" s="82"/>
      <c r="CL604" s="82"/>
      <c r="CM604" s="82"/>
      <c r="CN604" s="82"/>
      <c r="CO604" s="82"/>
      <c r="CP604" s="82"/>
      <c r="CQ604" s="82"/>
      <c r="CR604" s="82"/>
      <c r="CS604" s="82"/>
      <c r="CT604" s="82"/>
      <c r="CU604" s="82"/>
      <c r="CV604" s="82"/>
      <c r="CW604" s="82"/>
      <c r="CX604" s="82"/>
      <c r="CY604" s="82"/>
      <c r="CZ604" s="82"/>
      <c r="DA604" s="82"/>
      <c r="DB604" s="82"/>
      <c r="DC604" s="82"/>
      <c r="DD604" s="82"/>
      <c r="DE604" s="82"/>
      <c r="DF604" s="82"/>
      <c r="DG604" s="82"/>
    </row>
    <row r="605" spans="2:111" ht="9" customHeight="1">
      <c r="B605" s="245" t="s">
        <v>279</v>
      </c>
      <c r="C605" s="245"/>
      <c r="D605" s="245"/>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c r="AA605" s="245"/>
      <c r="AB605" s="245"/>
      <c r="AC605" s="245"/>
      <c r="AD605" s="245"/>
      <c r="AE605" s="245"/>
      <c r="AF605" s="245"/>
      <c r="AG605" s="245"/>
      <c r="AH605" s="245"/>
      <c r="AI605" s="245"/>
      <c r="AJ605" s="245"/>
      <c r="AK605" s="245"/>
      <c r="AL605" s="245"/>
      <c r="AM605" s="245"/>
      <c r="AN605" s="245"/>
      <c r="AO605" s="245"/>
      <c r="AP605" s="245"/>
      <c r="AQ605" s="245"/>
      <c r="AR605" s="245"/>
      <c r="AS605" s="245"/>
      <c r="AT605" s="245"/>
      <c r="AU605" s="245"/>
      <c r="AV605" s="245"/>
      <c r="AW605" s="245"/>
      <c r="AX605" s="245"/>
      <c r="AY605" s="245"/>
      <c r="AZ605" s="245"/>
      <c r="BA605" s="246"/>
      <c r="BC605" s="82"/>
      <c r="BD605" s="82"/>
      <c r="BE605" s="82"/>
      <c r="BF605" s="82"/>
      <c r="BG605" s="82"/>
      <c r="BH605" s="82"/>
      <c r="BI605" s="82"/>
      <c r="BJ605" s="82"/>
      <c r="BK605" s="82"/>
      <c r="BL605" s="82"/>
      <c r="BM605" s="82"/>
      <c r="BN605" s="82"/>
      <c r="BO605" s="82"/>
      <c r="BP605" s="82"/>
      <c r="BQ605" s="82"/>
      <c r="BR605" s="82"/>
      <c r="BS605" s="82"/>
      <c r="BT605" s="82"/>
      <c r="BU605" s="82"/>
      <c r="BV605" s="82"/>
      <c r="BW605" s="82"/>
      <c r="BX605" s="82"/>
      <c r="BY605" s="82"/>
      <c r="BZ605" s="82"/>
      <c r="CA605" s="82"/>
      <c r="CB605" s="82"/>
      <c r="CC605" s="82"/>
      <c r="CD605" s="82"/>
      <c r="CE605" s="82"/>
      <c r="CF605" s="82"/>
      <c r="CG605" s="82"/>
      <c r="CH605" s="82"/>
      <c r="CI605" s="82"/>
      <c r="CJ605" s="82"/>
      <c r="CK605" s="82"/>
      <c r="CL605" s="82"/>
      <c r="CM605" s="82"/>
      <c r="CN605" s="82"/>
      <c r="CO605" s="82"/>
      <c r="CP605" s="82"/>
      <c r="CQ605" s="82"/>
      <c r="CR605" s="82"/>
      <c r="CS605" s="82"/>
      <c r="CT605" s="82"/>
      <c r="CU605" s="82"/>
      <c r="CV605" s="82"/>
      <c r="CW605" s="82"/>
      <c r="CX605" s="82"/>
      <c r="CY605" s="82"/>
      <c r="CZ605" s="82"/>
      <c r="DA605" s="82"/>
      <c r="DB605" s="82"/>
      <c r="DC605" s="82"/>
      <c r="DD605" s="82"/>
      <c r="DE605" s="82"/>
      <c r="DF605" s="82"/>
      <c r="DG605" s="82"/>
    </row>
    <row r="606" spans="2:111" ht="9" customHeight="1">
      <c r="B606" s="247"/>
      <c r="C606" s="247"/>
      <c r="D606" s="247"/>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7"/>
      <c r="AM606" s="247"/>
      <c r="AN606" s="247"/>
      <c r="AO606" s="247"/>
      <c r="AP606" s="247"/>
      <c r="AQ606" s="247"/>
      <c r="AR606" s="247"/>
      <c r="AS606" s="247"/>
      <c r="AT606" s="247"/>
      <c r="AU606" s="247"/>
      <c r="AV606" s="247"/>
      <c r="AW606" s="247"/>
      <c r="AX606" s="247"/>
      <c r="AY606" s="247"/>
      <c r="AZ606" s="247"/>
      <c r="BA606" s="248"/>
      <c r="BC606" s="82"/>
      <c r="BD606" s="82"/>
      <c r="BE606" s="82"/>
      <c r="BF606" s="82"/>
      <c r="BG606" s="82"/>
      <c r="BH606" s="82"/>
      <c r="BI606" s="82"/>
      <c r="BJ606" s="82"/>
      <c r="BK606" s="82"/>
      <c r="BL606" s="82"/>
      <c r="BM606" s="82"/>
      <c r="BN606" s="82"/>
      <c r="BO606" s="82"/>
      <c r="BP606" s="82"/>
      <c r="BQ606" s="82"/>
      <c r="BR606" s="82"/>
      <c r="BS606" s="82"/>
      <c r="BT606" s="82"/>
      <c r="BU606" s="82"/>
      <c r="BV606" s="82"/>
      <c r="BW606" s="82"/>
      <c r="BX606" s="82"/>
      <c r="BY606" s="82"/>
      <c r="BZ606" s="82"/>
      <c r="CA606" s="82"/>
      <c r="CB606" s="82"/>
      <c r="CC606" s="82"/>
      <c r="CD606" s="82"/>
      <c r="CE606" s="82"/>
      <c r="CF606" s="82"/>
      <c r="CG606" s="82"/>
      <c r="CH606" s="82"/>
      <c r="CI606" s="82"/>
      <c r="CJ606" s="82"/>
      <c r="CK606" s="82"/>
      <c r="CL606" s="82"/>
      <c r="CM606" s="82"/>
      <c r="CN606" s="82"/>
      <c r="CO606" s="82"/>
      <c r="CP606" s="82"/>
      <c r="CQ606" s="82"/>
      <c r="CR606" s="82"/>
      <c r="CS606" s="82"/>
      <c r="CT606" s="82"/>
      <c r="CU606" s="82"/>
      <c r="CV606" s="82"/>
      <c r="CW606" s="82"/>
      <c r="CX606" s="82"/>
      <c r="CY606" s="82"/>
      <c r="CZ606" s="82"/>
      <c r="DA606" s="82"/>
      <c r="DB606" s="82"/>
      <c r="DC606" s="82"/>
      <c r="DD606" s="82"/>
      <c r="DE606" s="82"/>
      <c r="DF606" s="82"/>
      <c r="DG606" s="82"/>
    </row>
    <row r="607" spans="2:111" ht="9" customHeight="1">
      <c r="B607" s="249"/>
      <c r="C607" s="249"/>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49"/>
      <c r="AA607" s="249"/>
      <c r="AB607" s="249"/>
      <c r="AC607" s="249"/>
      <c r="AD607" s="249"/>
      <c r="AE607" s="249"/>
      <c r="AF607" s="249"/>
      <c r="AG607" s="249"/>
      <c r="AH607" s="249"/>
      <c r="AI607" s="249"/>
      <c r="AJ607" s="249"/>
      <c r="AK607" s="249"/>
      <c r="AL607" s="249"/>
      <c r="AM607" s="249"/>
      <c r="AN607" s="249"/>
      <c r="AO607" s="249"/>
      <c r="AP607" s="249"/>
      <c r="AQ607" s="249"/>
      <c r="AR607" s="249"/>
      <c r="AS607" s="249"/>
      <c r="AT607" s="249"/>
      <c r="AU607" s="249"/>
      <c r="AV607" s="249"/>
      <c r="AW607" s="249"/>
      <c r="AX607" s="249"/>
      <c r="AY607" s="249"/>
      <c r="AZ607" s="249"/>
      <c r="BA607" s="250"/>
      <c r="BC607" s="82"/>
      <c r="BD607" s="82"/>
      <c r="BE607" s="82"/>
      <c r="BF607" s="82"/>
      <c r="BG607" s="82"/>
      <c r="BH607" s="82"/>
      <c r="BI607" s="82"/>
      <c r="BJ607" s="82"/>
      <c r="BK607" s="82"/>
      <c r="BL607" s="82"/>
      <c r="BM607" s="82"/>
      <c r="BN607" s="82"/>
      <c r="BO607" s="82"/>
      <c r="BP607" s="82"/>
      <c r="BQ607" s="82"/>
      <c r="BR607" s="82"/>
      <c r="BS607" s="82"/>
      <c r="BT607" s="82"/>
      <c r="BU607" s="82"/>
      <c r="BV607" s="82"/>
      <c r="BW607" s="82"/>
      <c r="BX607" s="82"/>
      <c r="BY607" s="82"/>
      <c r="BZ607" s="82"/>
      <c r="CA607" s="82"/>
      <c r="CB607" s="82"/>
      <c r="CC607" s="82"/>
      <c r="CD607" s="82"/>
      <c r="CE607" s="82"/>
      <c r="CF607" s="82"/>
      <c r="CG607" s="82"/>
      <c r="CH607" s="82"/>
      <c r="CI607" s="82"/>
      <c r="CJ607" s="82"/>
      <c r="CK607" s="82"/>
      <c r="CL607" s="82"/>
      <c r="CM607" s="82"/>
      <c r="CN607" s="82"/>
      <c r="CO607" s="82"/>
      <c r="CP607" s="82"/>
      <c r="CQ607" s="82"/>
      <c r="CR607" s="82"/>
      <c r="CS607" s="82"/>
      <c r="CT607" s="82"/>
      <c r="CU607" s="82"/>
      <c r="CV607" s="82"/>
      <c r="CW607" s="82"/>
      <c r="CX607" s="82"/>
      <c r="CY607" s="82"/>
      <c r="CZ607" s="82"/>
      <c r="DA607" s="82"/>
      <c r="DB607" s="82"/>
      <c r="DC607" s="82"/>
      <c r="DD607" s="82"/>
      <c r="DE607" s="82"/>
      <c r="DF607" s="82"/>
      <c r="DG607" s="82"/>
    </row>
    <row r="608" spans="2:111" ht="9" customHeight="1">
      <c r="BC608" s="82"/>
      <c r="BD608" s="82"/>
      <c r="BE608" s="82"/>
      <c r="BF608" s="82"/>
      <c r="BG608" s="82"/>
      <c r="BH608" s="82"/>
      <c r="BI608" s="82"/>
      <c r="BJ608" s="82"/>
      <c r="BK608" s="82"/>
      <c r="BL608" s="82"/>
      <c r="BM608" s="82"/>
      <c r="BN608" s="82"/>
      <c r="BO608" s="82"/>
      <c r="BP608" s="82"/>
      <c r="BQ608" s="82"/>
      <c r="BR608" s="82"/>
      <c r="BS608" s="82"/>
      <c r="BT608" s="82"/>
      <c r="BU608" s="82"/>
      <c r="BV608" s="82"/>
      <c r="BW608" s="82"/>
      <c r="BX608" s="82"/>
      <c r="BY608" s="82"/>
      <c r="BZ608" s="82"/>
      <c r="CA608" s="82"/>
      <c r="CB608" s="82"/>
      <c r="CC608" s="82"/>
      <c r="CD608" s="82"/>
      <c r="CE608" s="82"/>
      <c r="CF608" s="82"/>
      <c r="CG608" s="82"/>
      <c r="CH608" s="82"/>
      <c r="CI608" s="82"/>
      <c r="CJ608" s="82"/>
      <c r="CK608" s="82"/>
      <c r="CL608" s="82"/>
      <c r="CM608" s="82"/>
      <c r="CN608" s="82"/>
      <c r="CO608" s="82"/>
      <c r="CP608" s="82"/>
      <c r="CQ608" s="82"/>
      <c r="CR608" s="82"/>
      <c r="CS608" s="82"/>
      <c r="CT608" s="82"/>
      <c r="CU608" s="82"/>
      <c r="CV608" s="82"/>
      <c r="CW608" s="82"/>
      <c r="CX608" s="82"/>
      <c r="CY608" s="82"/>
      <c r="CZ608" s="82"/>
      <c r="DA608" s="82"/>
      <c r="DB608" s="82"/>
      <c r="DC608" s="82"/>
      <c r="DD608" s="82"/>
      <c r="DE608" s="82"/>
      <c r="DF608" s="82"/>
      <c r="DG608" s="82"/>
    </row>
    <row r="609" spans="2:111" ht="9" customHeight="1">
      <c r="B609" s="289" t="s">
        <v>268</v>
      </c>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c r="AC609" s="289"/>
      <c r="AD609" s="289"/>
      <c r="AE609" s="289"/>
      <c r="AF609" s="289"/>
      <c r="AG609" s="289"/>
      <c r="AH609" s="289"/>
      <c r="AI609" s="289"/>
      <c r="AJ609" s="289"/>
      <c r="AK609" s="289"/>
      <c r="AL609" s="289"/>
      <c r="AM609" s="289"/>
      <c r="AN609" s="289"/>
      <c r="AO609" s="289"/>
      <c r="AP609" s="289"/>
      <c r="AQ609" s="289"/>
      <c r="AR609" s="289"/>
      <c r="AS609" s="289"/>
      <c r="AT609" s="289"/>
      <c r="AU609" s="289"/>
      <c r="AV609" s="289"/>
      <c r="AW609" s="289"/>
      <c r="AX609" s="289"/>
      <c r="AY609" s="289"/>
      <c r="AZ609" s="289"/>
      <c r="BA609" s="290"/>
      <c r="BC609" s="82"/>
      <c r="BD609" s="82"/>
      <c r="BE609" s="82"/>
      <c r="BF609" s="82"/>
      <c r="BG609" s="82"/>
      <c r="BH609" s="214" t="s">
        <v>305</v>
      </c>
      <c r="BI609" s="214"/>
      <c r="BJ609" s="214"/>
      <c r="BK609" s="214"/>
      <c r="BL609" s="214"/>
      <c r="BM609" s="214"/>
      <c r="BN609" s="214"/>
      <c r="BO609" s="214"/>
      <c r="BP609" s="214"/>
      <c r="BQ609" s="214"/>
      <c r="BR609" s="214"/>
      <c r="BS609" s="214"/>
      <c r="BT609" s="214"/>
      <c r="BU609" s="214"/>
      <c r="BV609" s="214"/>
      <c r="BW609" s="214"/>
      <c r="BX609" s="214"/>
      <c r="BY609" s="214"/>
      <c r="BZ609" s="214"/>
      <c r="CA609" s="214"/>
      <c r="CB609" s="214"/>
      <c r="CC609" s="214"/>
      <c r="CD609" s="214"/>
      <c r="CE609" s="214"/>
      <c r="CF609" s="214"/>
      <c r="CG609" s="214"/>
      <c r="CH609" s="214"/>
      <c r="CI609" s="214"/>
      <c r="CJ609" s="214"/>
      <c r="CK609" s="214"/>
      <c r="CL609" s="214"/>
      <c r="CM609" s="214"/>
      <c r="CN609" s="214"/>
      <c r="CO609" s="214"/>
      <c r="CP609" s="214"/>
      <c r="CQ609" s="214"/>
      <c r="CR609" s="214"/>
      <c r="CS609" s="214"/>
      <c r="CT609" s="214"/>
      <c r="CU609" s="214"/>
      <c r="CV609" s="214"/>
      <c r="CW609" s="214"/>
      <c r="CX609" s="214"/>
      <c r="CY609" s="214"/>
      <c r="CZ609" s="214"/>
      <c r="DA609" s="214"/>
      <c r="DB609" s="214"/>
      <c r="DC609" s="214"/>
      <c r="DD609" s="214"/>
      <c r="DE609" s="214"/>
      <c r="DF609" s="214"/>
      <c r="DG609" s="82"/>
    </row>
    <row r="610" spans="2:111" ht="9" customHeight="1">
      <c r="B610" s="291"/>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c r="AF610" s="291"/>
      <c r="AG610" s="291"/>
      <c r="AH610" s="291"/>
      <c r="AI610" s="291"/>
      <c r="AJ610" s="291"/>
      <c r="AK610" s="291"/>
      <c r="AL610" s="291"/>
      <c r="AM610" s="291"/>
      <c r="AN610" s="291"/>
      <c r="AO610" s="291"/>
      <c r="AP610" s="291"/>
      <c r="AQ610" s="291"/>
      <c r="AR610" s="291"/>
      <c r="AS610" s="291"/>
      <c r="AT610" s="291"/>
      <c r="AU610" s="291"/>
      <c r="AV610" s="291"/>
      <c r="AW610" s="291"/>
      <c r="AX610" s="291"/>
      <c r="AY610" s="291"/>
      <c r="AZ610" s="291"/>
      <c r="BA610" s="292"/>
      <c r="BC610" s="82"/>
      <c r="BD610" s="82"/>
      <c r="BE610" s="82"/>
      <c r="BF610" s="82"/>
      <c r="BG610" s="82"/>
      <c r="BH610" s="214"/>
      <c r="BI610" s="214"/>
      <c r="BJ610" s="214"/>
      <c r="BK610" s="214"/>
      <c r="BL610" s="214"/>
      <c r="BM610" s="214"/>
      <c r="BN610" s="214"/>
      <c r="BO610" s="214"/>
      <c r="BP610" s="214"/>
      <c r="BQ610" s="214"/>
      <c r="BR610" s="214"/>
      <c r="BS610" s="214"/>
      <c r="BT610" s="214"/>
      <c r="BU610" s="214"/>
      <c r="BV610" s="214"/>
      <c r="BW610" s="214"/>
      <c r="BX610" s="214"/>
      <c r="BY610" s="214"/>
      <c r="BZ610" s="214"/>
      <c r="CA610" s="214"/>
      <c r="CB610" s="214"/>
      <c r="CC610" s="214"/>
      <c r="CD610" s="214"/>
      <c r="CE610" s="214"/>
      <c r="CF610" s="214"/>
      <c r="CG610" s="214"/>
      <c r="CH610" s="214"/>
      <c r="CI610" s="214"/>
      <c r="CJ610" s="214"/>
      <c r="CK610" s="214"/>
      <c r="CL610" s="214"/>
      <c r="CM610" s="214"/>
      <c r="CN610" s="214"/>
      <c r="CO610" s="214"/>
      <c r="CP610" s="214"/>
      <c r="CQ610" s="214"/>
      <c r="CR610" s="214"/>
      <c r="CS610" s="214"/>
      <c r="CT610" s="214"/>
      <c r="CU610" s="214"/>
      <c r="CV610" s="214"/>
      <c r="CW610" s="214"/>
      <c r="CX610" s="214"/>
      <c r="CY610" s="214"/>
      <c r="CZ610" s="214"/>
      <c r="DA610" s="214"/>
      <c r="DB610" s="214"/>
      <c r="DC610" s="214"/>
      <c r="DD610" s="214"/>
      <c r="DE610" s="214"/>
      <c r="DF610" s="214"/>
      <c r="DG610" s="82"/>
    </row>
    <row r="611" spans="2:111" ht="9" customHeight="1">
      <c r="BC611" s="82"/>
      <c r="BD611" s="82"/>
      <c r="BE611" s="82"/>
      <c r="BF611" s="82"/>
      <c r="BG611" s="82"/>
      <c r="BH611" s="214"/>
      <c r="BI611" s="214"/>
      <c r="BJ611" s="214"/>
      <c r="BK611" s="214"/>
      <c r="BL611" s="214"/>
      <c r="BM611" s="214"/>
      <c r="BN611" s="214"/>
      <c r="BO611" s="214"/>
      <c r="BP611" s="214"/>
      <c r="BQ611" s="214"/>
      <c r="BR611" s="214"/>
      <c r="BS611" s="214"/>
      <c r="BT611" s="214"/>
      <c r="BU611" s="214"/>
      <c r="BV611" s="214"/>
      <c r="BW611" s="214"/>
      <c r="BX611" s="214"/>
      <c r="BY611" s="214"/>
      <c r="BZ611" s="214"/>
      <c r="CA611" s="214"/>
      <c r="CB611" s="214"/>
      <c r="CC611" s="214"/>
      <c r="CD611" s="214"/>
      <c r="CE611" s="214"/>
      <c r="CF611" s="214"/>
      <c r="CG611" s="214"/>
      <c r="CH611" s="214"/>
      <c r="CI611" s="214"/>
      <c r="CJ611" s="214"/>
      <c r="CK611" s="214"/>
      <c r="CL611" s="214"/>
      <c r="CM611" s="214"/>
      <c r="CN611" s="214"/>
      <c r="CO611" s="214"/>
      <c r="CP611" s="214"/>
      <c r="CQ611" s="214"/>
      <c r="CR611" s="214"/>
      <c r="CS611" s="214"/>
      <c r="CT611" s="214"/>
      <c r="CU611" s="214"/>
      <c r="CV611" s="214"/>
      <c r="CW611" s="214"/>
      <c r="CX611" s="214"/>
      <c r="CY611" s="214"/>
      <c r="CZ611" s="214"/>
      <c r="DA611" s="214"/>
      <c r="DB611" s="214"/>
      <c r="DC611" s="214"/>
      <c r="DD611" s="214"/>
      <c r="DE611" s="214"/>
      <c r="DF611" s="214"/>
      <c r="DG611" s="82"/>
    </row>
    <row r="612" spans="2:111" ht="9" customHeight="1">
      <c r="B612" s="392" t="s">
        <v>377</v>
      </c>
      <c r="C612" s="392"/>
      <c r="D612" s="392"/>
      <c r="E612" s="392"/>
      <c r="F612" s="392"/>
      <c r="G612" s="392"/>
      <c r="H612" s="392"/>
      <c r="I612" s="392"/>
      <c r="J612" s="392"/>
      <c r="K612" s="392"/>
      <c r="L612" s="392"/>
      <c r="M612" s="392"/>
      <c r="N612" s="392"/>
      <c r="O612" s="392"/>
      <c r="P612" s="392"/>
      <c r="Q612" s="392"/>
      <c r="R612" s="392"/>
      <c r="S612" s="392"/>
      <c r="T612" s="392"/>
      <c r="U612" s="392"/>
      <c r="V612" s="392"/>
      <c r="W612" s="392"/>
      <c r="X612" s="392"/>
      <c r="Y612" s="392"/>
      <c r="Z612" s="392"/>
      <c r="AA612" s="392"/>
      <c r="AB612" s="392"/>
      <c r="AC612" s="392"/>
      <c r="AD612" s="392"/>
      <c r="AE612" s="392"/>
      <c r="AF612" s="392"/>
      <c r="AG612" s="392"/>
      <c r="AH612" s="392"/>
      <c r="AI612" s="392"/>
      <c r="AJ612" s="392"/>
      <c r="AK612" s="392"/>
      <c r="AL612" s="392"/>
      <c r="AM612" s="392"/>
      <c r="AN612" s="392"/>
      <c r="AO612" s="392"/>
      <c r="AP612" s="392"/>
      <c r="AQ612" s="392"/>
      <c r="AR612" s="392"/>
      <c r="AS612" s="392"/>
      <c r="AT612" s="392"/>
      <c r="AU612" s="392"/>
      <c r="AV612" s="392"/>
      <c r="AW612" s="392"/>
      <c r="AX612" s="392"/>
      <c r="AY612" s="392"/>
      <c r="AZ612" s="392"/>
      <c r="BA612" s="392"/>
      <c r="BC612" s="82"/>
      <c r="BD612" s="82"/>
      <c r="BE612" s="82"/>
      <c r="BF612" s="82"/>
      <c r="BG612" s="82"/>
      <c r="BH612" s="214"/>
      <c r="BI612" s="214"/>
      <c r="BJ612" s="214"/>
      <c r="BK612" s="214"/>
      <c r="BL612" s="214"/>
      <c r="BM612" s="214"/>
      <c r="BN612" s="214"/>
      <c r="BO612" s="214"/>
      <c r="BP612" s="214"/>
      <c r="BQ612" s="214"/>
      <c r="BR612" s="214"/>
      <c r="BS612" s="214"/>
      <c r="BT612" s="214"/>
      <c r="BU612" s="214"/>
      <c r="BV612" s="214"/>
      <c r="BW612" s="214"/>
      <c r="BX612" s="214"/>
      <c r="BY612" s="214"/>
      <c r="BZ612" s="214"/>
      <c r="CA612" s="214"/>
      <c r="CB612" s="214"/>
      <c r="CC612" s="214"/>
      <c r="CD612" s="214"/>
      <c r="CE612" s="214"/>
      <c r="CF612" s="214"/>
      <c r="CG612" s="214"/>
      <c r="CH612" s="214"/>
      <c r="CI612" s="214"/>
      <c r="CJ612" s="214"/>
      <c r="CK612" s="214"/>
      <c r="CL612" s="214"/>
      <c r="CM612" s="214"/>
      <c r="CN612" s="214"/>
      <c r="CO612" s="214"/>
      <c r="CP612" s="214"/>
      <c r="CQ612" s="214"/>
      <c r="CR612" s="214"/>
      <c r="CS612" s="214"/>
      <c r="CT612" s="214"/>
      <c r="CU612" s="214"/>
      <c r="CV612" s="214"/>
      <c r="CW612" s="214"/>
      <c r="CX612" s="214"/>
      <c r="CY612" s="214"/>
      <c r="CZ612" s="214"/>
      <c r="DA612" s="214"/>
      <c r="DB612" s="214"/>
      <c r="DC612" s="214"/>
      <c r="DD612" s="214"/>
      <c r="DE612" s="214"/>
      <c r="DF612" s="214"/>
      <c r="DG612" s="82"/>
    </row>
    <row r="613" spans="2:111" ht="9" customHeight="1">
      <c r="B613" s="392"/>
      <c r="C613" s="392"/>
      <c r="D613" s="392"/>
      <c r="E613" s="392"/>
      <c r="F613" s="392"/>
      <c r="G613" s="392"/>
      <c r="H613" s="392"/>
      <c r="I613" s="392"/>
      <c r="J613" s="392"/>
      <c r="K613" s="392"/>
      <c r="L613" s="392"/>
      <c r="M613" s="392"/>
      <c r="N613" s="392"/>
      <c r="O613" s="392"/>
      <c r="P613" s="392"/>
      <c r="Q613" s="392"/>
      <c r="R613" s="392"/>
      <c r="S613" s="392"/>
      <c r="T613" s="392"/>
      <c r="U613" s="392"/>
      <c r="V613" s="392"/>
      <c r="W613" s="392"/>
      <c r="X613" s="392"/>
      <c r="Y613" s="392"/>
      <c r="Z613" s="392"/>
      <c r="AA613" s="392"/>
      <c r="AB613" s="392"/>
      <c r="AC613" s="392"/>
      <c r="AD613" s="392"/>
      <c r="AE613" s="392"/>
      <c r="AF613" s="392"/>
      <c r="AG613" s="392"/>
      <c r="AH613" s="392"/>
      <c r="AI613" s="392"/>
      <c r="AJ613" s="392"/>
      <c r="AK613" s="392"/>
      <c r="AL613" s="392"/>
      <c r="AM613" s="392"/>
      <c r="AN613" s="392"/>
      <c r="AO613" s="392"/>
      <c r="AP613" s="392"/>
      <c r="AQ613" s="392"/>
      <c r="AR613" s="392"/>
      <c r="AS613" s="392"/>
      <c r="AT613" s="392"/>
      <c r="AU613" s="392"/>
      <c r="AV613" s="392"/>
      <c r="AW613" s="392"/>
      <c r="AX613" s="392"/>
      <c r="AY613" s="392"/>
      <c r="AZ613" s="392"/>
      <c r="BA613" s="392"/>
      <c r="BC613" s="82"/>
      <c r="BD613" s="82"/>
      <c r="BE613" s="82"/>
      <c r="BF613" s="82"/>
      <c r="BG613" s="82"/>
      <c r="BH613" s="214"/>
      <c r="BI613" s="214"/>
      <c r="BJ613" s="214"/>
      <c r="BK613" s="214"/>
      <c r="BL613" s="214"/>
      <c r="BM613" s="214"/>
      <c r="BN613" s="214"/>
      <c r="BO613" s="214"/>
      <c r="BP613" s="214"/>
      <c r="BQ613" s="214"/>
      <c r="BR613" s="214"/>
      <c r="BS613" s="214"/>
      <c r="BT613" s="214"/>
      <c r="BU613" s="214"/>
      <c r="BV613" s="214"/>
      <c r="BW613" s="214"/>
      <c r="BX613" s="214"/>
      <c r="BY613" s="214"/>
      <c r="BZ613" s="214"/>
      <c r="CA613" s="214"/>
      <c r="CB613" s="214"/>
      <c r="CC613" s="214"/>
      <c r="CD613" s="214"/>
      <c r="CE613" s="214"/>
      <c r="CF613" s="214"/>
      <c r="CG613" s="214"/>
      <c r="CH613" s="214"/>
      <c r="CI613" s="214"/>
      <c r="CJ613" s="214"/>
      <c r="CK613" s="214"/>
      <c r="CL613" s="214"/>
      <c r="CM613" s="214"/>
      <c r="CN613" s="214"/>
      <c r="CO613" s="214"/>
      <c r="CP613" s="214"/>
      <c r="CQ613" s="214"/>
      <c r="CR613" s="214"/>
      <c r="CS613" s="214"/>
      <c r="CT613" s="214"/>
      <c r="CU613" s="214"/>
      <c r="CV613" s="214"/>
      <c r="CW613" s="214"/>
      <c r="CX613" s="214"/>
      <c r="CY613" s="214"/>
      <c r="CZ613" s="214"/>
      <c r="DA613" s="214"/>
      <c r="DB613" s="214"/>
      <c r="DC613" s="214"/>
      <c r="DD613" s="214"/>
      <c r="DE613" s="214"/>
      <c r="DF613" s="214"/>
      <c r="DG613" s="82"/>
    </row>
    <row r="614" spans="2:111" ht="9" customHeight="1">
      <c r="B614" s="392"/>
      <c r="C614" s="392"/>
      <c r="D614" s="392"/>
      <c r="E614" s="392"/>
      <c r="F614" s="392"/>
      <c r="G614" s="392"/>
      <c r="H614" s="392"/>
      <c r="I614" s="392"/>
      <c r="J614" s="392"/>
      <c r="K614" s="392"/>
      <c r="L614" s="392"/>
      <c r="M614" s="392"/>
      <c r="N614" s="392"/>
      <c r="O614" s="392"/>
      <c r="P614" s="392"/>
      <c r="Q614" s="392"/>
      <c r="R614" s="392"/>
      <c r="S614" s="392"/>
      <c r="T614" s="392"/>
      <c r="U614" s="392"/>
      <c r="V614" s="392"/>
      <c r="W614" s="392"/>
      <c r="X614" s="392"/>
      <c r="Y614" s="392"/>
      <c r="Z614" s="392"/>
      <c r="AA614" s="392"/>
      <c r="AB614" s="392"/>
      <c r="AC614" s="392"/>
      <c r="AD614" s="392"/>
      <c r="AE614" s="392"/>
      <c r="AF614" s="392"/>
      <c r="AG614" s="392"/>
      <c r="AH614" s="392"/>
      <c r="AI614" s="392"/>
      <c r="AJ614" s="392"/>
      <c r="AK614" s="392"/>
      <c r="AL614" s="392"/>
      <c r="AM614" s="392"/>
      <c r="AN614" s="392"/>
      <c r="AO614" s="392"/>
      <c r="AP614" s="392"/>
      <c r="AQ614" s="392"/>
      <c r="AR614" s="392"/>
      <c r="AS614" s="392"/>
      <c r="AT614" s="392"/>
      <c r="AU614" s="392"/>
      <c r="AV614" s="392"/>
      <c r="AW614" s="392"/>
      <c r="AX614" s="392"/>
      <c r="AY614" s="392"/>
      <c r="AZ614" s="392"/>
      <c r="BA614" s="392"/>
      <c r="BC614" s="82"/>
      <c r="BD614" s="82"/>
      <c r="BE614" s="82"/>
      <c r="BF614" s="82"/>
      <c r="BG614" s="82"/>
      <c r="BH614" s="214"/>
      <c r="BI614" s="214"/>
      <c r="BJ614" s="214"/>
      <c r="BK614" s="214"/>
      <c r="BL614" s="214"/>
      <c r="BM614" s="214"/>
      <c r="BN614" s="214"/>
      <c r="BO614" s="214"/>
      <c r="BP614" s="214"/>
      <c r="BQ614" s="214"/>
      <c r="BR614" s="214"/>
      <c r="BS614" s="214"/>
      <c r="BT614" s="214"/>
      <c r="BU614" s="214"/>
      <c r="BV614" s="214"/>
      <c r="BW614" s="214"/>
      <c r="BX614" s="214"/>
      <c r="BY614" s="214"/>
      <c r="BZ614" s="214"/>
      <c r="CA614" s="214"/>
      <c r="CB614" s="214"/>
      <c r="CC614" s="214"/>
      <c r="CD614" s="214"/>
      <c r="CE614" s="214"/>
      <c r="CF614" s="214"/>
      <c r="CG614" s="214"/>
      <c r="CH614" s="214"/>
      <c r="CI614" s="214"/>
      <c r="CJ614" s="214"/>
      <c r="CK614" s="214"/>
      <c r="CL614" s="214"/>
      <c r="CM614" s="214"/>
      <c r="CN614" s="214"/>
      <c r="CO614" s="214"/>
      <c r="CP614" s="214"/>
      <c r="CQ614" s="214"/>
      <c r="CR614" s="214"/>
      <c r="CS614" s="214"/>
      <c r="CT614" s="214"/>
      <c r="CU614" s="214"/>
      <c r="CV614" s="214"/>
      <c r="CW614" s="214"/>
      <c r="CX614" s="214"/>
      <c r="CY614" s="214"/>
      <c r="CZ614" s="214"/>
      <c r="DA614" s="214"/>
      <c r="DB614" s="214"/>
      <c r="DC614" s="214"/>
      <c r="DD614" s="214"/>
      <c r="DE614" s="214"/>
      <c r="DF614" s="214"/>
      <c r="DG614" s="82"/>
    </row>
    <row r="615" spans="2:111" ht="9" customHeight="1">
      <c r="B615" s="392"/>
      <c r="C615" s="392"/>
      <c r="D615" s="392"/>
      <c r="E615" s="392"/>
      <c r="F615" s="392"/>
      <c r="G615" s="392"/>
      <c r="H615" s="392"/>
      <c r="I615" s="392"/>
      <c r="J615" s="392"/>
      <c r="K615" s="392"/>
      <c r="L615" s="392"/>
      <c r="M615" s="392"/>
      <c r="N615" s="392"/>
      <c r="O615" s="392"/>
      <c r="P615" s="392"/>
      <c r="Q615" s="392"/>
      <c r="R615" s="392"/>
      <c r="S615" s="392"/>
      <c r="T615" s="392"/>
      <c r="U615" s="392"/>
      <c r="V615" s="392"/>
      <c r="W615" s="392"/>
      <c r="X615" s="392"/>
      <c r="Y615" s="392"/>
      <c r="Z615" s="392"/>
      <c r="AA615" s="392"/>
      <c r="AB615" s="392"/>
      <c r="AC615" s="392"/>
      <c r="AD615" s="392"/>
      <c r="AE615" s="392"/>
      <c r="AF615" s="392"/>
      <c r="AG615" s="392"/>
      <c r="AH615" s="392"/>
      <c r="AI615" s="392"/>
      <c r="AJ615" s="392"/>
      <c r="AK615" s="392"/>
      <c r="AL615" s="392"/>
      <c r="AM615" s="392"/>
      <c r="AN615" s="392"/>
      <c r="AO615" s="392"/>
      <c r="AP615" s="392"/>
      <c r="AQ615" s="392"/>
      <c r="AR615" s="392"/>
      <c r="AS615" s="392"/>
      <c r="AT615" s="392"/>
      <c r="AU615" s="392"/>
      <c r="AV615" s="392"/>
      <c r="AW615" s="392"/>
      <c r="AX615" s="392"/>
      <c r="AY615" s="392"/>
      <c r="AZ615" s="392"/>
      <c r="BA615" s="392"/>
      <c r="BC615" s="82"/>
      <c r="BD615" s="82"/>
      <c r="BE615" s="82"/>
      <c r="BF615" s="82"/>
      <c r="BG615" s="82"/>
      <c r="BH615" s="214"/>
      <c r="BI615" s="214"/>
      <c r="BJ615" s="214"/>
      <c r="BK615" s="214"/>
      <c r="BL615" s="214"/>
      <c r="BM615" s="214"/>
      <c r="BN615" s="214"/>
      <c r="BO615" s="214"/>
      <c r="BP615" s="214"/>
      <c r="BQ615" s="214"/>
      <c r="BR615" s="214"/>
      <c r="BS615" s="214"/>
      <c r="BT615" s="214"/>
      <c r="BU615" s="214"/>
      <c r="BV615" s="214"/>
      <c r="BW615" s="214"/>
      <c r="BX615" s="214"/>
      <c r="BY615" s="214"/>
      <c r="BZ615" s="214"/>
      <c r="CA615" s="214"/>
      <c r="CB615" s="214"/>
      <c r="CC615" s="214"/>
      <c r="CD615" s="214"/>
      <c r="CE615" s="214"/>
      <c r="CF615" s="214"/>
      <c r="CG615" s="214"/>
      <c r="CH615" s="214"/>
      <c r="CI615" s="214"/>
      <c r="CJ615" s="214"/>
      <c r="CK615" s="214"/>
      <c r="CL615" s="214"/>
      <c r="CM615" s="214"/>
      <c r="CN615" s="214"/>
      <c r="CO615" s="214"/>
      <c r="CP615" s="214"/>
      <c r="CQ615" s="214"/>
      <c r="CR615" s="214"/>
      <c r="CS615" s="214"/>
      <c r="CT615" s="214"/>
      <c r="CU615" s="214"/>
      <c r="CV615" s="214"/>
      <c r="CW615" s="214"/>
      <c r="CX615" s="214"/>
      <c r="CY615" s="214"/>
      <c r="CZ615" s="214"/>
      <c r="DA615" s="214"/>
      <c r="DB615" s="214"/>
      <c r="DC615" s="214"/>
      <c r="DD615" s="214"/>
      <c r="DE615" s="214"/>
      <c r="DF615" s="214"/>
      <c r="DG615" s="82"/>
    </row>
    <row r="616" spans="2:111" ht="9" customHeight="1">
      <c r="B616" s="392"/>
      <c r="C616" s="392"/>
      <c r="D616" s="392"/>
      <c r="E616" s="392"/>
      <c r="F616" s="392"/>
      <c r="G616" s="392"/>
      <c r="H616" s="392"/>
      <c r="I616" s="392"/>
      <c r="J616" s="392"/>
      <c r="K616" s="392"/>
      <c r="L616" s="392"/>
      <c r="M616" s="392"/>
      <c r="N616" s="392"/>
      <c r="O616" s="392"/>
      <c r="P616" s="392"/>
      <c r="Q616" s="392"/>
      <c r="R616" s="392"/>
      <c r="S616" s="392"/>
      <c r="T616" s="392"/>
      <c r="U616" s="392"/>
      <c r="V616" s="392"/>
      <c r="W616" s="392"/>
      <c r="X616" s="392"/>
      <c r="Y616" s="392"/>
      <c r="Z616" s="392"/>
      <c r="AA616" s="392"/>
      <c r="AB616" s="392"/>
      <c r="AC616" s="392"/>
      <c r="AD616" s="392"/>
      <c r="AE616" s="392"/>
      <c r="AF616" s="392"/>
      <c r="AG616" s="392"/>
      <c r="AH616" s="392"/>
      <c r="AI616" s="392"/>
      <c r="AJ616" s="392"/>
      <c r="AK616" s="392"/>
      <c r="AL616" s="392"/>
      <c r="AM616" s="392"/>
      <c r="AN616" s="392"/>
      <c r="AO616" s="392"/>
      <c r="AP616" s="392"/>
      <c r="AQ616" s="392"/>
      <c r="AR616" s="392"/>
      <c r="AS616" s="392"/>
      <c r="AT616" s="392"/>
      <c r="AU616" s="392"/>
      <c r="AV616" s="392"/>
      <c r="AW616" s="392"/>
      <c r="AX616" s="392"/>
      <c r="AY616" s="392"/>
      <c r="AZ616" s="392"/>
      <c r="BA616" s="392"/>
      <c r="BC616" s="82"/>
      <c r="BD616" s="82"/>
      <c r="BE616" s="82"/>
      <c r="BF616" s="82"/>
      <c r="BG616" s="82"/>
      <c r="BH616" s="214"/>
      <c r="BI616" s="214"/>
      <c r="BJ616" s="214"/>
      <c r="BK616" s="214"/>
      <c r="BL616" s="214"/>
      <c r="BM616" s="214"/>
      <c r="BN616" s="214"/>
      <c r="BO616" s="214"/>
      <c r="BP616" s="214"/>
      <c r="BQ616" s="214"/>
      <c r="BR616" s="214"/>
      <c r="BS616" s="214"/>
      <c r="BT616" s="214"/>
      <c r="BU616" s="214"/>
      <c r="BV616" s="214"/>
      <c r="BW616" s="214"/>
      <c r="BX616" s="214"/>
      <c r="BY616" s="214"/>
      <c r="BZ616" s="214"/>
      <c r="CA616" s="214"/>
      <c r="CB616" s="214"/>
      <c r="CC616" s="214"/>
      <c r="CD616" s="214"/>
      <c r="CE616" s="214"/>
      <c r="CF616" s="214"/>
      <c r="CG616" s="214"/>
      <c r="CH616" s="214"/>
      <c r="CI616" s="214"/>
      <c r="CJ616" s="214"/>
      <c r="CK616" s="214"/>
      <c r="CL616" s="214"/>
      <c r="CM616" s="214"/>
      <c r="CN616" s="214"/>
      <c r="CO616" s="214"/>
      <c r="CP616" s="214"/>
      <c r="CQ616" s="214"/>
      <c r="CR616" s="214"/>
      <c r="CS616" s="214"/>
      <c r="CT616" s="214"/>
      <c r="CU616" s="214"/>
      <c r="CV616" s="214"/>
      <c r="CW616" s="214"/>
      <c r="CX616" s="214"/>
      <c r="CY616" s="214"/>
      <c r="CZ616" s="214"/>
      <c r="DA616" s="214"/>
      <c r="DB616" s="214"/>
      <c r="DC616" s="214"/>
      <c r="DD616" s="214"/>
      <c r="DE616" s="214"/>
      <c r="DF616" s="214"/>
      <c r="DG616" s="82"/>
    </row>
    <row r="617" spans="2:111" ht="9" customHeight="1">
      <c r="B617" s="392"/>
      <c r="C617" s="392"/>
      <c r="D617" s="392"/>
      <c r="E617" s="392"/>
      <c r="F617" s="392"/>
      <c r="G617" s="392"/>
      <c r="H617" s="392"/>
      <c r="I617" s="392"/>
      <c r="J617" s="392"/>
      <c r="K617" s="392"/>
      <c r="L617" s="392"/>
      <c r="M617" s="392"/>
      <c r="N617" s="392"/>
      <c r="O617" s="392"/>
      <c r="P617" s="392"/>
      <c r="Q617" s="392"/>
      <c r="R617" s="392"/>
      <c r="S617" s="392"/>
      <c r="T617" s="392"/>
      <c r="U617" s="392"/>
      <c r="V617" s="392"/>
      <c r="W617" s="392"/>
      <c r="X617" s="392"/>
      <c r="Y617" s="392"/>
      <c r="Z617" s="392"/>
      <c r="AA617" s="392"/>
      <c r="AB617" s="392"/>
      <c r="AC617" s="392"/>
      <c r="AD617" s="392"/>
      <c r="AE617" s="392"/>
      <c r="AF617" s="392"/>
      <c r="AG617" s="392"/>
      <c r="AH617" s="392"/>
      <c r="AI617" s="392"/>
      <c r="AJ617" s="392"/>
      <c r="AK617" s="392"/>
      <c r="AL617" s="392"/>
      <c r="AM617" s="392"/>
      <c r="AN617" s="392"/>
      <c r="AO617" s="392"/>
      <c r="AP617" s="392"/>
      <c r="AQ617" s="392"/>
      <c r="AR617" s="392"/>
      <c r="AS617" s="392"/>
      <c r="AT617" s="392"/>
      <c r="AU617" s="392"/>
      <c r="AV617" s="392"/>
      <c r="AW617" s="392"/>
      <c r="AX617" s="392"/>
      <c r="AY617" s="392"/>
      <c r="AZ617" s="392"/>
      <c r="BA617" s="392"/>
      <c r="BC617" s="82"/>
      <c r="BD617" s="82"/>
      <c r="BE617" s="82"/>
      <c r="BF617" s="82"/>
      <c r="BG617" s="82"/>
      <c r="BH617" s="214"/>
      <c r="BI617" s="214"/>
      <c r="BJ617" s="214"/>
      <c r="BK617" s="214"/>
      <c r="BL617" s="214"/>
      <c r="BM617" s="214"/>
      <c r="BN617" s="214"/>
      <c r="BO617" s="214"/>
      <c r="BP617" s="214"/>
      <c r="BQ617" s="214"/>
      <c r="BR617" s="214"/>
      <c r="BS617" s="214"/>
      <c r="BT617" s="214"/>
      <c r="BU617" s="214"/>
      <c r="BV617" s="214"/>
      <c r="BW617" s="214"/>
      <c r="BX617" s="214"/>
      <c r="BY617" s="214"/>
      <c r="BZ617" s="214"/>
      <c r="CA617" s="214"/>
      <c r="CB617" s="214"/>
      <c r="CC617" s="214"/>
      <c r="CD617" s="214"/>
      <c r="CE617" s="214"/>
      <c r="CF617" s="214"/>
      <c r="CG617" s="214"/>
      <c r="CH617" s="214"/>
      <c r="CI617" s="214"/>
      <c r="CJ617" s="214"/>
      <c r="CK617" s="214"/>
      <c r="CL617" s="214"/>
      <c r="CM617" s="214"/>
      <c r="CN617" s="214"/>
      <c r="CO617" s="214"/>
      <c r="CP617" s="214"/>
      <c r="CQ617" s="214"/>
      <c r="CR617" s="214"/>
      <c r="CS617" s="214"/>
      <c r="CT617" s="214"/>
      <c r="CU617" s="214"/>
      <c r="CV617" s="214"/>
      <c r="CW617" s="214"/>
      <c r="CX617" s="214"/>
      <c r="CY617" s="214"/>
      <c r="CZ617" s="214"/>
      <c r="DA617" s="214"/>
      <c r="DB617" s="214"/>
      <c r="DC617" s="214"/>
      <c r="DD617" s="214"/>
      <c r="DE617" s="214"/>
      <c r="DF617" s="214"/>
      <c r="DG617" s="82"/>
    </row>
    <row r="618" spans="2:111" ht="9" customHeight="1">
      <c r="B618" s="392"/>
      <c r="C618" s="392"/>
      <c r="D618" s="392"/>
      <c r="E618" s="392"/>
      <c r="F618" s="392"/>
      <c r="G618" s="392"/>
      <c r="H618" s="392"/>
      <c r="I618" s="392"/>
      <c r="J618" s="392"/>
      <c r="K618" s="392"/>
      <c r="L618" s="392"/>
      <c r="M618" s="392"/>
      <c r="N618" s="392"/>
      <c r="O618" s="392"/>
      <c r="P618" s="392"/>
      <c r="Q618" s="392"/>
      <c r="R618" s="392"/>
      <c r="S618" s="392"/>
      <c r="T618" s="392"/>
      <c r="U618" s="392"/>
      <c r="V618" s="392"/>
      <c r="W618" s="392"/>
      <c r="X618" s="392"/>
      <c r="Y618" s="392"/>
      <c r="Z618" s="392"/>
      <c r="AA618" s="392"/>
      <c r="AB618" s="392"/>
      <c r="AC618" s="392"/>
      <c r="AD618" s="392"/>
      <c r="AE618" s="392"/>
      <c r="AF618" s="392"/>
      <c r="AG618" s="392"/>
      <c r="AH618" s="392"/>
      <c r="AI618" s="392"/>
      <c r="AJ618" s="392"/>
      <c r="AK618" s="392"/>
      <c r="AL618" s="392"/>
      <c r="AM618" s="392"/>
      <c r="AN618" s="392"/>
      <c r="AO618" s="392"/>
      <c r="AP618" s="392"/>
      <c r="AQ618" s="392"/>
      <c r="AR618" s="392"/>
      <c r="AS618" s="392"/>
      <c r="AT618" s="392"/>
      <c r="AU618" s="392"/>
      <c r="AV618" s="392"/>
      <c r="AW618" s="392"/>
      <c r="AX618" s="392"/>
      <c r="AY618" s="392"/>
      <c r="AZ618" s="392"/>
      <c r="BA618" s="392"/>
      <c r="BC618" s="82"/>
      <c r="BD618" s="82"/>
      <c r="BE618" s="82"/>
      <c r="BF618" s="82"/>
      <c r="BG618" s="82"/>
      <c r="BH618" s="214"/>
      <c r="BI618" s="214"/>
      <c r="BJ618" s="214"/>
      <c r="BK618" s="214"/>
      <c r="BL618" s="214"/>
      <c r="BM618" s="214"/>
      <c r="BN618" s="214"/>
      <c r="BO618" s="214"/>
      <c r="BP618" s="214"/>
      <c r="BQ618" s="214"/>
      <c r="BR618" s="214"/>
      <c r="BS618" s="214"/>
      <c r="BT618" s="214"/>
      <c r="BU618" s="214"/>
      <c r="BV618" s="214"/>
      <c r="BW618" s="214"/>
      <c r="BX618" s="214"/>
      <c r="BY618" s="214"/>
      <c r="BZ618" s="214"/>
      <c r="CA618" s="214"/>
      <c r="CB618" s="214"/>
      <c r="CC618" s="214"/>
      <c r="CD618" s="214"/>
      <c r="CE618" s="214"/>
      <c r="CF618" s="214"/>
      <c r="CG618" s="214"/>
      <c r="CH618" s="214"/>
      <c r="CI618" s="214"/>
      <c r="CJ618" s="214"/>
      <c r="CK618" s="214"/>
      <c r="CL618" s="214"/>
      <c r="CM618" s="214"/>
      <c r="CN618" s="214"/>
      <c r="CO618" s="214"/>
      <c r="CP618" s="214"/>
      <c r="CQ618" s="214"/>
      <c r="CR618" s="214"/>
      <c r="CS618" s="214"/>
      <c r="CT618" s="214"/>
      <c r="CU618" s="214"/>
      <c r="CV618" s="214"/>
      <c r="CW618" s="214"/>
      <c r="CX618" s="214"/>
      <c r="CY618" s="214"/>
      <c r="CZ618" s="214"/>
      <c r="DA618" s="214"/>
      <c r="DB618" s="214"/>
      <c r="DC618" s="214"/>
      <c r="DD618" s="214"/>
      <c r="DE618" s="214"/>
      <c r="DF618" s="214"/>
      <c r="DG618" s="82"/>
    </row>
    <row r="619" spans="2:111" ht="9" customHeight="1">
      <c r="B619" s="392"/>
      <c r="C619" s="392"/>
      <c r="D619" s="392"/>
      <c r="E619" s="392"/>
      <c r="F619" s="392"/>
      <c r="G619" s="392"/>
      <c r="H619" s="392"/>
      <c r="I619" s="392"/>
      <c r="J619" s="392"/>
      <c r="K619" s="392"/>
      <c r="L619" s="392"/>
      <c r="M619" s="392"/>
      <c r="N619" s="392"/>
      <c r="O619" s="392"/>
      <c r="P619" s="392"/>
      <c r="Q619" s="392"/>
      <c r="R619" s="392"/>
      <c r="S619" s="392"/>
      <c r="T619" s="392"/>
      <c r="U619" s="392"/>
      <c r="V619" s="392"/>
      <c r="W619" s="392"/>
      <c r="X619" s="392"/>
      <c r="Y619" s="392"/>
      <c r="Z619" s="392"/>
      <c r="AA619" s="392"/>
      <c r="AB619" s="392"/>
      <c r="AC619" s="392"/>
      <c r="AD619" s="392"/>
      <c r="AE619" s="392"/>
      <c r="AF619" s="392"/>
      <c r="AG619" s="392"/>
      <c r="AH619" s="392"/>
      <c r="AI619" s="392"/>
      <c r="AJ619" s="392"/>
      <c r="AK619" s="392"/>
      <c r="AL619" s="392"/>
      <c r="AM619" s="392"/>
      <c r="AN619" s="392"/>
      <c r="AO619" s="392"/>
      <c r="AP619" s="392"/>
      <c r="AQ619" s="392"/>
      <c r="AR619" s="392"/>
      <c r="AS619" s="392"/>
      <c r="AT619" s="392"/>
      <c r="AU619" s="392"/>
      <c r="AV619" s="392"/>
      <c r="AW619" s="392"/>
      <c r="AX619" s="392"/>
      <c r="AY619" s="392"/>
      <c r="AZ619" s="392"/>
      <c r="BA619" s="392"/>
      <c r="BC619" s="82"/>
      <c r="BD619" s="82"/>
      <c r="BE619" s="82"/>
      <c r="BF619" s="82"/>
      <c r="BG619" s="82"/>
      <c r="BH619" s="214"/>
      <c r="BI619" s="214"/>
      <c r="BJ619" s="214"/>
      <c r="BK619" s="214"/>
      <c r="BL619" s="214"/>
      <c r="BM619" s="214"/>
      <c r="BN619" s="214"/>
      <c r="BO619" s="214"/>
      <c r="BP619" s="214"/>
      <c r="BQ619" s="214"/>
      <c r="BR619" s="214"/>
      <c r="BS619" s="214"/>
      <c r="BT619" s="214"/>
      <c r="BU619" s="214"/>
      <c r="BV619" s="214"/>
      <c r="BW619" s="214"/>
      <c r="BX619" s="214"/>
      <c r="BY619" s="214"/>
      <c r="BZ619" s="214"/>
      <c r="CA619" s="214"/>
      <c r="CB619" s="214"/>
      <c r="CC619" s="214"/>
      <c r="CD619" s="214"/>
      <c r="CE619" s="214"/>
      <c r="CF619" s="214"/>
      <c r="CG619" s="214"/>
      <c r="CH619" s="214"/>
      <c r="CI619" s="214"/>
      <c r="CJ619" s="214"/>
      <c r="CK619" s="214"/>
      <c r="CL619" s="214"/>
      <c r="CM619" s="214"/>
      <c r="CN619" s="214"/>
      <c r="CO619" s="214"/>
      <c r="CP619" s="214"/>
      <c r="CQ619" s="214"/>
      <c r="CR619" s="214"/>
      <c r="CS619" s="214"/>
      <c r="CT619" s="214"/>
      <c r="CU619" s="214"/>
      <c r="CV619" s="214"/>
      <c r="CW619" s="214"/>
      <c r="CX619" s="214"/>
      <c r="CY619" s="214"/>
      <c r="CZ619" s="214"/>
      <c r="DA619" s="214"/>
      <c r="DB619" s="214"/>
      <c r="DC619" s="214"/>
      <c r="DD619" s="214"/>
      <c r="DE619" s="214"/>
      <c r="DF619" s="214"/>
      <c r="DG619" s="82"/>
    </row>
    <row r="620" spans="2:111" ht="9" customHeight="1">
      <c r="B620" s="392"/>
      <c r="C620" s="392"/>
      <c r="D620" s="392"/>
      <c r="E620" s="392"/>
      <c r="F620" s="392"/>
      <c r="G620" s="392"/>
      <c r="H620" s="392"/>
      <c r="I620" s="392"/>
      <c r="J620" s="392"/>
      <c r="K620" s="392"/>
      <c r="L620" s="392"/>
      <c r="M620" s="392"/>
      <c r="N620" s="392"/>
      <c r="O620" s="392"/>
      <c r="P620" s="392"/>
      <c r="Q620" s="392"/>
      <c r="R620" s="392"/>
      <c r="S620" s="392"/>
      <c r="T620" s="392"/>
      <c r="U620" s="392"/>
      <c r="V620" s="392"/>
      <c r="W620" s="392"/>
      <c r="X620" s="392"/>
      <c r="Y620" s="392"/>
      <c r="Z620" s="392"/>
      <c r="AA620" s="392"/>
      <c r="AB620" s="392"/>
      <c r="AC620" s="392"/>
      <c r="AD620" s="392"/>
      <c r="AE620" s="392"/>
      <c r="AF620" s="392"/>
      <c r="AG620" s="392"/>
      <c r="AH620" s="392"/>
      <c r="AI620" s="392"/>
      <c r="AJ620" s="392"/>
      <c r="AK620" s="392"/>
      <c r="AL620" s="392"/>
      <c r="AM620" s="392"/>
      <c r="AN620" s="392"/>
      <c r="AO620" s="392"/>
      <c r="AP620" s="392"/>
      <c r="AQ620" s="392"/>
      <c r="AR620" s="392"/>
      <c r="AS620" s="392"/>
      <c r="AT620" s="392"/>
      <c r="AU620" s="392"/>
      <c r="AV620" s="392"/>
      <c r="AW620" s="392"/>
      <c r="AX620" s="392"/>
      <c r="AY620" s="392"/>
      <c r="AZ620" s="392"/>
      <c r="BA620" s="392"/>
      <c r="BC620" s="82"/>
      <c r="BD620" s="82"/>
      <c r="BE620" s="82"/>
      <c r="BF620" s="82"/>
      <c r="BG620" s="82"/>
      <c r="BH620" s="82"/>
      <c r="BI620" s="82"/>
      <c r="BJ620" s="82"/>
      <c r="BK620" s="82"/>
      <c r="BL620" s="82"/>
      <c r="BM620" s="82"/>
      <c r="BN620" s="82"/>
      <c r="BO620" s="82"/>
      <c r="BP620" s="82"/>
      <c r="BQ620" s="82"/>
      <c r="BR620" s="82"/>
      <c r="BS620" s="82"/>
      <c r="BT620" s="82"/>
      <c r="BU620" s="82"/>
      <c r="BV620" s="82"/>
      <c r="BW620" s="82"/>
      <c r="BX620" s="82"/>
      <c r="BY620" s="82"/>
      <c r="BZ620" s="82"/>
      <c r="CA620" s="82"/>
      <c r="CB620" s="82"/>
      <c r="CC620" s="82"/>
      <c r="CD620" s="82"/>
      <c r="CE620" s="82"/>
      <c r="CF620" s="82"/>
      <c r="CG620" s="82"/>
      <c r="CH620" s="82"/>
      <c r="CI620" s="82"/>
      <c r="CJ620" s="82"/>
      <c r="CK620" s="82"/>
      <c r="CL620" s="82"/>
      <c r="CM620" s="82"/>
      <c r="CN620" s="82"/>
      <c r="CO620" s="82"/>
      <c r="CP620" s="82"/>
      <c r="CQ620" s="82"/>
      <c r="CR620" s="82"/>
      <c r="CS620" s="82"/>
      <c r="CT620" s="82"/>
      <c r="CU620" s="82"/>
      <c r="CV620" s="82"/>
      <c r="CW620" s="82"/>
      <c r="CX620" s="82"/>
      <c r="CY620" s="82"/>
      <c r="CZ620" s="82"/>
      <c r="DA620" s="82"/>
      <c r="DB620" s="82"/>
      <c r="DC620" s="82"/>
      <c r="DD620" s="82"/>
      <c r="DE620" s="82"/>
      <c r="DF620" s="82"/>
      <c r="DG620" s="82"/>
    </row>
    <row r="621" spans="2:111" ht="9" customHeight="1">
      <c r="B621" s="392"/>
      <c r="C621" s="392"/>
      <c r="D621" s="392"/>
      <c r="E621" s="392"/>
      <c r="F621" s="392"/>
      <c r="G621" s="392"/>
      <c r="H621" s="392"/>
      <c r="I621" s="392"/>
      <c r="J621" s="392"/>
      <c r="K621" s="392"/>
      <c r="L621" s="392"/>
      <c r="M621" s="392"/>
      <c r="N621" s="392"/>
      <c r="O621" s="392"/>
      <c r="P621" s="392"/>
      <c r="Q621" s="392"/>
      <c r="R621" s="392"/>
      <c r="S621" s="392"/>
      <c r="T621" s="392"/>
      <c r="U621" s="392"/>
      <c r="V621" s="392"/>
      <c r="W621" s="392"/>
      <c r="X621" s="392"/>
      <c r="Y621" s="392"/>
      <c r="Z621" s="392"/>
      <c r="AA621" s="392"/>
      <c r="AB621" s="392"/>
      <c r="AC621" s="392"/>
      <c r="AD621" s="392"/>
      <c r="AE621" s="392"/>
      <c r="AF621" s="392"/>
      <c r="AG621" s="392"/>
      <c r="AH621" s="392"/>
      <c r="AI621" s="392"/>
      <c r="AJ621" s="392"/>
      <c r="AK621" s="392"/>
      <c r="AL621" s="392"/>
      <c r="AM621" s="392"/>
      <c r="AN621" s="392"/>
      <c r="AO621" s="392"/>
      <c r="AP621" s="392"/>
      <c r="AQ621" s="392"/>
      <c r="AR621" s="392"/>
      <c r="AS621" s="392"/>
      <c r="AT621" s="392"/>
      <c r="AU621" s="392"/>
      <c r="AV621" s="392"/>
      <c r="AW621" s="392"/>
      <c r="AX621" s="392"/>
      <c r="AY621" s="392"/>
      <c r="AZ621" s="392"/>
      <c r="BA621" s="392"/>
      <c r="BC621" s="82"/>
      <c r="BD621" s="82"/>
      <c r="BE621" s="82"/>
      <c r="BF621" s="82"/>
      <c r="BG621" s="82"/>
      <c r="BH621" s="82"/>
      <c r="BI621" s="82"/>
      <c r="BJ621" s="82"/>
      <c r="BK621" s="82"/>
      <c r="BL621" s="82"/>
      <c r="BM621" s="82"/>
      <c r="BN621" s="82"/>
      <c r="BO621" s="82"/>
      <c r="BP621" s="82"/>
      <c r="BQ621" s="82"/>
      <c r="BR621" s="82"/>
      <c r="BS621" s="82"/>
      <c r="BT621" s="82"/>
      <c r="BU621" s="82"/>
      <c r="BV621" s="82"/>
      <c r="BW621" s="82"/>
      <c r="BX621" s="82"/>
      <c r="BY621" s="82"/>
      <c r="BZ621" s="82"/>
      <c r="CA621" s="82"/>
      <c r="CB621" s="82"/>
      <c r="CC621" s="82"/>
      <c r="CD621" s="82"/>
      <c r="CE621" s="82"/>
      <c r="CF621" s="82"/>
      <c r="CG621" s="82"/>
      <c r="CH621" s="82"/>
      <c r="CI621" s="82"/>
      <c r="CJ621" s="82"/>
      <c r="CK621" s="82"/>
      <c r="CL621" s="82"/>
      <c r="CM621" s="82"/>
      <c r="CN621" s="82"/>
      <c r="CO621" s="82"/>
      <c r="CP621" s="82"/>
      <c r="CQ621" s="82"/>
      <c r="CR621" s="82"/>
      <c r="CS621" s="82"/>
      <c r="CT621" s="82"/>
      <c r="CU621" s="82"/>
      <c r="CV621" s="82"/>
      <c r="CW621" s="82"/>
      <c r="CX621" s="82"/>
      <c r="CY621" s="82"/>
      <c r="CZ621" s="82"/>
      <c r="DA621" s="82"/>
      <c r="DB621" s="82"/>
      <c r="DC621" s="82"/>
      <c r="DD621" s="82"/>
      <c r="DE621" s="82"/>
      <c r="DF621" s="82"/>
      <c r="DG621" s="82"/>
    </row>
    <row r="622" spans="2:111" ht="9" customHeight="1">
      <c r="BC622" s="82"/>
      <c r="BD622" s="82"/>
      <c r="BE622" s="82"/>
      <c r="BF622" s="82"/>
      <c r="BG622" s="82"/>
      <c r="BH622" s="82"/>
      <c r="BI622" s="82"/>
      <c r="BJ622" s="82"/>
      <c r="BK622" s="82"/>
      <c r="BL622" s="82"/>
      <c r="BM622" s="82"/>
      <c r="BN622" s="82"/>
      <c r="BO622" s="82"/>
      <c r="BP622" s="82"/>
      <c r="BQ622" s="82"/>
      <c r="BR622" s="82"/>
      <c r="BS622" s="82"/>
      <c r="BT622" s="82"/>
      <c r="BU622" s="82"/>
      <c r="BV622" s="82"/>
      <c r="BW622" s="82"/>
      <c r="BX622" s="82"/>
      <c r="BY622" s="82"/>
      <c r="BZ622" s="82"/>
      <c r="CA622" s="82"/>
      <c r="CB622" s="82"/>
      <c r="CC622" s="82"/>
      <c r="CD622" s="82"/>
      <c r="CE622" s="82"/>
      <c r="CF622" s="82"/>
      <c r="CG622" s="82"/>
      <c r="CH622" s="82"/>
      <c r="CI622" s="82"/>
      <c r="CJ622" s="82"/>
      <c r="CK622" s="82"/>
      <c r="CL622" s="82"/>
      <c r="CM622" s="82"/>
      <c r="CN622" s="82"/>
      <c r="CO622" s="82"/>
      <c r="CP622" s="82"/>
      <c r="CQ622" s="82"/>
      <c r="CR622" s="82"/>
      <c r="CS622" s="82"/>
      <c r="CT622" s="82"/>
      <c r="CU622" s="82"/>
      <c r="CV622" s="82"/>
      <c r="CW622" s="82"/>
      <c r="CX622" s="82"/>
      <c r="CY622" s="82"/>
      <c r="CZ622" s="82"/>
      <c r="DA622" s="82"/>
      <c r="DB622" s="82"/>
      <c r="DC622" s="82"/>
      <c r="DD622" s="82"/>
      <c r="DE622" s="82"/>
      <c r="DF622" s="82"/>
      <c r="DG622" s="82"/>
    </row>
    <row r="623" spans="2:111" ht="18" customHeight="1">
      <c r="B623" s="215" t="s">
        <v>95</v>
      </c>
      <c r="C623" s="215"/>
      <c r="D623" s="215"/>
      <c r="E623" s="215"/>
      <c r="F623" s="215"/>
      <c r="G623" s="215"/>
      <c r="H623" s="215"/>
      <c r="I623" s="215"/>
      <c r="J623" s="215"/>
      <c r="K623" s="215"/>
      <c r="L623" s="215"/>
      <c r="M623" s="215"/>
      <c r="N623" s="215"/>
      <c r="O623" s="215"/>
      <c r="P623" s="215"/>
      <c r="Q623" s="215"/>
      <c r="R623" s="215"/>
      <c r="S623" s="215"/>
      <c r="U623" s="386">
        <v>5</v>
      </c>
      <c r="V623" s="387"/>
      <c r="W623" s="387"/>
      <c r="X623" s="388"/>
      <c r="Y623" s="23"/>
      <c r="Z623" s="389" t="str">
        <f>IF($AS$638="","",IF((SUM($AS$626,$AS$749,$AS$871,$AS$994,$AS$1117))&lt;&gt;$O$218,"A soma do valor financeiro das metas não bate c/ o Valor Global!!!",""))</f>
        <v/>
      </c>
      <c r="AA623" s="389"/>
      <c r="AB623" s="389"/>
      <c r="AC623" s="389"/>
      <c r="AD623" s="389"/>
      <c r="AE623" s="389"/>
      <c r="AF623" s="389"/>
      <c r="AG623" s="389"/>
      <c r="AH623" s="389"/>
      <c r="AI623" s="389"/>
      <c r="AJ623" s="389"/>
      <c r="AK623" s="389"/>
      <c r="AL623" s="389"/>
      <c r="AM623" s="389"/>
      <c r="AN623" s="389"/>
      <c r="AO623" s="389"/>
      <c r="AP623" s="389"/>
      <c r="AQ623" s="389"/>
      <c r="AR623" s="389"/>
      <c r="AS623" s="389"/>
      <c r="AT623" s="389"/>
      <c r="AU623" s="389"/>
      <c r="AV623" s="389"/>
      <c r="AW623" s="389"/>
      <c r="AX623" s="389"/>
      <c r="AY623" s="389"/>
      <c r="AZ623" s="389"/>
      <c r="BA623" s="389"/>
      <c r="BC623" s="82"/>
      <c r="BD623" s="82"/>
      <c r="BE623" s="82"/>
      <c r="BF623" s="82"/>
      <c r="BG623" s="82"/>
      <c r="BH623" s="82"/>
      <c r="BI623" s="82"/>
      <c r="BJ623" s="82"/>
      <c r="BK623" s="82"/>
      <c r="BL623" s="82"/>
      <c r="BM623" s="82"/>
      <c r="BN623" s="82"/>
      <c r="BO623" s="82"/>
      <c r="BP623" s="82"/>
      <c r="BQ623" s="82"/>
      <c r="BR623" s="82"/>
      <c r="BS623" s="82"/>
      <c r="BT623" s="82"/>
      <c r="BU623" s="82"/>
      <c r="BV623" s="82"/>
      <c r="BW623" s="82"/>
      <c r="BX623" s="82"/>
      <c r="BY623" s="82"/>
      <c r="BZ623" s="82"/>
      <c r="CA623" s="82"/>
      <c r="CB623" s="82"/>
      <c r="CC623" s="82"/>
      <c r="CD623" s="82"/>
      <c r="CE623" s="82"/>
      <c r="CF623" s="82"/>
      <c r="CG623" s="82"/>
      <c r="CH623" s="82"/>
      <c r="CI623" s="82"/>
      <c r="CJ623" s="82"/>
      <c r="CK623" s="82"/>
      <c r="CL623" s="82"/>
      <c r="CM623" s="82"/>
      <c r="CN623" s="82"/>
      <c r="CO623" s="82"/>
      <c r="CP623" s="82"/>
      <c r="CQ623" s="82"/>
      <c r="CR623" s="82"/>
      <c r="CS623" s="82"/>
      <c r="CT623" s="82"/>
      <c r="CU623" s="82"/>
      <c r="CV623" s="82"/>
      <c r="CW623" s="82"/>
      <c r="CX623" s="82"/>
      <c r="CY623" s="82"/>
      <c r="CZ623" s="82"/>
      <c r="DA623" s="82"/>
      <c r="DB623" s="82"/>
      <c r="DC623" s="82"/>
      <c r="DD623" s="82"/>
      <c r="DE623" s="82"/>
      <c r="DF623" s="82"/>
      <c r="DG623" s="82"/>
    </row>
    <row r="624" spans="2:111" ht="18" customHeight="1">
      <c r="B624" s="23"/>
      <c r="C624" s="23"/>
      <c r="D624" s="23"/>
      <c r="E624" s="23"/>
      <c r="F624" s="23"/>
      <c r="G624" s="23"/>
      <c r="H624" s="23"/>
      <c r="I624" s="23"/>
      <c r="J624" s="23"/>
      <c r="K624" s="23"/>
      <c r="L624" s="23"/>
      <c r="M624" s="23"/>
      <c r="N624" s="23"/>
      <c r="O624" s="23"/>
      <c r="P624" s="23"/>
      <c r="Q624" s="23"/>
      <c r="R624" s="23"/>
      <c r="S624" s="23"/>
      <c r="Y624" s="23"/>
      <c r="Z624" s="389" t="str">
        <f>IF(Z623="","",CONCATENATE("Faltam R$ ",$O$218-SUM($AS$626,$AS$749,$AS$871,$AS$994,$AS$1117)," a serem detalhados abaixo."))</f>
        <v/>
      </c>
      <c r="AA624" s="389"/>
      <c r="AB624" s="389"/>
      <c r="AC624" s="389"/>
      <c r="AD624" s="389"/>
      <c r="AE624" s="389"/>
      <c r="AF624" s="389"/>
      <c r="AG624" s="389"/>
      <c r="AH624" s="389"/>
      <c r="AI624" s="389"/>
      <c r="AJ624" s="389"/>
      <c r="AK624" s="389"/>
      <c r="AL624" s="389"/>
      <c r="AM624" s="389"/>
      <c r="AN624" s="389"/>
      <c r="AO624" s="389"/>
      <c r="AP624" s="389"/>
      <c r="AQ624" s="389"/>
      <c r="AR624" s="389"/>
      <c r="AS624" s="389"/>
      <c r="AT624" s="389"/>
      <c r="AU624" s="389"/>
      <c r="AV624" s="389"/>
      <c r="AW624" s="389"/>
      <c r="AX624" s="389"/>
      <c r="AY624" s="389"/>
      <c r="AZ624" s="389"/>
      <c r="BA624" s="389"/>
      <c r="BC624" s="82"/>
      <c r="BD624" s="82"/>
      <c r="BE624" s="82"/>
      <c r="BF624" s="82"/>
      <c r="BG624" s="82"/>
      <c r="BH624" s="82"/>
      <c r="BI624" s="82"/>
      <c r="BJ624" s="82"/>
      <c r="BK624" s="82"/>
      <c r="BL624" s="82"/>
      <c r="BM624" s="82"/>
      <c r="BN624" s="82"/>
      <c r="BO624" s="82"/>
      <c r="BP624" s="82"/>
      <c r="BQ624" s="82"/>
      <c r="BR624" s="82"/>
      <c r="BS624" s="82"/>
      <c r="BT624" s="82"/>
      <c r="BU624" s="82"/>
      <c r="BV624" s="82"/>
      <c r="BW624" s="82"/>
      <c r="BX624" s="82"/>
      <c r="BY624" s="82"/>
      <c r="BZ624" s="82"/>
      <c r="CA624" s="82"/>
      <c r="CB624" s="82"/>
      <c r="CC624" s="82"/>
      <c r="CD624" s="82"/>
      <c r="CE624" s="82"/>
      <c r="CF624" s="82"/>
      <c r="CG624" s="82"/>
      <c r="CH624" s="82"/>
      <c r="CI624" s="82"/>
      <c r="CJ624" s="82"/>
      <c r="CK624" s="82"/>
      <c r="CL624" s="82"/>
      <c r="CM624" s="82"/>
      <c r="CN624" s="82"/>
      <c r="CO624" s="82"/>
      <c r="CP624" s="82"/>
      <c r="CQ624" s="82"/>
      <c r="CR624" s="82"/>
      <c r="CS624" s="82"/>
      <c r="CT624" s="82"/>
      <c r="CU624" s="82"/>
      <c r="CV624" s="82"/>
      <c r="CW624" s="82"/>
      <c r="CX624" s="82"/>
      <c r="CY624" s="82"/>
      <c r="CZ624" s="82"/>
      <c r="DA624" s="82"/>
      <c r="DB624" s="82"/>
      <c r="DC624" s="82"/>
      <c r="DD624" s="82"/>
      <c r="DE624" s="82"/>
      <c r="DF624" s="82"/>
      <c r="DG624" s="82"/>
    </row>
    <row r="625" spans="2:111" ht="9" customHeight="1">
      <c r="B625" s="23"/>
      <c r="C625" s="23"/>
      <c r="D625" s="23"/>
      <c r="E625" s="23"/>
      <c r="F625" s="23"/>
      <c r="G625" s="23"/>
      <c r="H625" s="23"/>
      <c r="I625" s="23"/>
      <c r="J625" s="23"/>
      <c r="K625" s="23"/>
      <c r="L625" s="23"/>
      <c r="BC625" s="82"/>
      <c r="BD625" s="82"/>
      <c r="BE625" s="82"/>
      <c r="BF625" s="82"/>
      <c r="BG625" s="82"/>
      <c r="BH625" s="82"/>
      <c r="BI625" s="82"/>
      <c r="BJ625" s="82"/>
      <c r="BK625" s="82"/>
      <c r="BL625" s="82"/>
      <c r="BM625" s="82"/>
      <c r="BN625" s="82"/>
      <c r="BO625" s="82"/>
      <c r="BP625" s="82"/>
      <c r="BQ625" s="82"/>
      <c r="BR625" s="82"/>
      <c r="BS625" s="82"/>
      <c r="BT625" s="82"/>
      <c r="BU625" s="82"/>
      <c r="BV625" s="82"/>
      <c r="BW625" s="82"/>
      <c r="BX625" s="82"/>
      <c r="BY625" s="82"/>
      <c r="BZ625" s="82"/>
      <c r="CA625" s="82"/>
      <c r="CB625" s="82"/>
      <c r="CC625" s="82"/>
      <c r="CD625" s="82"/>
      <c r="CE625" s="82"/>
      <c r="CF625" s="82"/>
      <c r="CG625" s="82"/>
      <c r="CH625" s="82"/>
      <c r="CI625" s="82"/>
      <c r="CJ625" s="82"/>
      <c r="CK625" s="82"/>
      <c r="CL625" s="82"/>
      <c r="CM625" s="82"/>
      <c r="CN625" s="82"/>
      <c r="CO625" s="82"/>
      <c r="CP625" s="82"/>
      <c r="CQ625" s="82"/>
      <c r="CR625" s="82"/>
      <c r="CS625" s="82"/>
      <c r="CT625" s="82"/>
      <c r="CU625" s="82"/>
      <c r="CV625" s="82"/>
      <c r="CW625" s="82"/>
      <c r="CX625" s="82"/>
      <c r="CY625" s="82"/>
      <c r="CZ625" s="82"/>
      <c r="DA625" s="82"/>
      <c r="DB625" s="82"/>
      <c r="DC625" s="82"/>
      <c r="DD625" s="82"/>
      <c r="DE625" s="82"/>
      <c r="DF625" s="82"/>
      <c r="DG625" s="82"/>
    </row>
    <row r="626" spans="2:111" ht="9" customHeight="1">
      <c r="B626" s="238" t="str">
        <f>IF($U$623&gt;=1,"Meta 1","")</f>
        <v>Meta 1</v>
      </c>
      <c r="C626" s="238"/>
      <c r="D626" s="238"/>
      <c r="E626" s="238"/>
      <c r="F626" s="238"/>
      <c r="G626" s="238"/>
      <c r="I626" s="241" t="s">
        <v>514</v>
      </c>
      <c r="J626" s="241"/>
      <c r="K626" s="241"/>
      <c r="L626" s="241"/>
      <c r="M626" s="241"/>
      <c r="N626" s="241"/>
      <c r="O626" s="241"/>
      <c r="P626" s="241"/>
      <c r="Q626" s="241"/>
      <c r="R626" s="241"/>
      <c r="S626" s="241"/>
      <c r="T626" s="241"/>
      <c r="U626" s="241"/>
      <c r="V626" s="241"/>
      <c r="W626" s="241"/>
      <c r="X626" s="241"/>
      <c r="Y626" s="241"/>
      <c r="Z626" s="241"/>
      <c r="AA626" s="241"/>
      <c r="AB626" s="241"/>
      <c r="AC626" s="241"/>
      <c r="AD626" s="241"/>
      <c r="AE626" s="241"/>
      <c r="AF626" s="241"/>
      <c r="AG626" s="241"/>
      <c r="AH626" s="241"/>
      <c r="AI626" s="241"/>
      <c r="AJ626" s="241"/>
      <c r="AK626" s="241"/>
      <c r="AL626" s="241"/>
      <c r="AM626" s="241"/>
      <c r="AN626" s="241"/>
      <c r="AO626" s="241"/>
      <c r="AP626" s="241"/>
      <c r="AQ626" s="241"/>
      <c r="AR626" s="29"/>
      <c r="AS626" s="256">
        <f>IF((SUM(AS632,AS655,AS679,AS702,AS725))=0,"",(SUM(AS632,AS655,AS679,AS702,AS725)))</f>
        <v>943930</v>
      </c>
      <c r="AT626" s="256"/>
      <c r="AU626" s="256"/>
      <c r="AV626" s="256"/>
      <c r="AW626" s="256"/>
      <c r="AX626" s="256"/>
      <c r="AY626" s="256"/>
      <c r="AZ626" s="256"/>
      <c r="BA626" s="256"/>
      <c r="BC626" s="82"/>
      <c r="BD626" s="82"/>
      <c r="BE626" s="82"/>
      <c r="BF626" s="82"/>
      <c r="BG626" s="82"/>
      <c r="BH626" s="214" t="s">
        <v>306</v>
      </c>
      <c r="BI626" s="214"/>
      <c r="BJ626" s="214"/>
      <c r="BK626" s="214"/>
      <c r="BL626" s="214"/>
      <c r="BM626" s="214"/>
      <c r="BN626" s="214"/>
      <c r="BO626" s="214"/>
      <c r="BP626" s="214"/>
      <c r="BQ626" s="214"/>
      <c r="BR626" s="214"/>
      <c r="BS626" s="214"/>
      <c r="BT626" s="214"/>
      <c r="BU626" s="214"/>
      <c r="BV626" s="214"/>
      <c r="BW626" s="214"/>
      <c r="BX626" s="214"/>
      <c r="BY626" s="214"/>
      <c r="BZ626" s="214"/>
      <c r="CA626" s="214"/>
      <c r="CB626" s="214"/>
      <c r="CC626" s="214"/>
      <c r="CD626" s="214"/>
      <c r="CE626" s="214"/>
      <c r="CF626" s="214"/>
      <c r="CG626" s="214"/>
      <c r="CH626" s="214"/>
      <c r="CI626" s="214"/>
      <c r="CJ626" s="214"/>
      <c r="CK626" s="214"/>
      <c r="CL626" s="214"/>
      <c r="CM626" s="214"/>
      <c r="CN626" s="214"/>
      <c r="CO626" s="214"/>
      <c r="CP626" s="214"/>
      <c r="CQ626" s="214"/>
      <c r="CR626" s="214"/>
      <c r="CS626" s="214"/>
      <c r="CT626" s="214"/>
      <c r="CU626" s="214"/>
      <c r="CV626" s="214"/>
      <c r="CW626" s="214"/>
      <c r="CX626" s="214"/>
      <c r="CY626" s="214"/>
      <c r="CZ626" s="214"/>
      <c r="DA626" s="214"/>
      <c r="DB626" s="214"/>
      <c r="DC626" s="214"/>
      <c r="DD626" s="214"/>
      <c r="DE626" s="214"/>
      <c r="DF626" s="214"/>
      <c r="DG626" s="82"/>
    </row>
    <row r="627" spans="2:111" ht="9" customHeight="1">
      <c r="B627" s="238"/>
      <c r="C627" s="238"/>
      <c r="D627" s="238"/>
      <c r="E627" s="238"/>
      <c r="F627" s="238"/>
      <c r="G627" s="238"/>
      <c r="I627" s="241"/>
      <c r="J627" s="241"/>
      <c r="K627" s="241"/>
      <c r="L627" s="241"/>
      <c r="M627" s="241"/>
      <c r="N627" s="241"/>
      <c r="O627" s="241"/>
      <c r="P627" s="241"/>
      <c r="Q627" s="241"/>
      <c r="R627" s="241"/>
      <c r="S627" s="241"/>
      <c r="T627" s="241"/>
      <c r="U627" s="241"/>
      <c r="V627" s="241"/>
      <c r="W627" s="241"/>
      <c r="X627" s="241"/>
      <c r="Y627" s="241"/>
      <c r="Z627" s="241"/>
      <c r="AA627" s="241"/>
      <c r="AB627" s="241"/>
      <c r="AC627" s="241"/>
      <c r="AD627" s="241"/>
      <c r="AE627" s="241"/>
      <c r="AF627" s="241"/>
      <c r="AG627" s="241"/>
      <c r="AH627" s="241"/>
      <c r="AI627" s="241"/>
      <c r="AJ627" s="241"/>
      <c r="AK627" s="241"/>
      <c r="AL627" s="241"/>
      <c r="AM627" s="241"/>
      <c r="AN627" s="241"/>
      <c r="AO627" s="241"/>
      <c r="AP627" s="241"/>
      <c r="AQ627" s="241"/>
      <c r="AR627" s="29"/>
      <c r="AS627" s="256"/>
      <c r="AT627" s="256"/>
      <c r="AU627" s="256"/>
      <c r="AV627" s="256"/>
      <c r="AW627" s="256"/>
      <c r="AX627" s="256"/>
      <c r="AY627" s="256"/>
      <c r="AZ627" s="256"/>
      <c r="BA627" s="256"/>
      <c r="BC627" s="82"/>
      <c r="BD627" s="82"/>
      <c r="BE627" s="82"/>
      <c r="BF627" s="82"/>
      <c r="BG627" s="82"/>
      <c r="BH627" s="214"/>
      <c r="BI627" s="214"/>
      <c r="BJ627" s="214"/>
      <c r="BK627" s="214"/>
      <c r="BL627" s="214"/>
      <c r="BM627" s="214"/>
      <c r="BN627" s="214"/>
      <c r="BO627" s="214"/>
      <c r="BP627" s="214"/>
      <c r="BQ627" s="214"/>
      <c r="BR627" s="214"/>
      <c r="BS627" s="214"/>
      <c r="BT627" s="214"/>
      <c r="BU627" s="214"/>
      <c r="BV627" s="214"/>
      <c r="BW627" s="214"/>
      <c r="BX627" s="214"/>
      <c r="BY627" s="214"/>
      <c r="BZ627" s="214"/>
      <c r="CA627" s="214"/>
      <c r="CB627" s="214"/>
      <c r="CC627" s="214"/>
      <c r="CD627" s="214"/>
      <c r="CE627" s="214"/>
      <c r="CF627" s="214"/>
      <c r="CG627" s="214"/>
      <c r="CH627" s="214"/>
      <c r="CI627" s="214"/>
      <c r="CJ627" s="214"/>
      <c r="CK627" s="214"/>
      <c r="CL627" s="214"/>
      <c r="CM627" s="214"/>
      <c r="CN627" s="214"/>
      <c r="CO627" s="214"/>
      <c r="CP627" s="214"/>
      <c r="CQ627" s="214"/>
      <c r="CR627" s="214"/>
      <c r="CS627" s="214"/>
      <c r="CT627" s="214"/>
      <c r="CU627" s="214"/>
      <c r="CV627" s="214"/>
      <c r="CW627" s="214"/>
      <c r="CX627" s="214"/>
      <c r="CY627" s="214"/>
      <c r="CZ627" s="214"/>
      <c r="DA627" s="214"/>
      <c r="DB627" s="214"/>
      <c r="DC627" s="214"/>
      <c r="DD627" s="214"/>
      <c r="DE627" s="214"/>
      <c r="DF627" s="214"/>
      <c r="DG627" s="82"/>
    </row>
    <row r="628" spans="2:111" ht="4.5" customHeight="1">
      <c r="BC628" s="82"/>
      <c r="BD628" s="82"/>
      <c r="BE628" s="82"/>
      <c r="BF628" s="82"/>
      <c r="BG628" s="82"/>
      <c r="BH628" s="214"/>
      <c r="BI628" s="214"/>
      <c r="BJ628" s="214"/>
      <c r="BK628" s="214"/>
      <c r="BL628" s="214"/>
      <c r="BM628" s="214"/>
      <c r="BN628" s="214"/>
      <c r="BO628" s="214"/>
      <c r="BP628" s="214"/>
      <c r="BQ628" s="214"/>
      <c r="BR628" s="214"/>
      <c r="BS628" s="214"/>
      <c r="BT628" s="214"/>
      <c r="BU628" s="214"/>
      <c r="BV628" s="214"/>
      <c r="BW628" s="214"/>
      <c r="BX628" s="214"/>
      <c r="BY628" s="214"/>
      <c r="BZ628" s="214"/>
      <c r="CA628" s="214"/>
      <c r="CB628" s="214"/>
      <c r="CC628" s="214"/>
      <c r="CD628" s="214"/>
      <c r="CE628" s="214"/>
      <c r="CF628" s="214"/>
      <c r="CG628" s="214"/>
      <c r="CH628" s="214"/>
      <c r="CI628" s="214"/>
      <c r="CJ628" s="214"/>
      <c r="CK628" s="214"/>
      <c r="CL628" s="214"/>
      <c r="CM628" s="214"/>
      <c r="CN628" s="214"/>
      <c r="CO628" s="214"/>
      <c r="CP628" s="214"/>
      <c r="CQ628" s="214"/>
      <c r="CR628" s="214"/>
      <c r="CS628" s="214"/>
      <c r="CT628" s="214"/>
      <c r="CU628" s="214"/>
      <c r="CV628" s="214"/>
      <c r="CW628" s="214"/>
      <c r="CX628" s="214"/>
      <c r="CY628" s="214"/>
      <c r="CZ628" s="214"/>
      <c r="DA628" s="214"/>
      <c r="DB628" s="214"/>
      <c r="DC628" s="214"/>
      <c r="DD628" s="214"/>
      <c r="DE628" s="214"/>
      <c r="DF628" s="214"/>
      <c r="DG628" s="82"/>
    </row>
    <row r="629" spans="2:111" ht="9" customHeight="1">
      <c r="B629" s="239" t="str">
        <f>IF($U$623&gt;=1,(CONCATENATE("Quantas etapas possui a ",B626,"?")),"")</f>
        <v>Quantas etapas possui a Meta 1?</v>
      </c>
      <c r="C629" s="239"/>
      <c r="D629" s="239"/>
      <c r="E629" s="239"/>
      <c r="F629" s="239"/>
      <c r="G629" s="239"/>
      <c r="H629" s="239"/>
      <c r="I629" s="239"/>
      <c r="J629" s="239"/>
      <c r="K629" s="239"/>
      <c r="L629" s="239"/>
      <c r="M629" s="239"/>
      <c r="N629" s="239"/>
      <c r="O629" s="239"/>
      <c r="P629" s="239"/>
      <c r="Q629" s="239"/>
      <c r="R629" s="239"/>
      <c r="S629" s="239"/>
      <c r="U629" s="240">
        <v>5</v>
      </c>
      <c r="V629" s="240"/>
      <c r="W629" s="240"/>
      <c r="X629" s="240"/>
      <c r="AW629" s="86"/>
      <c r="AX629" s="86"/>
      <c r="AY629" s="86"/>
      <c r="AZ629" s="86"/>
      <c r="BA629" s="86"/>
      <c r="BC629" s="82"/>
      <c r="BD629" s="82"/>
      <c r="BE629" s="82"/>
      <c r="BF629" s="82"/>
      <c r="BG629" s="82"/>
      <c r="BH629" s="214"/>
      <c r="BI629" s="214"/>
      <c r="BJ629" s="214"/>
      <c r="BK629" s="214"/>
      <c r="BL629" s="214"/>
      <c r="BM629" s="214"/>
      <c r="BN629" s="214"/>
      <c r="BO629" s="214"/>
      <c r="BP629" s="214"/>
      <c r="BQ629" s="214"/>
      <c r="BR629" s="214"/>
      <c r="BS629" s="214"/>
      <c r="BT629" s="214"/>
      <c r="BU629" s="214"/>
      <c r="BV629" s="214"/>
      <c r="BW629" s="214"/>
      <c r="BX629" s="214"/>
      <c r="BY629" s="214"/>
      <c r="BZ629" s="214"/>
      <c r="CA629" s="214"/>
      <c r="CB629" s="214"/>
      <c r="CC629" s="214"/>
      <c r="CD629" s="214"/>
      <c r="CE629" s="214"/>
      <c r="CF629" s="214"/>
      <c r="CG629" s="214"/>
      <c r="CH629" s="214"/>
      <c r="CI629" s="214"/>
      <c r="CJ629" s="214"/>
      <c r="CK629" s="214"/>
      <c r="CL629" s="214"/>
      <c r="CM629" s="214"/>
      <c r="CN629" s="214"/>
      <c r="CO629" s="214"/>
      <c r="CP629" s="214"/>
      <c r="CQ629" s="214"/>
      <c r="CR629" s="214"/>
      <c r="CS629" s="214"/>
      <c r="CT629" s="214"/>
      <c r="CU629" s="214"/>
      <c r="CV629" s="214"/>
      <c r="CW629" s="214"/>
      <c r="CX629" s="214"/>
      <c r="CY629" s="214"/>
      <c r="CZ629" s="214"/>
      <c r="DA629" s="214"/>
      <c r="DB629" s="214"/>
      <c r="DC629" s="214"/>
      <c r="DD629" s="214"/>
      <c r="DE629" s="214"/>
      <c r="DF629" s="214"/>
      <c r="DG629" s="82"/>
    </row>
    <row r="630" spans="2:111" ht="9" customHeight="1">
      <c r="B630" s="239"/>
      <c r="C630" s="239"/>
      <c r="D630" s="239"/>
      <c r="E630" s="239"/>
      <c r="F630" s="239"/>
      <c r="G630" s="239"/>
      <c r="H630" s="239"/>
      <c r="I630" s="239"/>
      <c r="J630" s="239"/>
      <c r="K630" s="239"/>
      <c r="L630" s="239"/>
      <c r="M630" s="239"/>
      <c r="N630" s="239"/>
      <c r="O630" s="239"/>
      <c r="P630" s="239"/>
      <c r="Q630" s="239"/>
      <c r="R630" s="239"/>
      <c r="S630" s="239"/>
      <c r="U630" s="240"/>
      <c r="V630" s="240"/>
      <c r="W630" s="240"/>
      <c r="X630" s="240"/>
      <c r="AW630" s="86"/>
      <c r="AX630" s="86"/>
      <c r="AY630" s="86"/>
      <c r="AZ630" s="86"/>
      <c r="BA630" s="86"/>
      <c r="BC630" s="82"/>
      <c r="BD630" s="82"/>
      <c r="BE630" s="82"/>
      <c r="BF630" s="82"/>
      <c r="BG630" s="82"/>
      <c r="BH630" s="83"/>
      <c r="BI630" s="83"/>
      <c r="BJ630" s="83"/>
      <c r="BK630" s="83"/>
      <c r="BL630" s="83"/>
      <c r="BM630" s="83"/>
      <c r="BN630" s="83"/>
      <c r="BO630" s="83"/>
      <c r="BP630" s="83"/>
      <c r="BQ630" s="83"/>
      <c r="BR630" s="83"/>
      <c r="BS630" s="83"/>
      <c r="BT630" s="83"/>
      <c r="BU630" s="83"/>
      <c r="BV630" s="83"/>
      <c r="BW630" s="83"/>
      <c r="BX630" s="83"/>
      <c r="BY630" s="83"/>
      <c r="BZ630" s="83"/>
      <c r="CA630" s="83"/>
      <c r="CB630" s="83"/>
      <c r="CC630" s="83"/>
      <c r="CD630" s="83"/>
      <c r="CE630" s="83"/>
      <c r="CF630" s="83"/>
      <c r="CG630" s="83"/>
      <c r="CH630" s="83"/>
      <c r="CI630" s="83"/>
      <c r="CJ630" s="83"/>
      <c r="CK630" s="83"/>
      <c r="CL630" s="83"/>
      <c r="CM630" s="83"/>
      <c r="CN630" s="83"/>
      <c r="CO630" s="83"/>
      <c r="CP630" s="83"/>
      <c r="CQ630" s="83"/>
      <c r="CR630" s="83"/>
      <c r="CS630" s="83"/>
      <c r="CT630" s="83"/>
      <c r="CU630" s="83"/>
      <c r="CV630" s="83"/>
      <c r="CW630" s="83"/>
      <c r="CX630" s="83"/>
      <c r="CY630" s="83"/>
      <c r="CZ630" s="83"/>
      <c r="DA630" s="83"/>
      <c r="DB630" s="83"/>
      <c r="DC630" s="83"/>
      <c r="DD630" s="83"/>
      <c r="DE630" s="83"/>
      <c r="DF630" s="83"/>
      <c r="DG630" s="82"/>
    </row>
    <row r="631" spans="2:111" ht="4.5" customHeight="1">
      <c r="BC631" s="82"/>
      <c r="BD631" s="82"/>
      <c r="BE631" s="82"/>
      <c r="BF631" s="82"/>
      <c r="BG631" s="82"/>
      <c r="BH631" s="82"/>
      <c r="BI631" s="82"/>
      <c r="BJ631" s="82"/>
      <c r="BK631" s="82"/>
      <c r="BL631" s="82"/>
      <c r="BM631" s="82"/>
      <c r="BN631" s="82"/>
      <c r="BO631" s="82"/>
      <c r="BP631" s="82"/>
      <c r="BQ631" s="82"/>
      <c r="BR631" s="82"/>
      <c r="BS631" s="82"/>
      <c r="BT631" s="82"/>
      <c r="BU631" s="82"/>
      <c r="BV631" s="82"/>
      <c r="BW631" s="82"/>
      <c r="BX631" s="82"/>
      <c r="BY631" s="82"/>
      <c r="BZ631" s="82"/>
      <c r="CA631" s="82"/>
      <c r="CB631" s="82"/>
      <c r="CC631" s="82"/>
      <c r="CD631" s="82"/>
      <c r="CE631" s="82"/>
      <c r="CF631" s="82"/>
      <c r="CG631" s="82"/>
      <c r="CH631" s="82"/>
      <c r="CI631" s="82"/>
      <c r="CJ631" s="82"/>
      <c r="CK631" s="82"/>
      <c r="CL631" s="82"/>
      <c r="CM631" s="82"/>
      <c r="CN631" s="82"/>
      <c r="CO631" s="82"/>
      <c r="CP631" s="82"/>
      <c r="CQ631" s="82"/>
      <c r="CR631" s="82"/>
      <c r="CS631" s="82"/>
      <c r="CT631" s="82"/>
      <c r="CU631" s="82"/>
      <c r="CV631" s="82"/>
      <c r="CW631" s="82"/>
      <c r="CX631" s="82"/>
      <c r="CY631" s="82"/>
      <c r="CZ631" s="82"/>
      <c r="DA631" s="82"/>
      <c r="DB631" s="82"/>
      <c r="DC631" s="82"/>
      <c r="DD631" s="82"/>
      <c r="DE631" s="82"/>
      <c r="DF631" s="82"/>
      <c r="DG631" s="82"/>
    </row>
    <row r="632" spans="2:111" ht="9" customHeight="1">
      <c r="B632" s="232" t="str">
        <f>IF($U$629&gt;=1,"Etapa 1.1","")</f>
        <v>Etapa 1.1</v>
      </c>
      <c r="C632" s="232"/>
      <c r="D632" s="232"/>
      <c r="E632" s="232"/>
      <c r="F632" s="232"/>
      <c r="G632" s="232"/>
      <c r="I632" s="233" t="s">
        <v>517</v>
      </c>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S632" s="393">
        <f>IF(SUM(AS638:BA653)=0,"",SUM(AS638:BA653))</f>
        <v>112340</v>
      </c>
      <c r="AT632" s="393"/>
      <c r="AU632" s="393"/>
      <c r="AV632" s="393"/>
      <c r="AW632" s="393"/>
      <c r="AX632" s="393"/>
      <c r="AY632" s="393"/>
      <c r="AZ632" s="393"/>
      <c r="BA632" s="393"/>
      <c r="BC632" s="82"/>
      <c r="BD632" s="82"/>
      <c r="BE632" s="82"/>
      <c r="BF632" s="82"/>
      <c r="BG632" s="82"/>
      <c r="BH632" s="214" t="s">
        <v>307</v>
      </c>
      <c r="BI632" s="214"/>
      <c r="BJ632" s="214"/>
      <c r="BK632" s="214"/>
      <c r="BL632" s="214"/>
      <c r="BM632" s="214"/>
      <c r="BN632" s="214"/>
      <c r="BO632" s="214"/>
      <c r="BP632" s="214"/>
      <c r="BQ632" s="214"/>
      <c r="BR632" s="214"/>
      <c r="BS632" s="214"/>
      <c r="BT632" s="214"/>
      <c r="BU632" s="214"/>
      <c r="BV632" s="214"/>
      <c r="BW632" s="214"/>
      <c r="BX632" s="214"/>
      <c r="BY632" s="214"/>
      <c r="BZ632" s="214"/>
      <c r="CA632" s="214"/>
      <c r="CB632" s="214"/>
      <c r="CC632" s="214"/>
      <c r="CD632" s="214"/>
      <c r="CE632" s="214"/>
      <c r="CF632" s="214"/>
      <c r="CG632" s="214"/>
      <c r="CH632" s="214"/>
      <c r="CI632" s="214"/>
      <c r="CJ632" s="214"/>
      <c r="CK632" s="214"/>
      <c r="CL632" s="214"/>
      <c r="CM632" s="214"/>
      <c r="CN632" s="214"/>
      <c r="CO632" s="214"/>
      <c r="CP632" s="214"/>
      <c r="CQ632" s="214"/>
      <c r="CR632" s="214"/>
      <c r="CS632" s="214"/>
      <c r="CT632" s="214"/>
      <c r="CU632" s="214"/>
      <c r="CV632" s="214"/>
      <c r="CW632" s="214"/>
      <c r="CX632" s="214"/>
      <c r="CY632" s="214"/>
      <c r="CZ632" s="214"/>
      <c r="DA632" s="214"/>
      <c r="DB632" s="214"/>
      <c r="DC632" s="214"/>
      <c r="DD632" s="214"/>
      <c r="DE632" s="214"/>
      <c r="DF632" s="214"/>
      <c r="DG632" s="82"/>
    </row>
    <row r="633" spans="2:111" ht="9" customHeight="1">
      <c r="B633" s="232"/>
      <c r="C633" s="232"/>
      <c r="D633" s="232"/>
      <c r="E633" s="232"/>
      <c r="F633" s="232"/>
      <c r="G633" s="232"/>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S633" s="393"/>
      <c r="AT633" s="393"/>
      <c r="AU633" s="393"/>
      <c r="AV633" s="393"/>
      <c r="AW633" s="393"/>
      <c r="AX633" s="393"/>
      <c r="AY633" s="393"/>
      <c r="AZ633" s="393"/>
      <c r="BA633" s="393"/>
      <c r="BC633" s="82"/>
      <c r="BD633" s="82"/>
      <c r="BE633" s="82"/>
      <c r="BF633" s="82"/>
      <c r="BG633" s="82"/>
      <c r="BH633" s="214"/>
      <c r="BI633" s="214"/>
      <c r="BJ633" s="214"/>
      <c r="BK633" s="214"/>
      <c r="BL633" s="214"/>
      <c r="BM633" s="214"/>
      <c r="BN633" s="214"/>
      <c r="BO633" s="214"/>
      <c r="BP633" s="214"/>
      <c r="BQ633" s="214"/>
      <c r="BR633" s="214"/>
      <c r="BS633" s="214"/>
      <c r="BT633" s="214"/>
      <c r="BU633" s="214"/>
      <c r="BV633" s="214"/>
      <c r="BW633" s="214"/>
      <c r="BX633" s="214"/>
      <c r="BY633" s="214"/>
      <c r="BZ633" s="214"/>
      <c r="CA633" s="214"/>
      <c r="CB633" s="214"/>
      <c r="CC633" s="214"/>
      <c r="CD633" s="214"/>
      <c r="CE633" s="214"/>
      <c r="CF633" s="214"/>
      <c r="CG633" s="214"/>
      <c r="CH633" s="214"/>
      <c r="CI633" s="214"/>
      <c r="CJ633" s="214"/>
      <c r="CK633" s="214"/>
      <c r="CL633" s="214"/>
      <c r="CM633" s="214"/>
      <c r="CN633" s="214"/>
      <c r="CO633" s="214"/>
      <c r="CP633" s="214"/>
      <c r="CQ633" s="214"/>
      <c r="CR633" s="214"/>
      <c r="CS633" s="214"/>
      <c r="CT633" s="214"/>
      <c r="CU633" s="214"/>
      <c r="CV633" s="214"/>
      <c r="CW633" s="214"/>
      <c r="CX633" s="214"/>
      <c r="CY633" s="214"/>
      <c r="CZ633" s="214"/>
      <c r="DA633" s="214"/>
      <c r="DB633" s="214"/>
      <c r="DC633" s="214"/>
      <c r="DD633" s="214"/>
      <c r="DE633" s="214"/>
      <c r="DF633" s="214"/>
      <c r="DG633" s="82"/>
    </row>
    <row r="634" spans="2:111" ht="4.5" customHeight="1">
      <c r="BC634" s="82"/>
      <c r="BD634" s="82"/>
      <c r="BE634" s="82"/>
      <c r="BF634" s="82"/>
      <c r="BG634" s="82"/>
      <c r="BH634" s="214"/>
      <c r="BI634" s="214"/>
      <c r="BJ634" s="214"/>
      <c r="BK634" s="214"/>
      <c r="BL634" s="214"/>
      <c r="BM634" s="214"/>
      <c r="BN634" s="214"/>
      <c r="BO634" s="214"/>
      <c r="BP634" s="214"/>
      <c r="BQ634" s="214"/>
      <c r="BR634" s="214"/>
      <c r="BS634" s="214"/>
      <c r="BT634" s="214"/>
      <c r="BU634" s="214"/>
      <c r="BV634" s="214"/>
      <c r="BW634" s="214"/>
      <c r="BX634" s="214"/>
      <c r="BY634" s="214"/>
      <c r="BZ634" s="214"/>
      <c r="CA634" s="214"/>
      <c r="CB634" s="214"/>
      <c r="CC634" s="214"/>
      <c r="CD634" s="214"/>
      <c r="CE634" s="214"/>
      <c r="CF634" s="214"/>
      <c r="CG634" s="214"/>
      <c r="CH634" s="214"/>
      <c r="CI634" s="214"/>
      <c r="CJ634" s="214"/>
      <c r="CK634" s="214"/>
      <c r="CL634" s="214"/>
      <c r="CM634" s="214"/>
      <c r="CN634" s="214"/>
      <c r="CO634" s="214"/>
      <c r="CP634" s="214"/>
      <c r="CQ634" s="214"/>
      <c r="CR634" s="214"/>
      <c r="CS634" s="214"/>
      <c r="CT634" s="214"/>
      <c r="CU634" s="214"/>
      <c r="CV634" s="214"/>
      <c r="CW634" s="214"/>
      <c r="CX634" s="214"/>
      <c r="CY634" s="214"/>
      <c r="CZ634" s="214"/>
      <c r="DA634" s="214"/>
      <c r="DB634" s="214"/>
      <c r="DC634" s="214"/>
      <c r="DD634" s="214"/>
      <c r="DE634" s="214"/>
      <c r="DF634" s="214"/>
      <c r="DG634" s="82"/>
    </row>
    <row r="635" spans="2:111" ht="9" customHeight="1">
      <c r="I635" s="229" t="str">
        <f>IF($U$629&gt;=1,"Início:","")</f>
        <v>Início:</v>
      </c>
      <c r="J635" s="229"/>
      <c r="K635" s="229"/>
      <c r="L635" s="229"/>
      <c r="M635" s="229"/>
      <c r="N635" s="229"/>
      <c r="P635" s="235">
        <v>43800</v>
      </c>
      <c r="Q635" s="235"/>
      <c r="R635" s="235"/>
      <c r="S635" s="235"/>
      <c r="T635" s="235"/>
      <c r="U635" s="235"/>
      <c r="V635" s="235"/>
      <c r="W635" s="235"/>
      <c r="Y635" s="229" t="str">
        <f>IF($U$629&gt;=1,"Término:","")</f>
        <v>Término:</v>
      </c>
      <c r="Z635" s="229"/>
      <c r="AA635" s="229"/>
      <c r="AB635" s="229"/>
      <c r="AC635" s="229"/>
      <c r="AD635" s="229"/>
      <c r="AF635" s="235">
        <v>43891</v>
      </c>
      <c r="AG635" s="235"/>
      <c r="AH635" s="235"/>
      <c r="AI635" s="235"/>
      <c r="AJ635" s="235"/>
      <c r="AK635" s="235"/>
      <c r="AL635" s="235"/>
      <c r="AM635" s="235"/>
      <c r="AW635" s="236" t="str">
        <f>IF($U$629&gt;=1,"Valor (R$):","")</f>
        <v>Valor (R$):</v>
      </c>
      <c r="AX635" s="236"/>
      <c r="AY635" s="236"/>
      <c r="AZ635" s="236"/>
      <c r="BA635" s="236"/>
      <c r="BC635" s="82"/>
      <c r="BD635" s="82"/>
      <c r="BE635" s="82"/>
      <c r="BF635" s="82"/>
      <c r="BG635" s="82"/>
      <c r="BH635" s="214"/>
      <c r="BI635" s="214"/>
      <c r="BJ635" s="214"/>
      <c r="BK635" s="214"/>
      <c r="BL635" s="214"/>
      <c r="BM635" s="214"/>
      <c r="BN635" s="214"/>
      <c r="BO635" s="214"/>
      <c r="BP635" s="214"/>
      <c r="BQ635" s="214"/>
      <c r="BR635" s="214"/>
      <c r="BS635" s="214"/>
      <c r="BT635" s="214"/>
      <c r="BU635" s="214"/>
      <c r="BV635" s="214"/>
      <c r="BW635" s="214"/>
      <c r="BX635" s="214"/>
      <c r="BY635" s="214"/>
      <c r="BZ635" s="214"/>
      <c r="CA635" s="214"/>
      <c r="CB635" s="214"/>
      <c r="CC635" s="214"/>
      <c r="CD635" s="214"/>
      <c r="CE635" s="214"/>
      <c r="CF635" s="214"/>
      <c r="CG635" s="214"/>
      <c r="CH635" s="214"/>
      <c r="CI635" s="214"/>
      <c r="CJ635" s="214"/>
      <c r="CK635" s="214"/>
      <c r="CL635" s="214"/>
      <c r="CM635" s="214"/>
      <c r="CN635" s="214"/>
      <c r="CO635" s="214"/>
      <c r="CP635" s="214"/>
      <c r="CQ635" s="214"/>
      <c r="CR635" s="214"/>
      <c r="CS635" s="214"/>
      <c r="CT635" s="214"/>
      <c r="CU635" s="214"/>
      <c r="CV635" s="214"/>
      <c r="CW635" s="214"/>
      <c r="CX635" s="214"/>
      <c r="CY635" s="214"/>
      <c r="CZ635" s="214"/>
      <c r="DA635" s="214"/>
      <c r="DB635" s="214"/>
      <c r="DC635" s="214"/>
      <c r="DD635" s="214"/>
      <c r="DE635" s="214"/>
      <c r="DF635" s="214"/>
      <c r="DG635" s="82"/>
    </row>
    <row r="636" spans="2:111" ht="9" customHeight="1">
      <c r="I636" s="229"/>
      <c r="J636" s="229"/>
      <c r="K636" s="229"/>
      <c r="L636" s="229"/>
      <c r="M636" s="229"/>
      <c r="N636" s="229"/>
      <c r="P636" s="235"/>
      <c r="Q636" s="235"/>
      <c r="R636" s="235"/>
      <c r="S636" s="235"/>
      <c r="T636" s="235"/>
      <c r="U636" s="235"/>
      <c r="V636" s="235"/>
      <c r="W636" s="235"/>
      <c r="Y636" s="229"/>
      <c r="Z636" s="229"/>
      <c r="AA636" s="229"/>
      <c r="AB636" s="229"/>
      <c r="AC636" s="229"/>
      <c r="AD636" s="229"/>
      <c r="AF636" s="235"/>
      <c r="AG636" s="235"/>
      <c r="AH636" s="235"/>
      <c r="AI636" s="235"/>
      <c r="AJ636" s="235"/>
      <c r="AK636" s="235"/>
      <c r="AL636" s="235"/>
      <c r="AM636" s="235"/>
      <c r="AW636" s="236"/>
      <c r="AX636" s="236"/>
      <c r="AY636" s="236"/>
      <c r="AZ636" s="236"/>
      <c r="BA636" s="236"/>
      <c r="BC636" s="82"/>
      <c r="BD636" s="82"/>
      <c r="BE636" s="82"/>
      <c r="BF636" s="82"/>
      <c r="BG636" s="82"/>
      <c r="BH636" s="83"/>
      <c r="BI636" s="83"/>
      <c r="BJ636" s="83"/>
      <c r="BK636" s="83"/>
      <c r="BL636" s="83"/>
      <c r="BM636" s="83"/>
      <c r="BN636" s="83"/>
      <c r="BO636" s="83"/>
      <c r="BP636" s="83"/>
      <c r="BQ636" s="83"/>
      <c r="BR636" s="83"/>
      <c r="BS636" s="83"/>
      <c r="BT636" s="83"/>
      <c r="BU636" s="83"/>
      <c r="BV636" s="83"/>
      <c r="BW636" s="83"/>
      <c r="BX636" s="83"/>
      <c r="BY636" s="83"/>
      <c r="BZ636" s="83"/>
      <c r="CA636" s="83"/>
      <c r="CB636" s="83"/>
      <c r="CC636" s="83"/>
      <c r="CD636" s="83"/>
      <c r="CE636" s="83"/>
      <c r="CF636" s="83"/>
      <c r="CG636" s="83"/>
      <c r="CH636" s="83"/>
      <c r="CI636" s="83"/>
      <c r="CJ636" s="83"/>
      <c r="CK636" s="83"/>
      <c r="CL636" s="83"/>
      <c r="CM636" s="83"/>
      <c r="CN636" s="83"/>
      <c r="CO636" s="83"/>
      <c r="CP636" s="83"/>
      <c r="CQ636" s="83"/>
      <c r="CR636" s="83"/>
      <c r="CS636" s="83"/>
      <c r="CT636" s="83"/>
      <c r="CU636" s="83"/>
      <c r="CV636" s="83"/>
      <c r="CW636" s="83"/>
      <c r="CX636" s="83"/>
      <c r="CY636" s="83"/>
      <c r="CZ636" s="83"/>
      <c r="DA636" s="83"/>
      <c r="DB636" s="83"/>
      <c r="DC636" s="83"/>
      <c r="DD636" s="83"/>
      <c r="DE636" s="83"/>
      <c r="DF636" s="83"/>
      <c r="DG636" s="82"/>
    </row>
    <row r="637" spans="2:111" ht="4.5" customHeight="1">
      <c r="BC637" s="82"/>
      <c r="BD637" s="82"/>
      <c r="BE637" s="82"/>
      <c r="BF637" s="82"/>
      <c r="BG637" s="82"/>
      <c r="BH637" s="82"/>
      <c r="BI637" s="82"/>
      <c r="BJ637" s="82"/>
      <c r="BK637" s="82"/>
      <c r="BL637" s="82"/>
      <c r="BM637" s="82"/>
      <c r="BN637" s="82"/>
      <c r="BO637" s="82"/>
      <c r="BP637" s="82"/>
      <c r="BQ637" s="82"/>
      <c r="BR637" s="82"/>
      <c r="BS637" s="82"/>
      <c r="BT637" s="82"/>
      <c r="BU637" s="82"/>
      <c r="BV637" s="82"/>
      <c r="BW637" s="82"/>
      <c r="BX637" s="82"/>
      <c r="BY637" s="82"/>
      <c r="BZ637" s="82"/>
      <c r="CA637" s="82"/>
      <c r="CB637" s="82"/>
      <c r="CC637" s="82"/>
      <c r="CD637" s="82"/>
      <c r="CE637" s="82"/>
      <c r="CF637" s="82"/>
      <c r="CG637" s="82"/>
      <c r="CH637" s="82"/>
      <c r="CI637" s="82"/>
      <c r="CJ637" s="82"/>
      <c r="CK637" s="82"/>
      <c r="CL637" s="82"/>
      <c r="CM637" s="82"/>
      <c r="CN637" s="82"/>
      <c r="CO637" s="82"/>
      <c r="CP637" s="82"/>
      <c r="CQ637" s="82"/>
      <c r="CR637" s="82"/>
      <c r="CS637" s="82"/>
      <c r="CT637" s="82"/>
      <c r="CU637" s="82"/>
      <c r="CV637" s="82"/>
      <c r="CW637" s="82"/>
      <c r="CX637" s="82"/>
      <c r="CY637" s="82"/>
      <c r="CZ637" s="82"/>
      <c r="DA637" s="82"/>
      <c r="DB637" s="82"/>
      <c r="DC637" s="82"/>
      <c r="DD637" s="82"/>
      <c r="DE637" s="82"/>
      <c r="DF637" s="82"/>
      <c r="DG637" s="82"/>
    </row>
    <row r="638" spans="2:111" ht="9" customHeight="1">
      <c r="B638" s="229" t="str">
        <f>IF($U$629&gt;=1,"Elementos de Despesa:","")</f>
        <v>Elementos de Despesa:</v>
      </c>
      <c r="C638" s="229"/>
      <c r="D638" s="229"/>
      <c r="E638" s="229"/>
      <c r="F638" s="229"/>
      <c r="G638" s="229"/>
      <c r="H638" s="229"/>
      <c r="I638" s="229"/>
      <c r="J638" s="229"/>
      <c r="K638" s="229"/>
      <c r="L638" s="229"/>
      <c r="M638" s="229"/>
      <c r="N638" s="229"/>
      <c r="P638" s="230" t="s">
        <v>216</v>
      </c>
      <c r="Q638" s="230"/>
      <c r="R638" s="230"/>
      <c r="S638" s="230"/>
      <c r="T638" s="230"/>
      <c r="U638" s="230"/>
      <c r="V638" s="230"/>
      <c r="W638" s="230"/>
      <c r="X638" s="230"/>
      <c r="Y638" s="230"/>
      <c r="Z638" s="230"/>
      <c r="AA638" s="230"/>
      <c r="AB638" s="230"/>
      <c r="AC638" s="230"/>
      <c r="AD638" s="230"/>
      <c r="AE638" s="230"/>
      <c r="AF638" s="230"/>
      <c r="AG638" s="230"/>
      <c r="AH638" s="230"/>
      <c r="AI638" s="230"/>
      <c r="AJ638" s="230"/>
      <c r="AK638" s="230"/>
      <c r="AL638" s="230"/>
      <c r="AM638" s="230"/>
      <c r="AN638" s="230"/>
      <c r="AO638" s="230"/>
      <c r="AP638" s="230"/>
      <c r="AQ638" s="230"/>
      <c r="AS638" s="231">
        <v>112340</v>
      </c>
      <c r="AT638" s="231"/>
      <c r="AU638" s="231"/>
      <c r="AV638" s="231"/>
      <c r="AW638" s="231"/>
      <c r="AX638" s="231"/>
      <c r="AY638" s="231"/>
      <c r="AZ638" s="231"/>
      <c r="BA638" s="231"/>
      <c r="BC638" s="82"/>
      <c r="BD638" s="82"/>
      <c r="BE638" s="82"/>
      <c r="BF638" s="82"/>
      <c r="BG638" s="82"/>
      <c r="BH638" s="214" t="s">
        <v>308</v>
      </c>
      <c r="BI638" s="214"/>
      <c r="BJ638" s="214"/>
      <c r="BK638" s="214"/>
      <c r="BL638" s="214"/>
      <c r="BM638" s="214"/>
      <c r="BN638" s="214"/>
      <c r="BO638" s="214"/>
      <c r="BP638" s="214"/>
      <c r="BQ638" s="214"/>
      <c r="BR638" s="214"/>
      <c r="BS638" s="214"/>
      <c r="BT638" s="214"/>
      <c r="BU638" s="214"/>
      <c r="BV638" s="214"/>
      <c r="BW638" s="214"/>
      <c r="BX638" s="214"/>
      <c r="BY638" s="214"/>
      <c r="BZ638" s="214"/>
      <c r="CA638" s="214"/>
      <c r="CB638" s="214"/>
      <c r="CC638" s="214"/>
      <c r="CD638" s="214"/>
      <c r="CE638" s="214"/>
      <c r="CF638" s="214"/>
      <c r="CG638" s="214"/>
      <c r="CH638" s="214"/>
      <c r="CI638" s="214"/>
      <c r="CJ638" s="214"/>
      <c r="CK638" s="214"/>
      <c r="CL638" s="214"/>
      <c r="CM638" s="214"/>
      <c r="CN638" s="214"/>
      <c r="CO638" s="214"/>
      <c r="CP638" s="214"/>
      <c r="CQ638" s="214"/>
      <c r="CR638" s="214"/>
      <c r="CS638" s="214"/>
      <c r="CT638" s="214"/>
      <c r="CU638" s="214"/>
      <c r="CV638" s="214"/>
      <c r="CW638" s="214"/>
      <c r="CX638" s="214"/>
      <c r="CY638" s="214"/>
      <c r="CZ638" s="214"/>
      <c r="DA638" s="214"/>
      <c r="DB638" s="214"/>
      <c r="DC638" s="214"/>
      <c r="DD638" s="214"/>
      <c r="DE638" s="214"/>
      <c r="DF638" s="214"/>
      <c r="DG638" s="82"/>
    </row>
    <row r="639" spans="2:111" ht="9" customHeight="1">
      <c r="B639" s="229"/>
      <c r="C639" s="229"/>
      <c r="D639" s="229"/>
      <c r="E639" s="229"/>
      <c r="F639" s="229"/>
      <c r="G639" s="229"/>
      <c r="H639" s="229"/>
      <c r="I639" s="229"/>
      <c r="J639" s="229"/>
      <c r="K639" s="229"/>
      <c r="L639" s="229"/>
      <c r="M639" s="229"/>
      <c r="N639" s="229"/>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230"/>
      <c r="AL639" s="230"/>
      <c r="AM639" s="230"/>
      <c r="AN639" s="230"/>
      <c r="AO639" s="230"/>
      <c r="AP639" s="230"/>
      <c r="AQ639" s="230"/>
      <c r="AS639" s="231"/>
      <c r="AT639" s="231"/>
      <c r="AU639" s="231"/>
      <c r="AV639" s="231"/>
      <c r="AW639" s="231"/>
      <c r="AX639" s="231"/>
      <c r="AY639" s="231"/>
      <c r="AZ639" s="231"/>
      <c r="BA639" s="231"/>
      <c r="BC639" s="82"/>
      <c r="BD639" s="82"/>
      <c r="BE639" s="82"/>
      <c r="BF639" s="82"/>
      <c r="BG639" s="82"/>
      <c r="BH639" s="214"/>
      <c r="BI639" s="214"/>
      <c r="BJ639" s="214"/>
      <c r="BK639" s="214"/>
      <c r="BL639" s="214"/>
      <c r="BM639" s="214"/>
      <c r="BN639" s="214"/>
      <c r="BO639" s="214"/>
      <c r="BP639" s="214"/>
      <c r="BQ639" s="214"/>
      <c r="BR639" s="214"/>
      <c r="BS639" s="214"/>
      <c r="BT639" s="214"/>
      <c r="BU639" s="214"/>
      <c r="BV639" s="214"/>
      <c r="BW639" s="214"/>
      <c r="BX639" s="214"/>
      <c r="BY639" s="214"/>
      <c r="BZ639" s="214"/>
      <c r="CA639" s="214"/>
      <c r="CB639" s="214"/>
      <c r="CC639" s="214"/>
      <c r="CD639" s="214"/>
      <c r="CE639" s="214"/>
      <c r="CF639" s="214"/>
      <c r="CG639" s="214"/>
      <c r="CH639" s="214"/>
      <c r="CI639" s="214"/>
      <c r="CJ639" s="214"/>
      <c r="CK639" s="214"/>
      <c r="CL639" s="214"/>
      <c r="CM639" s="214"/>
      <c r="CN639" s="214"/>
      <c r="CO639" s="214"/>
      <c r="CP639" s="214"/>
      <c r="CQ639" s="214"/>
      <c r="CR639" s="214"/>
      <c r="CS639" s="214"/>
      <c r="CT639" s="214"/>
      <c r="CU639" s="214"/>
      <c r="CV639" s="214"/>
      <c r="CW639" s="214"/>
      <c r="CX639" s="214"/>
      <c r="CY639" s="214"/>
      <c r="CZ639" s="214"/>
      <c r="DA639" s="214"/>
      <c r="DB639" s="214"/>
      <c r="DC639" s="214"/>
      <c r="DD639" s="214"/>
      <c r="DE639" s="214"/>
      <c r="DF639" s="214"/>
      <c r="DG639" s="82"/>
    </row>
    <row r="640" spans="2:111" ht="9" customHeight="1">
      <c r="B640" s="229"/>
      <c r="C640" s="229"/>
      <c r="D640" s="229"/>
      <c r="E640" s="229"/>
      <c r="F640" s="229"/>
      <c r="G640" s="229"/>
      <c r="H640" s="229"/>
      <c r="I640" s="229"/>
      <c r="J640" s="229"/>
      <c r="K640" s="229"/>
      <c r="L640" s="229"/>
      <c r="M640" s="229"/>
      <c r="N640" s="229"/>
      <c r="P640" s="230"/>
      <c r="Q640" s="230"/>
      <c r="R640" s="230"/>
      <c r="S640" s="230"/>
      <c r="T640" s="230"/>
      <c r="U640" s="230"/>
      <c r="V640" s="230"/>
      <c r="W640" s="230"/>
      <c r="X640" s="230"/>
      <c r="Y640" s="230"/>
      <c r="Z640" s="230"/>
      <c r="AA640" s="230"/>
      <c r="AB640" s="230"/>
      <c r="AC640" s="230"/>
      <c r="AD640" s="230"/>
      <c r="AE640" s="230"/>
      <c r="AF640" s="230"/>
      <c r="AG640" s="230"/>
      <c r="AH640" s="230"/>
      <c r="AI640" s="230"/>
      <c r="AJ640" s="230"/>
      <c r="AK640" s="230"/>
      <c r="AL640" s="230"/>
      <c r="AM640" s="230"/>
      <c r="AN640" s="230"/>
      <c r="AO640" s="230"/>
      <c r="AP640" s="230"/>
      <c r="AQ640" s="230"/>
      <c r="AS640" s="231"/>
      <c r="AT640" s="231"/>
      <c r="AU640" s="231"/>
      <c r="AV640" s="231"/>
      <c r="AW640" s="231"/>
      <c r="AX640" s="231"/>
      <c r="AY640" s="231"/>
      <c r="AZ640" s="231"/>
      <c r="BA640" s="231"/>
      <c r="BC640" s="82"/>
      <c r="BD640" s="82"/>
      <c r="BE640" s="82"/>
      <c r="BF640" s="82"/>
      <c r="BG640" s="82"/>
      <c r="BH640" s="214"/>
      <c r="BI640" s="214"/>
      <c r="BJ640" s="214"/>
      <c r="BK640" s="214"/>
      <c r="BL640" s="214"/>
      <c r="BM640" s="214"/>
      <c r="BN640" s="214"/>
      <c r="BO640" s="214"/>
      <c r="BP640" s="214"/>
      <c r="BQ640" s="214"/>
      <c r="BR640" s="214"/>
      <c r="BS640" s="214"/>
      <c r="BT640" s="214"/>
      <c r="BU640" s="214"/>
      <c r="BV640" s="214"/>
      <c r="BW640" s="214"/>
      <c r="BX640" s="214"/>
      <c r="BY640" s="214"/>
      <c r="BZ640" s="214"/>
      <c r="CA640" s="214"/>
      <c r="CB640" s="214"/>
      <c r="CC640" s="214"/>
      <c r="CD640" s="214"/>
      <c r="CE640" s="214"/>
      <c r="CF640" s="214"/>
      <c r="CG640" s="214"/>
      <c r="CH640" s="214"/>
      <c r="CI640" s="214"/>
      <c r="CJ640" s="214"/>
      <c r="CK640" s="214"/>
      <c r="CL640" s="214"/>
      <c r="CM640" s="214"/>
      <c r="CN640" s="214"/>
      <c r="CO640" s="214"/>
      <c r="CP640" s="214"/>
      <c r="CQ640" s="214"/>
      <c r="CR640" s="214"/>
      <c r="CS640" s="214"/>
      <c r="CT640" s="214"/>
      <c r="CU640" s="214"/>
      <c r="CV640" s="214"/>
      <c r="CW640" s="214"/>
      <c r="CX640" s="214"/>
      <c r="CY640" s="214"/>
      <c r="CZ640" s="214"/>
      <c r="DA640" s="214"/>
      <c r="DB640" s="214"/>
      <c r="DC640" s="214"/>
      <c r="DD640" s="214"/>
      <c r="DE640" s="214"/>
      <c r="DF640" s="214"/>
      <c r="DG640" s="82"/>
    </row>
    <row r="641" spans="2:111" ht="9" customHeight="1">
      <c r="B641" s="229"/>
      <c r="C641" s="229"/>
      <c r="D641" s="229"/>
      <c r="E641" s="229"/>
      <c r="F641" s="229"/>
      <c r="G641" s="229"/>
      <c r="H641" s="229"/>
      <c r="I641" s="229"/>
      <c r="J641" s="229"/>
      <c r="K641" s="229"/>
      <c r="L641" s="229"/>
      <c r="M641" s="229"/>
      <c r="N641" s="229"/>
      <c r="P641" s="230"/>
      <c r="Q641" s="230"/>
      <c r="R641" s="230"/>
      <c r="S641" s="230"/>
      <c r="T641" s="230"/>
      <c r="U641" s="230"/>
      <c r="V641" s="230"/>
      <c r="W641" s="230"/>
      <c r="X641" s="230"/>
      <c r="Y641" s="230"/>
      <c r="Z641" s="230"/>
      <c r="AA641" s="230"/>
      <c r="AB641" s="230"/>
      <c r="AC641" s="230"/>
      <c r="AD641" s="230"/>
      <c r="AE641" s="230"/>
      <c r="AF641" s="230"/>
      <c r="AG641" s="230"/>
      <c r="AH641" s="230"/>
      <c r="AI641" s="230"/>
      <c r="AJ641" s="230"/>
      <c r="AK641" s="230"/>
      <c r="AL641" s="230"/>
      <c r="AM641" s="230"/>
      <c r="AN641" s="230"/>
      <c r="AO641" s="230"/>
      <c r="AP641" s="230"/>
      <c r="AQ641" s="230"/>
      <c r="AS641" s="231"/>
      <c r="AT641" s="231"/>
      <c r="AU641" s="231"/>
      <c r="AV641" s="231"/>
      <c r="AW641" s="231"/>
      <c r="AX641" s="231"/>
      <c r="AY641" s="231"/>
      <c r="AZ641" s="231"/>
      <c r="BA641" s="231"/>
      <c r="BC641" s="82"/>
      <c r="BD641" s="82"/>
      <c r="BE641" s="82"/>
      <c r="BF641" s="82"/>
      <c r="BG641" s="82"/>
      <c r="BH641" s="214"/>
      <c r="BI641" s="214"/>
      <c r="BJ641" s="214"/>
      <c r="BK641" s="214"/>
      <c r="BL641" s="214"/>
      <c r="BM641" s="214"/>
      <c r="BN641" s="214"/>
      <c r="BO641" s="214"/>
      <c r="BP641" s="214"/>
      <c r="BQ641" s="214"/>
      <c r="BR641" s="214"/>
      <c r="BS641" s="214"/>
      <c r="BT641" s="214"/>
      <c r="BU641" s="214"/>
      <c r="BV641" s="214"/>
      <c r="BW641" s="214"/>
      <c r="BX641" s="214"/>
      <c r="BY641" s="214"/>
      <c r="BZ641" s="214"/>
      <c r="CA641" s="214"/>
      <c r="CB641" s="214"/>
      <c r="CC641" s="214"/>
      <c r="CD641" s="214"/>
      <c r="CE641" s="214"/>
      <c r="CF641" s="214"/>
      <c r="CG641" s="214"/>
      <c r="CH641" s="214"/>
      <c r="CI641" s="214"/>
      <c r="CJ641" s="214"/>
      <c r="CK641" s="214"/>
      <c r="CL641" s="214"/>
      <c r="CM641" s="214"/>
      <c r="CN641" s="214"/>
      <c r="CO641" s="214"/>
      <c r="CP641" s="214"/>
      <c r="CQ641" s="214"/>
      <c r="CR641" s="214"/>
      <c r="CS641" s="214"/>
      <c r="CT641" s="214"/>
      <c r="CU641" s="214"/>
      <c r="CV641" s="214"/>
      <c r="CW641" s="214"/>
      <c r="CX641" s="214"/>
      <c r="CY641" s="214"/>
      <c r="CZ641" s="214"/>
      <c r="DA641" s="214"/>
      <c r="DB641" s="214"/>
      <c r="DC641" s="214"/>
      <c r="DD641" s="214"/>
      <c r="DE641" s="214"/>
      <c r="DF641" s="214"/>
      <c r="DG641" s="82"/>
    </row>
    <row r="642" spans="2:111" ht="9" customHeight="1">
      <c r="B642" s="229"/>
      <c r="C642" s="229"/>
      <c r="D642" s="229"/>
      <c r="E642" s="229"/>
      <c r="F642" s="229"/>
      <c r="G642" s="229"/>
      <c r="H642" s="229"/>
      <c r="I642" s="229"/>
      <c r="J642" s="229"/>
      <c r="K642" s="229"/>
      <c r="L642" s="229"/>
      <c r="M642" s="229"/>
      <c r="N642" s="229"/>
      <c r="P642" s="230"/>
      <c r="Q642" s="230"/>
      <c r="R642" s="230"/>
      <c r="S642" s="230"/>
      <c r="T642" s="230"/>
      <c r="U642" s="230"/>
      <c r="V642" s="230"/>
      <c r="W642" s="230"/>
      <c r="X642" s="230"/>
      <c r="Y642" s="230"/>
      <c r="Z642" s="230"/>
      <c r="AA642" s="230"/>
      <c r="AB642" s="230"/>
      <c r="AC642" s="230"/>
      <c r="AD642" s="230"/>
      <c r="AE642" s="230"/>
      <c r="AF642" s="230"/>
      <c r="AG642" s="230"/>
      <c r="AH642" s="230"/>
      <c r="AI642" s="230"/>
      <c r="AJ642" s="230"/>
      <c r="AK642" s="230"/>
      <c r="AL642" s="230"/>
      <c r="AM642" s="230"/>
      <c r="AN642" s="230"/>
      <c r="AO642" s="230"/>
      <c r="AP642" s="230"/>
      <c r="AQ642" s="230"/>
      <c r="AS642" s="231"/>
      <c r="AT642" s="231"/>
      <c r="AU642" s="231"/>
      <c r="AV642" s="231"/>
      <c r="AW642" s="231"/>
      <c r="AX642" s="231"/>
      <c r="AY642" s="231"/>
      <c r="AZ642" s="231"/>
      <c r="BA642" s="231"/>
      <c r="BC642" s="82"/>
      <c r="BD642" s="82"/>
      <c r="BE642" s="82"/>
      <c r="BF642" s="82"/>
      <c r="BG642" s="82"/>
      <c r="BH642" s="214"/>
      <c r="BI642" s="214"/>
      <c r="BJ642" s="214"/>
      <c r="BK642" s="214"/>
      <c r="BL642" s="214"/>
      <c r="BM642" s="214"/>
      <c r="BN642" s="214"/>
      <c r="BO642" s="214"/>
      <c r="BP642" s="214"/>
      <c r="BQ642" s="214"/>
      <c r="BR642" s="214"/>
      <c r="BS642" s="214"/>
      <c r="BT642" s="214"/>
      <c r="BU642" s="214"/>
      <c r="BV642" s="214"/>
      <c r="BW642" s="214"/>
      <c r="BX642" s="214"/>
      <c r="BY642" s="214"/>
      <c r="BZ642" s="214"/>
      <c r="CA642" s="214"/>
      <c r="CB642" s="214"/>
      <c r="CC642" s="214"/>
      <c r="CD642" s="214"/>
      <c r="CE642" s="214"/>
      <c r="CF642" s="214"/>
      <c r="CG642" s="214"/>
      <c r="CH642" s="214"/>
      <c r="CI642" s="214"/>
      <c r="CJ642" s="214"/>
      <c r="CK642" s="214"/>
      <c r="CL642" s="214"/>
      <c r="CM642" s="214"/>
      <c r="CN642" s="214"/>
      <c r="CO642" s="214"/>
      <c r="CP642" s="214"/>
      <c r="CQ642" s="214"/>
      <c r="CR642" s="214"/>
      <c r="CS642" s="214"/>
      <c r="CT642" s="214"/>
      <c r="CU642" s="214"/>
      <c r="CV642" s="214"/>
      <c r="CW642" s="214"/>
      <c r="CX642" s="214"/>
      <c r="CY642" s="214"/>
      <c r="CZ642" s="214"/>
      <c r="DA642" s="214"/>
      <c r="DB642" s="214"/>
      <c r="DC642" s="214"/>
      <c r="DD642" s="214"/>
      <c r="DE642" s="214"/>
      <c r="DF642" s="214"/>
      <c r="DG642" s="82"/>
    </row>
    <row r="643" spans="2:111" ht="9" customHeight="1">
      <c r="B643" s="229"/>
      <c r="C643" s="229"/>
      <c r="D643" s="229"/>
      <c r="E643" s="229"/>
      <c r="F643" s="229"/>
      <c r="G643" s="229"/>
      <c r="H643" s="229"/>
      <c r="I643" s="229"/>
      <c r="J643" s="229"/>
      <c r="K643" s="229"/>
      <c r="L643" s="229"/>
      <c r="M643" s="229"/>
      <c r="N643" s="229"/>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S643" s="231"/>
      <c r="AT643" s="231"/>
      <c r="AU643" s="231"/>
      <c r="AV643" s="231"/>
      <c r="AW643" s="231"/>
      <c r="AX643" s="231"/>
      <c r="AY643" s="231"/>
      <c r="AZ643" s="231"/>
      <c r="BA643" s="231"/>
      <c r="BC643" s="82"/>
      <c r="BD643" s="82"/>
      <c r="BE643" s="82"/>
      <c r="BF643" s="82"/>
      <c r="BG643" s="82"/>
      <c r="BH643" s="214"/>
      <c r="BI643" s="214"/>
      <c r="BJ643" s="214"/>
      <c r="BK643" s="214"/>
      <c r="BL643" s="214"/>
      <c r="BM643" s="214"/>
      <c r="BN643" s="214"/>
      <c r="BO643" s="214"/>
      <c r="BP643" s="214"/>
      <c r="BQ643" s="214"/>
      <c r="BR643" s="214"/>
      <c r="BS643" s="214"/>
      <c r="BT643" s="214"/>
      <c r="BU643" s="214"/>
      <c r="BV643" s="214"/>
      <c r="BW643" s="214"/>
      <c r="BX643" s="214"/>
      <c r="BY643" s="214"/>
      <c r="BZ643" s="214"/>
      <c r="CA643" s="214"/>
      <c r="CB643" s="214"/>
      <c r="CC643" s="214"/>
      <c r="CD643" s="214"/>
      <c r="CE643" s="214"/>
      <c r="CF643" s="214"/>
      <c r="CG643" s="214"/>
      <c r="CH643" s="214"/>
      <c r="CI643" s="214"/>
      <c r="CJ643" s="214"/>
      <c r="CK643" s="214"/>
      <c r="CL643" s="214"/>
      <c r="CM643" s="214"/>
      <c r="CN643" s="214"/>
      <c r="CO643" s="214"/>
      <c r="CP643" s="214"/>
      <c r="CQ643" s="214"/>
      <c r="CR643" s="214"/>
      <c r="CS643" s="214"/>
      <c r="CT643" s="214"/>
      <c r="CU643" s="214"/>
      <c r="CV643" s="214"/>
      <c r="CW643" s="214"/>
      <c r="CX643" s="214"/>
      <c r="CY643" s="214"/>
      <c r="CZ643" s="214"/>
      <c r="DA643" s="214"/>
      <c r="DB643" s="214"/>
      <c r="DC643" s="214"/>
      <c r="DD643" s="214"/>
      <c r="DE643" s="214"/>
      <c r="DF643" s="214"/>
      <c r="DG643" s="82"/>
    </row>
    <row r="644" spans="2:111" ht="9" customHeight="1">
      <c r="B644" s="229"/>
      <c r="C644" s="229"/>
      <c r="D644" s="229"/>
      <c r="E644" s="229"/>
      <c r="F644" s="229"/>
      <c r="G644" s="229"/>
      <c r="H644" s="229"/>
      <c r="I644" s="229"/>
      <c r="J644" s="229"/>
      <c r="K644" s="229"/>
      <c r="L644" s="229"/>
      <c r="M644" s="229"/>
      <c r="N644" s="229"/>
      <c r="P644" s="230"/>
      <c r="Q644" s="230"/>
      <c r="R644" s="230"/>
      <c r="S644" s="230"/>
      <c r="T644" s="230"/>
      <c r="U644" s="230"/>
      <c r="V644" s="230"/>
      <c r="W644" s="230"/>
      <c r="X644" s="230"/>
      <c r="Y644" s="230"/>
      <c r="Z644" s="230"/>
      <c r="AA644" s="230"/>
      <c r="AB644" s="230"/>
      <c r="AC644" s="230"/>
      <c r="AD644" s="230"/>
      <c r="AE644" s="230"/>
      <c r="AF644" s="230"/>
      <c r="AG644" s="230"/>
      <c r="AH644" s="230"/>
      <c r="AI644" s="230"/>
      <c r="AJ644" s="230"/>
      <c r="AK644" s="230"/>
      <c r="AL644" s="230"/>
      <c r="AM644" s="230"/>
      <c r="AN644" s="230"/>
      <c r="AO644" s="230"/>
      <c r="AP644" s="230"/>
      <c r="AQ644" s="230"/>
      <c r="AS644" s="231"/>
      <c r="AT644" s="231"/>
      <c r="AU644" s="231"/>
      <c r="AV644" s="231"/>
      <c r="AW644" s="231"/>
      <c r="AX644" s="231"/>
      <c r="AY644" s="231"/>
      <c r="AZ644" s="231"/>
      <c r="BA644" s="231"/>
      <c r="BC644" s="82"/>
      <c r="BD644" s="82"/>
      <c r="BE644" s="82"/>
      <c r="BF644" s="82"/>
      <c r="BG644" s="82"/>
      <c r="BH644" s="214"/>
      <c r="BI644" s="214"/>
      <c r="BJ644" s="214"/>
      <c r="BK644" s="214"/>
      <c r="BL644" s="214"/>
      <c r="BM644" s="214"/>
      <c r="BN644" s="214"/>
      <c r="BO644" s="214"/>
      <c r="BP644" s="214"/>
      <c r="BQ644" s="214"/>
      <c r="BR644" s="214"/>
      <c r="BS644" s="214"/>
      <c r="BT644" s="214"/>
      <c r="BU644" s="214"/>
      <c r="BV644" s="214"/>
      <c r="BW644" s="214"/>
      <c r="BX644" s="214"/>
      <c r="BY644" s="214"/>
      <c r="BZ644" s="214"/>
      <c r="CA644" s="214"/>
      <c r="CB644" s="214"/>
      <c r="CC644" s="214"/>
      <c r="CD644" s="214"/>
      <c r="CE644" s="214"/>
      <c r="CF644" s="214"/>
      <c r="CG644" s="214"/>
      <c r="CH644" s="214"/>
      <c r="CI644" s="214"/>
      <c r="CJ644" s="214"/>
      <c r="CK644" s="214"/>
      <c r="CL644" s="214"/>
      <c r="CM644" s="214"/>
      <c r="CN644" s="214"/>
      <c r="CO644" s="214"/>
      <c r="CP644" s="214"/>
      <c r="CQ644" s="214"/>
      <c r="CR644" s="214"/>
      <c r="CS644" s="214"/>
      <c r="CT644" s="214"/>
      <c r="CU644" s="214"/>
      <c r="CV644" s="214"/>
      <c r="CW644" s="214"/>
      <c r="CX644" s="214"/>
      <c r="CY644" s="214"/>
      <c r="CZ644" s="214"/>
      <c r="DA644" s="214"/>
      <c r="DB644" s="214"/>
      <c r="DC644" s="214"/>
      <c r="DD644" s="214"/>
      <c r="DE644" s="214"/>
      <c r="DF644" s="214"/>
      <c r="DG644" s="82"/>
    </row>
    <row r="645" spans="2:111" ht="9" customHeight="1">
      <c r="B645" s="229"/>
      <c r="C645" s="229"/>
      <c r="D645" s="229"/>
      <c r="E645" s="229"/>
      <c r="F645" s="229"/>
      <c r="G645" s="229"/>
      <c r="H645" s="229"/>
      <c r="I645" s="229"/>
      <c r="J645" s="229"/>
      <c r="K645" s="229"/>
      <c r="L645" s="229"/>
      <c r="M645" s="229"/>
      <c r="N645" s="229"/>
      <c r="P645" s="230"/>
      <c r="Q645" s="230"/>
      <c r="R645" s="230"/>
      <c r="S645" s="230"/>
      <c r="T645" s="230"/>
      <c r="U645" s="230"/>
      <c r="V645" s="230"/>
      <c r="W645" s="230"/>
      <c r="X645" s="230"/>
      <c r="Y645" s="230"/>
      <c r="Z645" s="230"/>
      <c r="AA645" s="230"/>
      <c r="AB645" s="230"/>
      <c r="AC645" s="230"/>
      <c r="AD645" s="230"/>
      <c r="AE645" s="230"/>
      <c r="AF645" s="230"/>
      <c r="AG645" s="230"/>
      <c r="AH645" s="230"/>
      <c r="AI645" s="230"/>
      <c r="AJ645" s="230"/>
      <c r="AK645" s="230"/>
      <c r="AL645" s="230"/>
      <c r="AM645" s="230"/>
      <c r="AN645" s="230"/>
      <c r="AO645" s="230"/>
      <c r="AP645" s="230"/>
      <c r="AQ645" s="230"/>
      <c r="AS645" s="231"/>
      <c r="AT645" s="231"/>
      <c r="AU645" s="231"/>
      <c r="AV645" s="231"/>
      <c r="AW645" s="231"/>
      <c r="AX645" s="231"/>
      <c r="AY645" s="231"/>
      <c r="AZ645" s="231"/>
      <c r="BA645" s="231"/>
      <c r="BC645" s="82"/>
      <c r="BD645" s="82"/>
      <c r="BE645" s="82"/>
      <c r="BF645" s="82"/>
      <c r="BG645" s="82"/>
      <c r="BH645" s="214"/>
      <c r="BI645" s="214"/>
      <c r="BJ645" s="214"/>
      <c r="BK645" s="214"/>
      <c r="BL645" s="214"/>
      <c r="BM645" s="214"/>
      <c r="BN645" s="214"/>
      <c r="BO645" s="214"/>
      <c r="BP645" s="214"/>
      <c r="BQ645" s="214"/>
      <c r="BR645" s="214"/>
      <c r="BS645" s="214"/>
      <c r="BT645" s="214"/>
      <c r="BU645" s="214"/>
      <c r="BV645" s="214"/>
      <c r="BW645" s="214"/>
      <c r="BX645" s="214"/>
      <c r="BY645" s="214"/>
      <c r="BZ645" s="214"/>
      <c r="CA645" s="214"/>
      <c r="CB645" s="214"/>
      <c r="CC645" s="214"/>
      <c r="CD645" s="214"/>
      <c r="CE645" s="214"/>
      <c r="CF645" s="214"/>
      <c r="CG645" s="214"/>
      <c r="CH645" s="214"/>
      <c r="CI645" s="214"/>
      <c r="CJ645" s="214"/>
      <c r="CK645" s="214"/>
      <c r="CL645" s="214"/>
      <c r="CM645" s="214"/>
      <c r="CN645" s="214"/>
      <c r="CO645" s="214"/>
      <c r="CP645" s="214"/>
      <c r="CQ645" s="214"/>
      <c r="CR645" s="214"/>
      <c r="CS645" s="214"/>
      <c r="CT645" s="214"/>
      <c r="CU645" s="214"/>
      <c r="CV645" s="214"/>
      <c r="CW645" s="214"/>
      <c r="CX645" s="214"/>
      <c r="CY645" s="214"/>
      <c r="CZ645" s="214"/>
      <c r="DA645" s="214"/>
      <c r="DB645" s="214"/>
      <c r="DC645" s="214"/>
      <c r="DD645" s="214"/>
      <c r="DE645" s="214"/>
      <c r="DF645" s="214"/>
      <c r="DG645" s="82"/>
    </row>
    <row r="646" spans="2:111" ht="9" customHeight="1">
      <c r="B646" s="229"/>
      <c r="C646" s="229"/>
      <c r="D646" s="229"/>
      <c r="E646" s="229"/>
      <c r="F646" s="229"/>
      <c r="G646" s="229"/>
      <c r="H646" s="229"/>
      <c r="I646" s="229"/>
      <c r="J646" s="229"/>
      <c r="K646" s="229"/>
      <c r="L646" s="229"/>
      <c r="M646" s="229"/>
      <c r="N646" s="229"/>
      <c r="P646" s="230"/>
      <c r="Q646" s="230"/>
      <c r="R646" s="230"/>
      <c r="S646" s="230"/>
      <c r="T646" s="230"/>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S646" s="231"/>
      <c r="AT646" s="231"/>
      <c r="AU646" s="231"/>
      <c r="AV646" s="231"/>
      <c r="AW646" s="231"/>
      <c r="AX646" s="231"/>
      <c r="AY646" s="231"/>
      <c r="AZ646" s="231"/>
      <c r="BA646" s="231"/>
      <c r="BC646" s="82"/>
      <c r="BD646" s="82"/>
      <c r="BE646" s="82"/>
      <c r="BF646" s="82"/>
      <c r="BG646" s="82"/>
      <c r="BH646" s="214" t="s">
        <v>309</v>
      </c>
      <c r="BI646" s="214"/>
      <c r="BJ646" s="214"/>
      <c r="BK646" s="214"/>
      <c r="BL646" s="214"/>
      <c r="BM646" s="214"/>
      <c r="BN646" s="214"/>
      <c r="BO646" s="214"/>
      <c r="BP646" s="214"/>
      <c r="BQ646" s="214"/>
      <c r="BR646" s="214"/>
      <c r="BS646" s="214"/>
      <c r="BT646" s="214"/>
      <c r="BU646" s="214"/>
      <c r="BV646" s="214"/>
      <c r="BW646" s="214"/>
      <c r="BX646" s="214"/>
      <c r="BY646" s="214"/>
      <c r="BZ646" s="214"/>
      <c r="CA646" s="214"/>
      <c r="CB646" s="214"/>
      <c r="CC646" s="214"/>
      <c r="CD646" s="214"/>
      <c r="CE646" s="214"/>
      <c r="CF646" s="214"/>
      <c r="CG646" s="214"/>
      <c r="CH646" s="214"/>
      <c r="CI646" s="214"/>
      <c r="CJ646" s="214"/>
      <c r="CK646" s="214"/>
      <c r="CL646" s="214"/>
      <c r="CM646" s="214"/>
      <c r="CN646" s="214"/>
      <c r="CO646" s="214"/>
      <c r="CP646" s="214"/>
      <c r="CQ646" s="214"/>
      <c r="CR646" s="214"/>
      <c r="CS646" s="214"/>
      <c r="CT646" s="214"/>
      <c r="CU646" s="214"/>
      <c r="CV646" s="214"/>
      <c r="CW646" s="214"/>
      <c r="CX646" s="214"/>
      <c r="CY646" s="214"/>
      <c r="CZ646" s="214"/>
      <c r="DA646" s="214"/>
      <c r="DB646" s="214"/>
      <c r="DC646" s="214"/>
      <c r="DD646" s="214"/>
      <c r="DE646" s="214"/>
      <c r="DF646" s="214"/>
      <c r="DG646" s="82"/>
    </row>
    <row r="647" spans="2:111" ht="9" customHeight="1">
      <c r="B647" s="229"/>
      <c r="C647" s="229"/>
      <c r="D647" s="229"/>
      <c r="E647" s="229"/>
      <c r="F647" s="229"/>
      <c r="G647" s="229"/>
      <c r="H647" s="229"/>
      <c r="I647" s="229"/>
      <c r="J647" s="229"/>
      <c r="K647" s="229"/>
      <c r="L647" s="229"/>
      <c r="M647" s="229"/>
      <c r="N647" s="229"/>
      <c r="P647" s="230"/>
      <c r="Q647" s="230"/>
      <c r="R647" s="230"/>
      <c r="S647" s="230"/>
      <c r="T647" s="230"/>
      <c r="U647" s="230"/>
      <c r="V647" s="230"/>
      <c r="W647" s="230"/>
      <c r="X647" s="230"/>
      <c r="Y647" s="230"/>
      <c r="Z647" s="230"/>
      <c r="AA647" s="230"/>
      <c r="AB647" s="230"/>
      <c r="AC647" s="230"/>
      <c r="AD647" s="230"/>
      <c r="AE647" s="230"/>
      <c r="AF647" s="230"/>
      <c r="AG647" s="230"/>
      <c r="AH647" s="230"/>
      <c r="AI647" s="230"/>
      <c r="AJ647" s="230"/>
      <c r="AK647" s="230"/>
      <c r="AL647" s="230"/>
      <c r="AM647" s="230"/>
      <c r="AN647" s="230"/>
      <c r="AO647" s="230"/>
      <c r="AP647" s="230"/>
      <c r="AQ647" s="230"/>
      <c r="AS647" s="231"/>
      <c r="AT647" s="231"/>
      <c r="AU647" s="231"/>
      <c r="AV647" s="231"/>
      <c r="AW647" s="231"/>
      <c r="AX647" s="231"/>
      <c r="AY647" s="231"/>
      <c r="AZ647" s="231"/>
      <c r="BA647" s="231"/>
      <c r="BC647" s="82"/>
      <c r="BD647" s="82"/>
      <c r="BE647" s="82"/>
      <c r="BF647" s="82"/>
      <c r="BG647" s="82"/>
      <c r="BH647" s="214"/>
      <c r="BI647" s="214"/>
      <c r="BJ647" s="214"/>
      <c r="BK647" s="214"/>
      <c r="BL647" s="214"/>
      <c r="BM647" s="214"/>
      <c r="BN647" s="214"/>
      <c r="BO647" s="214"/>
      <c r="BP647" s="214"/>
      <c r="BQ647" s="214"/>
      <c r="BR647" s="214"/>
      <c r="BS647" s="214"/>
      <c r="BT647" s="214"/>
      <c r="BU647" s="214"/>
      <c r="BV647" s="214"/>
      <c r="BW647" s="214"/>
      <c r="BX647" s="214"/>
      <c r="BY647" s="214"/>
      <c r="BZ647" s="214"/>
      <c r="CA647" s="214"/>
      <c r="CB647" s="214"/>
      <c r="CC647" s="214"/>
      <c r="CD647" s="214"/>
      <c r="CE647" s="214"/>
      <c r="CF647" s="214"/>
      <c r="CG647" s="214"/>
      <c r="CH647" s="214"/>
      <c r="CI647" s="214"/>
      <c r="CJ647" s="214"/>
      <c r="CK647" s="214"/>
      <c r="CL647" s="214"/>
      <c r="CM647" s="214"/>
      <c r="CN647" s="214"/>
      <c r="CO647" s="214"/>
      <c r="CP647" s="214"/>
      <c r="CQ647" s="214"/>
      <c r="CR647" s="214"/>
      <c r="CS647" s="214"/>
      <c r="CT647" s="214"/>
      <c r="CU647" s="214"/>
      <c r="CV647" s="214"/>
      <c r="CW647" s="214"/>
      <c r="CX647" s="214"/>
      <c r="CY647" s="214"/>
      <c r="CZ647" s="214"/>
      <c r="DA647" s="214"/>
      <c r="DB647" s="214"/>
      <c r="DC647" s="214"/>
      <c r="DD647" s="214"/>
      <c r="DE647" s="214"/>
      <c r="DF647" s="214"/>
      <c r="DG647" s="82"/>
    </row>
    <row r="648" spans="2:111" ht="9" customHeight="1">
      <c r="B648" s="229"/>
      <c r="C648" s="229"/>
      <c r="D648" s="229"/>
      <c r="E648" s="229"/>
      <c r="F648" s="229"/>
      <c r="G648" s="229"/>
      <c r="H648" s="229"/>
      <c r="I648" s="229"/>
      <c r="J648" s="229"/>
      <c r="K648" s="229"/>
      <c r="L648" s="229"/>
      <c r="M648" s="229"/>
      <c r="N648" s="229"/>
      <c r="P648" s="230"/>
      <c r="Q648" s="230"/>
      <c r="R648" s="230"/>
      <c r="S648" s="230"/>
      <c r="T648" s="230"/>
      <c r="U648" s="230"/>
      <c r="V648" s="230"/>
      <c r="W648" s="230"/>
      <c r="X648" s="230"/>
      <c r="Y648" s="230"/>
      <c r="Z648" s="230"/>
      <c r="AA648" s="230"/>
      <c r="AB648" s="230"/>
      <c r="AC648" s="230"/>
      <c r="AD648" s="230"/>
      <c r="AE648" s="230"/>
      <c r="AF648" s="230"/>
      <c r="AG648" s="230"/>
      <c r="AH648" s="230"/>
      <c r="AI648" s="230"/>
      <c r="AJ648" s="230"/>
      <c r="AK648" s="230"/>
      <c r="AL648" s="230"/>
      <c r="AM648" s="230"/>
      <c r="AN648" s="230"/>
      <c r="AO648" s="230"/>
      <c r="AP648" s="230"/>
      <c r="AQ648" s="230"/>
      <c r="AS648" s="231"/>
      <c r="AT648" s="231"/>
      <c r="AU648" s="231"/>
      <c r="AV648" s="231"/>
      <c r="AW648" s="231"/>
      <c r="AX648" s="231"/>
      <c r="AY648" s="231"/>
      <c r="AZ648" s="231"/>
      <c r="BA648" s="231"/>
      <c r="BC648" s="82"/>
      <c r="BD648" s="82"/>
      <c r="BE648" s="82"/>
      <c r="BF648" s="82"/>
      <c r="BG648" s="82"/>
      <c r="BH648" s="214"/>
      <c r="BI648" s="214"/>
      <c r="BJ648" s="214"/>
      <c r="BK648" s="214"/>
      <c r="BL648" s="214"/>
      <c r="BM648" s="214"/>
      <c r="BN648" s="214"/>
      <c r="BO648" s="214"/>
      <c r="BP648" s="214"/>
      <c r="BQ648" s="214"/>
      <c r="BR648" s="214"/>
      <c r="BS648" s="214"/>
      <c r="BT648" s="214"/>
      <c r="BU648" s="214"/>
      <c r="BV648" s="214"/>
      <c r="BW648" s="214"/>
      <c r="BX648" s="214"/>
      <c r="BY648" s="214"/>
      <c r="BZ648" s="214"/>
      <c r="CA648" s="214"/>
      <c r="CB648" s="214"/>
      <c r="CC648" s="214"/>
      <c r="CD648" s="214"/>
      <c r="CE648" s="214"/>
      <c r="CF648" s="214"/>
      <c r="CG648" s="214"/>
      <c r="CH648" s="214"/>
      <c r="CI648" s="214"/>
      <c r="CJ648" s="214"/>
      <c r="CK648" s="214"/>
      <c r="CL648" s="214"/>
      <c r="CM648" s="214"/>
      <c r="CN648" s="214"/>
      <c r="CO648" s="214"/>
      <c r="CP648" s="214"/>
      <c r="CQ648" s="214"/>
      <c r="CR648" s="214"/>
      <c r="CS648" s="214"/>
      <c r="CT648" s="214"/>
      <c r="CU648" s="214"/>
      <c r="CV648" s="214"/>
      <c r="CW648" s="214"/>
      <c r="CX648" s="214"/>
      <c r="CY648" s="214"/>
      <c r="CZ648" s="214"/>
      <c r="DA648" s="214"/>
      <c r="DB648" s="214"/>
      <c r="DC648" s="214"/>
      <c r="DD648" s="214"/>
      <c r="DE648" s="214"/>
      <c r="DF648" s="214"/>
      <c r="DG648" s="82"/>
    </row>
    <row r="649" spans="2:111" ht="9" customHeight="1">
      <c r="B649" s="229"/>
      <c r="C649" s="229"/>
      <c r="D649" s="229"/>
      <c r="E649" s="229"/>
      <c r="F649" s="229"/>
      <c r="G649" s="229"/>
      <c r="H649" s="229"/>
      <c r="I649" s="229"/>
      <c r="J649" s="229"/>
      <c r="K649" s="229"/>
      <c r="L649" s="229"/>
      <c r="M649" s="229"/>
      <c r="N649" s="229"/>
      <c r="P649" s="230"/>
      <c r="Q649" s="230"/>
      <c r="R649" s="230"/>
      <c r="S649" s="230"/>
      <c r="T649" s="230"/>
      <c r="U649" s="230"/>
      <c r="V649" s="230"/>
      <c r="W649" s="230"/>
      <c r="X649" s="230"/>
      <c r="Y649" s="230"/>
      <c r="Z649" s="230"/>
      <c r="AA649" s="230"/>
      <c r="AB649" s="230"/>
      <c r="AC649" s="230"/>
      <c r="AD649" s="230"/>
      <c r="AE649" s="230"/>
      <c r="AF649" s="230"/>
      <c r="AG649" s="230"/>
      <c r="AH649" s="230"/>
      <c r="AI649" s="230"/>
      <c r="AJ649" s="230"/>
      <c r="AK649" s="230"/>
      <c r="AL649" s="230"/>
      <c r="AM649" s="230"/>
      <c r="AN649" s="230"/>
      <c r="AO649" s="230"/>
      <c r="AP649" s="230"/>
      <c r="AQ649" s="230"/>
      <c r="AS649" s="231"/>
      <c r="AT649" s="231"/>
      <c r="AU649" s="231"/>
      <c r="AV649" s="231"/>
      <c r="AW649" s="231"/>
      <c r="AX649" s="231"/>
      <c r="AY649" s="231"/>
      <c r="AZ649" s="231"/>
      <c r="BA649" s="231"/>
      <c r="BC649" s="82"/>
      <c r="BD649" s="82"/>
      <c r="BE649" s="82"/>
      <c r="BF649" s="82"/>
      <c r="BG649" s="82"/>
      <c r="BH649" s="214"/>
      <c r="BI649" s="214"/>
      <c r="BJ649" s="214"/>
      <c r="BK649" s="214"/>
      <c r="BL649" s="214"/>
      <c r="BM649" s="214"/>
      <c r="BN649" s="214"/>
      <c r="BO649" s="214"/>
      <c r="BP649" s="214"/>
      <c r="BQ649" s="214"/>
      <c r="BR649" s="214"/>
      <c r="BS649" s="214"/>
      <c r="BT649" s="214"/>
      <c r="BU649" s="214"/>
      <c r="BV649" s="214"/>
      <c r="BW649" s="214"/>
      <c r="BX649" s="214"/>
      <c r="BY649" s="214"/>
      <c r="BZ649" s="214"/>
      <c r="CA649" s="214"/>
      <c r="CB649" s="214"/>
      <c r="CC649" s="214"/>
      <c r="CD649" s="214"/>
      <c r="CE649" s="214"/>
      <c r="CF649" s="214"/>
      <c r="CG649" s="214"/>
      <c r="CH649" s="214"/>
      <c r="CI649" s="214"/>
      <c r="CJ649" s="214"/>
      <c r="CK649" s="214"/>
      <c r="CL649" s="214"/>
      <c r="CM649" s="214"/>
      <c r="CN649" s="214"/>
      <c r="CO649" s="214"/>
      <c r="CP649" s="214"/>
      <c r="CQ649" s="214"/>
      <c r="CR649" s="214"/>
      <c r="CS649" s="214"/>
      <c r="CT649" s="214"/>
      <c r="CU649" s="214"/>
      <c r="CV649" s="214"/>
      <c r="CW649" s="214"/>
      <c r="CX649" s="214"/>
      <c r="CY649" s="214"/>
      <c r="CZ649" s="214"/>
      <c r="DA649" s="214"/>
      <c r="DB649" s="214"/>
      <c r="DC649" s="214"/>
      <c r="DD649" s="214"/>
      <c r="DE649" s="214"/>
      <c r="DF649" s="214"/>
      <c r="DG649" s="82"/>
    </row>
    <row r="650" spans="2:111" ht="9" customHeight="1">
      <c r="B650" s="229"/>
      <c r="C650" s="229"/>
      <c r="D650" s="229"/>
      <c r="E650" s="229"/>
      <c r="F650" s="229"/>
      <c r="G650" s="229"/>
      <c r="H650" s="229"/>
      <c r="I650" s="229"/>
      <c r="J650" s="229"/>
      <c r="K650" s="229"/>
      <c r="L650" s="229"/>
      <c r="M650" s="229"/>
      <c r="N650" s="229"/>
      <c r="P650" s="230"/>
      <c r="Q650" s="230"/>
      <c r="R650" s="230"/>
      <c r="S650" s="230"/>
      <c r="T650" s="230"/>
      <c r="U650" s="230"/>
      <c r="V650" s="230"/>
      <c r="W650" s="230"/>
      <c r="X650" s="230"/>
      <c r="Y650" s="230"/>
      <c r="Z650" s="230"/>
      <c r="AA650" s="230"/>
      <c r="AB650" s="230"/>
      <c r="AC650" s="230"/>
      <c r="AD650" s="230"/>
      <c r="AE650" s="230"/>
      <c r="AF650" s="230"/>
      <c r="AG650" s="230"/>
      <c r="AH650" s="230"/>
      <c r="AI650" s="230"/>
      <c r="AJ650" s="230"/>
      <c r="AK650" s="230"/>
      <c r="AL650" s="230"/>
      <c r="AM650" s="230"/>
      <c r="AN650" s="230"/>
      <c r="AO650" s="230"/>
      <c r="AP650" s="230"/>
      <c r="AQ650" s="230"/>
      <c r="AS650" s="231"/>
      <c r="AT650" s="231"/>
      <c r="AU650" s="231"/>
      <c r="AV650" s="231"/>
      <c r="AW650" s="231"/>
      <c r="AX650" s="231"/>
      <c r="AY650" s="231"/>
      <c r="AZ650" s="231"/>
      <c r="BA650" s="231"/>
      <c r="BC650" s="82"/>
      <c r="BD650" s="82"/>
      <c r="BE650" s="82"/>
      <c r="BF650" s="82"/>
      <c r="BG650" s="82"/>
      <c r="BH650" s="214"/>
      <c r="BI650" s="214"/>
      <c r="BJ650" s="214"/>
      <c r="BK650" s="214"/>
      <c r="BL650" s="214"/>
      <c r="BM650" s="214"/>
      <c r="BN650" s="214"/>
      <c r="BO650" s="214"/>
      <c r="BP650" s="214"/>
      <c r="BQ650" s="214"/>
      <c r="BR650" s="214"/>
      <c r="BS650" s="214"/>
      <c r="BT650" s="214"/>
      <c r="BU650" s="214"/>
      <c r="BV650" s="214"/>
      <c r="BW650" s="214"/>
      <c r="BX650" s="214"/>
      <c r="BY650" s="214"/>
      <c r="BZ650" s="214"/>
      <c r="CA650" s="214"/>
      <c r="CB650" s="214"/>
      <c r="CC650" s="214"/>
      <c r="CD650" s="214"/>
      <c r="CE650" s="214"/>
      <c r="CF650" s="214"/>
      <c r="CG650" s="214"/>
      <c r="CH650" s="214"/>
      <c r="CI650" s="214"/>
      <c r="CJ650" s="214"/>
      <c r="CK650" s="214"/>
      <c r="CL650" s="214"/>
      <c r="CM650" s="214"/>
      <c r="CN650" s="214"/>
      <c r="CO650" s="214"/>
      <c r="CP650" s="214"/>
      <c r="CQ650" s="214"/>
      <c r="CR650" s="214"/>
      <c r="CS650" s="214"/>
      <c r="CT650" s="214"/>
      <c r="CU650" s="214"/>
      <c r="CV650" s="214"/>
      <c r="CW650" s="214"/>
      <c r="CX650" s="214"/>
      <c r="CY650" s="214"/>
      <c r="CZ650" s="214"/>
      <c r="DA650" s="214"/>
      <c r="DB650" s="214"/>
      <c r="DC650" s="214"/>
      <c r="DD650" s="214"/>
      <c r="DE650" s="214"/>
      <c r="DF650" s="214"/>
      <c r="DG650" s="82"/>
    </row>
    <row r="651" spans="2:111" ht="9" customHeight="1">
      <c r="B651" s="229"/>
      <c r="C651" s="229"/>
      <c r="D651" s="229"/>
      <c r="E651" s="229"/>
      <c r="F651" s="229"/>
      <c r="G651" s="229"/>
      <c r="H651" s="229"/>
      <c r="I651" s="229"/>
      <c r="J651" s="229"/>
      <c r="K651" s="229"/>
      <c r="L651" s="229"/>
      <c r="M651" s="229"/>
      <c r="N651" s="229"/>
      <c r="P651" s="230"/>
      <c r="Q651" s="230"/>
      <c r="R651" s="230"/>
      <c r="S651" s="230"/>
      <c r="T651" s="230"/>
      <c r="U651" s="230"/>
      <c r="V651" s="230"/>
      <c r="W651" s="230"/>
      <c r="X651" s="230"/>
      <c r="Y651" s="230"/>
      <c r="Z651" s="230"/>
      <c r="AA651" s="230"/>
      <c r="AB651" s="230"/>
      <c r="AC651" s="230"/>
      <c r="AD651" s="230"/>
      <c r="AE651" s="230"/>
      <c r="AF651" s="230"/>
      <c r="AG651" s="230"/>
      <c r="AH651" s="230"/>
      <c r="AI651" s="230"/>
      <c r="AJ651" s="230"/>
      <c r="AK651" s="230"/>
      <c r="AL651" s="230"/>
      <c r="AM651" s="230"/>
      <c r="AN651" s="230"/>
      <c r="AO651" s="230"/>
      <c r="AP651" s="230"/>
      <c r="AQ651" s="230"/>
      <c r="AS651" s="231"/>
      <c r="AT651" s="231"/>
      <c r="AU651" s="231"/>
      <c r="AV651" s="231"/>
      <c r="AW651" s="231"/>
      <c r="AX651" s="231"/>
      <c r="AY651" s="231"/>
      <c r="AZ651" s="231"/>
      <c r="BA651" s="231"/>
      <c r="BC651" s="82"/>
      <c r="BD651" s="82"/>
      <c r="BE651" s="82"/>
      <c r="BF651" s="82"/>
      <c r="BG651" s="82"/>
      <c r="BH651" s="214"/>
      <c r="BI651" s="214"/>
      <c r="BJ651" s="214"/>
      <c r="BK651" s="214"/>
      <c r="BL651" s="214"/>
      <c r="BM651" s="214"/>
      <c r="BN651" s="214"/>
      <c r="BO651" s="214"/>
      <c r="BP651" s="214"/>
      <c r="BQ651" s="214"/>
      <c r="BR651" s="214"/>
      <c r="BS651" s="214"/>
      <c r="BT651" s="214"/>
      <c r="BU651" s="214"/>
      <c r="BV651" s="214"/>
      <c r="BW651" s="214"/>
      <c r="BX651" s="214"/>
      <c r="BY651" s="214"/>
      <c r="BZ651" s="214"/>
      <c r="CA651" s="214"/>
      <c r="CB651" s="214"/>
      <c r="CC651" s="214"/>
      <c r="CD651" s="214"/>
      <c r="CE651" s="214"/>
      <c r="CF651" s="214"/>
      <c r="CG651" s="214"/>
      <c r="CH651" s="214"/>
      <c r="CI651" s="214"/>
      <c r="CJ651" s="214"/>
      <c r="CK651" s="214"/>
      <c r="CL651" s="214"/>
      <c r="CM651" s="214"/>
      <c r="CN651" s="214"/>
      <c r="CO651" s="214"/>
      <c r="CP651" s="214"/>
      <c r="CQ651" s="214"/>
      <c r="CR651" s="214"/>
      <c r="CS651" s="214"/>
      <c r="CT651" s="214"/>
      <c r="CU651" s="214"/>
      <c r="CV651" s="214"/>
      <c r="CW651" s="214"/>
      <c r="CX651" s="214"/>
      <c r="CY651" s="214"/>
      <c r="CZ651" s="214"/>
      <c r="DA651" s="214"/>
      <c r="DB651" s="214"/>
      <c r="DC651" s="214"/>
      <c r="DD651" s="214"/>
      <c r="DE651" s="214"/>
      <c r="DF651" s="214"/>
      <c r="DG651" s="82"/>
    </row>
    <row r="652" spans="2:111" ht="9" customHeight="1">
      <c r="B652" s="229"/>
      <c r="C652" s="229"/>
      <c r="D652" s="229"/>
      <c r="E652" s="229"/>
      <c r="F652" s="229"/>
      <c r="G652" s="229"/>
      <c r="H652" s="229"/>
      <c r="I652" s="229"/>
      <c r="J652" s="229"/>
      <c r="K652" s="229"/>
      <c r="L652" s="229"/>
      <c r="M652" s="229"/>
      <c r="N652" s="229"/>
      <c r="P652" s="230"/>
      <c r="Q652" s="230"/>
      <c r="R652" s="230"/>
      <c r="S652" s="230"/>
      <c r="T652" s="230"/>
      <c r="U652" s="230"/>
      <c r="V652" s="230"/>
      <c r="W652" s="230"/>
      <c r="X652" s="230"/>
      <c r="Y652" s="230"/>
      <c r="Z652" s="230"/>
      <c r="AA652" s="230"/>
      <c r="AB652" s="230"/>
      <c r="AC652" s="230"/>
      <c r="AD652" s="230"/>
      <c r="AE652" s="230"/>
      <c r="AF652" s="230"/>
      <c r="AG652" s="230"/>
      <c r="AH652" s="230"/>
      <c r="AI652" s="230"/>
      <c r="AJ652" s="230"/>
      <c r="AK652" s="230"/>
      <c r="AL652" s="230"/>
      <c r="AM652" s="230"/>
      <c r="AN652" s="230"/>
      <c r="AO652" s="230"/>
      <c r="AP652" s="230"/>
      <c r="AQ652" s="230"/>
      <c r="AS652" s="231"/>
      <c r="AT652" s="231"/>
      <c r="AU652" s="231"/>
      <c r="AV652" s="231"/>
      <c r="AW652" s="231"/>
      <c r="AX652" s="231"/>
      <c r="AY652" s="231"/>
      <c r="AZ652" s="231"/>
      <c r="BA652" s="231"/>
      <c r="BC652" s="82"/>
      <c r="BD652" s="82"/>
      <c r="BE652" s="82"/>
      <c r="BF652" s="82"/>
      <c r="BG652" s="82"/>
      <c r="BH652" s="214"/>
      <c r="BI652" s="214"/>
      <c r="BJ652" s="214"/>
      <c r="BK652" s="214"/>
      <c r="BL652" s="214"/>
      <c r="BM652" s="214"/>
      <c r="BN652" s="214"/>
      <c r="BO652" s="214"/>
      <c r="BP652" s="214"/>
      <c r="BQ652" s="214"/>
      <c r="BR652" s="214"/>
      <c r="BS652" s="214"/>
      <c r="BT652" s="214"/>
      <c r="BU652" s="214"/>
      <c r="BV652" s="214"/>
      <c r="BW652" s="214"/>
      <c r="BX652" s="214"/>
      <c r="BY652" s="214"/>
      <c r="BZ652" s="214"/>
      <c r="CA652" s="214"/>
      <c r="CB652" s="214"/>
      <c r="CC652" s="214"/>
      <c r="CD652" s="214"/>
      <c r="CE652" s="214"/>
      <c r="CF652" s="214"/>
      <c r="CG652" s="214"/>
      <c r="CH652" s="214"/>
      <c r="CI652" s="214"/>
      <c r="CJ652" s="214"/>
      <c r="CK652" s="214"/>
      <c r="CL652" s="214"/>
      <c r="CM652" s="214"/>
      <c r="CN652" s="214"/>
      <c r="CO652" s="214"/>
      <c r="CP652" s="214"/>
      <c r="CQ652" s="214"/>
      <c r="CR652" s="214"/>
      <c r="CS652" s="214"/>
      <c r="CT652" s="214"/>
      <c r="CU652" s="214"/>
      <c r="CV652" s="214"/>
      <c r="CW652" s="214"/>
      <c r="CX652" s="214"/>
      <c r="CY652" s="214"/>
      <c r="CZ652" s="214"/>
      <c r="DA652" s="214"/>
      <c r="DB652" s="214"/>
      <c r="DC652" s="214"/>
      <c r="DD652" s="214"/>
      <c r="DE652" s="214"/>
      <c r="DF652" s="214"/>
      <c r="DG652" s="82"/>
    </row>
    <row r="653" spans="2:111" ht="9" customHeight="1">
      <c r="B653" s="229"/>
      <c r="C653" s="229"/>
      <c r="D653" s="229"/>
      <c r="E653" s="229"/>
      <c r="F653" s="229"/>
      <c r="G653" s="229"/>
      <c r="H653" s="229"/>
      <c r="I653" s="229"/>
      <c r="J653" s="229"/>
      <c r="K653" s="229"/>
      <c r="L653" s="229"/>
      <c r="M653" s="229"/>
      <c r="N653" s="229"/>
      <c r="P653" s="230"/>
      <c r="Q653" s="230"/>
      <c r="R653" s="230"/>
      <c r="S653" s="230"/>
      <c r="T653" s="230"/>
      <c r="U653" s="230"/>
      <c r="V653" s="230"/>
      <c r="W653" s="230"/>
      <c r="X653" s="230"/>
      <c r="Y653" s="230"/>
      <c r="Z653" s="230"/>
      <c r="AA653" s="230"/>
      <c r="AB653" s="230"/>
      <c r="AC653" s="230"/>
      <c r="AD653" s="230"/>
      <c r="AE653" s="230"/>
      <c r="AF653" s="230"/>
      <c r="AG653" s="230"/>
      <c r="AH653" s="230"/>
      <c r="AI653" s="230"/>
      <c r="AJ653" s="230"/>
      <c r="AK653" s="230"/>
      <c r="AL653" s="230"/>
      <c r="AM653" s="230"/>
      <c r="AN653" s="230"/>
      <c r="AO653" s="230"/>
      <c r="AP653" s="230"/>
      <c r="AQ653" s="230"/>
      <c r="AS653" s="231"/>
      <c r="AT653" s="231"/>
      <c r="AU653" s="231"/>
      <c r="AV653" s="231"/>
      <c r="AW653" s="231"/>
      <c r="AX653" s="231"/>
      <c r="AY653" s="231"/>
      <c r="AZ653" s="231"/>
      <c r="BA653" s="231"/>
      <c r="BC653" s="82"/>
      <c r="BD653" s="82"/>
      <c r="BE653" s="82"/>
      <c r="BF653" s="82"/>
      <c r="BG653" s="82"/>
      <c r="BH653" s="214"/>
      <c r="BI653" s="214"/>
      <c r="BJ653" s="214"/>
      <c r="BK653" s="214"/>
      <c r="BL653" s="214"/>
      <c r="BM653" s="214"/>
      <c r="BN653" s="214"/>
      <c r="BO653" s="214"/>
      <c r="BP653" s="214"/>
      <c r="BQ653" s="214"/>
      <c r="BR653" s="214"/>
      <c r="BS653" s="214"/>
      <c r="BT653" s="214"/>
      <c r="BU653" s="214"/>
      <c r="BV653" s="214"/>
      <c r="BW653" s="214"/>
      <c r="BX653" s="214"/>
      <c r="BY653" s="214"/>
      <c r="BZ653" s="214"/>
      <c r="CA653" s="214"/>
      <c r="CB653" s="214"/>
      <c r="CC653" s="214"/>
      <c r="CD653" s="214"/>
      <c r="CE653" s="214"/>
      <c r="CF653" s="214"/>
      <c r="CG653" s="214"/>
      <c r="CH653" s="214"/>
      <c r="CI653" s="214"/>
      <c r="CJ653" s="214"/>
      <c r="CK653" s="214"/>
      <c r="CL653" s="214"/>
      <c r="CM653" s="214"/>
      <c r="CN653" s="214"/>
      <c r="CO653" s="214"/>
      <c r="CP653" s="214"/>
      <c r="CQ653" s="214"/>
      <c r="CR653" s="214"/>
      <c r="CS653" s="214"/>
      <c r="CT653" s="214"/>
      <c r="CU653" s="214"/>
      <c r="CV653" s="214"/>
      <c r="CW653" s="214"/>
      <c r="CX653" s="214"/>
      <c r="CY653" s="214"/>
      <c r="CZ653" s="214"/>
      <c r="DA653" s="214"/>
      <c r="DB653" s="214"/>
      <c r="DC653" s="214"/>
      <c r="DD653" s="214"/>
      <c r="DE653" s="214"/>
      <c r="DF653" s="214"/>
      <c r="DG653" s="82"/>
    </row>
    <row r="654" spans="2:111" ht="12" customHeight="1">
      <c r="BC654" s="82"/>
      <c r="BD654" s="82"/>
      <c r="BE654" s="82"/>
      <c r="BF654" s="82"/>
      <c r="BG654" s="82"/>
      <c r="BH654" s="214"/>
      <c r="BI654" s="214"/>
      <c r="BJ654" s="214"/>
      <c r="BK654" s="214"/>
      <c r="BL654" s="214"/>
      <c r="BM654" s="214"/>
      <c r="BN654" s="214"/>
      <c r="BO654" s="214"/>
      <c r="BP654" s="214"/>
      <c r="BQ654" s="214"/>
      <c r="BR654" s="214"/>
      <c r="BS654" s="214"/>
      <c r="BT654" s="214"/>
      <c r="BU654" s="214"/>
      <c r="BV654" s="214"/>
      <c r="BW654" s="214"/>
      <c r="BX654" s="214"/>
      <c r="BY654" s="214"/>
      <c r="BZ654" s="214"/>
      <c r="CA654" s="214"/>
      <c r="CB654" s="214"/>
      <c r="CC654" s="214"/>
      <c r="CD654" s="214"/>
      <c r="CE654" s="214"/>
      <c r="CF654" s="214"/>
      <c r="CG654" s="214"/>
      <c r="CH654" s="214"/>
      <c r="CI654" s="214"/>
      <c r="CJ654" s="214"/>
      <c r="CK654" s="214"/>
      <c r="CL654" s="214"/>
      <c r="CM654" s="214"/>
      <c r="CN654" s="214"/>
      <c r="CO654" s="214"/>
      <c r="CP654" s="214"/>
      <c r="CQ654" s="214"/>
      <c r="CR654" s="214"/>
      <c r="CS654" s="214"/>
      <c r="CT654" s="214"/>
      <c r="CU654" s="214"/>
      <c r="CV654" s="214"/>
      <c r="CW654" s="214"/>
      <c r="CX654" s="214"/>
      <c r="CY654" s="214"/>
      <c r="CZ654" s="214"/>
      <c r="DA654" s="214"/>
      <c r="DB654" s="214"/>
      <c r="DC654" s="214"/>
      <c r="DD654" s="214"/>
      <c r="DE654" s="214"/>
      <c r="DF654" s="214"/>
      <c r="DG654" s="82"/>
    </row>
    <row r="655" spans="2:111" ht="9" customHeight="1">
      <c r="B655" s="232" t="str">
        <f>IF($U$629&gt;=2,"Etapa 1.2","")</f>
        <v>Etapa 1.2</v>
      </c>
      <c r="C655" s="232"/>
      <c r="D655" s="232"/>
      <c r="E655" s="232"/>
      <c r="F655" s="232"/>
      <c r="G655" s="232"/>
      <c r="I655" s="233" t="s">
        <v>535</v>
      </c>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c r="AI655" s="233"/>
      <c r="AJ655" s="233"/>
      <c r="AK655" s="233"/>
      <c r="AL655" s="233"/>
      <c r="AM655" s="233"/>
      <c r="AN655" s="233"/>
      <c r="AO655" s="233"/>
      <c r="AP655" s="233"/>
      <c r="AQ655" s="233"/>
      <c r="AS655" s="237">
        <f>IF(SUM(AS661:BA676)=0,"",SUM(AS661:BA676))</f>
        <v>337020</v>
      </c>
      <c r="AT655" s="237"/>
      <c r="AU655" s="237"/>
      <c r="AV655" s="237"/>
      <c r="AW655" s="237"/>
      <c r="AX655" s="237"/>
      <c r="AY655" s="237"/>
      <c r="AZ655" s="237"/>
      <c r="BA655" s="237"/>
      <c r="BC655" s="82"/>
      <c r="BD655" s="82"/>
      <c r="BE655" s="82"/>
      <c r="BF655" s="82"/>
      <c r="BG655" s="82"/>
      <c r="BH655" s="214"/>
      <c r="BI655" s="214"/>
      <c r="BJ655" s="214"/>
      <c r="BK655" s="214"/>
      <c r="BL655" s="214"/>
      <c r="BM655" s="214"/>
      <c r="BN655" s="214"/>
      <c r="BO655" s="214"/>
      <c r="BP655" s="214"/>
      <c r="BQ655" s="214"/>
      <c r="BR655" s="214"/>
      <c r="BS655" s="214"/>
      <c r="BT655" s="214"/>
      <c r="BU655" s="214"/>
      <c r="BV655" s="214"/>
      <c r="BW655" s="214"/>
      <c r="BX655" s="214"/>
      <c r="BY655" s="214"/>
      <c r="BZ655" s="214"/>
      <c r="CA655" s="214"/>
      <c r="CB655" s="214"/>
      <c r="CC655" s="214"/>
      <c r="CD655" s="214"/>
      <c r="CE655" s="214"/>
      <c r="CF655" s="214"/>
      <c r="CG655" s="214"/>
      <c r="CH655" s="214"/>
      <c r="CI655" s="214"/>
      <c r="CJ655" s="214"/>
      <c r="CK655" s="214"/>
      <c r="CL655" s="214"/>
      <c r="CM655" s="214"/>
      <c r="CN655" s="214"/>
      <c r="CO655" s="214"/>
      <c r="CP655" s="214"/>
      <c r="CQ655" s="214"/>
      <c r="CR655" s="214"/>
      <c r="CS655" s="214"/>
      <c r="CT655" s="214"/>
      <c r="CU655" s="214"/>
      <c r="CV655" s="214"/>
      <c r="CW655" s="214"/>
      <c r="CX655" s="214"/>
      <c r="CY655" s="214"/>
      <c r="CZ655" s="214"/>
      <c r="DA655" s="214"/>
      <c r="DB655" s="214"/>
      <c r="DC655" s="214"/>
      <c r="DD655" s="214"/>
      <c r="DE655" s="214"/>
      <c r="DF655" s="214"/>
      <c r="DG655" s="82"/>
    </row>
    <row r="656" spans="2:111" ht="9" customHeight="1">
      <c r="B656" s="232"/>
      <c r="C656" s="232"/>
      <c r="D656" s="232"/>
      <c r="E656" s="232"/>
      <c r="F656" s="232"/>
      <c r="G656" s="232"/>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c r="AI656" s="233"/>
      <c r="AJ656" s="233"/>
      <c r="AK656" s="233"/>
      <c r="AL656" s="233"/>
      <c r="AM656" s="233"/>
      <c r="AN656" s="233"/>
      <c r="AO656" s="233"/>
      <c r="AP656" s="233"/>
      <c r="AQ656" s="233"/>
      <c r="AS656" s="237"/>
      <c r="AT656" s="237"/>
      <c r="AU656" s="237"/>
      <c r="AV656" s="237"/>
      <c r="AW656" s="237"/>
      <c r="AX656" s="237"/>
      <c r="AY656" s="237"/>
      <c r="AZ656" s="237"/>
      <c r="BA656" s="237"/>
      <c r="BC656" s="82"/>
      <c r="BD656" s="82"/>
      <c r="BE656" s="82"/>
      <c r="BF656" s="82"/>
      <c r="BG656" s="82"/>
      <c r="BH656" s="214"/>
      <c r="BI656" s="214"/>
      <c r="BJ656" s="214"/>
      <c r="BK656" s="214"/>
      <c r="BL656" s="214"/>
      <c r="BM656" s="214"/>
      <c r="BN656" s="214"/>
      <c r="BO656" s="214"/>
      <c r="BP656" s="214"/>
      <c r="BQ656" s="214"/>
      <c r="BR656" s="214"/>
      <c r="BS656" s="214"/>
      <c r="BT656" s="214"/>
      <c r="BU656" s="214"/>
      <c r="BV656" s="214"/>
      <c r="BW656" s="214"/>
      <c r="BX656" s="214"/>
      <c r="BY656" s="214"/>
      <c r="BZ656" s="214"/>
      <c r="CA656" s="214"/>
      <c r="CB656" s="214"/>
      <c r="CC656" s="214"/>
      <c r="CD656" s="214"/>
      <c r="CE656" s="214"/>
      <c r="CF656" s="214"/>
      <c r="CG656" s="214"/>
      <c r="CH656" s="214"/>
      <c r="CI656" s="214"/>
      <c r="CJ656" s="214"/>
      <c r="CK656" s="214"/>
      <c r="CL656" s="214"/>
      <c r="CM656" s="214"/>
      <c r="CN656" s="214"/>
      <c r="CO656" s="214"/>
      <c r="CP656" s="214"/>
      <c r="CQ656" s="214"/>
      <c r="CR656" s="214"/>
      <c r="CS656" s="214"/>
      <c r="CT656" s="214"/>
      <c r="CU656" s="214"/>
      <c r="CV656" s="214"/>
      <c r="CW656" s="214"/>
      <c r="CX656" s="214"/>
      <c r="CY656" s="214"/>
      <c r="CZ656" s="214"/>
      <c r="DA656" s="214"/>
      <c r="DB656" s="214"/>
      <c r="DC656" s="214"/>
      <c r="DD656" s="214"/>
      <c r="DE656" s="214"/>
      <c r="DF656" s="214"/>
      <c r="DG656" s="82"/>
    </row>
    <row r="657" spans="2:111" ht="4.5" customHeight="1">
      <c r="BC657" s="82"/>
      <c r="BD657" s="82"/>
      <c r="BE657" s="82"/>
      <c r="BF657" s="82"/>
      <c r="BG657" s="82"/>
      <c r="BH657" s="82"/>
      <c r="BI657" s="82"/>
      <c r="BJ657" s="82"/>
      <c r="BK657" s="82"/>
      <c r="BL657" s="82"/>
      <c r="BM657" s="82"/>
      <c r="BN657" s="82"/>
      <c r="BO657" s="82"/>
      <c r="BP657" s="82"/>
      <c r="BQ657" s="82"/>
      <c r="BR657" s="82"/>
      <c r="BS657" s="82"/>
      <c r="BT657" s="82"/>
      <c r="BU657" s="82"/>
      <c r="BV657" s="82"/>
      <c r="BW657" s="82"/>
      <c r="BX657" s="82"/>
      <c r="BY657" s="82"/>
      <c r="BZ657" s="82"/>
      <c r="CA657" s="82"/>
      <c r="CB657" s="82"/>
      <c r="CC657" s="82"/>
      <c r="CD657" s="82"/>
      <c r="CE657" s="82"/>
      <c r="CF657" s="82"/>
      <c r="CG657" s="82"/>
      <c r="CH657" s="82"/>
      <c r="CI657" s="82"/>
      <c r="CJ657" s="82"/>
      <c r="CK657" s="82"/>
      <c r="CL657" s="82"/>
      <c r="CM657" s="82"/>
      <c r="CN657" s="82"/>
      <c r="CO657" s="82"/>
      <c r="CP657" s="82"/>
      <c r="CQ657" s="82"/>
      <c r="CR657" s="82"/>
      <c r="CS657" s="82"/>
      <c r="CT657" s="82"/>
      <c r="CU657" s="82"/>
      <c r="CV657" s="82"/>
      <c r="CW657" s="82"/>
      <c r="CX657" s="82"/>
      <c r="CY657" s="82"/>
      <c r="CZ657" s="82"/>
      <c r="DA657" s="82"/>
      <c r="DB657" s="82"/>
      <c r="DC657" s="82"/>
      <c r="DD657" s="82"/>
      <c r="DE657" s="82"/>
      <c r="DF657" s="82"/>
      <c r="DG657" s="82"/>
    </row>
    <row r="658" spans="2:111" ht="9" customHeight="1">
      <c r="I658" s="229" t="str">
        <f>IF($U$629&gt;=2,"Início:","")</f>
        <v>Início:</v>
      </c>
      <c r="J658" s="229"/>
      <c r="K658" s="229"/>
      <c r="L658" s="229"/>
      <c r="M658" s="229"/>
      <c r="N658" s="229"/>
      <c r="P658" s="235">
        <v>43891</v>
      </c>
      <c r="Q658" s="235"/>
      <c r="R658" s="235"/>
      <c r="S658" s="235"/>
      <c r="T658" s="235"/>
      <c r="U658" s="235"/>
      <c r="V658" s="235"/>
      <c r="W658" s="235"/>
      <c r="Y658" s="229" t="str">
        <f>IF($U$629&gt;=2,"Término:","")</f>
        <v>Término:</v>
      </c>
      <c r="Z658" s="229"/>
      <c r="AA658" s="229"/>
      <c r="AB658" s="229"/>
      <c r="AC658" s="229"/>
      <c r="AD658" s="229"/>
      <c r="AF658" s="235">
        <v>44075</v>
      </c>
      <c r="AG658" s="235"/>
      <c r="AH658" s="235"/>
      <c r="AI658" s="235"/>
      <c r="AJ658" s="235"/>
      <c r="AK658" s="235"/>
      <c r="AL658" s="235"/>
      <c r="AM658" s="235"/>
      <c r="AW658" s="236" t="str">
        <f>IF($U$629&gt;=2,"Valor (R$):","")</f>
        <v>Valor (R$):</v>
      </c>
      <c r="AX658" s="236"/>
      <c r="AY658" s="236"/>
      <c r="AZ658" s="236"/>
      <c r="BA658" s="236"/>
      <c r="BC658" s="82"/>
      <c r="BD658" s="82"/>
      <c r="BE658" s="82"/>
      <c r="BF658" s="82"/>
      <c r="BG658" s="82"/>
      <c r="BH658" s="82"/>
      <c r="BI658" s="82"/>
      <c r="BJ658" s="82"/>
      <c r="BK658" s="82"/>
      <c r="BL658" s="82"/>
      <c r="BM658" s="82"/>
      <c r="BN658" s="82"/>
      <c r="BO658" s="82"/>
      <c r="BP658" s="82"/>
      <c r="BQ658" s="82"/>
      <c r="BR658" s="82"/>
      <c r="BS658" s="82"/>
      <c r="BT658" s="82"/>
      <c r="BU658" s="82"/>
      <c r="BV658" s="82"/>
      <c r="BW658" s="82"/>
      <c r="BX658" s="82"/>
      <c r="BY658" s="82"/>
      <c r="BZ658" s="82"/>
      <c r="CA658" s="82"/>
      <c r="CB658" s="82"/>
      <c r="CC658" s="82"/>
      <c r="CD658" s="82"/>
      <c r="CE658" s="82"/>
      <c r="CF658" s="82"/>
      <c r="CG658" s="82"/>
      <c r="CH658" s="82"/>
      <c r="CI658" s="82"/>
      <c r="CJ658" s="82"/>
      <c r="CK658" s="82"/>
      <c r="CL658" s="82"/>
      <c r="CM658" s="82"/>
      <c r="CN658" s="82"/>
      <c r="CO658" s="82"/>
      <c r="CP658" s="82"/>
      <c r="CQ658" s="82"/>
      <c r="CR658" s="82"/>
      <c r="CS658" s="82"/>
      <c r="CT658" s="82"/>
      <c r="CU658" s="82"/>
      <c r="CV658" s="82"/>
      <c r="CW658" s="82"/>
      <c r="CX658" s="82"/>
      <c r="CY658" s="82"/>
      <c r="CZ658" s="82"/>
      <c r="DA658" s="82"/>
      <c r="DB658" s="82"/>
      <c r="DC658" s="82"/>
      <c r="DD658" s="82"/>
      <c r="DE658" s="82"/>
      <c r="DF658" s="82"/>
      <c r="DG658" s="82"/>
    </row>
    <row r="659" spans="2:111" ht="9" customHeight="1">
      <c r="I659" s="229"/>
      <c r="J659" s="229"/>
      <c r="K659" s="229"/>
      <c r="L659" s="229"/>
      <c r="M659" s="229"/>
      <c r="N659" s="229"/>
      <c r="P659" s="235"/>
      <c r="Q659" s="235"/>
      <c r="R659" s="235"/>
      <c r="S659" s="235"/>
      <c r="T659" s="235"/>
      <c r="U659" s="235"/>
      <c r="V659" s="235"/>
      <c r="W659" s="235"/>
      <c r="Y659" s="229"/>
      <c r="Z659" s="229"/>
      <c r="AA659" s="229"/>
      <c r="AB659" s="229"/>
      <c r="AC659" s="229"/>
      <c r="AD659" s="229"/>
      <c r="AF659" s="235"/>
      <c r="AG659" s="235"/>
      <c r="AH659" s="235"/>
      <c r="AI659" s="235"/>
      <c r="AJ659" s="235"/>
      <c r="AK659" s="235"/>
      <c r="AL659" s="235"/>
      <c r="AM659" s="235"/>
      <c r="AW659" s="236"/>
      <c r="AX659" s="236"/>
      <c r="AY659" s="236"/>
      <c r="AZ659" s="236"/>
      <c r="BA659" s="236"/>
      <c r="BC659" s="82"/>
      <c r="BD659" s="82"/>
      <c r="BE659" s="82"/>
      <c r="BF659" s="82"/>
      <c r="BG659" s="82"/>
      <c r="BH659" s="82"/>
      <c r="BI659" s="82"/>
      <c r="BJ659" s="82"/>
      <c r="BK659" s="82"/>
      <c r="BL659" s="82"/>
      <c r="BM659" s="82"/>
      <c r="BN659" s="82"/>
      <c r="BO659" s="82"/>
      <c r="BP659" s="82"/>
      <c r="BQ659" s="82"/>
      <c r="BR659" s="82"/>
      <c r="BS659" s="82"/>
      <c r="BT659" s="82"/>
      <c r="BU659" s="82"/>
      <c r="BV659" s="82"/>
      <c r="BW659" s="82"/>
      <c r="BX659" s="82"/>
      <c r="BY659" s="82"/>
      <c r="BZ659" s="82"/>
      <c r="CA659" s="82"/>
      <c r="CB659" s="82"/>
      <c r="CC659" s="82"/>
      <c r="CD659" s="82"/>
      <c r="CE659" s="82"/>
      <c r="CF659" s="82"/>
      <c r="CG659" s="82"/>
      <c r="CH659" s="82"/>
      <c r="CI659" s="82"/>
      <c r="CJ659" s="82"/>
      <c r="CK659" s="82"/>
      <c r="CL659" s="82"/>
      <c r="CM659" s="82"/>
      <c r="CN659" s="82"/>
      <c r="CO659" s="82"/>
      <c r="CP659" s="82"/>
      <c r="CQ659" s="82"/>
      <c r="CR659" s="82"/>
      <c r="CS659" s="82"/>
      <c r="CT659" s="82"/>
      <c r="CU659" s="82"/>
      <c r="CV659" s="82"/>
      <c r="CW659" s="82"/>
      <c r="CX659" s="82"/>
      <c r="CY659" s="82"/>
      <c r="CZ659" s="82"/>
      <c r="DA659" s="82"/>
      <c r="DB659" s="82"/>
      <c r="DC659" s="82"/>
      <c r="DD659" s="82"/>
      <c r="DE659" s="82"/>
      <c r="DF659" s="82"/>
      <c r="DG659" s="82"/>
    </row>
    <row r="660" spans="2:111" ht="4.5" customHeight="1">
      <c r="BC660" s="82"/>
      <c r="BD660" s="82"/>
      <c r="BE660" s="88"/>
      <c r="BF660" s="89"/>
      <c r="BG660" s="89"/>
      <c r="BH660" s="89"/>
      <c r="BI660" s="89"/>
      <c r="BJ660" s="89"/>
      <c r="BK660" s="89"/>
      <c r="BL660" s="89"/>
      <c r="BM660" s="89"/>
      <c r="BN660" s="89"/>
      <c r="BO660" s="89"/>
      <c r="BP660" s="89"/>
      <c r="BQ660" s="89"/>
      <c r="BR660" s="89"/>
      <c r="BS660" s="89"/>
      <c r="BT660" s="89"/>
      <c r="BU660" s="89"/>
      <c r="BV660" s="89"/>
      <c r="BW660" s="89"/>
      <c r="BX660" s="89"/>
      <c r="BY660" s="89"/>
      <c r="BZ660" s="89"/>
      <c r="CA660" s="89"/>
      <c r="CB660" s="89"/>
      <c r="CC660" s="89"/>
      <c r="CD660" s="89"/>
      <c r="CE660" s="89"/>
      <c r="CF660" s="89"/>
      <c r="CG660" s="89"/>
      <c r="CH660" s="89"/>
      <c r="CI660" s="89"/>
      <c r="CJ660" s="89"/>
      <c r="CK660" s="89"/>
      <c r="CL660" s="89"/>
      <c r="CM660" s="89"/>
      <c r="CN660" s="89"/>
      <c r="CO660" s="89"/>
      <c r="CP660" s="89"/>
      <c r="CQ660" s="89"/>
      <c r="CR660" s="89"/>
      <c r="CS660" s="89"/>
      <c r="CT660" s="89"/>
      <c r="CU660" s="89"/>
      <c r="CV660" s="89"/>
      <c r="CW660" s="89"/>
      <c r="CX660" s="89"/>
      <c r="CY660" s="89"/>
      <c r="CZ660" s="89"/>
      <c r="DA660" s="89"/>
      <c r="DB660" s="89"/>
      <c r="DC660" s="89"/>
      <c r="DD660" s="89"/>
      <c r="DE660" s="89"/>
      <c r="DF660" s="90"/>
      <c r="DG660" s="82"/>
    </row>
    <row r="661" spans="2:111" ht="9" customHeight="1">
      <c r="B661" s="229" t="str">
        <f>IF($U$629&gt;=2,"Elementos de Despesa:","")</f>
        <v>Elementos de Despesa:</v>
      </c>
      <c r="C661" s="229"/>
      <c r="D661" s="229"/>
      <c r="E661" s="229"/>
      <c r="F661" s="229"/>
      <c r="G661" s="229"/>
      <c r="H661" s="229"/>
      <c r="I661" s="229"/>
      <c r="J661" s="229"/>
      <c r="K661" s="229"/>
      <c r="L661" s="229"/>
      <c r="M661" s="229"/>
      <c r="N661" s="229"/>
      <c r="P661" s="230" t="s">
        <v>216</v>
      </c>
      <c r="Q661" s="230"/>
      <c r="R661" s="230"/>
      <c r="S661" s="230"/>
      <c r="T661" s="230"/>
      <c r="U661" s="230"/>
      <c r="V661" s="230"/>
      <c r="W661" s="230"/>
      <c r="X661" s="230"/>
      <c r="Y661" s="230"/>
      <c r="Z661" s="230"/>
      <c r="AA661" s="230"/>
      <c r="AB661" s="230"/>
      <c r="AC661" s="230"/>
      <c r="AD661" s="230"/>
      <c r="AE661" s="230"/>
      <c r="AF661" s="230"/>
      <c r="AG661" s="230"/>
      <c r="AH661" s="230"/>
      <c r="AI661" s="230"/>
      <c r="AJ661" s="230"/>
      <c r="AK661" s="230"/>
      <c r="AL661" s="230"/>
      <c r="AM661" s="230"/>
      <c r="AN661" s="230"/>
      <c r="AO661" s="230"/>
      <c r="AP661" s="230"/>
      <c r="AQ661" s="230"/>
      <c r="AS661" s="231">
        <v>337020</v>
      </c>
      <c r="AT661" s="231"/>
      <c r="AU661" s="231"/>
      <c r="AV661" s="231"/>
      <c r="AW661" s="231"/>
      <c r="AX661" s="231"/>
      <c r="AY661" s="231"/>
      <c r="AZ661" s="231"/>
      <c r="BA661" s="231"/>
      <c r="BC661" s="82"/>
      <c r="BD661" s="82"/>
      <c r="BE661" s="91"/>
      <c r="BF661" s="92"/>
      <c r="BG661" s="92"/>
      <c r="BH661" s="390" t="s">
        <v>318</v>
      </c>
      <c r="BI661" s="390"/>
      <c r="BJ661" s="390"/>
      <c r="BK661" s="390"/>
      <c r="BL661" s="390"/>
      <c r="BM661" s="390"/>
      <c r="BN661" s="390"/>
      <c r="BO661" s="390"/>
      <c r="BP661" s="390"/>
      <c r="BQ661" s="390"/>
      <c r="BR661" s="390"/>
      <c r="BS661" s="390"/>
      <c r="BT661" s="390"/>
      <c r="BU661" s="390"/>
      <c r="BV661" s="390"/>
      <c r="BW661" s="390"/>
      <c r="BX661" s="390"/>
      <c r="BY661" s="390"/>
      <c r="BZ661" s="390"/>
      <c r="CA661" s="390"/>
      <c r="CB661" s="390"/>
      <c r="CC661" s="390"/>
      <c r="CD661" s="92"/>
      <c r="CE661" s="92"/>
      <c r="CF661" s="92"/>
      <c r="CG661" s="92"/>
      <c r="CH661" s="92"/>
      <c r="CI661" s="92"/>
      <c r="CJ661" s="92"/>
      <c r="CK661" s="92"/>
      <c r="CL661" s="92"/>
      <c r="CM661" s="92"/>
      <c r="CN661" s="92"/>
      <c r="CO661" s="92"/>
      <c r="CP661" s="92"/>
      <c r="CQ661" s="92"/>
      <c r="CR661" s="92"/>
      <c r="CS661" s="92"/>
      <c r="CT661" s="92"/>
      <c r="CU661" s="92"/>
      <c r="CV661" s="92"/>
      <c r="CW661" s="92"/>
      <c r="CX661" s="92"/>
      <c r="CY661" s="92"/>
      <c r="CZ661" s="92"/>
      <c r="DA661" s="92"/>
      <c r="DB661" s="92"/>
      <c r="DC661" s="92"/>
      <c r="DD661" s="92"/>
      <c r="DE661" s="92"/>
      <c r="DF661" s="93"/>
      <c r="DG661" s="82"/>
    </row>
    <row r="662" spans="2:111" ht="9" customHeight="1">
      <c r="B662" s="229"/>
      <c r="C662" s="229"/>
      <c r="D662" s="229"/>
      <c r="E662" s="229"/>
      <c r="F662" s="229"/>
      <c r="G662" s="229"/>
      <c r="H662" s="229"/>
      <c r="I662" s="229"/>
      <c r="J662" s="229"/>
      <c r="K662" s="229"/>
      <c r="L662" s="229"/>
      <c r="M662" s="229"/>
      <c r="N662" s="229"/>
      <c r="P662" s="230"/>
      <c r="Q662" s="230"/>
      <c r="R662" s="230"/>
      <c r="S662" s="230"/>
      <c r="T662" s="230"/>
      <c r="U662" s="230"/>
      <c r="V662" s="230"/>
      <c r="W662" s="230"/>
      <c r="X662" s="230"/>
      <c r="Y662" s="230"/>
      <c r="Z662" s="230"/>
      <c r="AA662" s="230"/>
      <c r="AB662" s="230"/>
      <c r="AC662" s="230"/>
      <c r="AD662" s="230"/>
      <c r="AE662" s="230"/>
      <c r="AF662" s="230"/>
      <c r="AG662" s="230"/>
      <c r="AH662" s="230"/>
      <c r="AI662" s="230"/>
      <c r="AJ662" s="230"/>
      <c r="AK662" s="230"/>
      <c r="AL662" s="230"/>
      <c r="AM662" s="230"/>
      <c r="AN662" s="230"/>
      <c r="AO662" s="230"/>
      <c r="AP662" s="230"/>
      <c r="AQ662" s="230"/>
      <c r="AS662" s="231"/>
      <c r="AT662" s="231"/>
      <c r="AU662" s="231"/>
      <c r="AV662" s="231"/>
      <c r="AW662" s="231"/>
      <c r="AX662" s="231"/>
      <c r="AY662" s="231"/>
      <c r="AZ662" s="231"/>
      <c r="BA662" s="231"/>
      <c r="BC662" s="82"/>
      <c r="BD662" s="82"/>
      <c r="BE662" s="91"/>
      <c r="BF662" s="92"/>
      <c r="BG662" s="92"/>
      <c r="BH662" s="390"/>
      <c r="BI662" s="390"/>
      <c r="BJ662" s="390"/>
      <c r="BK662" s="390"/>
      <c r="BL662" s="390"/>
      <c r="BM662" s="390"/>
      <c r="BN662" s="390"/>
      <c r="BO662" s="390"/>
      <c r="BP662" s="390"/>
      <c r="BQ662" s="390"/>
      <c r="BR662" s="390"/>
      <c r="BS662" s="390"/>
      <c r="BT662" s="390"/>
      <c r="BU662" s="390"/>
      <c r="BV662" s="390"/>
      <c r="BW662" s="390"/>
      <c r="BX662" s="390"/>
      <c r="BY662" s="390"/>
      <c r="BZ662" s="390"/>
      <c r="CA662" s="390"/>
      <c r="CB662" s="390"/>
      <c r="CC662" s="390"/>
      <c r="CD662" s="92"/>
      <c r="CE662" s="92"/>
      <c r="CF662" s="92"/>
      <c r="CG662" s="92"/>
      <c r="CH662" s="92"/>
      <c r="CI662" s="92"/>
      <c r="CJ662" s="92"/>
      <c r="CK662" s="92"/>
      <c r="CL662" s="92"/>
      <c r="CM662" s="92"/>
      <c r="CN662" s="92"/>
      <c r="CO662" s="92"/>
      <c r="CP662" s="92"/>
      <c r="CQ662" s="92"/>
      <c r="CR662" s="92"/>
      <c r="CS662" s="92"/>
      <c r="CT662" s="92"/>
      <c r="CU662" s="92"/>
      <c r="CV662" s="92"/>
      <c r="CW662" s="92"/>
      <c r="CX662" s="92"/>
      <c r="CY662" s="92"/>
      <c r="CZ662" s="92"/>
      <c r="DA662" s="92"/>
      <c r="DB662" s="92"/>
      <c r="DC662" s="92"/>
      <c r="DD662" s="92"/>
      <c r="DE662" s="92"/>
      <c r="DF662" s="93"/>
      <c r="DG662" s="82"/>
    </row>
    <row r="663" spans="2:111" ht="9" customHeight="1">
      <c r="B663" s="229"/>
      <c r="C663" s="229"/>
      <c r="D663" s="229"/>
      <c r="E663" s="229"/>
      <c r="F663" s="229"/>
      <c r="G663" s="229"/>
      <c r="H663" s="229"/>
      <c r="I663" s="229"/>
      <c r="J663" s="229"/>
      <c r="K663" s="229"/>
      <c r="L663" s="229"/>
      <c r="M663" s="229"/>
      <c r="N663" s="229"/>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230"/>
      <c r="AL663" s="230"/>
      <c r="AM663" s="230"/>
      <c r="AN663" s="230"/>
      <c r="AO663" s="230"/>
      <c r="AP663" s="230"/>
      <c r="AQ663" s="230"/>
      <c r="AS663" s="231"/>
      <c r="AT663" s="231"/>
      <c r="AU663" s="231"/>
      <c r="AV663" s="231"/>
      <c r="AW663" s="231"/>
      <c r="AX663" s="231"/>
      <c r="AY663" s="231"/>
      <c r="AZ663" s="231"/>
      <c r="BA663" s="231"/>
      <c r="BC663" s="82"/>
      <c r="BD663" s="82"/>
      <c r="BE663" s="91"/>
      <c r="BF663" s="92"/>
      <c r="BG663" s="92"/>
      <c r="BH663" s="92"/>
      <c r="BI663" s="92"/>
      <c r="BJ663" s="92"/>
      <c r="BK663" s="92"/>
      <c r="BL663" s="92"/>
      <c r="BM663" s="92"/>
      <c r="BN663" s="92"/>
      <c r="BO663" s="92"/>
      <c r="BP663" s="92"/>
      <c r="BQ663" s="92"/>
      <c r="BR663" s="92"/>
      <c r="BS663" s="92"/>
      <c r="BT663" s="92"/>
      <c r="BU663" s="92"/>
      <c r="BV663" s="92"/>
      <c r="BW663" s="92"/>
      <c r="BX663" s="92"/>
      <c r="BY663" s="92"/>
      <c r="BZ663" s="92"/>
      <c r="CA663" s="92"/>
      <c r="CB663" s="92"/>
      <c r="CC663" s="92"/>
      <c r="CD663" s="92"/>
      <c r="CE663" s="92"/>
      <c r="CF663" s="92"/>
      <c r="CG663" s="92"/>
      <c r="CH663" s="92"/>
      <c r="CI663" s="92"/>
      <c r="CJ663" s="92"/>
      <c r="CK663" s="92"/>
      <c r="CL663" s="92"/>
      <c r="CM663" s="92"/>
      <c r="CN663" s="92"/>
      <c r="CO663" s="92"/>
      <c r="CP663" s="92"/>
      <c r="CQ663" s="92"/>
      <c r="CR663" s="92"/>
      <c r="CS663" s="92"/>
      <c r="CT663" s="92"/>
      <c r="CU663" s="92"/>
      <c r="CV663" s="92"/>
      <c r="CW663" s="92"/>
      <c r="CX663" s="92"/>
      <c r="CY663" s="92"/>
      <c r="CZ663" s="92"/>
      <c r="DA663" s="92"/>
      <c r="DB663" s="92"/>
      <c r="DC663" s="92"/>
      <c r="DD663" s="92"/>
      <c r="DE663" s="92"/>
      <c r="DF663" s="93"/>
      <c r="DG663" s="82"/>
    </row>
    <row r="664" spans="2:111" ht="9" customHeight="1">
      <c r="B664" s="229"/>
      <c r="C664" s="229"/>
      <c r="D664" s="229"/>
      <c r="E664" s="229"/>
      <c r="F664" s="229"/>
      <c r="G664" s="229"/>
      <c r="H664" s="229"/>
      <c r="I664" s="229"/>
      <c r="J664" s="229"/>
      <c r="K664" s="229"/>
      <c r="L664" s="229"/>
      <c r="M664" s="229"/>
      <c r="N664" s="229"/>
      <c r="P664" s="230"/>
      <c r="Q664" s="230"/>
      <c r="R664" s="230"/>
      <c r="S664" s="230"/>
      <c r="T664" s="230"/>
      <c r="U664" s="230"/>
      <c r="V664" s="230"/>
      <c r="W664" s="230"/>
      <c r="X664" s="230"/>
      <c r="Y664" s="230"/>
      <c r="Z664" s="230"/>
      <c r="AA664" s="230"/>
      <c r="AB664" s="230"/>
      <c r="AC664" s="230"/>
      <c r="AD664" s="230"/>
      <c r="AE664" s="230"/>
      <c r="AF664" s="230"/>
      <c r="AG664" s="230"/>
      <c r="AH664" s="230"/>
      <c r="AI664" s="230"/>
      <c r="AJ664" s="230"/>
      <c r="AK664" s="230"/>
      <c r="AL664" s="230"/>
      <c r="AM664" s="230"/>
      <c r="AN664" s="230"/>
      <c r="AO664" s="230"/>
      <c r="AP664" s="230"/>
      <c r="AQ664" s="230"/>
      <c r="AS664" s="231"/>
      <c r="AT664" s="231"/>
      <c r="AU664" s="231"/>
      <c r="AV664" s="231"/>
      <c r="AW664" s="231"/>
      <c r="AX664" s="231"/>
      <c r="AY664" s="231"/>
      <c r="AZ664" s="231"/>
      <c r="BA664" s="231"/>
      <c r="BC664" s="82"/>
      <c r="BD664" s="82"/>
      <c r="BE664" s="91"/>
      <c r="BF664" s="383" t="s">
        <v>310</v>
      </c>
      <c r="BG664" s="384"/>
      <c r="BH664" s="381" t="s">
        <v>313</v>
      </c>
      <c r="BI664" s="381"/>
      <c r="BJ664" s="381"/>
      <c r="BK664" s="381"/>
      <c r="BL664" s="381"/>
      <c r="BM664" s="381"/>
      <c r="BN664" s="381"/>
      <c r="BO664" s="381"/>
      <c r="BP664" s="381"/>
      <c r="BQ664" s="381"/>
      <c r="BR664" s="381"/>
      <c r="BS664" s="381"/>
      <c r="BT664" s="381"/>
      <c r="BU664" s="381"/>
      <c r="BV664" s="381"/>
      <c r="BW664" s="381"/>
      <c r="BX664" s="381"/>
      <c r="BY664" s="381"/>
      <c r="BZ664" s="381"/>
      <c r="CA664" s="381"/>
      <c r="CB664" s="381"/>
      <c r="CC664" s="381"/>
      <c r="CD664" s="381"/>
      <c r="CE664" s="381"/>
      <c r="CF664" s="381"/>
      <c r="CG664" s="381"/>
      <c r="CH664" s="381"/>
      <c r="CI664" s="381"/>
      <c r="CJ664" s="381"/>
      <c r="CK664" s="381"/>
      <c r="CL664" s="381"/>
      <c r="CM664" s="381"/>
      <c r="CN664" s="381"/>
      <c r="CO664" s="381"/>
      <c r="CP664" s="381"/>
      <c r="CQ664" s="381"/>
      <c r="CR664" s="381"/>
      <c r="CS664" s="381"/>
      <c r="CT664" s="381"/>
      <c r="CU664" s="381"/>
      <c r="CV664" s="381"/>
      <c r="CW664" s="381"/>
      <c r="CX664" s="381"/>
      <c r="CY664" s="381"/>
      <c r="CZ664" s="381"/>
      <c r="DA664" s="381"/>
      <c r="DB664" s="381"/>
      <c r="DC664" s="381"/>
      <c r="DD664" s="381"/>
      <c r="DE664" s="381"/>
      <c r="DF664" s="94"/>
      <c r="DG664" s="82"/>
    </row>
    <row r="665" spans="2:111" ht="9" customHeight="1">
      <c r="B665" s="229"/>
      <c r="C665" s="229"/>
      <c r="D665" s="229"/>
      <c r="E665" s="229"/>
      <c r="F665" s="229"/>
      <c r="G665" s="229"/>
      <c r="H665" s="229"/>
      <c r="I665" s="229"/>
      <c r="J665" s="229"/>
      <c r="K665" s="229"/>
      <c r="L665" s="229"/>
      <c r="M665" s="229"/>
      <c r="N665" s="229"/>
      <c r="P665" s="230"/>
      <c r="Q665" s="230"/>
      <c r="R665" s="230"/>
      <c r="S665" s="230"/>
      <c r="T665" s="230"/>
      <c r="U665" s="230"/>
      <c r="V665" s="230"/>
      <c r="W665" s="230"/>
      <c r="X665" s="230"/>
      <c r="Y665" s="230"/>
      <c r="Z665" s="230"/>
      <c r="AA665" s="230"/>
      <c r="AB665" s="230"/>
      <c r="AC665" s="230"/>
      <c r="AD665" s="230"/>
      <c r="AE665" s="230"/>
      <c r="AF665" s="230"/>
      <c r="AG665" s="230"/>
      <c r="AH665" s="230"/>
      <c r="AI665" s="230"/>
      <c r="AJ665" s="230"/>
      <c r="AK665" s="230"/>
      <c r="AL665" s="230"/>
      <c r="AM665" s="230"/>
      <c r="AN665" s="230"/>
      <c r="AO665" s="230"/>
      <c r="AP665" s="230"/>
      <c r="AQ665" s="230"/>
      <c r="AS665" s="231"/>
      <c r="AT665" s="231"/>
      <c r="AU665" s="231"/>
      <c r="AV665" s="231"/>
      <c r="AW665" s="231"/>
      <c r="AX665" s="231"/>
      <c r="AY665" s="231"/>
      <c r="AZ665" s="231"/>
      <c r="BA665" s="231"/>
      <c r="BC665" s="82"/>
      <c r="BD665" s="82"/>
      <c r="BE665" s="91"/>
      <c r="BF665" s="384"/>
      <c r="BG665" s="384"/>
      <c r="BH665" s="381"/>
      <c r="BI665" s="381"/>
      <c r="BJ665" s="381"/>
      <c r="BK665" s="381"/>
      <c r="BL665" s="381"/>
      <c r="BM665" s="381"/>
      <c r="BN665" s="381"/>
      <c r="BO665" s="381"/>
      <c r="BP665" s="381"/>
      <c r="BQ665" s="381"/>
      <c r="BR665" s="381"/>
      <c r="BS665" s="381"/>
      <c r="BT665" s="381"/>
      <c r="BU665" s="381"/>
      <c r="BV665" s="381"/>
      <c r="BW665" s="381"/>
      <c r="BX665" s="381"/>
      <c r="BY665" s="381"/>
      <c r="BZ665" s="381"/>
      <c r="CA665" s="381"/>
      <c r="CB665" s="381"/>
      <c r="CC665" s="381"/>
      <c r="CD665" s="381"/>
      <c r="CE665" s="381"/>
      <c r="CF665" s="381"/>
      <c r="CG665" s="381"/>
      <c r="CH665" s="381"/>
      <c r="CI665" s="381"/>
      <c r="CJ665" s="381"/>
      <c r="CK665" s="381"/>
      <c r="CL665" s="381"/>
      <c r="CM665" s="381"/>
      <c r="CN665" s="381"/>
      <c r="CO665" s="381"/>
      <c r="CP665" s="381"/>
      <c r="CQ665" s="381"/>
      <c r="CR665" s="381"/>
      <c r="CS665" s="381"/>
      <c r="CT665" s="381"/>
      <c r="CU665" s="381"/>
      <c r="CV665" s="381"/>
      <c r="CW665" s="381"/>
      <c r="CX665" s="381"/>
      <c r="CY665" s="381"/>
      <c r="CZ665" s="381"/>
      <c r="DA665" s="381"/>
      <c r="DB665" s="381"/>
      <c r="DC665" s="381"/>
      <c r="DD665" s="381"/>
      <c r="DE665" s="381"/>
      <c r="DF665" s="94"/>
      <c r="DG665" s="82"/>
    </row>
    <row r="666" spans="2:111" ht="9" customHeight="1">
      <c r="B666" s="229"/>
      <c r="C666" s="229"/>
      <c r="D666" s="229"/>
      <c r="E666" s="229"/>
      <c r="F666" s="229"/>
      <c r="G666" s="229"/>
      <c r="H666" s="229"/>
      <c r="I666" s="229"/>
      <c r="J666" s="229"/>
      <c r="K666" s="229"/>
      <c r="L666" s="229"/>
      <c r="M666" s="229"/>
      <c r="N666" s="229"/>
      <c r="P666" s="230"/>
      <c r="Q666" s="230"/>
      <c r="R666" s="230"/>
      <c r="S666" s="230"/>
      <c r="T666" s="230"/>
      <c r="U666" s="230"/>
      <c r="V666" s="230"/>
      <c r="W666" s="230"/>
      <c r="X666" s="230"/>
      <c r="Y666" s="230"/>
      <c r="Z666" s="230"/>
      <c r="AA666" s="230"/>
      <c r="AB666" s="230"/>
      <c r="AC666" s="230"/>
      <c r="AD666" s="230"/>
      <c r="AE666" s="230"/>
      <c r="AF666" s="230"/>
      <c r="AG666" s="230"/>
      <c r="AH666" s="230"/>
      <c r="AI666" s="230"/>
      <c r="AJ666" s="230"/>
      <c r="AK666" s="230"/>
      <c r="AL666" s="230"/>
      <c r="AM666" s="230"/>
      <c r="AN666" s="230"/>
      <c r="AO666" s="230"/>
      <c r="AP666" s="230"/>
      <c r="AQ666" s="230"/>
      <c r="AS666" s="231"/>
      <c r="AT666" s="231"/>
      <c r="AU666" s="231"/>
      <c r="AV666" s="231"/>
      <c r="AW666" s="231"/>
      <c r="AX666" s="231"/>
      <c r="AY666" s="231"/>
      <c r="AZ666" s="231"/>
      <c r="BA666" s="231"/>
      <c r="BC666" s="82"/>
      <c r="BD666" s="82"/>
      <c r="BE666" s="91"/>
      <c r="BF666" s="92"/>
      <c r="BG666" s="92"/>
      <c r="BH666" s="381"/>
      <c r="BI666" s="381"/>
      <c r="BJ666" s="381"/>
      <c r="BK666" s="381"/>
      <c r="BL666" s="381"/>
      <c r="BM666" s="381"/>
      <c r="BN666" s="381"/>
      <c r="BO666" s="381"/>
      <c r="BP666" s="381"/>
      <c r="BQ666" s="381"/>
      <c r="BR666" s="381"/>
      <c r="BS666" s="381"/>
      <c r="BT666" s="381"/>
      <c r="BU666" s="381"/>
      <c r="BV666" s="381"/>
      <c r="BW666" s="381"/>
      <c r="BX666" s="381"/>
      <c r="BY666" s="381"/>
      <c r="BZ666" s="381"/>
      <c r="CA666" s="381"/>
      <c r="CB666" s="381"/>
      <c r="CC666" s="381"/>
      <c r="CD666" s="381"/>
      <c r="CE666" s="381"/>
      <c r="CF666" s="381"/>
      <c r="CG666" s="381"/>
      <c r="CH666" s="381"/>
      <c r="CI666" s="381"/>
      <c r="CJ666" s="381"/>
      <c r="CK666" s="381"/>
      <c r="CL666" s="381"/>
      <c r="CM666" s="381"/>
      <c r="CN666" s="381"/>
      <c r="CO666" s="381"/>
      <c r="CP666" s="381"/>
      <c r="CQ666" s="381"/>
      <c r="CR666" s="381"/>
      <c r="CS666" s="381"/>
      <c r="CT666" s="381"/>
      <c r="CU666" s="381"/>
      <c r="CV666" s="381"/>
      <c r="CW666" s="381"/>
      <c r="CX666" s="381"/>
      <c r="CY666" s="381"/>
      <c r="CZ666" s="381"/>
      <c r="DA666" s="381"/>
      <c r="DB666" s="381"/>
      <c r="DC666" s="381"/>
      <c r="DD666" s="381"/>
      <c r="DE666" s="381"/>
      <c r="DF666" s="94"/>
      <c r="DG666" s="82"/>
    </row>
    <row r="667" spans="2:111" ht="9" customHeight="1">
      <c r="B667" s="229"/>
      <c r="C667" s="229"/>
      <c r="D667" s="229"/>
      <c r="E667" s="229"/>
      <c r="F667" s="229"/>
      <c r="G667" s="229"/>
      <c r="H667" s="229"/>
      <c r="I667" s="229"/>
      <c r="J667" s="229"/>
      <c r="K667" s="229"/>
      <c r="L667" s="229"/>
      <c r="M667" s="229"/>
      <c r="N667" s="229"/>
      <c r="P667" s="230"/>
      <c r="Q667" s="230"/>
      <c r="R667" s="230"/>
      <c r="S667" s="230"/>
      <c r="T667" s="230"/>
      <c r="U667" s="230"/>
      <c r="V667" s="230"/>
      <c r="W667" s="230"/>
      <c r="X667" s="230"/>
      <c r="Y667" s="230"/>
      <c r="Z667" s="230"/>
      <c r="AA667" s="230"/>
      <c r="AB667" s="230"/>
      <c r="AC667" s="230"/>
      <c r="AD667" s="230"/>
      <c r="AE667" s="230"/>
      <c r="AF667" s="230"/>
      <c r="AG667" s="230"/>
      <c r="AH667" s="230"/>
      <c r="AI667" s="230"/>
      <c r="AJ667" s="230"/>
      <c r="AK667" s="230"/>
      <c r="AL667" s="230"/>
      <c r="AM667" s="230"/>
      <c r="AN667" s="230"/>
      <c r="AO667" s="230"/>
      <c r="AP667" s="230"/>
      <c r="AQ667" s="230"/>
      <c r="AS667" s="231"/>
      <c r="AT667" s="231"/>
      <c r="AU667" s="231"/>
      <c r="AV667" s="231"/>
      <c r="AW667" s="231"/>
      <c r="AX667" s="231"/>
      <c r="AY667" s="231"/>
      <c r="AZ667" s="231"/>
      <c r="BA667" s="231"/>
      <c r="BC667" s="82"/>
      <c r="BD667" s="82"/>
      <c r="BE667" s="91"/>
      <c r="BF667" s="92"/>
      <c r="BG667" s="92"/>
      <c r="BH667" s="92"/>
      <c r="BI667" s="92"/>
      <c r="BJ667" s="92"/>
      <c r="BK667" s="92"/>
      <c r="BL667" s="92"/>
      <c r="BM667" s="92"/>
      <c r="BN667" s="92"/>
      <c r="BO667" s="92"/>
      <c r="BP667" s="92"/>
      <c r="BQ667" s="92"/>
      <c r="BR667" s="92"/>
      <c r="BS667" s="92"/>
      <c r="BT667" s="92"/>
      <c r="BU667" s="92"/>
      <c r="BV667" s="92"/>
      <c r="BW667" s="92"/>
      <c r="BX667" s="92"/>
      <c r="BY667" s="92"/>
      <c r="BZ667" s="92"/>
      <c r="CA667" s="92"/>
      <c r="CB667" s="92"/>
      <c r="CC667" s="92"/>
      <c r="CD667" s="92"/>
      <c r="CE667" s="92"/>
      <c r="CF667" s="92"/>
      <c r="CG667" s="92"/>
      <c r="CH667" s="92"/>
      <c r="CI667" s="92"/>
      <c r="CJ667" s="92"/>
      <c r="CK667" s="92"/>
      <c r="CL667" s="92"/>
      <c r="CM667" s="92"/>
      <c r="CN667" s="92"/>
      <c r="CO667" s="92"/>
      <c r="CP667" s="92"/>
      <c r="CQ667" s="92"/>
      <c r="CR667" s="92"/>
      <c r="CS667" s="92"/>
      <c r="CT667" s="92"/>
      <c r="CU667" s="92"/>
      <c r="CV667" s="92"/>
      <c r="CW667" s="92"/>
      <c r="CX667" s="92"/>
      <c r="CY667" s="92"/>
      <c r="CZ667" s="92"/>
      <c r="DA667" s="92"/>
      <c r="DB667" s="92"/>
      <c r="DC667" s="92"/>
      <c r="DD667" s="92"/>
      <c r="DE667" s="92"/>
      <c r="DF667" s="93"/>
      <c r="DG667" s="82"/>
    </row>
    <row r="668" spans="2:111" ht="9" customHeight="1">
      <c r="B668" s="229"/>
      <c r="C668" s="229"/>
      <c r="D668" s="229"/>
      <c r="E668" s="229"/>
      <c r="F668" s="229"/>
      <c r="G668" s="229"/>
      <c r="H668" s="229"/>
      <c r="I668" s="229"/>
      <c r="J668" s="229"/>
      <c r="K668" s="229"/>
      <c r="L668" s="229"/>
      <c r="M668" s="229"/>
      <c r="N668" s="229"/>
      <c r="P668" s="230"/>
      <c r="Q668" s="230"/>
      <c r="R668" s="230"/>
      <c r="S668" s="230"/>
      <c r="T668" s="230"/>
      <c r="U668" s="230"/>
      <c r="V668" s="230"/>
      <c r="W668" s="230"/>
      <c r="X668" s="230"/>
      <c r="Y668" s="230"/>
      <c r="Z668" s="230"/>
      <c r="AA668" s="230"/>
      <c r="AB668" s="230"/>
      <c r="AC668" s="230"/>
      <c r="AD668" s="230"/>
      <c r="AE668" s="230"/>
      <c r="AF668" s="230"/>
      <c r="AG668" s="230"/>
      <c r="AH668" s="230"/>
      <c r="AI668" s="230"/>
      <c r="AJ668" s="230"/>
      <c r="AK668" s="230"/>
      <c r="AL668" s="230"/>
      <c r="AM668" s="230"/>
      <c r="AN668" s="230"/>
      <c r="AO668" s="230"/>
      <c r="AP668" s="230"/>
      <c r="AQ668" s="230"/>
      <c r="AS668" s="231"/>
      <c r="AT668" s="231"/>
      <c r="AU668" s="231"/>
      <c r="AV668" s="231"/>
      <c r="AW668" s="231"/>
      <c r="AX668" s="231"/>
      <c r="AY668" s="231"/>
      <c r="AZ668" s="231"/>
      <c r="BA668" s="231"/>
      <c r="BC668" s="82"/>
      <c r="BD668" s="82"/>
      <c r="BE668" s="91"/>
      <c r="BF668" s="383" t="s">
        <v>311</v>
      </c>
      <c r="BG668" s="384"/>
      <c r="BH668" s="391" t="s">
        <v>314</v>
      </c>
      <c r="BI668" s="391"/>
      <c r="BJ668" s="391"/>
      <c r="BK668" s="391"/>
      <c r="BL668" s="391"/>
      <c r="BM668" s="391"/>
      <c r="BN668" s="391"/>
      <c r="BO668" s="391"/>
      <c r="BP668" s="391"/>
      <c r="BQ668" s="391"/>
      <c r="BR668" s="391"/>
      <c r="BS668" s="391"/>
      <c r="BT668" s="391"/>
      <c r="BU668" s="391"/>
      <c r="BV668" s="391"/>
      <c r="BW668" s="391"/>
      <c r="BX668" s="391"/>
      <c r="BY668" s="391"/>
      <c r="BZ668" s="391"/>
      <c r="CA668" s="391"/>
      <c r="CB668" s="391"/>
      <c r="CC668" s="391"/>
      <c r="CD668" s="391"/>
      <c r="CE668" s="391"/>
      <c r="CF668" s="391"/>
      <c r="CG668" s="391"/>
      <c r="CH668" s="391"/>
      <c r="CI668" s="391"/>
      <c r="CJ668" s="391"/>
      <c r="CK668" s="391"/>
      <c r="CL668" s="391"/>
      <c r="CM668" s="391"/>
      <c r="CN668" s="391"/>
      <c r="CO668" s="391"/>
      <c r="CP668" s="391"/>
      <c r="CQ668" s="391"/>
      <c r="CR668" s="391"/>
      <c r="CS668" s="391"/>
      <c r="CT668" s="391"/>
      <c r="CU668" s="391"/>
      <c r="CV668" s="391"/>
      <c r="CW668" s="391"/>
      <c r="CX668" s="391"/>
      <c r="CY668" s="391"/>
      <c r="CZ668" s="391"/>
      <c r="DA668" s="391"/>
      <c r="DB668" s="391"/>
      <c r="DC668" s="391"/>
      <c r="DD668" s="391"/>
      <c r="DE668" s="391"/>
      <c r="DF668" s="93"/>
      <c r="DG668" s="82"/>
    </row>
    <row r="669" spans="2:111" ht="9" customHeight="1">
      <c r="B669" s="229"/>
      <c r="C669" s="229"/>
      <c r="D669" s="229"/>
      <c r="E669" s="229"/>
      <c r="F669" s="229"/>
      <c r="G669" s="229"/>
      <c r="H669" s="229"/>
      <c r="I669" s="229"/>
      <c r="J669" s="229"/>
      <c r="K669" s="229"/>
      <c r="L669" s="229"/>
      <c r="M669" s="229"/>
      <c r="N669" s="229"/>
      <c r="P669" s="230"/>
      <c r="Q669" s="230"/>
      <c r="R669" s="230"/>
      <c r="S669" s="230"/>
      <c r="T669" s="230"/>
      <c r="U669" s="230"/>
      <c r="V669" s="230"/>
      <c r="W669" s="230"/>
      <c r="X669" s="230"/>
      <c r="Y669" s="230"/>
      <c r="Z669" s="230"/>
      <c r="AA669" s="230"/>
      <c r="AB669" s="230"/>
      <c r="AC669" s="230"/>
      <c r="AD669" s="230"/>
      <c r="AE669" s="230"/>
      <c r="AF669" s="230"/>
      <c r="AG669" s="230"/>
      <c r="AH669" s="230"/>
      <c r="AI669" s="230"/>
      <c r="AJ669" s="230"/>
      <c r="AK669" s="230"/>
      <c r="AL669" s="230"/>
      <c r="AM669" s="230"/>
      <c r="AN669" s="230"/>
      <c r="AO669" s="230"/>
      <c r="AP669" s="230"/>
      <c r="AQ669" s="230"/>
      <c r="AS669" s="231"/>
      <c r="AT669" s="231"/>
      <c r="AU669" s="231"/>
      <c r="AV669" s="231"/>
      <c r="AW669" s="231"/>
      <c r="AX669" s="231"/>
      <c r="AY669" s="231"/>
      <c r="AZ669" s="231"/>
      <c r="BA669" s="231"/>
      <c r="BC669" s="82"/>
      <c r="BD669" s="82"/>
      <c r="BE669" s="91"/>
      <c r="BF669" s="384"/>
      <c r="BG669" s="384"/>
      <c r="BH669" s="391"/>
      <c r="BI669" s="391"/>
      <c r="BJ669" s="391"/>
      <c r="BK669" s="391"/>
      <c r="BL669" s="391"/>
      <c r="BM669" s="391"/>
      <c r="BN669" s="391"/>
      <c r="BO669" s="391"/>
      <c r="BP669" s="391"/>
      <c r="BQ669" s="391"/>
      <c r="BR669" s="391"/>
      <c r="BS669" s="391"/>
      <c r="BT669" s="391"/>
      <c r="BU669" s="391"/>
      <c r="BV669" s="391"/>
      <c r="BW669" s="391"/>
      <c r="BX669" s="391"/>
      <c r="BY669" s="391"/>
      <c r="BZ669" s="391"/>
      <c r="CA669" s="391"/>
      <c r="CB669" s="391"/>
      <c r="CC669" s="391"/>
      <c r="CD669" s="391"/>
      <c r="CE669" s="391"/>
      <c r="CF669" s="391"/>
      <c r="CG669" s="391"/>
      <c r="CH669" s="391"/>
      <c r="CI669" s="391"/>
      <c r="CJ669" s="391"/>
      <c r="CK669" s="391"/>
      <c r="CL669" s="391"/>
      <c r="CM669" s="391"/>
      <c r="CN669" s="391"/>
      <c r="CO669" s="391"/>
      <c r="CP669" s="391"/>
      <c r="CQ669" s="391"/>
      <c r="CR669" s="391"/>
      <c r="CS669" s="391"/>
      <c r="CT669" s="391"/>
      <c r="CU669" s="391"/>
      <c r="CV669" s="391"/>
      <c r="CW669" s="391"/>
      <c r="CX669" s="391"/>
      <c r="CY669" s="391"/>
      <c r="CZ669" s="391"/>
      <c r="DA669" s="391"/>
      <c r="DB669" s="391"/>
      <c r="DC669" s="391"/>
      <c r="DD669" s="391"/>
      <c r="DE669" s="391"/>
      <c r="DF669" s="93"/>
      <c r="DG669" s="82"/>
    </row>
    <row r="670" spans="2:111" ht="9" customHeight="1">
      <c r="B670" s="229"/>
      <c r="C670" s="229"/>
      <c r="D670" s="229"/>
      <c r="E670" s="229"/>
      <c r="F670" s="229"/>
      <c r="G670" s="229"/>
      <c r="H670" s="229"/>
      <c r="I670" s="229"/>
      <c r="J670" s="229"/>
      <c r="K670" s="229"/>
      <c r="L670" s="229"/>
      <c r="M670" s="229"/>
      <c r="N670" s="229"/>
      <c r="P670" s="230"/>
      <c r="Q670" s="230"/>
      <c r="R670" s="230"/>
      <c r="S670" s="230"/>
      <c r="T670" s="230"/>
      <c r="U670" s="230"/>
      <c r="V670" s="230"/>
      <c r="W670" s="230"/>
      <c r="X670" s="230"/>
      <c r="Y670" s="230"/>
      <c r="Z670" s="230"/>
      <c r="AA670" s="230"/>
      <c r="AB670" s="230"/>
      <c r="AC670" s="230"/>
      <c r="AD670" s="230"/>
      <c r="AE670" s="230"/>
      <c r="AF670" s="230"/>
      <c r="AG670" s="230"/>
      <c r="AH670" s="230"/>
      <c r="AI670" s="230"/>
      <c r="AJ670" s="230"/>
      <c r="AK670" s="230"/>
      <c r="AL670" s="230"/>
      <c r="AM670" s="230"/>
      <c r="AN670" s="230"/>
      <c r="AO670" s="230"/>
      <c r="AP670" s="230"/>
      <c r="AQ670" s="230"/>
      <c r="AS670" s="231"/>
      <c r="AT670" s="231"/>
      <c r="AU670" s="231"/>
      <c r="AV670" s="231"/>
      <c r="AW670" s="231"/>
      <c r="AX670" s="231"/>
      <c r="AY670" s="231"/>
      <c r="AZ670" s="231"/>
      <c r="BA670" s="231"/>
      <c r="BC670" s="82"/>
      <c r="BD670" s="82"/>
      <c r="BE670" s="91"/>
      <c r="BF670" s="92"/>
      <c r="BG670" s="92"/>
      <c r="BH670" s="391"/>
      <c r="BI670" s="391"/>
      <c r="BJ670" s="391"/>
      <c r="BK670" s="391"/>
      <c r="BL670" s="391"/>
      <c r="BM670" s="391"/>
      <c r="BN670" s="391"/>
      <c r="BO670" s="391"/>
      <c r="BP670" s="391"/>
      <c r="BQ670" s="391"/>
      <c r="BR670" s="391"/>
      <c r="BS670" s="391"/>
      <c r="BT670" s="391"/>
      <c r="BU670" s="391"/>
      <c r="BV670" s="391"/>
      <c r="BW670" s="391"/>
      <c r="BX670" s="391"/>
      <c r="BY670" s="391"/>
      <c r="BZ670" s="391"/>
      <c r="CA670" s="391"/>
      <c r="CB670" s="391"/>
      <c r="CC670" s="391"/>
      <c r="CD670" s="391"/>
      <c r="CE670" s="391"/>
      <c r="CF670" s="391"/>
      <c r="CG670" s="391"/>
      <c r="CH670" s="391"/>
      <c r="CI670" s="391"/>
      <c r="CJ670" s="391"/>
      <c r="CK670" s="391"/>
      <c r="CL670" s="391"/>
      <c r="CM670" s="391"/>
      <c r="CN670" s="391"/>
      <c r="CO670" s="391"/>
      <c r="CP670" s="391"/>
      <c r="CQ670" s="391"/>
      <c r="CR670" s="391"/>
      <c r="CS670" s="391"/>
      <c r="CT670" s="391"/>
      <c r="CU670" s="391"/>
      <c r="CV670" s="391"/>
      <c r="CW670" s="391"/>
      <c r="CX670" s="391"/>
      <c r="CY670" s="391"/>
      <c r="CZ670" s="391"/>
      <c r="DA670" s="391"/>
      <c r="DB670" s="391"/>
      <c r="DC670" s="391"/>
      <c r="DD670" s="391"/>
      <c r="DE670" s="391"/>
      <c r="DF670" s="93"/>
      <c r="DG670" s="82"/>
    </row>
    <row r="671" spans="2:111" ht="9" customHeight="1">
      <c r="B671" s="229"/>
      <c r="C671" s="229"/>
      <c r="D671" s="229"/>
      <c r="E671" s="229"/>
      <c r="F671" s="229"/>
      <c r="G671" s="229"/>
      <c r="H671" s="229"/>
      <c r="I671" s="229"/>
      <c r="J671" s="229"/>
      <c r="K671" s="229"/>
      <c r="L671" s="229"/>
      <c r="M671" s="229"/>
      <c r="N671" s="229"/>
      <c r="P671" s="230"/>
      <c r="Q671" s="230"/>
      <c r="R671" s="230"/>
      <c r="S671" s="230"/>
      <c r="T671" s="230"/>
      <c r="U671" s="230"/>
      <c r="V671" s="230"/>
      <c r="W671" s="230"/>
      <c r="X671" s="230"/>
      <c r="Y671" s="230"/>
      <c r="Z671" s="230"/>
      <c r="AA671" s="230"/>
      <c r="AB671" s="230"/>
      <c r="AC671" s="230"/>
      <c r="AD671" s="230"/>
      <c r="AE671" s="230"/>
      <c r="AF671" s="230"/>
      <c r="AG671" s="230"/>
      <c r="AH671" s="230"/>
      <c r="AI671" s="230"/>
      <c r="AJ671" s="230"/>
      <c r="AK671" s="230"/>
      <c r="AL671" s="230"/>
      <c r="AM671" s="230"/>
      <c r="AN671" s="230"/>
      <c r="AO671" s="230"/>
      <c r="AP671" s="230"/>
      <c r="AQ671" s="230"/>
      <c r="AS671" s="231"/>
      <c r="AT671" s="231"/>
      <c r="AU671" s="231"/>
      <c r="AV671" s="231"/>
      <c r="AW671" s="231"/>
      <c r="AX671" s="231"/>
      <c r="AY671" s="231"/>
      <c r="AZ671" s="231"/>
      <c r="BA671" s="231"/>
      <c r="BC671" s="82"/>
      <c r="BD671" s="82"/>
      <c r="BE671" s="91"/>
      <c r="BF671" s="92"/>
      <c r="BG671" s="92"/>
      <c r="BH671" s="391"/>
      <c r="BI671" s="391"/>
      <c r="BJ671" s="391"/>
      <c r="BK671" s="391"/>
      <c r="BL671" s="391"/>
      <c r="BM671" s="391"/>
      <c r="BN671" s="391"/>
      <c r="BO671" s="391"/>
      <c r="BP671" s="391"/>
      <c r="BQ671" s="391"/>
      <c r="BR671" s="391"/>
      <c r="BS671" s="391"/>
      <c r="BT671" s="391"/>
      <c r="BU671" s="391"/>
      <c r="BV671" s="391"/>
      <c r="BW671" s="391"/>
      <c r="BX671" s="391"/>
      <c r="BY671" s="391"/>
      <c r="BZ671" s="391"/>
      <c r="CA671" s="391"/>
      <c r="CB671" s="391"/>
      <c r="CC671" s="391"/>
      <c r="CD671" s="391"/>
      <c r="CE671" s="391"/>
      <c r="CF671" s="391"/>
      <c r="CG671" s="391"/>
      <c r="CH671" s="391"/>
      <c r="CI671" s="391"/>
      <c r="CJ671" s="391"/>
      <c r="CK671" s="391"/>
      <c r="CL671" s="391"/>
      <c r="CM671" s="391"/>
      <c r="CN671" s="391"/>
      <c r="CO671" s="391"/>
      <c r="CP671" s="391"/>
      <c r="CQ671" s="391"/>
      <c r="CR671" s="391"/>
      <c r="CS671" s="391"/>
      <c r="CT671" s="391"/>
      <c r="CU671" s="391"/>
      <c r="CV671" s="391"/>
      <c r="CW671" s="391"/>
      <c r="CX671" s="391"/>
      <c r="CY671" s="391"/>
      <c r="CZ671" s="391"/>
      <c r="DA671" s="391"/>
      <c r="DB671" s="391"/>
      <c r="DC671" s="391"/>
      <c r="DD671" s="391"/>
      <c r="DE671" s="391"/>
      <c r="DF671" s="93"/>
      <c r="DG671" s="82"/>
    </row>
    <row r="672" spans="2:111" ht="9" customHeight="1">
      <c r="B672" s="229"/>
      <c r="C672" s="229"/>
      <c r="D672" s="229"/>
      <c r="E672" s="229"/>
      <c r="F672" s="229"/>
      <c r="G672" s="229"/>
      <c r="H672" s="229"/>
      <c r="I672" s="229"/>
      <c r="J672" s="229"/>
      <c r="K672" s="229"/>
      <c r="L672" s="229"/>
      <c r="M672" s="229"/>
      <c r="N672" s="229"/>
      <c r="P672" s="230"/>
      <c r="Q672" s="230"/>
      <c r="R672" s="230"/>
      <c r="S672" s="230"/>
      <c r="T672" s="230"/>
      <c r="U672" s="230"/>
      <c r="V672" s="230"/>
      <c r="W672" s="230"/>
      <c r="X672" s="230"/>
      <c r="Y672" s="230"/>
      <c r="Z672" s="230"/>
      <c r="AA672" s="230"/>
      <c r="AB672" s="230"/>
      <c r="AC672" s="230"/>
      <c r="AD672" s="230"/>
      <c r="AE672" s="230"/>
      <c r="AF672" s="230"/>
      <c r="AG672" s="230"/>
      <c r="AH672" s="230"/>
      <c r="AI672" s="230"/>
      <c r="AJ672" s="230"/>
      <c r="AK672" s="230"/>
      <c r="AL672" s="230"/>
      <c r="AM672" s="230"/>
      <c r="AN672" s="230"/>
      <c r="AO672" s="230"/>
      <c r="AP672" s="230"/>
      <c r="AQ672" s="230"/>
      <c r="AS672" s="231"/>
      <c r="AT672" s="231"/>
      <c r="AU672" s="231"/>
      <c r="AV672" s="231"/>
      <c r="AW672" s="231"/>
      <c r="AX672" s="231"/>
      <c r="AY672" s="231"/>
      <c r="AZ672" s="231"/>
      <c r="BA672" s="231"/>
      <c r="BC672" s="82"/>
      <c r="BD672" s="82"/>
      <c r="BE672" s="91"/>
      <c r="BF672" s="92"/>
      <c r="BG672" s="92"/>
      <c r="BH672" s="391"/>
      <c r="BI672" s="391"/>
      <c r="BJ672" s="391"/>
      <c r="BK672" s="391"/>
      <c r="BL672" s="391"/>
      <c r="BM672" s="391"/>
      <c r="BN672" s="391"/>
      <c r="BO672" s="391"/>
      <c r="BP672" s="391"/>
      <c r="BQ672" s="391"/>
      <c r="BR672" s="391"/>
      <c r="BS672" s="391"/>
      <c r="BT672" s="391"/>
      <c r="BU672" s="391"/>
      <c r="BV672" s="391"/>
      <c r="BW672" s="391"/>
      <c r="BX672" s="391"/>
      <c r="BY672" s="391"/>
      <c r="BZ672" s="391"/>
      <c r="CA672" s="391"/>
      <c r="CB672" s="391"/>
      <c r="CC672" s="391"/>
      <c r="CD672" s="391"/>
      <c r="CE672" s="391"/>
      <c r="CF672" s="391"/>
      <c r="CG672" s="391"/>
      <c r="CH672" s="391"/>
      <c r="CI672" s="391"/>
      <c r="CJ672" s="391"/>
      <c r="CK672" s="391"/>
      <c r="CL672" s="391"/>
      <c r="CM672" s="391"/>
      <c r="CN672" s="391"/>
      <c r="CO672" s="391"/>
      <c r="CP672" s="391"/>
      <c r="CQ672" s="391"/>
      <c r="CR672" s="391"/>
      <c r="CS672" s="391"/>
      <c r="CT672" s="391"/>
      <c r="CU672" s="391"/>
      <c r="CV672" s="391"/>
      <c r="CW672" s="391"/>
      <c r="CX672" s="391"/>
      <c r="CY672" s="391"/>
      <c r="CZ672" s="391"/>
      <c r="DA672" s="391"/>
      <c r="DB672" s="391"/>
      <c r="DC672" s="391"/>
      <c r="DD672" s="391"/>
      <c r="DE672" s="391"/>
      <c r="DF672" s="93"/>
      <c r="DG672" s="82"/>
    </row>
    <row r="673" spans="2:111" ht="9" customHeight="1">
      <c r="B673" s="229"/>
      <c r="C673" s="229"/>
      <c r="D673" s="229"/>
      <c r="E673" s="229"/>
      <c r="F673" s="229"/>
      <c r="G673" s="229"/>
      <c r="H673" s="229"/>
      <c r="I673" s="229"/>
      <c r="J673" s="229"/>
      <c r="K673" s="229"/>
      <c r="L673" s="229"/>
      <c r="M673" s="229"/>
      <c r="N673" s="229"/>
      <c r="P673" s="230"/>
      <c r="Q673" s="230"/>
      <c r="R673" s="230"/>
      <c r="S673" s="230"/>
      <c r="T673" s="230"/>
      <c r="U673" s="230"/>
      <c r="V673" s="230"/>
      <c r="W673" s="230"/>
      <c r="X673" s="230"/>
      <c r="Y673" s="230"/>
      <c r="Z673" s="230"/>
      <c r="AA673" s="230"/>
      <c r="AB673" s="230"/>
      <c r="AC673" s="230"/>
      <c r="AD673" s="230"/>
      <c r="AE673" s="230"/>
      <c r="AF673" s="230"/>
      <c r="AG673" s="230"/>
      <c r="AH673" s="230"/>
      <c r="AI673" s="230"/>
      <c r="AJ673" s="230"/>
      <c r="AK673" s="230"/>
      <c r="AL673" s="230"/>
      <c r="AM673" s="230"/>
      <c r="AN673" s="230"/>
      <c r="AO673" s="230"/>
      <c r="AP673" s="230"/>
      <c r="AQ673" s="230"/>
      <c r="AS673" s="231"/>
      <c r="AT673" s="231"/>
      <c r="AU673" s="231"/>
      <c r="AV673" s="231"/>
      <c r="AW673" s="231"/>
      <c r="AX673" s="231"/>
      <c r="AY673" s="231"/>
      <c r="AZ673" s="231"/>
      <c r="BA673" s="231"/>
      <c r="BC673" s="82"/>
      <c r="BD673" s="82"/>
      <c r="BE673" s="91"/>
      <c r="BF673" s="92"/>
      <c r="BG673" s="92"/>
      <c r="BH673" s="391"/>
      <c r="BI673" s="391"/>
      <c r="BJ673" s="391"/>
      <c r="BK673" s="391"/>
      <c r="BL673" s="391"/>
      <c r="BM673" s="391"/>
      <c r="BN673" s="391"/>
      <c r="BO673" s="391"/>
      <c r="BP673" s="391"/>
      <c r="BQ673" s="391"/>
      <c r="BR673" s="391"/>
      <c r="BS673" s="391"/>
      <c r="BT673" s="391"/>
      <c r="BU673" s="391"/>
      <c r="BV673" s="391"/>
      <c r="BW673" s="391"/>
      <c r="BX673" s="391"/>
      <c r="BY673" s="391"/>
      <c r="BZ673" s="391"/>
      <c r="CA673" s="391"/>
      <c r="CB673" s="391"/>
      <c r="CC673" s="391"/>
      <c r="CD673" s="391"/>
      <c r="CE673" s="391"/>
      <c r="CF673" s="391"/>
      <c r="CG673" s="391"/>
      <c r="CH673" s="391"/>
      <c r="CI673" s="391"/>
      <c r="CJ673" s="391"/>
      <c r="CK673" s="391"/>
      <c r="CL673" s="391"/>
      <c r="CM673" s="391"/>
      <c r="CN673" s="391"/>
      <c r="CO673" s="391"/>
      <c r="CP673" s="391"/>
      <c r="CQ673" s="391"/>
      <c r="CR673" s="391"/>
      <c r="CS673" s="391"/>
      <c r="CT673" s="391"/>
      <c r="CU673" s="391"/>
      <c r="CV673" s="391"/>
      <c r="CW673" s="391"/>
      <c r="CX673" s="391"/>
      <c r="CY673" s="391"/>
      <c r="CZ673" s="391"/>
      <c r="DA673" s="391"/>
      <c r="DB673" s="391"/>
      <c r="DC673" s="391"/>
      <c r="DD673" s="391"/>
      <c r="DE673" s="391"/>
      <c r="DF673" s="93"/>
      <c r="DG673" s="82"/>
    </row>
    <row r="674" spans="2:111" ht="9" customHeight="1">
      <c r="B674" s="229"/>
      <c r="C674" s="229"/>
      <c r="D674" s="229"/>
      <c r="E674" s="229"/>
      <c r="F674" s="229"/>
      <c r="G674" s="229"/>
      <c r="H674" s="229"/>
      <c r="I674" s="229"/>
      <c r="J674" s="229"/>
      <c r="K674" s="229"/>
      <c r="L674" s="229"/>
      <c r="M674" s="229"/>
      <c r="N674" s="229"/>
      <c r="P674" s="230"/>
      <c r="Q674" s="230"/>
      <c r="R674" s="230"/>
      <c r="S674" s="230"/>
      <c r="T674" s="230"/>
      <c r="U674" s="230"/>
      <c r="V674" s="230"/>
      <c r="W674" s="230"/>
      <c r="X674" s="230"/>
      <c r="Y674" s="230"/>
      <c r="Z674" s="230"/>
      <c r="AA674" s="230"/>
      <c r="AB674" s="230"/>
      <c r="AC674" s="230"/>
      <c r="AD674" s="230"/>
      <c r="AE674" s="230"/>
      <c r="AF674" s="230"/>
      <c r="AG674" s="230"/>
      <c r="AH674" s="230"/>
      <c r="AI674" s="230"/>
      <c r="AJ674" s="230"/>
      <c r="AK674" s="230"/>
      <c r="AL674" s="230"/>
      <c r="AM674" s="230"/>
      <c r="AN674" s="230"/>
      <c r="AO674" s="230"/>
      <c r="AP674" s="230"/>
      <c r="AQ674" s="230"/>
      <c r="AS674" s="231"/>
      <c r="AT674" s="231"/>
      <c r="AU674" s="231"/>
      <c r="AV674" s="231"/>
      <c r="AW674" s="231"/>
      <c r="AX674" s="231"/>
      <c r="AY674" s="231"/>
      <c r="AZ674" s="231"/>
      <c r="BA674" s="231"/>
      <c r="BC674" s="82"/>
      <c r="BD674" s="82"/>
      <c r="BE674" s="91"/>
      <c r="BF674" s="92"/>
      <c r="BG674" s="92"/>
      <c r="BH674" s="92"/>
      <c r="BI674" s="92"/>
      <c r="BJ674" s="92"/>
      <c r="BK674" s="92"/>
      <c r="BL674" s="92"/>
      <c r="BM674" s="92"/>
      <c r="BN674" s="92"/>
      <c r="BO674" s="92"/>
      <c r="BP674" s="92"/>
      <c r="BQ674" s="92"/>
      <c r="BR674" s="92"/>
      <c r="BS674" s="92"/>
      <c r="BT674" s="92"/>
      <c r="BU674" s="92"/>
      <c r="BV674" s="92"/>
      <c r="BW674" s="92"/>
      <c r="BX674" s="92"/>
      <c r="BY674" s="92"/>
      <c r="BZ674" s="92"/>
      <c r="CA674" s="92"/>
      <c r="CB674" s="92"/>
      <c r="CC674" s="92"/>
      <c r="CD674" s="92"/>
      <c r="CE674" s="92"/>
      <c r="CF674" s="92"/>
      <c r="CG674" s="92"/>
      <c r="CH674" s="92"/>
      <c r="CI674" s="92"/>
      <c r="CJ674" s="92"/>
      <c r="CK674" s="92"/>
      <c r="CL674" s="92"/>
      <c r="CM674" s="92"/>
      <c r="CN674" s="92"/>
      <c r="CO674" s="92"/>
      <c r="CP674" s="92"/>
      <c r="CQ674" s="92"/>
      <c r="CR674" s="92"/>
      <c r="CS674" s="92"/>
      <c r="CT674" s="92"/>
      <c r="CU674" s="92"/>
      <c r="CV674" s="92"/>
      <c r="CW674" s="92"/>
      <c r="CX674" s="92"/>
      <c r="CY674" s="92"/>
      <c r="CZ674" s="92"/>
      <c r="DA674" s="92"/>
      <c r="DB674" s="92"/>
      <c r="DC674" s="92"/>
      <c r="DD674" s="92"/>
      <c r="DE674" s="92"/>
      <c r="DF674" s="93"/>
      <c r="DG674" s="82"/>
    </row>
    <row r="675" spans="2:111" ht="9" customHeight="1">
      <c r="B675" s="229"/>
      <c r="C675" s="229"/>
      <c r="D675" s="229"/>
      <c r="E675" s="229"/>
      <c r="F675" s="229"/>
      <c r="G675" s="229"/>
      <c r="H675" s="229"/>
      <c r="I675" s="229"/>
      <c r="J675" s="229"/>
      <c r="K675" s="229"/>
      <c r="L675" s="229"/>
      <c r="M675" s="229"/>
      <c r="N675" s="229"/>
      <c r="P675" s="230"/>
      <c r="Q675" s="230"/>
      <c r="R675" s="230"/>
      <c r="S675" s="230"/>
      <c r="T675" s="230"/>
      <c r="U675" s="230"/>
      <c r="V675" s="230"/>
      <c r="W675" s="230"/>
      <c r="X675" s="230"/>
      <c r="Y675" s="230"/>
      <c r="Z675" s="230"/>
      <c r="AA675" s="230"/>
      <c r="AB675" s="230"/>
      <c r="AC675" s="230"/>
      <c r="AD675" s="230"/>
      <c r="AE675" s="230"/>
      <c r="AF675" s="230"/>
      <c r="AG675" s="230"/>
      <c r="AH675" s="230"/>
      <c r="AI675" s="230"/>
      <c r="AJ675" s="230"/>
      <c r="AK675" s="230"/>
      <c r="AL675" s="230"/>
      <c r="AM675" s="230"/>
      <c r="AN675" s="230"/>
      <c r="AO675" s="230"/>
      <c r="AP675" s="230"/>
      <c r="AQ675" s="230"/>
      <c r="AS675" s="231"/>
      <c r="AT675" s="231"/>
      <c r="AU675" s="231"/>
      <c r="AV675" s="231"/>
      <c r="AW675" s="231"/>
      <c r="AX675" s="231"/>
      <c r="AY675" s="231"/>
      <c r="AZ675" s="231"/>
      <c r="BA675" s="231"/>
      <c r="BC675" s="82"/>
      <c r="BD675" s="82"/>
      <c r="BE675" s="91"/>
      <c r="BF675" s="383" t="s">
        <v>312</v>
      </c>
      <c r="BG675" s="384"/>
      <c r="BH675" s="391" t="s">
        <v>315</v>
      </c>
      <c r="BI675" s="391"/>
      <c r="BJ675" s="391"/>
      <c r="BK675" s="391"/>
      <c r="BL675" s="391"/>
      <c r="BM675" s="391"/>
      <c r="BN675" s="391"/>
      <c r="BO675" s="391"/>
      <c r="BP675" s="391"/>
      <c r="BQ675" s="391"/>
      <c r="BR675" s="391"/>
      <c r="BS675" s="391"/>
      <c r="BT675" s="391"/>
      <c r="BU675" s="391"/>
      <c r="BV675" s="391"/>
      <c r="BW675" s="391"/>
      <c r="BX675" s="391"/>
      <c r="BY675" s="391"/>
      <c r="BZ675" s="391"/>
      <c r="CA675" s="391"/>
      <c r="CB675" s="391"/>
      <c r="CC675" s="391"/>
      <c r="CD675" s="391"/>
      <c r="CE675" s="391"/>
      <c r="CF675" s="391"/>
      <c r="CG675" s="391"/>
      <c r="CH675" s="391"/>
      <c r="CI675" s="391"/>
      <c r="CJ675" s="391"/>
      <c r="CK675" s="391"/>
      <c r="CL675" s="391"/>
      <c r="CM675" s="391"/>
      <c r="CN675" s="391"/>
      <c r="CO675" s="391"/>
      <c r="CP675" s="391"/>
      <c r="CQ675" s="391"/>
      <c r="CR675" s="391"/>
      <c r="CS675" s="391"/>
      <c r="CT675" s="391"/>
      <c r="CU675" s="391"/>
      <c r="CV675" s="391"/>
      <c r="CW675" s="391"/>
      <c r="CX675" s="391"/>
      <c r="CY675" s="391"/>
      <c r="CZ675" s="391"/>
      <c r="DA675" s="391"/>
      <c r="DB675" s="391"/>
      <c r="DC675" s="391"/>
      <c r="DD675" s="391"/>
      <c r="DE675" s="391"/>
      <c r="DF675" s="93"/>
      <c r="DG675" s="82"/>
    </row>
    <row r="676" spans="2:111" ht="9" customHeight="1">
      <c r="B676" s="229"/>
      <c r="C676" s="229"/>
      <c r="D676" s="229"/>
      <c r="E676" s="229"/>
      <c r="F676" s="229"/>
      <c r="G676" s="229"/>
      <c r="H676" s="229"/>
      <c r="I676" s="229"/>
      <c r="J676" s="229"/>
      <c r="K676" s="229"/>
      <c r="L676" s="229"/>
      <c r="M676" s="229"/>
      <c r="N676" s="229"/>
      <c r="P676" s="230"/>
      <c r="Q676" s="230"/>
      <c r="R676" s="230"/>
      <c r="S676" s="230"/>
      <c r="T676" s="230"/>
      <c r="U676" s="230"/>
      <c r="V676" s="230"/>
      <c r="W676" s="230"/>
      <c r="X676" s="230"/>
      <c r="Y676" s="230"/>
      <c r="Z676" s="230"/>
      <c r="AA676" s="230"/>
      <c r="AB676" s="230"/>
      <c r="AC676" s="230"/>
      <c r="AD676" s="230"/>
      <c r="AE676" s="230"/>
      <c r="AF676" s="230"/>
      <c r="AG676" s="230"/>
      <c r="AH676" s="230"/>
      <c r="AI676" s="230"/>
      <c r="AJ676" s="230"/>
      <c r="AK676" s="230"/>
      <c r="AL676" s="230"/>
      <c r="AM676" s="230"/>
      <c r="AN676" s="230"/>
      <c r="AO676" s="230"/>
      <c r="AP676" s="230"/>
      <c r="AQ676" s="230"/>
      <c r="AS676" s="231"/>
      <c r="AT676" s="231"/>
      <c r="AU676" s="231"/>
      <c r="AV676" s="231"/>
      <c r="AW676" s="231"/>
      <c r="AX676" s="231"/>
      <c r="AY676" s="231"/>
      <c r="AZ676" s="231"/>
      <c r="BA676" s="231"/>
      <c r="BC676" s="82"/>
      <c r="BD676" s="82"/>
      <c r="BE676" s="91"/>
      <c r="BF676" s="384"/>
      <c r="BG676" s="384"/>
      <c r="BH676" s="391"/>
      <c r="BI676" s="391"/>
      <c r="BJ676" s="391"/>
      <c r="BK676" s="391"/>
      <c r="BL676" s="391"/>
      <c r="BM676" s="391"/>
      <c r="BN676" s="391"/>
      <c r="BO676" s="391"/>
      <c r="BP676" s="391"/>
      <c r="BQ676" s="391"/>
      <c r="BR676" s="391"/>
      <c r="BS676" s="391"/>
      <c r="BT676" s="391"/>
      <c r="BU676" s="391"/>
      <c r="BV676" s="391"/>
      <c r="BW676" s="391"/>
      <c r="BX676" s="391"/>
      <c r="BY676" s="391"/>
      <c r="BZ676" s="391"/>
      <c r="CA676" s="391"/>
      <c r="CB676" s="391"/>
      <c r="CC676" s="391"/>
      <c r="CD676" s="391"/>
      <c r="CE676" s="391"/>
      <c r="CF676" s="391"/>
      <c r="CG676" s="391"/>
      <c r="CH676" s="391"/>
      <c r="CI676" s="391"/>
      <c r="CJ676" s="391"/>
      <c r="CK676" s="391"/>
      <c r="CL676" s="391"/>
      <c r="CM676" s="391"/>
      <c r="CN676" s="391"/>
      <c r="CO676" s="391"/>
      <c r="CP676" s="391"/>
      <c r="CQ676" s="391"/>
      <c r="CR676" s="391"/>
      <c r="CS676" s="391"/>
      <c r="CT676" s="391"/>
      <c r="CU676" s="391"/>
      <c r="CV676" s="391"/>
      <c r="CW676" s="391"/>
      <c r="CX676" s="391"/>
      <c r="CY676" s="391"/>
      <c r="CZ676" s="391"/>
      <c r="DA676" s="391"/>
      <c r="DB676" s="391"/>
      <c r="DC676" s="391"/>
      <c r="DD676" s="391"/>
      <c r="DE676" s="391"/>
      <c r="DF676" s="93"/>
      <c r="DG676" s="82"/>
    </row>
    <row r="677" spans="2:111" ht="12" customHeight="1">
      <c r="BC677" s="82"/>
      <c r="BD677" s="82"/>
      <c r="BE677" s="91"/>
      <c r="BF677" s="92"/>
      <c r="BG677" s="92"/>
      <c r="BH677" s="391"/>
      <c r="BI677" s="391"/>
      <c r="BJ677" s="391"/>
      <c r="BK677" s="391"/>
      <c r="BL677" s="391"/>
      <c r="BM677" s="391"/>
      <c r="BN677" s="391"/>
      <c r="BO677" s="391"/>
      <c r="BP677" s="391"/>
      <c r="BQ677" s="391"/>
      <c r="BR677" s="391"/>
      <c r="BS677" s="391"/>
      <c r="BT677" s="391"/>
      <c r="BU677" s="391"/>
      <c r="BV677" s="391"/>
      <c r="BW677" s="391"/>
      <c r="BX677" s="391"/>
      <c r="BY677" s="391"/>
      <c r="BZ677" s="391"/>
      <c r="CA677" s="391"/>
      <c r="CB677" s="391"/>
      <c r="CC677" s="391"/>
      <c r="CD677" s="391"/>
      <c r="CE677" s="391"/>
      <c r="CF677" s="391"/>
      <c r="CG677" s="391"/>
      <c r="CH677" s="391"/>
      <c r="CI677" s="391"/>
      <c r="CJ677" s="391"/>
      <c r="CK677" s="391"/>
      <c r="CL677" s="391"/>
      <c r="CM677" s="391"/>
      <c r="CN677" s="391"/>
      <c r="CO677" s="391"/>
      <c r="CP677" s="391"/>
      <c r="CQ677" s="391"/>
      <c r="CR677" s="391"/>
      <c r="CS677" s="391"/>
      <c r="CT677" s="391"/>
      <c r="CU677" s="391"/>
      <c r="CV677" s="391"/>
      <c r="CW677" s="391"/>
      <c r="CX677" s="391"/>
      <c r="CY677" s="391"/>
      <c r="CZ677" s="391"/>
      <c r="DA677" s="391"/>
      <c r="DB677" s="391"/>
      <c r="DC677" s="391"/>
      <c r="DD677" s="391"/>
      <c r="DE677" s="391"/>
      <c r="DF677" s="93"/>
      <c r="DG677" s="82"/>
    </row>
    <row r="678" spans="2:111" ht="4.5" customHeight="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C678" s="82"/>
      <c r="BD678" s="82"/>
      <c r="BE678" s="91"/>
      <c r="BF678" s="92"/>
      <c r="BG678" s="92"/>
      <c r="BH678" s="391"/>
      <c r="BI678" s="391"/>
      <c r="BJ678" s="391"/>
      <c r="BK678" s="391"/>
      <c r="BL678" s="391"/>
      <c r="BM678" s="391"/>
      <c r="BN678" s="391"/>
      <c r="BO678" s="391"/>
      <c r="BP678" s="391"/>
      <c r="BQ678" s="391"/>
      <c r="BR678" s="391"/>
      <c r="BS678" s="391"/>
      <c r="BT678" s="391"/>
      <c r="BU678" s="391"/>
      <c r="BV678" s="391"/>
      <c r="BW678" s="391"/>
      <c r="BX678" s="391"/>
      <c r="BY678" s="391"/>
      <c r="BZ678" s="391"/>
      <c r="CA678" s="391"/>
      <c r="CB678" s="391"/>
      <c r="CC678" s="391"/>
      <c r="CD678" s="391"/>
      <c r="CE678" s="391"/>
      <c r="CF678" s="391"/>
      <c r="CG678" s="391"/>
      <c r="CH678" s="391"/>
      <c r="CI678" s="391"/>
      <c r="CJ678" s="391"/>
      <c r="CK678" s="391"/>
      <c r="CL678" s="391"/>
      <c r="CM678" s="391"/>
      <c r="CN678" s="391"/>
      <c r="CO678" s="391"/>
      <c r="CP678" s="391"/>
      <c r="CQ678" s="391"/>
      <c r="CR678" s="391"/>
      <c r="CS678" s="391"/>
      <c r="CT678" s="391"/>
      <c r="CU678" s="391"/>
      <c r="CV678" s="391"/>
      <c r="CW678" s="391"/>
      <c r="CX678" s="391"/>
      <c r="CY678" s="391"/>
      <c r="CZ678" s="391"/>
      <c r="DA678" s="391"/>
      <c r="DB678" s="391"/>
      <c r="DC678" s="391"/>
      <c r="DD678" s="391"/>
      <c r="DE678" s="391"/>
      <c r="DF678" s="93"/>
      <c r="DG678" s="82"/>
    </row>
    <row r="679" spans="2:111" ht="9" customHeight="1">
      <c r="B679" s="232" t="str">
        <f>IF($U$629&gt;=3,"Etapa 1.3","")</f>
        <v>Etapa 1.3</v>
      </c>
      <c r="C679" s="232"/>
      <c r="D679" s="232"/>
      <c r="E679" s="232"/>
      <c r="F679" s="232"/>
      <c r="G679" s="232"/>
      <c r="I679" s="233" t="s">
        <v>515</v>
      </c>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c r="AF679" s="233"/>
      <c r="AG679" s="233"/>
      <c r="AH679" s="233"/>
      <c r="AI679" s="233"/>
      <c r="AJ679" s="233"/>
      <c r="AK679" s="233"/>
      <c r="AL679" s="233"/>
      <c r="AM679" s="233"/>
      <c r="AN679" s="233"/>
      <c r="AO679" s="233"/>
      <c r="AP679" s="233"/>
      <c r="AQ679" s="233"/>
      <c r="AS679" s="237">
        <f>IF(SUM(AS685:BA700)=0,"",SUM(AS685:BA700))</f>
        <v>36990</v>
      </c>
      <c r="AT679" s="237"/>
      <c r="AU679" s="237"/>
      <c r="AV679" s="237"/>
      <c r="AW679" s="237"/>
      <c r="AX679" s="237"/>
      <c r="AY679" s="237"/>
      <c r="AZ679" s="237"/>
      <c r="BA679" s="237"/>
      <c r="BC679" s="82"/>
      <c r="BD679" s="82"/>
      <c r="BE679" s="91"/>
      <c r="BF679" s="92"/>
      <c r="BG679" s="92"/>
      <c r="BH679" s="391"/>
      <c r="BI679" s="391"/>
      <c r="BJ679" s="391"/>
      <c r="BK679" s="391"/>
      <c r="BL679" s="391"/>
      <c r="BM679" s="391"/>
      <c r="BN679" s="391"/>
      <c r="BO679" s="391"/>
      <c r="BP679" s="391"/>
      <c r="BQ679" s="391"/>
      <c r="BR679" s="391"/>
      <c r="BS679" s="391"/>
      <c r="BT679" s="391"/>
      <c r="BU679" s="391"/>
      <c r="BV679" s="391"/>
      <c r="BW679" s="391"/>
      <c r="BX679" s="391"/>
      <c r="BY679" s="391"/>
      <c r="BZ679" s="391"/>
      <c r="CA679" s="391"/>
      <c r="CB679" s="391"/>
      <c r="CC679" s="391"/>
      <c r="CD679" s="391"/>
      <c r="CE679" s="391"/>
      <c r="CF679" s="391"/>
      <c r="CG679" s="391"/>
      <c r="CH679" s="391"/>
      <c r="CI679" s="391"/>
      <c r="CJ679" s="391"/>
      <c r="CK679" s="391"/>
      <c r="CL679" s="391"/>
      <c r="CM679" s="391"/>
      <c r="CN679" s="391"/>
      <c r="CO679" s="391"/>
      <c r="CP679" s="391"/>
      <c r="CQ679" s="391"/>
      <c r="CR679" s="391"/>
      <c r="CS679" s="391"/>
      <c r="CT679" s="391"/>
      <c r="CU679" s="391"/>
      <c r="CV679" s="391"/>
      <c r="CW679" s="391"/>
      <c r="CX679" s="391"/>
      <c r="CY679" s="391"/>
      <c r="CZ679" s="391"/>
      <c r="DA679" s="391"/>
      <c r="DB679" s="391"/>
      <c r="DC679" s="391"/>
      <c r="DD679" s="391"/>
      <c r="DE679" s="391"/>
      <c r="DF679" s="93"/>
      <c r="DG679" s="82"/>
    </row>
    <row r="680" spans="2:111" ht="9" customHeight="1">
      <c r="B680" s="232"/>
      <c r="C680" s="232"/>
      <c r="D680" s="232"/>
      <c r="E680" s="232"/>
      <c r="F680" s="232"/>
      <c r="G680" s="232"/>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c r="AI680" s="233"/>
      <c r="AJ680" s="233"/>
      <c r="AK680" s="233"/>
      <c r="AL680" s="233"/>
      <c r="AM680" s="233"/>
      <c r="AN680" s="233"/>
      <c r="AO680" s="233"/>
      <c r="AP680" s="233"/>
      <c r="AQ680" s="233"/>
      <c r="AS680" s="237"/>
      <c r="AT680" s="237"/>
      <c r="AU680" s="237"/>
      <c r="AV680" s="237"/>
      <c r="AW680" s="237"/>
      <c r="AX680" s="237"/>
      <c r="AY680" s="237"/>
      <c r="AZ680" s="237"/>
      <c r="BA680" s="237"/>
      <c r="BC680" s="82"/>
      <c r="BD680" s="82"/>
      <c r="BE680" s="91"/>
      <c r="BF680" s="92"/>
      <c r="BG680" s="92"/>
      <c r="BH680" s="391"/>
      <c r="BI680" s="391"/>
      <c r="BJ680" s="391"/>
      <c r="BK680" s="391"/>
      <c r="BL680" s="391"/>
      <c r="BM680" s="391"/>
      <c r="BN680" s="391"/>
      <c r="BO680" s="391"/>
      <c r="BP680" s="391"/>
      <c r="BQ680" s="391"/>
      <c r="BR680" s="391"/>
      <c r="BS680" s="391"/>
      <c r="BT680" s="391"/>
      <c r="BU680" s="391"/>
      <c r="BV680" s="391"/>
      <c r="BW680" s="391"/>
      <c r="BX680" s="391"/>
      <c r="BY680" s="391"/>
      <c r="BZ680" s="391"/>
      <c r="CA680" s="391"/>
      <c r="CB680" s="391"/>
      <c r="CC680" s="391"/>
      <c r="CD680" s="391"/>
      <c r="CE680" s="391"/>
      <c r="CF680" s="391"/>
      <c r="CG680" s="391"/>
      <c r="CH680" s="391"/>
      <c r="CI680" s="391"/>
      <c r="CJ680" s="391"/>
      <c r="CK680" s="391"/>
      <c r="CL680" s="391"/>
      <c r="CM680" s="391"/>
      <c r="CN680" s="391"/>
      <c r="CO680" s="391"/>
      <c r="CP680" s="391"/>
      <c r="CQ680" s="391"/>
      <c r="CR680" s="391"/>
      <c r="CS680" s="391"/>
      <c r="CT680" s="391"/>
      <c r="CU680" s="391"/>
      <c r="CV680" s="391"/>
      <c r="CW680" s="391"/>
      <c r="CX680" s="391"/>
      <c r="CY680" s="391"/>
      <c r="CZ680" s="391"/>
      <c r="DA680" s="391"/>
      <c r="DB680" s="391"/>
      <c r="DC680" s="391"/>
      <c r="DD680" s="391"/>
      <c r="DE680" s="391"/>
      <c r="DF680" s="93"/>
      <c r="DG680" s="82"/>
    </row>
    <row r="681" spans="2:111" ht="4.5" customHeight="1">
      <c r="BC681" s="82"/>
      <c r="BD681" s="82"/>
      <c r="BE681" s="91"/>
      <c r="BF681" s="92"/>
      <c r="BG681" s="92"/>
      <c r="BH681" s="391"/>
      <c r="BI681" s="391"/>
      <c r="BJ681" s="391"/>
      <c r="BK681" s="391"/>
      <c r="BL681" s="391"/>
      <c r="BM681" s="391"/>
      <c r="BN681" s="391"/>
      <c r="BO681" s="391"/>
      <c r="BP681" s="391"/>
      <c r="BQ681" s="391"/>
      <c r="BR681" s="391"/>
      <c r="BS681" s="391"/>
      <c r="BT681" s="391"/>
      <c r="BU681" s="391"/>
      <c r="BV681" s="391"/>
      <c r="BW681" s="391"/>
      <c r="BX681" s="391"/>
      <c r="BY681" s="391"/>
      <c r="BZ681" s="391"/>
      <c r="CA681" s="391"/>
      <c r="CB681" s="391"/>
      <c r="CC681" s="391"/>
      <c r="CD681" s="391"/>
      <c r="CE681" s="391"/>
      <c r="CF681" s="391"/>
      <c r="CG681" s="391"/>
      <c r="CH681" s="391"/>
      <c r="CI681" s="391"/>
      <c r="CJ681" s="391"/>
      <c r="CK681" s="391"/>
      <c r="CL681" s="391"/>
      <c r="CM681" s="391"/>
      <c r="CN681" s="391"/>
      <c r="CO681" s="391"/>
      <c r="CP681" s="391"/>
      <c r="CQ681" s="391"/>
      <c r="CR681" s="391"/>
      <c r="CS681" s="391"/>
      <c r="CT681" s="391"/>
      <c r="CU681" s="391"/>
      <c r="CV681" s="391"/>
      <c r="CW681" s="391"/>
      <c r="CX681" s="391"/>
      <c r="CY681" s="391"/>
      <c r="CZ681" s="391"/>
      <c r="DA681" s="391"/>
      <c r="DB681" s="391"/>
      <c r="DC681" s="391"/>
      <c r="DD681" s="391"/>
      <c r="DE681" s="391"/>
      <c r="DF681" s="93"/>
      <c r="DG681" s="82"/>
    </row>
    <row r="682" spans="2:111" ht="9" customHeight="1">
      <c r="I682" s="229" t="str">
        <f>IF($U$629&gt;=3,"Início:","")</f>
        <v>Início:</v>
      </c>
      <c r="J682" s="229"/>
      <c r="K682" s="229"/>
      <c r="L682" s="229"/>
      <c r="M682" s="229"/>
      <c r="N682" s="229"/>
      <c r="P682" s="235">
        <v>44075</v>
      </c>
      <c r="Q682" s="235"/>
      <c r="R682" s="235"/>
      <c r="S682" s="235"/>
      <c r="T682" s="235"/>
      <c r="U682" s="235"/>
      <c r="V682" s="235"/>
      <c r="W682" s="235"/>
      <c r="Y682" s="229" t="str">
        <f>IF($U$629&gt;=3,"Término:","")</f>
        <v>Término:</v>
      </c>
      <c r="Z682" s="229"/>
      <c r="AA682" s="229"/>
      <c r="AB682" s="229"/>
      <c r="AC682" s="229"/>
      <c r="AD682" s="229"/>
      <c r="AF682" s="235">
        <v>44166</v>
      </c>
      <c r="AG682" s="235"/>
      <c r="AH682" s="235"/>
      <c r="AI682" s="235"/>
      <c r="AJ682" s="235"/>
      <c r="AK682" s="235"/>
      <c r="AL682" s="235"/>
      <c r="AM682" s="235"/>
      <c r="AW682" s="236" t="str">
        <f>IF($U$629&gt;=3,"Valor (R$):","")</f>
        <v>Valor (R$):</v>
      </c>
      <c r="AX682" s="236"/>
      <c r="AY682" s="236"/>
      <c r="AZ682" s="236"/>
      <c r="BA682" s="236"/>
      <c r="BC682" s="82"/>
      <c r="BD682" s="82"/>
      <c r="BE682" s="91"/>
      <c r="BF682" s="92"/>
      <c r="BG682" s="92"/>
      <c r="BH682" s="391"/>
      <c r="BI682" s="391"/>
      <c r="BJ682" s="391"/>
      <c r="BK682" s="391"/>
      <c r="BL682" s="391"/>
      <c r="BM682" s="391"/>
      <c r="BN682" s="391"/>
      <c r="BO682" s="391"/>
      <c r="BP682" s="391"/>
      <c r="BQ682" s="391"/>
      <c r="BR682" s="391"/>
      <c r="BS682" s="391"/>
      <c r="BT682" s="391"/>
      <c r="BU682" s="391"/>
      <c r="BV682" s="391"/>
      <c r="BW682" s="391"/>
      <c r="BX682" s="391"/>
      <c r="BY682" s="391"/>
      <c r="BZ682" s="391"/>
      <c r="CA682" s="391"/>
      <c r="CB682" s="391"/>
      <c r="CC682" s="391"/>
      <c r="CD682" s="391"/>
      <c r="CE682" s="391"/>
      <c r="CF682" s="391"/>
      <c r="CG682" s="391"/>
      <c r="CH682" s="391"/>
      <c r="CI682" s="391"/>
      <c r="CJ682" s="391"/>
      <c r="CK682" s="391"/>
      <c r="CL682" s="391"/>
      <c r="CM682" s="391"/>
      <c r="CN682" s="391"/>
      <c r="CO682" s="391"/>
      <c r="CP682" s="391"/>
      <c r="CQ682" s="391"/>
      <c r="CR682" s="391"/>
      <c r="CS682" s="391"/>
      <c r="CT682" s="391"/>
      <c r="CU682" s="391"/>
      <c r="CV682" s="391"/>
      <c r="CW682" s="391"/>
      <c r="CX682" s="391"/>
      <c r="CY682" s="391"/>
      <c r="CZ682" s="391"/>
      <c r="DA682" s="391"/>
      <c r="DB682" s="391"/>
      <c r="DC682" s="391"/>
      <c r="DD682" s="391"/>
      <c r="DE682" s="391"/>
      <c r="DF682" s="93"/>
      <c r="DG682" s="82"/>
    </row>
    <row r="683" spans="2:111" ht="9" customHeight="1">
      <c r="I683" s="229"/>
      <c r="J683" s="229"/>
      <c r="K683" s="229"/>
      <c r="L683" s="229"/>
      <c r="M683" s="229"/>
      <c r="N683" s="229"/>
      <c r="P683" s="235"/>
      <c r="Q683" s="235"/>
      <c r="R683" s="235"/>
      <c r="S683" s="235"/>
      <c r="T683" s="235"/>
      <c r="U683" s="235"/>
      <c r="V683" s="235"/>
      <c r="W683" s="235"/>
      <c r="Y683" s="229"/>
      <c r="Z683" s="229"/>
      <c r="AA683" s="229"/>
      <c r="AB683" s="229"/>
      <c r="AC683" s="229"/>
      <c r="AD683" s="229"/>
      <c r="AF683" s="235"/>
      <c r="AG683" s="235"/>
      <c r="AH683" s="235"/>
      <c r="AI683" s="235"/>
      <c r="AJ683" s="235"/>
      <c r="AK683" s="235"/>
      <c r="AL683" s="235"/>
      <c r="AM683" s="235"/>
      <c r="AW683" s="236"/>
      <c r="AX683" s="236"/>
      <c r="AY683" s="236"/>
      <c r="AZ683" s="236"/>
      <c r="BA683" s="236"/>
      <c r="BC683" s="82"/>
      <c r="BD683" s="82"/>
      <c r="BE683" s="91"/>
      <c r="BF683" s="92"/>
      <c r="BG683" s="92"/>
      <c r="BH683" s="95"/>
      <c r="BI683" s="95"/>
      <c r="BJ683" s="95"/>
      <c r="BK683" s="95"/>
      <c r="BL683" s="95"/>
      <c r="BM683" s="95"/>
      <c r="BN683" s="95"/>
      <c r="BO683" s="95"/>
      <c r="BP683" s="95"/>
      <c r="BQ683" s="95"/>
      <c r="BR683" s="95"/>
      <c r="BS683" s="95"/>
      <c r="BT683" s="95"/>
      <c r="BU683" s="95"/>
      <c r="BV683" s="95"/>
      <c r="BW683" s="95"/>
      <c r="BX683" s="95"/>
      <c r="BY683" s="95"/>
      <c r="BZ683" s="95"/>
      <c r="CA683" s="95"/>
      <c r="CB683" s="95"/>
      <c r="CC683" s="95"/>
      <c r="CD683" s="95"/>
      <c r="CE683" s="95"/>
      <c r="CF683" s="95"/>
      <c r="CG683" s="95"/>
      <c r="CH683" s="95"/>
      <c r="CI683" s="95"/>
      <c r="CJ683" s="9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3"/>
      <c r="DG683" s="82"/>
    </row>
    <row r="684" spans="2:111" ht="4.5" customHeight="1">
      <c r="BC684" s="82"/>
      <c r="BD684" s="82"/>
      <c r="BE684" s="91"/>
      <c r="BF684" s="383" t="s">
        <v>316</v>
      </c>
      <c r="BG684" s="384"/>
      <c r="BH684" s="391" t="s">
        <v>317</v>
      </c>
      <c r="BI684" s="391"/>
      <c r="BJ684" s="391"/>
      <c r="BK684" s="391"/>
      <c r="BL684" s="391"/>
      <c r="BM684" s="391"/>
      <c r="BN684" s="391"/>
      <c r="BO684" s="391"/>
      <c r="BP684" s="391"/>
      <c r="BQ684" s="391"/>
      <c r="BR684" s="391"/>
      <c r="BS684" s="391"/>
      <c r="BT684" s="391"/>
      <c r="BU684" s="391"/>
      <c r="BV684" s="391"/>
      <c r="BW684" s="391"/>
      <c r="BX684" s="391"/>
      <c r="BY684" s="391"/>
      <c r="BZ684" s="391"/>
      <c r="CA684" s="391"/>
      <c r="CB684" s="391"/>
      <c r="CC684" s="391"/>
      <c r="CD684" s="391"/>
      <c r="CE684" s="391"/>
      <c r="CF684" s="391"/>
      <c r="CG684" s="391"/>
      <c r="CH684" s="391"/>
      <c r="CI684" s="391"/>
      <c r="CJ684" s="391"/>
      <c r="CK684" s="391"/>
      <c r="CL684" s="391"/>
      <c r="CM684" s="391"/>
      <c r="CN684" s="391"/>
      <c r="CO684" s="391"/>
      <c r="CP684" s="391"/>
      <c r="CQ684" s="391"/>
      <c r="CR684" s="391"/>
      <c r="CS684" s="391"/>
      <c r="CT684" s="391"/>
      <c r="CU684" s="391"/>
      <c r="CV684" s="391"/>
      <c r="CW684" s="391"/>
      <c r="CX684" s="391"/>
      <c r="CY684" s="391"/>
      <c r="CZ684" s="391"/>
      <c r="DA684" s="391"/>
      <c r="DB684" s="391"/>
      <c r="DC684" s="391"/>
      <c r="DD684" s="391"/>
      <c r="DE684" s="391"/>
      <c r="DF684" s="93"/>
      <c r="DG684" s="82"/>
    </row>
    <row r="685" spans="2:111" ht="9" customHeight="1">
      <c r="B685" s="229" t="str">
        <f>IF($U$629&gt;=3,"Elementos de Despesa:","")</f>
        <v>Elementos de Despesa:</v>
      </c>
      <c r="C685" s="229"/>
      <c r="D685" s="229"/>
      <c r="E685" s="229"/>
      <c r="F685" s="229"/>
      <c r="G685" s="229"/>
      <c r="H685" s="229"/>
      <c r="I685" s="229"/>
      <c r="J685" s="229"/>
      <c r="K685" s="229"/>
      <c r="L685" s="229"/>
      <c r="M685" s="229"/>
      <c r="N685" s="229"/>
      <c r="P685" s="230" t="s">
        <v>216</v>
      </c>
      <c r="Q685" s="230"/>
      <c r="R685" s="230"/>
      <c r="S685" s="230"/>
      <c r="T685" s="230"/>
      <c r="U685" s="230"/>
      <c r="V685" s="230"/>
      <c r="W685" s="230"/>
      <c r="X685" s="230"/>
      <c r="Y685" s="230"/>
      <c r="Z685" s="230"/>
      <c r="AA685" s="230"/>
      <c r="AB685" s="230"/>
      <c r="AC685" s="230"/>
      <c r="AD685" s="230"/>
      <c r="AE685" s="230"/>
      <c r="AF685" s="230"/>
      <c r="AG685" s="230"/>
      <c r="AH685" s="230"/>
      <c r="AI685" s="230"/>
      <c r="AJ685" s="230"/>
      <c r="AK685" s="230"/>
      <c r="AL685" s="230"/>
      <c r="AM685" s="230"/>
      <c r="AN685" s="230"/>
      <c r="AO685" s="230"/>
      <c r="AP685" s="230"/>
      <c r="AQ685" s="230"/>
      <c r="AS685" s="231">
        <v>36990</v>
      </c>
      <c r="AT685" s="231"/>
      <c r="AU685" s="231"/>
      <c r="AV685" s="231"/>
      <c r="AW685" s="231"/>
      <c r="AX685" s="231"/>
      <c r="AY685" s="231"/>
      <c r="AZ685" s="231"/>
      <c r="BA685" s="231"/>
      <c r="BC685" s="82"/>
      <c r="BD685" s="82"/>
      <c r="BE685" s="91"/>
      <c r="BF685" s="384"/>
      <c r="BG685" s="384"/>
      <c r="BH685" s="391"/>
      <c r="BI685" s="391"/>
      <c r="BJ685" s="391"/>
      <c r="BK685" s="391"/>
      <c r="BL685" s="391"/>
      <c r="BM685" s="391"/>
      <c r="BN685" s="391"/>
      <c r="BO685" s="391"/>
      <c r="BP685" s="391"/>
      <c r="BQ685" s="391"/>
      <c r="BR685" s="391"/>
      <c r="BS685" s="391"/>
      <c r="BT685" s="391"/>
      <c r="BU685" s="391"/>
      <c r="BV685" s="391"/>
      <c r="BW685" s="391"/>
      <c r="BX685" s="391"/>
      <c r="BY685" s="391"/>
      <c r="BZ685" s="391"/>
      <c r="CA685" s="391"/>
      <c r="CB685" s="391"/>
      <c r="CC685" s="391"/>
      <c r="CD685" s="391"/>
      <c r="CE685" s="391"/>
      <c r="CF685" s="391"/>
      <c r="CG685" s="391"/>
      <c r="CH685" s="391"/>
      <c r="CI685" s="391"/>
      <c r="CJ685" s="391"/>
      <c r="CK685" s="391"/>
      <c r="CL685" s="391"/>
      <c r="CM685" s="391"/>
      <c r="CN685" s="391"/>
      <c r="CO685" s="391"/>
      <c r="CP685" s="391"/>
      <c r="CQ685" s="391"/>
      <c r="CR685" s="391"/>
      <c r="CS685" s="391"/>
      <c r="CT685" s="391"/>
      <c r="CU685" s="391"/>
      <c r="CV685" s="391"/>
      <c r="CW685" s="391"/>
      <c r="CX685" s="391"/>
      <c r="CY685" s="391"/>
      <c r="CZ685" s="391"/>
      <c r="DA685" s="391"/>
      <c r="DB685" s="391"/>
      <c r="DC685" s="391"/>
      <c r="DD685" s="391"/>
      <c r="DE685" s="391"/>
      <c r="DF685" s="93"/>
      <c r="DG685" s="82"/>
    </row>
    <row r="686" spans="2:111" ht="9" customHeight="1">
      <c r="B686" s="229"/>
      <c r="C686" s="229"/>
      <c r="D686" s="229"/>
      <c r="E686" s="229"/>
      <c r="F686" s="229"/>
      <c r="G686" s="229"/>
      <c r="H686" s="229"/>
      <c r="I686" s="229"/>
      <c r="J686" s="229"/>
      <c r="K686" s="229"/>
      <c r="L686" s="229"/>
      <c r="M686" s="229"/>
      <c r="N686" s="229"/>
      <c r="P686" s="230"/>
      <c r="Q686" s="230"/>
      <c r="R686" s="230"/>
      <c r="S686" s="230"/>
      <c r="T686" s="230"/>
      <c r="U686" s="230"/>
      <c r="V686" s="230"/>
      <c r="W686" s="230"/>
      <c r="X686" s="230"/>
      <c r="Y686" s="230"/>
      <c r="Z686" s="230"/>
      <c r="AA686" s="230"/>
      <c r="AB686" s="230"/>
      <c r="AC686" s="230"/>
      <c r="AD686" s="230"/>
      <c r="AE686" s="230"/>
      <c r="AF686" s="230"/>
      <c r="AG686" s="230"/>
      <c r="AH686" s="230"/>
      <c r="AI686" s="230"/>
      <c r="AJ686" s="230"/>
      <c r="AK686" s="230"/>
      <c r="AL686" s="230"/>
      <c r="AM686" s="230"/>
      <c r="AN686" s="230"/>
      <c r="AO686" s="230"/>
      <c r="AP686" s="230"/>
      <c r="AQ686" s="230"/>
      <c r="AS686" s="231"/>
      <c r="AT686" s="231"/>
      <c r="AU686" s="231"/>
      <c r="AV686" s="231"/>
      <c r="AW686" s="231"/>
      <c r="AX686" s="231"/>
      <c r="AY686" s="231"/>
      <c r="AZ686" s="231"/>
      <c r="BA686" s="231"/>
      <c r="BC686" s="82"/>
      <c r="BD686" s="82"/>
      <c r="BE686" s="91"/>
      <c r="BF686" s="92"/>
      <c r="BG686" s="92"/>
      <c r="BH686" s="391"/>
      <c r="BI686" s="391"/>
      <c r="BJ686" s="391"/>
      <c r="BK686" s="391"/>
      <c r="BL686" s="391"/>
      <c r="BM686" s="391"/>
      <c r="BN686" s="391"/>
      <c r="BO686" s="391"/>
      <c r="BP686" s="391"/>
      <c r="BQ686" s="391"/>
      <c r="BR686" s="391"/>
      <c r="BS686" s="391"/>
      <c r="BT686" s="391"/>
      <c r="BU686" s="391"/>
      <c r="BV686" s="391"/>
      <c r="BW686" s="391"/>
      <c r="BX686" s="391"/>
      <c r="BY686" s="391"/>
      <c r="BZ686" s="391"/>
      <c r="CA686" s="391"/>
      <c r="CB686" s="391"/>
      <c r="CC686" s="391"/>
      <c r="CD686" s="391"/>
      <c r="CE686" s="391"/>
      <c r="CF686" s="391"/>
      <c r="CG686" s="391"/>
      <c r="CH686" s="391"/>
      <c r="CI686" s="391"/>
      <c r="CJ686" s="391"/>
      <c r="CK686" s="391"/>
      <c r="CL686" s="391"/>
      <c r="CM686" s="391"/>
      <c r="CN686" s="391"/>
      <c r="CO686" s="391"/>
      <c r="CP686" s="391"/>
      <c r="CQ686" s="391"/>
      <c r="CR686" s="391"/>
      <c r="CS686" s="391"/>
      <c r="CT686" s="391"/>
      <c r="CU686" s="391"/>
      <c r="CV686" s="391"/>
      <c r="CW686" s="391"/>
      <c r="CX686" s="391"/>
      <c r="CY686" s="391"/>
      <c r="CZ686" s="391"/>
      <c r="DA686" s="391"/>
      <c r="DB686" s="391"/>
      <c r="DC686" s="391"/>
      <c r="DD686" s="391"/>
      <c r="DE686" s="391"/>
      <c r="DF686" s="93"/>
      <c r="DG686" s="82"/>
    </row>
    <row r="687" spans="2:111" ht="9" customHeight="1">
      <c r="B687" s="229"/>
      <c r="C687" s="229"/>
      <c r="D687" s="229"/>
      <c r="E687" s="229"/>
      <c r="F687" s="229"/>
      <c r="G687" s="229"/>
      <c r="H687" s="229"/>
      <c r="I687" s="229"/>
      <c r="J687" s="229"/>
      <c r="K687" s="229"/>
      <c r="L687" s="229"/>
      <c r="M687" s="229"/>
      <c r="N687" s="229"/>
      <c r="P687" s="230"/>
      <c r="Q687" s="230"/>
      <c r="R687" s="230"/>
      <c r="S687" s="230"/>
      <c r="T687" s="230"/>
      <c r="U687" s="230"/>
      <c r="V687" s="230"/>
      <c r="W687" s="230"/>
      <c r="X687" s="230"/>
      <c r="Y687" s="230"/>
      <c r="Z687" s="230"/>
      <c r="AA687" s="230"/>
      <c r="AB687" s="230"/>
      <c r="AC687" s="230"/>
      <c r="AD687" s="230"/>
      <c r="AE687" s="230"/>
      <c r="AF687" s="230"/>
      <c r="AG687" s="230"/>
      <c r="AH687" s="230"/>
      <c r="AI687" s="230"/>
      <c r="AJ687" s="230"/>
      <c r="AK687" s="230"/>
      <c r="AL687" s="230"/>
      <c r="AM687" s="230"/>
      <c r="AN687" s="230"/>
      <c r="AO687" s="230"/>
      <c r="AP687" s="230"/>
      <c r="AQ687" s="230"/>
      <c r="AS687" s="231"/>
      <c r="AT687" s="231"/>
      <c r="AU687" s="231"/>
      <c r="AV687" s="231"/>
      <c r="AW687" s="231"/>
      <c r="AX687" s="231"/>
      <c r="AY687" s="231"/>
      <c r="AZ687" s="231"/>
      <c r="BA687" s="231"/>
      <c r="BC687" s="82"/>
      <c r="BD687" s="82"/>
      <c r="BE687" s="91"/>
      <c r="BF687" s="92"/>
      <c r="BG687" s="92"/>
      <c r="BH687" s="391"/>
      <c r="BI687" s="391"/>
      <c r="BJ687" s="391"/>
      <c r="BK687" s="391"/>
      <c r="BL687" s="391"/>
      <c r="BM687" s="391"/>
      <c r="BN687" s="391"/>
      <c r="BO687" s="391"/>
      <c r="BP687" s="391"/>
      <c r="BQ687" s="391"/>
      <c r="BR687" s="391"/>
      <c r="BS687" s="391"/>
      <c r="BT687" s="391"/>
      <c r="BU687" s="391"/>
      <c r="BV687" s="391"/>
      <c r="BW687" s="391"/>
      <c r="BX687" s="391"/>
      <c r="BY687" s="391"/>
      <c r="BZ687" s="391"/>
      <c r="CA687" s="391"/>
      <c r="CB687" s="391"/>
      <c r="CC687" s="391"/>
      <c r="CD687" s="391"/>
      <c r="CE687" s="391"/>
      <c r="CF687" s="391"/>
      <c r="CG687" s="391"/>
      <c r="CH687" s="391"/>
      <c r="CI687" s="391"/>
      <c r="CJ687" s="391"/>
      <c r="CK687" s="391"/>
      <c r="CL687" s="391"/>
      <c r="CM687" s="391"/>
      <c r="CN687" s="391"/>
      <c r="CO687" s="391"/>
      <c r="CP687" s="391"/>
      <c r="CQ687" s="391"/>
      <c r="CR687" s="391"/>
      <c r="CS687" s="391"/>
      <c r="CT687" s="391"/>
      <c r="CU687" s="391"/>
      <c r="CV687" s="391"/>
      <c r="CW687" s="391"/>
      <c r="CX687" s="391"/>
      <c r="CY687" s="391"/>
      <c r="CZ687" s="391"/>
      <c r="DA687" s="391"/>
      <c r="DB687" s="391"/>
      <c r="DC687" s="391"/>
      <c r="DD687" s="391"/>
      <c r="DE687" s="391"/>
      <c r="DF687" s="93"/>
      <c r="DG687" s="82"/>
    </row>
    <row r="688" spans="2:111" ht="9" customHeight="1">
      <c r="B688" s="229"/>
      <c r="C688" s="229"/>
      <c r="D688" s="229"/>
      <c r="E688" s="229"/>
      <c r="F688" s="229"/>
      <c r="G688" s="229"/>
      <c r="H688" s="229"/>
      <c r="I688" s="229"/>
      <c r="J688" s="229"/>
      <c r="K688" s="229"/>
      <c r="L688" s="229"/>
      <c r="M688" s="229"/>
      <c r="N688" s="229"/>
      <c r="P688" s="230"/>
      <c r="Q688" s="230"/>
      <c r="R688" s="230"/>
      <c r="S688" s="230"/>
      <c r="T688" s="230"/>
      <c r="U688" s="230"/>
      <c r="V688" s="230"/>
      <c r="W688" s="230"/>
      <c r="X688" s="230"/>
      <c r="Y688" s="230"/>
      <c r="Z688" s="230"/>
      <c r="AA688" s="230"/>
      <c r="AB688" s="230"/>
      <c r="AC688" s="230"/>
      <c r="AD688" s="230"/>
      <c r="AE688" s="230"/>
      <c r="AF688" s="230"/>
      <c r="AG688" s="230"/>
      <c r="AH688" s="230"/>
      <c r="AI688" s="230"/>
      <c r="AJ688" s="230"/>
      <c r="AK688" s="230"/>
      <c r="AL688" s="230"/>
      <c r="AM688" s="230"/>
      <c r="AN688" s="230"/>
      <c r="AO688" s="230"/>
      <c r="AP688" s="230"/>
      <c r="AQ688" s="230"/>
      <c r="AS688" s="231"/>
      <c r="AT688" s="231"/>
      <c r="AU688" s="231"/>
      <c r="AV688" s="231"/>
      <c r="AW688" s="231"/>
      <c r="AX688" s="231"/>
      <c r="AY688" s="231"/>
      <c r="AZ688" s="231"/>
      <c r="BA688" s="231"/>
      <c r="BC688" s="82"/>
      <c r="BD688" s="82"/>
      <c r="BE688" s="91"/>
      <c r="BF688" s="92"/>
      <c r="BG688" s="92"/>
      <c r="BH688" s="391"/>
      <c r="BI688" s="391"/>
      <c r="BJ688" s="391"/>
      <c r="BK688" s="391"/>
      <c r="BL688" s="391"/>
      <c r="BM688" s="391"/>
      <c r="BN688" s="391"/>
      <c r="BO688" s="391"/>
      <c r="BP688" s="391"/>
      <c r="BQ688" s="391"/>
      <c r="BR688" s="391"/>
      <c r="BS688" s="391"/>
      <c r="BT688" s="391"/>
      <c r="BU688" s="391"/>
      <c r="BV688" s="391"/>
      <c r="BW688" s="391"/>
      <c r="BX688" s="391"/>
      <c r="BY688" s="391"/>
      <c r="BZ688" s="391"/>
      <c r="CA688" s="391"/>
      <c r="CB688" s="391"/>
      <c r="CC688" s="391"/>
      <c r="CD688" s="391"/>
      <c r="CE688" s="391"/>
      <c r="CF688" s="391"/>
      <c r="CG688" s="391"/>
      <c r="CH688" s="391"/>
      <c r="CI688" s="391"/>
      <c r="CJ688" s="391"/>
      <c r="CK688" s="391"/>
      <c r="CL688" s="391"/>
      <c r="CM688" s="391"/>
      <c r="CN688" s="391"/>
      <c r="CO688" s="391"/>
      <c r="CP688" s="391"/>
      <c r="CQ688" s="391"/>
      <c r="CR688" s="391"/>
      <c r="CS688" s="391"/>
      <c r="CT688" s="391"/>
      <c r="CU688" s="391"/>
      <c r="CV688" s="391"/>
      <c r="CW688" s="391"/>
      <c r="CX688" s="391"/>
      <c r="CY688" s="391"/>
      <c r="CZ688" s="391"/>
      <c r="DA688" s="391"/>
      <c r="DB688" s="391"/>
      <c r="DC688" s="391"/>
      <c r="DD688" s="391"/>
      <c r="DE688" s="391"/>
      <c r="DF688" s="93"/>
      <c r="DG688" s="82"/>
    </row>
    <row r="689" spans="2:111" ht="9" customHeight="1">
      <c r="B689" s="229"/>
      <c r="C689" s="229"/>
      <c r="D689" s="229"/>
      <c r="E689" s="229"/>
      <c r="F689" s="229"/>
      <c r="G689" s="229"/>
      <c r="H689" s="229"/>
      <c r="I689" s="229"/>
      <c r="J689" s="229"/>
      <c r="K689" s="229"/>
      <c r="L689" s="229"/>
      <c r="M689" s="229"/>
      <c r="N689" s="229"/>
      <c r="P689" s="230"/>
      <c r="Q689" s="230"/>
      <c r="R689" s="230"/>
      <c r="S689" s="230"/>
      <c r="T689" s="230"/>
      <c r="U689" s="230"/>
      <c r="V689" s="230"/>
      <c r="W689" s="230"/>
      <c r="X689" s="230"/>
      <c r="Y689" s="230"/>
      <c r="Z689" s="230"/>
      <c r="AA689" s="230"/>
      <c r="AB689" s="230"/>
      <c r="AC689" s="230"/>
      <c r="AD689" s="230"/>
      <c r="AE689" s="230"/>
      <c r="AF689" s="230"/>
      <c r="AG689" s="230"/>
      <c r="AH689" s="230"/>
      <c r="AI689" s="230"/>
      <c r="AJ689" s="230"/>
      <c r="AK689" s="230"/>
      <c r="AL689" s="230"/>
      <c r="AM689" s="230"/>
      <c r="AN689" s="230"/>
      <c r="AO689" s="230"/>
      <c r="AP689" s="230"/>
      <c r="AQ689" s="230"/>
      <c r="AS689" s="231"/>
      <c r="AT689" s="231"/>
      <c r="AU689" s="231"/>
      <c r="AV689" s="231"/>
      <c r="AW689" s="231"/>
      <c r="AX689" s="231"/>
      <c r="AY689" s="231"/>
      <c r="AZ689" s="231"/>
      <c r="BA689" s="231"/>
      <c r="BC689" s="82"/>
      <c r="BD689" s="82"/>
      <c r="BE689" s="91"/>
      <c r="BF689" s="92"/>
      <c r="BG689" s="92"/>
      <c r="BH689" s="391"/>
      <c r="BI689" s="391"/>
      <c r="BJ689" s="391"/>
      <c r="BK689" s="391"/>
      <c r="BL689" s="391"/>
      <c r="BM689" s="391"/>
      <c r="BN689" s="391"/>
      <c r="BO689" s="391"/>
      <c r="BP689" s="391"/>
      <c r="BQ689" s="391"/>
      <c r="BR689" s="391"/>
      <c r="BS689" s="391"/>
      <c r="BT689" s="391"/>
      <c r="BU689" s="391"/>
      <c r="BV689" s="391"/>
      <c r="BW689" s="391"/>
      <c r="BX689" s="391"/>
      <c r="BY689" s="391"/>
      <c r="BZ689" s="391"/>
      <c r="CA689" s="391"/>
      <c r="CB689" s="391"/>
      <c r="CC689" s="391"/>
      <c r="CD689" s="391"/>
      <c r="CE689" s="391"/>
      <c r="CF689" s="391"/>
      <c r="CG689" s="391"/>
      <c r="CH689" s="391"/>
      <c r="CI689" s="391"/>
      <c r="CJ689" s="391"/>
      <c r="CK689" s="391"/>
      <c r="CL689" s="391"/>
      <c r="CM689" s="391"/>
      <c r="CN689" s="391"/>
      <c r="CO689" s="391"/>
      <c r="CP689" s="391"/>
      <c r="CQ689" s="391"/>
      <c r="CR689" s="391"/>
      <c r="CS689" s="391"/>
      <c r="CT689" s="391"/>
      <c r="CU689" s="391"/>
      <c r="CV689" s="391"/>
      <c r="CW689" s="391"/>
      <c r="CX689" s="391"/>
      <c r="CY689" s="391"/>
      <c r="CZ689" s="391"/>
      <c r="DA689" s="391"/>
      <c r="DB689" s="391"/>
      <c r="DC689" s="391"/>
      <c r="DD689" s="391"/>
      <c r="DE689" s="391"/>
      <c r="DF689" s="93"/>
      <c r="DG689" s="82"/>
    </row>
    <row r="690" spans="2:111" ht="9" customHeight="1">
      <c r="B690" s="229"/>
      <c r="C690" s="229"/>
      <c r="D690" s="229"/>
      <c r="E690" s="229"/>
      <c r="F690" s="229"/>
      <c r="G690" s="229"/>
      <c r="H690" s="229"/>
      <c r="I690" s="229"/>
      <c r="J690" s="229"/>
      <c r="K690" s="229"/>
      <c r="L690" s="229"/>
      <c r="M690" s="229"/>
      <c r="N690" s="229"/>
      <c r="P690" s="230"/>
      <c r="Q690" s="230"/>
      <c r="R690" s="230"/>
      <c r="S690" s="230"/>
      <c r="T690" s="230"/>
      <c r="U690" s="230"/>
      <c r="V690" s="230"/>
      <c r="W690" s="230"/>
      <c r="X690" s="230"/>
      <c r="Y690" s="230"/>
      <c r="Z690" s="230"/>
      <c r="AA690" s="230"/>
      <c r="AB690" s="230"/>
      <c r="AC690" s="230"/>
      <c r="AD690" s="230"/>
      <c r="AE690" s="230"/>
      <c r="AF690" s="230"/>
      <c r="AG690" s="230"/>
      <c r="AH690" s="230"/>
      <c r="AI690" s="230"/>
      <c r="AJ690" s="230"/>
      <c r="AK690" s="230"/>
      <c r="AL690" s="230"/>
      <c r="AM690" s="230"/>
      <c r="AN690" s="230"/>
      <c r="AO690" s="230"/>
      <c r="AP690" s="230"/>
      <c r="AQ690" s="230"/>
      <c r="AS690" s="231"/>
      <c r="AT690" s="231"/>
      <c r="AU690" s="231"/>
      <c r="AV690" s="231"/>
      <c r="AW690" s="231"/>
      <c r="AX690" s="231"/>
      <c r="AY690" s="231"/>
      <c r="AZ690" s="231"/>
      <c r="BA690" s="231"/>
      <c r="BC690" s="82"/>
      <c r="BD690" s="82"/>
      <c r="BE690" s="91"/>
      <c r="BF690" s="92"/>
      <c r="BG690" s="92"/>
      <c r="BH690" s="391"/>
      <c r="BI690" s="391"/>
      <c r="BJ690" s="391"/>
      <c r="BK690" s="391"/>
      <c r="BL690" s="391"/>
      <c r="BM690" s="391"/>
      <c r="BN690" s="391"/>
      <c r="BO690" s="391"/>
      <c r="BP690" s="391"/>
      <c r="BQ690" s="391"/>
      <c r="BR690" s="391"/>
      <c r="BS690" s="391"/>
      <c r="BT690" s="391"/>
      <c r="BU690" s="391"/>
      <c r="BV690" s="391"/>
      <c r="BW690" s="391"/>
      <c r="BX690" s="391"/>
      <c r="BY690" s="391"/>
      <c r="BZ690" s="391"/>
      <c r="CA690" s="391"/>
      <c r="CB690" s="391"/>
      <c r="CC690" s="391"/>
      <c r="CD690" s="391"/>
      <c r="CE690" s="391"/>
      <c r="CF690" s="391"/>
      <c r="CG690" s="391"/>
      <c r="CH690" s="391"/>
      <c r="CI690" s="391"/>
      <c r="CJ690" s="391"/>
      <c r="CK690" s="391"/>
      <c r="CL690" s="391"/>
      <c r="CM690" s="391"/>
      <c r="CN690" s="391"/>
      <c r="CO690" s="391"/>
      <c r="CP690" s="391"/>
      <c r="CQ690" s="391"/>
      <c r="CR690" s="391"/>
      <c r="CS690" s="391"/>
      <c r="CT690" s="391"/>
      <c r="CU690" s="391"/>
      <c r="CV690" s="391"/>
      <c r="CW690" s="391"/>
      <c r="CX690" s="391"/>
      <c r="CY690" s="391"/>
      <c r="CZ690" s="391"/>
      <c r="DA690" s="391"/>
      <c r="DB690" s="391"/>
      <c r="DC690" s="391"/>
      <c r="DD690" s="391"/>
      <c r="DE690" s="391"/>
      <c r="DF690" s="93"/>
      <c r="DG690" s="82"/>
    </row>
    <row r="691" spans="2:111" ht="9" customHeight="1">
      <c r="B691" s="229"/>
      <c r="C691" s="229"/>
      <c r="D691" s="229"/>
      <c r="E691" s="229"/>
      <c r="F691" s="229"/>
      <c r="G691" s="229"/>
      <c r="H691" s="229"/>
      <c r="I691" s="229"/>
      <c r="J691" s="229"/>
      <c r="K691" s="229"/>
      <c r="L691" s="229"/>
      <c r="M691" s="229"/>
      <c r="N691" s="229"/>
      <c r="P691" s="230"/>
      <c r="Q691" s="230"/>
      <c r="R691" s="230"/>
      <c r="S691" s="230"/>
      <c r="T691" s="230"/>
      <c r="U691" s="230"/>
      <c r="V691" s="230"/>
      <c r="W691" s="230"/>
      <c r="X691" s="230"/>
      <c r="Y691" s="230"/>
      <c r="Z691" s="230"/>
      <c r="AA691" s="230"/>
      <c r="AB691" s="230"/>
      <c r="AC691" s="230"/>
      <c r="AD691" s="230"/>
      <c r="AE691" s="230"/>
      <c r="AF691" s="230"/>
      <c r="AG691" s="230"/>
      <c r="AH691" s="230"/>
      <c r="AI691" s="230"/>
      <c r="AJ691" s="230"/>
      <c r="AK691" s="230"/>
      <c r="AL691" s="230"/>
      <c r="AM691" s="230"/>
      <c r="AN691" s="230"/>
      <c r="AO691" s="230"/>
      <c r="AP691" s="230"/>
      <c r="AQ691" s="230"/>
      <c r="AS691" s="231"/>
      <c r="AT691" s="231"/>
      <c r="AU691" s="231"/>
      <c r="AV691" s="231"/>
      <c r="AW691" s="231"/>
      <c r="AX691" s="231"/>
      <c r="AY691" s="231"/>
      <c r="AZ691" s="231"/>
      <c r="BA691" s="231"/>
      <c r="BC691" s="82"/>
      <c r="BD691" s="82"/>
      <c r="BE691" s="91"/>
      <c r="BF691" s="92"/>
      <c r="BG691" s="92"/>
      <c r="BH691" s="391"/>
      <c r="BI691" s="391"/>
      <c r="BJ691" s="391"/>
      <c r="BK691" s="391"/>
      <c r="BL691" s="391"/>
      <c r="BM691" s="391"/>
      <c r="BN691" s="391"/>
      <c r="BO691" s="391"/>
      <c r="BP691" s="391"/>
      <c r="BQ691" s="391"/>
      <c r="BR691" s="391"/>
      <c r="BS691" s="391"/>
      <c r="BT691" s="391"/>
      <c r="BU691" s="391"/>
      <c r="BV691" s="391"/>
      <c r="BW691" s="391"/>
      <c r="BX691" s="391"/>
      <c r="BY691" s="391"/>
      <c r="BZ691" s="391"/>
      <c r="CA691" s="391"/>
      <c r="CB691" s="391"/>
      <c r="CC691" s="391"/>
      <c r="CD691" s="391"/>
      <c r="CE691" s="391"/>
      <c r="CF691" s="391"/>
      <c r="CG691" s="391"/>
      <c r="CH691" s="391"/>
      <c r="CI691" s="391"/>
      <c r="CJ691" s="391"/>
      <c r="CK691" s="391"/>
      <c r="CL691" s="391"/>
      <c r="CM691" s="391"/>
      <c r="CN691" s="391"/>
      <c r="CO691" s="391"/>
      <c r="CP691" s="391"/>
      <c r="CQ691" s="391"/>
      <c r="CR691" s="391"/>
      <c r="CS691" s="391"/>
      <c r="CT691" s="391"/>
      <c r="CU691" s="391"/>
      <c r="CV691" s="391"/>
      <c r="CW691" s="391"/>
      <c r="CX691" s="391"/>
      <c r="CY691" s="391"/>
      <c r="CZ691" s="391"/>
      <c r="DA691" s="391"/>
      <c r="DB691" s="391"/>
      <c r="DC691" s="391"/>
      <c r="DD691" s="391"/>
      <c r="DE691" s="391"/>
      <c r="DF691" s="93"/>
      <c r="DG691" s="82"/>
    </row>
    <row r="692" spans="2:111" ht="9" customHeight="1">
      <c r="B692" s="229"/>
      <c r="C692" s="229"/>
      <c r="D692" s="229"/>
      <c r="E692" s="229"/>
      <c r="F692" s="229"/>
      <c r="G692" s="229"/>
      <c r="H692" s="229"/>
      <c r="I692" s="229"/>
      <c r="J692" s="229"/>
      <c r="K692" s="229"/>
      <c r="L692" s="229"/>
      <c r="M692" s="229"/>
      <c r="N692" s="229"/>
      <c r="P692" s="230"/>
      <c r="Q692" s="230"/>
      <c r="R692" s="230"/>
      <c r="S692" s="230"/>
      <c r="T692" s="230"/>
      <c r="U692" s="230"/>
      <c r="V692" s="230"/>
      <c r="W692" s="230"/>
      <c r="X692" s="230"/>
      <c r="Y692" s="230"/>
      <c r="Z692" s="230"/>
      <c r="AA692" s="230"/>
      <c r="AB692" s="230"/>
      <c r="AC692" s="230"/>
      <c r="AD692" s="230"/>
      <c r="AE692" s="230"/>
      <c r="AF692" s="230"/>
      <c r="AG692" s="230"/>
      <c r="AH692" s="230"/>
      <c r="AI692" s="230"/>
      <c r="AJ692" s="230"/>
      <c r="AK692" s="230"/>
      <c r="AL692" s="230"/>
      <c r="AM692" s="230"/>
      <c r="AN692" s="230"/>
      <c r="AO692" s="230"/>
      <c r="AP692" s="230"/>
      <c r="AQ692" s="230"/>
      <c r="AS692" s="231"/>
      <c r="AT692" s="231"/>
      <c r="AU692" s="231"/>
      <c r="AV692" s="231"/>
      <c r="AW692" s="231"/>
      <c r="AX692" s="231"/>
      <c r="AY692" s="231"/>
      <c r="AZ692" s="231"/>
      <c r="BA692" s="231"/>
      <c r="BC692" s="82"/>
      <c r="BD692" s="82"/>
      <c r="BE692" s="91"/>
      <c r="BF692" s="92"/>
      <c r="BG692" s="92"/>
      <c r="BH692" s="391"/>
      <c r="BI692" s="391"/>
      <c r="BJ692" s="391"/>
      <c r="BK692" s="391"/>
      <c r="BL692" s="391"/>
      <c r="BM692" s="391"/>
      <c r="BN692" s="391"/>
      <c r="BO692" s="391"/>
      <c r="BP692" s="391"/>
      <c r="BQ692" s="391"/>
      <c r="BR692" s="391"/>
      <c r="BS692" s="391"/>
      <c r="BT692" s="391"/>
      <c r="BU692" s="391"/>
      <c r="BV692" s="391"/>
      <c r="BW692" s="391"/>
      <c r="BX692" s="391"/>
      <c r="BY692" s="391"/>
      <c r="BZ692" s="391"/>
      <c r="CA692" s="391"/>
      <c r="CB692" s="391"/>
      <c r="CC692" s="391"/>
      <c r="CD692" s="391"/>
      <c r="CE692" s="391"/>
      <c r="CF692" s="391"/>
      <c r="CG692" s="391"/>
      <c r="CH692" s="391"/>
      <c r="CI692" s="391"/>
      <c r="CJ692" s="391"/>
      <c r="CK692" s="391"/>
      <c r="CL692" s="391"/>
      <c r="CM692" s="391"/>
      <c r="CN692" s="391"/>
      <c r="CO692" s="391"/>
      <c r="CP692" s="391"/>
      <c r="CQ692" s="391"/>
      <c r="CR692" s="391"/>
      <c r="CS692" s="391"/>
      <c r="CT692" s="391"/>
      <c r="CU692" s="391"/>
      <c r="CV692" s="391"/>
      <c r="CW692" s="391"/>
      <c r="CX692" s="391"/>
      <c r="CY692" s="391"/>
      <c r="CZ692" s="391"/>
      <c r="DA692" s="391"/>
      <c r="DB692" s="391"/>
      <c r="DC692" s="391"/>
      <c r="DD692" s="391"/>
      <c r="DE692" s="391"/>
      <c r="DF692" s="93"/>
      <c r="DG692" s="82"/>
    </row>
    <row r="693" spans="2:111" ht="9" customHeight="1">
      <c r="B693" s="229"/>
      <c r="C693" s="229"/>
      <c r="D693" s="229"/>
      <c r="E693" s="229"/>
      <c r="F693" s="229"/>
      <c r="G693" s="229"/>
      <c r="H693" s="229"/>
      <c r="I693" s="229"/>
      <c r="J693" s="229"/>
      <c r="K693" s="229"/>
      <c r="L693" s="229"/>
      <c r="M693" s="229"/>
      <c r="N693" s="229"/>
      <c r="P693" s="230"/>
      <c r="Q693" s="230"/>
      <c r="R693" s="230"/>
      <c r="S693" s="230"/>
      <c r="T693" s="230"/>
      <c r="U693" s="230"/>
      <c r="V693" s="230"/>
      <c r="W693" s="230"/>
      <c r="X693" s="230"/>
      <c r="Y693" s="230"/>
      <c r="Z693" s="230"/>
      <c r="AA693" s="230"/>
      <c r="AB693" s="230"/>
      <c r="AC693" s="230"/>
      <c r="AD693" s="230"/>
      <c r="AE693" s="230"/>
      <c r="AF693" s="230"/>
      <c r="AG693" s="230"/>
      <c r="AH693" s="230"/>
      <c r="AI693" s="230"/>
      <c r="AJ693" s="230"/>
      <c r="AK693" s="230"/>
      <c r="AL693" s="230"/>
      <c r="AM693" s="230"/>
      <c r="AN693" s="230"/>
      <c r="AO693" s="230"/>
      <c r="AP693" s="230"/>
      <c r="AQ693" s="230"/>
      <c r="AS693" s="231"/>
      <c r="AT693" s="231"/>
      <c r="AU693" s="231"/>
      <c r="AV693" s="231"/>
      <c r="AW693" s="231"/>
      <c r="AX693" s="231"/>
      <c r="AY693" s="231"/>
      <c r="AZ693" s="231"/>
      <c r="BA693" s="231"/>
      <c r="BC693" s="82"/>
      <c r="BD693" s="82"/>
      <c r="BE693" s="91"/>
      <c r="BF693" s="92"/>
      <c r="BG693" s="92"/>
      <c r="BH693" s="391"/>
      <c r="BI693" s="391"/>
      <c r="BJ693" s="391"/>
      <c r="BK693" s="391"/>
      <c r="BL693" s="391"/>
      <c r="BM693" s="391"/>
      <c r="BN693" s="391"/>
      <c r="BO693" s="391"/>
      <c r="BP693" s="391"/>
      <c r="BQ693" s="391"/>
      <c r="BR693" s="391"/>
      <c r="BS693" s="391"/>
      <c r="BT693" s="391"/>
      <c r="BU693" s="391"/>
      <c r="BV693" s="391"/>
      <c r="BW693" s="391"/>
      <c r="BX693" s="391"/>
      <c r="BY693" s="391"/>
      <c r="BZ693" s="391"/>
      <c r="CA693" s="391"/>
      <c r="CB693" s="391"/>
      <c r="CC693" s="391"/>
      <c r="CD693" s="391"/>
      <c r="CE693" s="391"/>
      <c r="CF693" s="391"/>
      <c r="CG693" s="391"/>
      <c r="CH693" s="391"/>
      <c r="CI693" s="391"/>
      <c r="CJ693" s="391"/>
      <c r="CK693" s="391"/>
      <c r="CL693" s="391"/>
      <c r="CM693" s="391"/>
      <c r="CN693" s="391"/>
      <c r="CO693" s="391"/>
      <c r="CP693" s="391"/>
      <c r="CQ693" s="391"/>
      <c r="CR693" s="391"/>
      <c r="CS693" s="391"/>
      <c r="CT693" s="391"/>
      <c r="CU693" s="391"/>
      <c r="CV693" s="391"/>
      <c r="CW693" s="391"/>
      <c r="CX693" s="391"/>
      <c r="CY693" s="391"/>
      <c r="CZ693" s="391"/>
      <c r="DA693" s="391"/>
      <c r="DB693" s="391"/>
      <c r="DC693" s="391"/>
      <c r="DD693" s="391"/>
      <c r="DE693" s="391"/>
      <c r="DF693" s="93"/>
      <c r="DG693" s="82"/>
    </row>
    <row r="694" spans="2:111" ht="9" customHeight="1">
      <c r="B694" s="229"/>
      <c r="C694" s="229"/>
      <c r="D694" s="229"/>
      <c r="E694" s="229"/>
      <c r="F694" s="229"/>
      <c r="G694" s="229"/>
      <c r="H694" s="229"/>
      <c r="I694" s="229"/>
      <c r="J694" s="229"/>
      <c r="K694" s="229"/>
      <c r="L694" s="229"/>
      <c r="M694" s="229"/>
      <c r="N694" s="229"/>
      <c r="P694" s="230"/>
      <c r="Q694" s="230"/>
      <c r="R694" s="230"/>
      <c r="S694" s="230"/>
      <c r="T694" s="230"/>
      <c r="U694" s="230"/>
      <c r="V694" s="230"/>
      <c r="W694" s="230"/>
      <c r="X694" s="230"/>
      <c r="Y694" s="230"/>
      <c r="Z694" s="230"/>
      <c r="AA694" s="230"/>
      <c r="AB694" s="230"/>
      <c r="AC694" s="230"/>
      <c r="AD694" s="230"/>
      <c r="AE694" s="230"/>
      <c r="AF694" s="230"/>
      <c r="AG694" s="230"/>
      <c r="AH694" s="230"/>
      <c r="AI694" s="230"/>
      <c r="AJ694" s="230"/>
      <c r="AK694" s="230"/>
      <c r="AL694" s="230"/>
      <c r="AM694" s="230"/>
      <c r="AN694" s="230"/>
      <c r="AO694" s="230"/>
      <c r="AP694" s="230"/>
      <c r="AQ694" s="230"/>
      <c r="AS694" s="231"/>
      <c r="AT694" s="231"/>
      <c r="AU694" s="231"/>
      <c r="AV694" s="231"/>
      <c r="AW694" s="231"/>
      <c r="AX694" s="231"/>
      <c r="AY694" s="231"/>
      <c r="AZ694" s="231"/>
      <c r="BA694" s="231"/>
      <c r="BC694" s="82"/>
      <c r="BD694" s="82"/>
      <c r="BE694" s="91"/>
      <c r="BF694" s="92"/>
      <c r="BG694" s="92"/>
      <c r="BH694" s="391"/>
      <c r="BI694" s="391"/>
      <c r="BJ694" s="391"/>
      <c r="BK694" s="391"/>
      <c r="BL694" s="391"/>
      <c r="BM694" s="391"/>
      <c r="BN694" s="391"/>
      <c r="BO694" s="391"/>
      <c r="BP694" s="391"/>
      <c r="BQ694" s="391"/>
      <c r="BR694" s="391"/>
      <c r="BS694" s="391"/>
      <c r="BT694" s="391"/>
      <c r="BU694" s="391"/>
      <c r="BV694" s="391"/>
      <c r="BW694" s="391"/>
      <c r="BX694" s="391"/>
      <c r="BY694" s="391"/>
      <c r="BZ694" s="391"/>
      <c r="CA694" s="391"/>
      <c r="CB694" s="391"/>
      <c r="CC694" s="391"/>
      <c r="CD694" s="391"/>
      <c r="CE694" s="391"/>
      <c r="CF694" s="391"/>
      <c r="CG694" s="391"/>
      <c r="CH694" s="391"/>
      <c r="CI694" s="391"/>
      <c r="CJ694" s="391"/>
      <c r="CK694" s="391"/>
      <c r="CL694" s="391"/>
      <c r="CM694" s="391"/>
      <c r="CN694" s="391"/>
      <c r="CO694" s="391"/>
      <c r="CP694" s="391"/>
      <c r="CQ694" s="391"/>
      <c r="CR694" s="391"/>
      <c r="CS694" s="391"/>
      <c r="CT694" s="391"/>
      <c r="CU694" s="391"/>
      <c r="CV694" s="391"/>
      <c r="CW694" s="391"/>
      <c r="CX694" s="391"/>
      <c r="CY694" s="391"/>
      <c r="CZ694" s="391"/>
      <c r="DA694" s="391"/>
      <c r="DB694" s="391"/>
      <c r="DC694" s="391"/>
      <c r="DD694" s="391"/>
      <c r="DE694" s="391"/>
      <c r="DF694" s="93"/>
      <c r="DG694" s="82"/>
    </row>
    <row r="695" spans="2:111" ht="9" customHeight="1">
      <c r="B695" s="229"/>
      <c r="C695" s="229"/>
      <c r="D695" s="229"/>
      <c r="E695" s="229"/>
      <c r="F695" s="229"/>
      <c r="G695" s="229"/>
      <c r="H695" s="229"/>
      <c r="I695" s="229"/>
      <c r="J695" s="229"/>
      <c r="K695" s="229"/>
      <c r="L695" s="229"/>
      <c r="M695" s="229"/>
      <c r="N695" s="229"/>
      <c r="P695" s="230"/>
      <c r="Q695" s="230"/>
      <c r="R695" s="230"/>
      <c r="S695" s="230"/>
      <c r="T695" s="230"/>
      <c r="U695" s="230"/>
      <c r="V695" s="230"/>
      <c r="W695" s="230"/>
      <c r="X695" s="230"/>
      <c r="Y695" s="230"/>
      <c r="Z695" s="230"/>
      <c r="AA695" s="230"/>
      <c r="AB695" s="230"/>
      <c r="AC695" s="230"/>
      <c r="AD695" s="230"/>
      <c r="AE695" s="230"/>
      <c r="AF695" s="230"/>
      <c r="AG695" s="230"/>
      <c r="AH695" s="230"/>
      <c r="AI695" s="230"/>
      <c r="AJ695" s="230"/>
      <c r="AK695" s="230"/>
      <c r="AL695" s="230"/>
      <c r="AM695" s="230"/>
      <c r="AN695" s="230"/>
      <c r="AO695" s="230"/>
      <c r="AP695" s="230"/>
      <c r="AQ695" s="230"/>
      <c r="AS695" s="231"/>
      <c r="AT695" s="231"/>
      <c r="AU695" s="231"/>
      <c r="AV695" s="231"/>
      <c r="AW695" s="231"/>
      <c r="AX695" s="231"/>
      <c r="AY695" s="231"/>
      <c r="AZ695" s="231"/>
      <c r="BA695" s="231"/>
      <c r="BC695" s="82"/>
      <c r="BD695" s="82"/>
      <c r="BE695" s="91"/>
      <c r="BF695" s="92"/>
      <c r="BG695" s="92"/>
      <c r="BH695" s="391"/>
      <c r="BI695" s="391"/>
      <c r="BJ695" s="391"/>
      <c r="BK695" s="391"/>
      <c r="BL695" s="391"/>
      <c r="BM695" s="391"/>
      <c r="BN695" s="391"/>
      <c r="BO695" s="391"/>
      <c r="BP695" s="391"/>
      <c r="BQ695" s="391"/>
      <c r="BR695" s="391"/>
      <c r="BS695" s="391"/>
      <c r="BT695" s="391"/>
      <c r="BU695" s="391"/>
      <c r="BV695" s="391"/>
      <c r="BW695" s="391"/>
      <c r="BX695" s="391"/>
      <c r="BY695" s="391"/>
      <c r="BZ695" s="391"/>
      <c r="CA695" s="391"/>
      <c r="CB695" s="391"/>
      <c r="CC695" s="391"/>
      <c r="CD695" s="391"/>
      <c r="CE695" s="391"/>
      <c r="CF695" s="391"/>
      <c r="CG695" s="391"/>
      <c r="CH695" s="391"/>
      <c r="CI695" s="391"/>
      <c r="CJ695" s="391"/>
      <c r="CK695" s="391"/>
      <c r="CL695" s="391"/>
      <c r="CM695" s="391"/>
      <c r="CN695" s="391"/>
      <c r="CO695" s="391"/>
      <c r="CP695" s="391"/>
      <c r="CQ695" s="391"/>
      <c r="CR695" s="391"/>
      <c r="CS695" s="391"/>
      <c r="CT695" s="391"/>
      <c r="CU695" s="391"/>
      <c r="CV695" s="391"/>
      <c r="CW695" s="391"/>
      <c r="CX695" s="391"/>
      <c r="CY695" s="391"/>
      <c r="CZ695" s="391"/>
      <c r="DA695" s="391"/>
      <c r="DB695" s="391"/>
      <c r="DC695" s="391"/>
      <c r="DD695" s="391"/>
      <c r="DE695" s="391"/>
      <c r="DF695" s="93"/>
      <c r="DG695" s="82"/>
    </row>
    <row r="696" spans="2:111" ht="9" customHeight="1">
      <c r="B696" s="229"/>
      <c r="C696" s="229"/>
      <c r="D696" s="229"/>
      <c r="E696" s="229"/>
      <c r="F696" s="229"/>
      <c r="G696" s="229"/>
      <c r="H696" s="229"/>
      <c r="I696" s="229"/>
      <c r="J696" s="229"/>
      <c r="K696" s="229"/>
      <c r="L696" s="229"/>
      <c r="M696" s="229"/>
      <c r="N696" s="229"/>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230"/>
      <c r="AL696" s="230"/>
      <c r="AM696" s="230"/>
      <c r="AN696" s="230"/>
      <c r="AO696" s="230"/>
      <c r="AP696" s="230"/>
      <c r="AQ696" s="230"/>
      <c r="AS696" s="231"/>
      <c r="AT696" s="231"/>
      <c r="AU696" s="231"/>
      <c r="AV696" s="231"/>
      <c r="AW696" s="231"/>
      <c r="AX696" s="231"/>
      <c r="AY696" s="231"/>
      <c r="AZ696" s="231"/>
      <c r="BA696" s="231"/>
      <c r="BC696" s="82"/>
      <c r="BD696" s="82"/>
      <c r="BE696" s="91"/>
      <c r="BF696" s="92"/>
      <c r="BG696" s="92"/>
      <c r="BH696" s="391"/>
      <c r="BI696" s="391"/>
      <c r="BJ696" s="391"/>
      <c r="BK696" s="391"/>
      <c r="BL696" s="391"/>
      <c r="BM696" s="391"/>
      <c r="BN696" s="391"/>
      <c r="BO696" s="391"/>
      <c r="BP696" s="391"/>
      <c r="BQ696" s="391"/>
      <c r="BR696" s="391"/>
      <c r="BS696" s="391"/>
      <c r="BT696" s="391"/>
      <c r="BU696" s="391"/>
      <c r="BV696" s="391"/>
      <c r="BW696" s="391"/>
      <c r="BX696" s="391"/>
      <c r="BY696" s="391"/>
      <c r="BZ696" s="391"/>
      <c r="CA696" s="391"/>
      <c r="CB696" s="391"/>
      <c r="CC696" s="391"/>
      <c r="CD696" s="391"/>
      <c r="CE696" s="391"/>
      <c r="CF696" s="391"/>
      <c r="CG696" s="391"/>
      <c r="CH696" s="391"/>
      <c r="CI696" s="391"/>
      <c r="CJ696" s="391"/>
      <c r="CK696" s="391"/>
      <c r="CL696" s="391"/>
      <c r="CM696" s="391"/>
      <c r="CN696" s="391"/>
      <c r="CO696" s="391"/>
      <c r="CP696" s="391"/>
      <c r="CQ696" s="391"/>
      <c r="CR696" s="391"/>
      <c r="CS696" s="391"/>
      <c r="CT696" s="391"/>
      <c r="CU696" s="391"/>
      <c r="CV696" s="391"/>
      <c r="CW696" s="391"/>
      <c r="CX696" s="391"/>
      <c r="CY696" s="391"/>
      <c r="CZ696" s="391"/>
      <c r="DA696" s="391"/>
      <c r="DB696" s="391"/>
      <c r="DC696" s="391"/>
      <c r="DD696" s="391"/>
      <c r="DE696" s="391"/>
      <c r="DF696" s="93"/>
      <c r="DG696" s="82"/>
    </row>
    <row r="697" spans="2:111" ht="9" customHeight="1">
      <c r="B697" s="229"/>
      <c r="C697" s="229"/>
      <c r="D697" s="229"/>
      <c r="E697" s="229"/>
      <c r="F697" s="229"/>
      <c r="G697" s="229"/>
      <c r="H697" s="229"/>
      <c r="I697" s="229"/>
      <c r="J697" s="229"/>
      <c r="K697" s="229"/>
      <c r="L697" s="229"/>
      <c r="M697" s="229"/>
      <c r="N697" s="229"/>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S697" s="231"/>
      <c r="AT697" s="231"/>
      <c r="AU697" s="231"/>
      <c r="AV697" s="231"/>
      <c r="AW697" s="231"/>
      <c r="AX697" s="231"/>
      <c r="AY697" s="231"/>
      <c r="AZ697" s="231"/>
      <c r="BA697" s="231"/>
      <c r="BC697" s="82"/>
      <c r="BD697" s="82"/>
      <c r="BE697" s="91"/>
      <c r="BF697" s="92"/>
      <c r="BG697" s="92"/>
      <c r="BH697" s="391"/>
      <c r="BI697" s="391"/>
      <c r="BJ697" s="391"/>
      <c r="BK697" s="391"/>
      <c r="BL697" s="391"/>
      <c r="BM697" s="391"/>
      <c r="BN697" s="391"/>
      <c r="BO697" s="391"/>
      <c r="BP697" s="391"/>
      <c r="BQ697" s="391"/>
      <c r="BR697" s="391"/>
      <c r="BS697" s="391"/>
      <c r="BT697" s="391"/>
      <c r="BU697" s="391"/>
      <c r="BV697" s="391"/>
      <c r="BW697" s="391"/>
      <c r="BX697" s="391"/>
      <c r="BY697" s="391"/>
      <c r="BZ697" s="391"/>
      <c r="CA697" s="391"/>
      <c r="CB697" s="391"/>
      <c r="CC697" s="391"/>
      <c r="CD697" s="391"/>
      <c r="CE697" s="391"/>
      <c r="CF697" s="391"/>
      <c r="CG697" s="391"/>
      <c r="CH697" s="391"/>
      <c r="CI697" s="391"/>
      <c r="CJ697" s="391"/>
      <c r="CK697" s="391"/>
      <c r="CL697" s="391"/>
      <c r="CM697" s="391"/>
      <c r="CN697" s="391"/>
      <c r="CO697" s="391"/>
      <c r="CP697" s="391"/>
      <c r="CQ697" s="391"/>
      <c r="CR697" s="391"/>
      <c r="CS697" s="391"/>
      <c r="CT697" s="391"/>
      <c r="CU697" s="391"/>
      <c r="CV697" s="391"/>
      <c r="CW697" s="391"/>
      <c r="CX697" s="391"/>
      <c r="CY697" s="391"/>
      <c r="CZ697" s="391"/>
      <c r="DA697" s="391"/>
      <c r="DB697" s="391"/>
      <c r="DC697" s="391"/>
      <c r="DD697" s="391"/>
      <c r="DE697" s="391"/>
      <c r="DF697" s="93"/>
      <c r="DG697" s="82"/>
    </row>
    <row r="698" spans="2:111" ht="9" customHeight="1">
      <c r="B698" s="229"/>
      <c r="C698" s="229"/>
      <c r="D698" s="229"/>
      <c r="E698" s="229"/>
      <c r="F698" s="229"/>
      <c r="G698" s="229"/>
      <c r="H698" s="229"/>
      <c r="I698" s="229"/>
      <c r="J698" s="229"/>
      <c r="K698" s="229"/>
      <c r="L698" s="229"/>
      <c r="M698" s="229"/>
      <c r="N698" s="229"/>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30"/>
      <c r="AK698" s="230"/>
      <c r="AL698" s="230"/>
      <c r="AM698" s="230"/>
      <c r="AN698" s="230"/>
      <c r="AO698" s="230"/>
      <c r="AP698" s="230"/>
      <c r="AQ698" s="230"/>
      <c r="AS698" s="231"/>
      <c r="AT698" s="231"/>
      <c r="AU698" s="231"/>
      <c r="AV698" s="231"/>
      <c r="AW698" s="231"/>
      <c r="AX698" s="231"/>
      <c r="AY698" s="231"/>
      <c r="AZ698" s="231"/>
      <c r="BA698" s="231"/>
      <c r="BC698" s="82"/>
      <c r="BD698" s="82"/>
      <c r="BE698" s="91"/>
      <c r="BF698" s="92"/>
      <c r="BG698" s="92"/>
      <c r="BH698" s="391"/>
      <c r="BI698" s="391"/>
      <c r="BJ698" s="391"/>
      <c r="BK698" s="391"/>
      <c r="BL698" s="391"/>
      <c r="BM698" s="391"/>
      <c r="BN698" s="391"/>
      <c r="BO698" s="391"/>
      <c r="BP698" s="391"/>
      <c r="BQ698" s="391"/>
      <c r="BR698" s="391"/>
      <c r="BS698" s="391"/>
      <c r="BT698" s="391"/>
      <c r="BU698" s="391"/>
      <c r="BV698" s="391"/>
      <c r="BW698" s="391"/>
      <c r="BX698" s="391"/>
      <c r="BY698" s="391"/>
      <c r="BZ698" s="391"/>
      <c r="CA698" s="391"/>
      <c r="CB698" s="391"/>
      <c r="CC698" s="391"/>
      <c r="CD698" s="391"/>
      <c r="CE698" s="391"/>
      <c r="CF698" s="391"/>
      <c r="CG698" s="391"/>
      <c r="CH698" s="391"/>
      <c r="CI698" s="391"/>
      <c r="CJ698" s="391"/>
      <c r="CK698" s="391"/>
      <c r="CL698" s="391"/>
      <c r="CM698" s="391"/>
      <c r="CN698" s="391"/>
      <c r="CO698" s="391"/>
      <c r="CP698" s="391"/>
      <c r="CQ698" s="391"/>
      <c r="CR698" s="391"/>
      <c r="CS698" s="391"/>
      <c r="CT698" s="391"/>
      <c r="CU698" s="391"/>
      <c r="CV698" s="391"/>
      <c r="CW698" s="391"/>
      <c r="CX698" s="391"/>
      <c r="CY698" s="391"/>
      <c r="CZ698" s="391"/>
      <c r="DA698" s="391"/>
      <c r="DB698" s="391"/>
      <c r="DC698" s="391"/>
      <c r="DD698" s="391"/>
      <c r="DE698" s="391"/>
      <c r="DF698" s="93"/>
      <c r="DG698" s="82"/>
    </row>
    <row r="699" spans="2:111" ht="9" customHeight="1">
      <c r="B699" s="229"/>
      <c r="C699" s="229"/>
      <c r="D699" s="229"/>
      <c r="E699" s="229"/>
      <c r="F699" s="229"/>
      <c r="G699" s="229"/>
      <c r="H699" s="229"/>
      <c r="I699" s="229"/>
      <c r="J699" s="229"/>
      <c r="K699" s="229"/>
      <c r="L699" s="229"/>
      <c r="M699" s="229"/>
      <c r="N699" s="229"/>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S699" s="231"/>
      <c r="AT699" s="231"/>
      <c r="AU699" s="231"/>
      <c r="AV699" s="231"/>
      <c r="AW699" s="231"/>
      <c r="AX699" s="231"/>
      <c r="AY699" s="231"/>
      <c r="AZ699" s="231"/>
      <c r="BA699" s="231"/>
      <c r="BC699" s="82"/>
      <c r="BD699" s="82"/>
      <c r="BE699" s="91"/>
      <c r="BF699" s="92"/>
      <c r="BG699" s="92"/>
      <c r="BH699" s="391"/>
      <c r="BI699" s="391"/>
      <c r="BJ699" s="391"/>
      <c r="BK699" s="391"/>
      <c r="BL699" s="391"/>
      <c r="BM699" s="391"/>
      <c r="BN699" s="391"/>
      <c r="BO699" s="391"/>
      <c r="BP699" s="391"/>
      <c r="BQ699" s="391"/>
      <c r="BR699" s="391"/>
      <c r="BS699" s="391"/>
      <c r="BT699" s="391"/>
      <c r="BU699" s="391"/>
      <c r="BV699" s="391"/>
      <c r="BW699" s="391"/>
      <c r="BX699" s="391"/>
      <c r="BY699" s="391"/>
      <c r="BZ699" s="391"/>
      <c r="CA699" s="391"/>
      <c r="CB699" s="391"/>
      <c r="CC699" s="391"/>
      <c r="CD699" s="391"/>
      <c r="CE699" s="391"/>
      <c r="CF699" s="391"/>
      <c r="CG699" s="391"/>
      <c r="CH699" s="391"/>
      <c r="CI699" s="391"/>
      <c r="CJ699" s="391"/>
      <c r="CK699" s="391"/>
      <c r="CL699" s="391"/>
      <c r="CM699" s="391"/>
      <c r="CN699" s="391"/>
      <c r="CO699" s="391"/>
      <c r="CP699" s="391"/>
      <c r="CQ699" s="391"/>
      <c r="CR699" s="391"/>
      <c r="CS699" s="391"/>
      <c r="CT699" s="391"/>
      <c r="CU699" s="391"/>
      <c r="CV699" s="391"/>
      <c r="CW699" s="391"/>
      <c r="CX699" s="391"/>
      <c r="CY699" s="391"/>
      <c r="CZ699" s="391"/>
      <c r="DA699" s="391"/>
      <c r="DB699" s="391"/>
      <c r="DC699" s="391"/>
      <c r="DD699" s="391"/>
      <c r="DE699" s="391"/>
      <c r="DF699" s="93"/>
      <c r="DG699" s="82"/>
    </row>
    <row r="700" spans="2:111" ht="9" customHeight="1">
      <c r="B700" s="229"/>
      <c r="C700" s="229"/>
      <c r="D700" s="229"/>
      <c r="E700" s="229"/>
      <c r="F700" s="229"/>
      <c r="G700" s="229"/>
      <c r="H700" s="229"/>
      <c r="I700" s="229"/>
      <c r="J700" s="229"/>
      <c r="K700" s="229"/>
      <c r="L700" s="229"/>
      <c r="M700" s="229"/>
      <c r="N700" s="229"/>
      <c r="P700" s="230"/>
      <c r="Q700" s="230"/>
      <c r="R700" s="230"/>
      <c r="S700" s="230"/>
      <c r="T700" s="230"/>
      <c r="U700" s="230"/>
      <c r="V700" s="230"/>
      <c r="W700" s="230"/>
      <c r="X700" s="230"/>
      <c r="Y700" s="230"/>
      <c r="Z700" s="230"/>
      <c r="AA700" s="230"/>
      <c r="AB700" s="230"/>
      <c r="AC700" s="230"/>
      <c r="AD700" s="230"/>
      <c r="AE700" s="230"/>
      <c r="AF700" s="230"/>
      <c r="AG700" s="230"/>
      <c r="AH700" s="230"/>
      <c r="AI700" s="230"/>
      <c r="AJ700" s="230"/>
      <c r="AK700" s="230"/>
      <c r="AL700" s="230"/>
      <c r="AM700" s="230"/>
      <c r="AN700" s="230"/>
      <c r="AO700" s="230"/>
      <c r="AP700" s="230"/>
      <c r="AQ700" s="230"/>
      <c r="AS700" s="231"/>
      <c r="AT700" s="231"/>
      <c r="AU700" s="231"/>
      <c r="AV700" s="231"/>
      <c r="AW700" s="231"/>
      <c r="AX700" s="231"/>
      <c r="AY700" s="231"/>
      <c r="AZ700" s="231"/>
      <c r="BA700" s="231"/>
      <c r="BC700" s="82"/>
      <c r="BD700" s="82"/>
      <c r="BE700" s="91"/>
      <c r="BF700" s="92"/>
      <c r="BG700" s="92"/>
      <c r="BH700" s="391"/>
      <c r="BI700" s="391"/>
      <c r="BJ700" s="391"/>
      <c r="BK700" s="391"/>
      <c r="BL700" s="391"/>
      <c r="BM700" s="391"/>
      <c r="BN700" s="391"/>
      <c r="BO700" s="391"/>
      <c r="BP700" s="391"/>
      <c r="BQ700" s="391"/>
      <c r="BR700" s="391"/>
      <c r="BS700" s="391"/>
      <c r="BT700" s="391"/>
      <c r="BU700" s="391"/>
      <c r="BV700" s="391"/>
      <c r="BW700" s="391"/>
      <c r="BX700" s="391"/>
      <c r="BY700" s="391"/>
      <c r="BZ700" s="391"/>
      <c r="CA700" s="391"/>
      <c r="CB700" s="391"/>
      <c r="CC700" s="391"/>
      <c r="CD700" s="391"/>
      <c r="CE700" s="391"/>
      <c r="CF700" s="391"/>
      <c r="CG700" s="391"/>
      <c r="CH700" s="391"/>
      <c r="CI700" s="391"/>
      <c r="CJ700" s="391"/>
      <c r="CK700" s="391"/>
      <c r="CL700" s="391"/>
      <c r="CM700" s="391"/>
      <c r="CN700" s="391"/>
      <c r="CO700" s="391"/>
      <c r="CP700" s="391"/>
      <c r="CQ700" s="391"/>
      <c r="CR700" s="391"/>
      <c r="CS700" s="391"/>
      <c r="CT700" s="391"/>
      <c r="CU700" s="391"/>
      <c r="CV700" s="391"/>
      <c r="CW700" s="391"/>
      <c r="CX700" s="391"/>
      <c r="CY700" s="391"/>
      <c r="CZ700" s="391"/>
      <c r="DA700" s="391"/>
      <c r="DB700" s="391"/>
      <c r="DC700" s="391"/>
      <c r="DD700" s="391"/>
      <c r="DE700" s="391"/>
      <c r="DF700" s="93"/>
      <c r="DG700" s="82"/>
    </row>
    <row r="701" spans="2:111" ht="12" customHeight="1">
      <c r="BC701" s="82"/>
      <c r="BD701" s="82"/>
      <c r="BE701" s="91"/>
      <c r="BF701" s="92"/>
      <c r="BG701" s="92"/>
      <c r="BH701" s="391"/>
      <c r="BI701" s="391"/>
      <c r="BJ701" s="391"/>
      <c r="BK701" s="391"/>
      <c r="BL701" s="391"/>
      <c r="BM701" s="391"/>
      <c r="BN701" s="391"/>
      <c r="BO701" s="391"/>
      <c r="BP701" s="391"/>
      <c r="BQ701" s="391"/>
      <c r="BR701" s="391"/>
      <c r="BS701" s="391"/>
      <c r="BT701" s="391"/>
      <c r="BU701" s="391"/>
      <c r="BV701" s="391"/>
      <c r="BW701" s="391"/>
      <c r="BX701" s="391"/>
      <c r="BY701" s="391"/>
      <c r="BZ701" s="391"/>
      <c r="CA701" s="391"/>
      <c r="CB701" s="391"/>
      <c r="CC701" s="391"/>
      <c r="CD701" s="391"/>
      <c r="CE701" s="391"/>
      <c r="CF701" s="391"/>
      <c r="CG701" s="391"/>
      <c r="CH701" s="391"/>
      <c r="CI701" s="391"/>
      <c r="CJ701" s="391"/>
      <c r="CK701" s="391"/>
      <c r="CL701" s="391"/>
      <c r="CM701" s="391"/>
      <c r="CN701" s="391"/>
      <c r="CO701" s="391"/>
      <c r="CP701" s="391"/>
      <c r="CQ701" s="391"/>
      <c r="CR701" s="391"/>
      <c r="CS701" s="391"/>
      <c r="CT701" s="391"/>
      <c r="CU701" s="391"/>
      <c r="CV701" s="391"/>
      <c r="CW701" s="391"/>
      <c r="CX701" s="391"/>
      <c r="CY701" s="391"/>
      <c r="CZ701" s="391"/>
      <c r="DA701" s="391"/>
      <c r="DB701" s="391"/>
      <c r="DC701" s="391"/>
      <c r="DD701" s="391"/>
      <c r="DE701" s="391"/>
      <c r="DF701" s="93"/>
      <c r="DG701" s="82"/>
    </row>
    <row r="702" spans="2:111" ht="9" customHeight="1">
      <c r="B702" s="243" t="str">
        <f>IF($U$629&gt;=4,"Etapa 1.4","")</f>
        <v>Etapa 1.4</v>
      </c>
      <c r="C702" s="243"/>
      <c r="D702" s="243"/>
      <c r="E702" s="243"/>
      <c r="F702" s="243"/>
      <c r="G702" s="243"/>
      <c r="H702" s="29"/>
      <c r="I702" s="241" t="s">
        <v>523</v>
      </c>
      <c r="J702" s="241"/>
      <c r="K702" s="241"/>
      <c r="L702" s="241"/>
      <c r="M702" s="241"/>
      <c r="N702" s="241"/>
      <c r="O702" s="241"/>
      <c r="P702" s="241"/>
      <c r="Q702" s="241"/>
      <c r="R702" s="241"/>
      <c r="S702" s="241"/>
      <c r="T702" s="241"/>
      <c r="U702" s="241"/>
      <c r="V702" s="241"/>
      <c r="W702" s="241"/>
      <c r="X702" s="241"/>
      <c r="Y702" s="241"/>
      <c r="Z702" s="241"/>
      <c r="AA702" s="241"/>
      <c r="AB702" s="241"/>
      <c r="AC702" s="241"/>
      <c r="AD702" s="241"/>
      <c r="AE702" s="241"/>
      <c r="AF702" s="241"/>
      <c r="AG702" s="241"/>
      <c r="AH702" s="241"/>
      <c r="AI702" s="241"/>
      <c r="AJ702" s="241"/>
      <c r="AK702" s="241"/>
      <c r="AL702" s="241"/>
      <c r="AM702" s="241"/>
      <c r="AN702" s="241"/>
      <c r="AO702" s="241"/>
      <c r="AP702" s="241"/>
      <c r="AQ702" s="241"/>
      <c r="AR702" s="29"/>
      <c r="AS702" s="237">
        <f>IF(SUM(AS708:BA723)=0,"",SUM(AS708:BA723))</f>
        <v>330170</v>
      </c>
      <c r="AT702" s="237"/>
      <c r="AU702" s="237"/>
      <c r="AV702" s="237"/>
      <c r="AW702" s="237"/>
      <c r="AX702" s="237"/>
      <c r="AY702" s="237"/>
      <c r="AZ702" s="237"/>
      <c r="BA702" s="237"/>
      <c r="BC702" s="82"/>
      <c r="BD702" s="82"/>
      <c r="BE702" s="91"/>
      <c r="BF702" s="92"/>
      <c r="BG702" s="92"/>
      <c r="BH702" s="391"/>
      <c r="BI702" s="391"/>
      <c r="BJ702" s="391"/>
      <c r="BK702" s="391"/>
      <c r="BL702" s="391"/>
      <c r="BM702" s="391"/>
      <c r="BN702" s="391"/>
      <c r="BO702" s="391"/>
      <c r="BP702" s="391"/>
      <c r="BQ702" s="391"/>
      <c r="BR702" s="391"/>
      <c r="BS702" s="391"/>
      <c r="BT702" s="391"/>
      <c r="BU702" s="391"/>
      <c r="BV702" s="391"/>
      <c r="BW702" s="391"/>
      <c r="BX702" s="391"/>
      <c r="BY702" s="391"/>
      <c r="BZ702" s="391"/>
      <c r="CA702" s="391"/>
      <c r="CB702" s="391"/>
      <c r="CC702" s="391"/>
      <c r="CD702" s="391"/>
      <c r="CE702" s="391"/>
      <c r="CF702" s="391"/>
      <c r="CG702" s="391"/>
      <c r="CH702" s="391"/>
      <c r="CI702" s="391"/>
      <c r="CJ702" s="391"/>
      <c r="CK702" s="391"/>
      <c r="CL702" s="391"/>
      <c r="CM702" s="391"/>
      <c r="CN702" s="391"/>
      <c r="CO702" s="391"/>
      <c r="CP702" s="391"/>
      <c r="CQ702" s="391"/>
      <c r="CR702" s="391"/>
      <c r="CS702" s="391"/>
      <c r="CT702" s="391"/>
      <c r="CU702" s="391"/>
      <c r="CV702" s="391"/>
      <c r="CW702" s="391"/>
      <c r="CX702" s="391"/>
      <c r="CY702" s="391"/>
      <c r="CZ702" s="391"/>
      <c r="DA702" s="391"/>
      <c r="DB702" s="391"/>
      <c r="DC702" s="391"/>
      <c r="DD702" s="391"/>
      <c r="DE702" s="391"/>
      <c r="DF702" s="93"/>
      <c r="DG702" s="82"/>
    </row>
    <row r="703" spans="2:111" ht="9" customHeight="1">
      <c r="B703" s="243"/>
      <c r="C703" s="243"/>
      <c r="D703" s="243"/>
      <c r="E703" s="243"/>
      <c r="F703" s="243"/>
      <c r="G703" s="243"/>
      <c r="H703" s="29"/>
      <c r="I703" s="241"/>
      <c r="J703" s="241"/>
      <c r="K703" s="241"/>
      <c r="L703" s="241"/>
      <c r="M703" s="241"/>
      <c r="N703" s="241"/>
      <c r="O703" s="241"/>
      <c r="P703" s="241"/>
      <c r="Q703" s="241"/>
      <c r="R703" s="241"/>
      <c r="S703" s="241"/>
      <c r="T703" s="241"/>
      <c r="U703" s="241"/>
      <c r="V703" s="241"/>
      <c r="W703" s="241"/>
      <c r="X703" s="241"/>
      <c r="Y703" s="241"/>
      <c r="Z703" s="241"/>
      <c r="AA703" s="241"/>
      <c r="AB703" s="241"/>
      <c r="AC703" s="241"/>
      <c r="AD703" s="241"/>
      <c r="AE703" s="241"/>
      <c r="AF703" s="241"/>
      <c r="AG703" s="241"/>
      <c r="AH703" s="241"/>
      <c r="AI703" s="241"/>
      <c r="AJ703" s="241"/>
      <c r="AK703" s="241"/>
      <c r="AL703" s="241"/>
      <c r="AM703" s="241"/>
      <c r="AN703" s="241"/>
      <c r="AO703" s="241"/>
      <c r="AP703" s="241"/>
      <c r="AQ703" s="241"/>
      <c r="AR703" s="29"/>
      <c r="AS703" s="237"/>
      <c r="AT703" s="237"/>
      <c r="AU703" s="237"/>
      <c r="AV703" s="237"/>
      <c r="AW703" s="237"/>
      <c r="AX703" s="237"/>
      <c r="AY703" s="237"/>
      <c r="AZ703" s="237"/>
      <c r="BA703" s="237"/>
      <c r="BC703" s="82"/>
      <c r="BD703" s="82"/>
      <c r="BE703" s="91"/>
      <c r="BF703" s="92"/>
      <c r="BG703" s="92"/>
      <c r="BH703" s="391"/>
      <c r="BI703" s="391"/>
      <c r="BJ703" s="391"/>
      <c r="BK703" s="391"/>
      <c r="BL703" s="391"/>
      <c r="BM703" s="391"/>
      <c r="BN703" s="391"/>
      <c r="BO703" s="391"/>
      <c r="BP703" s="391"/>
      <c r="BQ703" s="391"/>
      <c r="BR703" s="391"/>
      <c r="BS703" s="391"/>
      <c r="BT703" s="391"/>
      <c r="BU703" s="391"/>
      <c r="BV703" s="391"/>
      <c r="BW703" s="391"/>
      <c r="BX703" s="391"/>
      <c r="BY703" s="391"/>
      <c r="BZ703" s="391"/>
      <c r="CA703" s="391"/>
      <c r="CB703" s="391"/>
      <c r="CC703" s="391"/>
      <c r="CD703" s="391"/>
      <c r="CE703" s="391"/>
      <c r="CF703" s="391"/>
      <c r="CG703" s="391"/>
      <c r="CH703" s="391"/>
      <c r="CI703" s="391"/>
      <c r="CJ703" s="391"/>
      <c r="CK703" s="391"/>
      <c r="CL703" s="391"/>
      <c r="CM703" s="391"/>
      <c r="CN703" s="391"/>
      <c r="CO703" s="391"/>
      <c r="CP703" s="391"/>
      <c r="CQ703" s="391"/>
      <c r="CR703" s="391"/>
      <c r="CS703" s="391"/>
      <c r="CT703" s="391"/>
      <c r="CU703" s="391"/>
      <c r="CV703" s="391"/>
      <c r="CW703" s="391"/>
      <c r="CX703" s="391"/>
      <c r="CY703" s="391"/>
      <c r="CZ703" s="391"/>
      <c r="DA703" s="391"/>
      <c r="DB703" s="391"/>
      <c r="DC703" s="391"/>
      <c r="DD703" s="391"/>
      <c r="DE703" s="391"/>
      <c r="DF703" s="93"/>
      <c r="DG703" s="82"/>
    </row>
    <row r="704" spans="2:111" ht="4.5" customHeight="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C704" s="82"/>
      <c r="BD704" s="82"/>
      <c r="BE704" s="91"/>
      <c r="BF704" s="92"/>
      <c r="BG704" s="92"/>
      <c r="BH704" s="391"/>
      <c r="BI704" s="391"/>
      <c r="BJ704" s="391"/>
      <c r="BK704" s="391"/>
      <c r="BL704" s="391"/>
      <c r="BM704" s="391"/>
      <c r="BN704" s="391"/>
      <c r="BO704" s="391"/>
      <c r="BP704" s="391"/>
      <c r="BQ704" s="391"/>
      <c r="BR704" s="391"/>
      <c r="BS704" s="391"/>
      <c r="BT704" s="391"/>
      <c r="BU704" s="391"/>
      <c r="BV704" s="391"/>
      <c r="BW704" s="391"/>
      <c r="BX704" s="391"/>
      <c r="BY704" s="391"/>
      <c r="BZ704" s="391"/>
      <c r="CA704" s="391"/>
      <c r="CB704" s="391"/>
      <c r="CC704" s="391"/>
      <c r="CD704" s="391"/>
      <c r="CE704" s="391"/>
      <c r="CF704" s="391"/>
      <c r="CG704" s="391"/>
      <c r="CH704" s="391"/>
      <c r="CI704" s="391"/>
      <c r="CJ704" s="391"/>
      <c r="CK704" s="391"/>
      <c r="CL704" s="391"/>
      <c r="CM704" s="391"/>
      <c r="CN704" s="391"/>
      <c r="CO704" s="391"/>
      <c r="CP704" s="391"/>
      <c r="CQ704" s="391"/>
      <c r="CR704" s="391"/>
      <c r="CS704" s="391"/>
      <c r="CT704" s="391"/>
      <c r="CU704" s="391"/>
      <c r="CV704" s="391"/>
      <c r="CW704" s="391"/>
      <c r="CX704" s="391"/>
      <c r="CY704" s="391"/>
      <c r="CZ704" s="391"/>
      <c r="DA704" s="391"/>
      <c r="DB704" s="391"/>
      <c r="DC704" s="391"/>
      <c r="DD704" s="391"/>
      <c r="DE704" s="391"/>
      <c r="DF704" s="94"/>
      <c r="DG704" s="82"/>
    </row>
    <row r="705" spans="2:111" ht="9" customHeight="1">
      <c r="B705" s="29"/>
      <c r="C705" s="29"/>
      <c r="D705" s="29"/>
      <c r="E705" s="29"/>
      <c r="F705" s="29"/>
      <c r="G705" s="29"/>
      <c r="H705" s="29"/>
      <c r="I705" s="242" t="str">
        <f>IF($U$629&gt;=4,"Início:","")</f>
        <v>Início:</v>
      </c>
      <c r="J705" s="242"/>
      <c r="K705" s="242"/>
      <c r="L705" s="242"/>
      <c r="M705" s="242"/>
      <c r="N705" s="242"/>
      <c r="O705" s="29"/>
      <c r="P705" s="235">
        <v>43983</v>
      </c>
      <c r="Q705" s="235"/>
      <c r="R705" s="235"/>
      <c r="S705" s="235"/>
      <c r="T705" s="235"/>
      <c r="U705" s="235"/>
      <c r="V705" s="235"/>
      <c r="W705" s="235"/>
      <c r="X705" s="29"/>
      <c r="Y705" s="242" t="str">
        <f>IF($U$629&gt;=4,"Término:","")</f>
        <v>Término:</v>
      </c>
      <c r="Z705" s="242"/>
      <c r="AA705" s="242"/>
      <c r="AB705" s="242"/>
      <c r="AC705" s="242"/>
      <c r="AD705" s="242"/>
      <c r="AE705" s="29"/>
      <c r="AF705" s="235">
        <v>44348</v>
      </c>
      <c r="AG705" s="235"/>
      <c r="AH705" s="235"/>
      <c r="AI705" s="235"/>
      <c r="AJ705" s="235"/>
      <c r="AK705" s="235"/>
      <c r="AL705" s="235"/>
      <c r="AM705" s="235"/>
      <c r="AN705" s="29"/>
      <c r="AO705" s="29"/>
      <c r="AP705" s="29"/>
      <c r="AQ705" s="29"/>
      <c r="AR705" s="29"/>
      <c r="AS705" s="29"/>
      <c r="AT705" s="29"/>
      <c r="AU705" s="29"/>
      <c r="AV705" s="29"/>
      <c r="AW705" s="244" t="str">
        <f>IF($U$629&gt;=4,"Valor (R$):","")</f>
        <v>Valor (R$):</v>
      </c>
      <c r="AX705" s="244"/>
      <c r="AY705" s="244"/>
      <c r="AZ705" s="244"/>
      <c r="BA705" s="244"/>
      <c r="BC705" s="82"/>
      <c r="BD705" s="82"/>
      <c r="BE705" s="91"/>
      <c r="BF705" s="92"/>
      <c r="BG705" s="92"/>
      <c r="BH705" s="96"/>
      <c r="BI705" s="96"/>
      <c r="BJ705" s="96"/>
      <c r="BK705" s="96"/>
      <c r="BL705" s="96"/>
      <c r="BM705" s="96"/>
      <c r="BN705" s="96"/>
      <c r="BO705" s="96"/>
      <c r="BP705" s="96"/>
      <c r="BQ705" s="96"/>
      <c r="BR705" s="96"/>
      <c r="BS705" s="96"/>
      <c r="BT705" s="96"/>
      <c r="BU705" s="96"/>
      <c r="BV705" s="96"/>
      <c r="BW705" s="96"/>
      <c r="BX705" s="96"/>
      <c r="BY705" s="96"/>
      <c r="BZ705" s="96"/>
      <c r="CA705" s="96"/>
      <c r="CB705" s="96"/>
      <c r="CC705" s="96"/>
      <c r="CD705" s="96"/>
      <c r="CE705" s="96"/>
      <c r="CF705" s="96"/>
      <c r="CG705" s="96"/>
      <c r="CH705" s="96"/>
      <c r="CI705" s="96"/>
      <c r="CJ705" s="96"/>
      <c r="CK705" s="96"/>
      <c r="CL705" s="96"/>
      <c r="CM705" s="96"/>
      <c r="CN705" s="96"/>
      <c r="CO705" s="96"/>
      <c r="CP705" s="96"/>
      <c r="CQ705" s="96"/>
      <c r="CR705" s="96"/>
      <c r="CS705" s="96"/>
      <c r="CT705" s="96"/>
      <c r="CU705" s="96"/>
      <c r="CV705" s="96"/>
      <c r="CW705" s="96"/>
      <c r="CX705" s="96"/>
      <c r="CY705" s="96"/>
      <c r="CZ705" s="96"/>
      <c r="DA705" s="96"/>
      <c r="DB705" s="96"/>
      <c r="DC705" s="96"/>
      <c r="DD705" s="96"/>
      <c r="DE705" s="96"/>
      <c r="DF705" s="94"/>
      <c r="DG705" s="82"/>
    </row>
    <row r="706" spans="2:111" ht="9" customHeight="1">
      <c r="B706" s="29"/>
      <c r="C706" s="29"/>
      <c r="D706" s="29"/>
      <c r="E706" s="29"/>
      <c r="F706" s="29"/>
      <c r="G706" s="29"/>
      <c r="H706" s="29"/>
      <c r="I706" s="242"/>
      <c r="J706" s="242"/>
      <c r="K706" s="242"/>
      <c r="L706" s="242"/>
      <c r="M706" s="242"/>
      <c r="N706" s="242"/>
      <c r="O706" s="29"/>
      <c r="P706" s="235"/>
      <c r="Q706" s="235"/>
      <c r="R706" s="235"/>
      <c r="S706" s="235"/>
      <c r="T706" s="235"/>
      <c r="U706" s="235"/>
      <c r="V706" s="235"/>
      <c r="W706" s="235"/>
      <c r="X706" s="29"/>
      <c r="Y706" s="242"/>
      <c r="Z706" s="242"/>
      <c r="AA706" s="242"/>
      <c r="AB706" s="242"/>
      <c r="AC706" s="242"/>
      <c r="AD706" s="242"/>
      <c r="AE706" s="29"/>
      <c r="AF706" s="235"/>
      <c r="AG706" s="235"/>
      <c r="AH706" s="235"/>
      <c r="AI706" s="235"/>
      <c r="AJ706" s="235"/>
      <c r="AK706" s="235"/>
      <c r="AL706" s="235"/>
      <c r="AM706" s="235"/>
      <c r="AN706" s="29"/>
      <c r="AO706" s="29"/>
      <c r="AP706" s="29"/>
      <c r="AQ706" s="29"/>
      <c r="AR706" s="29"/>
      <c r="AS706" s="29"/>
      <c r="AT706" s="29"/>
      <c r="AU706" s="29"/>
      <c r="AV706" s="29"/>
      <c r="AW706" s="244"/>
      <c r="AX706" s="244"/>
      <c r="AY706" s="244"/>
      <c r="AZ706" s="244"/>
      <c r="BA706" s="244"/>
      <c r="BC706" s="82"/>
      <c r="BD706" s="82"/>
      <c r="BE706" s="91"/>
      <c r="BF706" s="383" t="s">
        <v>319</v>
      </c>
      <c r="BG706" s="384"/>
      <c r="BH706" s="381" t="s">
        <v>320</v>
      </c>
      <c r="BI706" s="381"/>
      <c r="BJ706" s="381"/>
      <c r="BK706" s="381"/>
      <c r="BL706" s="381"/>
      <c r="BM706" s="381"/>
      <c r="BN706" s="381"/>
      <c r="BO706" s="381"/>
      <c r="BP706" s="381"/>
      <c r="BQ706" s="381"/>
      <c r="BR706" s="381"/>
      <c r="BS706" s="381"/>
      <c r="BT706" s="381"/>
      <c r="BU706" s="381"/>
      <c r="BV706" s="381"/>
      <c r="BW706" s="381"/>
      <c r="BX706" s="381"/>
      <c r="BY706" s="381"/>
      <c r="BZ706" s="381"/>
      <c r="CA706" s="381"/>
      <c r="CB706" s="381"/>
      <c r="CC706" s="381"/>
      <c r="CD706" s="381"/>
      <c r="CE706" s="381"/>
      <c r="CF706" s="381"/>
      <c r="CG706" s="381"/>
      <c r="CH706" s="381"/>
      <c r="CI706" s="381"/>
      <c r="CJ706" s="381"/>
      <c r="CK706" s="381"/>
      <c r="CL706" s="381"/>
      <c r="CM706" s="381"/>
      <c r="CN706" s="381"/>
      <c r="CO706" s="381"/>
      <c r="CP706" s="381"/>
      <c r="CQ706" s="381"/>
      <c r="CR706" s="381"/>
      <c r="CS706" s="381"/>
      <c r="CT706" s="381"/>
      <c r="CU706" s="381"/>
      <c r="CV706" s="381"/>
      <c r="CW706" s="381"/>
      <c r="CX706" s="381"/>
      <c r="CY706" s="381"/>
      <c r="CZ706" s="381"/>
      <c r="DA706" s="381"/>
      <c r="DB706" s="381"/>
      <c r="DC706" s="381"/>
      <c r="DD706" s="381"/>
      <c r="DE706" s="381"/>
      <c r="DF706" s="382"/>
      <c r="DG706" s="82"/>
    </row>
    <row r="707" spans="2:111" ht="4.5" customHeight="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C707" s="82"/>
      <c r="BD707" s="82"/>
      <c r="BE707" s="91"/>
      <c r="BF707" s="384"/>
      <c r="BG707" s="384"/>
      <c r="BH707" s="381"/>
      <c r="BI707" s="381"/>
      <c r="BJ707" s="381"/>
      <c r="BK707" s="381"/>
      <c r="BL707" s="381"/>
      <c r="BM707" s="381"/>
      <c r="BN707" s="381"/>
      <c r="BO707" s="381"/>
      <c r="BP707" s="381"/>
      <c r="BQ707" s="381"/>
      <c r="BR707" s="381"/>
      <c r="BS707" s="381"/>
      <c r="BT707" s="381"/>
      <c r="BU707" s="381"/>
      <c r="BV707" s="381"/>
      <c r="BW707" s="381"/>
      <c r="BX707" s="381"/>
      <c r="BY707" s="381"/>
      <c r="BZ707" s="381"/>
      <c r="CA707" s="381"/>
      <c r="CB707" s="381"/>
      <c r="CC707" s="381"/>
      <c r="CD707" s="381"/>
      <c r="CE707" s="381"/>
      <c r="CF707" s="381"/>
      <c r="CG707" s="381"/>
      <c r="CH707" s="381"/>
      <c r="CI707" s="381"/>
      <c r="CJ707" s="381"/>
      <c r="CK707" s="381"/>
      <c r="CL707" s="381"/>
      <c r="CM707" s="381"/>
      <c r="CN707" s="381"/>
      <c r="CO707" s="381"/>
      <c r="CP707" s="381"/>
      <c r="CQ707" s="381"/>
      <c r="CR707" s="381"/>
      <c r="CS707" s="381"/>
      <c r="CT707" s="381"/>
      <c r="CU707" s="381"/>
      <c r="CV707" s="381"/>
      <c r="CW707" s="381"/>
      <c r="CX707" s="381"/>
      <c r="CY707" s="381"/>
      <c r="CZ707" s="381"/>
      <c r="DA707" s="381"/>
      <c r="DB707" s="381"/>
      <c r="DC707" s="381"/>
      <c r="DD707" s="381"/>
      <c r="DE707" s="381"/>
      <c r="DF707" s="382"/>
      <c r="DG707" s="82"/>
    </row>
    <row r="708" spans="2:111" ht="9" customHeight="1">
      <c r="B708" s="242" t="str">
        <f>IF($U$629&gt;=4,"Elementos de Despesa:","")</f>
        <v>Elementos de Despesa:</v>
      </c>
      <c r="C708" s="242"/>
      <c r="D708" s="242"/>
      <c r="E708" s="242"/>
      <c r="F708" s="242"/>
      <c r="G708" s="242"/>
      <c r="H708" s="242"/>
      <c r="I708" s="242"/>
      <c r="J708" s="242"/>
      <c r="K708" s="242"/>
      <c r="L708" s="242"/>
      <c r="M708" s="242"/>
      <c r="N708" s="242"/>
      <c r="O708" s="29"/>
      <c r="P708" s="230" t="s">
        <v>216</v>
      </c>
      <c r="Q708" s="230"/>
      <c r="R708" s="230"/>
      <c r="S708" s="230"/>
      <c r="T708" s="230"/>
      <c r="U708" s="230"/>
      <c r="V708" s="230"/>
      <c r="W708" s="230"/>
      <c r="X708" s="230"/>
      <c r="Y708" s="230"/>
      <c r="Z708" s="230"/>
      <c r="AA708" s="230"/>
      <c r="AB708" s="230"/>
      <c r="AC708" s="230"/>
      <c r="AD708" s="230"/>
      <c r="AE708" s="230"/>
      <c r="AF708" s="230"/>
      <c r="AG708" s="230"/>
      <c r="AH708" s="230"/>
      <c r="AI708" s="230"/>
      <c r="AJ708" s="230"/>
      <c r="AK708" s="230"/>
      <c r="AL708" s="230"/>
      <c r="AM708" s="230"/>
      <c r="AN708" s="230"/>
      <c r="AO708" s="230"/>
      <c r="AP708" s="230"/>
      <c r="AQ708" s="230"/>
      <c r="AR708" s="29"/>
      <c r="AS708" s="231">
        <v>330170</v>
      </c>
      <c r="AT708" s="231"/>
      <c r="AU708" s="231"/>
      <c r="AV708" s="231"/>
      <c r="AW708" s="231"/>
      <c r="AX708" s="231"/>
      <c r="AY708" s="231"/>
      <c r="AZ708" s="231"/>
      <c r="BA708" s="231"/>
      <c r="BC708" s="82"/>
      <c r="BD708" s="82"/>
      <c r="BE708" s="91"/>
      <c r="BF708" s="92"/>
      <c r="BG708" s="92"/>
      <c r="BH708" s="381"/>
      <c r="BI708" s="381"/>
      <c r="BJ708" s="381"/>
      <c r="BK708" s="381"/>
      <c r="BL708" s="381"/>
      <c r="BM708" s="381"/>
      <c r="BN708" s="381"/>
      <c r="BO708" s="381"/>
      <c r="BP708" s="381"/>
      <c r="BQ708" s="381"/>
      <c r="BR708" s="381"/>
      <c r="BS708" s="381"/>
      <c r="BT708" s="381"/>
      <c r="BU708" s="381"/>
      <c r="BV708" s="381"/>
      <c r="BW708" s="381"/>
      <c r="BX708" s="381"/>
      <c r="BY708" s="381"/>
      <c r="BZ708" s="381"/>
      <c r="CA708" s="381"/>
      <c r="CB708" s="381"/>
      <c r="CC708" s="381"/>
      <c r="CD708" s="381"/>
      <c r="CE708" s="381"/>
      <c r="CF708" s="381"/>
      <c r="CG708" s="381"/>
      <c r="CH708" s="381"/>
      <c r="CI708" s="381"/>
      <c r="CJ708" s="381"/>
      <c r="CK708" s="381"/>
      <c r="CL708" s="381"/>
      <c r="CM708" s="381"/>
      <c r="CN708" s="381"/>
      <c r="CO708" s="381"/>
      <c r="CP708" s="381"/>
      <c r="CQ708" s="381"/>
      <c r="CR708" s="381"/>
      <c r="CS708" s="381"/>
      <c r="CT708" s="381"/>
      <c r="CU708" s="381"/>
      <c r="CV708" s="381"/>
      <c r="CW708" s="381"/>
      <c r="CX708" s="381"/>
      <c r="CY708" s="381"/>
      <c r="CZ708" s="381"/>
      <c r="DA708" s="381"/>
      <c r="DB708" s="381"/>
      <c r="DC708" s="381"/>
      <c r="DD708" s="381"/>
      <c r="DE708" s="381"/>
      <c r="DF708" s="382"/>
      <c r="DG708" s="82"/>
    </row>
    <row r="709" spans="2:111" ht="9" customHeight="1">
      <c r="B709" s="242"/>
      <c r="C709" s="242"/>
      <c r="D709" s="242"/>
      <c r="E709" s="242"/>
      <c r="F709" s="242"/>
      <c r="G709" s="242"/>
      <c r="H709" s="242"/>
      <c r="I709" s="242"/>
      <c r="J709" s="242"/>
      <c r="K709" s="242"/>
      <c r="L709" s="242"/>
      <c r="M709" s="242"/>
      <c r="N709" s="242"/>
      <c r="O709" s="29"/>
      <c r="P709" s="230"/>
      <c r="Q709" s="230"/>
      <c r="R709" s="230"/>
      <c r="S709" s="230"/>
      <c r="T709" s="230"/>
      <c r="U709" s="230"/>
      <c r="V709" s="230"/>
      <c r="W709" s="230"/>
      <c r="X709" s="230"/>
      <c r="Y709" s="230"/>
      <c r="Z709" s="230"/>
      <c r="AA709" s="230"/>
      <c r="AB709" s="230"/>
      <c r="AC709" s="230"/>
      <c r="AD709" s="230"/>
      <c r="AE709" s="230"/>
      <c r="AF709" s="230"/>
      <c r="AG709" s="230"/>
      <c r="AH709" s="230"/>
      <c r="AI709" s="230"/>
      <c r="AJ709" s="230"/>
      <c r="AK709" s="230"/>
      <c r="AL709" s="230"/>
      <c r="AM709" s="230"/>
      <c r="AN709" s="230"/>
      <c r="AO709" s="230"/>
      <c r="AP709" s="230"/>
      <c r="AQ709" s="230"/>
      <c r="AR709" s="29"/>
      <c r="AS709" s="231"/>
      <c r="AT709" s="231"/>
      <c r="AU709" s="231"/>
      <c r="AV709" s="231"/>
      <c r="AW709" s="231"/>
      <c r="AX709" s="231"/>
      <c r="AY709" s="231"/>
      <c r="AZ709" s="231"/>
      <c r="BA709" s="231"/>
      <c r="BC709" s="82"/>
      <c r="BD709" s="82"/>
      <c r="BE709" s="91"/>
      <c r="BF709" s="92"/>
      <c r="BG709" s="92"/>
      <c r="BH709" s="381"/>
      <c r="BI709" s="381"/>
      <c r="BJ709" s="381"/>
      <c r="BK709" s="381"/>
      <c r="BL709" s="381"/>
      <c r="BM709" s="381"/>
      <c r="BN709" s="381"/>
      <c r="BO709" s="381"/>
      <c r="BP709" s="381"/>
      <c r="BQ709" s="381"/>
      <c r="BR709" s="381"/>
      <c r="BS709" s="381"/>
      <c r="BT709" s="381"/>
      <c r="BU709" s="381"/>
      <c r="BV709" s="381"/>
      <c r="BW709" s="381"/>
      <c r="BX709" s="381"/>
      <c r="BY709" s="381"/>
      <c r="BZ709" s="381"/>
      <c r="CA709" s="381"/>
      <c r="CB709" s="381"/>
      <c r="CC709" s="381"/>
      <c r="CD709" s="381"/>
      <c r="CE709" s="381"/>
      <c r="CF709" s="381"/>
      <c r="CG709" s="381"/>
      <c r="CH709" s="381"/>
      <c r="CI709" s="381"/>
      <c r="CJ709" s="381"/>
      <c r="CK709" s="381"/>
      <c r="CL709" s="381"/>
      <c r="CM709" s="381"/>
      <c r="CN709" s="381"/>
      <c r="CO709" s="381"/>
      <c r="CP709" s="381"/>
      <c r="CQ709" s="381"/>
      <c r="CR709" s="381"/>
      <c r="CS709" s="381"/>
      <c r="CT709" s="381"/>
      <c r="CU709" s="381"/>
      <c r="CV709" s="381"/>
      <c r="CW709" s="381"/>
      <c r="CX709" s="381"/>
      <c r="CY709" s="381"/>
      <c r="CZ709" s="381"/>
      <c r="DA709" s="381"/>
      <c r="DB709" s="381"/>
      <c r="DC709" s="381"/>
      <c r="DD709" s="381"/>
      <c r="DE709" s="381"/>
      <c r="DF709" s="382"/>
      <c r="DG709" s="82"/>
    </row>
    <row r="710" spans="2:111" ht="9" customHeight="1">
      <c r="B710" s="242"/>
      <c r="C710" s="242"/>
      <c r="D710" s="242"/>
      <c r="E710" s="242"/>
      <c r="F710" s="242"/>
      <c r="G710" s="242"/>
      <c r="H710" s="242"/>
      <c r="I710" s="242"/>
      <c r="J710" s="242"/>
      <c r="K710" s="242"/>
      <c r="L710" s="242"/>
      <c r="M710" s="242"/>
      <c r="N710" s="242"/>
      <c r="O710" s="29"/>
      <c r="P710" s="230"/>
      <c r="Q710" s="230"/>
      <c r="R710" s="230"/>
      <c r="S710" s="230"/>
      <c r="T710" s="230"/>
      <c r="U710" s="230"/>
      <c r="V710" s="230"/>
      <c r="W710" s="230"/>
      <c r="X710" s="230"/>
      <c r="Y710" s="230"/>
      <c r="Z710" s="230"/>
      <c r="AA710" s="230"/>
      <c r="AB710" s="230"/>
      <c r="AC710" s="230"/>
      <c r="AD710" s="230"/>
      <c r="AE710" s="230"/>
      <c r="AF710" s="230"/>
      <c r="AG710" s="230"/>
      <c r="AH710" s="230"/>
      <c r="AI710" s="230"/>
      <c r="AJ710" s="230"/>
      <c r="AK710" s="230"/>
      <c r="AL710" s="230"/>
      <c r="AM710" s="230"/>
      <c r="AN710" s="230"/>
      <c r="AO710" s="230"/>
      <c r="AP710" s="230"/>
      <c r="AQ710" s="230"/>
      <c r="AR710" s="29"/>
      <c r="AS710" s="231"/>
      <c r="AT710" s="231"/>
      <c r="AU710" s="231"/>
      <c r="AV710" s="231"/>
      <c r="AW710" s="231"/>
      <c r="AX710" s="231"/>
      <c r="AY710" s="231"/>
      <c r="AZ710" s="231"/>
      <c r="BA710" s="231"/>
      <c r="BC710" s="82"/>
      <c r="BD710" s="82"/>
      <c r="BE710" s="91"/>
      <c r="BF710" s="92"/>
      <c r="BG710" s="92"/>
      <c r="BH710" s="381"/>
      <c r="BI710" s="381"/>
      <c r="BJ710" s="381"/>
      <c r="BK710" s="381"/>
      <c r="BL710" s="381"/>
      <c r="BM710" s="381"/>
      <c r="BN710" s="381"/>
      <c r="BO710" s="381"/>
      <c r="BP710" s="381"/>
      <c r="BQ710" s="381"/>
      <c r="BR710" s="381"/>
      <c r="BS710" s="381"/>
      <c r="BT710" s="381"/>
      <c r="BU710" s="381"/>
      <c r="BV710" s="381"/>
      <c r="BW710" s="381"/>
      <c r="BX710" s="381"/>
      <c r="BY710" s="381"/>
      <c r="BZ710" s="381"/>
      <c r="CA710" s="381"/>
      <c r="CB710" s="381"/>
      <c r="CC710" s="381"/>
      <c r="CD710" s="381"/>
      <c r="CE710" s="381"/>
      <c r="CF710" s="381"/>
      <c r="CG710" s="381"/>
      <c r="CH710" s="381"/>
      <c r="CI710" s="381"/>
      <c r="CJ710" s="381"/>
      <c r="CK710" s="381"/>
      <c r="CL710" s="381"/>
      <c r="CM710" s="381"/>
      <c r="CN710" s="381"/>
      <c r="CO710" s="381"/>
      <c r="CP710" s="381"/>
      <c r="CQ710" s="381"/>
      <c r="CR710" s="381"/>
      <c r="CS710" s="381"/>
      <c r="CT710" s="381"/>
      <c r="CU710" s="381"/>
      <c r="CV710" s="381"/>
      <c r="CW710" s="381"/>
      <c r="CX710" s="381"/>
      <c r="CY710" s="381"/>
      <c r="CZ710" s="381"/>
      <c r="DA710" s="381"/>
      <c r="DB710" s="381"/>
      <c r="DC710" s="381"/>
      <c r="DD710" s="381"/>
      <c r="DE710" s="381"/>
      <c r="DF710" s="382"/>
      <c r="DG710" s="82"/>
    </row>
    <row r="711" spans="2:111" ht="9" customHeight="1">
      <c r="B711" s="242"/>
      <c r="C711" s="242"/>
      <c r="D711" s="242"/>
      <c r="E711" s="242"/>
      <c r="F711" s="242"/>
      <c r="G711" s="242"/>
      <c r="H711" s="242"/>
      <c r="I711" s="242"/>
      <c r="J711" s="242"/>
      <c r="K711" s="242"/>
      <c r="L711" s="242"/>
      <c r="M711" s="242"/>
      <c r="N711" s="242"/>
      <c r="O711" s="29"/>
      <c r="P711" s="230"/>
      <c r="Q711" s="230"/>
      <c r="R711" s="230"/>
      <c r="S711" s="230"/>
      <c r="T711" s="230"/>
      <c r="U711" s="230"/>
      <c r="V711" s="230"/>
      <c r="W711" s="230"/>
      <c r="X711" s="230"/>
      <c r="Y711" s="230"/>
      <c r="Z711" s="230"/>
      <c r="AA711" s="230"/>
      <c r="AB711" s="230"/>
      <c r="AC711" s="230"/>
      <c r="AD711" s="230"/>
      <c r="AE711" s="230"/>
      <c r="AF711" s="230"/>
      <c r="AG711" s="230"/>
      <c r="AH711" s="230"/>
      <c r="AI711" s="230"/>
      <c r="AJ711" s="230"/>
      <c r="AK711" s="230"/>
      <c r="AL711" s="230"/>
      <c r="AM711" s="230"/>
      <c r="AN711" s="230"/>
      <c r="AO711" s="230"/>
      <c r="AP711" s="230"/>
      <c r="AQ711" s="230"/>
      <c r="AR711" s="29"/>
      <c r="AS711" s="231"/>
      <c r="AT711" s="231"/>
      <c r="AU711" s="231"/>
      <c r="AV711" s="231"/>
      <c r="AW711" s="231"/>
      <c r="AX711" s="231"/>
      <c r="AY711" s="231"/>
      <c r="AZ711" s="231"/>
      <c r="BA711" s="231"/>
      <c r="BC711" s="82"/>
      <c r="BD711" s="82"/>
      <c r="BE711" s="97"/>
      <c r="BF711" s="98"/>
      <c r="BG711" s="98"/>
      <c r="BH711" s="99"/>
      <c r="BI711" s="99"/>
      <c r="BJ711" s="99"/>
      <c r="BK711" s="99"/>
      <c r="BL711" s="99"/>
      <c r="BM711" s="99"/>
      <c r="BN711" s="99"/>
      <c r="BO711" s="99"/>
      <c r="BP711" s="99"/>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c r="CT711" s="99"/>
      <c r="CU711" s="99"/>
      <c r="CV711" s="99"/>
      <c r="CW711" s="99"/>
      <c r="CX711" s="99"/>
      <c r="CY711" s="99"/>
      <c r="CZ711" s="99"/>
      <c r="DA711" s="99"/>
      <c r="DB711" s="99"/>
      <c r="DC711" s="99"/>
      <c r="DD711" s="99"/>
      <c r="DE711" s="99"/>
      <c r="DF711" s="100"/>
      <c r="DG711" s="82"/>
    </row>
    <row r="712" spans="2:111" ht="9" customHeight="1">
      <c r="B712" s="242"/>
      <c r="C712" s="242"/>
      <c r="D712" s="242"/>
      <c r="E712" s="242"/>
      <c r="F712" s="242"/>
      <c r="G712" s="242"/>
      <c r="H712" s="242"/>
      <c r="I712" s="242"/>
      <c r="J712" s="242"/>
      <c r="K712" s="242"/>
      <c r="L712" s="242"/>
      <c r="M712" s="242"/>
      <c r="N712" s="242"/>
      <c r="O712" s="29"/>
      <c r="P712" s="230"/>
      <c r="Q712" s="230"/>
      <c r="R712" s="230"/>
      <c r="S712" s="230"/>
      <c r="T712" s="230"/>
      <c r="U712" s="230"/>
      <c r="V712" s="230"/>
      <c r="W712" s="230"/>
      <c r="X712" s="230"/>
      <c r="Y712" s="230"/>
      <c r="Z712" s="230"/>
      <c r="AA712" s="230"/>
      <c r="AB712" s="230"/>
      <c r="AC712" s="230"/>
      <c r="AD712" s="230"/>
      <c r="AE712" s="230"/>
      <c r="AF712" s="230"/>
      <c r="AG712" s="230"/>
      <c r="AH712" s="230"/>
      <c r="AI712" s="230"/>
      <c r="AJ712" s="230"/>
      <c r="AK712" s="230"/>
      <c r="AL712" s="230"/>
      <c r="AM712" s="230"/>
      <c r="AN712" s="230"/>
      <c r="AO712" s="230"/>
      <c r="AP712" s="230"/>
      <c r="AQ712" s="230"/>
      <c r="AR712" s="29"/>
      <c r="AS712" s="231"/>
      <c r="AT712" s="231"/>
      <c r="AU712" s="231"/>
      <c r="AV712" s="231"/>
      <c r="AW712" s="231"/>
      <c r="AX712" s="231"/>
      <c r="AY712" s="231"/>
      <c r="AZ712" s="231"/>
      <c r="BA712" s="231"/>
      <c r="BC712" s="82"/>
      <c r="BD712" s="82"/>
      <c r="BE712" s="82"/>
      <c r="BF712" s="82"/>
      <c r="BG712" s="82"/>
      <c r="BH712" s="82"/>
      <c r="BI712" s="82"/>
      <c r="BJ712" s="82"/>
      <c r="BK712" s="82"/>
      <c r="BL712" s="82"/>
      <c r="BM712" s="82"/>
      <c r="BN712" s="82"/>
      <c r="BO712" s="82"/>
      <c r="BP712" s="82"/>
      <c r="BQ712" s="82"/>
      <c r="BR712" s="82"/>
      <c r="BS712" s="82"/>
      <c r="BT712" s="82"/>
      <c r="BU712" s="82"/>
      <c r="BV712" s="82"/>
      <c r="BW712" s="82"/>
      <c r="BX712" s="82"/>
      <c r="BY712" s="82"/>
      <c r="BZ712" s="82"/>
      <c r="CA712" s="82"/>
      <c r="CB712" s="82"/>
      <c r="CC712" s="82"/>
      <c r="CD712" s="82"/>
      <c r="CE712" s="82"/>
      <c r="CF712" s="82"/>
      <c r="CG712" s="82"/>
      <c r="CH712" s="82"/>
      <c r="CI712" s="82"/>
      <c r="CJ712" s="82"/>
      <c r="CK712" s="82"/>
      <c r="CL712" s="82"/>
      <c r="CM712" s="82"/>
      <c r="CN712" s="82"/>
      <c r="CO712" s="82"/>
      <c r="CP712" s="82"/>
      <c r="CQ712" s="82"/>
      <c r="CR712" s="82"/>
      <c r="CS712" s="82"/>
      <c r="CT712" s="82"/>
      <c r="CU712" s="82"/>
      <c r="CV712" s="82"/>
      <c r="CW712" s="82"/>
      <c r="CX712" s="82"/>
      <c r="CY712" s="82"/>
      <c r="CZ712" s="82"/>
      <c r="DA712" s="82"/>
      <c r="DB712" s="82"/>
      <c r="DC712" s="82"/>
      <c r="DD712" s="82"/>
      <c r="DE712" s="82"/>
      <c r="DF712" s="82"/>
      <c r="DG712" s="82"/>
    </row>
    <row r="713" spans="2:111" ht="9" customHeight="1">
      <c r="B713" s="242"/>
      <c r="C713" s="242"/>
      <c r="D713" s="242"/>
      <c r="E713" s="242"/>
      <c r="F713" s="242"/>
      <c r="G713" s="242"/>
      <c r="H713" s="242"/>
      <c r="I713" s="242"/>
      <c r="J713" s="242"/>
      <c r="K713" s="242"/>
      <c r="L713" s="242"/>
      <c r="M713" s="242"/>
      <c r="N713" s="242"/>
      <c r="O713" s="29"/>
      <c r="P713" s="230"/>
      <c r="Q713" s="230"/>
      <c r="R713" s="230"/>
      <c r="S713" s="230"/>
      <c r="T713" s="230"/>
      <c r="U713" s="230"/>
      <c r="V713" s="230"/>
      <c r="W713" s="230"/>
      <c r="X713" s="230"/>
      <c r="Y713" s="230"/>
      <c r="Z713" s="230"/>
      <c r="AA713" s="230"/>
      <c r="AB713" s="230"/>
      <c r="AC713" s="230"/>
      <c r="AD713" s="230"/>
      <c r="AE713" s="230"/>
      <c r="AF713" s="230"/>
      <c r="AG713" s="230"/>
      <c r="AH713" s="230"/>
      <c r="AI713" s="230"/>
      <c r="AJ713" s="230"/>
      <c r="AK713" s="230"/>
      <c r="AL713" s="230"/>
      <c r="AM713" s="230"/>
      <c r="AN713" s="230"/>
      <c r="AO713" s="230"/>
      <c r="AP713" s="230"/>
      <c r="AQ713" s="230"/>
      <c r="AR713" s="29"/>
      <c r="AS713" s="231"/>
      <c r="AT713" s="231"/>
      <c r="AU713" s="231"/>
      <c r="AV713" s="231"/>
      <c r="AW713" s="231"/>
      <c r="AX713" s="231"/>
      <c r="AY713" s="231"/>
      <c r="AZ713" s="231"/>
      <c r="BA713" s="231"/>
      <c r="BC713" s="82"/>
      <c r="BD713" s="82"/>
      <c r="BE713" s="82"/>
      <c r="BF713" s="82"/>
      <c r="BG713" s="82"/>
      <c r="BH713" s="83"/>
      <c r="BI713" s="83"/>
      <c r="BJ713" s="83"/>
      <c r="BK713" s="83"/>
      <c r="BL713" s="83"/>
      <c r="BM713" s="83"/>
      <c r="BN713" s="83"/>
      <c r="BO713" s="83"/>
      <c r="BP713" s="83"/>
      <c r="BQ713" s="83"/>
      <c r="BR713" s="83"/>
      <c r="BS713" s="83"/>
      <c r="BT713" s="83"/>
      <c r="BU713" s="83"/>
      <c r="BV713" s="83"/>
      <c r="BW713" s="83"/>
      <c r="BX713" s="83"/>
      <c r="BY713" s="83"/>
      <c r="BZ713" s="83"/>
      <c r="CA713" s="83"/>
      <c r="CB713" s="83"/>
      <c r="CC713" s="83"/>
      <c r="CD713" s="83"/>
      <c r="CE713" s="83"/>
      <c r="CF713" s="83"/>
      <c r="CG713" s="83"/>
      <c r="CH713" s="83"/>
      <c r="CI713" s="83"/>
      <c r="CJ713" s="83"/>
      <c r="CK713" s="83"/>
      <c r="CL713" s="83"/>
      <c r="CM713" s="83"/>
      <c r="CN713" s="83"/>
      <c r="CO713" s="83"/>
      <c r="CP713" s="83"/>
      <c r="CQ713" s="83"/>
      <c r="CR713" s="83"/>
      <c r="CS713" s="83"/>
      <c r="CT713" s="83"/>
      <c r="CU713" s="83"/>
      <c r="CV713" s="83"/>
      <c r="CW713" s="83"/>
      <c r="CX713" s="83"/>
      <c r="CY713" s="83"/>
      <c r="CZ713" s="83"/>
      <c r="DA713" s="83"/>
      <c r="DB713" s="83"/>
      <c r="DC713" s="83"/>
      <c r="DD713" s="83"/>
      <c r="DE713" s="83"/>
      <c r="DF713" s="83"/>
      <c r="DG713" s="82"/>
    </row>
    <row r="714" spans="2:111" ht="9" customHeight="1">
      <c r="B714" s="242"/>
      <c r="C714" s="242"/>
      <c r="D714" s="242"/>
      <c r="E714" s="242"/>
      <c r="F714" s="242"/>
      <c r="G714" s="242"/>
      <c r="H714" s="242"/>
      <c r="I714" s="242"/>
      <c r="J714" s="242"/>
      <c r="K714" s="242"/>
      <c r="L714" s="242"/>
      <c r="M714" s="242"/>
      <c r="N714" s="242"/>
      <c r="O714" s="29"/>
      <c r="P714" s="230"/>
      <c r="Q714" s="230"/>
      <c r="R714" s="230"/>
      <c r="S714" s="230"/>
      <c r="T714" s="230"/>
      <c r="U714" s="230"/>
      <c r="V714" s="230"/>
      <c r="W714" s="230"/>
      <c r="X714" s="230"/>
      <c r="Y714" s="230"/>
      <c r="Z714" s="230"/>
      <c r="AA714" s="230"/>
      <c r="AB714" s="230"/>
      <c r="AC714" s="230"/>
      <c r="AD714" s="230"/>
      <c r="AE714" s="230"/>
      <c r="AF714" s="230"/>
      <c r="AG714" s="230"/>
      <c r="AH714" s="230"/>
      <c r="AI714" s="230"/>
      <c r="AJ714" s="230"/>
      <c r="AK714" s="230"/>
      <c r="AL714" s="230"/>
      <c r="AM714" s="230"/>
      <c r="AN714" s="230"/>
      <c r="AO714" s="230"/>
      <c r="AP714" s="230"/>
      <c r="AQ714" s="230"/>
      <c r="AR714" s="29"/>
      <c r="AS714" s="231"/>
      <c r="AT714" s="231"/>
      <c r="AU714" s="231"/>
      <c r="AV714" s="231"/>
      <c r="AW714" s="231"/>
      <c r="AX714" s="231"/>
      <c r="AY714" s="231"/>
      <c r="AZ714" s="231"/>
      <c r="BA714" s="231"/>
      <c r="BC714" s="82"/>
      <c r="BD714" s="82"/>
      <c r="BE714" s="82"/>
      <c r="BF714" s="82"/>
      <c r="BG714" s="82"/>
      <c r="BH714" s="83"/>
      <c r="BI714" s="83"/>
      <c r="BJ714" s="83"/>
      <c r="BK714" s="83"/>
      <c r="BL714" s="83"/>
      <c r="BM714" s="83"/>
      <c r="BN714" s="83"/>
      <c r="BO714" s="83"/>
      <c r="BP714" s="83"/>
      <c r="BQ714" s="83"/>
      <c r="BR714" s="83"/>
      <c r="BS714" s="83"/>
      <c r="BT714" s="83"/>
      <c r="BU714" s="83"/>
      <c r="BV714" s="83"/>
      <c r="BW714" s="83"/>
      <c r="BX714" s="83"/>
      <c r="BY714" s="83"/>
      <c r="BZ714" s="83"/>
      <c r="CA714" s="83"/>
      <c r="CB714" s="83"/>
      <c r="CC714" s="83"/>
      <c r="CD714" s="83"/>
      <c r="CE714" s="83"/>
      <c r="CF714" s="83"/>
      <c r="CG714" s="83"/>
      <c r="CH714" s="83"/>
      <c r="CI714" s="83"/>
      <c r="CJ714" s="83"/>
      <c r="CK714" s="83"/>
      <c r="CL714" s="83"/>
      <c r="CM714" s="83"/>
      <c r="CN714" s="83"/>
      <c r="CO714" s="83"/>
      <c r="CP714" s="83"/>
      <c r="CQ714" s="83"/>
      <c r="CR714" s="83"/>
      <c r="CS714" s="83"/>
      <c r="CT714" s="83"/>
      <c r="CU714" s="83"/>
      <c r="CV714" s="83"/>
      <c r="CW714" s="83"/>
      <c r="CX714" s="83"/>
      <c r="CY714" s="83"/>
      <c r="CZ714" s="83"/>
      <c r="DA714" s="83"/>
      <c r="DB714" s="83"/>
      <c r="DC714" s="83"/>
      <c r="DD714" s="83"/>
      <c r="DE714" s="83"/>
      <c r="DF714" s="83"/>
      <c r="DG714" s="82"/>
    </row>
    <row r="715" spans="2:111" ht="9" customHeight="1">
      <c r="B715" s="242"/>
      <c r="C715" s="242"/>
      <c r="D715" s="242"/>
      <c r="E715" s="242"/>
      <c r="F715" s="242"/>
      <c r="G715" s="242"/>
      <c r="H715" s="242"/>
      <c r="I715" s="242"/>
      <c r="J715" s="242"/>
      <c r="K715" s="242"/>
      <c r="L715" s="242"/>
      <c r="M715" s="242"/>
      <c r="N715" s="242"/>
      <c r="O715" s="29"/>
      <c r="P715" s="230"/>
      <c r="Q715" s="230"/>
      <c r="R715" s="230"/>
      <c r="S715" s="230"/>
      <c r="T715" s="230"/>
      <c r="U715" s="230"/>
      <c r="V715" s="230"/>
      <c r="W715" s="230"/>
      <c r="X715" s="230"/>
      <c r="Y715" s="230"/>
      <c r="Z715" s="230"/>
      <c r="AA715" s="230"/>
      <c r="AB715" s="230"/>
      <c r="AC715" s="230"/>
      <c r="AD715" s="230"/>
      <c r="AE715" s="230"/>
      <c r="AF715" s="230"/>
      <c r="AG715" s="230"/>
      <c r="AH715" s="230"/>
      <c r="AI715" s="230"/>
      <c r="AJ715" s="230"/>
      <c r="AK715" s="230"/>
      <c r="AL715" s="230"/>
      <c r="AM715" s="230"/>
      <c r="AN715" s="230"/>
      <c r="AO715" s="230"/>
      <c r="AP715" s="230"/>
      <c r="AQ715" s="230"/>
      <c r="AR715" s="29"/>
      <c r="AS715" s="231"/>
      <c r="AT715" s="231"/>
      <c r="AU715" s="231"/>
      <c r="AV715" s="231"/>
      <c r="AW715" s="231"/>
      <c r="AX715" s="231"/>
      <c r="AY715" s="231"/>
      <c r="AZ715" s="231"/>
      <c r="BA715" s="231"/>
      <c r="BC715" s="82"/>
      <c r="BD715" s="82"/>
      <c r="BE715" s="82"/>
      <c r="BF715" s="82"/>
      <c r="BG715" s="82"/>
      <c r="BH715" s="83"/>
      <c r="BI715" s="83"/>
      <c r="BJ715" s="83"/>
      <c r="BK715" s="83"/>
      <c r="BL715" s="83"/>
      <c r="BM715" s="83"/>
      <c r="BN715" s="83"/>
      <c r="BO715" s="83"/>
      <c r="BP715" s="83"/>
      <c r="BQ715" s="83"/>
      <c r="BR715" s="83"/>
      <c r="BS715" s="83"/>
      <c r="BT715" s="83"/>
      <c r="BU715" s="83"/>
      <c r="BV715" s="83"/>
      <c r="BW715" s="83"/>
      <c r="BX715" s="83"/>
      <c r="BY715" s="83"/>
      <c r="BZ715" s="83"/>
      <c r="CA715" s="83"/>
      <c r="CB715" s="83"/>
      <c r="CC715" s="83"/>
      <c r="CD715" s="83"/>
      <c r="CE715" s="83"/>
      <c r="CF715" s="83"/>
      <c r="CG715" s="83"/>
      <c r="CH715" s="83"/>
      <c r="CI715" s="83"/>
      <c r="CJ715" s="83"/>
      <c r="CK715" s="83"/>
      <c r="CL715" s="83"/>
      <c r="CM715" s="83"/>
      <c r="CN715" s="83"/>
      <c r="CO715" s="83"/>
      <c r="CP715" s="83"/>
      <c r="CQ715" s="83"/>
      <c r="CR715" s="83"/>
      <c r="CS715" s="83"/>
      <c r="CT715" s="83"/>
      <c r="CU715" s="83"/>
      <c r="CV715" s="83"/>
      <c r="CW715" s="83"/>
      <c r="CX715" s="83"/>
      <c r="CY715" s="83"/>
      <c r="CZ715" s="83"/>
      <c r="DA715" s="83"/>
      <c r="DB715" s="83"/>
      <c r="DC715" s="83"/>
      <c r="DD715" s="83"/>
      <c r="DE715" s="83"/>
      <c r="DF715" s="83"/>
      <c r="DG715" s="82"/>
    </row>
    <row r="716" spans="2:111" ht="9" customHeight="1">
      <c r="B716" s="242"/>
      <c r="C716" s="242"/>
      <c r="D716" s="242"/>
      <c r="E716" s="242"/>
      <c r="F716" s="242"/>
      <c r="G716" s="242"/>
      <c r="H716" s="242"/>
      <c r="I716" s="242"/>
      <c r="J716" s="242"/>
      <c r="K716" s="242"/>
      <c r="L716" s="242"/>
      <c r="M716" s="242"/>
      <c r="N716" s="242"/>
      <c r="O716" s="29"/>
      <c r="P716" s="230"/>
      <c r="Q716" s="230"/>
      <c r="R716" s="230"/>
      <c r="S716" s="230"/>
      <c r="T716" s="230"/>
      <c r="U716" s="230"/>
      <c r="V716" s="230"/>
      <c r="W716" s="230"/>
      <c r="X716" s="230"/>
      <c r="Y716" s="230"/>
      <c r="Z716" s="230"/>
      <c r="AA716" s="230"/>
      <c r="AB716" s="230"/>
      <c r="AC716" s="230"/>
      <c r="AD716" s="230"/>
      <c r="AE716" s="230"/>
      <c r="AF716" s="230"/>
      <c r="AG716" s="230"/>
      <c r="AH716" s="230"/>
      <c r="AI716" s="230"/>
      <c r="AJ716" s="230"/>
      <c r="AK716" s="230"/>
      <c r="AL716" s="230"/>
      <c r="AM716" s="230"/>
      <c r="AN716" s="230"/>
      <c r="AO716" s="230"/>
      <c r="AP716" s="230"/>
      <c r="AQ716" s="230"/>
      <c r="AR716" s="29"/>
      <c r="AS716" s="231"/>
      <c r="AT716" s="231"/>
      <c r="AU716" s="231"/>
      <c r="AV716" s="231"/>
      <c r="AW716" s="231"/>
      <c r="AX716" s="231"/>
      <c r="AY716" s="231"/>
      <c r="AZ716" s="231"/>
      <c r="BA716" s="231"/>
      <c r="BC716" s="82"/>
      <c r="BD716" s="82"/>
      <c r="BE716" s="82"/>
      <c r="BF716" s="82"/>
      <c r="BG716" s="82"/>
      <c r="BH716" s="83"/>
      <c r="BI716" s="83"/>
      <c r="BJ716" s="83"/>
      <c r="BK716" s="83"/>
      <c r="BL716" s="83"/>
      <c r="BM716" s="83"/>
      <c r="BN716" s="83"/>
      <c r="BO716" s="83"/>
      <c r="BP716" s="83"/>
      <c r="BQ716" s="83"/>
      <c r="BR716" s="83"/>
      <c r="BS716" s="83"/>
      <c r="BT716" s="83"/>
      <c r="BU716" s="83"/>
      <c r="BV716" s="83"/>
      <c r="BW716" s="83"/>
      <c r="BX716" s="83"/>
      <c r="BY716" s="83"/>
      <c r="BZ716" s="83"/>
      <c r="CA716" s="83"/>
      <c r="CB716" s="83"/>
      <c r="CC716" s="83"/>
      <c r="CD716" s="83"/>
      <c r="CE716" s="83"/>
      <c r="CF716" s="83"/>
      <c r="CG716" s="83"/>
      <c r="CH716" s="83"/>
      <c r="CI716" s="83"/>
      <c r="CJ716" s="83"/>
      <c r="CK716" s="83"/>
      <c r="CL716" s="83"/>
      <c r="CM716" s="83"/>
      <c r="CN716" s="83"/>
      <c r="CO716" s="83"/>
      <c r="CP716" s="83"/>
      <c r="CQ716" s="83"/>
      <c r="CR716" s="83"/>
      <c r="CS716" s="83"/>
      <c r="CT716" s="83"/>
      <c r="CU716" s="83"/>
      <c r="CV716" s="83"/>
      <c r="CW716" s="83"/>
      <c r="CX716" s="83"/>
      <c r="CY716" s="83"/>
      <c r="CZ716" s="83"/>
      <c r="DA716" s="83"/>
      <c r="DB716" s="83"/>
      <c r="DC716" s="83"/>
      <c r="DD716" s="83"/>
      <c r="DE716" s="83"/>
      <c r="DF716" s="83"/>
      <c r="DG716" s="82"/>
    </row>
    <row r="717" spans="2:111" ht="9" customHeight="1">
      <c r="B717" s="242"/>
      <c r="C717" s="242"/>
      <c r="D717" s="242"/>
      <c r="E717" s="242"/>
      <c r="F717" s="242"/>
      <c r="G717" s="242"/>
      <c r="H717" s="242"/>
      <c r="I717" s="242"/>
      <c r="J717" s="242"/>
      <c r="K717" s="242"/>
      <c r="L717" s="242"/>
      <c r="M717" s="242"/>
      <c r="N717" s="242"/>
      <c r="O717" s="29"/>
      <c r="P717" s="230"/>
      <c r="Q717" s="230"/>
      <c r="R717" s="230"/>
      <c r="S717" s="230"/>
      <c r="T717" s="230"/>
      <c r="U717" s="230"/>
      <c r="V717" s="230"/>
      <c r="W717" s="230"/>
      <c r="X717" s="230"/>
      <c r="Y717" s="230"/>
      <c r="Z717" s="230"/>
      <c r="AA717" s="230"/>
      <c r="AB717" s="230"/>
      <c r="AC717" s="230"/>
      <c r="AD717" s="230"/>
      <c r="AE717" s="230"/>
      <c r="AF717" s="230"/>
      <c r="AG717" s="230"/>
      <c r="AH717" s="230"/>
      <c r="AI717" s="230"/>
      <c r="AJ717" s="230"/>
      <c r="AK717" s="230"/>
      <c r="AL717" s="230"/>
      <c r="AM717" s="230"/>
      <c r="AN717" s="230"/>
      <c r="AO717" s="230"/>
      <c r="AP717" s="230"/>
      <c r="AQ717" s="230"/>
      <c r="AR717" s="29"/>
      <c r="AS717" s="231"/>
      <c r="AT717" s="231"/>
      <c r="AU717" s="231"/>
      <c r="AV717" s="231"/>
      <c r="AW717" s="231"/>
      <c r="AX717" s="231"/>
      <c r="AY717" s="231"/>
      <c r="AZ717" s="231"/>
      <c r="BA717" s="231"/>
      <c r="BC717" s="82"/>
      <c r="BD717" s="82"/>
      <c r="BE717" s="82"/>
      <c r="BF717" s="82"/>
      <c r="BG717" s="82"/>
      <c r="BH717" s="83"/>
      <c r="BI717" s="83"/>
      <c r="BJ717" s="83"/>
      <c r="BK717" s="83"/>
      <c r="BL717" s="83"/>
      <c r="BM717" s="83"/>
      <c r="BN717" s="83"/>
      <c r="BO717" s="83"/>
      <c r="BP717" s="83"/>
      <c r="BQ717" s="83"/>
      <c r="BR717" s="83"/>
      <c r="BS717" s="83"/>
      <c r="BT717" s="83"/>
      <c r="BU717" s="83"/>
      <c r="BV717" s="83"/>
      <c r="BW717" s="83"/>
      <c r="BX717" s="83"/>
      <c r="BY717" s="83"/>
      <c r="BZ717" s="83"/>
      <c r="CA717" s="83"/>
      <c r="CB717" s="83"/>
      <c r="CC717" s="83"/>
      <c r="CD717" s="83"/>
      <c r="CE717" s="83"/>
      <c r="CF717" s="83"/>
      <c r="CG717" s="83"/>
      <c r="CH717" s="83"/>
      <c r="CI717" s="83"/>
      <c r="CJ717" s="83"/>
      <c r="CK717" s="83"/>
      <c r="CL717" s="83"/>
      <c r="CM717" s="83"/>
      <c r="CN717" s="83"/>
      <c r="CO717" s="83"/>
      <c r="CP717" s="83"/>
      <c r="CQ717" s="83"/>
      <c r="CR717" s="83"/>
      <c r="CS717" s="83"/>
      <c r="CT717" s="83"/>
      <c r="CU717" s="83"/>
      <c r="CV717" s="83"/>
      <c r="CW717" s="83"/>
      <c r="CX717" s="83"/>
      <c r="CY717" s="83"/>
      <c r="CZ717" s="83"/>
      <c r="DA717" s="83"/>
      <c r="DB717" s="83"/>
      <c r="DC717" s="83"/>
      <c r="DD717" s="83"/>
      <c r="DE717" s="83"/>
      <c r="DF717" s="83"/>
      <c r="DG717" s="82"/>
    </row>
    <row r="718" spans="2:111" ht="9" customHeight="1">
      <c r="B718" s="242"/>
      <c r="C718" s="242"/>
      <c r="D718" s="242"/>
      <c r="E718" s="242"/>
      <c r="F718" s="242"/>
      <c r="G718" s="242"/>
      <c r="H718" s="242"/>
      <c r="I718" s="242"/>
      <c r="J718" s="242"/>
      <c r="K718" s="242"/>
      <c r="L718" s="242"/>
      <c r="M718" s="242"/>
      <c r="N718" s="242"/>
      <c r="O718" s="29"/>
      <c r="P718" s="230"/>
      <c r="Q718" s="230"/>
      <c r="R718" s="230"/>
      <c r="S718" s="230"/>
      <c r="T718" s="230"/>
      <c r="U718" s="230"/>
      <c r="V718" s="230"/>
      <c r="W718" s="230"/>
      <c r="X718" s="230"/>
      <c r="Y718" s="230"/>
      <c r="Z718" s="230"/>
      <c r="AA718" s="230"/>
      <c r="AB718" s="230"/>
      <c r="AC718" s="230"/>
      <c r="AD718" s="230"/>
      <c r="AE718" s="230"/>
      <c r="AF718" s="230"/>
      <c r="AG718" s="230"/>
      <c r="AH718" s="230"/>
      <c r="AI718" s="230"/>
      <c r="AJ718" s="230"/>
      <c r="AK718" s="230"/>
      <c r="AL718" s="230"/>
      <c r="AM718" s="230"/>
      <c r="AN718" s="230"/>
      <c r="AO718" s="230"/>
      <c r="AP718" s="230"/>
      <c r="AQ718" s="230"/>
      <c r="AR718" s="29"/>
      <c r="AS718" s="231"/>
      <c r="AT718" s="231"/>
      <c r="AU718" s="231"/>
      <c r="AV718" s="231"/>
      <c r="AW718" s="231"/>
      <c r="AX718" s="231"/>
      <c r="AY718" s="231"/>
      <c r="AZ718" s="231"/>
      <c r="BA718" s="231"/>
      <c r="BC718" s="82"/>
      <c r="BD718" s="82"/>
      <c r="BE718" s="82"/>
      <c r="BF718" s="82"/>
      <c r="BG718" s="82"/>
      <c r="BH718" s="83"/>
      <c r="BI718" s="83"/>
      <c r="BJ718" s="83"/>
      <c r="BK718" s="83"/>
      <c r="BL718" s="83"/>
      <c r="BM718" s="83"/>
      <c r="BN718" s="83"/>
      <c r="BO718" s="83"/>
      <c r="BP718" s="83"/>
      <c r="BQ718" s="83"/>
      <c r="BR718" s="83"/>
      <c r="BS718" s="83"/>
      <c r="BT718" s="83"/>
      <c r="BU718" s="83"/>
      <c r="BV718" s="83"/>
      <c r="BW718" s="83"/>
      <c r="BX718" s="83"/>
      <c r="BY718" s="83"/>
      <c r="BZ718" s="83"/>
      <c r="CA718" s="83"/>
      <c r="CB718" s="83"/>
      <c r="CC718" s="83"/>
      <c r="CD718" s="83"/>
      <c r="CE718" s="83"/>
      <c r="CF718" s="83"/>
      <c r="CG718" s="83"/>
      <c r="CH718" s="83"/>
      <c r="CI718" s="83"/>
      <c r="CJ718" s="83"/>
      <c r="CK718" s="83"/>
      <c r="CL718" s="83"/>
      <c r="CM718" s="83"/>
      <c r="CN718" s="83"/>
      <c r="CO718" s="83"/>
      <c r="CP718" s="83"/>
      <c r="CQ718" s="83"/>
      <c r="CR718" s="83"/>
      <c r="CS718" s="83"/>
      <c r="CT718" s="83"/>
      <c r="CU718" s="83"/>
      <c r="CV718" s="83"/>
      <c r="CW718" s="83"/>
      <c r="CX718" s="83"/>
      <c r="CY718" s="83"/>
      <c r="CZ718" s="83"/>
      <c r="DA718" s="83"/>
      <c r="DB718" s="83"/>
      <c r="DC718" s="83"/>
      <c r="DD718" s="83"/>
      <c r="DE718" s="83"/>
      <c r="DF718" s="83"/>
      <c r="DG718" s="82"/>
    </row>
    <row r="719" spans="2:111" ht="9" customHeight="1">
      <c r="B719" s="242"/>
      <c r="C719" s="242"/>
      <c r="D719" s="242"/>
      <c r="E719" s="242"/>
      <c r="F719" s="242"/>
      <c r="G719" s="242"/>
      <c r="H719" s="242"/>
      <c r="I719" s="242"/>
      <c r="J719" s="242"/>
      <c r="K719" s="242"/>
      <c r="L719" s="242"/>
      <c r="M719" s="242"/>
      <c r="N719" s="242"/>
      <c r="O719" s="29"/>
      <c r="P719" s="230"/>
      <c r="Q719" s="230"/>
      <c r="R719" s="230"/>
      <c r="S719" s="230"/>
      <c r="T719" s="230"/>
      <c r="U719" s="230"/>
      <c r="V719" s="230"/>
      <c r="W719" s="230"/>
      <c r="X719" s="230"/>
      <c r="Y719" s="230"/>
      <c r="Z719" s="230"/>
      <c r="AA719" s="230"/>
      <c r="AB719" s="230"/>
      <c r="AC719" s="230"/>
      <c r="AD719" s="230"/>
      <c r="AE719" s="230"/>
      <c r="AF719" s="230"/>
      <c r="AG719" s="230"/>
      <c r="AH719" s="230"/>
      <c r="AI719" s="230"/>
      <c r="AJ719" s="230"/>
      <c r="AK719" s="230"/>
      <c r="AL719" s="230"/>
      <c r="AM719" s="230"/>
      <c r="AN719" s="230"/>
      <c r="AO719" s="230"/>
      <c r="AP719" s="230"/>
      <c r="AQ719" s="230"/>
      <c r="AR719" s="29"/>
      <c r="AS719" s="231"/>
      <c r="AT719" s="231"/>
      <c r="AU719" s="231"/>
      <c r="AV719" s="231"/>
      <c r="AW719" s="231"/>
      <c r="AX719" s="231"/>
      <c r="AY719" s="231"/>
      <c r="AZ719" s="231"/>
      <c r="BA719" s="231"/>
      <c r="BC719" s="82"/>
      <c r="BD719" s="82"/>
      <c r="BE719" s="82"/>
      <c r="BF719" s="82"/>
      <c r="BG719" s="82"/>
      <c r="BH719" s="83"/>
      <c r="BI719" s="83"/>
      <c r="BJ719" s="83"/>
      <c r="BK719" s="83"/>
      <c r="BL719" s="83"/>
      <c r="BM719" s="83"/>
      <c r="BN719" s="83"/>
      <c r="BO719" s="83"/>
      <c r="BP719" s="83"/>
      <c r="BQ719" s="83"/>
      <c r="BR719" s="83"/>
      <c r="BS719" s="83"/>
      <c r="BT719" s="83"/>
      <c r="BU719" s="83"/>
      <c r="BV719" s="83"/>
      <c r="BW719" s="83"/>
      <c r="BX719" s="83"/>
      <c r="BY719" s="83"/>
      <c r="BZ719" s="83"/>
      <c r="CA719" s="83"/>
      <c r="CB719" s="83"/>
      <c r="CC719" s="83"/>
      <c r="CD719" s="83"/>
      <c r="CE719" s="83"/>
      <c r="CF719" s="83"/>
      <c r="CG719" s="83"/>
      <c r="CH719" s="83"/>
      <c r="CI719" s="83"/>
      <c r="CJ719" s="83"/>
      <c r="CK719" s="83"/>
      <c r="CL719" s="83"/>
      <c r="CM719" s="83"/>
      <c r="CN719" s="83"/>
      <c r="CO719" s="83"/>
      <c r="CP719" s="83"/>
      <c r="CQ719" s="83"/>
      <c r="CR719" s="83"/>
      <c r="CS719" s="83"/>
      <c r="CT719" s="83"/>
      <c r="CU719" s="83"/>
      <c r="CV719" s="83"/>
      <c r="CW719" s="83"/>
      <c r="CX719" s="83"/>
      <c r="CY719" s="83"/>
      <c r="CZ719" s="83"/>
      <c r="DA719" s="83"/>
      <c r="DB719" s="83"/>
      <c r="DC719" s="83"/>
      <c r="DD719" s="83"/>
      <c r="DE719" s="83"/>
      <c r="DF719" s="83"/>
      <c r="DG719" s="82"/>
    </row>
    <row r="720" spans="2:111" ht="9" customHeight="1">
      <c r="B720" s="242"/>
      <c r="C720" s="242"/>
      <c r="D720" s="242"/>
      <c r="E720" s="242"/>
      <c r="F720" s="242"/>
      <c r="G720" s="242"/>
      <c r="H720" s="242"/>
      <c r="I720" s="242"/>
      <c r="J720" s="242"/>
      <c r="K720" s="242"/>
      <c r="L720" s="242"/>
      <c r="M720" s="242"/>
      <c r="N720" s="242"/>
      <c r="O720" s="29"/>
      <c r="P720" s="230"/>
      <c r="Q720" s="230"/>
      <c r="R720" s="230"/>
      <c r="S720" s="230"/>
      <c r="T720" s="230"/>
      <c r="U720" s="230"/>
      <c r="V720" s="230"/>
      <c r="W720" s="230"/>
      <c r="X720" s="230"/>
      <c r="Y720" s="230"/>
      <c r="Z720" s="230"/>
      <c r="AA720" s="230"/>
      <c r="AB720" s="230"/>
      <c r="AC720" s="230"/>
      <c r="AD720" s="230"/>
      <c r="AE720" s="230"/>
      <c r="AF720" s="230"/>
      <c r="AG720" s="230"/>
      <c r="AH720" s="230"/>
      <c r="AI720" s="230"/>
      <c r="AJ720" s="230"/>
      <c r="AK720" s="230"/>
      <c r="AL720" s="230"/>
      <c r="AM720" s="230"/>
      <c r="AN720" s="230"/>
      <c r="AO720" s="230"/>
      <c r="AP720" s="230"/>
      <c r="AQ720" s="230"/>
      <c r="AR720" s="29"/>
      <c r="AS720" s="231"/>
      <c r="AT720" s="231"/>
      <c r="AU720" s="231"/>
      <c r="AV720" s="231"/>
      <c r="AW720" s="231"/>
      <c r="AX720" s="231"/>
      <c r="AY720" s="231"/>
      <c r="AZ720" s="231"/>
      <c r="BA720" s="231"/>
      <c r="BC720" s="82"/>
      <c r="BD720" s="82"/>
      <c r="BE720" s="82"/>
      <c r="BF720" s="82"/>
      <c r="BG720" s="82"/>
      <c r="BH720" s="83"/>
      <c r="BI720" s="83"/>
      <c r="BJ720" s="83"/>
      <c r="BK720" s="83"/>
      <c r="BL720" s="83"/>
      <c r="BM720" s="83"/>
      <c r="BN720" s="83"/>
      <c r="BO720" s="83"/>
      <c r="BP720" s="83"/>
      <c r="BQ720" s="83"/>
      <c r="BR720" s="83"/>
      <c r="BS720" s="83"/>
      <c r="BT720" s="83"/>
      <c r="BU720" s="83"/>
      <c r="BV720" s="83"/>
      <c r="BW720" s="83"/>
      <c r="BX720" s="83"/>
      <c r="BY720" s="83"/>
      <c r="BZ720" s="83"/>
      <c r="CA720" s="83"/>
      <c r="CB720" s="83"/>
      <c r="CC720" s="83"/>
      <c r="CD720" s="83"/>
      <c r="CE720" s="83"/>
      <c r="CF720" s="83"/>
      <c r="CG720" s="83"/>
      <c r="CH720" s="83"/>
      <c r="CI720" s="83"/>
      <c r="CJ720" s="83"/>
      <c r="CK720" s="83"/>
      <c r="CL720" s="83"/>
      <c r="CM720" s="83"/>
      <c r="CN720" s="83"/>
      <c r="CO720" s="83"/>
      <c r="CP720" s="83"/>
      <c r="CQ720" s="83"/>
      <c r="CR720" s="83"/>
      <c r="CS720" s="83"/>
      <c r="CT720" s="83"/>
      <c r="CU720" s="83"/>
      <c r="CV720" s="83"/>
      <c r="CW720" s="83"/>
      <c r="CX720" s="83"/>
      <c r="CY720" s="83"/>
      <c r="CZ720" s="83"/>
      <c r="DA720" s="83"/>
      <c r="DB720" s="83"/>
      <c r="DC720" s="83"/>
      <c r="DD720" s="83"/>
      <c r="DE720" s="83"/>
      <c r="DF720" s="83"/>
      <c r="DG720" s="82"/>
    </row>
    <row r="721" spans="2:111" ht="9" customHeight="1">
      <c r="B721" s="242"/>
      <c r="C721" s="242"/>
      <c r="D721" s="242"/>
      <c r="E721" s="242"/>
      <c r="F721" s="242"/>
      <c r="G721" s="242"/>
      <c r="H721" s="242"/>
      <c r="I721" s="242"/>
      <c r="J721" s="242"/>
      <c r="K721" s="242"/>
      <c r="L721" s="242"/>
      <c r="M721" s="242"/>
      <c r="N721" s="242"/>
      <c r="O721" s="29"/>
      <c r="P721" s="230"/>
      <c r="Q721" s="230"/>
      <c r="R721" s="230"/>
      <c r="S721" s="230"/>
      <c r="T721" s="230"/>
      <c r="U721" s="230"/>
      <c r="V721" s="230"/>
      <c r="W721" s="230"/>
      <c r="X721" s="230"/>
      <c r="Y721" s="230"/>
      <c r="Z721" s="230"/>
      <c r="AA721" s="230"/>
      <c r="AB721" s="230"/>
      <c r="AC721" s="230"/>
      <c r="AD721" s="230"/>
      <c r="AE721" s="230"/>
      <c r="AF721" s="230"/>
      <c r="AG721" s="230"/>
      <c r="AH721" s="230"/>
      <c r="AI721" s="230"/>
      <c r="AJ721" s="230"/>
      <c r="AK721" s="230"/>
      <c r="AL721" s="230"/>
      <c r="AM721" s="230"/>
      <c r="AN721" s="230"/>
      <c r="AO721" s="230"/>
      <c r="AP721" s="230"/>
      <c r="AQ721" s="230"/>
      <c r="AR721" s="29"/>
      <c r="AS721" s="231"/>
      <c r="AT721" s="231"/>
      <c r="AU721" s="231"/>
      <c r="AV721" s="231"/>
      <c r="AW721" s="231"/>
      <c r="AX721" s="231"/>
      <c r="AY721" s="231"/>
      <c r="AZ721" s="231"/>
      <c r="BA721" s="231"/>
      <c r="BC721" s="82"/>
      <c r="BD721" s="82"/>
      <c r="BE721" s="82"/>
      <c r="BF721" s="82"/>
      <c r="BG721" s="82"/>
      <c r="BH721" s="83"/>
      <c r="BI721" s="83"/>
      <c r="BJ721" s="83"/>
      <c r="BK721" s="83"/>
      <c r="BL721" s="83"/>
      <c r="BM721" s="83"/>
      <c r="BN721" s="83"/>
      <c r="BO721" s="83"/>
      <c r="BP721" s="83"/>
      <c r="BQ721" s="83"/>
      <c r="BR721" s="83"/>
      <c r="BS721" s="83"/>
      <c r="BT721" s="83"/>
      <c r="BU721" s="83"/>
      <c r="BV721" s="83"/>
      <c r="BW721" s="83"/>
      <c r="BX721" s="83"/>
      <c r="BY721" s="83"/>
      <c r="BZ721" s="83"/>
      <c r="CA721" s="83"/>
      <c r="CB721" s="83"/>
      <c r="CC721" s="83"/>
      <c r="CD721" s="83"/>
      <c r="CE721" s="83"/>
      <c r="CF721" s="83"/>
      <c r="CG721" s="83"/>
      <c r="CH721" s="83"/>
      <c r="CI721" s="83"/>
      <c r="CJ721" s="83"/>
      <c r="CK721" s="83"/>
      <c r="CL721" s="83"/>
      <c r="CM721" s="83"/>
      <c r="CN721" s="83"/>
      <c r="CO721" s="83"/>
      <c r="CP721" s="83"/>
      <c r="CQ721" s="83"/>
      <c r="CR721" s="83"/>
      <c r="CS721" s="83"/>
      <c r="CT721" s="83"/>
      <c r="CU721" s="83"/>
      <c r="CV721" s="83"/>
      <c r="CW721" s="83"/>
      <c r="CX721" s="83"/>
      <c r="CY721" s="83"/>
      <c r="CZ721" s="83"/>
      <c r="DA721" s="83"/>
      <c r="DB721" s="83"/>
      <c r="DC721" s="83"/>
      <c r="DD721" s="83"/>
      <c r="DE721" s="83"/>
      <c r="DF721" s="83"/>
      <c r="DG721" s="82"/>
    </row>
    <row r="722" spans="2:111" ht="9" customHeight="1">
      <c r="B722" s="242"/>
      <c r="C722" s="242"/>
      <c r="D722" s="242"/>
      <c r="E722" s="242"/>
      <c r="F722" s="242"/>
      <c r="G722" s="242"/>
      <c r="H722" s="242"/>
      <c r="I722" s="242"/>
      <c r="J722" s="242"/>
      <c r="K722" s="242"/>
      <c r="L722" s="242"/>
      <c r="M722" s="242"/>
      <c r="N722" s="242"/>
      <c r="O722" s="29"/>
      <c r="P722" s="230"/>
      <c r="Q722" s="230"/>
      <c r="R722" s="230"/>
      <c r="S722" s="230"/>
      <c r="T722" s="230"/>
      <c r="U722" s="230"/>
      <c r="V722" s="230"/>
      <c r="W722" s="230"/>
      <c r="X722" s="230"/>
      <c r="Y722" s="230"/>
      <c r="Z722" s="230"/>
      <c r="AA722" s="230"/>
      <c r="AB722" s="230"/>
      <c r="AC722" s="230"/>
      <c r="AD722" s="230"/>
      <c r="AE722" s="230"/>
      <c r="AF722" s="230"/>
      <c r="AG722" s="230"/>
      <c r="AH722" s="230"/>
      <c r="AI722" s="230"/>
      <c r="AJ722" s="230"/>
      <c r="AK722" s="230"/>
      <c r="AL722" s="230"/>
      <c r="AM722" s="230"/>
      <c r="AN722" s="230"/>
      <c r="AO722" s="230"/>
      <c r="AP722" s="230"/>
      <c r="AQ722" s="230"/>
      <c r="AR722" s="29"/>
      <c r="AS722" s="231"/>
      <c r="AT722" s="231"/>
      <c r="AU722" s="231"/>
      <c r="AV722" s="231"/>
      <c r="AW722" s="231"/>
      <c r="AX722" s="231"/>
      <c r="AY722" s="231"/>
      <c r="AZ722" s="231"/>
      <c r="BA722" s="231"/>
      <c r="BC722" s="82"/>
      <c r="BD722" s="82"/>
      <c r="BE722" s="82"/>
      <c r="BF722" s="82"/>
      <c r="BG722" s="82"/>
      <c r="BH722" s="83"/>
      <c r="BI722" s="83"/>
      <c r="BJ722" s="83"/>
      <c r="BK722" s="83"/>
      <c r="BL722" s="83"/>
      <c r="BM722" s="83"/>
      <c r="BN722" s="83"/>
      <c r="BO722" s="83"/>
      <c r="BP722" s="83"/>
      <c r="BQ722" s="83"/>
      <c r="BR722" s="83"/>
      <c r="BS722" s="83"/>
      <c r="BT722" s="83"/>
      <c r="BU722" s="83"/>
      <c r="BV722" s="83"/>
      <c r="BW722" s="83"/>
      <c r="BX722" s="83"/>
      <c r="BY722" s="83"/>
      <c r="BZ722" s="83"/>
      <c r="CA722" s="83"/>
      <c r="CB722" s="83"/>
      <c r="CC722" s="83"/>
      <c r="CD722" s="83"/>
      <c r="CE722" s="83"/>
      <c r="CF722" s="83"/>
      <c r="CG722" s="83"/>
      <c r="CH722" s="83"/>
      <c r="CI722" s="83"/>
      <c r="CJ722" s="83"/>
      <c r="CK722" s="83"/>
      <c r="CL722" s="83"/>
      <c r="CM722" s="83"/>
      <c r="CN722" s="83"/>
      <c r="CO722" s="83"/>
      <c r="CP722" s="83"/>
      <c r="CQ722" s="83"/>
      <c r="CR722" s="83"/>
      <c r="CS722" s="83"/>
      <c r="CT722" s="83"/>
      <c r="CU722" s="83"/>
      <c r="CV722" s="83"/>
      <c r="CW722" s="83"/>
      <c r="CX722" s="83"/>
      <c r="CY722" s="83"/>
      <c r="CZ722" s="83"/>
      <c r="DA722" s="83"/>
      <c r="DB722" s="83"/>
      <c r="DC722" s="83"/>
      <c r="DD722" s="83"/>
      <c r="DE722" s="83"/>
      <c r="DF722" s="83"/>
      <c r="DG722" s="82"/>
    </row>
    <row r="723" spans="2:111" ht="9" customHeight="1">
      <c r="B723" s="242"/>
      <c r="C723" s="242"/>
      <c r="D723" s="242"/>
      <c r="E723" s="242"/>
      <c r="F723" s="242"/>
      <c r="G723" s="242"/>
      <c r="H723" s="242"/>
      <c r="I723" s="242"/>
      <c r="J723" s="242"/>
      <c r="K723" s="242"/>
      <c r="L723" s="242"/>
      <c r="M723" s="242"/>
      <c r="N723" s="242"/>
      <c r="O723" s="29"/>
      <c r="P723" s="230"/>
      <c r="Q723" s="230"/>
      <c r="R723" s="230"/>
      <c r="S723" s="230"/>
      <c r="T723" s="230"/>
      <c r="U723" s="230"/>
      <c r="V723" s="230"/>
      <c r="W723" s="230"/>
      <c r="X723" s="230"/>
      <c r="Y723" s="230"/>
      <c r="Z723" s="230"/>
      <c r="AA723" s="230"/>
      <c r="AB723" s="230"/>
      <c r="AC723" s="230"/>
      <c r="AD723" s="230"/>
      <c r="AE723" s="230"/>
      <c r="AF723" s="230"/>
      <c r="AG723" s="230"/>
      <c r="AH723" s="230"/>
      <c r="AI723" s="230"/>
      <c r="AJ723" s="230"/>
      <c r="AK723" s="230"/>
      <c r="AL723" s="230"/>
      <c r="AM723" s="230"/>
      <c r="AN723" s="230"/>
      <c r="AO723" s="230"/>
      <c r="AP723" s="230"/>
      <c r="AQ723" s="230"/>
      <c r="AR723" s="29"/>
      <c r="AS723" s="231"/>
      <c r="AT723" s="231"/>
      <c r="AU723" s="231"/>
      <c r="AV723" s="231"/>
      <c r="AW723" s="231"/>
      <c r="AX723" s="231"/>
      <c r="AY723" s="231"/>
      <c r="AZ723" s="231"/>
      <c r="BA723" s="231"/>
      <c r="BC723" s="82"/>
      <c r="BD723" s="82"/>
      <c r="BE723" s="82"/>
      <c r="BF723" s="82"/>
      <c r="BG723" s="82"/>
      <c r="BH723" s="83"/>
      <c r="BI723" s="83"/>
      <c r="BJ723" s="83"/>
      <c r="BK723" s="83"/>
      <c r="BL723" s="83"/>
      <c r="BM723" s="83"/>
      <c r="BN723" s="83"/>
      <c r="BO723" s="83"/>
      <c r="BP723" s="83"/>
      <c r="BQ723" s="83"/>
      <c r="BR723" s="83"/>
      <c r="BS723" s="83"/>
      <c r="BT723" s="83"/>
      <c r="BU723" s="83"/>
      <c r="BV723" s="83"/>
      <c r="BW723" s="83"/>
      <c r="BX723" s="83"/>
      <c r="BY723" s="83"/>
      <c r="BZ723" s="83"/>
      <c r="CA723" s="83"/>
      <c r="CB723" s="83"/>
      <c r="CC723" s="83"/>
      <c r="CD723" s="83"/>
      <c r="CE723" s="83"/>
      <c r="CF723" s="83"/>
      <c r="CG723" s="83"/>
      <c r="CH723" s="83"/>
      <c r="CI723" s="83"/>
      <c r="CJ723" s="83"/>
      <c r="CK723" s="83"/>
      <c r="CL723" s="83"/>
      <c r="CM723" s="83"/>
      <c r="CN723" s="83"/>
      <c r="CO723" s="83"/>
      <c r="CP723" s="83"/>
      <c r="CQ723" s="83"/>
      <c r="CR723" s="83"/>
      <c r="CS723" s="83"/>
      <c r="CT723" s="83"/>
      <c r="CU723" s="83"/>
      <c r="CV723" s="83"/>
      <c r="CW723" s="83"/>
      <c r="CX723" s="83"/>
      <c r="CY723" s="83"/>
      <c r="CZ723" s="83"/>
      <c r="DA723" s="83"/>
      <c r="DB723" s="83"/>
      <c r="DC723" s="83"/>
      <c r="DD723" s="83"/>
      <c r="DE723" s="83"/>
      <c r="DF723" s="83"/>
      <c r="DG723" s="82"/>
    </row>
    <row r="724" spans="2:111" ht="12" customHeight="1">
      <c r="BC724" s="82"/>
      <c r="BD724" s="82"/>
      <c r="BE724" s="82"/>
      <c r="BF724" s="82"/>
      <c r="BG724" s="82"/>
      <c r="BH724" s="83"/>
      <c r="BI724" s="83"/>
      <c r="BJ724" s="83"/>
      <c r="BK724" s="83"/>
      <c r="BL724" s="83"/>
      <c r="BM724" s="83"/>
      <c r="BN724" s="83"/>
      <c r="BO724" s="83"/>
      <c r="BP724" s="83"/>
      <c r="BQ724" s="83"/>
      <c r="BR724" s="83"/>
      <c r="BS724" s="83"/>
      <c r="BT724" s="83"/>
      <c r="BU724" s="83"/>
      <c r="BV724" s="83"/>
      <c r="BW724" s="83"/>
      <c r="BX724" s="83"/>
      <c r="BY724" s="83"/>
      <c r="BZ724" s="83"/>
      <c r="CA724" s="83"/>
      <c r="CB724" s="83"/>
      <c r="CC724" s="83"/>
      <c r="CD724" s="83"/>
      <c r="CE724" s="83"/>
      <c r="CF724" s="83"/>
      <c r="CG724" s="83"/>
      <c r="CH724" s="83"/>
      <c r="CI724" s="83"/>
      <c r="CJ724" s="83"/>
      <c r="CK724" s="83"/>
      <c r="CL724" s="83"/>
      <c r="CM724" s="83"/>
      <c r="CN724" s="83"/>
      <c r="CO724" s="83"/>
      <c r="CP724" s="83"/>
      <c r="CQ724" s="83"/>
      <c r="CR724" s="83"/>
      <c r="CS724" s="83"/>
      <c r="CT724" s="83"/>
      <c r="CU724" s="83"/>
      <c r="CV724" s="83"/>
      <c r="CW724" s="83"/>
      <c r="CX724" s="83"/>
      <c r="CY724" s="83"/>
      <c r="CZ724" s="83"/>
      <c r="DA724" s="83"/>
      <c r="DB724" s="83"/>
      <c r="DC724" s="83"/>
      <c r="DD724" s="83"/>
      <c r="DE724" s="83"/>
      <c r="DF724" s="83"/>
      <c r="DG724" s="82"/>
    </row>
    <row r="725" spans="2:111" ht="9" customHeight="1">
      <c r="B725" s="232" t="str">
        <f>IF($U$629&gt;=5,"Etapa 1.5","")</f>
        <v>Etapa 1.5</v>
      </c>
      <c r="C725" s="232"/>
      <c r="D725" s="232"/>
      <c r="E725" s="232"/>
      <c r="F725" s="232"/>
      <c r="G725" s="232"/>
      <c r="I725" s="233" t="s">
        <v>516</v>
      </c>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c r="AI725" s="233"/>
      <c r="AJ725" s="233"/>
      <c r="AK725" s="233"/>
      <c r="AL725" s="233"/>
      <c r="AM725" s="233"/>
      <c r="AN725" s="233"/>
      <c r="AO725" s="233"/>
      <c r="AP725" s="233"/>
      <c r="AQ725" s="233"/>
      <c r="AS725" s="234">
        <f>IF(SUM(AS731:BA746)=0,"",SUM(AS731:BA746))</f>
        <v>127410</v>
      </c>
      <c r="AT725" s="234"/>
      <c r="AU725" s="234"/>
      <c r="AV725" s="234"/>
      <c r="AW725" s="234"/>
      <c r="AX725" s="234"/>
      <c r="AY725" s="234"/>
      <c r="AZ725" s="234"/>
      <c r="BA725" s="234"/>
      <c r="BC725" s="82"/>
      <c r="BD725" s="82"/>
      <c r="BE725" s="82"/>
      <c r="BF725" s="82"/>
      <c r="BG725" s="82"/>
      <c r="BH725" s="83"/>
      <c r="BI725" s="83"/>
      <c r="BJ725" s="83"/>
      <c r="BK725" s="83"/>
      <c r="BL725" s="83"/>
      <c r="BM725" s="83"/>
      <c r="BN725" s="83"/>
      <c r="BO725" s="83"/>
      <c r="BP725" s="83"/>
      <c r="BQ725" s="83"/>
      <c r="BR725" s="83"/>
      <c r="BS725" s="83"/>
      <c r="BT725" s="83"/>
      <c r="BU725" s="83"/>
      <c r="BV725" s="83"/>
      <c r="BW725" s="83"/>
      <c r="BX725" s="83"/>
      <c r="BY725" s="83"/>
      <c r="BZ725" s="83"/>
      <c r="CA725" s="83"/>
      <c r="CB725" s="83"/>
      <c r="CC725" s="83"/>
      <c r="CD725" s="83"/>
      <c r="CE725" s="83"/>
      <c r="CF725" s="83"/>
      <c r="CG725" s="83"/>
      <c r="CH725" s="83"/>
      <c r="CI725" s="83"/>
      <c r="CJ725" s="83"/>
      <c r="CK725" s="83"/>
      <c r="CL725" s="83"/>
      <c r="CM725" s="83"/>
      <c r="CN725" s="83"/>
      <c r="CO725" s="83"/>
      <c r="CP725" s="83"/>
      <c r="CQ725" s="83"/>
      <c r="CR725" s="83"/>
      <c r="CS725" s="83"/>
      <c r="CT725" s="83"/>
      <c r="CU725" s="83"/>
      <c r="CV725" s="83"/>
      <c r="CW725" s="83"/>
      <c r="CX725" s="83"/>
      <c r="CY725" s="83"/>
      <c r="CZ725" s="83"/>
      <c r="DA725" s="83"/>
      <c r="DB725" s="83"/>
      <c r="DC725" s="83"/>
      <c r="DD725" s="83"/>
      <c r="DE725" s="83"/>
      <c r="DF725" s="83"/>
      <c r="DG725" s="82"/>
    </row>
    <row r="726" spans="2:111" ht="9" customHeight="1">
      <c r="B726" s="232"/>
      <c r="C726" s="232"/>
      <c r="D726" s="232"/>
      <c r="E726" s="232"/>
      <c r="F726" s="232"/>
      <c r="G726" s="232"/>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S726" s="234"/>
      <c r="AT726" s="234"/>
      <c r="AU726" s="234"/>
      <c r="AV726" s="234"/>
      <c r="AW726" s="234"/>
      <c r="AX726" s="234"/>
      <c r="AY726" s="234"/>
      <c r="AZ726" s="234"/>
      <c r="BA726" s="234"/>
      <c r="BC726" s="82"/>
      <c r="BD726" s="82"/>
      <c r="BE726" s="82"/>
      <c r="BF726" s="82"/>
      <c r="BG726" s="82"/>
      <c r="BH726" s="83"/>
      <c r="BI726" s="83"/>
      <c r="BJ726" s="83"/>
      <c r="BK726" s="83"/>
      <c r="BL726" s="83"/>
      <c r="BM726" s="83"/>
      <c r="BN726" s="83"/>
      <c r="BO726" s="83"/>
      <c r="BP726" s="83"/>
      <c r="BQ726" s="83"/>
      <c r="BR726" s="83"/>
      <c r="BS726" s="83"/>
      <c r="BT726" s="83"/>
      <c r="BU726" s="83"/>
      <c r="BV726" s="83"/>
      <c r="BW726" s="83"/>
      <c r="BX726" s="83"/>
      <c r="BY726" s="83"/>
      <c r="BZ726" s="83"/>
      <c r="CA726" s="83"/>
      <c r="CB726" s="83"/>
      <c r="CC726" s="83"/>
      <c r="CD726" s="83"/>
      <c r="CE726" s="83"/>
      <c r="CF726" s="83"/>
      <c r="CG726" s="83"/>
      <c r="CH726" s="83"/>
      <c r="CI726" s="83"/>
      <c r="CJ726" s="83"/>
      <c r="CK726" s="83"/>
      <c r="CL726" s="83"/>
      <c r="CM726" s="83"/>
      <c r="CN726" s="83"/>
      <c r="CO726" s="83"/>
      <c r="CP726" s="83"/>
      <c r="CQ726" s="83"/>
      <c r="CR726" s="83"/>
      <c r="CS726" s="83"/>
      <c r="CT726" s="83"/>
      <c r="CU726" s="83"/>
      <c r="CV726" s="83"/>
      <c r="CW726" s="83"/>
      <c r="CX726" s="83"/>
      <c r="CY726" s="83"/>
      <c r="CZ726" s="83"/>
      <c r="DA726" s="83"/>
      <c r="DB726" s="83"/>
      <c r="DC726" s="83"/>
      <c r="DD726" s="83"/>
      <c r="DE726" s="83"/>
      <c r="DF726" s="83"/>
      <c r="DG726" s="82"/>
    </row>
    <row r="727" spans="2:111" ht="4.5" customHeight="1">
      <c r="BC727" s="82"/>
      <c r="BD727" s="82"/>
      <c r="BE727" s="82"/>
      <c r="BF727" s="82"/>
      <c r="BG727" s="82"/>
      <c r="BH727" s="83"/>
      <c r="BI727" s="83"/>
      <c r="BJ727" s="83"/>
      <c r="BK727" s="83"/>
      <c r="BL727" s="83"/>
      <c r="BM727" s="83"/>
      <c r="BN727" s="83"/>
      <c r="BO727" s="83"/>
      <c r="BP727" s="83"/>
      <c r="BQ727" s="83"/>
      <c r="BR727" s="83"/>
      <c r="BS727" s="83"/>
      <c r="BT727" s="83"/>
      <c r="BU727" s="83"/>
      <c r="BV727" s="83"/>
      <c r="BW727" s="83"/>
      <c r="BX727" s="83"/>
      <c r="BY727" s="83"/>
      <c r="BZ727" s="83"/>
      <c r="CA727" s="83"/>
      <c r="CB727" s="83"/>
      <c r="CC727" s="83"/>
      <c r="CD727" s="83"/>
      <c r="CE727" s="83"/>
      <c r="CF727" s="83"/>
      <c r="CG727" s="83"/>
      <c r="CH727" s="83"/>
      <c r="CI727" s="83"/>
      <c r="CJ727" s="83"/>
      <c r="CK727" s="83"/>
      <c r="CL727" s="83"/>
      <c r="CM727" s="83"/>
      <c r="CN727" s="83"/>
      <c r="CO727" s="83"/>
      <c r="CP727" s="83"/>
      <c r="CQ727" s="83"/>
      <c r="CR727" s="83"/>
      <c r="CS727" s="83"/>
      <c r="CT727" s="83"/>
      <c r="CU727" s="83"/>
      <c r="CV727" s="83"/>
      <c r="CW727" s="83"/>
      <c r="CX727" s="83"/>
      <c r="CY727" s="83"/>
      <c r="CZ727" s="83"/>
      <c r="DA727" s="83"/>
      <c r="DB727" s="83"/>
      <c r="DC727" s="83"/>
      <c r="DD727" s="83"/>
      <c r="DE727" s="83"/>
      <c r="DF727" s="83"/>
      <c r="DG727" s="82"/>
    </row>
    <row r="728" spans="2:111" ht="9" customHeight="1">
      <c r="I728" s="229" t="str">
        <f>IF($U$629&gt;=5,"Início:","")</f>
        <v>Início:</v>
      </c>
      <c r="J728" s="229"/>
      <c r="K728" s="229"/>
      <c r="L728" s="229"/>
      <c r="M728" s="229"/>
      <c r="N728" s="229"/>
      <c r="P728" s="235">
        <v>44228</v>
      </c>
      <c r="Q728" s="235"/>
      <c r="R728" s="235"/>
      <c r="S728" s="235"/>
      <c r="T728" s="235"/>
      <c r="U728" s="235"/>
      <c r="V728" s="235"/>
      <c r="W728" s="235"/>
      <c r="Y728" s="229" t="str">
        <f>IF($U$629&gt;=5,"Término:","")</f>
        <v>Término:</v>
      </c>
      <c r="Z728" s="229"/>
      <c r="AA728" s="229"/>
      <c r="AB728" s="229"/>
      <c r="AC728" s="229"/>
      <c r="AD728" s="229"/>
      <c r="AF728" s="235">
        <v>44409</v>
      </c>
      <c r="AG728" s="235"/>
      <c r="AH728" s="235"/>
      <c r="AI728" s="235"/>
      <c r="AJ728" s="235"/>
      <c r="AK728" s="235"/>
      <c r="AL728" s="235"/>
      <c r="AM728" s="235"/>
      <c r="AW728" s="236" t="str">
        <f>IF($U$629&gt;=5,"Valor (R$):","")</f>
        <v>Valor (R$):</v>
      </c>
      <c r="AX728" s="236"/>
      <c r="AY728" s="236"/>
      <c r="AZ728" s="236"/>
      <c r="BA728" s="236"/>
      <c r="BC728" s="82"/>
      <c r="BD728" s="82"/>
      <c r="BE728" s="82"/>
      <c r="BF728" s="82"/>
      <c r="BG728" s="82"/>
      <c r="BH728" s="82"/>
      <c r="BI728" s="82"/>
      <c r="BJ728" s="82"/>
      <c r="BK728" s="82"/>
      <c r="BL728" s="82"/>
      <c r="BM728" s="82"/>
      <c r="BN728" s="82"/>
      <c r="BO728" s="82"/>
      <c r="BP728" s="82"/>
      <c r="BQ728" s="82"/>
      <c r="BR728" s="82"/>
      <c r="BS728" s="82"/>
      <c r="BT728" s="82"/>
      <c r="BU728" s="82"/>
      <c r="BV728" s="82"/>
      <c r="BW728" s="82"/>
      <c r="BX728" s="82"/>
      <c r="BY728" s="82"/>
      <c r="BZ728" s="82"/>
      <c r="CA728" s="82"/>
      <c r="CB728" s="82"/>
      <c r="CC728" s="82"/>
      <c r="CD728" s="82"/>
      <c r="CE728" s="82"/>
      <c r="CF728" s="82"/>
      <c r="CG728" s="82"/>
      <c r="CH728" s="82"/>
      <c r="CI728" s="82"/>
      <c r="CJ728" s="82"/>
      <c r="CK728" s="82"/>
      <c r="CL728" s="82"/>
      <c r="CM728" s="82"/>
      <c r="CN728" s="82"/>
      <c r="CO728" s="82"/>
      <c r="CP728" s="82"/>
      <c r="CQ728" s="82"/>
      <c r="CR728" s="82"/>
      <c r="CS728" s="82"/>
      <c r="CT728" s="82"/>
      <c r="CU728" s="82"/>
      <c r="CV728" s="82"/>
      <c r="CW728" s="82"/>
      <c r="CX728" s="82"/>
      <c r="CY728" s="82"/>
      <c r="CZ728" s="82"/>
      <c r="DA728" s="82"/>
      <c r="DB728" s="82"/>
      <c r="DC728" s="82"/>
      <c r="DD728" s="82"/>
      <c r="DE728" s="82"/>
      <c r="DF728" s="82"/>
      <c r="DG728" s="82"/>
    </row>
    <row r="729" spans="2:111" ht="9" customHeight="1">
      <c r="I729" s="229"/>
      <c r="J729" s="229"/>
      <c r="K729" s="229"/>
      <c r="L729" s="229"/>
      <c r="M729" s="229"/>
      <c r="N729" s="229"/>
      <c r="P729" s="235"/>
      <c r="Q729" s="235"/>
      <c r="R729" s="235"/>
      <c r="S729" s="235"/>
      <c r="T729" s="235"/>
      <c r="U729" s="235"/>
      <c r="V729" s="235"/>
      <c r="W729" s="235"/>
      <c r="Y729" s="229"/>
      <c r="Z729" s="229"/>
      <c r="AA729" s="229"/>
      <c r="AB729" s="229"/>
      <c r="AC729" s="229"/>
      <c r="AD729" s="229"/>
      <c r="AF729" s="235"/>
      <c r="AG729" s="235"/>
      <c r="AH729" s="235"/>
      <c r="AI729" s="235"/>
      <c r="AJ729" s="235"/>
      <c r="AK729" s="235"/>
      <c r="AL729" s="235"/>
      <c r="AM729" s="235"/>
      <c r="AW729" s="236"/>
      <c r="AX729" s="236"/>
      <c r="AY729" s="236"/>
      <c r="AZ729" s="236"/>
      <c r="BA729" s="236"/>
      <c r="BC729" s="82"/>
      <c r="BD729" s="82"/>
      <c r="BE729" s="82"/>
      <c r="BF729" s="82"/>
      <c r="BG729" s="82"/>
      <c r="BH729" s="82"/>
      <c r="BI729" s="82"/>
      <c r="BJ729" s="82"/>
      <c r="BK729" s="82"/>
      <c r="BL729" s="82"/>
      <c r="BM729" s="82"/>
      <c r="BN729" s="82"/>
      <c r="BO729" s="82"/>
      <c r="BP729" s="82"/>
      <c r="BQ729" s="82"/>
      <c r="BR729" s="82"/>
      <c r="BS729" s="82"/>
      <c r="BT729" s="82"/>
      <c r="BU729" s="82"/>
      <c r="BV729" s="82"/>
      <c r="BW729" s="82"/>
      <c r="BX729" s="82"/>
      <c r="BY729" s="82"/>
      <c r="BZ729" s="82"/>
      <c r="CA729" s="82"/>
      <c r="CB729" s="82"/>
      <c r="CC729" s="82"/>
      <c r="CD729" s="82"/>
      <c r="CE729" s="82"/>
      <c r="CF729" s="82"/>
      <c r="CG729" s="82"/>
      <c r="CH729" s="82"/>
      <c r="CI729" s="82"/>
      <c r="CJ729" s="82"/>
      <c r="CK729" s="82"/>
      <c r="CL729" s="82"/>
      <c r="CM729" s="82"/>
      <c r="CN729" s="82"/>
      <c r="CO729" s="82"/>
      <c r="CP729" s="82"/>
      <c r="CQ729" s="82"/>
      <c r="CR729" s="82"/>
      <c r="CS729" s="82"/>
      <c r="CT729" s="82"/>
      <c r="CU729" s="82"/>
      <c r="CV729" s="82"/>
      <c r="CW729" s="82"/>
      <c r="CX729" s="82"/>
      <c r="CY729" s="82"/>
      <c r="CZ729" s="82"/>
      <c r="DA729" s="82"/>
      <c r="DB729" s="82"/>
      <c r="DC729" s="82"/>
      <c r="DD729" s="82"/>
      <c r="DE729" s="82"/>
      <c r="DF729" s="82"/>
      <c r="DG729" s="82"/>
    </row>
    <row r="730" spans="2:111" ht="4.5" customHeight="1">
      <c r="BC730" s="82"/>
      <c r="BD730" s="82"/>
      <c r="BE730" s="82"/>
      <c r="BF730" s="82"/>
      <c r="BG730" s="82"/>
      <c r="BH730" s="82"/>
      <c r="BI730" s="82"/>
      <c r="BJ730" s="82"/>
      <c r="BK730" s="82"/>
      <c r="BL730" s="82"/>
      <c r="BM730" s="82"/>
      <c r="BN730" s="82"/>
      <c r="BO730" s="82"/>
      <c r="BP730" s="82"/>
      <c r="BQ730" s="82"/>
      <c r="BR730" s="82"/>
      <c r="BS730" s="82"/>
      <c r="BT730" s="82"/>
      <c r="BU730" s="82"/>
      <c r="BV730" s="82"/>
      <c r="BW730" s="82"/>
      <c r="BX730" s="82"/>
      <c r="BY730" s="82"/>
      <c r="BZ730" s="82"/>
      <c r="CA730" s="82"/>
      <c r="CB730" s="82"/>
      <c r="CC730" s="82"/>
      <c r="CD730" s="82"/>
      <c r="CE730" s="82"/>
      <c r="CF730" s="82"/>
      <c r="CG730" s="82"/>
      <c r="CH730" s="82"/>
      <c r="CI730" s="82"/>
      <c r="CJ730" s="82"/>
      <c r="CK730" s="82"/>
      <c r="CL730" s="82"/>
      <c r="CM730" s="82"/>
      <c r="CN730" s="82"/>
      <c r="CO730" s="82"/>
      <c r="CP730" s="82"/>
      <c r="CQ730" s="82"/>
      <c r="CR730" s="82"/>
      <c r="CS730" s="82"/>
      <c r="CT730" s="82"/>
      <c r="CU730" s="82"/>
      <c r="CV730" s="82"/>
      <c r="CW730" s="82"/>
      <c r="CX730" s="82"/>
      <c r="CY730" s="82"/>
      <c r="CZ730" s="82"/>
      <c r="DA730" s="82"/>
      <c r="DB730" s="82"/>
      <c r="DC730" s="82"/>
      <c r="DD730" s="82"/>
      <c r="DE730" s="82"/>
      <c r="DF730" s="82"/>
      <c r="DG730" s="82"/>
    </row>
    <row r="731" spans="2:111" ht="9" customHeight="1">
      <c r="B731" s="229" t="str">
        <f>IF($U$629&gt;=5,"Elementos de Despesa:","")</f>
        <v>Elementos de Despesa:</v>
      </c>
      <c r="C731" s="229"/>
      <c r="D731" s="229"/>
      <c r="E731" s="229"/>
      <c r="F731" s="229"/>
      <c r="G731" s="229"/>
      <c r="H731" s="229"/>
      <c r="I731" s="229"/>
      <c r="J731" s="229"/>
      <c r="K731" s="229"/>
      <c r="L731" s="229"/>
      <c r="M731" s="229"/>
      <c r="N731" s="229"/>
      <c r="P731" s="230" t="s">
        <v>216</v>
      </c>
      <c r="Q731" s="230"/>
      <c r="R731" s="230"/>
      <c r="S731" s="230"/>
      <c r="T731" s="230"/>
      <c r="U731" s="230"/>
      <c r="V731" s="230"/>
      <c r="W731" s="230"/>
      <c r="X731" s="230"/>
      <c r="Y731" s="230"/>
      <c r="Z731" s="230"/>
      <c r="AA731" s="230"/>
      <c r="AB731" s="230"/>
      <c r="AC731" s="230"/>
      <c r="AD731" s="230"/>
      <c r="AE731" s="230"/>
      <c r="AF731" s="230"/>
      <c r="AG731" s="230"/>
      <c r="AH731" s="230"/>
      <c r="AI731" s="230"/>
      <c r="AJ731" s="230"/>
      <c r="AK731" s="230"/>
      <c r="AL731" s="230"/>
      <c r="AM731" s="230"/>
      <c r="AN731" s="230"/>
      <c r="AO731" s="230"/>
      <c r="AP731" s="230"/>
      <c r="AQ731" s="230"/>
      <c r="AS731" s="231">
        <v>127410</v>
      </c>
      <c r="AT731" s="231"/>
      <c r="AU731" s="231"/>
      <c r="AV731" s="231"/>
      <c r="AW731" s="231"/>
      <c r="AX731" s="231"/>
      <c r="AY731" s="231"/>
      <c r="AZ731" s="231"/>
      <c r="BA731" s="231"/>
      <c r="BC731" s="82"/>
      <c r="BD731" s="82"/>
      <c r="BE731" s="82"/>
      <c r="BF731" s="82"/>
      <c r="BG731" s="82"/>
      <c r="BH731" s="82"/>
      <c r="BI731" s="82"/>
      <c r="BJ731" s="82"/>
      <c r="BK731" s="82"/>
      <c r="BL731" s="82"/>
      <c r="BM731" s="82"/>
      <c r="BN731" s="82"/>
      <c r="BO731" s="82"/>
      <c r="BP731" s="82"/>
      <c r="BQ731" s="82"/>
      <c r="BR731" s="82"/>
      <c r="BS731" s="82"/>
      <c r="BT731" s="82"/>
      <c r="BU731" s="82"/>
      <c r="BV731" s="82"/>
      <c r="BW731" s="82"/>
      <c r="BX731" s="82"/>
      <c r="BY731" s="82"/>
      <c r="BZ731" s="82"/>
      <c r="CA731" s="82"/>
      <c r="CB731" s="82"/>
      <c r="CC731" s="82"/>
      <c r="CD731" s="82"/>
      <c r="CE731" s="82"/>
      <c r="CF731" s="82"/>
      <c r="CG731" s="82"/>
      <c r="CH731" s="82"/>
      <c r="CI731" s="82"/>
      <c r="CJ731" s="82"/>
      <c r="CK731" s="82"/>
      <c r="CL731" s="82"/>
      <c r="CM731" s="82"/>
      <c r="CN731" s="82"/>
      <c r="CO731" s="82"/>
      <c r="CP731" s="82"/>
      <c r="CQ731" s="82"/>
      <c r="CR731" s="82"/>
      <c r="CS731" s="82"/>
      <c r="CT731" s="82"/>
      <c r="CU731" s="82"/>
      <c r="CV731" s="82"/>
      <c r="CW731" s="82"/>
      <c r="CX731" s="82"/>
      <c r="CY731" s="82"/>
      <c r="CZ731" s="82"/>
      <c r="DA731" s="82"/>
      <c r="DB731" s="82"/>
      <c r="DC731" s="82"/>
      <c r="DD731" s="82"/>
      <c r="DE731" s="82"/>
      <c r="DF731" s="82"/>
      <c r="DG731" s="82"/>
    </row>
    <row r="732" spans="2:111" ht="9" customHeight="1">
      <c r="B732" s="229"/>
      <c r="C732" s="229"/>
      <c r="D732" s="229"/>
      <c r="E732" s="229"/>
      <c r="F732" s="229"/>
      <c r="G732" s="229"/>
      <c r="H732" s="229"/>
      <c r="I732" s="229"/>
      <c r="J732" s="229"/>
      <c r="K732" s="229"/>
      <c r="L732" s="229"/>
      <c r="M732" s="229"/>
      <c r="N732" s="229"/>
      <c r="P732" s="230"/>
      <c r="Q732" s="230"/>
      <c r="R732" s="230"/>
      <c r="S732" s="230"/>
      <c r="T732" s="230"/>
      <c r="U732" s="230"/>
      <c r="V732" s="230"/>
      <c r="W732" s="230"/>
      <c r="X732" s="230"/>
      <c r="Y732" s="230"/>
      <c r="Z732" s="230"/>
      <c r="AA732" s="230"/>
      <c r="AB732" s="230"/>
      <c r="AC732" s="230"/>
      <c r="AD732" s="230"/>
      <c r="AE732" s="230"/>
      <c r="AF732" s="230"/>
      <c r="AG732" s="230"/>
      <c r="AH732" s="230"/>
      <c r="AI732" s="230"/>
      <c r="AJ732" s="230"/>
      <c r="AK732" s="230"/>
      <c r="AL732" s="230"/>
      <c r="AM732" s="230"/>
      <c r="AN732" s="230"/>
      <c r="AO732" s="230"/>
      <c r="AP732" s="230"/>
      <c r="AQ732" s="230"/>
      <c r="AS732" s="231"/>
      <c r="AT732" s="231"/>
      <c r="AU732" s="231"/>
      <c r="AV732" s="231"/>
      <c r="AW732" s="231"/>
      <c r="AX732" s="231"/>
      <c r="AY732" s="231"/>
      <c r="AZ732" s="231"/>
      <c r="BA732" s="231"/>
      <c r="BC732" s="82"/>
      <c r="BD732" s="82"/>
      <c r="BE732" s="82"/>
      <c r="BF732" s="82"/>
      <c r="BG732" s="82"/>
      <c r="BH732" s="82"/>
      <c r="BI732" s="82"/>
      <c r="BJ732" s="82"/>
      <c r="BK732" s="82"/>
      <c r="BL732" s="82"/>
      <c r="BM732" s="82"/>
      <c r="BN732" s="82"/>
      <c r="BO732" s="82"/>
      <c r="BP732" s="82"/>
      <c r="BQ732" s="82"/>
      <c r="BR732" s="82"/>
      <c r="BS732" s="82"/>
      <c r="BT732" s="82"/>
      <c r="BU732" s="82"/>
      <c r="BV732" s="82"/>
      <c r="BW732" s="82"/>
      <c r="BX732" s="82"/>
      <c r="BY732" s="82"/>
      <c r="BZ732" s="82"/>
      <c r="CA732" s="82"/>
      <c r="CB732" s="82"/>
      <c r="CC732" s="82"/>
      <c r="CD732" s="82"/>
      <c r="CE732" s="82"/>
      <c r="CF732" s="82"/>
      <c r="CG732" s="82"/>
      <c r="CH732" s="82"/>
      <c r="CI732" s="82"/>
      <c r="CJ732" s="82"/>
      <c r="CK732" s="82"/>
      <c r="CL732" s="82"/>
      <c r="CM732" s="82"/>
      <c r="CN732" s="82"/>
      <c r="CO732" s="82"/>
      <c r="CP732" s="82"/>
      <c r="CQ732" s="82"/>
      <c r="CR732" s="82"/>
      <c r="CS732" s="82"/>
      <c r="CT732" s="82"/>
      <c r="CU732" s="82"/>
      <c r="CV732" s="82"/>
      <c r="CW732" s="82"/>
      <c r="CX732" s="82"/>
      <c r="CY732" s="82"/>
      <c r="CZ732" s="82"/>
      <c r="DA732" s="82"/>
      <c r="DB732" s="82"/>
      <c r="DC732" s="82"/>
      <c r="DD732" s="82"/>
      <c r="DE732" s="82"/>
      <c r="DF732" s="82"/>
      <c r="DG732" s="82"/>
    </row>
    <row r="733" spans="2:111" ht="9" customHeight="1">
      <c r="B733" s="229"/>
      <c r="C733" s="229"/>
      <c r="D733" s="229"/>
      <c r="E733" s="229"/>
      <c r="F733" s="229"/>
      <c r="G733" s="229"/>
      <c r="H733" s="229"/>
      <c r="I733" s="229"/>
      <c r="J733" s="229"/>
      <c r="K733" s="229"/>
      <c r="L733" s="229"/>
      <c r="M733" s="229"/>
      <c r="N733" s="229"/>
      <c r="P733" s="230"/>
      <c r="Q733" s="230"/>
      <c r="R733" s="230"/>
      <c r="S733" s="230"/>
      <c r="T733" s="230"/>
      <c r="U733" s="230"/>
      <c r="V733" s="230"/>
      <c r="W733" s="230"/>
      <c r="X733" s="230"/>
      <c r="Y733" s="230"/>
      <c r="Z733" s="230"/>
      <c r="AA733" s="230"/>
      <c r="AB733" s="230"/>
      <c r="AC733" s="230"/>
      <c r="AD733" s="230"/>
      <c r="AE733" s="230"/>
      <c r="AF733" s="230"/>
      <c r="AG733" s="230"/>
      <c r="AH733" s="230"/>
      <c r="AI733" s="230"/>
      <c r="AJ733" s="230"/>
      <c r="AK733" s="230"/>
      <c r="AL733" s="230"/>
      <c r="AM733" s="230"/>
      <c r="AN733" s="230"/>
      <c r="AO733" s="230"/>
      <c r="AP733" s="230"/>
      <c r="AQ733" s="230"/>
      <c r="AS733" s="231"/>
      <c r="AT733" s="231"/>
      <c r="AU733" s="231"/>
      <c r="AV733" s="231"/>
      <c r="AW733" s="231"/>
      <c r="AX733" s="231"/>
      <c r="AY733" s="231"/>
      <c r="AZ733" s="231"/>
      <c r="BA733" s="231"/>
      <c r="BC733" s="82"/>
      <c r="BD733" s="82"/>
      <c r="BE733" s="82"/>
      <c r="BF733" s="82"/>
      <c r="BG733" s="82"/>
      <c r="BH733" s="82"/>
      <c r="BI733" s="82"/>
      <c r="BJ733" s="82"/>
      <c r="BK733" s="82"/>
      <c r="BL733" s="82"/>
      <c r="BM733" s="82"/>
      <c r="BN733" s="82"/>
      <c r="BO733" s="82"/>
      <c r="BP733" s="82"/>
      <c r="BQ733" s="82"/>
      <c r="BR733" s="82"/>
      <c r="BS733" s="82"/>
      <c r="BT733" s="82"/>
      <c r="BU733" s="82"/>
      <c r="BV733" s="82"/>
      <c r="BW733" s="82"/>
      <c r="BX733" s="82"/>
      <c r="BY733" s="82"/>
      <c r="BZ733" s="82"/>
      <c r="CA733" s="82"/>
      <c r="CB733" s="82"/>
      <c r="CC733" s="82"/>
      <c r="CD733" s="82"/>
      <c r="CE733" s="82"/>
      <c r="CF733" s="82"/>
      <c r="CG733" s="82"/>
      <c r="CH733" s="82"/>
      <c r="CI733" s="82"/>
      <c r="CJ733" s="82"/>
      <c r="CK733" s="82"/>
      <c r="CL733" s="82"/>
      <c r="CM733" s="82"/>
      <c r="CN733" s="82"/>
      <c r="CO733" s="82"/>
      <c r="CP733" s="82"/>
      <c r="CQ733" s="82"/>
      <c r="CR733" s="82"/>
      <c r="CS733" s="82"/>
      <c r="CT733" s="82"/>
      <c r="CU733" s="82"/>
      <c r="CV733" s="82"/>
      <c r="CW733" s="82"/>
      <c r="CX733" s="82"/>
      <c r="CY733" s="82"/>
      <c r="CZ733" s="82"/>
      <c r="DA733" s="82"/>
      <c r="DB733" s="82"/>
      <c r="DC733" s="82"/>
      <c r="DD733" s="82"/>
      <c r="DE733" s="82"/>
      <c r="DF733" s="82"/>
      <c r="DG733" s="82"/>
    </row>
    <row r="734" spans="2:111" ht="9" customHeight="1">
      <c r="B734" s="229"/>
      <c r="C734" s="229"/>
      <c r="D734" s="229"/>
      <c r="E734" s="229"/>
      <c r="F734" s="229"/>
      <c r="G734" s="229"/>
      <c r="H734" s="229"/>
      <c r="I734" s="229"/>
      <c r="J734" s="229"/>
      <c r="K734" s="229"/>
      <c r="L734" s="229"/>
      <c r="M734" s="229"/>
      <c r="N734" s="229"/>
      <c r="P734" s="230"/>
      <c r="Q734" s="230"/>
      <c r="R734" s="230"/>
      <c r="S734" s="230"/>
      <c r="T734" s="230"/>
      <c r="U734" s="230"/>
      <c r="V734" s="230"/>
      <c r="W734" s="230"/>
      <c r="X734" s="230"/>
      <c r="Y734" s="230"/>
      <c r="Z734" s="230"/>
      <c r="AA734" s="230"/>
      <c r="AB734" s="230"/>
      <c r="AC734" s="230"/>
      <c r="AD734" s="230"/>
      <c r="AE734" s="230"/>
      <c r="AF734" s="230"/>
      <c r="AG734" s="230"/>
      <c r="AH734" s="230"/>
      <c r="AI734" s="230"/>
      <c r="AJ734" s="230"/>
      <c r="AK734" s="230"/>
      <c r="AL734" s="230"/>
      <c r="AM734" s="230"/>
      <c r="AN734" s="230"/>
      <c r="AO734" s="230"/>
      <c r="AP734" s="230"/>
      <c r="AQ734" s="230"/>
      <c r="AS734" s="231"/>
      <c r="AT734" s="231"/>
      <c r="AU734" s="231"/>
      <c r="AV734" s="231"/>
      <c r="AW734" s="231"/>
      <c r="AX734" s="231"/>
      <c r="AY734" s="231"/>
      <c r="AZ734" s="231"/>
      <c r="BA734" s="231"/>
      <c r="BC734" s="82"/>
      <c r="BD734" s="82"/>
      <c r="BE734" s="82"/>
      <c r="BF734" s="82"/>
      <c r="BG734" s="82"/>
      <c r="BH734" s="83"/>
      <c r="BI734" s="83"/>
      <c r="BJ734" s="83"/>
      <c r="BK734" s="83"/>
      <c r="BL734" s="83"/>
      <c r="BM734" s="83"/>
      <c r="BN734" s="83"/>
      <c r="BO734" s="83"/>
      <c r="BP734" s="83"/>
      <c r="BQ734" s="83"/>
      <c r="BR734" s="83"/>
      <c r="BS734" s="83"/>
      <c r="BT734" s="83"/>
      <c r="BU734" s="83"/>
      <c r="BV734" s="83"/>
      <c r="BW734" s="83"/>
      <c r="BX734" s="83"/>
      <c r="BY734" s="83"/>
      <c r="BZ734" s="83"/>
      <c r="CA734" s="83"/>
      <c r="CB734" s="83"/>
      <c r="CC734" s="83"/>
      <c r="CD734" s="83"/>
      <c r="CE734" s="83"/>
      <c r="CF734" s="83"/>
      <c r="CG734" s="83"/>
      <c r="CH734" s="83"/>
      <c r="CI734" s="83"/>
      <c r="CJ734" s="83"/>
      <c r="CK734" s="83"/>
      <c r="CL734" s="83"/>
      <c r="CM734" s="83"/>
      <c r="CN734" s="83"/>
      <c r="CO734" s="83"/>
      <c r="CP734" s="83"/>
      <c r="CQ734" s="83"/>
      <c r="CR734" s="83"/>
      <c r="CS734" s="83"/>
      <c r="CT734" s="83"/>
      <c r="CU734" s="83"/>
      <c r="CV734" s="83"/>
      <c r="CW734" s="83"/>
      <c r="CX734" s="83"/>
      <c r="CY734" s="83"/>
      <c r="CZ734" s="83"/>
      <c r="DA734" s="83"/>
      <c r="DB734" s="83"/>
      <c r="DC734" s="83"/>
      <c r="DD734" s="83"/>
      <c r="DE734" s="83"/>
      <c r="DF734" s="83"/>
      <c r="DG734" s="82"/>
    </row>
    <row r="735" spans="2:111" ht="9" customHeight="1">
      <c r="B735" s="229"/>
      <c r="C735" s="229"/>
      <c r="D735" s="229"/>
      <c r="E735" s="229"/>
      <c r="F735" s="229"/>
      <c r="G735" s="229"/>
      <c r="H735" s="229"/>
      <c r="I735" s="229"/>
      <c r="J735" s="229"/>
      <c r="K735" s="229"/>
      <c r="L735" s="229"/>
      <c r="M735" s="229"/>
      <c r="N735" s="229"/>
      <c r="P735" s="230"/>
      <c r="Q735" s="230"/>
      <c r="R735" s="230"/>
      <c r="S735" s="230"/>
      <c r="T735" s="230"/>
      <c r="U735" s="230"/>
      <c r="V735" s="230"/>
      <c r="W735" s="230"/>
      <c r="X735" s="230"/>
      <c r="Y735" s="230"/>
      <c r="Z735" s="230"/>
      <c r="AA735" s="230"/>
      <c r="AB735" s="230"/>
      <c r="AC735" s="230"/>
      <c r="AD735" s="230"/>
      <c r="AE735" s="230"/>
      <c r="AF735" s="230"/>
      <c r="AG735" s="230"/>
      <c r="AH735" s="230"/>
      <c r="AI735" s="230"/>
      <c r="AJ735" s="230"/>
      <c r="AK735" s="230"/>
      <c r="AL735" s="230"/>
      <c r="AM735" s="230"/>
      <c r="AN735" s="230"/>
      <c r="AO735" s="230"/>
      <c r="AP735" s="230"/>
      <c r="AQ735" s="230"/>
      <c r="AS735" s="231"/>
      <c r="AT735" s="231"/>
      <c r="AU735" s="231"/>
      <c r="AV735" s="231"/>
      <c r="AW735" s="231"/>
      <c r="AX735" s="231"/>
      <c r="AY735" s="231"/>
      <c r="AZ735" s="231"/>
      <c r="BA735" s="231"/>
      <c r="BC735" s="82"/>
      <c r="BD735" s="82"/>
      <c r="BE735" s="82"/>
      <c r="BF735" s="82"/>
      <c r="BG735" s="82"/>
      <c r="BH735" s="82"/>
      <c r="BI735" s="82"/>
      <c r="BJ735" s="82"/>
      <c r="BK735" s="82"/>
      <c r="BL735" s="82"/>
      <c r="BM735" s="82"/>
      <c r="BN735" s="82"/>
      <c r="BO735" s="82"/>
      <c r="BP735" s="82"/>
      <c r="BQ735" s="82"/>
      <c r="BR735" s="82"/>
      <c r="BS735" s="82"/>
      <c r="BT735" s="82"/>
      <c r="BU735" s="82"/>
      <c r="BV735" s="82"/>
      <c r="BW735" s="82"/>
      <c r="BX735" s="82"/>
      <c r="BY735" s="82"/>
      <c r="BZ735" s="82"/>
      <c r="CA735" s="82"/>
      <c r="CB735" s="82"/>
      <c r="CC735" s="82"/>
      <c r="CD735" s="82"/>
      <c r="CE735" s="82"/>
      <c r="CF735" s="82"/>
      <c r="CG735" s="82"/>
      <c r="CH735" s="82"/>
      <c r="CI735" s="82"/>
      <c r="CJ735" s="82"/>
      <c r="CK735" s="82"/>
      <c r="CL735" s="82"/>
      <c r="CM735" s="82"/>
      <c r="CN735" s="82"/>
      <c r="CO735" s="82"/>
      <c r="CP735" s="82"/>
      <c r="CQ735" s="82"/>
      <c r="CR735" s="82"/>
      <c r="CS735" s="82"/>
      <c r="CT735" s="82"/>
      <c r="CU735" s="82"/>
      <c r="CV735" s="82"/>
      <c r="CW735" s="82"/>
      <c r="CX735" s="82"/>
      <c r="CY735" s="82"/>
      <c r="CZ735" s="82"/>
      <c r="DA735" s="82"/>
      <c r="DB735" s="82"/>
      <c r="DC735" s="82"/>
      <c r="DD735" s="82"/>
      <c r="DE735" s="82"/>
      <c r="DF735" s="82"/>
      <c r="DG735" s="82"/>
    </row>
    <row r="736" spans="2:111" ht="9" customHeight="1">
      <c r="B736" s="229"/>
      <c r="C736" s="229"/>
      <c r="D736" s="229"/>
      <c r="E736" s="229"/>
      <c r="F736" s="229"/>
      <c r="G736" s="229"/>
      <c r="H736" s="229"/>
      <c r="I736" s="229"/>
      <c r="J736" s="229"/>
      <c r="K736" s="229"/>
      <c r="L736" s="229"/>
      <c r="M736" s="229"/>
      <c r="N736" s="229"/>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S736" s="231"/>
      <c r="AT736" s="231"/>
      <c r="AU736" s="231"/>
      <c r="AV736" s="231"/>
      <c r="AW736" s="231"/>
      <c r="AX736" s="231"/>
      <c r="AY736" s="231"/>
      <c r="AZ736" s="231"/>
      <c r="BA736" s="231"/>
      <c r="BC736" s="82"/>
      <c r="BD736" s="82"/>
      <c r="BE736" s="82"/>
      <c r="BF736" s="82"/>
      <c r="BG736" s="82"/>
      <c r="BH736" s="82"/>
      <c r="BI736" s="82"/>
      <c r="BJ736" s="82"/>
      <c r="BK736" s="82"/>
      <c r="BL736" s="82"/>
      <c r="BM736" s="82"/>
      <c r="BN736" s="82"/>
      <c r="BO736" s="82"/>
      <c r="BP736" s="82"/>
      <c r="BQ736" s="82"/>
      <c r="BR736" s="82"/>
      <c r="BS736" s="82"/>
      <c r="BT736" s="82"/>
      <c r="BU736" s="82"/>
      <c r="BV736" s="82"/>
      <c r="BW736" s="82"/>
      <c r="BX736" s="82"/>
      <c r="BY736" s="82"/>
      <c r="BZ736" s="82"/>
      <c r="CA736" s="82"/>
      <c r="CB736" s="82"/>
      <c r="CC736" s="82"/>
      <c r="CD736" s="82"/>
      <c r="CE736" s="82"/>
      <c r="CF736" s="82"/>
      <c r="CG736" s="82"/>
      <c r="CH736" s="82"/>
      <c r="CI736" s="82"/>
      <c r="CJ736" s="82"/>
      <c r="CK736" s="82"/>
      <c r="CL736" s="82"/>
      <c r="CM736" s="82"/>
      <c r="CN736" s="82"/>
      <c r="CO736" s="82"/>
      <c r="CP736" s="82"/>
      <c r="CQ736" s="82"/>
      <c r="CR736" s="82"/>
      <c r="CS736" s="82"/>
      <c r="CT736" s="82"/>
      <c r="CU736" s="82"/>
      <c r="CV736" s="82"/>
      <c r="CW736" s="82"/>
      <c r="CX736" s="82"/>
      <c r="CY736" s="82"/>
      <c r="CZ736" s="82"/>
      <c r="DA736" s="82"/>
      <c r="DB736" s="82"/>
      <c r="DC736" s="82"/>
      <c r="DD736" s="82"/>
      <c r="DE736" s="82"/>
      <c r="DF736" s="82"/>
      <c r="DG736" s="82"/>
    </row>
    <row r="737" spans="2:111" ht="9" customHeight="1">
      <c r="B737" s="229"/>
      <c r="C737" s="229"/>
      <c r="D737" s="229"/>
      <c r="E737" s="229"/>
      <c r="F737" s="229"/>
      <c r="G737" s="229"/>
      <c r="H737" s="229"/>
      <c r="I737" s="229"/>
      <c r="J737" s="229"/>
      <c r="K737" s="229"/>
      <c r="L737" s="229"/>
      <c r="M737" s="229"/>
      <c r="N737" s="229"/>
      <c r="P737" s="230"/>
      <c r="Q737" s="230"/>
      <c r="R737" s="230"/>
      <c r="S737" s="230"/>
      <c r="T737" s="230"/>
      <c r="U737" s="230"/>
      <c r="V737" s="230"/>
      <c r="W737" s="230"/>
      <c r="X737" s="230"/>
      <c r="Y737" s="230"/>
      <c r="Z737" s="230"/>
      <c r="AA737" s="230"/>
      <c r="AB737" s="230"/>
      <c r="AC737" s="230"/>
      <c r="AD737" s="230"/>
      <c r="AE737" s="230"/>
      <c r="AF737" s="230"/>
      <c r="AG737" s="230"/>
      <c r="AH737" s="230"/>
      <c r="AI737" s="230"/>
      <c r="AJ737" s="230"/>
      <c r="AK737" s="230"/>
      <c r="AL737" s="230"/>
      <c r="AM737" s="230"/>
      <c r="AN737" s="230"/>
      <c r="AO737" s="230"/>
      <c r="AP737" s="230"/>
      <c r="AQ737" s="230"/>
      <c r="AS737" s="231"/>
      <c r="AT737" s="231"/>
      <c r="AU737" s="231"/>
      <c r="AV737" s="231"/>
      <c r="AW737" s="231"/>
      <c r="AX737" s="231"/>
      <c r="AY737" s="231"/>
      <c r="AZ737" s="231"/>
      <c r="BA737" s="231"/>
      <c r="BC737" s="82"/>
      <c r="BD737" s="82"/>
      <c r="BE737" s="82"/>
      <c r="BF737" s="82"/>
      <c r="BG737" s="82"/>
      <c r="BH737" s="82"/>
      <c r="BI737" s="82"/>
      <c r="BJ737" s="82"/>
      <c r="BK737" s="82"/>
      <c r="BL737" s="82"/>
      <c r="BM737" s="82"/>
      <c r="BN737" s="82"/>
      <c r="BO737" s="82"/>
      <c r="BP737" s="82"/>
      <c r="BQ737" s="82"/>
      <c r="BR737" s="82"/>
      <c r="BS737" s="82"/>
      <c r="BT737" s="82"/>
      <c r="BU737" s="82"/>
      <c r="BV737" s="82"/>
      <c r="BW737" s="82"/>
      <c r="BX737" s="82"/>
      <c r="BY737" s="82"/>
      <c r="BZ737" s="82"/>
      <c r="CA737" s="82"/>
      <c r="CB737" s="82"/>
      <c r="CC737" s="82"/>
      <c r="CD737" s="82"/>
      <c r="CE737" s="82"/>
      <c r="CF737" s="82"/>
      <c r="CG737" s="82"/>
      <c r="CH737" s="82"/>
      <c r="CI737" s="82"/>
      <c r="CJ737" s="82"/>
      <c r="CK737" s="82"/>
      <c r="CL737" s="82"/>
      <c r="CM737" s="82"/>
      <c r="CN737" s="82"/>
      <c r="CO737" s="82"/>
      <c r="CP737" s="82"/>
      <c r="CQ737" s="82"/>
      <c r="CR737" s="82"/>
      <c r="CS737" s="82"/>
      <c r="CT737" s="82"/>
      <c r="CU737" s="82"/>
      <c r="CV737" s="82"/>
      <c r="CW737" s="82"/>
      <c r="CX737" s="82"/>
      <c r="CY737" s="82"/>
      <c r="CZ737" s="82"/>
      <c r="DA737" s="82"/>
      <c r="DB737" s="82"/>
      <c r="DC737" s="82"/>
      <c r="DD737" s="82"/>
      <c r="DE737" s="82"/>
      <c r="DF737" s="82"/>
      <c r="DG737" s="82"/>
    </row>
    <row r="738" spans="2:111" ht="9" customHeight="1">
      <c r="B738" s="229"/>
      <c r="C738" s="229"/>
      <c r="D738" s="229"/>
      <c r="E738" s="229"/>
      <c r="F738" s="229"/>
      <c r="G738" s="229"/>
      <c r="H738" s="229"/>
      <c r="I738" s="229"/>
      <c r="J738" s="229"/>
      <c r="K738" s="229"/>
      <c r="L738" s="229"/>
      <c r="M738" s="229"/>
      <c r="N738" s="229"/>
      <c r="P738" s="230"/>
      <c r="Q738" s="230"/>
      <c r="R738" s="230"/>
      <c r="S738" s="230"/>
      <c r="T738" s="230"/>
      <c r="U738" s="230"/>
      <c r="V738" s="230"/>
      <c r="W738" s="230"/>
      <c r="X738" s="230"/>
      <c r="Y738" s="230"/>
      <c r="Z738" s="230"/>
      <c r="AA738" s="230"/>
      <c r="AB738" s="230"/>
      <c r="AC738" s="230"/>
      <c r="AD738" s="230"/>
      <c r="AE738" s="230"/>
      <c r="AF738" s="230"/>
      <c r="AG738" s="230"/>
      <c r="AH738" s="230"/>
      <c r="AI738" s="230"/>
      <c r="AJ738" s="230"/>
      <c r="AK738" s="230"/>
      <c r="AL738" s="230"/>
      <c r="AM738" s="230"/>
      <c r="AN738" s="230"/>
      <c r="AO738" s="230"/>
      <c r="AP738" s="230"/>
      <c r="AQ738" s="230"/>
      <c r="AS738" s="231"/>
      <c r="AT738" s="231"/>
      <c r="AU738" s="231"/>
      <c r="AV738" s="231"/>
      <c r="AW738" s="231"/>
      <c r="AX738" s="231"/>
      <c r="AY738" s="231"/>
      <c r="AZ738" s="231"/>
      <c r="BA738" s="231"/>
      <c r="BC738" s="82"/>
      <c r="BD738" s="82"/>
      <c r="BE738" s="82"/>
      <c r="BF738" s="82"/>
      <c r="BG738" s="82"/>
      <c r="BH738" s="83"/>
      <c r="BI738" s="83"/>
      <c r="BJ738" s="83"/>
      <c r="BK738" s="83"/>
      <c r="BL738" s="83"/>
      <c r="BM738" s="83"/>
      <c r="BN738" s="83"/>
      <c r="BO738" s="83"/>
      <c r="BP738" s="83"/>
      <c r="BQ738" s="83"/>
      <c r="BR738" s="83"/>
      <c r="BS738" s="83"/>
      <c r="BT738" s="83"/>
      <c r="BU738" s="83"/>
      <c r="BV738" s="83"/>
      <c r="BW738" s="83"/>
      <c r="BX738" s="83"/>
      <c r="BY738" s="83"/>
      <c r="BZ738" s="83"/>
      <c r="CA738" s="83"/>
      <c r="CB738" s="83"/>
      <c r="CC738" s="83"/>
      <c r="CD738" s="83"/>
      <c r="CE738" s="83"/>
      <c r="CF738" s="83"/>
      <c r="CG738" s="83"/>
      <c r="CH738" s="83"/>
      <c r="CI738" s="83"/>
      <c r="CJ738" s="83"/>
      <c r="CK738" s="83"/>
      <c r="CL738" s="83"/>
      <c r="CM738" s="83"/>
      <c r="CN738" s="83"/>
      <c r="CO738" s="83"/>
      <c r="CP738" s="83"/>
      <c r="CQ738" s="83"/>
      <c r="CR738" s="83"/>
      <c r="CS738" s="83"/>
      <c r="CT738" s="83"/>
      <c r="CU738" s="83"/>
      <c r="CV738" s="83"/>
      <c r="CW738" s="83"/>
      <c r="CX738" s="83"/>
      <c r="CY738" s="83"/>
      <c r="CZ738" s="83"/>
      <c r="DA738" s="83"/>
      <c r="DB738" s="83"/>
      <c r="DC738" s="83"/>
      <c r="DD738" s="83"/>
      <c r="DE738" s="83"/>
      <c r="DF738" s="83"/>
      <c r="DG738" s="82"/>
    </row>
    <row r="739" spans="2:111" ht="9" customHeight="1">
      <c r="B739" s="229"/>
      <c r="C739" s="229"/>
      <c r="D739" s="229"/>
      <c r="E739" s="229"/>
      <c r="F739" s="229"/>
      <c r="G739" s="229"/>
      <c r="H739" s="229"/>
      <c r="I739" s="229"/>
      <c r="J739" s="229"/>
      <c r="K739" s="229"/>
      <c r="L739" s="229"/>
      <c r="M739" s="229"/>
      <c r="N739" s="229"/>
      <c r="P739" s="230"/>
      <c r="Q739" s="230"/>
      <c r="R739" s="230"/>
      <c r="S739" s="230"/>
      <c r="T739" s="230"/>
      <c r="U739" s="230"/>
      <c r="V739" s="230"/>
      <c r="W739" s="230"/>
      <c r="X739" s="230"/>
      <c r="Y739" s="230"/>
      <c r="Z739" s="230"/>
      <c r="AA739" s="230"/>
      <c r="AB739" s="230"/>
      <c r="AC739" s="230"/>
      <c r="AD739" s="230"/>
      <c r="AE739" s="230"/>
      <c r="AF739" s="230"/>
      <c r="AG739" s="230"/>
      <c r="AH739" s="230"/>
      <c r="AI739" s="230"/>
      <c r="AJ739" s="230"/>
      <c r="AK739" s="230"/>
      <c r="AL739" s="230"/>
      <c r="AM739" s="230"/>
      <c r="AN739" s="230"/>
      <c r="AO739" s="230"/>
      <c r="AP739" s="230"/>
      <c r="AQ739" s="230"/>
      <c r="AS739" s="231"/>
      <c r="AT739" s="231"/>
      <c r="AU739" s="231"/>
      <c r="AV739" s="231"/>
      <c r="AW739" s="231"/>
      <c r="AX739" s="231"/>
      <c r="AY739" s="231"/>
      <c r="AZ739" s="231"/>
      <c r="BA739" s="231"/>
      <c r="BC739" s="82"/>
      <c r="BD739" s="82"/>
      <c r="BE739" s="82"/>
      <c r="BF739" s="82"/>
      <c r="BG739" s="82"/>
      <c r="BH739" s="83"/>
      <c r="BI739" s="83"/>
      <c r="BJ739" s="83"/>
      <c r="BK739" s="83"/>
      <c r="BL739" s="83"/>
      <c r="BM739" s="83"/>
      <c r="BN739" s="83"/>
      <c r="BO739" s="83"/>
      <c r="BP739" s="83"/>
      <c r="BQ739" s="83"/>
      <c r="BR739" s="83"/>
      <c r="BS739" s="83"/>
      <c r="BT739" s="83"/>
      <c r="BU739" s="83"/>
      <c r="BV739" s="83"/>
      <c r="BW739" s="83"/>
      <c r="BX739" s="83"/>
      <c r="BY739" s="83"/>
      <c r="BZ739" s="83"/>
      <c r="CA739" s="83"/>
      <c r="CB739" s="83"/>
      <c r="CC739" s="83"/>
      <c r="CD739" s="83"/>
      <c r="CE739" s="83"/>
      <c r="CF739" s="83"/>
      <c r="CG739" s="83"/>
      <c r="CH739" s="83"/>
      <c r="CI739" s="83"/>
      <c r="CJ739" s="83"/>
      <c r="CK739" s="83"/>
      <c r="CL739" s="83"/>
      <c r="CM739" s="83"/>
      <c r="CN739" s="83"/>
      <c r="CO739" s="83"/>
      <c r="CP739" s="83"/>
      <c r="CQ739" s="83"/>
      <c r="CR739" s="83"/>
      <c r="CS739" s="83"/>
      <c r="CT739" s="83"/>
      <c r="CU739" s="83"/>
      <c r="CV739" s="83"/>
      <c r="CW739" s="83"/>
      <c r="CX739" s="83"/>
      <c r="CY739" s="83"/>
      <c r="CZ739" s="83"/>
      <c r="DA739" s="83"/>
      <c r="DB739" s="83"/>
      <c r="DC739" s="83"/>
      <c r="DD739" s="83"/>
      <c r="DE739" s="83"/>
      <c r="DF739" s="83"/>
      <c r="DG739" s="82"/>
    </row>
    <row r="740" spans="2:111" ht="9" customHeight="1">
      <c r="B740" s="229"/>
      <c r="C740" s="229"/>
      <c r="D740" s="229"/>
      <c r="E740" s="229"/>
      <c r="F740" s="229"/>
      <c r="G740" s="229"/>
      <c r="H740" s="229"/>
      <c r="I740" s="229"/>
      <c r="J740" s="229"/>
      <c r="K740" s="229"/>
      <c r="L740" s="229"/>
      <c r="M740" s="229"/>
      <c r="N740" s="229"/>
      <c r="P740" s="230"/>
      <c r="Q740" s="230"/>
      <c r="R740" s="230"/>
      <c r="S740" s="230"/>
      <c r="T740" s="230"/>
      <c r="U740" s="230"/>
      <c r="V740" s="230"/>
      <c r="W740" s="230"/>
      <c r="X740" s="230"/>
      <c r="Y740" s="230"/>
      <c r="Z740" s="230"/>
      <c r="AA740" s="230"/>
      <c r="AB740" s="230"/>
      <c r="AC740" s="230"/>
      <c r="AD740" s="230"/>
      <c r="AE740" s="230"/>
      <c r="AF740" s="230"/>
      <c r="AG740" s="230"/>
      <c r="AH740" s="230"/>
      <c r="AI740" s="230"/>
      <c r="AJ740" s="230"/>
      <c r="AK740" s="230"/>
      <c r="AL740" s="230"/>
      <c r="AM740" s="230"/>
      <c r="AN740" s="230"/>
      <c r="AO740" s="230"/>
      <c r="AP740" s="230"/>
      <c r="AQ740" s="230"/>
      <c r="AS740" s="231"/>
      <c r="AT740" s="231"/>
      <c r="AU740" s="231"/>
      <c r="AV740" s="231"/>
      <c r="AW740" s="231"/>
      <c r="AX740" s="231"/>
      <c r="AY740" s="231"/>
      <c r="AZ740" s="231"/>
      <c r="BA740" s="231"/>
      <c r="BC740" s="82"/>
      <c r="BD740" s="82"/>
      <c r="BE740" s="82"/>
      <c r="BF740" s="82"/>
      <c r="BG740" s="82"/>
      <c r="BH740" s="83"/>
      <c r="BI740" s="83"/>
      <c r="BJ740" s="83"/>
      <c r="BK740" s="83"/>
      <c r="BL740" s="83"/>
      <c r="BM740" s="83"/>
      <c r="BN740" s="83"/>
      <c r="BO740" s="83"/>
      <c r="BP740" s="83"/>
      <c r="BQ740" s="83"/>
      <c r="BR740" s="83"/>
      <c r="BS740" s="83"/>
      <c r="BT740" s="83"/>
      <c r="BU740" s="83"/>
      <c r="BV740" s="83"/>
      <c r="BW740" s="83"/>
      <c r="BX740" s="83"/>
      <c r="BY740" s="83"/>
      <c r="BZ740" s="83"/>
      <c r="CA740" s="83"/>
      <c r="CB740" s="83"/>
      <c r="CC740" s="83"/>
      <c r="CD740" s="83"/>
      <c r="CE740" s="83"/>
      <c r="CF740" s="83"/>
      <c r="CG740" s="83"/>
      <c r="CH740" s="83"/>
      <c r="CI740" s="83"/>
      <c r="CJ740" s="83"/>
      <c r="CK740" s="83"/>
      <c r="CL740" s="83"/>
      <c r="CM740" s="83"/>
      <c r="CN740" s="83"/>
      <c r="CO740" s="83"/>
      <c r="CP740" s="83"/>
      <c r="CQ740" s="83"/>
      <c r="CR740" s="83"/>
      <c r="CS740" s="83"/>
      <c r="CT740" s="83"/>
      <c r="CU740" s="83"/>
      <c r="CV740" s="83"/>
      <c r="CW740" s="83"/>
      <c r="CX740" s="83"/>
      <c r="CY740" s="83"/>
      <c r="CZ740" s="83"/>
      <c r="DA740" s="83"/>
      <c r="DB740" s="83"/>
      <c r="DC740" s="83"/>
      <c r="DD740" s="83"/>
      <c r="DE740" s="83"/>
      <c r="DF740" s="83"/>
      <c r="DG740" s="82"/>
    </row>
    <row r="741" spans="2:111" ht="9" customHeight="1">
      <c r="B741" s="229"/>
      <c r="C741" s="229"/>
      <c r="D741" s="229"/>
      <c r="E741" s="229"/>
      <c r="F741" s="229"/>
      <c r="G741" s="229"/>
      <c r="H741" s="229"/>
      <c r="I741" s="229"/>
      <c r="J741" s="229"/>
      <c r="K741" s="229"/>
      <c r="L741" s="229"/>
      <c r="M741" s="229"/>
      <c r="N741" s="229"/>
      <c r="P741" s="230"/>
      <c r="Q741" s="230"/>
      <c r="R741" s="230"/>
      <c r="S741" s="230"/>
      <c r="T741" s="230"/>
      <c r="U741" s="230"/>
      <c r="V741" s="230"/>
      <c r="W741" s="230"/>
      <c r="X741" s="230"/>
      <c r="Y741" s="230"/>
      <c r="Z741" s="230"/>
      <c r="AA741" s="230"/>
      <c r="AB741" s="230"/>
      <c r="AC741" s="230"/>
      <c r="AD741" s="230"/>
      <c r="AE741" s="230"/>
      <c r="AF741" s="230"/>
      <c r="AG741" s="230"/>
      <c r="AH741" s="230"/>
      <c r="AI741" s="230"/>
      <c r="AJ741" s="230"/>
      <c r="AK741" s="230"/>
      <c r="AL741" s="230"/>
      <c r="AM741" s="230"/>
      <c r="AN741" s="230"/>
      <c r="AO741" s="230"/>
      <c r="AP741" s="230"/>
      <c r="AQ741" s="230"/>
      <c r="AS741" s="231"/>
      <c r="AT741" s="231"/>
      <c r="AU741" s="231"/>
      <c r="AV741" s="231"/>
      <c r="AW741" s="231"/>
      <c r="AX741" s="231"/>
      <c r="AY741" s="231"/>
      <c r="AZ741" s="231"/>
      <c r="BA741" s="231"/>
      <c r="BC741" s="82"/>
      <c r="BD741" s="82"/>
      <c r="BE741" s="82"/>
      <c r="BF741" s="82"/>
      <c r="BG741" s="82"/>
      <c r="BH741" s="83"/>
      <c r="BI741" s="83"/>
      <c r="BJ741" s="83"/>
      <c r="BK741" s="83"/>
      <c r="BL741" s="83"/>
      <c r="BM741" s="83"/>
      <c r="BN741" s="83"/>
      <c r="BO741" s="83"/>
      <c r="BP741" s="83"/>
      <c r="BQ741" s="83"/>
      <c r="BR741" s="83"/>
      <c r="BS741" s="83"/>
      <c r="BT741" s="83"/>
      <c r="BU741" s="83"/>
      <c r="BV741" s="83"/>
      <c r="BW741" s="83"/>
      <c r="BX741" s="83"/>
      <c r="BY741" s="83"/>
      <c r="BZ741" s="83"/>
      <c r="CA741" s="83"/>
      <c r="CB741" s="83"/>
      <c r="CC741" s="83"/>
      <c r="CD741" s="83"/>
      <c r="CE741" s="83"/>
      <c r="CF741" s="83"/>
      <c r="CG741" s="83"/>
      <c r="CH741" s="83"/>
      <c r="CI741" s="83"/>
      <c r="CJ741" s="83"/>
      <c r="CK741" s="83"/>
      <c r="CL741" s="83"/>
      <c r="CM741" s="83"/>
      <c r="CN741" s="83"/>
      <c r="CO741" s="83"/>
      <c r="CP741" s="83"/>
      <c r="CQ741" s="83"/>
      <c r="CR741" s="83"/>
      <c r="CS741" s="83"/>
      <c r="CT741" s="83"/>
      <c r="CU741" s="83"/>
      <c r="CV741" s="83"/>
      <c r="CW741" s="83"/>
      <c r="CX741" s="83"/>
      <c r="CY741" s="83"/>
      <c r="CZ741" s="83"/>
      <c r="DA741" s="83"/>
      <c r="DB741" s="83"/>
      <c r="DC741" s="83"/>
      <c r="DD741" s="83"/>
      <c r="DE741" s="83"/>
      <c r="DF741" s="83"/>
      <c r="DG741" s="82"/>
    </row>
    <row r="742" spans="2:111" ht="9" customHeight="1">
      <c r="B742" s="229"/>
      <c r="C742" s="229"/>
      <c r="D742" s="229"/>
      <c r="E742" s="229"/>
      <c r="F742" s="229"/>
      <c r="G742" s="229"/>
      <c r="H742" s="229"/>
      <c r="I742" s="229"/>
      <c r="J742" s="229"/>
      <c r="K742" s="229"/>
      <c r="L742" s="229"/>
      <c r="M742" s="229"/>
      <c r="N742" s="229"/>
      <c r="P742" s="230"/>
      <c r="Q742" s="230"/>
      <c r="R742" s="230"/>
      <c r="S742" s="230"/>
      <c r="T742" s="230"/>
      <c r="U742" s="230"/>
      <c r="V742" s="230"/>
      <c r="W742" s="230"/>
      <c r="X742" s="230"/>
      <c r="Y742" s="230"/>
      <c r="Z742" s="230"/>
      <c r="AA742" s="230"/>
      <c r="AB742" s="230"/>
      <c r="AC742" s="230"/>
      <c r="AD742" s="230"/>
      <c r="AE742" s="230"/>
      <c r="AF742" s="230"/>
      <c r="AG742" s="230"/>
      <c r="AH742" s="230"/>
      <c r="AI742" s="230"/>
      <c r="AJ742" s="230"/>
      <c r="AK742" s="230"/>
      <c r="AL742" s="230"/>
      <c r="AM742" s="230"/>
      <c r="AN742" s="230"/>
      <c r="AO742" s="230"/>
      <c r="AP742" s="230"/>
      <c r="AQ742" s="230"/>
      <c r="AS742" s="231"/>
      <c r="AT742" s="231"/>
      <c r="AU742" s="231"/>
      <c r="AV742" s="231"/>
      <c r="AW742" s="231"/>
      <c r="AX742" s="231"/>
      <c r="AY742" s="231"/>
      <c r="AZ742" s="231"/>
      <c r="BA742" s="231"/>
      <c r="BC742" s="82"/>
      <c r="BD742" s="82"/>
      <c r="BE742" s="82"/>
      <c r="BF742" s="82"/>
      <c r="BG742" s="82"/>
      <c r="BH742" s="83"/>
      <c r="BI742" s="83"/>
      <c r="BJ742" s="83"/>
      <c r="BK742" s="83"/>
      <c r="BL742" s="83"/>
      <c r="BM742" s="83"/>
      <c r="BN742" s="83"/>
      <c r="BO742" s="83"/>
      <c r="BP742" s="83"/>
      <c r="BQ742" s="83"/>
      <c r="BR742" s="83"/>
      <c r="BS742" s="83"/>
      <c r="BT742" s="83"/>
      <c r="BU742" s="83"/>
      <c r="BV742" s="83"/>
      <c r="BW742" s="83"/>
      <c r="BX742" s="83"/>
      <c r="BY742" s="83"/>
      <c r="BZ742" s="83"/>
      <c r="CA742" s="83"/>
      <c r="CB742" s="83"/>
      <c r="CC742" s="83"/>
      <c r="CD742" s="83"/>
      <c r="CE742" s="83"/>
      <c r="CF742" s="83"/>
      <c r="CG742" s="83"/>
      <c r="CH742" s="83"/>
      <c r="CI742" s="83"/>
      <c r="CJ742" s="83"/>
      <c r="CK742" s="83"/>
      <c r="CL742" s="83"/>
      <c r="CM742" s="83"/>
      <c r="CN742" s="83"/>
      <c r="CO742" s="83"/>
      <c r="CP742" s="83"/>
      <c r="CQ742" s="83"/>
      <c r="CR742" s="83"/>
      <c r="CS742" s="83"/>
      <c r="CT742" s="83"/>
      <c r="CU742" s="83"/>
      <c r="CV742" s="83"/>
      <c r="CW742" s="83"/>
      <c r="CX742" s="83"/>
      <c r="CY742" s="83"/>
      <c r="CZ742" s="83"/>
      <c r="DA742" s="83"/>
      <c r="DB742" s="83"/>
      <c r="DC742" s="83"/>
      <c r="DD742" s="83"/>
      <c r="DE742" s="83"/>
      <c r="DF742" s="83"/>
      <c r="DG742" s="82"/>
    </row>
    <row r="743" spans="2:111" ht="9" customHeight="1">
      <c r="B743" s="229"/>
      <c r="C743" s="229"/>
      <c r="D743" s="229"/>
      <c r="E743" s="229"/>
      <c r="F743" s="229"/>
      <c r="G743" s="229"/>
      <c r="H743" s="229"/>
      <c r="I743" s="229"/>
      <c r="J743" s="229"/>
      <c r="K743" s="229"/>
      <c r="L743" s="229"/>
      <c r="M743" s="229"/>
      <c r="N743" s="229"/>
      <c r="P743" s="230"/>
      <c r="Q743" s="230"/>
      <c r="R743" s="230"/>
      <c r="S743" s="230"/>
      <c r="T743" s="230"/>
      <c r="U743" s="230"/>
      <c r="V743" s="230"/>
      <c r="W743" s="230"/>
      <c r="X743" s="230"/>
      <c r="Y743" s="230"/>
      <c r="Z743" s="230"/>
      <c r="AA743" s="230"/>
      <c r="AB743" s="230"/>
      <c r="AC743" s="230"/>
      <c r="AD743" s="230"/>
      <c r="AE743" s="230"/>
      <c r="AF743" s="230"/>
      <c r="AG743" s="230"/>
      <c r="AH743" s="230"/>
      <c r="AI743" s="230"/>
      <c r="AJ743" s="230"/>
      <c r="AK743" s="230"/>
      <c r="AL743" s="230"/>
      <c r="AM743" s="230"/>
      <c r="AN743" s="230"/>
      <c r="AO743" s="230"/>
      <c r="AP743" s="230"/>
      <c r="AQ743" s="230"/>
      <c r="AS743" s="231"/>
      <c r="AT743" s="231"/>
      <c r="AU743" s="231"/>
      <c r="AV743" s="231"/>
      <c r="AW743" s="231"/>
      <c r="AX743" s="231"/>
      <c r="AY743" s="231"/>
      <c r="AZ743" s="231"/>
      <c r="BA743" s="231"/>
      <c r="BC743" s="82"/>
      <c r="BD743" s="82"/>
      <c r="BE743" s="82"/>
      <c r="BF743" s="82"/>
      <c r="BG743" s="82"/>
      <c r="BH743" s="83"/>
      <c r="BI743" s="83"/>
      <c r="BJ743" s="83"/>
      <c r="BK743" s="83"/>
      <c r="BL743" s="83"/>
      <c r="BM743" s="83"/>
      <c r="BN743" s="83"/>
      <c r="BO743" s="83"/>
      <c r="BP743" s="83"/>
      <c r="BQ743" s="83"/>
      <c r="BR743" s="83"/>
      <c r="BS743" s="83"/>
      <c r="BT743" s="83"/>
      <c r="BU743" s="83"/>
      <c r="BV743" s="83"/>
      <c r="BW743" s="83"/>
      <c r="BX743" s="83"/>
      <c r="BY743" s="83"/>
      <c r="BZ743" s="83"/>
      <c r="CA743" s="83"/>
      <c r="CB743" s="83"/>
      <c r="CC743" s="83"/>
      <c r="CD743" s="83"/>
      <c r="CE743" s="83"/>
      <c r="CF743" s="83"/>
      <c r="CG743" s="83"/>
      <c r="CH743" s="83"/>
      <c r="CI743" s="83"/>
      <c r="CJ743" s="83"/>
      <c r="CK743" s="83"/>
      <c r="CL743" s="83"/>
      <c r="CM743" s="83"/>
      <c r="CN743" s="83"/>
      <c r="CO743" s="83"/>
      <c r="CP743" s="83"/>
      <c r="CQ743" s="83"/>
      <c r="CR743" s="83"/>
      <c r="CS743" s="83"/>
      <c r="CT743" s="83"/>
      <c r="CU743" s="83"/>
      <c r="CV743" s="83"/>
      <c r="CW743" s="83"/>
      <c r="CX743" s="83"/>
      <c r="CY743" s="83"/>
      <c r="CZ743" s="83"/>
      <c r="DA743" s="83"/>
      <c r="DB743" s="83"/>
      <c r="DC743" s="83"/>
      <c r="DD743" s="83"/>
      <c r="DE743" s="83"/>
      <c r="DF743" s="83"/>
      <c r="DG743" s="82"/>
    </row>
    <row r="744" spans="2:111" ht="9" customHeight="1">
      <c r="B744" s="229"/>
      <c r="C744" s="229"/>
      <c r="D744" s="229"/>
      <c r="E744" s="229"/>
      <c r="F744" s="229"/>
      <c r="G744" s="229"/>
      <c r="H744" s="229"/>
      <c r="I744" s="229"/>
      <c r="J744" s="229"/>
      <c r="K744" s="229"/>
      <c r="L744" s="229"/>
      <c r="M744" s="229"/>
      <c r="N744" s="229"/>
      <c r="P744" s="230"/>
      <c r="Q744" s="230"/>
      <c r="R744" s="230"/>
      <c r="S744" s="230"/>
      <c r="T744" s="230"/>
      <c r="U744" s="230"/>
      <c r="V744" s="230"/>
      <c r="W744" s="230"/>
      <c r="X744" s="230"/>
      <c r="Y744" s="230"/>
      <c r="Z744" s="230"/>
      <c r="AA744" s="230"/>
      <c r="AB744" s="230"/>
      <c r="AC744" s="230"/>
      <c r="AD744" s="230"/>
      <c r="AE744" s="230"/>
      <c r="AF744" s="230"/>
      <c r="AG744" s="230"/>
      <c r="AH744" s="230"/>
      <c r="AI744" s="230"/>
      <c r="AJ744" s="230"/>
      <c r="AK744" s="230"/>
      <c r="AL744" s="230"/>
      <c r="AM744" s="230"/>
      <c r="AN744" s="230"/>
      <c r="AO744" s="230"/>
      <c r="AP744" s="230"/>
      <c r="AQ744" s="230"/>
      <c r="AS744" s="231"/>
      <c r="AT744" s="231"/>
      <c r="AU744" s="231"/>
      <c r="AV744" s="231"/>
      <c r="AW744" s="231"/>
      <c r="AX744" s="231"/>
      <c r="AY744" s="231"/>
      <c r="AZ744" s="231"/>
      <c r="BA744" s="231"/>
      <c r="BC744" s="82"/>
      <c r="BD744" s="82"/>
      <c r="BE744" s="82"/>
      <c r="BF744" s="82"/>
      <c r="BG744" s="82"/>
      <c r="BH744" s="83"/>
      <c r="BI744" s="83"/>
      <c r="BJ744" s="83"/>
      <c r="BK744" s="83"/>
      <c r="BL744" s="83"/>
      <c r="BM744" s="83"/>
      <c r="BN744" s="83"/>
      <c r="BO744" s="83"/>
      <c r="BP744" s="83"/>
      <c r="BQ744" s="83"/>
      <c r="BR744" s="83"/>
      <c r="BS744" s="83"/>
      <c r="BT744" s="83"/>
      <c r="BU744" s="83"/>
      <c r="BV744" s="83"/>
      <c r="BW744" s="83"/>
      <c r="BX744" s="83"/>
      <c r="BY744" s="83"/>
      <c r="BZ744" s="83"/>
      <c r="CA744" s="83"/>
      <c r="CB744" s="83"/>
      <c r="CC744" s="83"/>
      <c r="CD744" s="83"/>
      <c r="CE744" s="83"/>
      <c r="CF744" s="83"/>
      <c r="CG744" s="83"/>
      <c r="CH744" s="83"/>
      <c r="CI744" s="83"/>
      <c r="CJ744" s="83"/>
      <c r="CK744" s="83"/>
      <c r="CL744" s="83"/>
      <c r="CM744" s="83"/>
      <c r="CN744" s="83"/>
      <c r="CO744" s="83"/>
      <c r="CP744" s="83"/>
      <c r="CQ744" s="83"/>
      <c r="CR744" s="83"/>
      <c r="CS744" s="83"/>
      <c r="CT744" s="83"/>
      <c r="CU744" s="83"/>
      <c r="CV744" s="83"/>
      <c r="CW744" s="83"/>
      <c r="CX744" s="83"/>
      <c r="CY744" s="83"/>
      <c r="CZ744" s="83"/>
      <c r="DA744" s="83"/>
      <c r="DB744" s="83"/>
      <c r="DC744" s="83"/>
      <c r="DD744" s="83"/>
      <c r="DE744" s="83"/>
      <c r="DF744" s="83"/>
      <c r="DG744" s="82"/>
    </row>
    <row r="745" spans="2:111" ht="9" customHeight="1">
      <c r="B745" s="229"/>
      <c r="C745" s="229"/>
      <c r="D745" s="229"/>
      <c r="E745" s="229"/>
      <c r="F745" s="229"/>
      <c r="G745" s="229"/>
      <c r="H745" s="229"/>
      <c r="I745" s="229"/>
      <c r="J745" s="229"/>
      <c r="K745" s="229"/>
      <c r="L745" s="229"/>
      <c r="M745" s="229"/>
      <c r="N745" s="229"/>
      <c r="P745" s="230"/>
      <c r="Q745" s="230"/>
      <c r="R745" s="230"/>
      <c r="S745" s="230"/>
      <c r="T745" s="230"/>
      <c r="U745" s="230"/>
      <c r="V745" s="230"/>
      <c r="W745" s="230"/>
      <c r="X745" s="230"/>
      <c r="Y745" s="230"/>
      <c r="Z745" s="230"/>
      <c r="AA745" s="230"/>
      <c r="AB745" s="230"/>
      <c r="AC745" s="230"/>
      <c r="AD745" s="230"/>
      <c r="AE745" s="230"/>
      <c r="AF745" s="230"/>
      <c r="AG745" s="230"/>
      <c r="AH745" s="230"/>
      <c r="AI745" s="230"/>
      <c r="AJ745" s="230"/>
      <c r="AK745" s="230"/>
      <c r="AL745" s="230"/>
      <c r="AM745" s="230"/>
      <c r="AN745" s="230"/>
      <c r="AO745" s="230"/>
      <c r="AP745" s="230"/>
      <c r="AQ745" s="230"/>
      <c r="AS745" s="231"/>
      <c r="AT745" s="231"/>
      <c r="AU745" s="231"/>
      <c r="AV745" s="231"/>
      <c r="AW745" s="231"/>
      <c r="AX745" s="231"/>
      <c r="AY745" s="231"/>
      <c r="AZ745" s="231"/>
      <c r="BA745" s="231"/>
      <c r="BC745" s="82"/>
      <c r="BD745" s="82"/>
      <c r="BE745" s="82"/>
      <c r="BF745" s="82"/>
      <c r="BG745" s="82"/>
      <c r="BH745" s="83"/>
      <c r="BI745" s="83"/>
      <c r="BJ745" s="83"/>
      <c r="BK745" s="83"/>
      <c r="BL745" s="83"/>
      <c r="BM745" s="83"/>
      <c r="BN745" s="83"/>
      <c r="BO745" s="83"/>
      <c r="BP745" s="83"/>
      <c r="BQ745" s="83"/>
      <c r="BR745" s="83"/>
      <c r="BS745" s="83"/>
      <c r="BT745" s="83"/>
      <c r="BU745" s="83"/>
      <c r="BV745" s="83"/>
      <c r="BW745" s="83"/>
      <c r="BX745" s="83"/>
      <c r="BY745" s="83"/>
      <c r="BZ745" s="83"/>
      <c r="CA745" s="83"/>
      <c r="CB745" s="83"/>
      <c r="CC745" s="83"/>
      <c r="CD745" s="83"/>
      <c r="CE745" s="83"/>
      <c r="CF745" s="83"/>
      <c r="CG745" s="83"/>
      <c r="CH745" s="83"/>
      <c r="CI745" s="83"/>
      <c r="CJ745" s="83"/>
      <c r="CK745" s="83"/>
      <c r="CL745" s="83"/>
      <c r="CM745" s="83"/>
      <c r="CN745" s="83"/>
      <c r="CO745" s="83"/>
      <c r="CP745" s="83"/>
      <c r="CQ745" s="83"/>
      <c r="CR745" s="83"/>
      <c r="CS745" s="83"/>
      <c r="CT745" s="83"/>
      <c r="CU745" s="83"/>
      <c r="CV745" s="83"/>
      <c r="CW745" s="83"/>
      <c r="CX745" s="83"/>
      <c r="CY745" s="83"/>
      <c r="CZ745" s="83"/>
      <c r="DA745" s="83"/>
      <c r="DB745" s="83"/>
      <c r="DC745" s="83"/>
      <c r="DD745" s="83"/>
      <c r="DE745" s="83"/>
      <c r="DF745" s="83"/>
      <c r="DG745" s="82"/>
    </row>
    <row r="746" spans="2:111" ht="9" customHeight="1">
      <c r="B746" s="229"/>
      <c r="C746" s="229"/>
      <c r="D746" s="229"/>
      <c r="E746" s="229"/>
      <c r="F746" s="229"/>
      <c r="G746" s="229"/>
      <c r="H746" s="229"/>
      <c r="I746" s="229"/>
      <c r="J746" s="229"/>
      <c r="K746" s="229"/>
      <c r="L746" s="229"/>
      <c r="M746" s="229"/>
      <c r="N746" s="229"/>
      <c r="P746" s="230"/>
      <c r="Q746" s="230"/>
      <c r="R746" s="230"/>
      <c r="S746" s="230"/>
      <c r="T746" s="230"/>
      <c r="U746" s="230"/>
      <c r="V746" s="230"/>
      <c r="W746" s="230"/>
      <c r="X746" s="230"/>
      <c r="Y746" s="230"/>
      <c r="Z746" s="230"/>
      <c r="AA746" s="230"/>
      <c r="AB746" s="230"/>
      <c r="AC746" s="230"/>
      <c r="AD746" s="230"/>
      <c r="AE746" s="230"/>
      <c r="AF746" s="230"/>
      <c r="AG746" s="230"/>
      <c r="AH746" s="230"/>
      <c r="AI746" s="230"/>
      <c r="AJ746" s="230"/>
      <c r="AK746" s="230"/>
      <c r="AL746" s="230"/>
      <c r="AM746" s="230"/>
      <c r="AN746" s="230"/>
      <c r="AO746" s="230"/>
      <c r="AP746" s="230"/>
      <c r="AQ746" s="230"/>
      <c r="AS746" s="231"/>
      <c r="AT746" s="231"/>
      <c r="AU746" s="231"/>
      <c r="AV746" s="231"/>
      <c r="AW746" s="231"/>
      <c r="AX746" s="231"/>
      <c r="AY746" s="231"/>
      <c r="AZ746" s="231"/>
      <c r="BA746" s="231"/>
      <c r="BC746" s="82"/>
      <c r="BD746" s="82"/>
      <c r="BE746" s="82"/>
      <c r="BF746" s="82"/>
      <c r="BG746" s="82"/>
      <c r="BH746" s="82"/>
      <c r="BI746" s="82"/>
      <c r="BJ746" s="82"/>
      <c r="BK746" s="82"/>
      <c r="BL746" s="82"/>
      <c r="BM746" s="82"/>
      <c r="BN746" s="82"/>
      <c r="BO746" s="82"/>
      <c r="BP746" s="82"/>
      <c r="BQ746" s="82"/>
      <c r="BR746" s="82"/>
      <c r="BS746" s="82"/>
      <c r="BT746" s="82"/>
      <c r="BU746" s="82"/>
      <c r="BV746" s="82"/>
      <c r="BW746" s="82"/>
      <c r="BX746" s="82"/>
      <c r="BY746" s="82"/>
      <c r="BZ746" s="82"/>
      <c r="CA746" s="82"/>
      <c r="CB746" s="82"/>
      <c r="CC746" s="82"/>
      <c r="CD746" s="82"/>
      <c r="CE746" s="82"/>
      <c r="CF746" s="82"/>
      <c r="CG746" s="82"/>
      <c r="CH746" s="82"/>
      <c r="CI746" s="82"/>
      <c r="CJ746" s="82"/>
      <c r="CK746" s="82"/>
      <c r="CL746" s="82"/>
      <c r="CM746" s="82"/>
      <c r="CN746" s="82"/>
      <c r="CO746" s="82"/>
      <c r="CP746" s="82"/>
      <c r="CQ746" s="82"/>
      <c r="CR746" s="82"/>
      <c r="CS746" s="82"/>
      <c r="CT746" s="82"/>
      <c r="CU746" s="82"/>
      <c r="CV746" s="82"/>
      <c r="CW746" s="82"/>
      <c r="CX746" s="82"/>
      <c r="CY746" s="82"/>
      <c r="CZ746" s="82"/>
      <c r="DA746" s="82"/>
      <c r="DB746" s="82"/>
      <c r="DC746" s="82"/>
      <c r="DD746" s="82"/>
      <c r="DE746" s="82"/>
      <c r="DF746" s="82"/>
      <c r="DG746" s="82"/>
    </row>
    <row r="747" spans="2:111" ht="9" customHeight="1">
      <c r="B747" s="23"/>
      <c r="C747" s="23"/>
      <c r="D747" s="23"/>
      <c r="E747" s="23"/>
      <c r="F747" s="23"/>
      <c r="G747" s="23"/>
      <c r="H747" s="23"/>
      <c r="I747" s="23"/>
      <c r="J747" s="23"/>
      <c r="K747" s="23"/>
      <c r="L747" s="23"/>
      <c r="BC747" s="82"/>
      <c r="BD747" s="82"/>
      <c r="BE747" s="82"/>
      <c r="BF747" s="82"/>
      <c r="BG747" s="82"/>
      <c r="BH747" s="82"/>
      <c r="BI747" s="82"/>
      <c r="BJ747" s="82"/>
      <c r="BK747" s="82"/>
      <c r="BL747" s="82"/>
      <c r="BM747" s="82"/>
      <c r="BN747" s="82"/>
      <c r="BO747" s="82"/>
      <c r="BP747" s="82"/>
      <c r="BQ747" s="82"/>
      <c r="BR747" s="82"/>
      <c r="BS747" s="82"/>
      <c r="BT747" s="82"/>
      <c r="BU747" s="82"/>
      <c r="BV747" s="82"/>
      <c r="BW747" s="82"/>
      <c r="BX747" s="82"/>
      <c r="BY747" s="82"/>
      <c r="BZ747" s="82"/>
      <c r="CA747" s="82"/>
      <c r="CB747" s="82"/>
      <c r="CC747" s="82"/>
      <c r="CD747" s="82"/>
      <c r="CE747" s="82"/>
      <c r="CF747" s="82"/>
      <c r="CG747" s="82"/>
      <c r="CH747" s="82"/>
      <c r="CI747" s="82"/>
      <c r="CJ747" s="82"/>
      <c r="CK747" s="82"/>
      <c r="CL747" s="82"/>
      <c r="CM747" s="82"/>
      <c r="CN747" s="82"/>
      <c r="CO747" s="82"/>
      <c r="CP747" s="82"/>
      <c r="CQ747" s="82"/>
      <c r="CR747" s="82"/>
      <c r="CS747" s="82"/>
      <c r="CT747" s="82"/>
      <c r="CU747" s="82"/>
      <c r="CV747" s="82"/>
      <c r="CW747" s="82"/>
      <c r="CX747" s="82"/>
      <c r="CY747" s="82"/>
      <c r="CZ747" s="82"/>
      <c r="DA747" s="82"/>
      <c r="DB747" s="82"/>
      <c r="DC747" s="82"/>
      <c r="DD747" s="82"/>
      <c r="DE747" s="82"/>
      <c r="DF747" s="82"/>
      <c r="DG747" s="82"/>
    </row>
    <row r="748" spans="2:111" ht="4.5" customHeight="1">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C748" s="82"/>
      <c r="BD748" s="82"/>
      <c r="BE748" s="82"/>
      <c r="BF748" s="82"/>
      <c r="BG748" s="82"/>
      <c r="BH748" s="82"/>
      <c r="BI748" s="82"/>
      <c r="BJ748" s="82"/>
      <c r="BK748" s="82"/>
      <c r="BL748" s="82"/>
      <c r="BM748" s="82"/>
      <c r="BN748" s="82"/>
      <c r="BO748" s="82"/>
      <c r="BP748" s="82"/>
      <c r="BQ748" s="82"/>
      <c r="BR748" s="82"/>
      <c r="BS748" s="82"/>
      <c r="BT748" s="82"/>
      <c r="BU748" s="82"/>
      <c r="BV748" s="82"/>
      <c r="BW748" s="82"/>
      <c r="BX748" s="82"/>
      <c r="BY748" s="82"/>
      <c r="BZ748" s="82"/>
      <c r="CA748" s="82"/>
      <c r="CB748" s="82"/>
      <c r="CC748" s="82"/>
      <c r="CD748" s="82"/>
      <c r="CE748" s="82"/>
      <c r="CF748" s="82"/>
      <c r="CG748" s="82"/>
      <c r="CH748" s="82"/>
      <c r="CI748" s="82"/>
      <c r="CJ748" s="82"/>
      <c r="CK748" s="82"/>
      <c r="CL748" s="82"/>
      <c r="CM748" s="82"/>
      <c r="CN748" s="82"/>
      <c r="CO748" s="82"/>
      <c r="CP748" s="82"/>
      <c r="CQ748" s="82"/>
      <c r="CR748" s="82"/>
      <c r="CS748" s="82"/>
      <c r="CT748" s="82"/>
      <c r="CU748" s="82"/>
      <c r="CV748" s="82"/>
      <c r="CW748" s="82"/>
      <c r="CX748" s="82"/>
      <c r="CY748" s="82"/>
      <c r="CZ748" s="82"/>
      <c r="DA748" s="82"/>
      <c r="DB748" s="82"/>
      <c r="DC748" s="82"/>
      <c r="DD748" s="82"/>
      <c r="DE748" s="82"/>
      <c r="DF748" s="82"/>
      <c r="DG748" s="82"/>
    </row>
    <row r="749" spans="2:111" ht="9" customHeight="1">
      <c r="B749" s="238" t="str">
        <f>IF($U$623&gt;=2,"Meta 2","")</f>
        <v>Meta 2</v>
      </c>
      <c r="C749" s="238"/>
      <c r="D749" s="238"/>
      <c r="E749" s="238"/>
      <c r="F749" s="238"/>
      <c r="G749" s="238"/>
      <c r="I749" s="241" t="s">
        <v>518</v>
      </c>
      <c r="J749" s="241"/>
      <c r="K749" s="241"/>
      <c r="L749" s="241"/>
      <c r="M749" s="241"/>
      <c r="N749" s="241"/>
      <c r="O749" s="241"/>
      <c r="P749" s="241"/>
      <c r="Q749" s="241"/>
      <c r="R749" s="241"/>
      <c r="S749" s="241"/>
      <c r="T749" s="241"/>
      <c r="U749" s="241"/>
      <c r="V749" s="241"/>
      <c r="W749" s="241"/>
      <c r="X749" s="241"/>
      <c r="Y749" s="241"/>
      <c r="Z749" s="241"/>
      <c r="AA749" s="241"/>
      <c r="AB749" s="241"/>
      <c r="AC749" s="241"/>
      <c r="AD749" s="241"/>
      <c r="AE749" s="241"/>
      <c r="AF749" s="241"/>
      <c r="AG749" s="241"/>
      <c r="AH749" s="241"/>
      <c r="AI749" s="241"/>
      <c r="AJ749" s="241"/>
      <c r="AK749" s="241"/>
      <c r="AL749" s="241"/>
      <c r="AM749" s="241"/>
      <c r="AN749" s="241"/>
      <c r="AO749" s="241"/>
      <c r="AP749" s="241"/>
      <c r="AQ749" s="241"/>
      <c r="AR749" s="28"/>
      <c r="AS749" s="234">
        <f>IF((SUM(AS755,AS778,AS801,AS825,AS848))=0,"",(SUM(AS755,AS778,AS801,AS825,AS848)))</f>
        <v>618265</v>
      </c>
      <c r="AT749" s="234"/>
      <c r="AU749" s="234"/>
      <c r="AV749" s="234"/>
      <c r="AW749" s="234"/>
      <c r="AX749" s="234"/>
      <c r="AY749" s="234"/>
      <c r="AZ749" s="234"/>
      <c r="BA749" s="234"/>
      <c r="BC749" s="82"/>
      <c r="BD749" s="82"/>
      <c r="BE749" s="82"/>
      <c r="BF749" s="82"/>
      <c r="BG749" s="82"/>
      <c r="BH749" s="82"/>
      <c r="BI749" s="82"/>
      <c r="BJ749" s="82"/>
      <c r="BK749" s="82"/>
      <c r="BL749" s="82"/>
      <c r="BM749" s="82"/>
      <c r="BN749" s="82"/>
      <c r="BO749" s="82"/>
      <c r="BP749" s="82"/>
      <c r="BQ749" s="82"/>
      <c r="BR749" s="82"/>
      <c r="BS749" s="82"/>
      <c r="BT749" s="82"/>
      <c r="BU749" s="82"/>
      <c r="BV749" s="82"/>
      <c r="BW749" s="82"/>
      <c r="BX749" s="82"/>
      <c r="BY749" s="82"/>
      <c r="BZ749" s="82"/>
      <c r="CA749" s="82"/>
      <c r="CB749" s="82"/>
      <c r="CC749" s="82"/>
      <c r="CD749" s="82"/>
      <c r="CE749" s="82"/>
      <c r="CF749" s="82"/>
      <c r="CG749" s="82"/>
      <c r="CH749" s="82"/>
      <c r="CI749" s="82"/>
      <c r="CJ749" s="82"/>
      <c r="CK749" s="82"/>
      <c r="CL749" s="82"/>
      <c r="CM749" s="82"/>
      <c r="CN749" s="82"/>
      <c r="CO749" s="82"/>
      <c r="CP749" s="82"/>
      <c r="CQ749" s="82"/>
      <c r="CR749" s="82"/>
      <c r="CS749" s="82"/>
      <c r="CT749" s="82"/>
      <c r="CU749" s="82"/>
      <c r="CV749" s="82"/>
      <c r="CW749" s="82"/>
      <c r="CX749" s="82"/>
      <c r="CY749" s="82"/>
      <c r="CZ749" s="82"/>
      <c r="DA749" s="82"/>
      <c r="DB749" s="82"/>
      <c r="DC749" s="82"/>
      <c r="DD749" s="82"/>
      <c r="DE749" s="82"/>
      <c r="DF749" s="82"/>
      <c r="DG749" s="82"/>
    </row>
    <row r="750" spans="2:111" ht="9" customHeight="1">
      <c r="B750" s="238"/>
      <c r="C750" s="238"/>
      <c r="D750" s="238"/>
      <c r="E750" s="238"/>
      <c r="F750" s="238"/>
      <c r="G750" s="238"/>
      <c r="I750" s="241"/>
      <c r="J750" s="241"/>
      <c r="K750" s="241"/>
      <c r="L750" s="241"/>
      <c r="M750" s="241"/>
      <c r="N750" s="241"/>
      <c r="O750" s="241"/>
      <c r="P750" s="241"/>
      <c r="Q750" s="241"/>
      <c r="R750" s="241"/>
      <c r="S750" s="241"/>
      <c r="T750" s="241"/>
      <c r="U750" s="241"/>
      <c r="V750" s="241"/>
      <c r="W750" s="241"/>
      <c r="X750" s="241"/>
      <c r="Y750" s="241"/>
      <c r="Z750" s="241"/>
      <c r="AA750" s="241"/>
      <c r="AB750" s="241"/>
      <c r="AC750" s="241"/>
      <c r="AD750" s="241"/>
      <c r="AE750" s="241"/>
      <c r="AF750" s="241"/>
      <c r="AG750" s="241"/>
      <c r="AH750" s="241"/>
      <c r="AI750" s="241"/>
      <c r="AJ750" s="241"/>
      <c r="AK750" s="241"/>
      <c r="AL750" s="241"/>
      <c r="AM750" s="241"/>
      <c r="AN750" s="241"/>
      <c r="AO750" s="241"/>
      <c r="AP750" s="241"/>
      <c r="AQ750" s="241"/>
      <c r="AR750" s="28"/>
      <c r="AS750" s="234"/>
      <c r="AT750" s="234"/>
      <c r="AU750" s="234"/>
      <c r="AV750" s="234"/>
      <c r="AW750" s="234"/>
      <c r="AX750" s="234"/>
      <c r="AY750" s="234"/>
      <c r="AZ750" s="234"/>
      <c r="BA750" s="234"/>
      <c r="BC750" s="82"/>
      <c r="BD750" s="82"/>
      <c r="BE750" s="82"/>
      <c r="BF750" s="82"/>
      <c r="BG750" s="82"/>
      <c r="BH750" s="82"/>
      <c r="BI750" s="82"/>
      <c r="BJ750" s="82"/>
      <c r="BK750" s="82"/>
      <c r="BL750" s="82"/>
      <c r="BM750" s="82"/>
      <c r="BN750" s="82"/>
      <c r="BO750" s="82"/>
      <c r="BP750" s="82"/>
      <c r="BQ750" s="82"/>
      <c r="BR750" s="82"/>
      <c r="BS750" s="82"/>
      <c r="BT750" s="82"/>
      <c r="BU750" s="82"/>
      <c r="BV750" s="82"/>
      <c r="BW750" s="82"/>
      <c r="BX750" s="82"/>
      <c r="BY750" s="82"/>
      <c r="BZ750" s="82"/>
      <c r="CA750" s="82"/>
      <c r="CB750" s="82"/>
      <c r="CC750" s="82"/>
      <c r="CD750" s="82"/>
      <c r="CE750" s="82"/>
      <c r="CF750" s="82"/>
      <c r="CG750" s="82"/>
      <c r="CH750" s="82"/>
      <c r="CI750" s="82"/>
      <c r="CJ750" s="82"/>
      <c r="CK750" s="82"/>
      <c r="CL750" s="82"/>
      <c r="CM750" s="82"/>
      <c r="CN750" s="82"/>
      <c r="CO750" s="82"/>
      <c r="CP750" s="82"/>
      <c r="CQ750" s="82"/>
      <c r="CR750" s="82"/>
      <c r="CS750" s="82"/>
      <c r="CT750" s="82"/>
      <c r="CU750" s="82"/>
      <c r="CV750" s="82"/>
      <c r="CW750" s="82"/>
      <c r="CX750" s="82"/>
      <c r="CY750" s="82"/>
      <c r="CZ750" s="82"/>
      <c r="DA750" s="82"/>
      <c r="DB750" s="82"/>
      <c r="DC750" s="82"/>
      <c r="DD750" s="82"/>
      <c r="DE750" s="82"/>
      <c r="DF750" s="82"/>
      <c r="DG750" s="82"/>
    </row>
    <row r="751" spans="2:111" ht="4.5" customHeight="1">
      <c r="BC751" s="82"/>
      <c r="BD751" s="82"/>
      <c r="BE751" s="82"/>
      <c r="BF751" s="82"/>
      <c r="BG751" s="82"/>
      <c r="BH751" s="82"/>
      <c r="BI751" s="82"/>
      <c r="BJ751" s="82"/>
      <c r="BK751" s="82"/>
      <c r="BL751" s="82"/>
      <c r="BM751" s="82"/>
      <c r="BN751" s="82"/>
      <c r="BO751" s="82"/>
      <c r="BP751" s="82"/>
      <c r="BQ751" s="82"/>
      <c r="BR751" s="82"/>
      <c r="BS751" s="82"/>
      <c r="BT751" s="82"/>
      <c r="BU751" s="82"/>
      <c r="BV751" s="82"/>
      <c r="BW751" s="82"/>
      <c r="BX751" s="82"/>
      <c r="BY751" s="82"/>
      <c r="BZ751" s="82"/>
      <c r="CA751" s="82"/>
      <c r="CB751" s="82"/>
      <c r="CC751" s="82"/>
      <c r="CD751" s="82"/>
      <c r="CE751" s="82"/>
      <c r="CF751" s="82"/>
      <c r="CG751" s="82"/>
      <c r="CH751" s="82"/>
      <c r="CI751" s="82"/>
      <c r="CJ751" s="82"/>
      <c r="CK751" s="82"/>
      <c r="CL751" s="82"/>
      <c r="CM751" s="82"/>
      <c r="CN751" s="82"/>
      <c r="CO751" s="82"/>
      <c r="CP751" s="82"/>
      <c r="CQ751" s="82"/>
      <c r="CR751" s="82"/>
      <c r="CS751" s="82"/>
      <c r="CT751" s="82"/>
      <c r="CU751" s="82"/>
      <c r="CV751" s="82"/>
      <c r="CW751" s="82"/>
      <c r="CX751" s="82"/>
      <c r="CY751" s="82"/>
      <c r="CZ751" s="82"/>
      <c r="DA751" s="82"/>
      <c r="DB751" s="82"/>
      <c r="DC751" s="82"/>
      <c r="DD751" s="82"/>
      <c r="DE751" s="82"/>
      <c r="DF751" s="82"/>
      <c r="DG751" s="82"/>
    </row>
    <row r="752" spans="2:111" ht="9" customHeight="1">
      <c r="B752" s="239" t="str">
        <f>IF($U$623&gt;=2,(CONCATENATE("Quantas etapas possui a ",B749,"?")),"")</f>
        <v>Quantas etapas possui a Meta 2?</v>
      </c>
      <c r="C752" s="239"/>
      <c r="D752" s="239"/>
      <c r="E752" s="239"/>
      <c r="F752" s="239"/>
      <c r="G752" s="239"/>
      <c r="H752" s="239"/>
      <c r="I752" s="239"/>
      <c r="J752" s="239"/>
      <c r="K752" s="239"/>
      <c r="L752" s="239"/>
      <c r="M752" s="239"/>
      <c r="N752" s="239"/>
      <c r="O752" s="239"/>
      <c r="P752" s="239"/>
      <c r="Q752" s="239"/>
      <c r="R752" s="239"/>
      <c r="S752" s="239"/>
      <c r="U752" s="240">
        <v>2</v>
      </c>
      <c r="V752" s="240"/>
      <c r="W752" s="240"/>
      <c r="X752" s="240"/>
      <c r="BC752" s="82"/>
      <c r="BD752" s="82"/>
      <c r="BE752" s="82"/>
      <c r="BF752" s="82"/>
      <c r="BG752" s="82"/>
      <c r="BH752" s="82"/>
      <c r="BI752" s="82"/>
      <c r="BJ752" s="82"/>
      <c r="BK752" s="82"/>
      <c r="BL752" s="82"/>
      <c r="BM752" s="82"/>
      <c r="BN752" s="82"/>
      <c r="BO752" s="82"/>
      <c r="BP752" s="82"/>
      <c r="BQ752" s="82"/>
      <c r="BR752" s="82"/>
      <c r="BS752" s="82"/>
      <c r="BT752" s="82"/>
      <c r="BU752" s="82"/>
      <c r="BV752" s="82"/>
      <c r="BW752" s="82"/>
      <c r="BX752" s="82"/>
      <c r="BY752" s="82"/>
      <c r="BZ752" s="82"/>
      <c r="CA752" s="82"/>
      <c r="CB752" s="82"/>
      <c r="CC752" s="82"/>
      <c r="CD752" s="82"/>
      <c r="CE752" s="82"/>
      <c r="CF752" s="82"/>
      <c r="CG752" s="82"/>
      <c r="CH752" s="82"/>
      <c r="CI752" s="82"/>
      <c r="CJ752" s="82"/>
      <c r="CK752" s="82"/>
      <c r="CL752" s="82"/>
      <c r="CM752" s="82"/>
      <c r="CN752" s="82"/>
      <c r="CO752" s="82"/>
      <c r="CP752" s="82"/>
      <c r="CQ752" s="82"/>
      <c r="CR752" s="82"/>
      <c r="CS752" s="82"/>
      <c r="CT752" s="82"/>
      <c r="CU752" s="82"/>
      <c r="CV752" s="82"/>
      <c r="CW752" s="82"/>
      <c r="CX752" s="82"/>
      <c r="CY752" s="82"/>
      <c r="CZ752" s="82"/>
      <c r="DA752" s="82"/>
      <c r="DB752" s="82"/>
      <c r="DC752" s="82"/>
      <c r="DD752" s="82"/>
      <c r="DE752" s="82"/>
      <c r="DF752" s="82"/>
      <c r="DG752" s="82"/>
    </row>
    <row r="753" spans="2:111" ht="9" customHeight="1">
      <c r="B753" s="239"/>
      <c r="C753" s="239"/>
      <c r="D753" s="239"/>
      <c r="E753" s="239"/>
      <c r="F753" s="239"/>
      <c r="G753" s="239"/>
      <c r="H753" s="239"/>
      <c r="I753" s="239"/>
      <c r="J753" s="239"/>
      <c r="K753" s="239"/>
      <c r="L753" s="239"/>
      <c r="M753" s="239"/>
      <c r="N753" s="239"/>
      <c r="O753" s="239"/>
      <c r="P753" s="239"/>
      <c r="Q753" s="239"/>
      <c r="R753" s="239"/>
      <c r="S753" s="239"/>
      <c r="U753" s="240"/>
      <c r="V753" s="240"/>
      <c r="W753" s="240"/>
      <c r="X753" s="240"/>
      <c r="BC753" s="82"/>
      <c r="BD753" s="82"/>
      <c r="BE753" s="82"/>
      <c r="BF753" s="82"/>
      <c r="BG753" s="82"/>
      <c r="BH753" s="82"/>
      <c r="BI753" s="82"/>
      <c r="BJ753" s="82"/>
      <c r="BK753" s="82"/>
      <c r="BL753" s="82"/>
      <c r="BM753" s="82"/>
      <c r="BN753" s="82"/>
      <c r="BO753" s="82"/>
      <c r="BP753" s="82"/>
      <c r="BQ753" s="82"/>
      <c r="BR753" s="82"/>
      <c r="BS753" s="82"/>
      <c r="BT753" s="82"/>
      <c r="BU753" s="82"/>
      <c r="BV753" s="82"/>
      <c r="BW753" s="82"/>
      <c r="BX753" s="82"/>
      <c r="BY753" s="82"/>
      <c r="BZ753" s="82"/>
      <c r="CA753" s="82"/>
      <c r="CB753" s="82"/>
      <c r="CC753" s="82"/>
      <c r="CD753" s="82"/>
      <c r="CE753" s="82"/>
      <c r="CF753" s="82"/>
      <c r="CG753" s="82"/>
      <c r="CH753" s="82"/>
      <c r="CI753" s="82"/>
      <c r="CJ753" s="82"/>
      <c r="CK753" s="82"/>
      <c r="CL753" s="82"/>
      <c r="CM753" s="82"/>
      <c r="CN753" s="82"/>
      <c r="CO753" s="82"/>
      <c r="CP753" s="82"/>
      <c r="CQ753" s="82"/>
      <c r="CR753" s="82"/>
      <c r="CS753" s="82"/>
      <c r="CT753" s="82"/>
      <c r="CU753" s="82"/>
      <c r="CV753" s="82"/>
      <c r="CW753" s="82"/>
      <c r="CX753" s="82"/>
      <c r="CY753" s="82"/>
      <c r="CZ753" s="82"/>
      <c r="DA753" s="82"/>
      <c r="DB753" s="82"/>
      <c r="DC753" s="82"/>
      <c r="DD753" s="82"/>
      <c r="DE753" s="82"/>
      <c r="DF753" s="82"/>
      <c r="DG753" s="82"/>
    </row>
    <row r="754" spans="2:111" ht="4.5" customHeight="1">
      <c r="BC754" s="82"/>
      <c r="BD754" s="82"/>
      <c r="BE754" s="82"/>
      <c r="BF754" s="82"/>
      <c r="BG754" s="82"/>
      <c r="BH754" s="82"/>
      <c r="BI754" s="82"/>
      <c r="BJ754" s="82"/>
      <c r="BK754" s="82"/>
      <c r="BL754" s="82"/>
      <c r="BM754" s="82"/>
      <c r="BN754" s="82"/>
      <c r="BO754" s="82"/>
      <c r="BP754" s="82"/>
      <c r="BQ754" s="82"/>
      <c r="BR754" s="82"/>
      <c r="BS754" s="82"/>
      <c r="BT754" s="82"/>
      <c r="BU754" s="82"/>
      <c r="BV754" s="82"/>
      <c r="BW754" s="82"/>
      <c r="BX754" s="82"/>
      <c r="BY754" s="82"/>
      <c r="BZ754" s="82"/>
      <c r="CA754" s="82"/>
      <c r="CB754" s="82"/>
      <c r="CC754" s="82"/>
      <c r="CD754" s="82"/>
      <c r="CE754" s="82"/>
      <c r="CF754" s="82"/>
      <c r="CG754" s="82"/>
      <c r="CH754" s="82"/>
      <c r="CI754" s="82"/>
      <c r="CJ754" s="82"/>
      <c r="CK754" s="82"/>
      <c r="CL754" s="82"/>
      <c r="CM754" s="82"/>
      <c r="CN754" s="82"/>
      <c r="CO754" s="82"/>
      <c r="CP754" s="82"/>
      <c r="CQ754" s="82"/>
      <c r="CR754" s="82"/>
      <c r="CS754" s="82"/>
      <c r="CT754" s="82"/>
      <c r="CU754" s="82"/>
      <c r="CV754" s="82"/>
      <c r="CW754" s="82"/>
      <c r="CX754" s="82"/>
      <c r="CY754" s="82"/>
      <c r="CZ754" s="82"/>
      <c r="DA754" s="82"/>
      <c r="DB754" s="82"/>
      <c r="DC754" s="82"/>
      <c r="DD754" s="82"/>
      <c r="DE754" s="82"/>
      <c r="DF754" s="82"/>
      <c r="DG754" s="82"/>
    </row>
    <row r="755" spans="2:111" ht="9" customHeight="1">
      <c r="B755" s="232" t="str">
        <f>IF($U$752&gt;=1,"Etapa 2.1","")</f>
        <v>Etapa 2.1</v>
      </c>
      <c r="C755" s="232"/>
      <c r="D755" s="232"/>
      <c r="E755" s="232"/>
      <c r="F755" s="232"/>
      <c r="G755" s="232"/>
      <c r="I755" s="233" t="s">
        <v>519</v>
      </c>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c r="AI755" s="233"/>
      <c r="AJ755" s="233"/>
      <c r="AK755" s="233"/>
      <c r="AL755" s="233"/>
      <c r="AM755" s="233"/>
      <c r="AN755" s="233"/>
      <c r="AO755" s="233"/>
      <c r="AP755" s="233"/>
      <c r="AQ755" s="233"/>
      <c r="AS755" s="237">
        <f>IF(SUM(AS761:BA776)=0,"",SUM(AS761:BA776))</f>
        <v>518940</v>
      </c>
      <c r="AT755" s="237"/>
      <c r="AU755" s="237"/>
      <c r="AV755" s="237"/>
      <c r="AW755" s="237"/>
      <c r="AX755" s="237"/>
      <c r="AY755" s="237"/>
      <c r="AZ755" s="237"/>
      <c r="BA755" s="237"/>
      <c r="BC755" s="82"/>
      <c r="BD755" s="82"/>
      <c r="BE755" s="82"/>
      <c r="BF755" s="82"/>
      <c r="BG755" s="82"/>
      <c r="BH755" s="82"/>
      <c r="BI755" s="82"/>
      <c r="BJ755" s="82"/>
      <c r="BK755" s="82"/>
      <c r="BL755" s="82"/>
      <c r="BM755" s="82"/>
      <c r="BN755" s="82"/>
      <c r="BO755" s="82"/>
      <c r="BP755" s="82"/>
      <c r="BQ755" s="82"/>
      <c r="BR755" s="82"/>
      <c r="BS755" s="82"/>
      <c r="BT755" s="82"/>
      <c r="BU755" s="82"/>
      <c r="BV755" s="82"/>
      <c r="BW755" s="82"/>
      <c r="BX755" s="82"/>
      <c r="BY755" s="82"/>
      <c r="BZ755" s="82"/>
      <c r="CA755" s="82"/>
      <c r="CB755" s="82"/>
      <c r="CC755" s="82"/>
      <c r="CD755" s="82"/>
      <c r="CE755" s="82"/>
      <c r="CF755" s="82"/>
      <c r="CG755" s="82"/>
      <c r="CH755" s="82"/>
      <c r="CI755" s="82"/>
      <c r="CJ755" s="82"/>
      <c r="CK755" s="82"/>
      <c r="CL755" s="82"/>
      <c r="CM755" s="82"/>
      <c r="CN755" s="82"/>
      <c r="CO755" s="82"/>
      <c r="CP755" s="82"/>
      <c r="CQ755" s="82"/>
      <c r="CR755" s="82"/>
      <c r="CS755" s="82"/>
      <c r="CT755" s="82"/>
      <c r="CU755" s="82"/>
      <c r="CV755" s="82"/>
      <c r="CW755" s="82"/>
      <c r="CX755" s="82"/>
      <c r="CY755" s="82"/>
      <c r="CZ755" s="82"/>
      <c r="DA755" s="82"/>
      <c r="DB755" s="82"/>
      <c r="DC755" s="82"/>
      <c r="DD755" s="82"/>
      <c r="DE755" s="82"/>
      <c r="DF755" s="82"/>
      <c r="DG755" s="82"/>
    </row>
    <row r="756" spans="2:111" ht="9" customHeight="1">
      <c r="B756" s="232"/>
      <c r="C756" s="232"/>
      <c r="D756" s="232"/>
      <c r="E756" s="232"/>
      <c r="F756" s="232"/>
      <c r="G756" s="232"/>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c r="AI756" s="233"/>
      <c r="AJ756" s="233"/>
      <c r="AK756" s="233"/>
      <c r="AL756" s="233"/>
      <c r="AM756" s="233"/>
      <c r="AN756" s="233"/>
      <c r="AO756" s="233"/>
      <c r="AP756" s="233"/>
      <c r="AQ756" s="233"/>
      <c r="AS756" s="237"/>
      <c r="AT756" s="237"/>
      <c r="AU756" s="237"/>
      <c r="AV756" s="237"/>
      <c r="AW756" s="237"/>
      <c r="AX756" s="237"/>
      <c r="AY756" s="237"/>
      <c r="AZ756" s="237"/>
      <c r="BA756" s="237"/>
      <c r="BC756" s="82"/>
      <c r="BD756" s="82"/>
      <c r="BE756" s="82"/>
      <c r="BF756" s="82"/>
      <c r="BG756" s="82"/>
      <c r="BH756" s="82"/>
      <c r="BI756" s="82"/>
      <c r="BJ756" s="82"/>
      <c r="BK756" s="82"/>
      <c r="BL756" s="82"/>
      <c r="BM756" s="82"/>
      <c r="BN756" s="82"/>
      <c r="BO756" s="82"/>
      <c r="BP756" s="82"/>
      <c r="BQ756" s="82"/>
      <c r="BR756" s="82"/>
      <c r="BS756" s="82"/>
      <c r="BT756" s="82"/>
      <c r="BU756" s="82"/>
      <c r="BV756" s="82"/>
      <c r="BW756" s="82"/>
      <c r="BX756" s="82"/>
      <c r="BY756" s="82"/>
      <c r="BZ756" s="82"/>
      <c r="CA756" s="82"/>
      <c r="CB756" s="82"/>
      <c r="CC756" s="82"/>
      <c r="CD756" s="82"/>
      <c r="CE756" s="82"/>
      <c r="CF756" s="82"/>
      <c r="CG756" s="82"/>
      <c r="CH756" s="82"/>
      <c r="CI756" s="82"/>
      <c r="CJ756" s="82"/>
      <c r="CK756" s="82"/>
      <c r="CL756" s="82"/>
      <c r="CM756" s="82"/>
      <c r="CN756" s="82"/>
      <c r="CO756" s="82"/>
      <c r="CP756" s="82"/>
      <c r="CQ756" s="82"/>
      <c r="CR756" s="82"/>
      <c r="CS756" s="82"/>
      <c r="CT756" s="82"/>
      <c r="CU756" s="82"/>
      <c r="CV756" s="82"/>
      <c r="CW756" s="82"/>
      <c r="CX756" s="82"/>
      <c r="CY756" s="82"/>
      <c r="CZ756" s="82"/>
      <c r="DA756" s="82"/>
      <c r="DB756" s="82"/>
      <c r="DC756" s="82"/>
      <c r="DD756" s="82"/>
      <c r="DE756" s="82"/>
      <c r="DF756" s="82"/>
      <c r="DG756" s="82"/>
    </row>
    <row r="757" spans="2:111" ht="4.5" customHeight="1">
      <c r="BC757" s="82"/>
      <c r="BD757" s="82"/>
      <c r="BE757" s="82"/>
      <c r="BF757" s="82"/>
      <c r="BG757" s="82"/>
      <c r="BH757" s="82"/>
      <c r="BI757" s="82"/>
      <c r="BJ757" s="82"/>
      <c r="BK757" s="82"/>
      <c r="BL757" s="82"/>
      <c r="BM757" s="82"/>
      <c r="BN757" s="82"/>
      <c r="BO757" s="82"/>
      <c r="BP757" s="82"/>
      <c r="BQ757" s="82"/>
      <c r="BR757" s="82"/>
      <c r="BS757" s="82"/>
      <c r="BT757" s="82"/>
      <c r="BU757" s="82"/>
      <c r="BV757" s="82"/>
      <c r="BW757" s="82"/>
      <c r="BX757" s="82"/>
      <c r="BY757" s="82"/>
      <c r="BZ757" s="82"/>
      <c r="CA757" s="82"/>
      <c r="CB757" s="82"/>
      <c r="CC757" s="82"/>
      <c r="CD757" s="82"/>
      <c r="CE757" s="82"/>
      <c r="CF757" s="82"/>
      <c r="CG757" s="82"/>
      <c r="CH757" s="82"/>
      <c r="CI757" s="82"/>
      <c r="CJ757" s="82"/>
      <c r="CK757" s="82"/>
      <c r="CL757" s="82"/>
      <c r="CM757" s="82"/>
      <c r="CN757" s="82"/>
      <c r="CO757" s="82"/>
      <c r="CP757" s="82"/>
      <c r="CQ757" s="82"/>
      <c r="CR757" s="82"/>
      <c r="CS757" s="82"/>
      <c r="CT757" s="82"/>
      <c r="CU757" s="82"/>
      <c r="CV757" s="82"/>
      <c r="CW757" s="82"/>
      <c r="CX757" s="82"/>
      <c r="CY757" s="82"/>
      <c r="CZ757" s="82"/>
      <c r="DA757" s="82"/>
      <c r="DB757" s="82"/>
      <c r="DC757" s="82"/>
      <c r="DD757" s="82"/>
      <c r="DE757" s="82"/>
      <c r="DF757" s="82"/>
      <c r="DG757" s="82"/>
    </row>
    <row r="758" spans="2:111" ht="9" customHeight="1">
      <c r="I758" s="229" t="str">
        <f>IF($U$752&gt;=1,"Início:","")</f>
        <v>Início:</v>
      </c>
      <c r="J758" s="229"/>
      <c r="K758" s="229"/>
      <c r="L758" s="229"/>
      <c r="M758" s="229"/>
      <c r="N758" s="229"/>
      <c r="P758" s="235">
        <v>44166</v>
      </c>
      <c r="Q758" s="235"/>
      <c r="R758" s="235"/>
      <c r="S758" s="235"/>
      <c r="T758" s="235"/>
      <c r="U758" s="235"/>
      <c r="V758" s="235"/>
      <c r="W758" s="235"/>
      <c r="Y758" s="229" t="str">
        <f>IF($U$752&gt;=1,"Término:","")</f>
        <v>Término:</v>
      </c>
      <c r="Z758" s="229"/>
      <c r="AA758" s="229"/>
      <c r="AB758" s="229"/>
      <c r="AC758" s="229"/>
      <c r="AD758" s="229"/>
      <c r="AF758" s="235">
        <v>44531</v>
      </c>
      <c r="AG758" s="235"/>
      <c r="AH758" s="235"/>
      <c r="AI758" s="235"/>
      <c r="AJ758" s="235"/>
      <c r="AK758" s="235"/>
      <c r="AL758" s="235"/>
      <c r="AM758" s="235"/>
      <c r="AW758" s="236" t="str">
        <f>IF($U$752&gt;=1,"Valor (R$):","")</f>
        <v>Valor (R$):</v>
      </c>
      <c r="AX758" s="236"/>
      <c r="AY758" s="236"/>
      <c r="AZ758" s="236"/>
      <c r="BA758" s="236"/>
      <c r="BC758" s="82"/>
      <c r="BD758" s="82"/>
      <c r="BE758" s="82"/>
      <c r="BF758" s="82"/>
      <c r="BG758" s="82"/>
      <c r="BH758" s="82"/>
      <c r="BI758" s="82"/>
      <c r="BJ758" s="82"/>
      <c r="BK758" s="82"/>
      <c r="BL758" s="82"/>
      <c r="BM758" s="82"/>
      <c r="BN758" s="82"/>
      <c r="BO758" s="82"/>
      <c r="BP758" s="82"/>
      <c r="BQ758" s="82"/>
      <c r="BR758" s="82"/>
      <c r="BS758" s="82"/>
      <c r="BT758" s="82"/>
      <c r="BU758" s="82"/>
      <c r="BV758" s="82"/>
      <c r="BW758" s="82"/>
      <c r="BX758" s="82"/>
      <c r="BY758" s="82"/>
      <c r="BZ758" s="82"/>
      <c r="CA758" s="82"/>
      <c r="CB758" s="82"/>
      <c r="CC758" s="82"/>
      <c r="CD758" s="82"/>
      <c r="CE758" s="82"/>
      <c r="CF758" s="82"/>
      <c r="CG758" s="82"/>
      <c r="CH758" s="82"/>
      <c r="CI758" s="82"/>
      <c r="CJ758" s="82"/>
      <c r="CK758" s="82"/>
      <c r="CL758" s="82"/>
      <c r="CM758" s="82"/>
      <c r="CN758" s="82"/>
      <c r="CO758" s="82"/>
      <c r="CP758" s="82"/>
      <c r="CQ758" s="82"/>
      <c r="CR758" s="82"/>
      <c r="CS758" s="82"/>
      <c r="CT758" s="82"/>
      <c r="CU758" s="82"/>
      <c r="CV758" s="82"/>
      <c r="CW758" s="82"/>
      <c r="CX758" s="82"/>
      <c r="CY758" s="82"/>
      <c r="CZ758" s="82"/>
      <c r="DA758" s="82"/>
      <c r="DB758" s="82"/>
      <c r="DC758" s="82"/>
      <c r="DD758" s="82"/>
      <c r="DE758" s="82"/>
      <c r="DF758" s="82"/>
      <c r="DG758" s="82"/>
    </row>
    <row r="759" spans="2:111" ht="9" customHeight="1">
      <c r="I759" s="229"/>
      <c r="J759" s="229"/>
      <c r="K759" s="229"/>
      <c r="L759" s="229"/>
      <c r="M759" s="229"/>
      <c r="N759" s="229"/>
      <c r="P759" s="235"/>
      <c r="Q759" s="235"/>
      <c r="R759" s="235"/>
      <c r="S759" s="235"/>
      <c r="T759" s="235"/>
      <c r="U759" s="235"/>
      <c r="V759" s="235"/>
      <c r="W759" s="235"/>
      <c r="Y759" s="229"/>
      <c r="Z759" s="229"/>
      <c r="AA759" s="229"/>
      <c r="AB759" s="229"/>
      <c r="AC759" s="229"/>
      <c r="AD759" s="229"/>
      <c r="AF759" s="235"/>
      <c r="AG759" s="235"/>
      <c r="AH759" s="235"/>
      <c r="AI759" s="235"/>
      <c r="AJ759" s="235"/>
      <c r="AK759" s="235"/>
      <c r="AL759" s="235"/>
      <c r="AM759" s="235"/>
      <c r="AW759" s="236"/>
      <c r="AX759" s="236"/>
      <c r="AY759" s="236"/>
      <c r="AZ759" s="236"/>
      <c r="BA759" s="236"/>
      <c r="BC759" s="82"/>
      <c r="BD759" s="82"/>
      <c r="BE759" s="82"/>
      <c r="BF759" s="82"/>
      <c r="BG759" s="82"/>
      <c r="BH759" s="82"/>
      <c r="BI759" s="82"/>
      <c r="BJ759" s="82"/>
      <c r="BK759" s="82"/>
      <c r="BL759" s="82"/>
      <c r="BM759" s="82"/>
      <c r="BN759" s="82"/>
      <c r="BO759" s="82"/>
      <c r="BP759" s="82"/>
      <c r="BQ759" s="82"/>
      <c r="BR759" s="82"/>
      <c r="BS759" s="82"/>
      <c r="BT759" s="82"/>
      <c r="BU759" s="82"/>
      <c r="BV759" s="82"/>
      <c r="BW759" s="82"/>
      <c r="BX759" s="82"/>
      <c r="BY759" s="82"/>
      <c r="BZ759" s="82"/>
      <c r="CA759" s="82"/>
      <c r="CB759" s="82"/>
      <c r="CC759" s="82"/>
      <c r="CD759" s="82"/>
      <c r="CE759" s="82"/>
      <c r="CF759" s="82"/>
      <c r="CG759" s="82"/>
      <c r="CH759" s="82"/>
      <c r="CI759" s="82"/>
      <c r="CJ759" s="82"/>
      <c r="CK759" s="82"/>
      <c r="CL759" s="82"/>
      <c r="CM759" s="82"/>
      <c r="CN759" s="82"/>
      <c r="CO759" s="82"/>
      <c r="CP759" s="82"/>
      <c r="CQ759" s="82"/>
      <c r="CR759" s="82"/>
      <c r="CS759" s="82"/>
      <c r="CT759" s="82"/>
      <c r="CU759" s="82"/>
      <c r="CV759" s="82"/>
      <c r="CW759" s="82"/>
      <c r="CX759" s="82"/>
      <c r="CY759" s="82"/>
      <c r="CZ759" s="82"/>
      <c r="DA759" s="82"/>
      <c r="DB759" s="82"/>
      <c r="DC759" s="82"/>
      <c r="DD759" s="82"/>
      <c r="DE759" s="82"/>
      <c r="DF759" s="82"/>
      <c r="DG759" s="82"/>
    </row>
    <row r="760" spans="2:111" ht="4.5" customHeight="1">
      <c r="BC760" s="82"/>
      <c r="BD760" s="82"/>
      <c r="BE760" s="82"/>
      <c r="BF760" s="82"/>
      <c r="BG760" s="82"/>
      <c r="BH760" s="82"/>
      <c r="BI760" s="82"/>
      <c r="BJ760" s="82"/>
      <c r="BK760" s="82"/>
      <c r="BL760" s="82"/>
      <c r="BM760" s="82"/>
      <c r="BN760" s="82"/>
      <c r="BO760" s="82"/>
      <c r="BP760" s="82"/>
      <c r="BQ760" s="82"/>
      <c r="BR760" s="82"/>
      <c r="BS760" s="82"/>
      <c r="BT760" s="82"/>
      <c r="BU760" s="82"/>
      <c r="BV760" s="82"/>
      <c r="BW760" s="82"/>
      <c r="BX760" s="82"/>
      <c r="BY760" s="82"/>
      <c r="BZ760" s="82"/>
      <c r="CA760" s="82"/>
      <c r="CB760" s="82"/>
      <c r="CC760" s="82"/>
      <c r="CD760" s="82"/>
      <c r="CE760" s="82"/>
      <c r="CF760" s="82"/>
      <c r="CG760" s="82"/>
      <c r="CH760" s="82"/>
      <c r="CI760" s="82"/>
      <c r="CJ760" s="82"/>
      <c r="CK760" s="82"/>
      <c r="CL760" s="82"/>
      <c r="CM760" s="82"/>
      <c r="CN760" s="82"/>
      <c r="CO760" s="82"/>
      <c r="CP760" s="82"/>
      <c r="CQ760" s="82"/>
      <c r="CR760" s="82"/>
      <c r="CS760" s="82"/>
      <c r="CT760" s="82"/>
      <c r="CU760" s="82"/>
      <c r="CV760" s="82"/>
      <c r="CW760" s="82"/>
      <c r="CX760" s="82"/>
      <c r="CY760" s="82"/>
      <c r="CZ760" s="82"/>
      <c r="DA760" s="82"/>
      <c r="DB760" s="82"/>
      <c r="DC760" s="82"/>
      <c r="DD760" s="82"/>
      <c r="DE760" s="82"/>
      <c r="DF760" s="82"/>
      <c r="DG760" s="82"/>
    </row>
    <row r="761" spans="2:111" ht="9" customHeight="1">
      <c r="B761" s="229" t="str">
        <f>IF($U$752&gt;=1,"Elementos de Despesa:","")</f>
        <v>Elementos de Despesa:</v>
      </c>
      <c r="C761" s="229"/>
      <c r="D761" s="229"/>
      <c r="E761" s="229"/>
      <c r="F761" s="229"/>
      <c r="G761" s="229"/>
      <c r="H761" s="229"/>
      <c r="I761" s="229"/>
      <c r="J761" s="229"/>
      <c r="K761" s="229"/>
      <c r="L761" s="229"/>
      <c r="M761" s="229"/>
      <c r="N761" s="229"/>
      <c r="P761" s="230" t="s">
        <v>216</v>
      </c>
      <c r="Q761" s="230"/>
      <c r="R761" s="230"/>
      <c r="S761" s="230"/>
      <c r="T761" s="230"/>
      <c r="U761" s="230"/>
      <c r="V761" s="230"/>
      <c r="W761" s="230"/>
      <c r="X761" s="230"/>
      <c r="Y761" s="230"/>
      <c r="Z761" s="230"/>
      <c r="AA761" s="230"/>
      <c r="AB761" s="230"/>
      <c r="AC761" s="230"/>
      <c r="AD761" s="230"/>
      <c r="AE761" s="230"/>
      <c r="AF761" s="230"/>
      <c r="AG761" s="230"/>
      <c r="AH761" s="230"/>
      <c r="AI761" s="230"/>
      <c r="AJ761" s="230"/>
      <c r="AK761" s="230"/>
      <c r="AL761" s="230"/>
      <c r="AM761" s="230"/>
      <c r="AN761" s="230"/>
      <c r="AO761" s="230"/>
      <c r="AP761" s="230"/>
      <c r="AQ761" s="230"/>
      <c r="AS761" s="231">
        <v>518940</v>
      </c>
      <c r="AT761" s="231"/>
      <c r="AU761" s="231"/>
      <c r="AV761" s="231"/>
      <c r="AW761" s="231"/>
      <c r="AX761" s="231"/>
      <c r="AY761" s="231"/>
      <c r="AZ761" s="231"/>
      <c r="BA761" s="231"/>
      <c r="BC761" s="82"/>
      <c r="BD761" s="82"/>
      <c r="BE761" s="82"/>
      <c r="BF761" s="82"/>
      <c r="BG761" s="82"/>
      <c r="BH761" s="82"/>
      <c r="BI761" s="82"/>
      <c r="BJ761" s="82"/>
      <c r="BK761" s="82"/>
      <c r="BL761" s="82"/>
      <c r="BM761" s="82"/>
      <c r="BN761" s="82"/>
      <c r="BO761" s="82"/>
      <c r="BP761" s="82"/>
      <c r="BQ761" s="82"/>
      <c r="BR761" s="82"/>
      <c r="BS761" s="82"/>
      <c r="BT761" s="82"/>
      <c r="BU761" s="82"/>
      <c r="BV761" s="82"/>
      <c r="BW761" s="82"/>
      <c r="BX761" s="82"/>
      <c r="BY761" s="82"/>
      <c r="BZ761" s="82"/>
      <c r="CA761" s="82"/>
      <c r="CB761" s="82"/>
      <c r="CC761" s="82"/>
      <c r="CD761" s="82"/>
      <c r="CE761" s="82"/>
      <c r="CF761" s="82"/>
      <c r="CG761" s="82"/>
      <c r="CH761" s="82"/>
      <c r="CI761" s="82"/>
      <c r="CJ761" s="82"/>
      <c r="CK761" s="82"/>
      <c r="CL761" s="82"/>
      <c r="CM761" s="82"/>
      <c r="CN761" s="82"/>
      <c r="CO761" s="82"/>
      <c r="CP761" s="82"/>
      <c r="CQ761" s="82"/>
      <c r="CR761" s="82"/>
      <c r="CS761" s="82"/>
      <c r="CT761" s="82"/>
      <c r="CU761" s="82"/>
      <c r="CV761" s="82"/>
      <c r="CW761" s="82"/>
      <c r="CX761" s="82"/>
      <c r="CY761" s="82"/>
      <c r="CZ761" s="82"/>
      <c r="DA761" s="82"/>
      <c r="DB761" s="82"/>
      <c r="DC761" s="82"/>
      <c r="DD761" s="82"/>
      <c r="DE761" s="82"/>
      <c r="DF761" s="82"/>
      <c r="DG761" s="82"/>
    </row>
    <row r="762" spans="2:111" ht="9" customHeight="1">
      <c r="B762" s="229"/>
      <c r="C762" s="229"/>
      <c r="D762" s="229"/>
      <c r="E762" s="229"/>
      <c r="F762" s="229"/>
      <c r="G762" s="229"/>
      <c r="H762" s="229"/>
      <c r="I762" s="229"/>
      <c r="J762" s="229"/>
      <c r="K762" s="229"/>
      <c r="L762" s="229"/>
      <c r="M762" s="229"/>
      <c r="N762" s="229"/>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230"/>
      <c r="AL762" s="230"/>
      <c r="AM762" s="230"/>
      <c r="AN762" s="230"/>
      <c r="AO762" s="230"/>
      <c r="AP762" s="230"/>
      <c r="AQ762" s="230"/>
      <c r="AS762" s="231"/>
      <c r="AT762" s="231"/>
      <c r="AU762" s="231"/>
      <c r="AV762" s="231"/>
      <c r="AW762" s="231"/>
      <c r="AX762" s="231"/>
      <c r="AY762" s="231"/>
      <c r="AZ762" s="231"/>
      <c r="BA762" s="231"/>
      <c r="BC762" s="82"/>
      <c r="BD762" s="82"/>
      <c r="BE762" s="82"/>
      <c r="BF762" s="82"/>
      <c r="BG762" s="82"/>
      <c r="BH762" s="82"/>
      <c r="BI762" s="82"/>
      <c r="BJ762" s="82"/>
      <c r="BK762" s="82"/>
      <c r="BL762" s="82"/>
      <c r="BM762" s="82"/>
      <c r="BN762" s="82"/>
      <c r="BO762" s="82"/>
      <c r="BP762" s="82"/>
      <c r="BQ762" s="82"/>
      <c r="BR762" s="82"/>
      <c r="BS762" s="82"/>
      <c r="BT762" s="82"/>
      <c r="BU762" s="82"/>
      <c r="BV762" s="82"/>
      <c r="BW762" s="82"/>
      <c r="BX762" s="82"/>
      <c r="BY762" s="82"/>
      <c r="BZ762" s="82"/>
      <c r="CA762" s="82"/>
      <c r="CB762" s="82"/>
      <c r="CC762" s="82"/>
      <c r="CD762" s="82"/>
      <c r="CE762" s="82"/>
      <c r="CF762" s="82"/>
      <c r="CG762" s="82"/>
      <c r="CH762" s="82"/>
      <c r="CI762" s="82"/>
      <c r="CJ762" s="82"/>
      <c r="CK762" s="82"/>
      <c r="CL762" s="82"/>
      <c r="CM762" s="82"/>
      <c r="CN762" s="82"/>
      <c r="CO762" s="82"/>
      <c r="CP762" s="82"/>
      <c r="CQ762" s="82"/>
      <c r="CR762" s="82"/>
      <c r="CS762" s="82"/>
      <c r="CT762" s="82"/>
      <c r="CU762" s="82"/>
      <c r="CV762" s="82"/>
      <c r="CW762" s="82"/>
      <c r="CX762" s="82"/>
      <c r="CY762" s="82"/>
      <c r="CZ762" s="82"/>
      <c r="DA762" s="82"/>
      <c r="DB762" s="82"/>
      <c r="DC762" s="82"/>
      <c r="DD762" s="82"/>
      <c r="DE762" s="82"/>
      <c r="DF762" s="82"/>
      <c r="DG762" s="82"/>
    </row>
    <row r="763" spans="2:111" ht="9" customHeight="1">
      <c r="B763" s="229"/>
      <c r="C763" s="229"/>
      <c r="D763" s="229"/>
      <c r="E763" s="229"/>
      <c r="F763" s="229"/>
      <c r="G763" s="229"/>
      <c r="H763" s="229"/>
      <c r="I763" s="229"/>
      <c r="J763" s="229"/>
      <c r="K763" s="229"/>
      <c r="L763" s="229"/>
      <c r="M763" s="229"/>
      <c r="N763" s="229"/>
      <c r="P763" s="230"/>
      <c r="Q763" s="230"/>
      <c r="R763" s="230"/>
      <c r="S763" s="230"/>
      <c r="T763" s="230"/>
      <c r="U763" s="230"/>
      <c r="V763" s="230"/>
      <c r="W763" s="230"/>
      <c r="X763" s="230"/>
      <c r="Y763" s="230"/>
      <c r="Z763" s="230"/>
      <c r="AA763" s="230"/>
      <c r="AB763" s="230"/>
      <c r="AC763" s="230"/>
      <c r="AD763" s="230"/>
      <c r="AE763" s="230"/>
      <c r="AF763" s="230"/>
      <c r="AG763" s="230"/>
      <c r="AH763" s="230"/>
      <c r="AI763" s="230"/>
      <c r="AJ763" s="230"/>
      <c r="AK763" s="230"/>
      <c r="AL763" s="230"/>
      <c r="AM763" s="230"/>
      <c r="AN763" s="230"/>
      <c r="AO763" s="230"/>
      <c r="AP763" s="230"/>
      <c r="AQ763" s="230"/>
      <c r="AS763" s="231"/>
      <c r="AT763" s="231"/>
      <c r="AU763" s="231"/>
      <c r="AV763" s="231"/>
      <c r="AW763" s="231"/>
      <c r="AX763" s="231"/>
      <c r="AY763" s="231"/>
      <c r="AZ763" s="231"/>
      <c r="BA763" s="231"/>
      <c r="BC763" s="82"/>
      <c r="BD763" s="82"/>
      <c r="BE763" s="82"/>
      <c r="BF763" s="82"/>
      <c r="BG763" s="82"/>
      <c r="BH763" s="82"/>
      <c r="BI763" s="82"/>
      <c r="BJ763" s="82"/>
      <c r="BK763" s="82"/>
      <c r="BL763" s="82"/>
      <c r="BM763" s="82"/>
      <c r="BN763" s="82"/>
      <c r="BO763" s="82"/>
      <c r="BP763" s="82"/>
      <c r="BQ763" s="82"/>
      <c r="BR763" s="82"/>
      <c r="BS763" s="82"/>
      <c r="BT763" s="82"/>
      <c r="BU763" s="82"/>
      <c r="BV763" s="82"/>
      <c r="BW763" s="82"/>
      <c r="BX763" s="82"/>
      <c r="BY763" s="82"/>
      <c r="BZ763" s="82"/>
      <c r="CA763" s="82"/>
      <c r="CB763" s="82"/>
      <c r="CC763" s="82"/>
      <c r="CD763" s="82"/>
      <c r="CE763" s="82"/>
      <c r="CF763" s="82"/>
      <c r="CG763" s="82"/>
      <c r="CH763" s="82"/>
      <c r="CI763" s="82"/>
      <c r="CJ763" s="82"/>
      <c r="CK763" s="82"/>
      <c r="CL763" s="82"/>
      <c r="CM763" s="82"/>
      <c r="CN763" s="82"/>
      <c r="CO763" s="82"/>
      <c r="CP763" s="82"/>
      <c r="CQ763" s="82"/>
      <c r="CR763" s="82"/>
      <c r="CS763" s="82"/>
      <c r="CT763" s="82"/>
      <c r="CU763" s="82"/>
      <c r="CV763" s="82"/>
      <c r="CW763" s="82"/>
      <c r="CX763" s="82"/>
      <c r="CY763" s="82"/>
      <c r="CZ763" s="82"/>
      <c r="DA763" s="82"/>
      <c r="DB763" s="82"/>
      <c r="DC763" s="82"/>
      <c r="DD763" s="82"/>
      <c r="DE763" s="82"/>
      <c r="DF763" s="82"/>
      <c r="DG763" s="82"/>
    </row>
    <row r="764" spans="2:111" ht="9" customHeight="1">
      <c r="B764" s="229"/>
      <c r="C764" s="229"/>
      <c r="D764" s="229"/>
      <c r="E764" s="229"/>
      <c r="F764" s="229"/>
      <c r="G764" s="229"/>
      <c r="H764" s="229"/>
      <c r="I764" s="229"/>
      <c r="J764" s="229"/>
      <c r="K764" s="229"/>
      <c r="L764" s="229"/>
      <c r="M764" s="229"/>
      <c r="N764" s="229"/>
      <c r="P764" s="230"/>
      <c r="Q764" s="230"/>
      <c r="R764" s="230"/>
      <c r="S764" s="230"/>
      <c r="T764" s="230"/>
      <c r="U764" s="230"/>
      <c r="V764" s="230"/>
      <c r="W764" s="230"/>
      <c r="X764" s="230"/>
      <c r="Y764" s="230"/>
      <c r="Z764" s="230"/>
      <c r="AA764" s="230"/>
      <c r="AB764" s="230"/>
      <c r="AC764" s="230"/>
      <c r="AD764" s="230"/>
      <c r="AE764" s="230"/>
      <c r="AF764" s="230"/>
      <c r="AG764" s="230"/>
      <c r="AH764" s="230"/>
      <c r="AI764" s="230"/>
      <c r="AJ764" s="230"/>
      <c r="AK764" s="230"/>
      <c r="AL764" s="230"/>
      <c r="AM764" s="230"/>
      <c r="AN764" s="230"/>
      <c r="AO764" s="230"/>
      <c r="AP764" s="230"/>
      <c r="AQ764" s="230"/>
      <c r="AS764" s="231"/>
      <c r="AT764" s="231"/>
      <c r="AU764" s="231"/>
      <c r="AV764" s="231"/>
      <c r="AW764" s="231"/>
      <c r="AX764" s="231"/>
      <c r="AY764" s="231"/>
      <c r="AZ764" s="231"/>
      <c r="BA764" s="231"/>
      <c r="BC764" s="82"/>
      <c r="BD764" s="82"/>
      <c r="BE764" s="82"/>
      <c r="BF764" s="82"/>
      <c r="BG764" s="82"/>
      <c r="BH764" s="82"/>
      <c r="BI764" s="82"/>
      <c r="BJ764" s="82"/>
      <c r="BK764" s="82"/>
      <c r="BL764" s="82"/>
      <c r="BM764" s="82"/>
      <c r="BN764" s="82"/>
      <c r="BO764" s="82"/>
      <c r="BP764" s="82"/>
      <c r="BQ764" s="82"/>
      <c r="BR764" s="82"/>
      <c r="BS764" s="82"/>
      <c r="BT764" s="82"/>
      <c r="BU764" s="82"/>
      <c r="BV764" s="82"/>
      <c r="BW764" s="82"/>
      <c r="BX764" s="82"/>
      <c r="BY764" s="82"/>
      <c r="BZ764" s="82"/>
      <c r="CA764" s="82"/>
      <c r="CB764" s="82"/>
      <c r="CC764" s="82"/>
      <c r="CD764" s="82"/>
      <c r="CE764" s="82"/>
      <c r="CF764" s="82"/>
      <c r="CG764" s="82"/>
      <c r="CH764" s="82"/>
      <c r="CI764" s="82"/>
      <c r="CJ764" s="82"/>
      <c r="CK764" s="82"/>
      <c r="CL764" s="82"/>
      <c r="CM764" s="82"/>
      <c r="CN764" s="82"/>
      <c r="CO764" s="82"/>
      <c r="CP764" s="82"/>
      <c r="CQ764" s="82"/>
      <c r="CR764" s="82"/>
      <c r="CS764" s="82"/>
      <c r="CT764" s="82"/>
      <c r="CU764" s="82"/>
      <c r="CV764" s="82"/>
      <c r="CW764" s="82"/>
      <c r="CX764" s="82"/>
      <c r="CY764" s="82"/>
      <c r="CZ764" s="82"/>
      <c r="DA764" s="82"/>
      <c r="DB764" s="82"/>
      <c r="DC764" s="82"/>
      <c r="DD764" s="82"/>
      <c r="DE764" s="82"/>
      <c r="DF764" s="82"/>
      <c r="DG764" s="82"/>
    </row>
    <row r="765" spans="2:111" ht="9" customHeight="1">
      <c r="B765" s="229"/>
      <c r="C765" s="229"/>
      <c r="D765" s="229"/>
      <c r="E765" s="229"/>
      <c r="F765" s="229"/>
      <c r="G765" s="229"/>
      <c r="H765" s="229"/>
      <c r="I765" s="229"/>
      <c r="J765" s="229"/>
      <c r="K765" s="229"/>
      <c r="L765" s="229"/>
      <c r="M765" s="229"/>
      <c r="N765" s="229"/>
      <c r="P765" s="230"/>
      <c r="Q765" s="230"/>
      <c r="R765" s="230"/>
      <c r="S765" s="230"/>
      <c r="T765" s="230"/>
      <c r="U765" s="230"/>
      <c r="V765" s="230"/>
      <c r="W765" s="230"/>
      <c r="X765" s="230"/>
      <c r="Y765" s="230"/>
      <c r="Z765" s="230"/>
      <c r="AA765" s="230"/>
      <c r="AB765" s="230"/>
      <c r="AC765" s="230"/>
      <c r="AD765" s="230"/>
      <c r="AE765" s="230"/>
      <c r="AF765" s="230"/>
      <c r="AG765" s="230"/>
      <c r="AH765" s="230"/>
      <c r="AI765" s="230"/>
      <c r="AJ765" s="230"/>
      <c r="AK765" s="230"/>
      <c r="AL765" s="230"/>
      <c r="AM765" s="230"/>
      <c r="AN765" s="230"/>
      <c r="AO765" s="230"/>
      <c r="AP765" s="230"/>
      <c r="AQ765" s="230"/>
      <c r="AS765" s="231"/>
      <c r="AT765" s="231"/>
      <c r="AU765" s="231"/>
      <c r="AV765" s="231"/>
      <c r="AW765" s="231"/>
      <c r="AX765" s="231"/>
      <c r="AY765" s="231"/>
      <c r="AZ765" s="231"/>
      <c r="BA765" s="231"/>
      <c r="BC765" s="82"/>
      <c r="BD765" s="82"/>
      <c r="BE765" s="82"/>
      <c r="BF765" s="82"/>
      <c r="BG765" s="82"/>
      <c r="BH765" s="82"/>
      <c r="BI765" s="82"/>
      <c r="BJ765" s="82"/>
      <c r="BK765" s="82"/>
      <c r="BL765" s="82"/>
      <c r="BM765" s="82"/>
      <c r="BN765" s="82"/>
      <c r="BO765" s="82"/>
      <c r="BP765" s="82"/>
      <c r="BQ765" s="82"/>
      <c r="BR765" s="82"/>
      <c r="BS765" s="82"/>
      <c r="BT765" s="82"/>
      <c r="BU765" s="82"/>
      <c r="BV765" s="82"/>
      <c r="BW765" s="82"/>
      <c r="BX765" s="82"/>
      <c r="BY765" s="82"/>
      <c r="BZ765" s="82"/>
      <c r="CA765" s="82"/>
      <c r="CB765" s="82"/>
      <c r="CC765" s="82"/>
      <c r="CD765" s="82"/>
      <c r="CE765" s="82"/>
      <c r="CF765" s="82"/>
      <c r="CG765" s="82"/>
      <c r="CH765" s="82"/>
      <c r="CI765" s="82"/>
      <c r="CJ765" s="82"/>
      <c r="CK765" s="82"/>
      <c r="CL765" s="82"/>
      <c r="CM765" s="82"/>
      <c r="CN765" s="82"/>
      <c r="CO765" s="82"/>
      <c r="CP765" s="82"/>
      <c r="CQ765" s="82"/>
      <c r="CR765" s="82"/>
      <c r="CS765" s="82"/>
      <c r="CT765" s="82"/>
      <c r="CU765" s="82"/>
      <c r="CV765" s="82"/>
      <c r="CW765" s="82"/>
      <c r="CX765" s="82"/>
      <c r="CY765" s="82"/>
      <c r="CZ765" s="82"/>
      <c r="DA765" s="82"/>
      <c r="DB765" s="82"/>
      <c r="DC765" s="82"/>
      <c r="DD765" s="82"/>
      <c r="DE765" s="82"/>
      <c r="DF765" s="82"/>
      <c r="DG765" s="82"/>
    </row>
    <row r="766" spans="2:111" ht="9" customHeight="1">
      <c r="B766" s="229"/>
      <c r="C766" s="229"/>
      <c r="D766" s="229"/>
      <c r="E766" s="229"/>
      <c r="F766" s="229"/>
      <c r="G766" s="229"/>
      <c r="H766" s="229"/>
      <c r="I766" s="229"/>
      <c r="J766" s="229"/>
      <c r="K766" s="229"/>
      <c r="L766" s="229"/>
      <c r="M766" s="229"/>
      <c r="N766" s="229"/>
      <c r="P766" s="230"/>
      <c r="Q766" s="230"/>
      <c r="R766" s="230"/>
      <c r="S766" s="230"/>
      <c r="T766" s="230"/>
      <c r="U766" s="230"/>
      <c r="V766" s="230"/>
      <c r="W766" s="230"/>
      <c r="X766" s="230"/>
      <c r="Y766" s="230"/>
      <c r="Z766" s="230"/>
      <c r="AA766" s="230"/>
      <c r="AB766" s="230"/>
      <c r="AC766" s="230"/>
      <c r="AD766" s="230"/>
      <c r="AE766" s="230"/>
      <c r="AF766" s="230"/>
      <c r="AG766" s="230"/>
      <c r="AH766" s="230"/>
      <c r="AI766" s="230"/>
      <c r="AJ766" s="230"/>
      <c r="AK766" s="230"/>
      <c r="AL766" s="230"/>
      <c r="AM766" s="230"/>
      <c r="AN766" s="230"/>
      <c r="AO766" s="230"/>
      <c r="AP766" s="230"/>
      <c r="AQ766" s="230"/>
      <c r="AS766" s="231"/>
      <c r="AT766" s="231"/>
      <c r="AU766" s="231"/>
      <c r="AV766" s="231"/>
      <c r="AW766" s="231"/>
      <c r="AX766" s="231"/>
      <c r="AY766" s="231"/>
      <c r="AZ766" s="231"/>
      <c r="BA766" s="231"/>
      <c r="BC766" s="82"/>
      <c r="BD766" s="82"/>
      <c r="BE766" s="82"/>
      <c r="BF766" s="82"/>
      <c r="BG766" s="82"/>
      <c r="BH766" s="82"/>
      <c r="BI766" s="82"/>
      <c r="BJ766" s="82"/>
      <c r="BK766" s="82"/>
      <c r="BL766" s="82"/>
      <c r="BM766" s="82"/>
      <c r="BN766" s="82"/>
      <c r="BO766" s="82"/>
      <c r="BP766" s="82"/>
      <c r="BQ766" s="82"/>
      <c r="BR766" s="82"/>
      <c r="BS766" s="82"/>
      <c r="BT766" s="82"/>
      <c r="BU766" s="82"/>
      <c r="BV766" s="82"/>
      <c r="BW766" s="82"/>
      <c r="BX766" s="82"/>
      <c r="BY766" s="82"/>
      <c r="BZ766" s="82"/>
      <c r="CA766" s="82"/>
      <c r="CB766" s="82"/>
      <c r="CC766" s="82"/>
      <c r="CD766" s="82"/>
      <c r="CE766" s="82"/>
      <c r="CF766" s="82"/>
      <c r="CG766" s="82"/>
      <c r="CH766" s="82"/>
      <c r="CI766" s="82"/>
      <c r="CJ766" s="82"/>
      <c r="CK766" s="82"/>
      <c r="CL766" s="82"/>
      <c r="CM766" s="82"/>
      <c r="CN766" s="82"/>
      <c r="CO766" s="82"/>
      <c r="CP766" s="82"/>
      <c r="CQ766" s="82"/>
      <c r="CR766" s="82"/>
      <c r="CS766" s="82"/>
      <c r="CT766" s="82"/>
      <c r="CU766" s="82"/>
      <c r="CV766" s="82"/>
      <c r="CW766" s="82"/>
      <c r="CX766" s="82"/>
      <c r="CY766" s="82"/>
      <c r="CZ766" s="82"/>
      <c r="DA766" s="82"/>
      <c r="DB766" s="82"/>
      <c r="DC766" s="82"/>
      <c r="DD766" s="82"/>
      <c r="DE766" s="82"/>
      <c r="DF766" s="82"/>
      <c r="DG766" s="82"/>
    </row>
    <row r="767" spans="2:111" ht="9" customHeight="1">
      <c r="B767" s="229"/>
      <c r="C767" s="229"/>
      <c r="D767" s="229"/>
      <c r="E767" s="229"/>
      <c r="F767" s="229"/>
      <c r="G767" s="229"/>
      <c r="H767" s="229"/>
      <c r="I767" s="229"/>
      <c r="J767" s="229"/>
      <c r="K767" s="229"/>
      <c r="L767" s="229"/>
      <c r="M767" s="229"/>
      <c r="N767" s="229"/>
      <c r="P767" s="230"/>
      <c r="Q767" s="230"/>
      <c r="R767" s="230"/>
      <c r="S767" s="230"/>
      <c r="T767" s="230"/>
      <c r="U767" s="230"/>
      <c r="V767" s="230"/>
      <c r="W767" s="230"/>
      <c r="X767" s="230"/>
      <c r="Y767" s="230"/>
      <c r="Z767" s="230"/>
      <c r="AA767" s="230"/>
      <c r="AB767" s="230"/>
      <c r="AC767" s="230"/>
      <c r="AD767" s="230"/>
      <c r="AE767" s="230"/>
      <c r="AF767" s="230"/>
      <c r="AG767" s="230"/>
      <c r="AH767" s="230"/>
      <c r="AI767" s="230"/>
      <c r="AJ767" s="230"/>
      <c r="AK767" s="230"/>
      <c r="AL767" s="230"/>
      <c r="AM767" s="230"/>
      <c r="AN767" s="230"/>
      <c r="AO767" s="230"/>
      <c r="AP767" s="230"/>
      <c r="AQ767" s="230"/>
      <c r="AS767" s="231"/>
      <c r="AT767" s="231"/>
      <c r="AU767" s="231"/>
      <c r="AV767" s="231"/>
      <c r="AW767" s="231"/>
      <c r="AX767" s="231"/>
      <c r="AY767" s="231"/>
      <c r="AZ767" s="231"/>
      <c r="BA767" s="231"/>
      <c r="BC767" s="82"/>
      <c r="BD767" s="82"/>
      <c r="BE767" s="82"/>
      <c r="BF767" s="82"/>
      <c r="BG767" s="82"/>
      <c r="BH767" s="82"/>
      <c r="BI767" s="82"/>
      <c r="BJ767" s="82"/>
      <c r="BK767" s="82"/>
      <c r="BL767" s="82"/>
      <c r="BM767" s="82"/>
      <c r="BN767" s="82"/>
      <c r="BO767" s="82"/>
      <c r="BP767" s="82"/>
      <c r="BQ767" s="82"/>
      <c r="BR767" s="82"/>
      <c r="BS767" s="82"/>
      <c r="BT767" s="82"/>
      <c r="BU767" s="82"/>
      <c r="BV767" s="82"/>
      <c r="BW767" s="82"/>
      <c r="BX767" s="82"/>
      <c r="BY767" s="82"/>
      <c r="BZ767" s="82"/>
      <c r="CA767" s="82"/>
      <c r="CB767" s="82"/>
      <c r="CC767" s="82"/>
      <c r="CD767" s="82"/>
      <c r="CE767" s="82"/>
      <c r="CF767" s="82"/>
      <c r="CG767" s="82"/>
      <c r="CH767" s="82"/>
      <c r="CI767" s="82"/>
      <c r="CJ767" s="82"/>
      <c r="CK767" s="82"/>
      <c r="CL767" s="82"/>
      <c r="CM767" s="82"/>
      <c r="CN767" s="82"/>
      <c r="CO767" s="82"/>
      <c r="CP767" s="82"/>
      <c r="CQ767" s="82"/>
      <c r="CR767" s="82"/>
      <c r="CS767" s="82"/>
      <c r="CT767" s="82"/>
      <c r="CU767" s="82"/>
      <c r="CV767" s="82"/>
      <c r="CW767" s="82"/>
      <c r="CX767" s="82"/>
      <c r="CY767" s="82"/>
      <c r="CZ767" s="82"/>
      <c r="DA767" s="82"/>
      <c r="DB767" s="82"/>
      <c r="DC767" s="82"/>
      <c r="DD767" s="82"/>
      <c r="DE767" s="82"/>
      <c r="DF767" s="82"/>
      <c r="DG767" s="82"/>
    </row>
    <row r="768" spans="2:111" ht="9" customHeight="1">
      <c r="B768" s="229"/>
      <c r="C768" s="229"/>
      <c r="D768" s="229"/>
      <c r="E768" s="229"/>
      <c r="F768" s="229"/>
      <c r="G768" s="229"/>
      <c r="H768" s="229"/>
      <c r="I768" s="229"/>
      <c r="J768" s="229"/>
      <c r="K768" s="229"/>
      <c r="L768" s="229"/>
      <c r="M768" s="229"/>
      <c r="N768" s="229"/>
      <c r="P768" s="230"/>
      <c r="Q768" s="230"/>
      <c r="R768" s="230"/>
      <c r="S768" s="230"/>
      <c r="T768" s="230"/>
      <c r="U768" s="230"/>
      <c r="V768" s="230"/>
      <c r="W768" s="230"/>
      <c r="X768" s="230"/>
      <c r="Y768" s="230"/>
      <c r="Z768" s="230"/>
      <c r="AA768" s="230"/>
      <c r="AB768" s="230"/>
      <c r="AC768" s="230"/>
      <c r="AD768" s="230"/>
      <c r="AE768" s="230"/>
      <c r="AF768" s="230"/>
      <c r="AG768" s="230"/>
      <c r="AH768" s="230"/>
      <c r="AI768" s="230"/>
      <c r="AJ768" s="230"/>
      <c r="AK768" s="230"/>
      <c r="AL768" s="230"/>
      <c r="AM768" s="230"/>
      <c r="AN768" s="230"/>
      <c r="AO768" s="230"/>
      <c r="AP768" s="230"/>
      <c r="AQ768" s="230"/>
      <c r="AS768" s="231"/>
      <c r="AT768" s="231"/>
      <c r="AU768" s="231"/>
      <c r="AV768" s="231"/>
      <c r="AW768" s="231"/>
      <c r="AX768" s="231"/>
      <c r="AY768" s="231"/>
      <c r="AZ768" s="231"/>
      <c r="BA768" s="231"/>
      <c r="BC768" s="82"/>
      <c r="BD768" s="82"/>
      <c r="BE768" s="82"/>
      <c r="BF768" s="82"/>
      <c r="BG768" s="82"/>
      <c r="BH768" s="82"/>
      <c r="BI768" s="82"/>
      <c r="BJ768" s="82"/>
      <c r="BK768" s="82"/>
      <c r="BL768" s="82"/>
      <c r="BM768" s="82"/>
      <c r="BN768" s="82"/>
      <c r="BO768" s="82"/>
      <c r="BP768" s="82"/>
      <c r="BQ768" s="82"/>
      <c r="BR768" s="82"/>
      <c r="BS768" s="82"/>
      <c r="BT768" s="82"/>
      <c r="BU768" s="82"/>
      <c r="BV768" s="82"/>
      <c r="BW768" s="82"/>
      <c r="BX768" s="82"/>
      <c r="BY768" s="82"/>
      <c r="BZ768" s="82"/>
      <c r="CA768" s="82"/>
      <c r="CB768" s="82"/>
      <c r="CC768" s="82"/>
      <c r="CD768" s="82"/>
      <c r="CE768" s="82"/>
      <c r="CF768" s="82"/>
      <c r="CG768" s="82"/>
      <c r="CH768" s="82"/>
      <c r="CI768" s="82"/>
      <c r="CJ768" s="82"/>
      <c r="CK768" s="82"/>
      <c r="CL768" s="82"/>
      <c r="CM768" s="82"/>
      <c r="CN768" s="82"/>
      <c r="CO768" s="82"/>
      <c r="CP768" s="82"/>
      <c r="CQ768" s="82"/>
      <c r="CR768" s="82"/>
      <c r="CS768" s="82"/>
      <c r="CT768" s="82"/>
      <c r="CU768" s="82"/>
      <c r="CV768" s="82"/>
      <c r="CW768" s="82"/>
      <c r="CX768" s="82"/>
      <c r="CY768" s="82"/>
      <c r="CZ768" s="82"/>
      <c r="DA768" s="82"/>
      <c r="DB768" s="82"/>
      <c r="DC768" s="82"/>
      <c r="DD768" s="82"/>
      <c r="DE768" s="82"/>
      <c r="DF768" s="82"/>
      <c r="DG768" s="82"/>
    </row>
    <row r="769" spans="2:111" ht="9" customHeight="1">
      <c r="B769" s="229"/>
      <c r="C769" s="229"/>
      <c r="D769" s="229"/>
      <c r="E769" s="229"/>
      <c r="F769" s="229"/>
      <c r="G769" s="229"/>
      <c r="H769" s="229"/>
      <c r="I769" s="229"/>
      <c r="J769" s="229"/>
      <c r="K769" s="229"/>
      <c r="L769" s="229"/>
      <c r="M769" s="229"/>
      <c r="N769" s="229"/>
      <c r="P769" s="230"/>
      <c r="Q769" s="230"/>
      <c r="R769" s="230"/>
      <c r="S769" s="230"/>
      <c r="T769" s="230"/>
      <c r="U769" s="230"/>
      <c r="V769" s="230"/>
      <c r="W769" s="230"/>
      <c r="X769" s="230"/>
      <c r="Y769" s="230"/>
      <c r="Z769" s="230"/>
      <c r="AA769" s="230"/>
      <c r="AB769" s="230"/>
      <c r="AC769" s="230"/>
      <c r="AD769" s="230"/>
      <c r="AE769" s="230"/>
      <c r="AF769" s="230"/>
      <c r="AG769" s="230"/>
      <c r="AH769" s="230"/>
      <c r="AI769" s="230"/>
      <c r="AJ769" s="230"/>
      <c r="AK769" s="230"/>
      <c r="AL769" s="230"/>
      <c r="AM769" s="230"/>
      <c r="AN769" s="230"/>
      <c r="AO769" s="230"/>
      <c r="AP769" s="230"/>
      <c r="AQ769" s="230"/>
      <c r="AS769" s="231"/>
      <c r="AT769" s="231"/>
      <c r="AU769" s="231"/>
      <c r="AV769" s="231"/>
      <c r="AW769" s="231"/>
      <c r="AX769" s="231"/>
      <c r="AY769" s="231"/>
      <c r="AZ769" s="231"/>
      <c r="BA769" s="231"/>
      <c r="BC769" s="82"/>
      <c r="BD769" s="82"/>
      <c r="BE769" s="82"/>
      <c r="BF769" s="82"/>
      <c r="BG769" s="82"/>
      <c r="BH769" s="82"/>
      <c r="BI769" s="82"/>
      <c r="BJ769" s="82"/>
      <c r="BK769" s="82"/>
      <c r="BL769" s="82"/>
      <c r="BM769" s="82"/>
      <c r="BN769" s="82"/>
      <c r="BO769" s="82"/>
      <c r="BP769" s="82"/>
      <c r="BQ769" s="82"/>
      <c r="BR769" s="82"/>
      <c r="BS769" s="82"/>
      <c r="BT769" s="82"/>
      <c r="BU769" s="82"/>
      <c r="BV769" s="82"/>
      <c r="BW769" s="82"/>
      <c r="BX769" s="82"/>
      <c r="BY769" s="82"/>
      <c r="BZ769" s="82"/>
      <c r="CA769" s="82"/>
      <c r="CB769" s="82"/>
      <c r="CC769" s="82"/>
      <c r="CD769" s="82"/>
      <c r="CE769" s="82"/>
      <c r="CF769" s="82"/>
      <c r="CG769" s="82"/>
      <c r="CH769" s="82"/>
      <c r="CI769" s="82"/>
      <c r="CJ769" s="82"/>
      <c r="CK769" s="82"/>
      <c r="CL769" s="82"/>
      <c r="CM769" s="82"/>
      <c r="CN769" s="82"/>
      <c r="CO769" s="82"/>
      <c r="CP769" s="82"/>
      <c r="CQ769" s="82"/>
      <c r="CR769" s="82"/>
      <c r="CS769" s="82"/>
      <c r="CT769" s="82"/>
      <c r="CU769" s="82"/>
      <c r="CV769" s="82"/>
      <c r="CW769" s="82"/>
      <c r="CX769" s="82"/>
      <c r="CY769" s="82"/>
      <c r="CZ769" s="82"/>
      <c r="DA769" s="82"/>
      <c r="DB769" s="82"/>
      <c r="DC769" s="82"/>
      <c r="DD769" s="82"/>
      <c r="DE769" s="82"/>
      <c r="DF769" s="82"/>
      <c r="DG769" s="82"/>
    </row>
    <row r="770" spans="2:111" ht="9" customHeight="1">
      <c r="B770" s="229"/>
      <c r="C770" s="229"/>
      <c r="D770" s="229"/>
      <c r="E770" s="229"/>
      <c r="F770" s="229"/>
      <c r="G770" s="229"/>
      <c r="H770" s="229"/>
      <c r="I770" s="229"/>
      <c r="J770" s="229"/>
      <c r="K770" s="229"/>
      <c r="L770" s="229"/>
      <c r="M770" s="229"/>
      <c r="N770" s="229"/>
      <c r="P770" s="230"/>
      <c r="Q770" s="230"/>
      <c r="R770" s="230"/>
      <c r="S770" s="230"/>
      <c r="T770" s="230"/>
      <c r="U770" s="230"/>
      <c r="V770" s="230"/>
      <c r="W770" s="230"/>
      <c r="X770" s="230"/>
      <c r="Y770" s="230"/>
      <c r="Z770" s="230"/>
      <c r="AA770" s="230"/>
      <c r="AB770" s="230"/>
      <c r="AC770" s="230"/>
      <c r="AD770" s="230"/>
      <c r="AE770" s="230"/>
      <c r="AF770" s="230"/>
      <c r="AG770" s="230"/>
      <c r="AH770" s="230"/>
      <c r="AI770" s="230"/>
      <c r="AJ770" s="230"/>
      <c r="AK770" s="230"/>
      <c r="AL770" s="230"/>
      <c r="AM770" s="230"/>
      <c r="AN770" s="230"/>
      <c r="AO770" s="230"/>
      <c r="AP770" s="230"/>
      <c r="AQ770" s="230"/>
      <c r="AS770" s="231"/>
      <c r="AT770" s="231"/>
      <c r="AU770" s="231"/>
      <c r="AV770" s="231"/>
      <c r="AW770" s="231"/>
      <c r="AX770" s="231"/>
      <c r="AY770" s="231"/>
      <c r="AZ770" s="231"/>
      <c r="BA770" s="231"/>
      <c r="BC770" s="82"/>
      <c r="BD770" s="82"/>
      <c r="BE770" s="82"/>
      <c r="BF770" s="82"/>
      <c r="BG770" s="82"/>
      <c r="BH770" s="82"/>
      <c r="BI770" s="82"/>
      <c r="BJ770" s="82"/>
      <c r="BK770" s="82"/>
      <c r="BL770" s="82"/>
      <c r="BM770" s="82"/>
      <c r="BN770" s="82"/>
      <c r="BO770" s="82"/>
      <c r="BP770" s="82"/>
      <c r="BQ770" s="82"/>
      <c r="BR770" s="82"/>
      <c r="BS770" s="82"/>
      <c r="BT770" s="82"/>
      <c r="BU770" s="82"/>
      <c r="BV770" s="82"/>
      <c r="BW770" s="82"/>
      <c r="BX770" s="82"/>
      <c r="BY770" s="82"/>
      <c r="BZ770" s="82"/>
      <c r="CA770" s="82"/>
      <c r="CB770" s="82"/>
      <c r="CC770" s="82"/>
      <c r="CD770" s="82"/>
      <c r="CE770" s="82"/>
      <c r="CF770" s="82"/>
      <c r="CG770" s="82"/>
      <c r="CH770" s="82"/>
      <c r="CI770" s="82"/>
      <c r="CJ770" s="82"/>
      <c r="CK770" s="82"/>
      <c r="CL770" s="82"/>
      <c r="CM770" s="82"/>
      <c r="CN770" s="82"/>
      <c r="CO770" s="82"/>
      <c r="CP770" s="82"/>
      <c r="CQ770" s="82"/>
      <c r="CR770" s="82"/>
      <c r="CS770" s="82"/>
      <c r="CT770" s="82"/>
      <c r="CU770" s="82"/>
      <c r="CV770" s="82"/>
      <c r="CW770" s="82"/>
      <c r="CX770" s="82"/>
      <c r="CY770" s="82"/>
      <c r="CZ770" s="82"/>
      <c r="DA770" s="82"/>
      <c r="DB770" s="82"/>
      <c r="DC770" s="82"/>
      <c r="DD770" s="82"/>
      <c r="DE770" s="82"/>
      <c r="DF770" s="82"/>
      <c r="DG770" s="82"/>
    </row>
    <row r="771" spans="2:111" ht="9" customHeight="1">
      <c r="B771" s="229"/>
      <c r="C771" s="229"/>
      <c r="D771" s="229"/>
      <c r="E771" s="229"/>
      <c r="F771" s="229"/>
      <c r="G771" s="229"/>
      <c r="H771" s="229"/>
      <c r="I771" s="229"/>
      <c r="J771" s="229"/>
      <c r="K771" s="229"/>
      <c r="L771" s="229"/>
      <c r="M771" s="229"/>
      <c r="N771" s="229"/>
      <c r="P771" s="230"/>
      <c r="Q771" s="230"/>
      <c r="R771" s="230"/>
      <c r="S771" s="230"/>
      <c r="T771" s="230"/>
      <c r="U771" s="230"/>
      <c r="V771" s="230"/>
      <c r="W771" s="230"/>
      <c r="X771" s="230"/>
      <c r="Y771" s="230"/>
      <c r="Z771" s="230"/>
      <c r="AA771" s="230"/>
      <c r="AB771" s="230"/>
      <c r="AC771" s="230"/>
      <c r="AD771" s="230"/>
      <c r="AE771" s="230"/>
      <c r="AF771" s="230"/>
      <c r="AG771" s="230"/>
      <c r="AH771" s="230"/>
      <c r="AI771" s="230"/>
      <c r="AJ771" s="230"/>
      <c r="AK771" s="230"/>
      <c r="AL771" s="230"/>
      <c r="AM771" s="230"/>
      <c r="AN771" s="230"/>
      <c r="AO771" s="230"/>
      <c r="AP771" s="230"/>
      <c r="AQ771" s="230"/>
      <c r="AS771" s="231"/>
      <c r="AT771" s="231"/>
      <c r="AU771" s="231"/>
      <c r="AV771" s="231"/>
      <c r="AW771" s="231"/>
      <c r="AX771" s="231"/>
      <c r="AY771" s="231"/>
      <c r="AZ771" s="231"/>
      <c r="BA771" s="231"/>
      <c r="BC771" s="82"/>
      <c r="BD771" s="82"/>
      <c r="BE771" s="82"/>
      <c r="BF771" s="82"/>
      <c r="BG771" s="82"/>
      <c r="BH771" s="82"/>
      <c r="BI771" s="82"/>
      <c r="BJ771" s="82"/>
      <c r="BK771" s="82"/>
      <c r="BL771" s="82"/>
      <c r="BM771" s="82"/>
      <c r="BN771" s="82"/>
      <c r="BO771" s="82"/>
      <c r="BP771" s="82"/>
      <c r="BQ771" s="82"/>
      <c r="BR771" s="82"/>
      <c r="BS771" s="82"/>
      <c r="BT771" s="82"/>
      <c r="BU771" s="82"/>
      <c r="BV771" s="82"/>
      <c r="BW771" s="82"/>
      <c r="BX771" s="82"/>
      <c r="BY771" s="82"/>
      <c r="BZ771" s="82"/>
      <c r="CA771" s="82"/>
      <c r="CB771" s="82"/>
      <c r="CC771" s="82"/>
      <c r="CD771" s="82"/>
      <c r="CE771" s="82"/>
      <c r="CF771" s="82"/>
      <c r="CG771" s="82"/>
      <c r="CH771" s="82"/>
      <c r="CI771" s="82"/>
      <c r="CJ771" s="82"/>
      <c r="CK771" s="82"/>
      <c r="CL771" s="82"/>
      <c r="CM771" s="82"/>
      <c r="CN771" s="82"/>
      <c r="CO771" s="82"/>
      <c r="CP771" s="82"/>
      <c r="CQ771" s="82"/>
      <c r="CR771" s="82"/>
      <c r="CS771" s="82"/>
      <c r="CT771" s="82"/>
      <c r="CU771" s="82"/>
      <c r="CV771" s="82"/>
      <c r="CW771" s="82"/>
      <c r="CX771" s="82"/>
      <c r="CY771" s="82"/>
      <c r="CZ771" s="82"/>
      <c r="DA771" s="82"/>
      <c r="DB771" s="82"/>
      <c r="DC771" s="82"/>
      <c r="DD771" s="82"/>
      <c r="DE771" s="82"/>
      <c r="DF771" s="82"/>
      <c r="DG771" s="82"/>
    </row>
    <row r="772" spans="2:111" ht="9" customHeight="1">
      <c r="B772" s="229"/>
      <c r="C772" s="229"/>
      <c r="D772" s="229"/>
      <c r="E772" s="229"/>
      <c r="F772" s="229"/>
      <c r="G772" s="229"/>
      <c r="H772" s="229"/>
      <c r="I772" s="229"/>
      <c r="J772" s="229"/>
      <c r="K772" s="229"/>
      <c r="L772" s="229"/>
      <c r="M772" s="229"/>
      <c r="N772" s="229"/>
      <c r="P772" s="230"/>
      <c r="Q772" s="230"/>
      <c r="R772" s="230"/>
      <c r="S772" s="230"/>
      <c r="T772" s="230"/>
      <c r="U772" s="230"/>
      <c r="V772" s="230"/>
      <c r="W772" s="230"/>
      <c r="X772" s="230"/>
      <c r="Y772" s="230"/>
      <c r="Z772" s="230"/>
      <c r="AA772" s="230"/>
      <c r="AB772" s="230"/>
      <c r="AC772" s="230"/>
      <c r="AD772" s="230"/>
      <c r="AE772" s="230"/>
      <c r="AF772" s="230"/>
      <c r="AG772" s="230"/>
      <c r="AH772" s="230"/>
      <c r="AI772" s="230"/>
      <c r="AJ772" s="230"/>
      <c r="AK772" s="230"/>
      <c r="AL772" s="230"/>
      <c r="AM772" s="230"/>
      <c r="AN772" s="230"/>
      <c r="AO772" s="230"/>
      <c r="AP772" s="230"/>
      <c r="AQ772" s="230"/>
      <c r="AS772" s="231"/>
      <c r="AT772" s="231"/>
      <c r="AU772" s="231"/>
      <c r="AV772" s="231"/>
      <c r="AW772" s="231"/>
      <c r="AX772" s="231"/>
      <c r="AY772" s="231"/>
      <c r="AZ772" s="231"/>
      <c r="BA772" s="231"/>
      <c r="BC772" s="82"/>
      <c r="BD772" s="82"/>
      <c r="BE772" s="82"/>
      <c r="BF772" s="82"/>
      <c r="BG772" s="82"/>
      <c r="BH772" s="82"/>
      <c r="BI772" s="82"/>
      <c r="BJ772" s="82"/>
      <c r="BK772" s="82"/>
      <c r="BL772" s="82"/>
      <c r="BM772" s="82"/>
      <c r="BN772" s="82"/>
      <c r="BO772" s="82"/>
      <c r="BP772" s="82"/>
      <c r="BQ772" s="82"/>
      <c r="BR772" s="82"/>
      <c r="BS772" s="82"/>
      <c r="BT772" s="82"/>
      <c r="BU772" s="82"/>
      <c r="BV772" s="82"/>
      <c r="BW772" s="82"/>
      <c r="BX772" s="82"/>
      <c r="BY772" s="82"/>
      <c r="BZ772" s="82"/>
      <c r="CA772" s="82"/>
      <c r="CB772" s="82"/>
      <c r="CC772" s="82"/>
      <c r="CD772" s="82"/>
      <c r="CE772" s="82"/>
      <c r="CF772" s="82"/>
      <c r="CG772" s="82"/>
      <c r="CH772" s="82"/>
      <c r="CI772" s="82"/>
      <c r="CJ772" s="82"/>
      <c r="CK772" s="82"/>
      <c r="CL772" s="82"/>
      <c r="CM772" s="82"/>
      <c r="CN772" s="82"/>
      <c r="CO772" s="82"/>
      <c r="CP772" s="82"/>
      <c r="CQ772" s="82"/>
      <c r="CR772" s="82"/>
      <c r="CS772" s="82"/>
      <c r="CT772" s="82"/>
      <c r="CU772" s="82"/>
      <c r="CV772" s="82"/>
      <c r="CW772" s="82"/>
      <c r="CX772" s="82"/>
      <c r="CY772" s="82"/>
      <c r="CZ772" s="82"/>
      <c r="DA772" s="82"/>
      <c r="DB772" s="82"/>
      <c r="DC772" s="82"/>
      <c r="DD772" s="82"/>
      <c r="DE772" s="82"/>
      <c r="DF772" s="82"/>
      <c r="DG772" s="82"/>
    </row>
    <row r="773" spans="2:111" ht="9" customHeight="1">
      <c r="B773" s="229"/>
      <c r="C773" s="229"/>
      <c r="D773" s="229"/>
      <c r="E773" s="229"/>
      <c r="F773" s="229"/>
      <c r="G773" s="229"/>
      <c r="H773" s="229"/>
      <c r="I773" s="229"/>
      <c r="J773" s="229"/>
      <c r="K773" s="229"/>
      <c r="L773" s="229"/>
      <c r="M773" s="229"/>
      <c r="N773" s="229"/>
      <c r="P773" s="230"/>
      <c r="Q773" s="230"/>
      <c r="R773" s="230"/>
      <c r="S773" s="230"/>
      <c r="T773" s="230"/>
      <c r="U773" s="230"/>
      <c r="V773" s="230"/>
      <c r="W773" s="230"/>
      <c r="X773" s="230"/>
      <c r="Y773" s="230"/>
      <c r="Z773" s="230"/>
      <c r="AA773" s="230"/>
      <c r="AB773" s="230"/>
      <c r="AC773" s="230"/>
      <c r="AD773" s="230"/>
      <c r="AE773" s="230"/>
      <c r="AF773" s="230"/>
      <c r="AG773" s="230"/>
      <c r="AH773" s="230"/>
      <c r="AI773" s="230"/>
      <c r="AJ773" s="230"/>
      <c r="AK773" s="230"/>
      <c r="AL773" s="230"/>
      <c r="AM773" s="230"/>
      <c r="AN773" s="230"/>
      <c r="AO773" s="230"/>
      <c r="AP773" s="230"/>
      <c r="AQ773" s="230"/>
      <c r="AS773" s="231"/>
      <c r="AT773" s="231"/>
      <c r="AU773" s="231"/>
      <c r="AV773" s="231"/>
      <c r="AW773" s="231"/>
      <c r="AX773" s="231"/>
      <c r="AY773" s="231"/>
      <c r="AZ773" s="231"/>
      <c r="BA773" s="231"/>
      <c r="BC773" s="82"/>
      <c r="BD773" s="82"/>
      <c r="BE773" s="82"/>
      <c r="BF773" s="82"/>
      <c r="BG773" s="82"/>
      <c r="BH773" s="82"/>
      <c r="BI773" s="82"/>
      <c r="BJ773" s="82"/>
      <c r="BK773" s="82"/>
      <c r="BL773" s="82"/>
      <c r="BM773" s="82"/>
      <c r="BN773" s="82"/>
      <c r="BO773" s="82"/>
      <c r="BP773" s="82"/>
      <c r="BQ773" s="82"/>
      <c r="BR773" s="82"/>
      <c r="BS773" s="82"/>
      <c r="BT773" s="82"/>
      <c r="BU773" s="82"/>
      <c r="BV773" s="82"/>
      <c r="BW773" s="82"/>
      <c r="BX773" s="82"/>
      <c r="BY773" s="82"/>
      <c r="BZ773" s="82"/>
      <c r="CA773" s="82"/>
      <c r="CB773" s="82"/>
      <c r="CC773" s="82"/>
      <c r="CD773" s="82"/>
      <c r="CE773" s="82"/>
      <c r="CF773" s="82"/>
      <c r="CG773" s="82"/>
      <c r="CH773" s="82"/>
      <c r="CI773" s="82"/>
      <c r="CJ773" s="82"/>
      <c r="CK773" s="82"/>
      <c r="CL773" s="82"/>
      <c r="CM773" s="82"/>
      <c r="CN773" s="82"/>
      <c r="CO773" s="82"/>
      <c r="CP773" s="82"/>
      <c r="CQ773" s="82"/>
      <c r="CR773" s="82"/>
      <c r="CS773" s="82"/>
      <c r="CT773" s="82"/>
      <c r="CU773" s="82"/>
      <c r="CV773" s="82"/>
      <c r="CW773" s="82"/>
      <c r="CX773" s="82"/>
      <c r="CY773" s="82"/>
      <c r="CZ773" s="82"/>
      <c r="DA773" s="82"/>
      <c r="DB773" s="82"/>
      <c r="DC773" s="82"/>
      <c r="DD773" s="82"/>
      <c r="DE773" s="82"/>
      <c r="DF773" s="82"/>
      <c r="DG773" s="82"/>
    </row>
    <row r="774" spans="2:111" ht="9" customHeight="1">
      <c r="B774" s="229"/>
      <c r="C774" s="229"/>
      <c r="D774" s="229"/>
      <c r="E774" s="229"/>
      <c r="F774" s="229"/>
      <c r="G774" s="229"/>
      <c r="H774" s="229"/>
      <c r="I774" s="229"/>
      <c r="J774" s="229"/>
      <c r="K774" s="229"/>
      <c r="L774" s="229"/>
      <c r="M774" s="229"/>
      <c r="N774" s="229"/>
      <c r="P774" s="230"/>
      <c r="Q774" s="230"/>
      <c r="R774" s="230"/>
      <c r="S774" s="230"/>
      <c r="T774" s="230"/>
      <c r="U774" s="230"/>
      <c r="V774" s="230"/>
      <c r="W774" s="230"/>
      <c r="X774" s="230"/>
      <c r="Y774" s="230"/>
      <c r="Z774" s="230"/>
      <c r="AA774" s="230"/>
      <c r="AB774" s="230"/>
      <c r="AC774" s="230"/>
      <c r="AD774" s="230"/>
      <c r="AE774" s="230"/>
      <c r="AF774" s="230"/>
      <c r="AG774" s="230"/>
      <c r="AH774" s="230"/>
      <c r="AI774" s="230"/>
      <c r="AJ774" s="230"/>
      <c r="AK774" s="230"/>
      <c r="AL774" s="230"/>
      <c r="AM774" s="230"/>
      <c r="AN774" s="230"/>
      <c r="AO774" s="230"/>
      <c r="AP774" s="230"/>
      <c r="AQ774" s="230"/>
      <c r="AS774" s="231"/>
      <c r="AT774" s="231"/>
      <c r="AU774" s="231"/>
      <c r="AV774" s="231"/>
      <c r="AW774" s="231"/>
      <c r="AX774" s="231"/>
      <c r="AY774" s="231"/>
      <c r="AZ774" s="231"/>
      <c r="BA774" s="231"/>
      <c r="BC774" s="82"/>
      <c r="BD774" s="82"/>
      <c r="BE774" s="82"/>
      <c r="BF774" s="82"/>
      <c r="BG774" s="82"/>
      <c r="BH774" s="82"/>
      <c r="BI774" s="82"/>
      <c r="BJ774" s="82"/>
      <c r="BK774" s="82"/>
      <c r="BL774" s="82"/>
      <c r="BM774" s="82"/>
      <c r="BN774" s="82"/>
      <c r="BO774" s="82"/>
      <c r="BP774" s="82"/>
      <c r="BQ774" s="82"/>
      <c r="BR774" s="82"/>
      <c r="BS774" s="82"/>
      <c r="BT774" s="82"/>
      <c r="BU774" s="82"/>
      <c r="BV774" s="82"/>
      <c r="BW774" s="82"/>
      <c r="BX774" s="82"/>
      <c r="BY774" s="82"/>
      <c r="BZ774" s="82"/>
      <c r="CA774" s="82"/>
      <c r="CB774" s="82"/>
      <c r="CC774" s="82"/>
      <c r="CD774" s="82"/>
      <c r="CE774" s="82"/>
      <c r="CF774" s="82"/>
      <c r="CG774" s="82"/>
      <c r="CH774" s="82"/>
      <c r="CI774" s="82"/>
      <c r="CJ774" s="82"/>
      <c r="CK774" s="82"/>
      <c r="CL774" s="82"/>
      <c r="CM774" s="82"/>
      <c r="CN774" s="82"/>
      <c r="CO774" s="82"/>
      <c r="CP774" s="82"/>
      <c r="CQ774" s="82"/>
      <c r="CR774" s="82"/>
      <c r="CS774" s="82"/>
      <c r="CT774" s="82"/>
      <c r="CU774" s="82"/>
      <c r="CV774" s="82"/>
      <c r="CW774" s="82"/>
      <c r="CX774" s="82"/>
      <c r="CY774" s="82"/>
      <c r="CZ774" s="82"/>
      <c r="DA774" s="82"/>
      <c r="DB774" s="82"/>
      <c r="DC774" s="82"/>
      <c r="DD774" s="82"/>
      <c r="DE774" s="82"/>
      <c r="DF774" s="82"/>
      <c r="DG774" s="82"/>
    </row>
    <row r="775" spans="2:111" ht="9" customHeight="1">
      <c r="B775" s="229"/>
      <c r="C775" s="229"/>
      <c r="D775" s="229"/>
      <c r="E775" s="229"/>
      <c r="F775" s="229"/>
      <c r="G775" s="229"/>
      <c r="H775" s="229"/>
      <c r="I775" s="229"/>
      <c r="J775" s="229"/>
      <c r="K775" s="229"/>
      <c r="L775" s="229"/>
      <c r="M775" s="229"/>
      <c r="N775" s="229"/>
      <c r="P775" s="230"/>
      <c r="Q775" s="230"/>
      <c r="R775" s="230"/>
      <c r="S775" s="230"/>
      <c r="T775" s="230"/>
      <c r="U775" s="230"/>
      <c r="V775" s="230"/>
      <c r="W775" s="230"/>
      <c r="X775" s="230"/>
      <c r="Y775" s="230"/>
      <c r="Z775" s="230"/>
      <c r="AA775" s="230"/>
      <c r="AB775" s="230"/>
      <c r="AC775" s="230"/>
      <c r="AD775" s="230"/>
      <c r="AE775" s="230"/>
      <c r="AF775" s="230"/>
      <c r="AG775" s="230"/>
      <c r="AH775" s="230"/>
      <c r="AI775" s="230"/>
      <c r="AJ775" s="230"/>
      <c r="AK775" s="230"/>
      <c r="AL775" s="230"/>
      <c r="AM775" s="230"/>
      <c r="AN775" s="230"/>
      <c r="AO775" s="230"/>
      <c r="AP775" s="230"/>
      <c r="AQ775" s="230"/>
      <c r="AS775" s="231"/>
      <c r="AT775" s="231"/>
      <c r="AU775" s="231"/>
      <c r="AV775" s="231"/>
      <c r="AW775" s="231"/>
      <c r="AX775" s="231"/>
      <c r="AY775" s="231"/>
      <c r="AZ775" s="231"/>
      <c r="BA775" s="231"/>
      <c r="BC775" s="82"/>
      <c r="BD775" s="82"/>
      <c r="BE775" s="82"/>
      <c r="BF775" s="82"/>
      <c r="BG775" s="82"/>
      <c r="BH775" s="82"/>
      <c r="BI775" s="82"/>
      <c r="BJ775" s="82"/>
      <c r="BK775" s="82"/>
      <c r="BL775" s="82"/>
      <c r="BM775" s="82"/>
      <c r="BN775" s="82"/>
      <c r="BO775" s="82"/>
      <c r="BP775" s="82"/>
      <c r="BQ775" s="82"/>
      <c r="BR775" s="82"/>
      <c r="BS775" s="82"/>
      <c r="BT775" s="82"/>
      <c r="BU775" s="82"/>
      <c r="BV775" s="82"/>
      <c r="BW775" s="82"/>
      <c r="BX775" s="82"/>
      <c r="BY775" s="82"/>
      <c r="BZ775" s="82"/>
      <c r="CA775" s="82"/>
      <c r="CB775" s="82"/>
      <c r="CC775" s="82"/>
      <c r="CD775" s="82"/>
      <c r="CE775" s="82"/>
      <c r="CF775" s="82"/>
      <c r="CG775" s="82"/>
      <c r="CH775" s="82"/>
      <c r="CI775" s="82"/>
      <c r="CJ775" s="82"/>
      <c r="CK775" s="82"/>
      <c r="CL775" s="82"/>
      <c r="CM775" s="82"/>
      <c r="CN775" s="82"/>
      <c r="CO775" s="82"/>
      <c r="CP775" s="82"/>
      <c r="CQ775" s="82"/>
      <c r="CR775" s="82"/>
      <c r="CS775" s="82"/>
      <c r="CT775" s="82"/>
      <c r="CU775" s="82"/>
      <c r="CV775" s="82"/>
      <c r="CW775" s="82"/>
      <c r="CX775" s="82"/>
      <c r="CY775" s="82"/>
      <c r="CZ775" s="82"/>
      <c r="DA775" s="82"/>
      <c r="DB775" s="82"/>
      <c r="DC775" s="82"/>
      <c r="DD775" s="82"/>
      <c r="DE775" s="82"/>
      <c r="DF775" s="82"/>
      <c r="DG775" s="82"/>
    </row>
    <row r="776" spans="2:111" ht="9" customHeight="1">
      <c r="B776" s="229"/>
      <c r="C776" s="229"/>
      <c r="D776" s="229"/>
      <c r="E776" s="229"/>
      <c r="F776" s="229"/>
      <c r="G776" s="229"/>
      <c r="H776" s="229"/>
      <c r="I776" s="229"/>
      <c r="J776" s="229"/>
      <c r="K776" s="229"/>
      <c r="L776" s="229"/>
      <c r="M776" s="229"/>
      <c r="N776" s="229"/>
      <c r="P776" s="230"/>
      <c r="Q776" s="230"/>
      <c r="R776" s="230"/>
      <c r="S776" s="230"/>
      <c r="T776" s="230"/>
      <c r="U776" s="230"/>
      <c r="V776" s="230"/>
      <c r="W776" s="230"/>
      <c r="X776" s="230"/>
      <c r="Y776" s="230"/>
      <c r="Z776" s="230"/>
      <c r="AA776" s="230"/>
      <c r="AB776" s="230"/>
      <c r="AC776" s="230"/>
      <c r="AD776" s="230"/>
      <c r="AE776" s="230"/>
      <c r="AF776" s="230"/>
      <c r="AG776" s="230"/>
      <c r="AH776" s="230"/>
      <c r="AI776" s="230"/>
      <c r="AJ776" s="230"/>
      <c r="AK776" s="230"/>
      <c r="AL776" s="230"/>
      <c r="AM776" s="230"/>
      <c r="AN776" s="230"/>
      <c r="AO776" s="230"/>
      <c r="AP776" s="230"/>
      <c r="AQ776" s="230"/>
      <c r="AS776" s="231"/>
      <c r="AT776" s="231"/>
      <c r="AU776" s="231"/>
      <c r="AV776" s="231"/>
      <c r="AW776" s="231"/>
      <c r="AX776" s="231"/>
      <c r="AY776" s="231"/>
      <c r="AZ776" s="231"/>
      <c r="BA776" s="231"/>
      <c r="BC776" s="82"/>
      <c r="BD776" s="82"/>
      <c r="BE776" s="82"/>
      <c r="BF776" s="82"/>
      <c r="BG776" s="82"/>
      <c r="BH776" s="82"/>
      <c r="BI776" s="82"/>
      <c r="BJ776" s="82"/>
      <c r="BK776" s="82"/>
      <c r="BL776" s="82"/>
      <c r="BM776" s="82"/>
      <c r="BN776" s="82"/>
      <c r="BO776" s="82"/>
      <c r="BP776" s="82"/>
      <c r="BQ776" s="82"/>
      <c r="BR776" s="82"/>
      <c r="BS776" s="82"/>
      <c r="BT776" s="82"/>
      <c r="BU776" s="82"/>
      <c r="BV776" s="82"/>
      <c r="BW776" s="82"/>
      <c r="BX776" s="82"/>
      <c r="BY776" s="82"/>
      <c r="BZ776" s="82"/>
      <c r="CA776" s="82"/>
      <c r="CB776" s="82"/>
      <c r="CC776" s="82"/>
      <c r="CD776" s="82"/>
      <c r="CE776" s="82"/>
      <c r="CF776" s="82"/>
      <c r="CG776" s="82"/>
      <c r="CH776" s="82"/>
      <c r="CI776" s="82"/>
      <c r="CJ776" s="82"/>
      <c r="CK776" s="82"/>
      <c r="CL776" s="82"/>
      <c r="CM776" s="82"/>
      <c r="CN776" s="82"/>
      <c r="CO776" s="82"/>
      <c r="CP776" s="82"/>
      <c r="CQ776" s="82"/>
      <c r="CR776" s="82"/>
      <c r="CS776" s="82"/>
      <c r="CT776" s="82"/>
      <c r="CU776" s="82"/>
      <c r="CV776" s="82"/>
      <c r="CW776" s="82"/>
      <c r="CX776" s="82"/>
      <c r="CY776" s="82"/>
      <c r="CZ776" s="82"/>
      <c r="DA776" s="82"/>
      <c r="DB776" s="82"/>
      <c r="DC776" s="82"/>
      <c r="DD776" s="82"/>
      <c r="DE776" s="82"/>
      <c r="DF776" s="82"/>
      <c r="DG776" s="82"/>
    </row>
    <row r="777" spans="2:111" ht="12" customHeight="1">
      <c r="BC777" s="82"/>
      <c r="BD777" s="82"/>
      <c r="BE777" s="82"/>
      <c r="BF777" s="82"/>
      <c r="BG777" s="82"/>
      <c r="BH777" s="82"/>
      <c r="BI777" s="82"/>
      <c r="BJ777" s="82"/>
      <c r="BK777" s="82"/>
      <c r="BL777" s="82"/>
      <c r="BM777" s="82"/>
      <c r="BN777" s="82"/>
      <c r="BO777" s="82"/>
      <c r="BP777" s="82"/>
      <c r="BQ777" s="82"/>
      <c r="BR777" s="82"/>
      <c r="BS777" s="82"/>
      <c r="BT777" s="82"/>
      <c r="BU777" s="82"/>
      <c r="BV777" s="82"/>
      <c r="BW777" s="82"/>
      <c r="BX777" s="82"/>
      <c r="BY777" s="82"/>
      <c r="BZ777" s="82"/>
      <c r="CA777" s="82"/>
      <c r="CB777" s="82"/>
      <c r="CC777" s="82"/>
      <c r="CD777" s="82"/>
      <c r="CE777" s="82"/>
      <c r="CF777" s="82"/>
      <c r="CG777" s="82"/>
      <c r="CH777" s="82"/>
      <c r="CI777" s="82"/>
      <c r="CJ777" s="82"/>
      <c r="CK777" s="82"/>
      <c r="CL777" s="82"/>
      <c r="CM777" s="82"/>
      <c r="CN777" s="82"/>
      <c r="CO777" s="82"/>
      <c r="CP777" s="82"/>
      <c r="CQ777" s="82"/>
      <c r="CR777" s="82"/>
      <c r="CS777" s="82"/>
      <c r="CT777" s="82"/>
      <c r="CU777" s="82"/>
      <c r="CV777" s="82"/>
      <c r="CW777" s="82"/>
      <c r="CX777" s="82"/>
      <c r="CY777" s="82"/>
      <c r="CZ777" s="82"/>
      <c r="DA777" s="82"/>
      <c r="DB777" s="82"/>
      <c r="DC777" s="82"/>
      <c r="DD777" s="82"/>
      <c r="DE777" s="82"/>
      <c r="DF777" s="82"/>
      <c r="DG777" s="82"/>
    </row>
    <row r="778" spans="2:111" ht="9" customHeight="1">
      <c r="B778" s="232" t="str">
        <f>IF($U$752&gt;=2,"Etapa 2.2","")</f>
        <v>Etapa 2.2</v>
      </c>
      <c r="C778" s="232"/>
      <c r="D778" s="232"/>
      <c r="E778" s="232"/>
      <c r="F778" s="232"/>
      <c r="G778" s="232"/>
      <c r="I778" s="233" t="s">
        <v>520</v>
      </c>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c r="AI778" s="233"/>
      <c r="AJ778" s="233"/>
      <c r="AK778" s="233"/>
      <c r="AL778" s="233"/>
      <c r="AM778" s="233"/>
      <c r="AN778" s="233"/>
      <c r="AO778" s="233"/>
      <c r="AP778" s="233"/>
      <c r="AQ778" s="233"/>
      <c r="AS778" s="234">
        <f>IF(SUM(AS784:BA799)=0,"",SUM(AS784:BA799))</f>
        <v>99325</v>
      </c>
      <c r="AT778" s="234"/>
      <c r="AU778" s="234"/>
      <c r="AV778" s="234"/>
      <c r="AW778" s="234"/>
      <c r="AX778" s="234"/>
      <c r="AY778" s="234"/>
      <c r="AZ778" s="234"/>
      <c r="BA778" s="234"/>
      <c r="BC778" s="82"/>
      <c r="BD778" s="82"/>
      <c r="BE778" s="82"/>
      <c r="BF778" s="82"/>
      <c r="BG778" s="82"/>
      <c r="BH778" s="82"/>
      <c r="BI778" s="82"/>
      <c r="BJ778" s="82"/>
      <c r="BK778" s="82"/>
      <c r="BL778" s="82"/>
      <c r="BM778" s="82"/>
      <c r="BN778" s="82"/>
      <c r="BO778" s="82"/>
      <c r="BP778" s="82"/>
      <c r="BQ778" s="82"/>
      <c r="BR778" s="82"/>
      <c r="BS778" s="82"/>
      <c r="BT778" s="82"/>
      <c r="BU778" s="82"/>
      <c r="BV778" s="82"/>
      <c r="BW778" s="82"/>
      <c r="BX778" s="82"/>
      <c r="BY778" s="82"/>
      <c r="BZ778" s="82"/>
      <c r="CA778" s="82"/>
      <c r="CB778" s="82"/>
      <c r="CC778" s="82"/>
      <c r="CD778" s="82"/>
      <c r="CE778" s="82"/>
      <c r="CF778" s="82"/>
      <c r="CG778" s="82"/>
      <c r="CH778" s="82"/>
      <c r="CI778" s="82"/>
      <c r="CJ778" s="82"/>
      <c r="CK778" s="82"/>
      <c r="CL778" s="82"/>
      <c r="CM778" s="82"/>
      <c r="CN778" s="82"/>
      <c r="CO778" s="82"/>
      <c r="CP778" s="82"/>
      <c r="CQ778" s="82"/>
      <c r="CR778" s="82"/>
      <c r="CS778" s="82"/>
      <c r="CT778" s="82"/>
      <c r="CU778" s="82"/>
      <c r="CV778" s="82"/>
      <c r="CW778" s="82"/>
      <c r="CX778" s="82"/>
      <c r="CY778" s="82"/>
      <c r="CZ778" s="82"/>
      <c r="DA778" s="82"/>
      <c r="DB778" s="82"/>
      <c r="DC778" s="82"/>
      <c r="DD778" s="82"/>
      <c r="DE778" s="82"/>
      <c r="DF778" s="82"/>
      <c r="DG778" s="82"/>
    </row>
    <row r="779" spans="2:111" ht="9" customHeight="1">
      <c r="B779" s="232"/>
      <c r="C779" s="232"/>
      <c r="D779" s="232"/>
      <c r="E779" s="232"/>
      <c r="F779" s="232"/>
      <c r="G779" s="232"/>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c r="AI779" s="233"/>
      <c r="AJ779" s="233"/>
      <c r="AK779" s="233"/>
      <c r="AL779" s="233"/>
      <c r="AM779" s="233"/>
      <c r="AN779" s="233"/>
      <c r="AO779" s="233"/>
      <c r="AP779" s="233"/>
      <c r="AQ779" s="233"/>
      <c r="AS779" s="234"/>
      <c r="AT779" s="234"/>
      <c r="AU779" s="234"/>
      <c r="AV779" s="234"/>
      <c r="AW779" s="234"/>
      <c r="AX779" s="234"/>
      <c r="AY779" s="234"/>
      <c r="AZ779" s="234"/>
      <c r="BA779" s="234"/>
      <c r="BC779" s="82"/>
      <c r="BD779" s="82"/>
      <c r="BE779" s="82"/>
      <c r="BF779" s="82"/>
      <c r="BG779" s="82"/>
      <c r="BH779" s="82"/>
      <c r="BI779" s="82"/>
      <c r="BJ779" s="82"/>
      <c r="BK779" s="82"/>
      <c r="BL779" s="82"/>
      <c r="BM779" s="82"/>
      <c r="BN779" s="82"/>
      <c r="BO779" s="82"/>
      <c r="BP779" s="82"/>
      <c r="BQ779" s="82"/>
      <c r="BR779" s="82"/>
      <c r="BS779" s="82"/>
      <c r="BT779" s="82"/>
      <c r="BU779" s="82"/>
      <c r="BV779" s="82"/>
      <c r="BW779" s="82"/>
      <c r="BX779" s="82"/>
      <c r="BY779" s="82"/>
      <c r="BZ779" s="82"/>
      <c r="CA779" s="82"/>
      <c r="CB779" s="82"/>
      <c r="CC779" s="82"/>
      <c r="CD779" s="82"/>
      <c r="CE779" s="82"/>
      <c r="CF779" s="82"/>
      <c r="CG779" s="82"/>
      <c r="CH779" s="82"/>
      <c r="CI779" s="82"/>
      <c r="CJ779" s="82"/>
      <c r="CK779" s="82"/>
      <c r="CL779" s="82"/>
      <c r="CM779" s="82"/>
      <c r="CN779" s="82"/>
      <c r="CO779" s="82"/>
      <c r="CP779" s="82"/>
      <c r="CQ779" s="82"/>
      <c r="CR779" s="82"/>
      <c r="CS779" s="82"/>
      <c r="CT779" s="82"/>
      <c r="CU779" s="82"/>
      <c r="CV779" s="82"/>
      <c r="CW779" s="82"/>
      <c r="CX779" s="82"/>
      <c r="CY779" s="82"/>
      <c r="CZ779" s="82"/>
      <c r="DA779" s="82"/>
      <c r="DB779" s="82"/>
      <c r="DC779" s="82"/>
      <c r="DD779" s="82"/>
      <c r="DE779" s="82"/>
      <c r="DF779" s="82"/>
      <c r="DG779" s="82"/>
    </row>
    <row r="780" spans="2:111" ht="4.5" customHeight="1">
      <c r="BC780" s="82"/>
      <c r="BD780" s="82"/>
      <c r="BE780" s="82"/>
      <c r="BF780" s="82"/>
      <c r="BG780" s="82"/>
      <c r="BH780" s="82"/>
      <c r="BI780" s="82"/>
      <c r="BJ780" s="82"/>
      <c r="BK780" s="82"/>
      <c r="BL780" s="82"/>
      <c r="BM780" s="82"/>
      <c r="BN780" s="82"/>
      <c r="BO780" s="82"/>
      <c r="BP780" s="82"/>
      <c r="BQ780" s="82"/>
      <c r="BR780" s="82"/>
      <c r="BS780" s="82"/>
      <c r="BT780" s="82"/>
      <c r="BU780" s="82"/>
      <c r="BV780" s="82"/>
      <c r="BW780" s="82"/>
      <c r="BX780" s="82"/>
      <c r="BY780" s="82"/>
      <c r="BZ780" s="82"/>
      <c r="CA780" s="82"/>
      <c r="CB780" s="82"/>
      <c r="CC780" s="82"/>
      <c r="CD780" s="82"/>
      <c r="CE780" s="82"/>
      <c r="CF780" s="82"/>
      <c r="CG780" s="82"/>
      <c r="CH780" s="82"/>
      <c r="CI780" s="82"/>
      <c r="CJ780" s="82"/>
      <c r="CK780" s="82"/>
      <c r="CL780" s="82"/>
      <c r="CM780" s="82"/>
      <c r="CN780" s="82"/>
      <c r="CO780" s="82"/>
      <c r="CP780" s="82"/>
      <c r="CQ780" s="82"/>
      <c r="CR780" s="82"/>
      <c r="CS780" s="82"/>
      <c r="CT780" s="82"/>
      <c r="CU780" s="82"/>
      <c r="CV780" s="82"/>
      <c r="CW780" s="82"/>
      <c r="CX780" s="82"/>
      <c r="CY780" s="82"/>
      <c r="CZ780" s="82"/>
      <c r="DA780" s="82"/>
      <c r="DB780" s="82"/>
      <c r="DC780" s="82"/>
      <c r="DD780" s="82"/>
      <c r="DE780" s="82"/>
      <c r="DF780" s="82"/>
      <c r="DG780" s="82"/>
    </row>
    <row r="781" spans="2:111" ht="9" customHeight="1">
      <c r="I781" s="229" t="str">
        <f>IF($U$752&gt;=2,"Início:","")</f>
        <v>Início:</v>
      </c>
      <c r="J781" s="229"/>
      <c r="K781" s="229"/>
      <c r="L781" s="229"/>
      <c r="M781" s="229"/>
      <c r="N781" s="229"/>
      <c r="P781" s="235">
        <v>43800</v>
      </c>
      <c r="Q781" s="235"/>
      <c r="R781" s="235"/>
      <c r="S781" s="235"/>
      <c r="T781" s="235"/>
      <c r="U781" s="235"/>
      <c r="V781" s="235"/>
      <c r="W781" s="235"/>
      <c r="Y781" s="229" t="str">
        <f>IF($U$752&gt;=2,"Término:","")</f>
        <v>Término:</v>
      </c>
      <c r="Z781" s="229"/>
      <c r="AA781" s="229"/>
      <c r="AB781" s="229"/>
      <c r="AC781" s="229"/>
      <c r="AD781" s="229"/>
      <c r="AF781" s="235">
        <v>44531</v>
      </c>
      <c r="AG781" s="235"/>
      <c r="AH781" s="235"/>
      <c r="AI781" s="235"/>
      <c r="AJ781" s="235"/>
      <c r="AK781" s="235"/>
      <c r="AL781" s="235"/>
      <c r="AM781" s="235"/>
      <c r="AW781" s="236" t="str">
        <f>IF($U$752&gt;=2,"Valor (R$):","")</f>
        <v>Valor (R$):</v>
      </c>
      <c r="AX781" s="236"/>
      <c r="AY781" s="236"/>
      <c r="AZ781" s="236"/>
      <c r="BA781" s="236"/>
      <c r="BC781" s="82"/>
      <c r="BD781" s="82"/>
      <c r="BE781" s="82"/>
      <c r="BF781" s="82"/>
      <c r="BG781" s="82"/>
      <c r="BH781" s="82"/>
      <c r="BI781" s="82"/>
      <c r="BJ781" s="82"/>
      <c r="BK781" s="82"/>
      <c r="BL781" s="82"/>
      <c r="BM781" s="82"/>
      <c r="BN781" s="82"/>
      <c r="BO781" s="82"/>
      <c r="BP781" s="82"/>
      <c r="BQ781" s="82"/>
      <c r="BR781" s="82"/>
      <c r="BS781" s="82"/>
      <c r="BT781" s="82"/>
      <c r="BU781" s="82"/>
      <c r="BV781" s="82"/>
      <c r="BW781" s="82"/>
      <c r="BX781" s="82"/>
      <c r="BY781" s="82"/>
      <c r="BZ781" s="82"/>
      <c r="CA781" s="82"/>
      <c r="CB781" s="82"/>
      <c r="CC781" s="82"/>
      <c r="CD781" s="82"/>
      <c r="CE781" s="82"/>
      <c r="CF781" s="82"/>
      <c r="CG781" s="82"/>
      <c r="CH781" s="82"/>
      <c r="CI781" s="82"/>
      <c r="CJ781" s="82"/>
      <c r="CK781" s="82"/>
      <c r="CL781" s="82"/>
      <c r="CM781" s="82"/>
      <c r="CN781" s="82"/>
      <c r="CO781" s="82"/>
      <c r="CP781" s="82"/>
      <c r="CQ781" s="82"/>
      <c r="CR781" s="82"/>
      <c r="CS781" s="82"/>
      <c r="CT781" s="82"/>
      <c r="CU781" s="82"/>
      <c r="CV781" s="82"/>
      <c r="CW781" s="82"/>
      <c r="CX781" s="82"/>
      <c r="CY781" s="82"/>
      <c r="CZ781" s="82"/>
      <c r="DA781" s="82"/>
      <c r="DB781" s="82"/>
      <c r="DC781" s="82"/>
      <c r="DD781" s="82"/>
      <c r="DE781" s="82"/>
      <c r="DF781" s="82"/>
      <c r="DG781" s="82"/>
    </row>
    <row r="782" spans="2:111" ht="9" customHeight="1">
      <c r="I782" s="229"/>
      <c r="J782" s="229"/>
      <c r="K782" s="229"/>
      <c r="L782" s="229"/>
      <c r="M782" s="229"/>
      <c r="N782" s="229"/>
      <c r="P782" s="235"/>
      <c r="Q782" s="235"/>
      <c r="R782" s="235"/>
      <c r="S782" s="235"/>
      <c r="T782" s="235"/>
      <c r="U782" s="235"/>
      <c r="V782" s="235"/>
      <c r="W782" s="235"/>
      <c r="Y782" s="229"/>
      <c r="Z782" s="229"/>
      <c r="AA782" s="229"/>
      <c r="AB782" s="229"/>
      <c r="AC782" s="229"/>
      <c r="AD782" s="229"/>
      <c r="AF782" s="235"/>
      <c r="AG782" s="235"/>
      <c r="AH782" s="235"/>
      <c r="AI782" s="235"/>
      <c r="AJ782" s="235"/>
      <c r="AK782" s="235"/>
      <c r="AL782" s="235"/>
      <c r="AM782" s="235"/>
      <c r="AW782" s="236"/>
      <c r="AX782" s="236"/>
      <c r="AY782" s="236"/>
      <c r="AZ782" s="236"/>
      <c r="BA782" s="236"/>
      <c r="BC782" s="82"/>
      <c r="BD782" s="82"/>
      <c r="BE782" s="82"/>
      <c r="BF782" s="82"/>
      <c r="BG782" s="82"/>
      <c r="BH782" s="82"/>
      <c r="BI782" s="82"/>
      <c r="BJ782" s="82"/>
      <c r="BK782" s="82"/>
      <c r="BL782" s="82"/>
      <c r="BM782" s="82"/>
      <c r="BN782" s="82"/>
      <c r="BO782" s="82"/>
      <c r="BP782" s="82"/>
      <c r="BQ782" s="82"/>
      <c r="BR782" s="82"/>
      <c r="BS782" s="82"/>
      <c r="BT782" s="82"/>
      <c r="BU782" s="82"/>
      <c r="BV782" s="82"/>
      <c r="BW782" s="82"/>
      <c r="BX782" s="82"/>
      <c r="BY782" s="82"/>
      <c r="BZ782" s="82"/>
      <c r="CA782" s="82"/>
      <c r="CB782" s="82"/>
      <c r="CC782" s="82"/>
      <c r="CD782" s="82"/>
      <c r="CE782" s="82"/>
      <c r="CF782" s="82"/>
      <c r="CG782" s="82"/>
      <c r="CH782" s="82"/>
      <c r="CI782" s="82"/>
      <c r="CJ782" s="82"/>
      <c r="CK782" s="82"/>
      <c r="CL782" s="82"/>
      <c r="CM782" s="82"/>
      <c r="CN782" s="82"/>
      <c r="CO782" s="82"/>
      <c r="CP782" s="82"/>
      <c r="CQ782" s="82"/>
      <c r="CR782" s="82"/>
      <c r="CS782" s="82"/>
      <c r="CT782" s="82"/>
      <c r="CU782" s="82"/>
      <c r="CV782" s="82"/>
      <c r="CW782" s="82"/>
      <c r="CX782" s="82"/>
      <c r="CY782" s="82"/>
      <c r="CZ782" s="82"/>
      <c r="DA782" s="82"/>
      <c r="DB782" s="82"/>
      <c r="DC782" s="82"/>
      <c r="DD782" s="82"/>
      <c r="DE782" s="82"/>
      <c r="DF782" s="82"/>
      <c r="DG782" s="82"/>
    </row>
    <row r="783" spans="2:111" ht="4.5" customHeight="1">
      <c r="BC783" s="82"/>
      <c r="BD783" s="82"/>
      <c r="BE783" s="82"/>
      <c r="BF783" s="82"/>
      <c r="BG783" s="82"/>
      <c r="BH783" s="82"/>
      <c r="BI783" s="82"/>
      <c r="BJ783" s="82"/>
      <c r="BK783" s="82"/>
      <c r="BL783" s="82"/>
      <c r="BM783" s="82"/>
      <c r="BN783" s="82"/>
      <c r="BO783" s="82"/>
      <c r="BP783" s="82"/>
      <c r="BQ783" s="82"/>
      <c r="BR783" s="82"/>
      <c r="BS783" s="82"/>
      <c r="BT783" s="82"/>
      <c r="BU783" s="82"/>
      <c r="BV783" s="82"/>
      <c r="BW783" s="82"/>
      <c r="BX783" s="82"/>
      <c r="BY783" s="82"/>
      <c r="BZ783" s="82"/>
      <c r="CA783" s="82"/>
      <c r="CB783" s="82"/>
      <c r="CC783" s="82"/>
      <c r="CD783" s="82"/>
      <c r="CE783" s="82"/>
      <c r="CF783" s="82"/>
      <c r="CG783" s="82"/>
      <c r="CH783" s="82"/>
      <c r="CI783" s="82"/>
      <c r="CJ783" s="82"/>
      <c r="CK783" s="82"/>
      <c r="CL783" s="82"/>
      <c r="CM783" s="82"/>
      <c r="CN783" s="82"/>
      <c r="CO783" s="82"/>
      <c r="CP783" s="82"/>
      <c r="CQ783" s="82"/>
      <c r="CR783" s="82"/>
      <c r="CS783" s="82"/>
      <c r="CT783" s="82"/>
      <c r="CU783" s="82"/>
      <c r="CV783" s="82"/>
      <c r="CW783" s="82"/>
      <c r="CX783" s="82"/>
      <c r="CY783" s="82"/>
      <c r="CZ783" s="82"/>
      <c r="DA783" s="82"/>
      <c r="DB783" s="82"/>
      <c r="DC783" s="82"/>
      <c r="DD783" s="82"/>
      <c r="DE783" s="82"/>
      <c r="DF783" s="82"/>
      <c r="DG783" s="82"/>
    </row>
    <row r="784" spans="2:111" ht="9" customHeight="1">
      <c r="B784" s="229" t="str">
        <f>IF($U$752&gt;=2,"Elementos de Despesa:","")</f>
        <v>Elementos de Despesa:</v>
      </c>
      <c r="C784" s="229"/>
      <c r="D784" s="229"/>
      <c r="E784" s="229"/>
      <c r="F784" s="229"/>
      <c r="G784" s="229"/>
      <c r="H784" s="229"/>
      <c r="I784" s="229"/>
      <c r="J784" s="229"/>
      <c r="K784" s="229"/>
      <c r="L784" s="229"/>
      <c r="M784" s="229"/>
      <c r="N784" s="229"/>
      <c r="P784" s="230" t="s">
        <v>216</v>
      </c>
      <c r="Q784" s="230"/>
      <c r="R784" s="230"/>
      <c r="S784" s="230"/>
      <c r="T784" s="230"/>
      <c r="U784" s="230"/>
      <c r="V784" s="230"/>
      <c r="W784" s="230"/>
      <c r="X784" s="230"/>
      <c r="Y784" s="230"/>
      <c r="Z784" s="230"/>
      <c r="AA784" s="230"/>
      <c r="AB784" s="230"/>
      <c r="AC784" s="230"/>
      <c r="AD784" s="230"/>
      <c r="AE784" s="230"/>
      <c r="AF784" s="230"/>
      <c r="AG784" s="230"/>
      <c r="AH784" s="230"/>
      <c r="AI784" s="230"/>
      <c r="AJ784" s="230"/>
      <c r="AK784" s="230"/>
      <c r="AL784" s="230"/>
      <c r="AM784" s="230"/>
      <c r="AN784" s="230"/>
      <c r="AO784" s="230"/>
      <c r="AP784" s="230"/>
      <c r="AQ784" s="230"/>
      <c r="AS784" s="231">
        <v>99325</v>
      </c>
      <c r="AT784" s="231"/>
      <c r="AU784" s="231"/>
      <c r="AV784" s="231"/>
      <c r="AW784" s="231"/>
      <c r="AX784" s="231"/>
      <c r="AY784" s="231"/>
      <c r="AZ784" s="231"/>
      <c r="BA784" s="231"/>
      <c r="BC784" s="82"/>
      <c r="BD784" s="82"/>
      <c r="BE784" s="82"/>
      <c r="BF784" s="82"/>
      <c r="BG784" s="82"/>
      <c r="BH784" s="82"/>
      <c r="BI784" s="82"/>
      <c r="BJ784" s="82"/>
      <c r="BK784" s="82"/>
      <c r="BL784" s="82"/>
      <c r="BM784" s="82"/>
      <c r="BN784" s="82"/>
      <c r="BO784" s="82"/>
      <c r="BP784" s="82"/>
      <c r="BQ784" s="82"/>
      <c r="BR784" s="82"/>
      <c r="BS784" s="82"/>
      <c r="BT784" s="82"/>
      <c r="BU784" s="82"/>
      <c r="BV784" s="82"/>
      <c r="BW784" s="82"/>
      <c r="BX784" s="82"/>
      <c r="BY784" s="82"/>
      <c r="BZ784" s="82"/>
      <c r="CA784" s="82"/>
      <c r="CB784" s="82"/>
      <c r="CC784" s="82"/>
      <c r="CD784" s="82"/>
      <c r="CE784" s="82"/>
      <c r="CF784" s="82"/>
      <c r="CG784" s="82"/>
      <c r="CH784" s="82"/>
      <c r="CI784" s="82"/>
      <c r="CJ784" s="82"/>
      <c r="CK784" s="82"/>
      <c r="CL784" s="82"/>
      <c r="CM784" s="82"/>
      <c r="CN784" s="82"/>
      <c r="CO784" s="82"/>
      <c r="CP784" s="82"/>
      <c r="CQ784" s="82"/>
      <c r="CR784" s="82"/>
      <c r="CS784" s="82"/>
      <c r="CT784" s="82"/>
      <c r="CU784" s="82"/>
      <c r="CV784" s="82"/>
      <c r="CW784" s="82"/>
      <c r="CX784" s="82"/>
      <c r="CY784" s="82"/>
      <c r="CZ784" s="82"/>
      <c r="DA784" s="82"/>
      <c r="DB784" s="82"/>
      <c r="DC784" s="82"/>
      <c r="DD784" s="82"/>
      <c r="DE784" s="82"/>
      <c r="DF784" s="82"/>
      <c r="DG784" s="82"/>
    </row>
    <row r="785" spans="2:111" ht="9" customHeight="1">
      <c r="B785" s="229"/>
      <c r="C785" s="229"/>
      <c r="D785" s="229"/>
      <c r="E785" s="229"/>
      <c r="F785" s="229"/>
      <c r="G785" s="229"/>
      <c r="H785" s="229"/>
      <c r="I785" s="229"/>
      <c r="J785" s="229"/>
      <c r="K785" s="229"/>
      <c r="L785" s="229"/>
      <c r="M785" s="229"/>
      <c r="N785" s="229"/>
      <c r="P785" s="230"/>
      <c r="Q785" s="230"/>
      <c r="R785" s="230"/>
      <c r="S785" s="230"/>
      <c r="T785" s="230"/>
      <c r="U785" s="230"/>
      <c r="V785" s="230"/>
      <c r="W785" s="230"/>
      <c r="X785" s="230"/>
      <c r="Y785" s="230"/>
      <c r="Z785" s="230"/>
      <c r="AA785" s="230"/>
      <c r="AB785" s="230"/>
      <c r="AC785" s="230"/>
      <c r="AD785" s="230"/>
      <c r="AE785" s="230"/>
      <c r="AF785" s="230"/>
      <c r="AG785" s="230"/>
      <c r="AH785" s="230"/>
      <c r="AI785" s="230"/>
      <c r="AJ785" s="230"/>
      <c r="AK785" s="230"/>
      <c r="AL785" s="230"/>
      <c r="AM785" s="230"/>
      <c r="AN785" s="230"/>
      <c r="AO785" s="230"/>
      <c r="AP785" s="230"/>
      <c r="AQ785" s="230"/>
      <c r="AS785" s="231"/>
      <c r="AT785" s="231"/>
      <c r="AU785" s="231"/>
      <c r="AV785" s="231"/>
      <c r="AW785" s="231"/>
      <c r="AX785" s="231"/>
      <c r="AY785" s="231"/>
      <c r="AZ785" s="231"/>
      <c r="BA785" s="231"/>
      <c r="BC785" s="82"/>
      <c r="BD785" s="82"/>
      <c r="BE785" s="82"/>
      <c r="BF785" s="82"/>
      <c r="BG785" s="82"/>
      <c r="BH785" s="82"/>
      <c r="BI785" s="82"/>
      <c r="BJ785" s="82"/>
      <c r="BK785" s="82"/>
      <c r="BL785" s="82"/>
      <c r="BM785" s="82"/>
      <c r="BN785" s="82"/>
      <c r="BO785" s="82"/>
      <c r="BP785" s="82"/>
      <c r="BQ785" s="82"/>
      <c r="BR785" s="82"/>
      <c r="BS785" s="82"/>
      <c r="BT785" s="82"/>
      <c r="BU785" s="82"/>
      <c r="BV785" s="82"/>
      <c r="BW785" s="82"/>
      <c r="BX785" s="82"/>
      <c r="BY785" s="82"/>
      <c r="BZ785" s="82"/>
      <c r="CA785" s="82"/>
      <c r="CB785" s="82"/>
      <c r="CC785" s="82"/>
      <c r="CD785" s="82"/>
      <c r="CE785" s="82"/>
      <c r="CF785" s="82"/>
      <c r="CG785" s="82"/>
      <c r="CH785" s="82"/>
      <c r="CI785" s="82"/>
      <c r="CJ785" s="82"/>
      <c r="CK785" s="82"/>
      <c r="CL785" s="82"/>
      <c r="CM785" s="82"/>
      <c r="CN785" s="82"/>
      <c r="CO785" s="82"/>
      <c r="CP785" s="82"/>
      <c r="CQ785" s="82"/>
      <c r="CR785" s="82"/>
      <c r="CS785" s="82"/>
      <c r="CT785" s="82"/>
      <c r="CU785" s="82"/>
      <c r="CV785" s="82"/>
      <c r="CW785" s="82"/>
      <c r="CX785" s="82"/>
      <c r="CY785" s="82"/>
      <c r="CZ785" s="82"/>
      <c r="DA785" s="82"/>
      <c r="DB785" s="82"/>
      <c r="DC785" s="82"/>
      <c r="DD785" s="82"/>
      <c r="DE785" s="82"/>
      <c r="DF785" s="82"/>
      <c r="DG785" s="82"/>
    </row>
    <row r="786" spans="2:111" ht="9" customHeight="1">
      <c r="B786" s="229"/>
      <c r="C786" s="229"/>
      <c r="D786" s="229"/>
      <c r="E786" s="229"/>
      <c r="F786" s="229"/>
      <c r="G786" s="229"/>
      <c r="H786" s="229"/>
      <c r="I786" s="229"/>
      <c r="J786" s="229"/>
      <c r="K786" s="229"/>
      <c r="L786" s="229"/>
      <c r="M786" s="229"/>
      <c r="N786" s="229"/>
      <c r="P786" s="230"/>
      <c r="Q786" s="230"/>
      <c r="R786" s="230"/>
      <c r="S786" s="230"/>
      <c r="T786" s="230"/>
      <c r="U786" s="230"/>
      <c r="V786" s="230"/>
      <c r="W786" s="230"/>
      <c r="X786" s="230"/>
      <c r="Y786" s="230"/>
      <c r="Z786" s="230"/>
      <c r="AA786" s="230"/>
      <c r="AB786" s="230"/>
      <c r="AC786" s="230"/>
      <c r="AD786" s="230"/>
      <c r="AE786" s="230"/>
      <c r="AF786" s="230"/>
      <c r="AG786" s="230"/>
      <c r="AH786" s="230"/>
      <c r="AI786" s="230"/>
      <c r="AJ786" s="230"/>
      <c r="AK786" s="230"/>
      <c r="AL786" s="230"/>
      <c r="AM786" s="230"/>
      <c r="AN786" s="230"/>
      <c r="AO786" s="230"/>
      <c r="AP786" s="230"/>
      <c r="AQ786" s="230"/>
      <c r="AS786" s="231"/>
      <c r="AT786" s="231"/>
      <c r="AU786" s="231"/>
      <c r="AV786" s="231"/>
      <c r="AW786" s="231"/>
      <c r="AX786" s="231"/>
      <c r="AY786" s="231"/>
      <c r="AZ786" s="231"/>
      <c r="BA786" s="231"/>
      <c r="BC786" s="82"/>
      <c r="BD786" s="82"/>
      <c r="BE786" s="82"/>
      <c r="BF786" s="82"/>
      <c r="BG786" s="82"/>
      <c r="BH786" s="82"/>
      <c r="BI786" s="82"/>
      <c r="BJ786" s="82"/>
      <c r="BK786" s="82"/>
      <c r="BL786" s="82"/>
      <c r="BM786" s="82"/>
      <c r="BN786" s="82"/>
      <c r="BO786" s="82"/>
      <c r="BP786" s="82"/>
      <c r="BQ786" s="82"/>
      <c r="BR786" s="82"/>
      <c r="BS786" s="82"/>
      <c r="BT786" s="82"/>
      <c r="BU786" s="82"/>
      <c r="BV786" s="82"/>
      <c r="BW786" s="82"/>
      <c r="BX786" s="82"/>
      <c r="BY786" s="82"/>
      <c r="BZ786" s="82"/>
      <c r="CA786" s="82"/>
      <c r="CB786" s="82"/>
      <c r="CC786" s="82"/>
      <c r="CD786" s="82"/>
      <c r="CE786" s="82"/>
      <c r="CF786" s="82"/>
      <c r="CG786" s="82"/>
      <c r="CH786" s="82"/>
      <c r="CI786" s="82"/>
      <c r="CJ786" s="82"/>
      <c r="CK786" s="82"/>
      <c r="CL786" s="82"/>
      <c r="CM786" s="82"/>
      <c r="CN786" s="82"/>
      <c r="CO786" s="82"/>
      <c r="CP786" s="82"/>
      <c r="CQ786" s="82"/>
      <c r="CR786" s="82"/>
      <c r="CS786" s="82"/>
      <c r="CT786" s="82"/>
      <c r="CU786" s="82"/>
      <c r="CV786" s="82"/>
      <c r="CW786" s="82"/>
      <c r="CX786" s="82"/>
      <c r="CY786" s="82"/>
      <c r="CZ786" s="82"/>
      <c r="DA786" s="82"/>
      <c r="DB786" s="82"/>
      <c r="DC786" s="82"/>
      <c r="DD786" s="82"/>
      <c r="DE786" s="82"/>
      <c r="DF786" s="82"/>
      <c r="DG786" s="82"/>
    </row>
    <row r="787" spans="2:111" ht="9" customHeight="1">
      <c r="B787" s="229"/>
      <c r="C787" s="229"/>
      <c r="D787" s="229"/>
      <c r="E787" s="229"/>
      <c r="F787" s="229"/>
      <c r="G787" s="229"/>
      <c r="H787" s="229"/>
      <c r="I787" s="229"/>
      <c r="J787" s="229"/>
      <c r="K787" s="229"/>
      <c r="L787" s="229"/>
      <c r="M787" s="229"/>
      <c r="N787" s="229"/>
      <c r="P787" s="230"/>
      <c r="Q787" s="230"/>
      <c r="R787" s="230"/>
      <c r="S787" s="230"/>
      <c r="T787" s="230"/>
      <c r="U787" s="230"/>
      <c r="V787" s="230"/>
      <c r="W787" s="230"/>
      <c r="X787" s="230"/>
      <c r="Y787" s="230"/>
      <c r="Z787" s="230"/>
      <c r="AA787" s="230"/>
      <c r="AB787" s="230"/>
      <c r="AC787" s="230"/>
      <c r="AD787" s="230"/>
      <c r="AE787" s="230"/>
      <c r="AF787" s="230"/>
      <c r="AG787" s="230"/>
      <c r="AH787" s="230"/>
      <c r="AI787" s="230"/>
      <c r="AJ787" s="230"/>
      <c r="AK787" s="230"/>
      <c r="AL787" s="230"/>
      <c r="AM787" s="230"/>
      <c r="AN787" s="230"/>
      <c r="AO787" s="230"/>
      <c r="AP787" s="230"/>
      <c r="AQ787" s="230"/>
      <c r="AS787" s="231"/>
      <c r="AT787" s="231"/>
      <c r="AU787" s="231"/>
      <c r="AV787" s="231"/>
      <c r="AW787" s="231"/>
      <c r="AX787" s="231"/>
      <c r="AY787" s="231"/>
      <c r="AZ787" s="231"/>
      <c r="BA787" s="231"/>
      <c r="BC787" s="82"/>
      <c r="BD787" s="82"/>
      <c r="BE787" s="82"/>
      <c r="BF787" s="82"/>
      <c r="BG787" s="82"/>
      <c r="BH787" s="82"/>
      <c r="BI787" s="82"/>
      <c r="BJ787" s="82"/>
      <c r="BK787" s="82"/>
      <c r="BL787" s="82"/>
      <c r="BM787" s="82"/>
      <c r="BN787" s="82"/>
      <c r="BO787" s="82"/>
      <c r="BP787" s="82"/>
      <c r="BQ787" s="82"/>
      <c r="BR787" s="82"/>
      <c r="BS787" s="82"/>
      <c r="BT787" s="82"/>
      <c r="BU787" s="82"/>
      <c r="BV787" s="82"/>
      <c r="BW787" s="82"/>
      <c r="BX787" s="82"/>
      <c r="BY787" s="82"/>
      <c r="BZ787" s="82"/>
      <c r="CA787" s="82"/>
      <c r="CB787" s="82"/>
      <c r="CC787" s="82"/>
      <c r="CD787" s="82"/>
      <c r="CE787" s="82"/>
      <c r="CF787" s="82"/>
      <c r="CG787" s="82"/>
      <c r="CH787" s="82"/>
      <c r="CI787" s="82"/>
      <c r="CJ787" s="82"/>
      <c r="CK787" s="82"/>
      <c r="CL787" s="82"/>
      <c r="CM787" s="82"/>
      <c r="CN787" s="82"/>
      <c r="CO787" s="82"/>
      <c r="CP787" s="82"/>
      <c r="CQ787" s="82"/>
      <c r="CR787" s="82"/>
      <c r="CS787" s="82"/>
      <c r="CT787" s="82"/>
      <c r="CU787" s="82"/>
      <c r="CV787" s="82"/>
      <c r="CW787" s="82"/>
      <c r="CX787" s="82"/>
      <c r="CY787" s="82"/>
      <c r="CZ787" s="82"/>
      <c r="DA787" s="82"/>
      <c r="DB787" s="82"/>
      <c r="DC787" s="82"/>
      <c r="DD787" s="82"/>
      <c r="DE787" s="82"/>
      <c r="DF787" s="82"/>
      <c r="DG787" s="82"/>
    </row>
    <row r="788" spans="2:111" ht="9" customHeight="1">
      <c r="B788" s="229"/>
      <c r="C788" s="229"/>
      <c r="D788" s="229"/>
      <c r="E788" s="229"/>
      <c r="F788" s="229"/>
      <c r="G788" s="229"/>
      <c r="H788" s="229"/>
      <c r="I788" s="229"/>
      <c r="J788" s="229"/>
      <c r="K788" s="229"/>
      <c r="L788" s="229"/>
      <c r="M788" s="229"/>
      <c r="N788" s="229"/>
      <c r="P788" s="230"/>
      <c r="Q788" s="230"/>
      <c r="R788" s="230"/>
      <c r="S788" s="230"/>
      <c r="T788" s="230"/>
      <c r="U788" s="230"/>
      <c r="V788" s="230"/>
      <c r="W788" s="230"/>
      <c r="X788" s="230"/>
      <c r="Y788" s="230"/>
      <c r="Z788" s="230"/>
      <c r="AA788" s="230"/>
      <c r="AB788" s="230"/>
      <c r="AC788" s="230"/>
      <c r="AD788" s="230"/>
      <c r="AE788" s="230"/>
      <c r="AF788" s="230"/>
      <c r="AG788" s="230"/>
      <c r="AH788" s="230"/>
      <c r="AI788" s="230"/>
      <c r="AJ788" s="230"/>
      <c r="AK788" s="230"/>
      <c r="AL788" s="230"/>
      <c r="AM788" s="230"/>
      <c r="AN788" s="230"/>
      <c r="AO788" s="230"/>
      <c r="AP788" s="230"/>
      <c r="AQ788" s="230"/>
      <c r="AS788" s="231"/>
      <c r="AT788" s="231"/>
      <c r="AU788" s="231"/>
      <c r="AV788" s="231"/>
      <c r="AW788" s="231"/>
      <c r="AX788" s="231"/>
      <c r="AY788" s="231"/>
      <c r="AZ788" s="231"/>
      <c r="BA788" s="231"/>
      <c r="BC788" s="82"/>
      <c r="BD788" s="82"/>
      <c r="BE788" s="82"/>
      <c r="BF788" s="82"/>
      <c r="BG788" s="82"/>
      <c r="BH788" s="82"/>
      <c r="BI788" s="82"/>
      <c r="BJ788" s="82"/>
      <c r="BK788" s="82"/>
      <c r="BL788" s="82"/>
      <c r="BM788" s="82"/>
      <c r="BN788" s="82"/>
      <c r="BO788" s="82"/>
      <c r="BP788" s="82"/>
      <c r="BQ788" s="82"/>
      <c r="BR788" s="82"/>
      <c r="BS788" s="82"/>
      <c r="BT788" s="82"/>
      <c r="BU788" s="82"/>
      <c r="BV788" s="82"/>
      <c r="BW788" s="82"/>
      <c r="BX788" s="82"/>
      <c r="BY788" s="82"/>
      <c r="BZ788" s="82"/>
      <c r="CA788" s="82"/>
      <c r="CB788" s="82"/>
      <c r="CC788" s="82"/>
      <c r="CD788" s="82"/>
      <c r="CE788" s="82"/>
      <c r="CF788" s="82"/>
      <c r="CG788" s="82"/>
      <c r="CH788" s="82"/>
      <c r="CI788" s="82"/>
      <c r="CJ788" s="82"/>
      <c r="CK788" s="82"/>
      <c r="CL788" s="82"/>
      <c r="CM788" s="82"/>
      <c r="CN788" s="82"/>
      <c r="CO788" s="82"/>
      <c r="CP788" s="82"/>
      <c r="CQ788" s="82"/>
      <c r="CR788" s="82"/>
      <c r="CS788" s="82"/>
      <c r="CT788" s="82"/>
      <c r="CU788" s="82"/>
      <c r="CV788" s="82"/>
      <c r="CW788" s="82"/>
      <c r="CX788" s="82"/>
      <c r="CY788" s="82"/>
      <c r="CZ788" s="82"/>
      <c r="DA788" s="82"/>
      <c r="DB788" s="82"/>
      <c r="DC788" s="82"/>
      <c r="DD788" s="82"/>
      <c r="DE788" s="82"/>
      <c r="DF788" s="82"/>
      <c r="DG788" s="82"/>
    </row>
    <row r="789" spans="2:111" ht="9" customHeight="1">
      <c r="B789" s="229"/>
      <c r="C789" s="229"/>
      <c r="D789" s="229"/>
      <c r="E789" s="229"/>
      <c r="F789" s="229"/>
      <c r="G789" s="229"/>
      <c r="H789" s="229"/>
      <c r="I789" s="229"/>
      <c r="J789" s="229"/>
      <c r="K789" s="229"/>
      <c r="L789" s="229"/>
      <c r="M789" s="229"/>
      <c r="N789" s="229"/>
      <c r="P789" s="230"/>
      <c r="Q789" s="230"/>
      <c r="R789" s="230"/>
      <c r="S789" s="230"/>
      <c r="T789" s="230"/>
      <c r="U789" s="230"/>
      <c r="V789" s="230"/>
      <c r="W789" s="230"/>
      <c r="X789" s="230"/>
      <c r="Y789" s="230"/>
      <c r="Z789" s="230"/>
      <c r="AA789" s="230"/>
      <c r="AB789" s="230"/>
      <c r="AC789" s="230"/>
      <c r="AD789" s="230"/>
      <c r="AE789" s="230"/>
      <c r="AF789" s="230"/>
      <c r="AG789" s="230"/>
      <c r="AH789" s="230"/>
      <c r="AI789" s="230"/>
      <c r="AJ789" s="230"/>
      <c r="AK789" s="230"/>
      <c r="AL789" s="230"/>
      <c r="AM789" s="230"/>
      <c r="AN789" s="230"/>
      <c r="AO789" s="230"/>
      <c r="AP789" s="230"/>
      <c r="AQ789" s="230"/>
      <c r="AS789" s="231"/>
      <c r="AT789" s="231"/>
      <c r="AU789" s="231"/>
      <c r="AV789" s="231"/>
      <c r="AW789" s="231"/>
      <c r="AX789" s="231"/>
      <c r="AY789" s="231"/>
      <c r="AZ789" s="231"/>
      <c r="BA789" s="231"/>
      <c r="BC789" s="82"/>
      <c r="BD789" s="82"/>
      <c r="BE789" s="82"/>
      <c r="BF789" s="82"/>
      <c r="BG789" s="82"/>
      <c r="BH789" s="82"/>
      <c r="BI789" s="82"/>
      <c r="BJ789" s="82"/>
      <c r="BK789" s="82"/>
      <c r="BL789" s="82"/>
      <c r="BM789" s="82"/>
      <c r="BN789" s="82"/>
      <c r="BO789" s="82"/>
      <c r="BP789" s="82"/>
      <c r="BQ789" s="82"/>
      <c r="BR789" s="82"/>
      <c r="BS789" s="82"/>
      <c r="BT789" s="82"/>
      <c r="BU789" s="82"/>
      <c r="BV789" s="82"/>
      <c r="BW789" s="82"/>
      <c r="BX789" s="82"/>
      <c r="BY789" s="82"/>
      <c r="BZ789" s="82"/>
      <c r="CA789" s="82"/>
      <c r="CB789" s="82"/>
      <c r="CC789" s="82"/>
      <c r="CD789" s="82"/>
      <c r="CE789" s="82"/>
      <c r="CF789" s="82"/>
      <c r="CG789" s="82"/>
      <c r="CH789" s="82"/>
      <c r="CI789" s="82"/>
      <c r="CJ789" s="82"/>
      <c r="CK789" s="82"/>
      <c r="CL789" s="82"/>
      <c r="CM789" s="82"/>
      <c r="CN789" s="82"/>
      <c r="CO789" s="82"/>
      <c r="CP789" s="82"/>
      <c r="CQ789" s="82"/>
      <c r="CR789" s="82"/>
      <c r="CS789" s="82"/>
      <c r="CT789" s="82"/>
      <c r="CU789" s="82"/>
      <c r="CV789" s="82"/>
      <c r="CW789" s="82"/>
      <c r="CX789" s="82"/>
      <c r="CY789" s="82"/>
      <c r="CZ789" s="82"/>
      <c r="DA789" s="82"/>
      <c r="DB789" s="82"/>
      <c r="DC789" s="82"/>
      <c r="DD789" s="82"/>
      <c r="DE789" s="82"/>
      <c r="DF789" s="82"/>
      <c r="DG789" s="82"/>
    </row>
    <row r="790" spans="2:111" ht="9" customHeight="1">
      <c r="B790" s="229"/>
      <c r="C790" s="229"/>
      <c r="D790" s="229"/>
      <c r="E790" s="229"/>
      <c r="F790" s="229"/>
      <c r="G790" s="229"/>
      <c r="H790" s="229"/>
      <c r="I790" s="229"/>
      <c r="J790" s="229"/>
      <c r="K790" s="229"/>
      <c r="L790" s="229"/>
      <c r="M790" s="229"/>
      <c r="N790" s="229"/>
      <c r="P790" s="230"/>
      <c r="Q790" s="230"/>
      <c r="R790" s="230"/>
      <c r="S790" s="230"/>
      <c r="T790" s="230"/>
      <c r="U790" s="230"/>
      <c r="V790" s="230"/>
      <c r="W790" s="230"/>
      <c r="X790" s="230"/>
      <c r="Y790" s="230"/>
      <c r="Z790" s="230"/>
      <c r="AA790" s="230"/>
      <c r="AB790" s="230"/>
      <c r="AC790" s="230"/>
      <c r="AD790" s="230"/>
      <c r="AE790" s="230"/>
      <c r="AF790" s="230"/>
      <c r="AG790" s="230"/>
      <c r="AH790" s="230"/>
      <c r="AI790" s="230"/>
      <c r="AJ790" s="230"/>
      <c r="AK790" s="230"/>
      <c r="AL790" s="230"/>
      <c r="AM790" s="230"/>
      <c r="AN790" s="230"/>
      <c r="AO790" s="230"/>
      <c r="AP790" s="230"/>
      <c r="AQ790" s="230"/>
      <c r="AS790" s="231"/>
      <c r="AT790" s="231"/>
      <c r="AU790" s="231"/>
      <c r="AV790" s="231"/>
      <c r="AW790" s="231"/>
      <c r="AX790" s="231"/>
      <c r="AY790" s="231"/>
      <c r="AZ790" s="231"/>
      <c r="BA790" s="231"/>
      <c r="BC790" s="82"/>
      <c r="BD790" s="82"/>
      <c r="BE790" s="82"/>
      <c r="BF790" s="82"/>
      <c r="BG790" s="82"/>
      <c r="BH790" s="82"/>
      <c r="BI790" s="82"/>
      <c r="BJ790" s="82"/>
      <c r="BK790" s="82"/>
      <c r="BL790" s="82"/>
      <c r="BM790" s="82"/>
      <c r="BN790" s="82"/>
      <c r="BO790" s="82"/>
      <c r="BP790" s="82"/>
      <c r="BQ790" s="82"/>
      <c r="BR790" s="82"/>
      <c r="BS790" s="82"/>
      <c r="BT790" s="82"/>
      <c r="BU790" s="82"/>
      <c r="BV790" s="82"/>
      <c r="BW790" s="82"/>
      <c r="BX790" s="82"/>
      <c r="BY790" s="82"/>
      <c r="BZ790" s="82"/>
      <c r="CA790" s="82"/>
      <c r="CB790" s="82"/>
      <c r="CC790" s="82"/>
      <c r="CD790" s="82"/>
      <c r="CE790" s="82"/>
      <c r="CF790" s="82"/>
      <c r="CG790" s="82"/>
      <c r="CH790" s="82"/>
      <c r="CI790" s="82"/>
      <c r="CJ790" s="82"/>
      <c r="CK790" s="82"/>
      <c r="CL790" s="82"/>
      <c r="CM790" s="82"/>
      <c r="CN790" s="82"/>
      <c r="CO790" s="82"/>
      <c r="CP790" s="82"/>
      <c r="CQ790" s="82"/>
      <c r="CR790" s="82"/>
      <c r="CS790" s="82"/>
      <c r="CT790" s="82"/>
      <c r="CU790" s="82"/>
      <c r="CV790" s="82"/>
      <c r="CW790" s="82"/>
      <c r="CX790" s="82"/>
      <c r="CY790" s="82"/>
      <c r="CZ790" s="82"/>
      <c r="DA790" s="82"/>
      <c r="DB790" s="82"/>
      <c r="DC790" s="82"/>
      <c r="DD790" s="82"/>
      <c r="DE790" s="82"/>
      <c r="DF790" s="82"/>
      <c r="DG790" s="82"/>
    </row>
    <row r="791" spans="2:111" ht="9" customHeight="1">
      <c r="B791" s="229"/>
      <c r="C791" s="229"/>
      <c r="D791" s="229"/>
      <c r="E791" s="229"/>
      <c r="F791" s="229"/>
      <c r="G791" s="229"/>
      <c r="H791" s="229"/>
      <c r="I791" s="229"/>
      <c r="J791" s="229"/>
      <c r="K791" s="229"/>
      <c r="L791" s="229"/>
      <c r="M791" s="229"/>
      <c r="N791" s="229"/>
      <c r="P791" s="230"/>
      <c r="Q791" s="230"/>
      <c r="R791" s="230"/>
      <c r="S791" s="230"/>
      <c r="T791" s="230"/>
      <c r="U791" s="230"/>
      <c r="V791" s="230"/>
      <c r="W791" s="230"/>
      <c r="X791" s="230"/>
      <c r="Y791" s="230"/>
      <c r="Z791" s="230"/>
      <c r="AA791" s="230"/>
      <c r="AB791" s="230"/>
      <c r="AC791" s="230"/>
      <c r="AD791" s="230"/>
      <c r="AE791" s="230"/>
      <c r="AF791" s="230"/>
      <c r="AG791" s="230"/>
      <c r="AH791" s="230"/>
      <c r="AI791" s="230"/>
      <c r="AJ791" s="230"/>
      <c r="AK791" s="230"/>
      <c r="AL791" s="230"/>
      <c r="AM791" s="230"/>
      <c r="AN791" s="230"/>
      <c r="AO791" s="230"/>
      <c r="AP791" s="230"/>
      <c r="AQ791" s="230"/>
      <c r="AS791" s="231"/>
      <c r="AT791" s="231"/>
      <c r="AU791" s="231"/>
      <c r="AV791" s="231"/>
      <c r="AW791" s="231"/>
      <c r="AX791" s="231"/>
      <c r="AY791" s="231"/>
      <c r="AZ791" s="231"/>
      <c r="BA791" s="231"/>
      <c r="BC791" s="82"/>
      <c r="BD791" s="82"/>
      <c r="BE791" s="82"/>
      <c r="BF791" s="82"/>
      <c r="BG791" s="82"/>
      <c r="BH791" s="82"/>
      <c r="BI791" s="82"/>
      <c r="BJ791" s="82"/>
      <c r="BK791" s="82"/>
      <c r="BL791" s="82"/>
      <c r="BM791" s="82"/>
      <c r="BN791" s="82"/>
      <c r="BO791" s="82"/>
      <c r="BP791" s="82"/>
      <c r="BQ791" s="82"/>
      <c r="BR791" s="82"/>
      <c r="BS791" s="82"/>
      <c r="BT791" s="82"/>
      <c r="BU791" s="82"/>
      <c r="BV791" s="82"/>
      <c r="BW791" s="82"/>
      <c r="BX791" s="82"/>
      <c r="BY791" s="82"/>
      <c r="BZ791" s="82"/>
      <c r="CA791" s="82"/>
      <c r="CB791" s="82"/>
      <c r="CC791" s="82"/>
      <c r="CD791" s="82"/>
      <c r="CE791" s="82"/>
      <c r="CF791" s="82"/>
      <c r="CG791" s="82"/>
      <c r="CH791" s="82"/>
      <c r="CI791" s="82"/>
      <c r="CJ791" s="82"/>
      <c r="CK791" s="82"/>
      <c r="CL791" s="82"/>
      <c r="CM791" s="82"/>
      <c r="CN791" s="82"/>
      <c r="CO791" s="82"/>
      <c r="CP791" s="82"/>
      <c r="CQ791" s="82"/>
      <c r="CR791" s="82"/>
      <c r="CS791" s="82"/>
      <c r="CT791" s="82"/>
      <c r="CU791" s="82"/>
      <c r="CV791" s="82"/>
      <c r="CW791" s="82"/>
      <c r="CX791" s="82"/>
      <c r="CY791" s="82"/>
      <c r="CZ791" s="82"/>
      <c r="DA791" s="82"/>
      <c r="DB791" s="82"/>
      <c r="DC791" s="82"/>
      <c r="DD791" s="82"/>
      <c r="DE791" s="82"/>
      <c r="DF791" s="82"/>
      <c r="DG791" s="82"/>
    </row>
    <row r="792" spans="2:111" ht="9" customHeight="1">
      <c r="B792" s="229"/>
      <c r="C792" s="229"/>
      <c r="D792" s="229"/>
      <c r="E792" s="229"/>
      <c r="F792" s="229"/>
      <c r="G792" s="229"/>
      <c r="H792" s="229"/>
      <c r="I792" s="229"/>
      <c r="J792" s="229"/>
      <c r="K792" s="229"/>
      <c r="L792" s="229"/>
      <c r="M792" s="229"/>
      <c r="N792" s="229"/>
      <c r="P792" s="230"/>
      <c r="Q792" s="230"/>
      <c r="R792" s="230"/>
      <c r="S792" s="230"/>
      <c r="T792" s="230"/>
      <c r="U792" s="230"/>
      <c r="V792" s="230"/>
      <c r="W792" s="230"/>
      <c r="X792" s="230"/>
      <c r="Y792" s="230"/>
      <c r="Z792" s="230"/>
      <c r="AA792" s="230"/>
      <c r="AB792" s="230"/>
      <c r="AC792" s="230"/>
      <c r="AD792" s="230"/>
      <c r="AE792" s="230"/>
      <c r="AF792" s="230"/>
      <c r="AG792" s="230"/>
      <c r="AH792" s="230"/>
      <c r="AI792" s="230"/>
      <c r="AJ792" s="230"/>
      <c r="AK792" s="230"/>
      <c r="AL792" s="230"/>
      <c r="AM792" s="230"/>
      <c r="AN792" s="230"/>
      <c r="AO792" s="230"/>
      <c r="AP792" s="230"/>
      <c r="AQ792" s="230"/>
      <c r="AS792" s="231"/>
      <c r="AT792" s="231"/>
      <c r="AU792" s="231"/>
      <c r="AV792" s="231"/>
      <c r="AW792" s="231"/>
      <c r="AX792" s="231"/>
      <c r="AY792" s="231"/>
      <c r="AZ792" s="231"/>
      <c r="BA792" s="231"/>
      <c r="BC792" s="82"/>
      <c r="BD792" s="82"/>
      <c r="BE792" s="82"/>
      <c r="BF792" s="82"/>
      <c r="BG792" s="82"/>
      <c r="BH792" s="82"/>
      <c r="BI792" s="82"/>
      <c r="BJ792" s="82"/>
      <c r="BK792" s="82"/>
      <c r="BL792" s="82"/>
      <c r="BM792" s="82"/>
      <c r="BN792" s="82"/>
      <c r="BO792" s="82"/>
      <c r="BP792" s="82"/>
      <c r="BQ792" s="82"/>
      <c r="BR792" s="82"/>
      <c r="BS792" s="82"/>
      <c r="BT792" s="82"/>
      <c r="BU792" s="82"/>
      <c r="BV792" s="82"/>
      <c r="BW792" s="82"/>
      <c r="BX792" s="82"/>
      <c r="BY792" s="82"/>
      <c r="BZ792" s="82"/>
      <c r="CA792" s="82"/>
      <c r="CB792" s="82"/>
      <c r="CC792" s="82"/>
      <c r="CD792" s="82"/>
      <c r="CE792" s="82"/>
      <c r="CF792" s="82"/>
      <c r="CG792" s="82"/>
      <c r="CH792" s="82"/>
      <c r="CI792" s="82"/>
      <c r="CJ792" s="82"/>
      <c r="CK792" s="82"/>
      <c r="CL792" s="82"/>
      <c r="CM792" s="82"/>
      <c r="CN792" s="82"/>
      <c r="CO792" s="82"/>
      <c r="CP792" s="82"/>
      <c r="CQ792" s="82"/>
      <c r="CR792" s="82"/>
      <c r="CS792" s="82"/>
      <c r="CT792" s="82"/>
      <c r="CU792" s="82"/>
      <c r="CV792" s="82"/>
      <c r="CW792" s="82"/>
      <c r="CX792" s="82"/>
      <c r="CY792" s="82"/>
      <c r="CZ792" s="82"/>
      <c r="DA792" s="82"/>
      <c r="DB792" s="82"/>
      <c r="DC792" s="82"/>
      <c r="DD792" s="82"/>
      <c r="DE792" s="82"/>
      <c r="DF792" s="82"/>
      <c r="DG792" s="82"/>
    </row>
    <row r="793" spans="2:111" ht="9" customHeight="1">
      <c r="B793" s="229"/>
      <c r="C793" s="229"/>
      <c r="D793" s="229"/>
      <c r="E793" s="229"/>
      <c r="F793" s="229"/>
      <c r="G793" s="229"/>
      <c r="H793" s="229"/>
      <c r="I793" s="229"/>
      <c r="J793" s="229"/>
      <c r="K793" s="229"/>
      <c r="L793" s="229"/>
      <c r="M793" s="229"/>
      <c r="N793" s="229"/>
      <c r="P793" s="230"/>
      <c r="Q793" s="230"/>
      <c r="R793" s="230"/>
      <c r="S793" s="230"/>
      <c r="T793" s="230"/>
      <c r="U793" s="230"/>
      <c r="V793" s="230"/>
      <c r="W793" s="230"/>
      <c r="X793" s="230"/>
      <c r="Y793" s="230"/>
      <c r="Z793" s="230"/>
      <c r="AA793" s="230"/>
      <c r="AB793" s="230"/>
      <c r="AC793" s="230"/>
      <c r="AD793" s="230"/>
      <c r="AE793" s="230"/>
      <c r="AF793" s="230"/>
      <c r="AG793" s="230"/>
      <c r="AH793" s="230"/>
      <c r="AI793" s="230"/>
      <c r="AJ793" s="230"/>
      <c r="AK793" s="230"/>
      <c r="AL793" s="230"/>
      <c r="AM793" s="230"/>
      <c r="AN793" s="230"/>
      <c r="AO793" s="230"/>
      <c r="AP793" s="230"/>
      <c r="AQ793" s="230"/>
      <c r="AS793" s="231"/>
      <c r="AT793" s="231"/>
      <c r="AU793" s="231"/>
      <c r="AV793" s="231"/>
      <c r="AW793" s="231"/>
      <c r="AX793" s="231"/>
      <c r="AY793" s="231"/>
      <c r="AZ793" s="231"/>
      <c r="BA793" s="231"/>
      <c r="BC793" s="82"/>
      <c r="BD793" s="82"/>
      <c r="BE793" s="82"/>
      <c r="BF793" s="82"/>
      <c r="BG793" s="82"/>
      <c r="BH793" s="82"/>
      <c r="BI793" s="82"/>
      <c r="BJ793" s="82"/>
      <c r="BK793" s="82"/>
      <c r="BL793" s="82"/>
      <c r="BM793" s="82"/>
      <c r="BN793" s="82"/>
      <c r="BO793" s="82"/>
      <c r="BP793" s="82"/>
      <c r="BQ793" s="82"/>
      <c r="BR793" s="82"/>
      <c r="BS793" s="82"/>
      <c r="BT793" s="82"/>
      <c r="BU793" s="82"/>
      <c r="BV793" s="82"/>
      <c r="BW793" s="82"/>
      <c r="BX793" s="82"/>
      <c r="BY793" s="82"/>
      <c r="BZ793" s="82"/>
      <c r="CA793" s="82"/>
      <c r="CB793" s="82"/>
      <c r="CC793" s="82"/>
      <c r="CD793" s="82"/>
      <c r="CE793" s="82"/>
      <c r="CF793" s="82"/>
      <c r="CG793" s="82"/>
      <c r="CH793" s="82"/>
      <c r="CI793" s="82"/>
      <c r="CJ793" s="82"/>
      <c r="CK793" s="82"/>
      <c r="CL793" s="82"/>
      <c r="CM793" s="82"/>
      <c r="CN793" s="82"/>
      <c r="CO793" s="82"/>
      <c r="CP793" s="82"/>
      <c r="CQ793" s="82"/>
      <c r="CR793" s="82"/>
      <c r="CS793" s="82"/>
      <c r="CT793" s="82"/>
      <c r="CU793" s="82"/>
      <c r="CV793" s="82"/>
      <c r="CW793" s="82"/>
      <c r="CX793" s="82"/>
      <c r="CY793" s="82"/>
      <c r="CZ793" s="82"/>
      <c r="DA793" s="82"/>
      <c r="DB793" s="82"/>
      <c r="DC793" s="82"/>
      <c r="DD793" s="82"/>
      <c r="DE793" s="82"/>
      <c r="DF793" s="82"/>
      <c r="DG793" s="82"/>
    </row>
    <row r="794" spans="2:111" ht="9" customHeight="1">
      <c r="B794" s="229"/>
      <c r="C794" s="229"/>
      <c r="D794" s="229"/>
      <c r="E794" s="229"/>
      <c r="F794" s="229"/>
      <c r="G794" s="229"/>
      <c r="H794" s="229"/>
      <c r="I794" s="229"/>
      <c r="J794" s="229"/>
      <c r="K794" s="229"/>
      <c r="L794" s="229"/>
      <c r="M794" s="229"/>
      <c r="N794" s="229"/>
      <c r="P794" s="230"/>
      <c r="Q794" s="230"/>
      <c r="R794" s="230"/>
      <c r="S794" s="230"/>
      <c r="T794" s="230"/>
      <c r="U794" s="230"/>
      <c r="V794" s="230"/>
      <c r="W794" s="230"/>
      <c r="X794" s="230"/>
      <c r="Y794" s="230"/>
      <c r="Z794" s="230"/>
      <c r="AA794" s="230"/>
      <c r="AB794" s="230"/>
      <c r="AC794" s="230"/>
      <c r="AD794" s="230"/>
      <c r="AE794" s="230"/>
      <c r="AF794" s="230"/>
      <c r="AG794" s="230"/>
      <c r="AH794" s="230"/>
      <c r="AI794" s="230"/>
      <c r="AJ794" s="230"/>
      <c r="AK794" s="230"/>
      <c r="AL794" s="230"/>
      <c r="AM794" s="230"/>
      <c r="AN794" s="230"/>
      <c r="AO794" s="230"/>
      <c r="AP794" s="230"/>
      <c r="AQ794" s="230"/>
      <c r="AS794" s="231"/>
      <c r="AT794" s="231"/>
      <c r="AU794" s="231"/>
      <c r="AV794" s="231"/>
      <c r="AW794" s="231"/>
      <c r="AX794" s="231"/>
      <c r="AY794" s="231"/>
      <c r="AZ794" s="231"/>
      <c r="BA794" s="231"/>
      <c r="BC794" s="82"/>
      <c r="BD794" s="82"/>
      <c r="BE794" s="82"/>
      <c r="BF794" s="82"/>
      <c r="BG794" s="82"/>
      <c r="BH794" s="82"/>
      <c r="BI794" s="82"/>
      <c r="BJ794" s="82"/>
      <c r="BK794" s="82"/>
      <c r="BL794" s="82"/>
      <c r="BM794" s="82"/>
      <c r="BN794" s="82"/>
      <c r="BO794" s="82"/>
      <c r="BP794" s="82"/>
      <c r="BQ794" s="82"/>
      <c r="BR794" s="82"/>
      <c r="BS794" s="82"/>
      <c r="BT794" s="82"/>
      <c r="BU794" s="82"/>
      <c r="BV794" s="82"/>
      <c r="BW794" s="82"/>
      <c r="BX794" s="82"/>
      <c r="BY794" s="82"/>
      <c r="BZ794" s="82"/>
      <c r="CA794" s="82"/>
      <c r="CB794" s="82"/>
      <c r="CC794" s="82"/>
      <c r="CD794" s="82"/>
      <c r="CE794" s="82"/>
      <c r="CF794" s="82"/>
      <c r="CG794" s="82"/>
      <c r="CH794" s="82"/>
      <c r="CI794" s="82"/>
      <c r="CJ794" s="82"/>
      <c r="CK794" s="82"/>
      <c r="CL794" s="82"/>
      <c r="CM794" s="82"/>
      <c r="CN794" s="82"/>
      <c r="CO794" s="82"/>
      <c r="CP794" s="82"/>
      <c r="CQ794" s="82"/>
      <c r="CR794" s="82"/>
      <c r="CS794" s="82"/>
      <c r="CT794" s="82"/>
      <c r="CU794" s="82"/>
      <c r="CV794" s="82"/>
      <c r="CW794" s="82"/>
      <c r="CX794" s="82"/>
      <c r="CY794" s="82"/>
      <c r="CZ794" s="82"/>
      <c r="DA794" s="82"/>
      <c r="DB794" s="82"/>
      <c r="DC794" s="82"/>
      <c r="DD794" s="82"/>
      <c r="DE794" s="82"/>
      <c r="DF794" s="82"/>
      <c r="DG794" s="82"/>
    </row>
    <row r="795" spans="2:111" ht="9" customHeight="1">
      <c r="B795" s="229"/>
      <c r="C795" s="229"/>
      <c r="D795" s="229"/>
      <c r="E795" s="229"/>
      <c r="F795" s="229"/>
      <c r="G795" s="229"/>
      <c r="H795" s="229"/>
      <c r="I795" s="229"/>
      <c r="J795" s="229"/>
      <c r="K795" s="229"/>
      <c r="L795" s="229"/>
      <c r="M795" s="229"/>
      <c r="N795" s="229"/>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230"/>
      <c r="AL795" s="230"/>
      <c r="AM795" s="230"/>
      <c r="AN795" s="230"/>
      <c r="AO795" s="230"/>
      <c r="AP795" s="230"/>
      <c r="AQ795" s="230"/>
      <c r="AS795" s="231"/>
      <c r="AT795" s="231"/>
      <c r="AU795" s="231"/>
      <c r="AV795" s="231"/>
      <c r="AW795" s="231"/>
      <c r="AX795" s="231"/>
      <c r="AY795" s="231"/>
      <c r="AZ795" s="231"/>
      <c r="BA795" s="231"/>
      <c r="BC795" s="82"/>
      <c r="BD795" s="82"/>
      <c r="BE795" s="82"/>
      <c r="BF795" s="82"/>
      <c r="BG795" s="82"/>
      <c r="BH795" s="82"/>
      <c r="BI795" s="82"/>
      <c r="BJ795" s="82"/>
      <c r="BK795" s="82"/>
      <c r="BL795" s="82"/>
      <c r="BM795" s="82"/>
      <c r="BN795" s="82"/>
      <c r="BO795" s="82"/>
      <c r="BP795" s="82"/>
      <c r="BQ795" s="82"/>
      <c r="BR795" s="82"/>
      <c r="BS795" s="82"/>
      <c r="BT795" s="82"/>
      <c r="BU795" s="82"/>
      <c r="BV795" s="82"/>
      <c r="BW795" s="82"/>
      <c r="BX795" s="82"/>
      <c r="BY795" s="82"/>
      <c r="BZ795" s="82"/>
      <c r="CA795" s="82"/>
      <c r="CB795" s="82"/>
      <c r="CC795" s="82"/>
      <c r="CD795" s="82"/>
      <c r="CE795" s="82"/>
      <c r="CF795" s="82"/>
      <c r="CG795" s="82"/>
      <c r="CH795" s="82"/>
      <c r="CI795" s="82"/>
      <c r="CJ795" s="82"/>
      <c r="CK795" s="82"/>
      <c r="CL795" s="82"/>
      <c r="CM795" s="82"/>
      <c r="CN795" s="82"/>
      <c r="CO795" s="82"/>
      <c r="CP795" s="82"/>
      <c r="CQ795" s="82"/>
      <c r="CR795" s="82"/>
      <c r="CS795" s="82"/>
      <c r="CT795" s="82"/>
      <c r="CU795" s="82"/>
      <c r="CV795" s="82"/>
      <c r="CW795" s="82"/>
      <c r="CX795" s="82"/>
      <c r="CY795" s="82"/>
      <c r="CZ795" s="82"/>
      <c r="DA795" s="82"/>
      <c r="DB795" s="82"/>
      <c r="DC795" s="82"/>
      <c r="DD795" s="82"/>
      <c r="DE795" s="82"/>
      <c r="DF795" s="82"/>
      <c r="DG795" s="82"/>
    </row>
    <row r="796" spans="2:111" ht="9" customHeight="1">
      <c r="B796" s="229"/>
      <c r="C796" s="229"/>
      <c r="D796" s="229"/>
      <c r="E796" s="229"/>
      <c r="F796" s="229"/>
      <c r="G796" s="229"/>
      <c r="H796" s="229"/>
      <c r="I796" s="229"/>
      <c r="J796" s="229"/>
      <c r="K796" s="229"/>
      <c r="L796" s="229"/>
      <c r="M796" s="229"/>
      <c r="N796" s="229"/>
      <c r="P796" s="230"/>
      <c r="Q796" s="230"/>
      <c r="R796" s="230"/>
      <c r="S796" s="230"/>
      <c r="T796" s="230"/>
      <c r="U796" s="230"/>
      <c r="V796" s="230"/>
      <c r="W796" s="230"/>
      <c r="X796" s="230"/>
      <c r="Y796" s="230"/>
      <c r="Z796" s="230"/>
      <c r="AA796" s="230"/>
      <c r="AB796" s="230"/>
      <c r="AC796" s="230"/>
      <c r="AD796" s="230"/>
      <c r="AE796" s="230"/>
      <c r="AF796" s="230"/>
      <c r="AG796" s="230"/>
      <c r="AH796" s="230"/>
      <c r="AI796" s="230"/>
      <c r="AJ796" s="230"/>
      <c r="AK796" s="230"/>
      <c r="AL796" s="230"/>
      <c r="AM796" s="230"/>
      <c r="AN796" s="230"/>
      <c r="AO796" s="230"/>
      <c r="AP796" s="230"/>
      <c r="AQ796" s="230"/>
      <c r="AS796" s="231"/>
      <c r="AT796" s="231"/>
      <c r="AU796" s="231"/>
      <c r="AV796" s="231"/>
      <c r="AW796" s="231"/>
      <c r="AX796" s="231"/>
      <c r="AY796" s="231"/>
      <c r="AZ796" s="231"/>
      <c r="BA796" s="231"/>
      <c r="BC796" s="82"/>
      <c r="BD796" s="82"/>
      <c r="BE796" s="82"/>
      <c r="BF796" s="82"/>
      <c r="BG796" s="82"/>
      <c r="BH796" s="82"/>
      <c r="BI796" s="82"/>
      <c r="BJ796" s="82"/>
      <c r="BK796" s="82"/>
      <c r="BL796" s="82"/>
      <c r="BM796" s="82"/>
      <c r="BN796" s="82"/>
      <c r="BO796" s="82"/>
      <c r="BP796" s="82"/>
      <c r="BQ796" s="82"/>
      <c r="BR796" s="82"/>
      <c r="BS796" s="82"/>
      <c r="BT796" s="82"/>
      <c r="BU796" s="82"/>
      <c r="BV796" s="82"/>
      <c r="BW796" s="82"/>
      <c r="BX796" s="82"/>
      <c r="BY796" s="82"/>
      <c r="BZ796" s="82"/>
      <c r="CA796" s="82"/>
      <c r="CB796" s="82"/>
      <c r="CC796" s="82"/>
      <c r="CD796" s="82"/>
      <c r="CE796" s="82"/>
      <c r="CF796" s="82"/>
      <c r="CG796" s="82"/>
      <c r="CH796" s="82"/>
      <c r="CI796" s="82"/>
      <c r="CJ796" s="82"/>
      <c r="CK796" s="82"/>
      <c r="CL796" s="82"/>
      <c r="CM796" s="82"/>
      <c r="CN796" s="82"/>
      <c r="CO796" s="82"/>
      <c r="CP796" s="82"/>
      <c r="CQ796" s="82"/>
      <c r="CR796" s="82"/>
      <c r="CS796" s="82"/>
      <c r="CT796" s="82"/>
      <c r="CU796" s="82"/>
      <c r="CV796" s="82"/>
      <c r="CW796" s="82"/>
      <c r="CX796" s="82"/>
      <c r="CY796" s="82"/>
      <c r="CZ796" s="82"/>
      <c r="DA796" s="82"/>
      <c r="DB796" s="82"/>
      <c r="DC796" s="82"/>
      <c r="DD796" s="82"/>
      <c r="DE796" s="82"/>
      <c r="DF796" s="82"/>
      <c r="DG796" s="82"/>
    </row>
    <row r="797" spans="2:111" ht="9" customHeight="1">
      <c r="B797" s="229"/>
      <c r="C797" s="229"/>
      <c r="D797" s="229"/>
      <c r="E797" s="229"/>
      <c r="F797" s="229"/>
      <c r="G797" s="229"/>
      <c r="H797" s="229"/>
      <c r="I797" s="229"/>
      <c r="J797" s="229"/>
      <c r="K797" s="229"/>
      <c r="L797" s="229"/>
      <c r="M797" s="229"/>
      <c r="N797" s="229"/>
      <c r="P797" s="230"/>
      <c r="Q797" s="230"/>
      <c r="R797" s="230"/>
      <c r="S797" s="230"/>
      <c r="T797" s="230"/>
      <c r="U797" s="230"/>
      <c r="V797" s="230"/>
      <c r="W797" s="230"/>
      <c r="X797" s="230"/>
      <c r="Y797" s="230"/>
      <c r="Z797" s="230"/>
      <c r="AA797" s="230"/>
      <c r="AB797" s="230"/>
      <c r="AC797" s="230"/>
      <c r="AD797" s="230"/>
      <c r="AE797" s="230"/>
      <c r="AF797" s="230"/>
      <c r="AG797" s="230"/>
      <c r="AH797" s="230"/>
      <c r="AI797" s="230"/>
      <c r="AJ797" s="230"/>
      <c r="AK797" s="230"/>
      <c r="AL797" s="230"/>
      <c r="AM797" s="230"/>
      <c r="AN797" s="230"/>
      <c r="AO797" s="230"/>
      <c r="AP797" s="230"/>
      <c r="AQ797" s="230"/>
      <c r="AS797" s="231"/>
      <c r="AT797" s="231"/>
      <c r="AU797" s="231"/>
      <c r="AV797" s="231"/>
      <c r="AW797" s="231"/>
      <c r="AX797" s="231"/>
      <c r="AY797" s="231"/>
      <c r="AZ797" s="231"/>
      <c r="BA797" s="231"/>
      <c r="BC797" s="82"/>
      <c r="BD797" s="82"/>
      <c r="BE797" s="82"/>
      <c r="BF797" s="82"/>
      <c r="BG797" s="82"/>
      <c r="BH797" s="82"/>
      <c r="BI797" s="82"/>
      <c r="BJ797" s="82"/>
      <c r="BK797" s="82"/>
      <c r="BL797" s="82"/>
      <c r="BM797" s="82"/>
      <c r="BN797" s="82"/>
      <c r="BO797" s="82"/>
      <c r="BP797" s="82"/>
      <c r="BQ797" s="82"/>
      <c r="BR797" s="82"/>
      <c r="BS797" s="82"/>
      <c r="BT797" s="82"/>
      <c r="BU797" s="82"/>
      <c r="BV797" s="82"/>
      <c r="BW797" s="82"/>
      <c r="BX797" s="82"/>
      <c r="BY797" s="82"/>
      <c r="BZ797" s="82"/>
      <c r="CA797" s="82"/>
      <c r="CB797" s="82"/>
      <c r="CC797" s="82"/>
      <c r="CD797" s="82"/>
      <c r="CE797" s="82"/>
      <c r="CF797" s="82"/>
      <c r="CG797" s="82"/>
      <c r="CH797" s="82"/>
      <c r="CI797" s="82"/>
      <c r="CJ797" s="82"/>
      <c r="CK797" s="82"/>
      <c r="CL797" s="82"/>
      <c r="CM797" s="82"/>
      <c r="CN797" s="82"/>
      <c r="CO797" s="82"/>
      <c r="CP797" s="82"/>
      <c r="CQ797" s="82"/>
      <c r="CR797" s="82"/>
      <c r="CS797" s="82"/>
      <c r="CT797" s="82"/>
      <c r="CU797" s="82"/>
      <c r="CV797" s="82"/>
      <c r="CW797" s="82"/>
      <c r="CX797" s="82"/>
      <c r="CY797" s="82"/>
      <c r="CZ797" s="82"/>
      <c r="DA797" s="82"/>
      <c r="DB797" s="82"/>
      <c r="DC797" s="82"/>
      <c r="DD797" s="82"/>
      <c r="DE797" s="82"/>
      <c r="DF797" s="82"/>
      <c r="DG797" s="82"/>
    </row>
    <row r="798" spans="2:111" ht="9" customHeight="1">
      <c r="B798" s="229"/>
      <c r="C798" s="229"/>
      <c r="D798" s="229"/>
      <c r="E798" s="229"/>
      <c r="F798" s="229"/>
      <c r="G798" s="229"/>
      <c r="H798" s="229"/>
      <c r="I798" s="229"/>
      <c r="J798" s="229"/>
      <c r="K798" s="229"/>
      <c r="L798" s="229"/>
      <c r="M798" s="229"/>
      <c r="N798" s="229"/>
      <c r="P798" s="230"/>
      <c r="Q798" s="230"/>
      <c r="R798" s="230"/>
      <c r="S798" s="230"/>
      <c r="T798" s="230"/>
      <c r="U798" s="230"/>
      <c r="V798" s="230"/>
      <c r="W798" s="230"/>
      <c r="X798" s="230"/>
      <c r="Y798" s="230"/>
      <c r="Z798" s="230"/>
      <c r="AA798" s="230"/>
      <c r="AB798" s="230"/>
      <c r="AC798" s="230"/>
      <c r="AD798" s="230"/>
      <c r="AE798" s="230"/>
      <c r="AF798" s="230"/>
      <c r="AG798" s="230"/>
      <c r="AH798" s="230"/>
      <c r="AI798" s="230"/>
      <c r="AJ798" s="230"/>
      <c r="AK798" s="230"/>
      <c r="AL798" s="230"/>
      <c r="AM798" s="230"/>
      <c r="AN798" s="230"/>
      <c r="AO798" s="230"/>
      <c r="AP798" s="230"/>
      <c r="AQ798" s="230"/>
      <c r="AS798" s="231"/>
      <c r="AT798" s="231"/>
      <c r="AU798" s="231"/>
      <c r="AV798" s="231"/>
      <c r="AW798" s="231"/>
      <c r="AX798" s="231"/>
      <c r="AY798" s="231"/>
      <c r="AZ798" s="231"/>
      <c r="BA798" s="231"/>
      <c r="BC798" s="82"/>
      <c r="BD798" s="82"/>
      <c r="BE798" s="82"/>
      <c r="BF798" s="82"/>
      <c r="BG798" s="82"/>
      <c r="BH798" s="82"/>
      <c r="BI798" s="82"/>
      <c r="BJ798" s="82"/>
      <c r="BK798" s="82"/>
      <c r="BL798" s="82"/>
      <c r="BM798" s="82"/>
      <c r="BN798" s="82"/>
      <c r="BO798" s="82"/>
      <c r="BP798" s="82"/>
      <c r="BQ798" s="82"/>
      <c r="BR798" s="82"/>
      <c r="BS798" s="82"/>
      <c r="BT798" s="82"/>
      <c r="BU798" s="82"/>
      <c r="BV798" s="82"/>
      <c r="BW798" s="82"/>
      <c r="BX798" s="82"/>
      <c r="BY798" s="82"/>
      <c r="BZ798" s="82"/>
      <c r="CA798" s="82"/>
      <c r="CB798" s="82"/>
      <c r="CC798" s="82"/>
      <c r="CD798" s="82"/>
      <c r="CE798" s="82"/>
      <c r="CF798" s="82"/>
      <c r="CG798" s="82"/>
      <c r="CH798" s="82"/>
      <c r="CI798" s="82"/>
      <c r="CJ798" s="82"/>
      <c r="CK798" s="82"/>
      <c r="CL798" s="82"/>
      <c r="CM798" s="82"/>
      <c r="CN798" s="82"/>
      <c r="CO798" s="82"/>
      <c r="CP798" s="82"/>
      <c r="CQ798" s="82"/>
      <c r="CR798" s="82"/>
      <c r="CS798" s="82"/>
      <c r="CT798" s="82"/>
      <c r="CU798" s="82"/>
      <c r="CV798" s="82"/>
      <c r="CW798" s="82"/>
      <c r="CX798" s="82"/>
      <c r="CY798" s="82"/>
      <c r="CZ798" s="82"/>
      <c r="DA798" s="82"/>
      <c r="DB798" s="82"/>
      <c r="DC798" s="82"/>
      <c r="DD798" s="82"/>
      <c r="DE798" s="82"/>
      <c r="DF798" s="82"/>
      <c r="DG798" s="82"/>
    </row>
    <row r="799" spans="2:111" ht="9" customHeight="1">
      <c r="B799" s="229"/>
      <c r="C799" s="229"/>
      <c r="D799" s="229"/>
      <c r="E799" s="229"/>
      <c r="F799" s="229"/>
      <c r="G799" s="229"/>
      <c r="H799" s="229"/>
      <c r="I799" s="229"/>
      <c r="J799" s="229"/>
      <c r="K799" s="229"/>
      <c r="L799" s="229"/>
      <c r="M799" s="229"/>
      <c r="N799" s="229"/>
      <c r="P799" s="230"/>
      <c r="Q799" s="230"/>
      <c r="R799" s="230"/>
      <c r="S799" s="230"/>
      <c r="T799" s="230"/>
      <c r="U799" s="230"/>
      <c r="V799" s="230"/>
      <c r="W799" s="230"/>
      <c r="X799" s="230"/>
      <c r="Y799" s="230"/>
      <c r="Z799" s="230"/>
      <c r="AA799" s="230"/>
      <c r="AB799" s="230"/>
      <c r="AC799" s="230"/>
      <c r="AD799" s="230"/>
      <c r="AE799" s="230"/>
      <c r="AF799" s="230"/>
      <c r="AG799" s="230"/>
      <c r="AH799" s="230"/>
      <c r="AI799" s="230"/>
      <c r="AJ799" s="230"/>
      <c r="AK799" s="230"/>
      <c r="AL799" s="230"/>
      <c r="AM799" s="230"/>
      <c r="AN799" s="230"/>
      <c r="AO799" s="230"/>
      <c r="AP799" s="230"/>
      <c r="AQ799" s="230"/>
      <c r="AS799" s="231"/>
      <c r="AT799" s="231"/>
      <c r="AU799" s="231"/>
      <c r="AV799" s="231"/>
      <c r="AW799" s="231"/>
      <c r="AX799" s="231"/>
      <c r="AY799" s="231"/>
      <c r="AZ799" s="231"/>
      <c r="BA799" s="231"/>
      <c r="BC799" s="82"/>
      <c r="BD799" s="82"/>
      <c r="BE799" s="82"/>
      <c r="BF799" s="82"/>
      <c r="BG799" s="82"/>
      <c r="BH799" s="82"/>
      <c r="BI799" s="82"/>
      <c r="BJ799" s="82"/>
      <c r="BK799" s="82"/>
      <c r="BL799" s="82"/>
      <c r="BM799" s="82"/>
      <c r="BN799" s="82"/>
      <c r="BO799" s="82"/>
      <c r="BP799" s="82"/>
      <c r="BQ799" s="82"/>
      <c r="BR799" s="82"/>
      <c r="BS799" s="82"/>
      <c r="BT799" s="82"/>
      <c r="BU799" s="82"/>
      <c r="BV799" s="82"/>
      <c r="BW799" s="82"/>
      <c r="BX799" s="82"/>
      <c r="BY799" s="82"/>
      <c r="BZ799" s="82"/>
      <c r="CA799" s="82"/>
      <c r="CB799" s="82"/>
      <c r="CC799" s="82"/>
      <c r="CD799" s="82"/>
      <c r="CE799" s="82"/>
      <c r="CF799" s="82"/>
      <c r="CG799" s="82"/>
      <c r="CH799" s="82"/>
      <c r="CI799" s="82"/>
      <c r="CJ799" s="82"/>
      <c r="CK799" s="82"/>
      <c r="CL799" s="82"/>
      <c r="CM799" s="82"/>
      <c r="CN799" s="82"/>
      <c r="CO799" s="82"/>
      <c r="CP799" s="82"/>
      <c r="CQ799" s="82"/>
      <c r="CR799" s="82"/>
      <c r="CS799" s="82"/>
      <c r="CT799" s="82"/>
      <c r="CU799" s="82"/>
      <c r="CV799" s="82"/>
      <c r="CW799" s="82"/>
      <c r="CX799" s="82"/>
      <c r="CY799" s="82"/>
      <c r="CZ799" s="82"/>
      <c r="DA799" s="82"/>
      <c r="DB799" s="82"/>
      <c r="DC799" s="82"/>
      <c r="DD799" s="82"/>
      <c r="DE799" s="82"/>
      <c r="DF799" s="82"/>
      <c r="DG799" s="82"/>
    </row>
    <row r="800" spans="2:111" ht="12" customHeight="1">
      <c r="BC800" s="82"/>
      <c r="BD800" s="82"/>
      <c r="BE800" s="82"/>
      <c r="BF800" s="82"/>
      <c r="BG800" s="82"/>
      <c r="BH800" s="82"/>
      <c r="BI800" s="82"/>
      <c r="BJ800" s="82"/>
      <c r="BK800" s="82"/>
      <c r="BL800" s="82"/>
      <c r="BM800" s="82"/>
      <c r="BN800" s="82"/>
      <c r="BO800" s="82"/>
      <c r="BP800" s="82"/>
      <c r="BQ800" s="82"/>
      <c r="BR800" s="82"/>
      <c r="BS800" s="82"/>
      <c r="BT800" s="82"/>
      <c r="BU800" s="82"/>
      <c r="BV800" s="82"/>
      <c r="BW800" s="82"/>
      <c r="BX800" s="82"/>
      <c r="BY800" s="82"/>
      <c r="BZ800" s="82"/>
      <c r="CA800" s="82"/>
      <c r="CB800" s="82"/>
      <c r="CC800" s="82"/>
      <c r="CD800" s="82"/>
      <c r="CE800" s="82"/>
      <c r="CF800" s="82"/>
      <c r="CG800" s="82"/>
      <c r="CH800" s="82"/>
      <c r="CI800" s="82"/>
      <c r="CJ800" s="82"/>
      <c r="CK800" s="82"/>
      <c r="CL800" s="82"/>
      <c r="CM800" s="82"/>
      <c r="CN800" s="82"/>
      <c r="CO800" s="82"/>
      <c r="CP800" s="82"/>
      <c r="CQ800" s="82"/>
      <c r="CR800" s="82"/>
      <c r="CS800" s="82"/>
      <c r="CT800" s="82"/>
      <c r="CU800" s="82"/>
      <c r="CV800" s="82"/>
      <c r="CW800" s="82"/>
      <c r="CX800" s="82"/>
      <c r="CY800" s="82"/>
      <c r="CZ800" s="82"/>
      <c r="DA800" s="82"/>
      <c r="DB800" s="82"/>
      <c r="DC800" s="82"/>
      <c r="DD800" s="82"/>
      <c r="DE800" s="82"/>
      <c r="DF800" s="82"/>
      <c r="DG800" s="82"/>
    </row>
    <row r="801" spans="2:111" ht="9" customHeight="1">
      <c r="B801" s="232" t="str">
        <f>IF($U$752&gt;=3,"Etapa 2.3","")</f>
        <v/>
      </c>
      <c r="C801" s="232"/>
      <c r="D801" s="232"/>
      <c r="E801" s="232"/>
      <c r="F801" s="232"/>
      <c r="G801" s="232"/>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c r="AI801" s="233"/>
      <c r="AJ801" s="233"/>
      <c r="AK801" s="233"/>
      <c r="AL801" s="233"/>
      <c r="AM801" s="233"/>
      <c r="AN801" s="233"/>
      <c r="AO801" s="233"/>
      <c r="AP801" s="233"/>
      <c r="AQ801" s="233"/>
      <c r="AS801" s="234" t="str">
        <f>IF(SUM(AS807:BA822)=0,"",SUM(AS807:BA822))</f>
        <v/>
      </c>
      <c r="AT801" s="234"/>
      <c r="AU801" s="234"/>
      <c r="AV801" s="234"/>
      <c r="AW801" s="234"/>
      <c r="AX801" s="234"/>
      <c r="AY801" s="234"/>
      <c r="AZ801" s="234"/>
      <c r="BA801" s="234"/>
      <c r="BC801" s="82"/>
      <c r="BD801" s="82"/>
      <c r="BE801" s="82"/>
      <c r="BF801" s="82"/>
      <c r="BG801" s="82"/>
      <c r="BH801" s="82"/>
      <c r="BI801" s="82"/>
      <c r="BJ801" s="82"/>
      <c r="BK801" s="82"/>
      <c r="BL801" s="82"/>
      <c r="BM801" s="82"/>
      <c r="BN801" s="82"/>
      <c r="BO801" s="82"/>
      <c r="BP801" s="82"/>
      <c r="BQ801" s="82"/>
      <c r="BR801" s="82"/>
      <c r="BS801" s="82"/>
      <c r="BT801" s="82"/>
      <c r="BU801" s="82"/>
      <c r="BV801" s="82"/>
      <c r="BW801" s="82"/>
      <c r="BX801" s="82"/>
      <c r="BY801" s="82"/>
      <c r="BZ801" s="82"/>
      <c r="CA801" s="82"/>
      <c r="CB801" s="82"/>
      <c r="CC801" s="82"/>
      <c r="CD801" s="82"/>
      <c r="CE801" s="82"/>
      <c r="CF801" s="82"/>
      <c r="CG801" s="82"/>
      <c r="CH801" s="82"/>
      <c r="CI801" s="82"/>
      <c r="CJ801" s="82"/>
      <c r="CK801" s="82"/>
      <c r="CL801" s="82"/>
      <c r="CM801" s="82"/>
      <c r="CN801" s="82"/>
      <c r="CO801" s="82"/>
      <c r="CP801" s="82"/>
      <c r="CQ801" s="82"/>
      <c r="CR801" s="82"/>
      <c r="CS801" s="82"/>
      <c r="CT801" s="82"/>
      <c r="CU801" s="82"/>
      <c r="CV801" s="82"/>
      <c r="CW801" s="82"/>
      <c r="CX801" s="82"/>
      <c r="CY801" s="82"/>
      <c r="CZ801" s="82"/>
      <c r="DA801" s="82"/>
      <c r="DB801" s="82"/>
      <c r="DC801" s="82"/>
      <c r="DD801" s="82"/>
      <c r="DE801" s="82"/>
      <c r="DF801" s="82"/>
      <c r="DG801" s="82"/>
    </row>
    <row r="802" spans="2:111" ht="9" customHeight="1">
      <c r="B802" s="232"/>
      <c r="C802" s="232"/>
      <c r="D802" s="232"/>
      <c r="E802" s="232"/>
      <c r="F802" s="232"/>
      <c r="G802" s="232"/>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c r="AI802" s="233"/>
      <c r="AJ802" s="233"/>
      <c r="AK802" s="233"/>
      <c r="AL802" s="233"/>
      <c r="AM802" s="233"/>
      <c r="AN802" s="233"/>
      <c r="AO802" s="233"/>
      <c r="AP802" s="233"/>
      <c r="AQ802" s="233"/>
      <c r="AS802" s="234"/>
      <c r="AT802" s="234"/>
      <c r="AU802" s="234"/>
      <c r="AV802" s="234"/>
      <c r="AW802" s="234"/>
      <c r="AX802" s="234"/>
      <c r="AY802" s="234"/>
      <c r="AZ802" s="234"/>
      <c r="BA802" s="234"/>
      <c r="BC802" s="82"/>
      <c r="BD802" s="82"/>
      <c r="BE802" s="82"/>
      <c r="BF802" s="82"/>
      <c r="BG802" s="82"/>
      <c r="BH802" s="82"/>
      <c r="BI802" s="82"/>
      <c r="BJ802" s="82"/>
      <c r="BK802" s="82"/>
      <c r="BL802" s="82"/>
      <c r="BM802" s="82"/>
      <c r="BN802" s="82"/>
      <c r="BO802" s="82"/>
      <c r="BP802" s="82"/>
      <c r="BQ802" s="82"/>
      <c r="BR802" s="82"/>
      <c r="BS802" s="82"/>
      <c r="BT802" s="82"/>
      <c r="BU802" s="82"/>
      <c r="BV802" s="82"/>
      <c r="BW802" s="82"/>
      <c r="BX802" s="82"/>
      <c r="BY802" s="82"/>
      <c r="BZ802" s="82"/>
      <c r="CA802" s="82"/>
      <c r="CB802" s="82"/>
      <c r="CC802" s="82"/>
      <c r="CD802" s="82"/>
      <c r="CE802" s="82"/>
      <c r="CF802" s="82"/>
      <c r="CG802" s="82"/>
      <c r="CH802" s="82"/>
      <c r="CI802" s="82"/>
      <c r="CJ802" s="82"/>
      <c r="CK802" s="82"/>
      <c r="CL802" s="82"/>
      <c r="CM802" s="82"/>
      <c r="CN802" s="82"/>
      <c r="CO802" s="82"/>
      <c r="CP802" s="82"/>
      <c r="CQ802" s="82"/>
      <c r="CR802" s="82"/>
      <c r="CS802" s="82"/>
      <c r="CT802" s="82"/>
      <c r="CU802" s="82"/>
      <c r="CV802" s="82"/>
      <c r="CW802" s="82"/>
      <c r="CX802" s="82"/>
      <c r="CY802" s="82"/>
      <c r="CZ802" s="82"/>
      <c r="DA802" s="82"/>
      <c r="DB802" s="82"/>
      <c r="DC802" s="82"/>
      <c r="DD802" s="82"/>
      <c r="DE802" s="82"/>
      <c r="DF802" s="82"/>
      <c r="DG802" s="82"/>
    </row>
    <row r="803" spans="2:111" ht="4.5" customHeight="1">
      <c r="BC803" s="82"/>
      <c r="BD803" s="82"/>
      <c r="BE803" s="82"/>
      <c r="BF803" s="82"/>
      <c r="BG803" s="82"/>
      <c r="BH803" s="82"/>
      <c r="BI803" s="82"/>
      <c r="BJ803" s="82"/>
      <c r="BK803" s="82"/>
      <c r="BL803" s="82"/>
      <c r="BM803" s="82"/>
      <c r="BN803" s="82"/>
      <c r="BO803" s="82"/>
      <c r="BP803" s="82"/>
      <c r="BQ803" s="82"/>
      <c r="BR803" s="82"/>
      <c r="BS803" s="82"/>
      <c r="BT803" s="82"/>
      <c r="BU803" s="82"/>
      <c r="BV803" s="82"/>
      <c r="BW803" s="82"/>
      <c r="BX803" s="82"/>
      <c r="BY803" s="82"/>
      <c r="BZ803" s="82"/>
      <c r="CA803" s="82"/>
      <c r="CB803" s="82"/>
      <c r="CC803" s="82"/>
      <c r="CD803" s="82"/>
      <c r="CE803" s="82"/>
      <c r="CF803" s="82"/>
      <c r="CG803" s="82"/>
      <c r="CH803" s="82"/>
      <c r="CI803" s="82"/>
      <c r="CJ803" s="82"/>
      <c r="CK803" s="82"/>
      <c r="CL803" s="82"/>
      <c r="CM803" s="82"/>
      <c r="CN803" s="82"/>
      <c r="CO803" s="82"/>
      <c r="CP803" s="82"/>
      <c r="CQ803" s="82"/>
      <c r="CR803" s="82"/>
      <c r="CS803" s="82"/>
      <c r="CT803" s="82"/>
      <c r="CU803" s="82"/>
      <c r="CV803" s="82"/>
      <c r="CW803" s="82"/>
      <c r="CX803" s="82"/>
      <c r="CY803" s="82"/>
      <c r="CZ803" s="82"/>
      <c r="DA803" s="82"/>
      <c r="DB803" s="82"/>
      <c r="DC803" s="82"/>
      <c r="DD803" s="82"/>
      <c r="DE803" s="82"/>
      <c r="DF803" s="82"/>
      <c r="DG803" s="82"/>
    </row>
    <row r="804" spans="2:111" ht="9" customHeight="1">
      <c r="I804" s="229" t="str">
        <f>IF($U$752&gt;=3,"Início:","")</f>
        <v/>
      </c>
      <c r="J804" s="229"/>
      <c r="K804" s="229"/>
      <c r="L804" s="229"/>
      <c r="M804" s="229"/>
      <c r="N804" s="229"/>
      <c r="P804" s="235"/>
      <c r="Q804" s="235"/>
      <c r="R804" s="235"/>
      <c r="S804" s="235"/>
      <c r="T804" s="235"/>
      <c r="U804" s="235"/>
      <c r="V804" s="235"/>
      <c r="W804" s="235"/>
      <c r="Y804" s="229" t="str">
        <f>IF($U$752&gt;=3,"Término:","")</f>
        <v/>
      </c>
      <c r="Z804" s="229"/>
      <c r="AA804" s="229"/>
      <c r="AB804" s="229"/>
      <c r="AC804" s="229"/>
      <c r="AD804" s="229"/>
      <c r="AF804" s="235"/>
      <c r="AG804" s="235"/>
      <c r="AH804" s="235"/>
      <c r="AI804" s="235"/>
      <c r="AJ804" s="235"/>
      <c r="AK804" s="235"/>
      <c r="AL804" s="235"/>
      <c r="AM804" s="235"/>
      <c r="AW804" s="236" t="str">
        <f>IF($U$752&gt;=3,"Valor (R$):","")</f>
        <v/>
      </c>
      <c r="AX804" s="236"/>
      <c r="AY804" s="236"/>
      <c r="AZ804" s="236"/>
      <c r="BA804" s="236"/>
      <c r="BC804" s="82"/>
      <c r="BD804" s="82"/>
      <c r="BE804" s="82"/>
      <c r="BF804" s="82"/>
      <c r="BG804" s="82"/>
      <c r="BH804" s="82"/>
      <c r="BI804" s="82"/>
      <c r="BJ804" s="82"/>
      <c r="BK804" s="82"/>
      <c r="BL804" s="82"/>
      <c r="BM804" s="82"/>
      <c r="BN804" s="82"/>
      <c r="BO804" s="82"/>
      <c r="BP804" s="82"/>
      <c r="BQ804" s="82"/>
      <c r="BR804" s="82"/>
      <c r="BS804" s="82"/>
      <c r="BT804" s="82"/>
      <c r="BU804" s="82"/>
      <c r="BV804" s="82"/>
      <c r="BW804" s="82"/>
      <c r="BX804" s="82"/>
      <c r="BY804" s="82"/>
      <c r="BZ804" s="82"/>
      <c r="CA804" s="82"/>
      <c r="CB804" s="82"/>
      <c r="CC804" s="82"/>
      <c r="CD804" s="82"/>
      <c r="CE804" s="82"/>
      <c r="CF804" s="82"/>
      <c r="CG804" s="82"/>
      <c r="CH804" s="82"/>
      <c r="CI804" s="82"/>
      <c r="CJ804" s="82"/>
      <c r="CK804" s="82"/>
      <c r="CL804" s="82"/>
      <c r="CM804" s="82"/>
      <c r="CN804" s="82"/>
      <c r="CO804" s="82"/>
      <c r="CP804" s="82"/>
      <c r="CQ804" s="82"/>
      <c r="CR804" s="82"/>
      <c r="CS804" s="82"/>
      <c r="CT804" s="82"/>
      <c r="CU804" s="82"/>
      <c r="CV804" s="82"/>
      <c r="CW804" s="82"/>
      <c r="CX804" s="82"/>
      <c r="CY804" s="82"/>
      <c r="CZ804" s="82"/>
      <c r="DA804" s="82"/>
      <c r="DB804" s="82"/>
      <c r="DC804" s="82"/>
      <c r="DD804" s="82"/>
      <c r="DE804" s="82"/>
      <c r="DF804" s="82"/>
      <c r="DG804" s="82"/>
    </row>
    <row r="805" spans="2:111" ht="9" customHeight="1">
      <c r="I805" s="229"/>
      <c r="J805" s="229"/>
      <c r="K805" s="229"/>
      <c r="L805" s="229"/>
      <c r="M805" s="229"/>
      <c r="N805" s="229"/>
      <c r="P805" s="235"/>
      <c r="Q805" s="235"/>
      <c r="R805" s="235"/>
      <c r="S805" s="235"/>
      <c r="T805" s="235"/>
      <c r="U805" s="235"/>
      <c r="V805" s="235"/>
      <c r="W805" s="235"/>
      <c r="Y805" s="229"/>
      <c r="Z805" s="229"/>
      <c r="AA805" s="229"/>
      <c r="AB805" s="229"/>
      <c r="AC805" s="229"/>
      <c r="AD805" s="229"/>
      <c r="AF805" s="235"/>
      <c r="AG805" s="235"/>
      <c r="AH805" s="235"/>
      <c r="AI805" s="235"/>
      <c r="AJ805" s="235"/>
      <c r="AK805" s="235"/>
      <c r="AL805" s="235"/>
      <c r="AM805" s="235"/>
      <c r="AW805" s="236"/>
      <c r="AX805" s="236"/>
      <c r="AY805" s="236"/>
      <c r="AZ805" s="236"/>
      <c r="BA805" s="236"/>
      <c r="BC805" s="82"/>
      <c r="BD805" s="82"/>
      <c r="BE805" s="82"/>
      <c r="BF805" s="82"/>
      <c r="BG805" s="82"/>
      <c r="BH805" s="82"/>
      <c r="BI805" s="82"/>
      <c r="BJ805" s="82"/>
      <c r="BK805" s="82"/>
      <c r="BL805" s="82"/>
      <c r="BM805" s="82"/>
      <c r="BN805" s="82"/>
      <c r="BO805" s="82"/>
      <c r="BP805" s="82"/>
      <c r="BQ805" s="82"/>
      <c r="BR805" s="82"/>
      <c r="BS805" s="82"/>
      <c r="BT805" s="82"/>
      <c r="BU805" s="82"/>
      <c r="BV805" s="82"/>
      <c r="BW805" s="82"/>
      <c r="BX805" s="82"/>
      <c r="BY805" s="82"/>
      <c r="BZ805" s="82"/>
      <c r="CA805" s="82"/>
      <c r="CB805" s="82"/>
      <c r="CC805" s="82"/>
      <c r="CD805" s="82"/>
      <c r="CE805" s="82"/>
      <c r="CF805" s="82"/>
      <c r="CG805" s="82"/>
      <c r="CH805" s="82"/>
      <c r="CI805" s="82"/>
      <c r="CJ805" s="82"/>
      <c r="CK805" s="82"/>
      <c r="CL805" s="82"/>
      <c r="CM805" s="82"/>
      <c r="CN805" s="82"/>
      <c r="CO805" s="82"/>
      <c r="CP805" s="82"/>
      <c r="CQ805" s="82"/>
      <c r="CR805" s="82"/>
      <c r="CS805" s="82"/>
      <c r="CT805" s="82"/>
      <c r="CU805" s="82"/>
      <c r="CV805" s="82"/>
      <c r="CW805" s="82"/>
      <c r="CX805" s="82"/>
      <c r="CY805" s="82"/>
      <c r="CZ805" s="82"/>
      <c r="DA805" s="82"/>
      <c r="DB805" s="82"/>
      <c r="DC805" s="82"/>
      <c r="DD805" s="82"/>
      <c r="DE805" s="82"/>
      <c r="DF805" s="82"/>
      <c r="DG805" s="82"/>
    </row>
    <row r="806" spans="2:111" ht="4.5" customHeight="1">
      <c r="BC806" s="82"/>
      <c r="BD806" s="82"/>
      <c r="BE806" s="82"/>
      <c r="BF806" s="82"/>
      <c r="BG806" s="82"/>
      <c r="BH806" s="82"/>
      <c r="BI806" s="82"/>
      <c r="BJ806" s="82"/>
      <c r="BK806" s="82"/>
      <c r="BL806" s="82"/>
      <c r="BM806" s="82"/>
      <c r="BN806" s="82"/>
      <c r="BO806" s="82"/>
      <c r="BP806" s="82"/>
      <c r="BQ806" s="82"/>
      <c r="BR806" s="82"/>
      <c r="BS806" s="82"/>
      <c r="BT806" s="82"/>
      <c r="BU806" s="82"/>
      <c r="BV806" s="82"/>
      <c r="BW806" s="82"/>
      <c r="BX806" s="82"/>
      <c r="BY806" s="82"/>
      <c r="BZ806" s="82"/>
      <c r="CA806" s="82"/>
      <c r="CB806" s="82"/>
      <c r="CC806" s="82"/>
      <c r="CD806" s="82"/>
      <c r="CE806" s="82"/>
      <c r="CF806" s="82"/>
      <c r="CG806" s="82"/>
      <c r="CH806" s="82"/>
      <c r="CI806" s="82"/>
      <c r="CJ806" s="82"/>
      <c r="CK806" s="82"/>
      <c r="CL806" s="82"/>
      <c r="CM806" s="82"/>
      <c r="CN806" s="82"/>
      <c r="CO806" s="82"/>
      <c r="CP806" s="82"/>
      <c r="CQ806" s="82"/>
      <c r="CR806" s="82"/>
      <c r="CS806" s="82"/>
      <c r="CT806" s="82"/>
      <c r="CU806" s="82"/>
      <c r="CV806" s="82"/>
      <c r="CW806" s="82"/>
      <c r="CX806" s="82"/>
      <c r="CY806" s="82"/>
      <c r="CZ806" s="82"/>
      <c r="DA806" s="82"/>
      <c r="DB806" s="82"/>
      <c r="DC806" s="82"/>
      <c r="DD806" s="82"/>
      <c r="DE806" s="82"/>
      <c r="DF806" s="82"/>
      <c r="DG806" s="82"/>
    </row>
    <row r="807" spans="2:111" ht="9" customHeight="1">
      <c r="B807" s="229" t="str">
        <f>IF($U$752&gt;=3,"Elementos de Despesa:","")</f>
        <v/>
      </c>
      <c r="C807" s="229"/>
      <c r="D807" s="229"/>
      <c r="E807" s="229"/>
      <c r="F807" s="229"/>
      <c r="G807" s="229"/>
      <c r="H807" s="229"/>
      <c r="I807" s="229"/>
      <c r="J807" s="229"/>
      <c r="K807" s="229"/>
      <c r="L807" s="229"/>
      <c r="M807" s="229"/>
      <c r="N807" s="229"/>
      <c r="P807" s="230"/>
      <c r="Q807" s="230"/>
      <c r="R807" s="230"/>
      <c r="S807" s="230"/>
      <c r="T807" s="230"/>
      <c r="U807" s="230"/>
      <c r="V807" s="230"/>
      <c r="W807" s="230"/>
      <c r="X807" s="230"/>
      <c r="Y807" s="230"/>
      <c r="Z807" s="230"/>
      <c r="AA807" s="230"/>
      <c r="AB807" s="230"/>
      <c r="AC807" s="230"/>
      <c r="AD807" s="230"/>
      <c r="AE807" s="230"/>
      <c r="AF807" s="230"/>
      <c r="AG807" s="230"/>
      <c r="AH807" s="230"/>
      <c r="AI807" s="230"/>
      <c r="AJ807" s="230"/>
      <c r="AK807" s="230"/>
      <c r="AL807" s="230"/>
      <c r="AM807" s="230"/>
      <c r="AN807" s="230"/>
      <c r="AO807" s="230"/>
      <c r="AP807" s="230"/>
      <c r="AQ807" s="230"/>
      <c r="AS807" s="231"/>
      <c r="AT807" s="231"/>
      <c r="AU807" s="231"/>
      <c r="AV807" s="231"/>
      <c r="AW807" s="231"/>
      <c r="AX807" s="231"/>
      <c r="AY807" s="231"/>
      <c r="AZ807" s="231"/>
      <c r="BA807" s="231"/>
      <c r="BC807" s="82"/>
      <c r="BD807" s="82"/>
      <c r="BE807" s="82"/>
      <c r="BF807" s="82"/>
      <c r="BG807" s="82"/>
      <c r="BH807" s="82"/>
      <c r="BI807" s="82"/>
      <c r="BJ807" s="82"/>
      <c r="BK807" s="82"/>
      <c r="BL807" s="82"/>
      <c r="BM807" s="82"/>
      <c r="BN807" s="82"/>
      <c r="BO807" s="82"/>
      <c r="BP807" s="82"/>
      <c r="BQ807" s="82"/>
      <c r="BR807" s="82"/>
      <c r="BS807" s="82"/>
      <c r="BT807" s="82"/>
      <c r="BU807" s="82"/>
      <c r="BV807" s="82"/>
      <c r="BW807" s="82"/>
      <c r="BX807" s="82"/>
      <c r="BY807" s="82"/>
      <c r="BZ807" s="82"/>
      <c r="CA807" s="82"/>
      <c r="CB807" s="82"/>
      <c r="CC807" s="82"/>
      <c r="CD807" s="82"/>
      <c r="CE807" s="82"/>
      <c r="CF807" s="82"/>
      <c r="CG807" s="82"/>
      <c r="CH807" s="82"/>
      <c r="CI807" s="82"/>
      <c r="CJ807" s="82"/>
      <c r="CK807" s="82"/>
      <c r="CL807" s="82"/>
      <c r="CM807" s="82"/>
      <c r="CN807" s="82"/>
      <c r="CO807" s="82"/>
      <c r="CP807" s="82"/>
      <c r="CQ807" s="82"/>
      <c r="CR807" s="82"/>
      <c r="CS807" s="82"/>
      <c r="CT807" s="82"/>
      <c r="CU807" s="82"/>
      <c r="CV807" s="82"/>
      <c r="CW807" s="82"/>
      <c r="CX807" s="82"/>
      <c r="CY807" s="82"/>
      <c r="CZ807" s="82"/>
      <c r="DA807" s="82"/>
      <c r="DB807" s="82"/>
      <c r="DC807" s="82"/>
      <c r="DD807" s="82"/>
      <c r="DE807" s="82"/>
      <c r="DF807" s="82"/>
      <c r="DG807" s="82"/>
    </row>
    <row r="808" spans="2:111" ht="9" customHeight="1">
      <c r="B808" s="229"/>
      <c r="C808" s="229"/>
      <c r="D808" s="229"/>
      <c r="E808" s="229"/>
      <c r="F808" s="229"/>
      <c r="G808" s="229"/>
      <c r="H808" s="229"/>
      <c r="I808" s="229"/>
      <c r="J808" s="229"/>
      <c r="K808" s="229"/>
      <c r="L808" s="229"/>
      <c r="M808" s="229"/>
      <c r="N808" s="229"/>
      <c r="P808" s="230"/>
      <c r="Q808" s="230"/>
      <c r="R808" s="230"/>
      <c r="S808" s="230"/>
      <c r="T808" s="230"/>
      <c r="U808" s="230"/>
      <c r="V808" s="230"/>
      <c r="W808" s="230"/>
      <c r="X808" s="230"/>
      <c r="Y808" s="230"/>
      <c r="Z808" s="230"/>
      <c r="AA808" s="230"/>
      <c r="AB808" s="230"/>
      <c r="AC808" s="230"/>
      <c r="AD808" s="230"/>
      <c r="AE808" s="230"/>
      <c r="AF808" s="230"/>
      <c r="AG808" s="230"/>
      <c r="AH808" s="230"/>
      <c r="AI808" s="230"/>
      <c r="AJ808" s="230"/>
      <c r="AK808" s="230"/>
      <c r="AL808" s="230"/>
      <c r="AM808" s="230"/>
      <c r="AN808" s="230"/>
      <c r="AO808" s="230"/>
      <c r="AP808" s="230"/>
      <c r="AQ808" s="230"/>
      <c r="AS808" s="231"/>
      <c r="AT808" s="231"/>
      <c r="AU808" s="231"/>
      <c r="AV808" s="231"/>
      <c r="AW808" s="231"/>
      <c r="AX808" s="231"/>
      <c r="AY808" s="231"/>
      <c r="AZ808" s="231"/>
      <c r="BA808" s="231"/>
      <c r="BC808" s="82"/>
      <c r="BD808" s="82"/>
      <c r="BE808" s="82"/>
      <c r="BF808" s="82"/>
      <c r="BG808" s="82"/>
      <c r="BH808" s="82"/>
      <c r="BI808" s="82"/>
      <c r="BJ808" s="82"/>
      <c r="BK808" s="82"/>
      <c r="BL808" s="82"/>
      <c r="BM808" s="82"/>
      <c r="BN808" s="82"/>
      <c r="BO808" s="82"/>
      <c r="BP808" s="82"/>
      <c r="BQ808" s="82"/>
      <c r="BR808" s="82"/>
      <c r="BS808" s="82"/>
      <c r="BT808" s="82"/>
      <c r="BU808" s="82"/>
      <c r="BV808" s="82"/>
      <c r="BW808" s="82"/>
      <c r="BX808" s="82"/>
      <c r="BY808" s="82"/>
      <c r="BZ808" s="82"/>
      <c r="CA808" s="82"/>
      <c r="CB808" s="82"/>
      <c r="CC808" s="82"/>
      <c r="CD808" s="82"/>
      <c r="CE808" s="82"/>
      <c r="CF808" s="82"/>
      <c r="CG808" s="82"/>
      <c r="CH808" s="82"/>
      <c r="CI808" s="82"/>
      <c r="CJ808" s="82"/>
      <c r="CK808" s="82"/>
      <c r="CL808" s="82"/>
      <c r="CM808" s="82"/>
      <c r="CN808" s="82"/>
      <c r="CO808" s="82"/>
      <c r="CP808" s="82"/>
      <c r="CQ808" s="82"/>
      <c r="CR808" s="82"/>
      <c r="CS808" s="82"/>
      <c r="CT808" s="82"/>
      <c r="CU808" s="82"/>
      <c r="CV808" s="82"/>
      <c r="CW808" s="82"/>
      <c r="CX808" s="82"/>
      <c r="CY808" s="82"/>
      <c r="CZ808" s="82"/>
      <c r="DA808" s="82"/>
      <c r="DB808" s="82"/>
      <c r="DC808" s="82"/>
      <c r="DD808" s="82"/>
      <c r="DE808" s="82"/>
      <c r="DF808" s="82"/>
      <c r="DG808" s="82"/>
    </row>
    <row r="809" spans="2:111" ht="9" customHeight="1">
      <c r="B809" s="229"/>
      <c r="C809" s="229"/>
      <c r="D809" s="229"/>
      <c r="E809" s="229"/>
      <c r="F809" s="229"/>
      <c r="G809" s="229"/>
      <c r="H809" s="229"/>
      <c r="I809" s="229"/>
      <c r="J809" s="229"/>
      <c r="K809" s="229"/>
      <c r="L809" s="229"/>
      <c r="M809" s="229"/>
      <c r="N809" s="229"/>
      <c r="P809" s="230"/>
      <c r="Q809" s="230"/>
      <c r="R809" s="230"/>
      <c r="S809" s="230"/>
      <c r="T809" s="230"/>
      <c r="U809" s="230"/>
      <c r="V809" s="230"/>
      <c r="W809" s="230"/>
      <c r="X809" s="230"/>
      <c r="Y809" s="230"/>
      <c r="Z809" s="230"/>
      <c r="AA809" s="230"/>
      <c r="AB809" s="230"/>
      <c r="AC809" s="230"/>
      <c r="AD809" s="230"/>
      <c r="AE809" s="230"/>
      <c r="AF809" s="230"/>
      <c r="AG809" s="230"/>
      <c r="AH809" s="230"/>
      <c r="AI809" s="230"/>
      <c r="AJ809" s="230"/>
      <c r="AK809" s="230"/>
      <c r="AL809" s="230"/>
      <c r="AM809" s="230"/>
      <c r="AN809" s="230"/>
      <c r="AO809" s="230"/>
      <c r="AP809" s="230"/>
      <c r="AQ809" s="230"/>
      <c r="AS809" s="231"/>
      <c r="AT809" s="231"/>
      <c r="AU809" s="231"/>
      <c r="AV809" s="231"/>
      <c r="AW809" s="231"/>
      <c r="AX809" s="231"/>
      <c r="AY809" s="231"/>
      <c r="AZ809" s="231"/>
      <c r="BA809" s="231"/>
      <c r="BC809" s="82"/>
      <c r="BD809" s="82"/>
      <c r="BE809" s="82"/>
      <c r="BF809" s="82"/>
      <c r="BG809" s="82"/>
      <c r="BH809" s="82"/>
      <c r="BI809" s="82"/>
      <c r="BJ809" s="82"/>
      <c r="BK809" s="82"/>
      <c r="BL809" s="82"/>
      <c r="BM809" s="82"/>
      <c r="BN809" s="82"/>
      <c r="BO809" s="82"/>
      <c r="BP809" s="82"/>
      <c r="BQ809" s="82"/>
      <c r="BR809" s="82"/>
      <c r="BS809" s="82"/>
      <c r="BT809" s="82"/>
      <c r="BU809" s="82"/>
      <c r="BV809" s="82"/>
      <c r="BW809" s="82"/>
      <c r="BX809" s="82"/>
      <c r="BY809" s="82"/>
      <c r="BZ809" s="82"/>
      <c r="CA809" s="82"/>
      <c r="CB809" s="82"/>
      <c r="CC809" s="82"/>
      <c r="CD809" s="82"/>
      <c r="CE809" s="82"/>
      <c r="CF809" s="82"/>
      <c r="CG809" s="82"/>
      <c r="CH809" s="82"/>
      <c r="CI809" s="82"/>
      <c r="CJ809" s="82"/>
      <c r="CK809" s="82"/>
      <c r="CL809" s="82"/>
      <c r="CM809" s="82"/>
      <c r="CN809" s="82"/>
      <c r="CO809" s="82"/>
      <c r="CP809" s="82"/>
      <c r="CQ809" s="82"/>
      <c r="CR809" s="82"/>
      <c r="CS809" s="82"/>
      <c r="CT809" s="82"/>
      <c r="CU809" s="82"/>
      <c r="CV809" s="82"/>
      <c r="CW809" s="82"/>
      <c r="CX809" s="82"/>
      <c r="CY809" s="82"/>
      <c r="CZ809" s="82"/>
      <c r="DA809" s="82"/>
      <c r="DB809" s="82"/>
      <c r="DC809" s="82"/>
      <c r="DD809" s="82"/>
      <c r="DE809" s="82"/>
      <c r="DF809" s="82"/>
      <c r="DG809" s="82"/>
    </row>
    <row r="810" spans="2:111" ht="9" customHeight="1">
      <c r="B810" s="229"/>
      <c r="C810" s="229"/>
      <c r="D810" s="229"/>
      <c r="E810" s="229"/>
      <c r="F810" s="229"/>
      <c r="G810" s="229"/>
      <c r="H810" s="229"/>
      <c r="I810" s="229"/>
      <c r="J810" s="229"/>
      <c r="K810" s="229"/>
      <c r="L810" s="229"/>
      <c r="M810" s="229"/>
      <c r="N810" s="229"/>
      <c r="P810" s="230"/>
      <c r="Q810" s="230"/>
      <c r="R810" s="230"/>
      <c r="S810" s="230"/>
      <c r="T810" s="230"/>
      <c r="U810" s="230"/>
      <c r="V810" s="230"/>
      <c r="W810" s="230"/>
      <c r="X810" s="230"/>
      <c r="Y810" s="230"/>
      <c r="Z810" s="230"/>
      <c r="AA810" s="230"/>
      <c r="AB810" s="230"/>
      <c r="AC810" s="230"/>
      <c r="AD810" s="230"/>
      <c r="AE810" s="230"/>
      <c r="AF810" s="230"/>
      <c r="AG810" s="230"/>
      <c r="AH810" s="230"/>
      <c r="AI810" s="230"/>
      <c r="AJ810" s="230"/>
      <c r="AK810" s="230"/>
      <c r="AL810" s="230"/>
      <c r="AM810" s="230"/>
      <c r="AN810" s="230"/>
      <c r="AO810" s="230"/>
      <c r="AP810" s="230"/>
      <c r="AQ810" s="230"/>
      <c r="AS810" s="231"/>
      <c r="AT810" s="231"/>
      <c r="AU810" s="231"/>
      <c r="AV810" s="231"/>
      <c r="AW810" s="231"/>
      <c r="AX810" s="231"/>
      <c r="AY810" s="231"/>
      <c r="AZ810" s="231"/>
      <c r="BA810" s="231"/>
      <c r="BC810" s="82"/>
      <c r="BD810" s="82"/>
      <c r="BE810" s="82"/>
      <c r="BF810" s="82"/>
      <c r="BG810" s="82"/>
      <c r="BH810" s="82"/>
      <c r="BI810" s="82"/>
      <c r="BJ810" s="82"/>
      <c r="BK810" s="82"/>
      <c r="BL810" s="82"/>
      <c r="BM810" s="82"/>
      <c r="BN810" s="82"/>
      <c r="BO810" s="82"/>
      <c r="BP810" s="82"/>
      <c r="BQ810" s="82"/>
      <c r="BR810" s="82"/>
      <c r="BS810" s="82"/>
      <c r="BT810" s="82"/>
      <c r="BU810" s="82"/>
      <c r="BV810" s="82"/>
      <c r="BW810" s="82"/>
      <c r="BX810" s="82"/>
      <c r="BY810" s="82"/>
      <c r="BZ810" s="82"/>
      <c r="CA810" s="82"/>
      <c r="CB810" s="82"/>
      <c r="CC810" s="82"/>
      <c r="CD810" s="82"/>
      <c r="CE810" s="82"/>
      <c r="CF810" s="82"/>
      <c r="CG810" s="82"/>
      <c r="CH810" s="82"/>
      <c r="CI810" s="82"/>
      <c r="CJ810" s="82"/>
      <c r="CK810" s="82"/>
      <c r="CL810" s="82"/>
      <c r="CM810" s="82"/>
      <c r="CN810" s="82"/>
      <c r="CO810" s="82"/>
      <c r="CP810" s="82"/>
      <c r="CQ810" s="82"/>
      <c r="CR810" s="82"/>
      <c r="CS810" s="82"/>
      <c r="CT810" s="82"/>
      <c r="CU810" s="82"/>
      <c r="CV810" s="82"/>
      <c r="CW810" s="82"/>
      <c r="CX810" s="82"/>
      <c r="CY810" s="82"/>
      <c r="CZ810" s="82"/>
      <c r="DA810" s="82"/>
      <c r="DB810" s="82"/>
      <c r="DC810" s="82"/>
      <c r="DD810" s="82"/>
      <c r="DE810" s="82"/>
      <c r="DF810" s="82"/>
      <c r="DG810" s="82"/>
    </row>
    <row r="811" spans="2:111" ht="9" customHeight="1">
      <c r="B811" s="229"/>
      <c r="C811" s="229"/>
      <c r="D811" s="229"/>
      <c r="E811" s="229"/>
      <c r="F811" s="229"/>
      <c r="G811" s="229"/>
      <c r="H811" s="229"/>
      <c r="I811" s="229"/>
      <c r="J811" s="229"/>
      <c r="K811" s="229"/>
      <c r="L811" s="229"/>
      <c r="M811" s="229"/>
      <c r="N811" s="229"/>
      <c r="P811" s="230"/>
      <c r="Q811" s="230"/>
      <c r="R811" s="230"/>
      <c r="S811" s="230"/>
      <c r="T811" s="230"/>
      <c r="U811" s="230"/>
      <c r="V811" s="230"/>
      <c r="W811" s="230"/>
      <c r="X811" s="230"/>
      <c r="Y811" s="230"/>
      <c r="Z811" s="230"/>
      <c r="AA811" s="230"/>
      <c r="AB811" s="230"/>
      <c r="AC811" s="230"/>
      <c r="AD811" s="230"/>
      <c r="AE811" s="230"/>
      <c r="AF811" s="230"/>
      <c r="AG811" s="230"/>
      <c r="AH811" s="230"/>
      <c r="AI811" s="230"/>
      <c r="AJ811" s="230"/>
      <c r="AK811" s="230"/>
      <c r="AL811" s="230"/>
      <c r="AM811" s="230"/>
      <c r="AN811" s="230"/>
      <c r="AO811" s="230"/>
      <c r="AP811" s="230"/>
      <c r="AQ811" s="230"/>
      <c r="AS811" s="231"/>
      <c r="AT811" s="231"/>
      <c r="AU811" s="231"/>
      <c r="AV811" s="231"/>
      <c r="AW811" s="231"/>
      <c r="AX811" s="231"/>
      <c r="AY811" s="231"/>
      <c r="AZ811" s="231"/>
      <c r="BA811" s="231"/>
      <c r="BC811" s="82"/>
      <c r="BD811" s="82"/>
      <c r="BE811" s="82"/>
      <c r="BF811" s="82"/>
      <c r="BG811" s="82"/>
      <c r="BH811" s="82"/>
      <c r="BI811" s="82"/>
      <c r="BJ811" s="82"/>
      <c r="BK811" s="82"/>
      <c r="BL811" s="82"/>
      <c r="BM811" s="82"/>
      <c r="BN811" s="82"/>
      <c r="BO811" s="82"/>
      <c r="BP811" s="82"/>
      <c r="BQ811" s="82"/>
      <c r="BR811" s="82"/>
      <c r="BS811" s="82"/>
      <c r="BT811" s="82"/>
      <c r="BU811" s="82"/>
      <c r="BV811" s="82"/>
      <c r="BW811" s="82"/>
      <c r="BX811" s="82"/>
      <c r="BY811" s="82"/>
      <c r="BZ811" s="82"/>
      <c r="CA811" s="82"/>
      <c r="CB811" s="82"/>
      <c r="CC811" s="82"/>
      <c r="CD811" s="82"/>
      <c r="CE811" s="82"/>
      <c r="CF811" s="82"/>
      <c r="CG811" s="82"/>
      <c r="CH811" s="82"/>
      <c r="CI811" s="82"/>
      <c r="CJ811" s="82"/>
      <c r="CK811" s="82"/>
      <c r="CL811" s="82"/>
      <c r="CM811" s="82"/>
      <c r="CN811" s="82"/>
      <c r="CO811" s="82"/>
      <c r="CP811" s="82"/>
      <c r="CQ811" s="82"/>
      <c r="CR811" s="82"/>
      <c r="CS811" s="82"/>
      <c r="CT811" s="82"/>
      <c r="CU811" s="82"/>
      <c r="CV811" s="82"/>
      <c r="CW811" s="82"/>
      <c r="CX811" s="82"/>
      <c r="CY811" s="82"/>
      <c r="CZ811" s="82"/>
      <c r="DA811" s="82"/>
      <c r="DB811" s="82"/>
      <c r="DC811" s="82"/>
      <c r="DD811" s="82"/>
      <c r="DE811" s="82"/>
      <c r="DF811" s="82"/>
      <c r="DG811" s="82"/>
    </row>
    <row r="812" spans="2:111" ht="9" customHeight="1">
      <c r="B812" s="229"/>
      <c r="C812" s="229"/>
      <c r="D812" s="229"/>
      <c r="E812" s="229"/>
      <c r="F812" s="229"/>
      <c r="G812" s="229"/>
      <c r="H812" s="229"/>
      <c r="I812" s="229"/>
      <c r="J812" s="229"/>
      <c r="K812" s="229"/>
      <c r="L812" s="229"/>
      <c r="M812" s="229"/>
      <c r="N812" s="229"/>
      <c r="P812" s="230"/>
      <c r="Q812" s="230"/>
      <c r="R812" s="230"/>
      <c r="S812" s="230"/>
      <c r="T812" s="230"/>
      <c r="U812" s="230"/>
      <c r="V812" s="230"/>
      <c r="W812" s="230"/>
      <c r="X812" s="230"/>
      <c r="Y812" s="230"/>
      <c r="Z812" s="230"/>
      <c r="AA812" s="230"/>
      <c r="AB812" s="230"/>
      <c r="AC812" s="230"/>
      <c r="AD812" s="230"/>
      <c r="AE812" s="230"/>
      <c r="AF812" s="230"/>
      <c r="AG812" s="230"/>
      <c r="AH812" s="230"/>
      <c r="AI812" s="230"/>
      <c r="AJ812" s="230"/>
      <c r="AK812" s="230"/>
      <c r="AL812" s="230"/>
      <c r="AM812" s="230"/>
      <c r="AN812" s="230"/>
      <c r="AO812" s="230"/>
      <c r="AP812" s="230"/>
      <c r="AQ812" s="230"/>
      <c r="AS812" s="231"/>
      <c r="AT812" s="231"/>
      <c r="AU812" s="231"/>
      <c r="AV812" s="231"/>
      <c r="AW812" s="231"/>
      <c r="AX812" s="231"/>
      <c r="AY812" s="231"/>
      <c r="AZ812" s="231"/>
      <c r="BA812" s="231"/>
      <c r="BC812" s="82"/>
      <c r="BD812" s="82"/>
      <c r="BE812" s="82"/>
      <c r="BF812" s="82"/>
      <c r="BG812" s="82"/>
      <c r="BH812" s="82"/>
      <c r="BI812" s="82"/>
      <c r="BJ812" s="82"/>
      <c r="BK812" s="82"/>
      <c r="BL812" s="82"/>
      <c r="BM812" s="82"/>
      <c r="BN812" s="82"/>
      <c r="BO812" s="82"/>
      <c r="BP812" s="82"/>
      <c r="BQ812" s="82"/>
      <c r="BR812" s="82"/>
      <c r="BS812" s="82"/>
      <c r="BT812" s="82"/>
      <c r="BU812" s="82"/>
      <c r="BV812" s="82"/>
      <c r="BW812" s="82"/>
      <c r="BX812" s="82"/>
      <c r="BY812" s="82"/>
      <c r="BZ812" s="82"/>
      <c r="CA812" s="82"/>
      <c r="CB812" s="82"/>
      <c r="CC812" s="82"/>
      <c r="CD812" s="82"/>
      <c r="CE812" s="82"/>
      <c r="CF812" s="82"/>
      <c r="CG812" s="82"/>
      <c r="CH812" s="82"/>
      <c r="CI812" s="82"/>
      <c r="CJ812" s="82"/>
      <c r="CK812" s="82"/>
      <c r="CL812" s="82"/>
      <c r="CM812" s="82"/>
      <c r="CN812" s="82"/>
      <c r="CO812" s="82"/>
      <c r="CP812" s="82"/>
      <c r="CQ812" s="82"/>
      <c r="CR812" s="82"/>
      <c r="CS812" s="82"/>
      <c r="CT812" s="82"/>
      <c r="CU812" s="82"/>
      <c r="CV812" s="82"/>
      <c r="CW812" s="82"/>
      <c r="CX812" s="82"/>
      <c r="CY812" s="82"/>
      <c r="CZ812" s="82"/>
      <c r="DA812" s="82"/>
      <c r="DB812" s="82"/>
      <c r="DC812" s="82"/>
      <c r="DD812" s="82"/>
      <c r="DE812" s="82"/>
      <c r="DF812" s="82"/>
      <c r="DG812" s="82"/>
    </row>
    <row r="813" spans="2:111" ht="9" customHeight="1">
      <c r="B813" s="229"/>
      <c r="C813" s="229"/>
      <c r="D813" s="229"/>
      <c r="E813" s="229"/>
      <c r="F813" s="229"/>
      <c r="G813" s="229"/>
      <c r="H813" s="229"/>
      <c r="I813" s="229"/>
      <c r="J813" s="229"/>
      <c r="K813" s="229"/>
      <c r="L813" s="229"/>
      <c r="M813" s="229"/>
      <c r="N813" s="229"/>
      <c r="P813" s="230"/>
      <c r="Q813" s="230"/>
      <c r="R813" s="230"/>
      <c r="S813" s="230"/>
      <c r="T813" s="230"/>
      <c r="U813" s="230"/>
      <c r="V813" s="230"/>
      <c r="W813" s="230"/>
      <c r="X813" s="230"/>
      <c r="Y813" s="230"/>
      <c r="Z813" s="230"/>
      <c r="AA813" s="230"/>
      <c r="AB813" s="230"/>
      <c r="AC813" s="230"/>
      <c r="AD813" s="230"/>
      <c r="AE813" s="230"/>
      <c r="AF813" s="230"/>
      <c r="AG813" s="230"/>
      <c r="AH813" s="230"/>
      <c r="AI813" s="230"/>
      <c r="AJ813" s="230"/>
      <c r="AK813" s="230"/>
      <c r="AL813" s="230"/>
      <c r="AM813" s="230"/>
      <c r="AN813" s="230"/>
      <c r="AO813" s="230"/>
      <c r="AP813" s="230"/>
      <c r="AQ813" s="230"/>
      <c r="AS813" s="231"/>
      <c r="AT813" s="231"/>
      <c r="AU813" s="231"/>
      <c r="AV813" s="231"/>
      <c r="AW813" s="231"/>
      <c r="AX813" s="231"/>
      <c r="AY813" s="231"/>
      <c r="AZ813" s="231"/>
      <c r="BA813" s="231"/>
      <c r="BC813" s="82"/>
      <c r="BD813" s="82"/>
      <c r="BE813" s="82"/>
      <c r="BF813" s="82"/>
      <c r="BG813" s="82"/>
      <c r="BH813" s="82"/>
      <c r="BI813" s="82"/>
      <c r="BJ813" s="82"/>
      <c r="BK813" s="82"/>
      <c r="BL813" s="82"/>
      <c r="BM813" s="82"/>
      <c r="BN813" s="82"/>
      <c r="BO813" s="82"/>
      <c r="BP813" s="82"/>
      <c r="BQ813" s="82"/>
      <c r="BR813" s="82"/>
      <c r="BS813" s="82"/>
      <c r="BT813" s="82"/>
      <c r="BU813" s="82"/>
      <c r="BV813" s="82"/>
      <c r="BW813" s="82"/>
      <c r="BX813" s="82"/>
      <c r="BY813" s="82"/>
      <c r="BZ813" s="82"/>
      <c r="CA813" s="82"/>
      <c r="CB813" s="82"/>
      <c r="CC813" s="82"/>
      <c r="CD813" s="82"/>
      <c r="CE813" s="82"/>
      <c r="CF813" s="82"/>
      <c r="CG813" s="82"/>
      <c r="CH813" s="82"/>
      <c r="CI813" s="82"/>
      <c r="CJ813" s="82"/>
      <c r="CK813" s="82"/>
      <c r="CL813" s="82"/>
      <c r="CM813" s="82"/>
      <c r="CN813" s="82"/>
      <c r="CO813" s="82"/>
      <c r="CP813" s="82"/>
      <c r="CQ813" s="82"/>
      <c r="CR813" s="82"/>
      <c r="CS813" s="82"/>
      <c r="CT813" s="82"/>
      <c r="CU813" s="82"/>
      <c r="CV813" s="82"/>
      <c r="CW813" s="82"/>
      <c r="CX813" s="82"/>
      <c r="CY813" s="82"/>
      <c r="CZ813" s="82"/>
      <c r="DA813" s="82"/>
      <c r="DB813" s="82"/>
      <c r="DC813" s="82"/>
      <c r="DD813" s="82"/>
      <c r="DE813" s="82"/>
      <c r="DF813" s="82"/>
      <c r="DG813" s="82"/>
    </row>
    <row r="814" spans="2:111" ht="9" customHeight="1">
      <c r="B814" s="229"/>
      <c r="C814" s="229"/>
      <c r="D814" s="229"/>
      <c r="E814" s="229"/>
      <c r="F814" s="229"/>
      <c r="G814" s="229"/>
      <c r="H814" s="229"/>
      <c r="I814" s="229"/>
      <c r="J814" s="229"/>
      <c r="K814" s="229"/>
      <c r="L814" s="229"/>
      <c r="M814" s="229"/>
      <c r="N814" s="229"/>
      <c r="P814" s="230"/>
      <c r="Q814" s="230"/>
      <c r="R814" s="230"/>
      <c r="S814" s="230"/>
      <c r="T814" s="230"/>
      <c r="U814" s="230"/>
      <c r="V814" s="230"/>
      <c r="W814" s="230"/>
      <c r="X814" s="230"/>
      <c r="Y814" s="230"/>
      <c r="Z814" s="230"/>
      <c r="AA814" s="230"/>
      <c r="AB814" s="230"/>
      <c r="AC814" s="230"/>
      <c r="AD814" s="230"/>
      <c r="AE814" s="230"/>
      <c r="AF814" s="230"/>
      <c r="AG814" s="230"/>
      <c r="AH814" s="230"/>
      <c r="AI814" s="230"/>
      <c r="AJ814" s="230"/>
      <c r="AK814" s="230"/>
      <c r="AL814" s="230"/>
      <c r="AM814" s="230"/>
      <c r="AN814" s="230"/>
      <c r="AO814" s="230"/>
      <c r="AP814" s="230"/>
      <c r="AQ814" s="230"/>
      <c r="AS814" s="231"/>
      <c r="AT814" s="231"/>
      <c r="AU814" s="231"/>
      <c r="AV814" s="231"/>
      <c r="AW814" s="231"/>
      <c r="AX814" s="231"/>
      <c r="AY814" s="231"/>
      <c r="AZ814" s="231"/>
      <c r="BA814" s="231"/>
      <c r="BC814" s="82"/>
      <c r="BD814" s="82"/>
      <c r="BE814" s="82"/>
      <c r="BF814" s="82"/>
      <c r="BG814" s="82"/>
      <c r="BH814" s="82"/>
      <c r="BI814" s="82"/>
      <c r="BJ814" s="82"/>
      <c r="BK814" s="82"/>
      <c r="BL814" s="82"/>
      <c r="BM814" s="82"/>
      <c r="BN814" s="82"/>
      <c r="BO814" s="82"/>
      <c r="BP814" s="82"/>
      <c r="BQ814" s="82"/>
      <c r="BR814" s="82"/>
      <c r="BS814" s="82"/>
      <c r="BT814" s="82"/>
      <c r="BU814" s="82"/>
      <c r="BV814" s="82"/>
      <c r="BW814" s="82"/>
      <c r="BX814" s="82"/>
      <c r="BY814" s="82"/>
      <c r="BZ814" s="82"/>
      <c r="CA814" s="82"/>
      <c r="CB814" s="82"/>
      <c r="CC814" s="82"/>
      <c r="CD814" s="82"/>
      <c r="CE814" s="82"/>
      <c r="CF814" s="82"/>
      <c r="CG814" s="82"/>
      <c r="CH814" s="82"/>
      <c r="CI814" s="82"/>
      <c r="CJ814" s="82"/>
      <c r="CK814" s="82"/>
      <c r="CL814" s="82"/>
      <c r="CM814" s="82"/>
      <c r="CN814" s="82"/>
      <c r="CO814" s="82"/>
      <c r="CP814" s="82"/>
      <c r="CQ814" s="82"/>
      <c r="CR814" s="82"/>
      <c r="CS814" s="82"/>
      <c r="CT814" s="82"/>
      <c r="CU814" s="82"/>
      <c r="CV814" s="82"/>
      <c r="CW814" s="82"/>
      <c r="CX814" s="82"/>
      <c r="CY814" s="82"/>
      <c r="CZ814" s="82"/>
      <c r="DA814" s="82"/>
      <c r="DB814" s="82"/>
      <c r="DC814" s="82"/>
      <c r="DD814" s="82"/>
      <c r="DE814" s="82"/>
      <c r="DF814" s="82"/>
      <c r="DG814" s="82"/>
    </row>
    <row r="815" spans="2:111" ht="9" customHeight="1">
      <c r="B815" s="229"/>
      <c r="C815" s="229"/>
      <c r="D815" s="229"/>
      <c r="E815" s="229"/>
      <c r="F815" s="229"/>
      <c r="G815" s="229"/>
      <c r="H815" s="229"/>
      <c r="I815" s="229"/>
      <c r="J815" s="229"/>
      <c r="K815" s="229"/>
      <c r="L815" s="229"/>
      <c r="M815" s="229"/>
      <c r="N815" s="229"/>
      <c r="P815" s="230"/>
      <c r="Q815" s="230"/>
      <c r="R815" s="230"/>
      <c r="S815" s="230"/>
      <c r="T815" s="230"/>
      <c r="U815" s="230"/>
      <c r="V815" s="230"/>
      <c r="W815" s="230"/>
      <c r="X815" s="230"/>
      <c r="Y815" s="230"/>
      <c r="Z815" s="230"/>
      <c r="AA815" s="230"/>
      <c r="AB815" s="230"/>
      <c r="AC815" s="230"/>
      <c r="AD815" s="230"/>
      <c r="AE815" s="230"/>
      <c r="AF815" s="230"/>
      <c r="AG815" s="230"/>
      <c r="AH815" s="230"/>
      <c r="AI815" s="230"/>
      <c r="AJ815" s="230"/>
      <c r="AK815" s="230"/>
      <c r="AL815" s="230"/>
      <c r="AM815" s="230"/>
      <c r="AN815" s="230"/>
      <c r="AO815" s="230"/>
      <c r="AP815" s="230"/>
      <c r="AQ815" s="230"/>
      <c r="AS815" s="231"/>
      <c r="AT815" s="231"/>
      <c r="AU815" s="231"/>
      <c r="AV815" s="231"/>
      <c r="AW815" s="231"/>
      <c r="AX815" s="231"/>
      <c r="AY815" s="231"/>
      <c r="AZ815" s="231"/>
      <c r="BA815" s="231"/>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2"/>
      <c r="CB815" s="82"/>
      <c r="CC815" s="82"/>
      <c r="CD815" s="82"/>
      <c r="CE815" s="82"/>
      <c r="CF815" s="82"/>
      <c r="CG815" s="82"/>
      <c r="CH815" s="82"/>
      <c r="CI815" s="82"/>
      <c r="CJ815" s="82"/>
      <c r="CK815" s="82"/>
      <c r="CL815" s="82"/>
      <c r="CM815" s="82"/>
      <c r="CN815" s="82"/>
      <c r="CO815" s="82"/>
      <c r="CP815" s="82"/>
      <c r="CQ815" s="82"/>
      <c r="CR815" s="82"/>
      <c r="CS815" s="82"/>
      <c r="CT815" s="82"/>
      <c r="CU815" s="82"/>
      <c r="CV815" s="82"/>
      <c r="CW815" s="82"/>
      <c r="CX815" s="82"/>
      <c r="CY815" s="82"/>
      <c r="CZ815" s="82"/>
      <c r="DA815" s="82"/>
      <c r="DB815" s="82"/>
      <c r="DC815" s="82"/>
      <c r="DD815" s="82"/>
      <c r="DE815" s="82"/>
      <c r="DF815" s="82"/>
      <c r="DG815" s="82"/>
    </row>
    <row r="816" spans="2:111" ht="9" customHeight="1">
      <c r="B816" s="229"/>
      <c r="C816" s="229"/>
      <c r="D816" s="229"/>
      <c r="E816" s="229"/>
      <c r="F816" s="229"/>
      <c r="G816" s="229"/>
      <c r="H816" s="229"/>
      <c r="I816" s="229"/>
      <c r="J816" s="229"/>
      <c r="K816" s="229"/>
      <c r="L816" s="229"/>
      <c r="M816" s="229"/>
      <c r="N816" s="229"/>
      <c r="P816" s="230"/>
      <c r="Q816" s="230"/>
      <c r="R816" s="230"/>
      <c r="S816" s="230"/>
      <c r="T816" s="230"/>
      <c r="U816" s="230"/>
      <c r="V816" s="230"/>
      <c r="W816" s="230"/>
      <c r="X816" s="230"/>
      <c r="Y816" s="230"/>
      <c r="Z816" s="230"/>
      <c r="AA816" s="230"/>
      <c r="AB816" s="230"/>
      <c r="AC816" s="230"/>
      <c r="AD816" s="230"/>
      <c r="AE816" s="230"/>
      <c r="AF816" s="230"/>
      <c r="AG816" s="230"/>
      <c r="AH816" s="230"/>
      <c r="AI816" s="230"/>
      <c r="AJ816" s="230"/>
      <c r="AK816" s="230"/>
      <c r="AL816" s="230"/>
      <c r="AM816" s="230"/>
      <c r="AN816" s="230"/>
      <c r="AO816" s="230"/>
      <c r="AP816" s="230"/>
      <c r="AQ816" s="230"/>
      <c r="AS816" s="231"/>
      <c r="AT816" s="231"/>
      <c r="AU816" s="231"/>
      <c r="AV816" s="231"/>
      <c r="AW816" s="231"/>
      <c r="AX816" s="231"/>
      <c r="AY816" s="231"/>
      <c r="AZ816" s="231"/>
      <c r="BA816" s="231"/>
      <c r="BC816" s="82"/>
      <c r="BD816" s="82"/>
      <c r="BE816" s="82"/>
      <c r="BF816" s="82"/>
      <c r="BG816" s="82"/>
      <c r="BH816" s="82"/>
      <c r="BI816" s="82"/>
      <c r="BJ816" s="82"/>
      <c r="BK816" s="82"/>
      <c r="BL816" s="82"/>
      <c r="BM816" s="82"/>
      <c r="BN816" s="82"/>
      <c r="BO816" s="82"/>
      <c r="BP816" s="82"/>
      <c r="BQ816" s="82"/>
      <c r="BR816" s="82"/>
      <c r="BS816" s="82"/>
      <c r="BT816" s="82"/>
      <c r="BU816" s="82"/>
      <c r="BV816" s="82"/>
      <c r="BW816" s="82"/>
      <c r="BX816" s="82"/>
      <c r="BY816" s="82"/>
      <c r="BZ816" s="82"/>
      <c r="CA816" s="82"/>
      <c r="CB816" s="82"/>
      <c r="CC816" s="82"/>
      <c r="CD816" s="82"/>
      <c r="CE816" s="82"/>
      <c r="CF816" s="82"/>
      <c r="CG816" s="82"/>
      <c r="CH816" s="82"/>
      <c r="CI816" s="82"/>
      <c r="CJ816" s="82"/>
      <c r="CK816" s="82"/>
      <c r="CL816" s="82"/>
      <c r="CM816" s="82"/>
      <c r="CN816" s="82"/>
      <c r="CO816" s="82"/>
      <c r="CP816" s="82"/>
      <c r="CQ816" s="82"/>
      <c r="CR816" s="82"/>
      <c r="CS816" s="82"/>
      <c r="CT816" s="82"/>
      <c r="CU816" s="82"/>
      <c r="CV816" s="82"/>
      <c r="CW816" s="82"/>
      <c r="CX816" s="82"/>
      <c r="CY816" s="82"/>
      <c r="CZ816" s="82"/>
      <c r="DA816" s="82"/>
      <c r="DB816" s="82"/>
      <c r="DC816" s="82"/>
      <c r="DD816" s="82"/>
      <c r="DE816" s="82"/>
      <c r="DF816" s="82"/>
      <c r="DG816" s="82"/>
    </row>
    <row r="817" spans="2:111" ht="9" customHeight="1">
      <c r="B817" s="229"/>
      <c r="C817" s="229"/>
      <c r="D817" s="229"/>
      <c r="E817" s="229"/>
      <c r="F817" s="229"/>
      <c r="G817" s="229"/>
      <c r="H817" s="229"/>
      <c r="I817" s="229"/>
      <c r="J817" s="229"/>
      <c r="K817" s="229"/>
      <c r="L817" s="229"/>
      <c r="M817" s="229"/>
      <c r="N817" s="229"/>
      <c r="P817" s="230"/>
      <c r="Q817" s="230"/>
      <c r="R817" s="230"/>
      <c r="S817" s="230"/>
      <c r="T817" s="230"/>
      <c r="U817" s="230"/>
      <c r="V817" s="230"/>
      <c r="W817" s="230"/>
      <c r="X817" s="230"/>
      <c r="Y817" s="230"/>
      <c r="Z817" s="230"/>
      <c r="AA817" s="230"/>
      <c r="AB817" s="230"/>
      <c r="AC817" s="230"/>
      <c r="AD817" s="230"/>
      <c r="AE817" s="230"/>
      <c r="AF817" s="230"/>
      <c r="AG817" s="230"/>
      <c r="AH817" s="230"/>
      <c r="AI817" s="230"/>
      <c r="AJ817" s="230"/>
      <c r="AK817" s="230"/>
      <c r="AL817" s="230"/>
      <c r="AM817" s="230"/>
      <c r="AN817" s="230"/>
      <c r="AO817" s="230"/>
      <c r="AP817" s="230"/>
      <c r="AQ817" s="230"/>
      <c r="AS817" s="231"/>
      <c r="AT817" s="231"/>
      <c r="AU817" s="231"/>
      <c r="AV817" s="231"/>
      <c r="AW817" s="231"/>
      <c r="AX817" s="231"/>
      <c r="AY817" s="231"/>
      <c r="AZ817" s="231"/>
      <c r="BA817" s="231"/>
      <c r="BC817" s="82"/>
      <c r="BD817" s="82"/>
      <c r="BE817" s="82"/>
      <c r="BF817" s="82"/>
      <c r="BG817" s="82"/>
      <c r="BH817" s="82"/>
      <c r="BI817" s="82"/>
      <c r="BJ817" s="82"/>
      <c r="BK817" s="82"/>
      <c r="BL817" s="82"/>
      <c r="BM817" s="82"/>
      <c r="BN817" s="82"/>
      <c r="BO817" s="82"/>
      <c r="BP817" s="82"/>
      <c r="BQ817" s="82"/>
      <c r="BR817" s="82"/>
      <c r="BS817" s="82"/>
      <c r="BT817" s="82"/>
      <c r="BU817" s="82"/>
      <c r="BV817" s="82"/>
      <c r="BW817" s="82"/>
      <c r="BX817" s="82"/>
      <c r="BY817" s="82"/>
      <c r="BZ817" s="82"/>
      <c r="CA817" s="82"/>
      <c r="CB817" s="82"/>
      <c r="CC817" s="82"/>
      <c r="CD817" s="82"/>
      <c r="CE817" s="82"/>
      <c r="CF817" s="82"/>
      <c r="CG817" s="82"/>
      <c r="CH817" s="82"/>
      <c r="CI817" s="82"/>
      <c r="CJ817" s="82"/>
      <c r="CK817" s="82"/>
      <c r="CL817" s="82"/>
      <c r="CM817" s="82"/>
      <c r="CN817" s="82"/>
      <c r="CO817" s="82"/>
      <c r="CP817" s="82"/>
      <c r="CQ817" s="82"/>
      <c r="CR817" s="82"/>
      <c r="CS817" s="82"/>
      <c r="CT817" s="82"/>
      <c r="CU817" s="82"/>
      <c r="CV817" s="82"/>
      <c r="CW817" s="82"/>
      <c r="CX817" s="82"/>
      <c r="CY817" s="82"/>
      <c r="CZ817" s="82"/>
      <c r="DA817" s="82"/>
      <c r="DB817" s="82"/>
      <c r="DC817" s="82"/>
      <c r="DD817" s="82"/>
      <c r="DE817" s="82"/>
      <c r="DF817" s="82"/>
      <c r="DG817" s="82"/>
    </row>
    <row r="818" spans="2:111" ht="9" customHeight="1">
      <c r="B818" s="229"/>
      <c r="C818" s="229"/>
      <c r="D818" s="229"/>
      <c r="E818" s="229"/>
      <c r="F818" s="229"/>
      <c r="G818" s="229"/>
      <c r="H818" s="229"/>
      <c r="I818" s="229"/>
      <c r="J818" s="229"/>
      <c r="K818" s="229"/>
      <c r="L818" s="229"/>
      <c r="M818" s="229"/>
      <c r="N818" s="229"/>
      <c r="P818" s="230"/>
      <c r="Q818" s="230"/>
      <c r="R818" s="230"/>
      <c r="S818" s="230"/>
      <c r="T818" s="230"/>
      <c r="U818" s="230"/>
      <c r="V818" s="230"/>
      <c r="W818" s="230"/>
      <c r="X818" s="230"/>
      <c r="Y818" s="230"/>
      <c r="Z818" s="230"/>
      <c r="AA818" s="230"/>
      <c r="AB818" s="230"/>
      <c r="AC818" s="230"/>
      <c r="AD818" s="230"/>
      <c r="AE818" s="230"/>
      <c r="AF818" s="230"/>
      <c r="AG818" s="230"/>
      <c r="AH818" s="230"/>
      <c r="AI818" s="230"/>
      <c r="AJ818" s="230"/>
      <c r="AK818" s="230"/>
      <c r="AL818" s="230"/>
      <c r="AM818" s="230"/>
      <c r="AN818" s="230"/>
      <c r="AO818" s="230"/>
      <c r="AP818" s="230"/>
      <c r="AQ818" s="230"/>
      <c r="AS818" s="231"/>
      <c r="AT818" s="231"/>
      <c r="AU818" s="231"/>
      <c r="AV818" s="231"/>
      <c r="AW818" s="231"/>
      <c r="AX818" s="231"/>
      <c r="AY818" s="231"/>
      <c r="AZ818" s="231"/>
      <c r="BA818" s="231"/>
      <c r="BC818" s="82"/>
      <c r="BD818" s="82"/>
      <c r="BE818" s="82"/>
      <c r="BF818" s="82"/>
      <c r="BG818" s="82"/>
      <c r="BH818" s="82"/>
      <c r="BI818" s="82"/>
      <c r="BJ818" s="82"/>
      <c r="BK818" s="82"/>
      <c r="BL818" s="82"/>
      <c r="BM818" s="82"/>
      <c r="BN818" s="82"/>
      <c r="BO818" s="82"/>
      <c r="BP818" s="82"/>
      <c r="BQ818" s="82"/>
      <c r="BR818" s="82"/>
      <c r="BS818" s="82"/>
      <c r="BT818" s="82"/>
      <c r="BU818" s="82"/>
      <c r="BV818" s="82"/>
      <c r="BW818" s="82"/>
      <c r="BX818" s="82"/>
      <c r="BY818" s="82"/>
      <c r="BZ818" s="82"/>
      <c r="CA818" s="82"/>
      <c r="CB818" s="82"/>
      <c r="CC818" s="82"/>
      <c r="CD818" s="82"/>
      <c r="CE818" s="82"/>
      <c r="CF818" s="82"/>
      <c r="CG818" s="82"/>
      <c r="CH818" s="82"/>
      <c r="CI818" s="82"/>
      <c r="CJ818" s="82"/>
      <c r="CK818" s="82"/>
      <c r="CL818" s="82"/>
      <c r="CM818" s="82"/>
      <c r="CN818" s="82"/>
      <c r="CO818" s="82"/>
      <c r="CP818" s="82"/>
      <c r="CQ818" s="82"/>
      <c r="CR818" s="82"/>
      <c r="CS818" s="82"/>
      <c r="CT818" s="82"/>
      <c r="CU818" s="82"/>
      <c r="CV818" s="82"/>
      <c r="CW818" s="82"/>
      <c r="CX818" s="82"/>
      <c r="CY818" s="82"/>
      <c r="CZ818" s="82"/>
      <c r="DA818" s="82"/>
      <c r="DB818" s="82"/>
      <c r="DC818" s="82"/>
      <c r="DD818" s="82"/>
      <c r="DE818" s="82"/>
      <c r="DF818" s="82"/>
      <c r="DG818" s="82"/>
    </row>
    <row r="819" spans="2:111" ht="9" customHeight="1">
      <c r="B819" s="229"/>
      <c r="C819" s="229"/>
      <c r="D819" s="229"/>
      <c r="E819" s="229"/>
      <c r="F819" s="229"/>
      <c r="G819" s="229"/>
      <c r="H819" s="229"/>
      <c r="I819" s="229"/>
      <c r="J819" s="229"/>
      <c r="K819" s="229"/>
      <c r="L819" s="229"/>
      <c r="M819" s="229"/>
      <c r="N819" s="229"/>
      <c r="P819" s="230"/>
      <c r="Q819" s="230"/>
      <c r="R819" s="230"/>
      <c r="S819" s="230"/>
      <c r="T819" s="230"/>
      <c r="U819" s="230"/>
      <c r="V819" s="230"/>
      <c r="W819" s="230"/>
      <c r="X819" s="230"/>
      <c r="Y819" s="230"/>
      <c r="Z819" s="230"/>
      <c r="AA819" s="230"/>
      <c r="AB819" s="230"/>
      <c r="AC819" s="230"/>
      <c r="AD819" s="230"/>
      <c r="AE819" s="230"/>
      <c r="AF819" s="230"/>
      <c r="AG819" s="230"/>
      <c r="AH819" s="230"/>
      <c r="AI819" s="230"/>
      <c r="AJ819" s="230"/>
      <c r="AK819" s="230"/>
      <c r="AL819" s="230"/>
      <c r="AM819" s="230"/>
      <c r="AN819" s="230"/>
      <c r="AO819" s="230"/>
      <c r="AP819" s="230"/>
      <c r="AQ819" s="230"/>
      <c r="AS819" s="231"/>
      <c r="AT819" s="231"/>
      <c r="AU819" s="231"/>
      <c r="AV819" s="231"/>
      <c r="AW819" s="231"/>
      <c r="AX819" s="231"/>
      <c r="AY819" s="231"/>
      <c r="AZ819" s="231"/>
      <c r="BA819" s="231"/>
      <c r="BC819" s="82"/>
      <c r="BD819" s="82"/>
      <c r="BE819" s="82"/>
      <c r="BF819" s="82"/>
      <c r="BG819" s="82"/>
      <c r="BH819" s="82"/>
      <c r="BI819" s="82"/>
      <c r="BJ819" s="82"/>
      <c r="BK819" s="82"/>
      <c r="BL819" s="82"/>
      <c r="BM819" s="82"/>
      <c r="BN819" s="82"/>
      <c r="BO819" s="82"/>
      <c r="BP819" s="82"/>
      <c r="BQ819" s="82"/>
      <c r="BR819" s="82"/>
      <c r="BS819" s="82"/>
      <c r="BT819" s="82"/>
      <c r="BU819" s="82"/>
      <c r="BV819" s="82"/>
      <c r="BW819" s="82"/>
      <c r="BX819" s="82"/>
      <c r="BY819" s="82"/>
      <c r="BZ819" s="82"/>
      <c r="CA819" s="82"/>
      <c r="CB819" s="82"/>
      <c r="CC819" s="82"/>
      <c r="CD819" s="82"/>
      <c r="CE819" s="82"/>
      <c r="CF819" s="82"/>
      <c r="CG819" s="82"/>
      <c r="CH819" s="82"/>
      <c r="CI819" s="82"/>
      <c r="CJ819" s="82"/>
      <c r="CK819" s="82"/>
      <c r="CL819" s="82"/>
      <c r="CM819" s="82"/>
      <c r="CN819" s="82"/>
      <c r="CO819" s="82"/>
      <c r="CP819" s="82"/>
      <c r="CQ819" s="82"/>
      <c r="CR819" s="82"/>
      <c r="CS819" s="82"/>
      <c r="CT819" s="82"/>
      <c r="CU819" s="82"/>
      <c r="CV819" s="82"/>
      <c r="CW819" s="82"/>
      <c r="CX819" s="82"/>
      <c r="CY819" s="82"/>
      <c r="CZ819" s="82"/>
      <c r="DA819" s="82"/>
      <c r="DB819" s="82"/>
      <c r="DC819" s="82"/>
      <c r="DD819" s="82"/>
      <c r="DE819" s="82"/>
      <c r="DF819" s="82"/>
      <c r="DG819" s="82"/>
    </row>
    <row r="820" spans="2:111" ht="9" customHeight="1">
      <c r="B820" s="229"/>
      <c r="C820" s="229"/>
      <c r="D820" s="229"/>
      <c r="E820" s="229"/>
      <c r="F820" s="229"/>
      <c r="G820" s="229"/>
      <c r="H820" s="229"/>
      <c r="I820" s="229"/>
      <c r="J820" s="229"/>
      <c r="K820" s="229"/>
      <c r="L820" s="229"/>
      <c r="M820" s="229"/>
      <c r="N820" s="229"/>
      <c r="P820" s="230"/>
      <c r="Q820" s="230"/>
      <c r="R820" s="230"/>
      <c r="S820" s="230"/>
      <c r="T820" s="230"/>
      <c r="U820" s="230"/>
      <c r="V820" s="230"/>
      <c r="W820" s="230"/>
      <c r="X820" s="230"/>
      <c r="Y820" s="230"/>
      <c r="Z820" s="230"/>
      <c r="AA820" s="230"/>
      <c r="AB820" s="230"/>
      <c r="AC820" s="230"/>
      <c r="AD820" s="230"/>
      <c r="AE820" s="230"/>
      <c r="AF820" s="230"/>
      <c r="AG820" s="230"/>
      <c r="AH820" s="230"/>
      <c r="AI820" s="230"/>
      <c r="AJ820" s="230"/>
      <c r="AK820" s="230"/>
      <c r="AL820" s="230"/>
      <c r="AM820" s="230"/>
      <c r="AN820" s="230"/>
      <c r="AO820" s="230"/>
      <c r="AP820" s="230"/>
      <c r="AQ820" s="230"/>
      <c r="AS820" s="231"/>
      <c r="AT820" s="231"/>
      <c r="AU820" s="231"/>
      <c r="AV820" s="231"/>
      <c r="AW820" s="231"/>
      <c r="AX820" s="231"/>
      <c r="AY820" s="231"/>
      <c r="AZ820" s="231"/>
      <c r="BA820" s="231"/>
      <c r="BC820" s="82"/>
      <c r="BD820" s="82"/>
      <c r="BE820" s="82"/>
      <c r="BF820" s="82"/>
      <c r="BG820" s="82"/>
      <c r="BH820" s="82"/>
      <c r="BI820" s="82"/>
      <c r="BJ820" s="82"/>
      <c r="BK820" s="82"/>
      <c r="BL820" s="82"/>
      <c r="BM820" s="82"/>
      <c r="BN820" s="82"/>
      <c r="BO820" s="82"/>
      <c r="BP820" s="82"/>
      <c r="BQ820" s="82"/>
      <c r="BR820" s="82"/>
      <c r="BS820" s="82"/>
      <c r="BT820" s="82"/>
      <c r="BU820" s="82"/>
      <c r="BV820" s="82"/>
      <c r="BW820" s="82"/>
      <c r="BX820" s="82"/>
      <c r="BY820" s="82"/>
      <c r="BZ820" s="82"/>
      <c r="CA820" s="82"/>
      <c r="CB820" s="82"/>
      <c r="CC820" s="82"/>
      <c r="CD820" s="82"/>
      <c r="CE820" s="82"/>
      <c r="CF820" s="82"/>
      <c r="CG820" s="82"/>
      <c r="CH820" s="82"/>
      <c r="CI820" s="82"/>
      <c r="CJ820" s="82"/>
      <c r="CK820" s="82"/>
      <c r="CL820" s="82"/>
      <c r="CM820" s="82"/>
      <c r="CN820" s="82"/>
      <c r="CO820" s="82"/>
      <c r="CP820" s="82"/>
      <c r="CQ820" s="82"/>
      <c r="CR820" s="82"/>
      <c r="CS820" s="82"/>
      <c r="CT820" s="82"/>
      <c r="CU820" s="82"/>
      <c r="CV820" s="82"/>
      <c r="CW820" s="82"/>
      <c r="CX820" s="82"/>
      <c r="CY820" s="82"/>
      <c r="CZ820" s="82"/>
      <c r="DA820" s="82"/>
      <c r="DB820" s="82"/>
      <c r="DC820" s="82"/>
      <c r="DD820" s="82"/>
      <c r="DE820" s="82"/>
      <c r="DF820" s="82"/>
      <c r="DG820" s="82"/>
    </row>
    <row r="821" spans="2:111" ht="9" customHeight="1">
      <c r="B821" s="229"/>
      <c r="C821" s="229"/>
      <c r="D821" s="229"/>
      <c r="E821" s="229"/>
      <c r="F821" s="229"/>
      <c r="G821" s="229"/>
      <c r="H821" s="229"/>
      <c r="I821" s="229"/>
      <c r="J821" s="229"/>
      <c r="K821" s="229"/>
      <c r="L821" s="229"/>
      <c r="M821" s="229"/>
      <c r="N821" s="229"/>
      <c r="P821" s="230"/>
      <c r="Q821" s="230"/>
      <c r="R821" s="230"/>
      <c r="S821" s="230"/>
      <c r="T821" s="230"/>
      <c r="U821" s="230"/>
      <c r="V821" s="230"/>
      <c r="W821" s="230"/>
      <c r="X821" s="230"/>
      <c r="Y821" s="230"/>
      <c r="Z821" s="230"/>
      <c r="AA821" s="230"/>
      <c r="AB821" s="230"/>
      <c r="AC821" s="230"/>
      <c r="AD821" s="230"/>
      <c r="AE821" s="230"/>
      <c r="AF821" s="230"/>
      <c r="AG821" s="230"/>
      <c r="AH821" s="230"/>
      <c r="AI821" s="230"/>
      <c r="AJ821" s="230"/>
      <c r="AK821" s="230"/>
      <c r="AL821" s="230"/>
      <c r="AM821" s="230"/>
      <c r="AN821" s="230"/>
      <c r="AO821" s="230"/>
      <c r="AP821" s="230"/>
      <c r="AQ821" s="230"/>
      <c r="AS821" s="231"/>
      <c r="AT821" s="231"/>
      <c r="AU821" s="231"/>
      <c r="AV821" s="231"/>
      <c r="AW821" s="231"/>
      <c r="AX821" s="231"/>
      <c r="AY821" s="231"/>
      <c r="AZ821" s="231"/>
      <c r="BA821" s="231"/>
      <c r="BC821" s="82"/>
      <c r="BD821" s="82"/>
      <c r="BE821" s="82"/>
      <c r="BF821" s="82"/>
      <c r="BG821" s="82"/>
      <c r="BH821" s="82"/>
      <c r="BI821" s="82"/>
      <c r="BJ821" s="82"/>
      <c r="BK821" s="82"/>
      <c r="BL821" s="82"/>
      <c r="BM821" s="82"/>
      <c r="BN821" s="82"/>
      <c r="BO821" s="82"/>
      <c r="BP821" s="82"/>
      <c r="BQ821" s="82"/>
      <c r="BR821" s="82"/>
      <c r="BS821" s="82"/>
      <c r="BT821" s="82"/>
      <c r="BU821" s="82"/>
      <c r="BV821" s="82"/>
      <c r="BW821" s="82"/>
      <c r="BX821" s="82"/>
      <c r="BY821" s="82"/>
      <c r="BZ821" s="82"/>
      <c r="CA821" s="82"/>
      <c r="CB821" s="82"/>
      <c r="CC821" s="82"/>
      <c r="CD821" s="82"/>
      <c r="CE821" s="82"/>
      <c r="CF821" s="82"/>
      <c r="CG821" s="82"/>
      <c r="CH821" s="82"/>
      <c r="CI821" s="82"/>
      <c r="CJ821" s="82"/>
      <c r="CK821" s="82"/>
      <c r="CL821" s="82"/>
      <c r="CM821" s="82"/>
      <c r="CN821" s="82"/>
      <c r="CO821" s="82"/>
      <c r="CP821" s="82"/>
      <c r="CQ821" s="82"/>
      <c r="CR821" s="82"/>
      <c r="CS821" s="82"/>
      <c r="CT821" s="82"/>
      <c r="CU821" s="82"/>
      <c r="CV821" s="82"/>
      <c r="CW821" s="82"/>
      <c r="CX821" s="82"/>
      <c r="CY821" s="82"/>
      <c r="CZ821" s="82"/>
      <c r="DA821" s="82"/>
      <c r="DB821" s="82"/>
      <c r="DC821" s="82"/>
      <c r="DD821" s="82"/>
      <c r="DE821" s="82"/>
      <c r="DF821" s="82"/>
      <c r="DG821" s="82"/>
    </row>
    <row r="822" spans="2:111" ht="9" customHeight="1">
      <c r="B822" s="229"/>
      <c r="C822" s="229"/>
      <c r="D822" s="229"/>
      <c r="E822" s="229"/>
      <c r="F822" s="229"/>
      <c r="G822" s="229"/>
      <c r="H822" s="229"/>
      <c r="I822" s="229"/>
      <c r="J822" s="229"/>
      <c r="K822" s="229"/>
      <c r="L822" s="229"/>
      <c r="M822" s="229"/>
      <c r="N822" s="229"/>
      <c r="P822" s="230"/>
      <c r="Q822" s="230"/>
      <c r="R822" s="230"/>
      <c r="S822" s="230"/>
      <c r="T822" s="230"/>
      <c r="U822" s="230"/>
      <c r="V822" s="230"/>
      <c r="W822" s="230"/>
      <c r="X822" s="230"/>
      <c r="Y822" s="230"/>
      <c r="Z822" s="230"/>
      <c r="AA822" s="230"/>
      <c r="AB822" s="230"/>
      <c r="AC822" s="230"/>
      <c r="AD822" s="230"/>
      <c r="AE822" s="230"/>
      <c r="AF822" s="230"/>
      <c r="AG822" s="230"/>
      <c r="AH822" s="230"/>
      <c r="AI822" s="230"/>
      <c r="AJ822" s="230"/>
      <c r="AK822" s="230"/>
      <c r="AL822" s="230"/>
      <c r="AM822" s="230"/>
      <c r="AN822" s="230"/>
      <c r="AO822" s="230"/>
      <c r="AP822" s="230"/>
      <c r="AQ822" s="230"/>
      <c r="AS822" s="231"/>
      <c r="AT822" s="231"/>
      <c r="AU822" s="231"/>
      <c r="AV822" s="231"/>
      <c r="AW822" s="231"/>
      <c r="AX822" s="231"/>
      <c r="AY822" s="231"/>
      <c r="AZ822" s="231"/>
      <c r="BA822" s="231"/>
      <c r="BC822" s="82"/>
      <c r="BD822" s="82"/>
      <c r="BE822" s="82"/>
      <c r="BF822" s="82"/>
      <c r="BG822" s="82"/>
      <c r="BH822" s="82"/>
      <c r="BI822" s="82"/>
      <c r="BJ822" s="82"/>
      <c r="BK822" s="82"/>
      <c r="BL822" s="82"/>
      <c r="BM822" s="82"/>
      <c r="BN822" s="82"/>
      <c r="BO822" s="82"/>
      <c r="BP822" s="82"/>
      <c r="BQ822" s="82"/>
      <c r="BR822" s="82"/>
      <c r="BS822" s="82"/>
      <c r="BT822" s="82"/>
      <c r="BU822" s="82"/>
      <c r="BV822" s="82"/>
      <c r="BW822" s="82"/>
      <c r="BX822" s="82"/>
      <c r="BY822" s="82"/>
      <c r="BZ822" s="82"/>
      <c r="CA822" s="82"/>
      <c r="CB822" s="82"/>
      <c r="CC822" s="82"/>
      <c r="CD822" s="82"/>
      <c r="CE822" s="82"/>
      <c r="CF822" s="82"/>
      <c r="CG822" s="82"/>
      <c r="CH822" s="82"/>
      <c r="CI822" s="82"/>
      <c r="CJ822" s="82"/>
      <c r="CK822" s="82"/>
      <c r="CL822" s="82"/>
      <c r="CM822" s="82"/>
      <c r="CN822" s="82"/>
      <c r="CO822" s="82"/>
      <c r="CP822" s="82"/>
      <c r="CQ822" s="82"/>
      <c r="CR822" s="82"/>
      <c r="CS822" s="82"/>
      <c r="CT822" s="82"/>
      <c r="CU822" s="82"/>
      <c r="CV822" s="82"/>
      <c r="CW822" s="82"/>
      <c r="CX822" s="82"/>
      <c r="CY822" s="82"/>
      <c r="CZ822" s="82"/>
      <c r="DA822" s="82"/>
      <c r="DB822" s="82"/>
      <c r="DC822" s="82"/>
      <c r="DD822" s="82"/>
      <c r="DE822" s="82"/>
      <c r="DF822" s="82"/>
      <c r="DG822" s="82"/>
    </row>
    <row r="823" spans="2:111" ht="12" customHeight="1">
      <c r="BC823" s="82"/>
      <c r="BD823" s="82"/>
      <c r="BE823" s="82"/>
      <c r="BF823" s="82"/>
      <c r="BG823" s="82"/>
      <c r="BH823" s="82"/>
      <c r="BI823" s="82"/>
      <c r="BJ823" s="82"/>
      <c r="BK823" s="82"/>
      <c r="BL823" s="82"/>
      <c r="BM823" s="82"/>
      <c r="BN823" s="82"/>
      <c r="BO823" s="82"/>
      <c r="BP823" s="82"/>
      <c r="BQ823" s="82"/>
      <c r="BR823" s="82"/>
      <c r="BS823" s="82"/>
      <c r="BT823" s="82"/>
      <c r="BU823" s="82"/>
      <c r="BV823" s="82"/>
      <c r="BW823" s="82"/>
      <c r="BX823" s="82"/>
      <c r="BY823" s="82"/>
      <c r="BZ823" s="82"/>
      <c r="CA823" s="82"/>
      <c r="CB823" s="82"/>
      <c r="CC823" s="82"/>
      <c r="CD823" s="82"/>
      <c r="CE823" s="82"/>
      <c r="CF823" s="82"/>
      <c r="CG823" s="82"/>
      <c r="CH823" s="82"/>
      <c r="CI823" s="82"/>
      <c r="CJ823" s="82"/>
      <c r="CK823" s="82"/>
      <c r="CL823" s="82"/>
      <c r="CM823" s="82"/>
      <c r="CN823" s="82"/>
      <c r="CO823" s="82"/>
      <c r="CP823" s="82"/>
      <c r="CQ823" s="82"/>
      <c r="CR823" s="82"/>
      <c r="CS823" s="82"/>
      <c r="CT823" s="82"/>
      <c r="CU823" s="82"/>
      <c r="CV823" s="82"/>
      <c r="CW823" s="82"/>
      <c r="CX823" s="82"/>
      <c r="CY823" s="82"/>
      <c r="CZ823" s="82"/>
      <c r="DA823" s="82"/>
      <c r="DB823" s="82"/>
      <c r="DC823" s="82"/>
      <c r="DD823" s="82"/>
      <c r="DE823" s="82"/>
      <c r="DF823" s="82"/>
      <c r="DG823" s="82"/>
    </row>
    <row r="824" spans="2:111" ht="4.5" customHeight="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43"/>
      <c r="AW824" s="29"/>
      <c r="AX824" s="29"/>
      <c r="AY824" s="29"/>
      <c r="AZ824" s="29"/>
      <c r="BA824" s="29"/>
      <c r="BC824" s="82"/>
      <c r="BD824" s="82"/>
      <c r="BE824" s="82"/>
      <c r="BF824" s="82"/>
      <c r="BG824" s="82"/>
      <c r="BH824" s="82"/>
      <c r="BI824" s="82"/>
      <c r="BJ824" s="82"/>
      <c r="BK824" s="82"/>
      <c r="BL824" s="82"/>
      <c r="BM824" s="82"/>
      <c r="BN824" s="82"/>
      <c r="BO824" s="82"/>
      <c r="BP824" s="82"/>
      <c r="BQ824" s="82"/>
      <c r="BR824" s="82"/>
      <c r="BS824" s="82"/>
      <c r="BT824" s="82"/>
      <c r="BU824" s="82"/>
      <c r="BV824" s="82"/>
      <c r="BW824" s="82"/>
      <c r="BX824" s="82"/>
      <c r="BY824" s="82"/>
      <c r="BZ824" s="82"/>
      <c r="CA824" s="82"/>
      <c r="CB824" s="82"/>
      <c r="CC824" s="82"/>
      <c r="CD824" s="82"/>
      <c r="CE824" s="82"/>
      <c r="CF824" s="82"/>
      <c r="CG824" s="82"/>
      <c r="CH824" s="82"/>
      <c r="CI824" s="82"/>
      <c r="CJ824" s="82"/>
      <c r="CK824" s="82"/>
      <c r="CL824" s="82"/>
      <c r="CM824" s="82"/>
      <c r="CN824" s="82"/>
      <c r="CO824" s="82"/>
      <c r="CP824" s="82"/>
      <c r="CQ824" s="82"/>
      <c r="CR824" s="82"/>
      <c r="CS824" s="82"/>
      <c r="CT824" s="82"/>
      <c r="CU824" s="82"/>
      <c r="CV824" s="82"/>
      <c r="CW824" s="82"/>
      <c r="CX824" s="82"/>
      <c r="CY824" s="82"/>
      <c r="CZ824" s="82"/>
      <c r="DA824" s="82"/>
      <c r="DB824" s="82"/>
      <c r="DC824" s="82"/>
      <c r="DD824" s="82"/>
      <c r="DE824" s="82"/>
      <c r="DF824" s="82"/>
      <c r="DG824" s="82"/>
    </row>
    <row r="825" spans="2:111" ht="9" customHeight="1">
      <c r="B825" s="232" t="str">
        <f>IF($U$752&gt;=4,"Etapa 2.4","")</f>
        <v/>
      </c>
      <c r="C825" s="232"/>
      <c r="D825" s="232"/>
      <c r="E825" s="232"/>
      <c r="F825" s="232"/>
      <c r="G825" s="232"/>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c r="AI825" s="233"/>
      <c r="AJ825" s="233"/>
      <c r="AK825" s="233"/>
      <c r="AL825" s="233"/>
      <c r="AM825" s="233"/>
      <c r="AN825" s="233"/>
      <c r="AO825" s="233"/>
      <c r="AP825" s="233"/>
      <c r="AQ825" s="233"/>
      <c r="AS825" s="234" t="str">
        <f>IF(SUM(AS831:BA846)=0,"",SUM(AS831:BA846))</f>
        <v/>
      </c>
      <c r="AT825" s="234"/>
      <c r="AU825" s="234"/>
      <c r="AV825" s="234"/>
      <c r="AW825" s="234"/>
      <c r="AX825" s="234"/>
      <c r="AY825" s="234"/>
      <c r="AZ825" s="234"/>
      <c r="BA825" s="234"/>
      <c r="BC825" s="82"/>
      <c r="BD825" s="82"/>
      <c r="BE825" s="82"/>
      <c r="BF825" s="82"/>
      <c r="BG825" s="82"/>
      <c r="BH825" s="82"/>
      <c r="BI825" s="82"/>
      <c r="BJ825" s="82"/>
      <c r="BK825" s="82"/>
      <c r="BL825" s="82"/>
      <c r="BM825" s="82"/>
      <c r="BN825" s="82"/>
      <c r="BO825" s="82"/>
      <c r="BP825" s="82"/>
      <c r="BQ825" s="82"/>
      <c r="BR825" s="82"/>
      <c r="BS825" s="82"/>
      <c r="BT825" s="82"/>
      <c r="BU825" s="82"/>
      <c r="BV825" s="82"/>
      <c r="BW825" s="82"/>
      <c r="BX825" s="82"/>
      <c r="BY825" s="82"/>
      <c r="BZ825" s="82"/>
      <c r="CA825" s="82"/>
      <c r="CB825" s="82"/>
      <c r="CC825" s="82"/>
      <c r="CD825" s="82"/>
      <c r="CE825" s="82"/>
      <c r="CF825" s="82"/>
      <c r="CG825" s="82"/>
      <c r="CH825" s="82"/>
      <c r="CI825" s="82"/>
      <c r="CJ825" s="82"/>
      <c r="CK825" s="82"/>
      <c r="CL825" s="82"/>
      <c r="CM825" s="82"/>
      <c r="CN825" s="82"/>
      <c r="CO825" s="82"/>
      <c r="CP825" s="82"/>
      <c r="CQ825" s="82"/>
      <c r="CR825" s="82"/>
      <c r="CS825" s="82"/>
      <c r="CT825" s="82"/>
      <c r="CU825" s="82"/>
      <c r="CV825" s="82"/>
      <c r="CW825" s="82"/>
      <c r="CX825" s="82"/>
      <c r="CY825" s="82"/>
      <c r="CZ825" s="82"/>
      <c r="DA825" s="82"/>
      <c r="DB825" s="82"/>
      <c r="DC825" s="82"/>
      <c r="DD825" s="82"/>
      <c r="DE825" s="82"/>
      <c r="DF825" s="82"/>
      <c r="DG825" s="82"/>
    </row>
    <row r="826" spans="2:111" ht="9" customHeight="1">
      <c r="B826" s="232"/>
      <c r="C826" s="232"/>
      <c r="D826" s="232"/>
      <c r="E826" s="232"/>
      <c r="F826" s="232"/>
      <c r="G826" s="232"/>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c r="AI826" s="233"/>
      <c r="AJ826" s="233"/>
      <c r="AK826" s="233"/>
      <c r="AL826" s="233"/>
      <c r="AM826" s="233"/>
      <c r="AN826" s="233"/>
      <c r="AO826" s="233"/>
      <c r="AP826" s="233"/>
      <c r="AQ826" s="233"/>
      <c r="AS826" s="234"/>
      <c r="AT826" s="234"/>
      <c r="AU826" s="234"/>
      <c r="AV826" s="234"/>
      <c r="AW826" s="234"/>
      <c r="AX826" s="234"/>
      <c r="AY826" s="234"/>
      <c r="AZ826" s="234"/>
      <c r="BA826" s="234"/>
      <c r="BC826" s="82"/>
      <c r="BD826" s="82"/>
      <c r="BE826" s="82"/>
      <c r="BF826" s="82"/>
      <c r="BG826" s="82"/>
      <c r="BH826" s="82"/>
      <c r="BI826" s="82"/>
      <c r="BJ826" s="82"/>
      <c r="BK826" s="82"/>
      <c r="BL826" s="82"/>
      <c r="BM826" s="82"/>
      <c r="BN826" s="82"/>
      <c r="BO826" s="82"/>
      <c r="BP826" s="82"/>
      <c r="BQ826" s="82"/>
      <c r="BR826" s="82"/>
      <c r="BS826" s="82"/>
      <c r="BT826" s="82"/>
      <c r="BU826" s="82"/>
      <c r="BV826" s="82"/>
      <c r="BW826" s="82"/>
      <c r="BX826" s="82"/>
      <c r="BY826" s="82"/>
      <c r="BZ826" s="82"/>
      <c r="CA826" s="82"/>
      <c r="CB826" s="82"/>
      <c r="CC826" s="82"/>
      <c r="CD826" s="82"/>
      <c r="CE826" s="82"/>
      <c r="CF826" s="82"/>
      <c r="CG826" s="82"/>
      <c r="CH826" s="82"/>
      <c r="CI826" s="82"/>
      <c r="CJ826" s="82"/>
      <c r="CK826" s="82"/>
      <c r="CL826" s="82"/>
      <c r="CM826" s="82"/>
      <c r="CN826" s="82"/>
      <c r="CO826" s="82"/>
      <c r="CP826" s="82"/>
      <c r="CQ826" s="82"/>
      <c r="CR826" s="82"/>
      <c r="CS826" s="82"/>
      <c r="CT826" s="82"/>
      <c r="CU826" s="82"/>
      <c r="CV826" s="82"/>
      <c r="CW826" s="82"/>
      <c r="CX826" s="82"/>
      <c r="CY826" s="82"/>
      <c r="CZ826" s="82"/>
      <c r="DA826" s="82"/>
      <c r="DB826" s="82"/>
      <c r="DC826" s="82"/>
      <c r="DD826" s="82"/>
      <c r="DE826" s="82"/>
      <c r="DF826" s="82"/>
      <c r="DG826" s="82"/>
    </row>
    <row r="827" spans="2:111" ht="4.5" customHeight="1">
      <c r="BC827" s="82"/>
      <c r="BD827" s="82"/>
      <c r="BE827" s="82"/>
      <c r="BF827" s="82"/>
      <c r="BG827" s="82"/>
      <c r="BH827" s="82"/>
      <c r="BI827" s="82"/>
      <c r="BJ827" s="82"/>
      <c r="BK827" s="82"/>
      <c r="BL827" s="82"/>
      <c r="BM827" s="82"/>
      <c r="BN827" s="82"/>
      <c r="BO827" s="82"/>
      <c r="BP827" s="82"/>
      <c r="BQ827" s="82"/>
      <c r="BR827" s="82"/>
      <c r="BS827" s="82"/>
      <c r="BT827" s="82"/>
      <c r="BU827" s="82"/>
      <c r="BV827" s="82"/>
      <c r="BW827" s="82"/>
      <c r="BX827" s="82"/>
      <c r="BY827" s="82"/>
      <c r="BZ827" s="82"/>
      <c r="CA827" s="82"/>
      <c r="CB827" s="82"/>
      <c r="CC827" s="82"/>
      <c r="CD827" s="82"/>
      <c r="CE827" s="82"/>
      <c r="CF827" s="82"/>
      <c r="CG827" s="82"/>
      <c r="CH827" s="82"/>
      <c r="CI827" s="82"/>
      <c r="CJ827" s="82"/>
      <c r="CK827" s="82"/>
      <c r="CL827" s="82"/>
      <c r="CM827" s="82"/>
      <c r="CN827" s="82"/>
      <c r="CO827" s="82"/>
      <c r="CP827" s="82"/>
      <c r="CQ827" s="82"/>
      <c r="CR827" s="82"/>
      <c r="CS827" s="82"/>
      <c r="CT827" s="82"/>
      <c r="CU827" s="82"/>
      <c r="CV827" s="82"/>
      <c r="CW827" s="82"/>
      <c r="CX827" s="82"/>
      <c r="CY827" s="82"/>
      <c r="CZ827" s="82"/>
      <c r="DA827" s="82"/>
      <c r="DB827" s="82"/>
      <c r="DC827" s="82"/>
      <c r="DD827" s="82"/>
      <c r="DE827" s="82"/>
      <c r="DF827" s="82"/>
      <c r="DG827" s="82"/>
    </row>
    <row r="828" spans="2:111" ht="9" customHeight="1">
      <c r="I828" s="229" t="str">
        <f>IF($U$752&gt;=4,"Início:","")</f>
        <v/>
      </c>
      <c r="J828" s="229"/>
      <c r="K828" s="229"/>
      <c r="L828" s="229"/>
      <c r="M828" s="229"/>
      <c r="N828" s="229"/>
      <c r="P828" s="235"/>
      <c r="Q828" s="235"/>
      <c r="R828" s="235"/>
      <c r="S828" s="235"/>
      <c r="T828" s="235"/>
      <c r="U828" s="235"/>
      <c r="V828" s="235"/>
      <c r="W828" s="235"/>
      <c r="Y828" s="229" t="str">
        <f>IF($U$752&gt;=4,"Término:","")</f>
        <v/>
      </c>
      <c r="Z828" s="229"/>
      <c r="AA828" s="229"/>
      <c r="AB828" s="229"/>
      <c r="AC828" s="229"/>
      <c r="AD828" s="229"/>
      <c r="AF828" s="235"/>
      <c r="AG828" s="235"/>
      <c r="AH828" s="235"/>
      <c r="AI828" s="235"/>
      <c r="AJ828" s="235"/>
      <c r="AK828" s="235"/>
      <c r="AL828" s="235"/>
      <c r="AM828" s="235"/>
      <c r="AW828" s="236" t="str">
        <f>IF($U$752&gt;=4,"Valor (R$):","")</f>
        <v/>
      </c>
      <c r="AX828" s="236"/>
      <c r="AY828" s="236"/>
      <c r="AZ828" s="236"/>
      <c r="BA828" s="236"/>
      <c r="BC828" s="82"/>
      <c r="BD828" s="82"/>
      <c r="BE828" s="82"/>
      <c r="BF828" s="82"/>
      <c r="BG828" s="82"/>
      <c r="BH828" s="82"/>
      <c r="BI828" s="82"/>
      <c r="BJ828" s="82"/>
      <c r="BK828" s="82"/>
      <c r="BL828" s="82"/>
      <c r="BM828" s="82"/>
      <c r="BN828" s="82"/>
      <c r="BO828" s="82"/>
      <c r="BP828" s="82"/>
      <c r="BQ828" s="82"/>
      <c r="BR828" s="82"/>
      <c r="BS828" s="82"/>
      <c r="BT828" s="82"/>
      <c r="BU828" s="82"/>
      <c r="BV828" s="82"/>
      <c r="BW828" s="82"/>
      <c r="BX828" s="82"/>
      <c r="BY828" s="82"/>
      <c r="BZ828" s="82"/>
      <c r="CA828" s="82"/>
      <c r="CB828" s="82"/>
      <c r="CC828" s="82"/>
      <c r="CD828" s="82"/>
      <c r="CE828" s="82"/>
      <c r="CF828" s="82"/>
      <c r="CG828" s="82"/>
      <c r="CH828" s="82"/>
      <c r="CI828" s="82"/>
      <c r="CJ828" s="82"/>
      <c r="CK828" s="82"/>
      <c r="CL828" s="82"/>
      <c r="CM828" s="82"/>
      <c r="CN828" s="82"/>
      <c r="CO828" s="82"/>
      <c r="CP828" s="82"/>
      <c r="CQ828" s="82"/>
      <c r="CR828" s="82"/>
      <c r="CS828" s="82"/>
      <c r="CT828" s="82"/>
      <c r="CU828" s="82"/>
      <c r="CV828" s="82"/>
      <c r="CW828" s="82"/>
      <c r="CX828" s="82"/>
      <c r="CY828" s="82"/>
      <c r="CZ828" s="82"/>
      <c r="DA828" s="82"/>
      <c r="DB828" s="82"/>
      <c r="DC828" s="82"/>
      <c r="DD828" s="82"/>
      <c r="DE828" s="82"/>
      <c r="DF828" s="82"/>
      <c r="DG828" s="82"/>
    </row>
    <row r="829" spans="2:111" ht="9" customHeight="1">
      <c r="I829" s="229"/>
      <c r="J829" s="229"/>
      <c r="K829" s="229"/>
      <c r="L829" s="229"/>
      <c r="M829" s="229"/>
      <c r="N829" s="229"/>
      <c r="P829" s="235"/>
      <c r="Q829" s="235"/>
      <c r="R829" s="235"/>
      <c r="S829" s="235"/>
      <c r="T829" s="235"/>
      <c r="U829" s="235"/>
      <c r="V829" s="235"/>
      <c r="W829" s="235"/>
      <c r="Y829" s="229"/>
      <c r="Z829" s="229"/>
      <c r="AA829" s="229"/>
      <c r="AB829" s="229"/>
      <c r="AC829" s="229"/>
      <c r="AD829" s="229"/>
      <c r="AF829" s="235"/>
      <c r="AG829" s="235"/>
      <c r="AH829" s="235"/>
      <c r="AI829" s="235"/>
      <c r="AJ829" s="235"/>
      <c r="AK829" s="235"/>
      <c r="AL829" s="235"/>
      <c r="AM829" s="235"/>
      <c r="AW829" s="236"/>
      <c r="AX829" s="236"/>
      <c r="AY829" s="236"/>
      <c r="AZ829" s="236"/>
      <c r="BA829" s="236"/>
      <c r="BC829" s="82"/>
      <c r="BD829" s="82"/>
      <c r="BE829" s="82"/>
      <c r="BF829" s="82"/>
      <c r="BG829" s="82"/>
      <c r="BH829" s="82"/>
      <c r="BI829" s="82"/>
      <c r="BJ829" s="82"/>
      <c r="BK829" s="82"/>
      <c r="BL829" s="82"/>
      <c r="BM829" s="82"/>
      <c r="BN829" s="82"/>
      <c r="BO829" s="82"/>
      <c r="BP829" s="82"/>
      <c r="BQ829" s="82"/>
      <c r="BR829" s="82"/>
      <c r="BS829" s="82"/>
      <c r="BT829" s="82"/>
      <c r="BU829" s="82"/>
      <c r="BV829" s="82"/>
      <c r="BW829" s="82"/>
      <c r="BX829" s="82"/>
      <c r="BY829" s="82"/>
      <c r="BZ829" s="82"/>
      <c r="CA829" s="82"/>
      <c r="CB829" s="82"/>
      <c r="CC829" s="82"/>
      <c r="CD829" s="82"/>
      <c r="CE829" s="82"/>
      <c r="CF829" s="82"/>
      <c r="CG829" s="82"/>
      <c r="CH829" s="82"/>
      <c r="CI829" s="82"/>
      <c r="CJ829" s="82"/>
      <c r="CK829" s="82"/>
      <c r="CL829" s="82"/>
      <c r="CM829" s="82"/>
      <c r="CN829" s="82"/>
      <c r="CO829" s="82"/>
      <c r="CP829" s="82"/>
      <c r="CQ829" s="82"/>
      <c r="CR829" s="82"/>
      <c r="CS829" s="82"/>
      <c r="CT829" s="82"/>
      <c r="CU829" s="82"/>
      <c r="CV829" s="82"/>
      <c r="CW829" s="82"/>
      <c r="CX829" s="82"/>
      <c r="CY829" s="82"/>
      <c r="CZ829" s="82"/>
      <c r="DA829" s="82"/>
      <c r="DB829" s="82"/>
      <c r="DC829" s="82"/>
      <c r="DD829" s="82"/>
      <c r="DE829" s="82"/>
      <c r="DF829" s="82"/>
      <c r="DG829" s="82"/>
    </row>
    <row r="830" spans="2:111" ht="4.5" customHeight="1">
      <c r="BC830" s="82"/>
      <c r="BD830" s="82"/>
      <c r="BE830" s="82"/>
      <c r="BF830" s="82"/>
      <c r="BG830" s="82"/>
      <c r="BH830" s="82"/>
      <c r="BI830" s="82"/>
      <c r="BJ830" s="82"/>
      <c r="BK830" s="82"/>
      <c r="BL830" s="82"/>
      <c r="BM830" s="82"/>
      <c r="BN830" s="82"/>
      <c r="BO830" s="82"/>
      <c r="BP830" s="82"/>
      <c r="BQ830" s="82"/>
      <c r="BR830" s="82"/>
      <c r="BS830" s="82"/>
      <c r="BT830" s="82"/>
      <c r="BU830" s="82"/>
      <c r="BV830" s="82"/>
      <c r="BW830" s="82"/>
      <c r="BX830" s="82"/>
      <c r="BY830" s="82"/>
      <c r="BZ830" s="82"/>
      <c r="CA830" s="82"/>
      <c r="CB830" s="82"/>
      <c r="CC830" s="82"/>
      <c r="CD830" s="82"/>
      <c r="CE830" s="82"/>
      <c r="CF830" s="82"/>
      <c r="CG830" s="82"/>
      <c r="CH830" s="82"/>
      <c r="CI830" s="82"/>
      <c r="CJ830" s="82"/>
      <c r="CK830" s="82"/>
      <c r="CL830" s="82"/>
      <c r="CM830" s="82"/>
      <c r="CN830" s="82"/>
      <c r="CO830" s="82"/>
      <c r="CP830" s="82"/>
      <c r="CQ830" s="82"/>
      <c r="CR830" s="82"/>
      <c r="CS830" s="82"/>
      <c r="CT830" s="82"/>
      <c r="CU830" s="82"/>
      <c r="CV830" s="82"/>
      <c r="CW830" s="82"/>
      <c r="CX830" s="82"/>
      <c r="CY830" s="82"/>
      <c r="CZ830" s="82"/>
      <c r="DA830" s="82"/>
      <c r="DB830" s="82"/>
      <c r="DC830" s="82"/>
      <c r="DD830" s="82"/>
      <c r="DE830" s="82"/>
      <c r="DF830" s="82"/>
      <c r="DG830" s="82"/>
    </row>
    <row r="831" spans="2:111" ht="9" customHeight="1">
      <c r="B831" s="229" t="str">
        <f>IF($U$752&gt;=4,"Elementos de Despesa:","")</f>
        <v/>
      </c>
      <c r="C831" s="229"/>
      <c r="D831" s="229"/>
      <c r="E831" s="229"/>
      <c r="F831" s="229"/>
      <c r="G831" s="229"/>
      <c r="H831" s="229"/>
      <c r="I831" s="229"/>
      <c r="J831" s="229"/>
      <c r="K831" s="229"/>
      <c r="L831" s="229"/>
      <c r="M831" s="229"/>
      <c r="N831" s="229"/>
      <c r="P831" s="230"/>
      <c r="Q831" s="230"/>
      <c r="R831" s="230"/>
      <c r="S831" s="230"/>
      <c r="T831" s="230"/>
      <c r="U831" s="230"/>
      <c r="V831" s="230"/>
      <c r="W831" s="230"/>
      <c r="X831" s="230"/>
      <c r="Y831" s="230"/>
      <c r="Z831" s="230"/>
      <c r="AA831" s="230"/>
      <c r="AB831" s="230"/>
      <c r="AC831" s="230"/>
      <c r="AD831" s="230"/>
      <c r="AE831" s="230"/>
      <c r="AF831" s="230"/>
      <c r="AG831" s="230"/>
      <c r="AH831" s="230"/>
      <c r="AI831" s="230"/>
      <c r="AJ831" s="230"/>
      <c r="AK831" s="230"/>
      <c r="AL831" s="230"/>
      <c r="AM831" s="230"/>
      <c r="AN831" s="230"/>
      <c r="AO831" s="230"/>
      <c r="AP831" s="230"/>
      <c r="AQ831" s="230"/>
      <c r="AS831" s="231"/>
      <c r="AT831" s="231"/>
      <c r="AU831" s="231"/>
      <c r="AV831" s="231"/>
      <c r="AW831" s="231"/>
      <c r="AX831" s="231"/>
      <c r="AY831" s="231"/>
      <c r="AZ831" s="231"/>
      <c r="BA831" s="231"/>
      <c r="BC831" s="82"/>
      <c r="BD831" s="82"/>
      <c r="BE831" s="82"/>
      <c r="BF831" s="82"/>
      <c r="BG831" s="82"/>
      <c r="BH831" s="82"/>
      <c r="BI831" s="82"/>
      <c r="BJ831" s="82"/>
      <c r="BK831" s="82"/>
      <c r="BL831" s="82"/>
      <c r="BM831" s="82"/>
      <c r="BN831" s="82"/>
      <c r="BO831" s="82"/>
      <c r="BP831" s="82"/>
      <c r="BQ831" s="82"/>
      <c r="BR831" s="82"/>
      <c r="BS831" s="82"/>
      <c r="BT831" s="82"/>
      <c r="BU831" s="82"/>
      <c r="BV831" s="82"/>
      <c r="BW831" s="82"/>
      <c r="BX831" s="82"/>
      <c r="BY831" s="82"/>
      <c r="BZ831" s="82"/>
      <c r="CA831" s="82"/>
      <c r="CB831" s="82"/>
      <c r="CC831" s="82"/>
      <c r="CD831" s="82"/>
      <c r="CE831" s="82"/>
      <c r="CF831" s="82"/>
      <c r="CG831" s="82"/>
      <c r="CH831" s="82"/>
      <c r="CI831" s="82"/>
      <c r="CJ831" s="82"/>
      <c r="CK831" s="82"/>
      <c r="CL831" s="82"/>
      <c r="CM831" s="82"/>
      <c r="CN831" s="82"/>
      <c r="CO831" s="82"/>
      <c r="CP831" s="82"/>
      <c r="CQ831" s="82"/>
      <c r="CR831" s="82"/>
      <c r="CS831" s="82"/>
      <c r="CT831" s="82"/>
      <c r="CU831" s="82"/>
      <c r="CV831" s="82"/>
      <c r="CW831" s="82"/>
      <c r="CX831" s="82"/>
      <c r="CY831" s="82"/>
      <c r="CZ831" s="82"/>
      <c r="DA831" s="82"/>
      <c r="DB831" s="82"/>
      <c r="DC831" s="82"/>
      <c r="DD831" s="82"/>
      <c r="DE831" s="82"/>
      <c r="DF831" s="82"/>
      <c r="DG831" s="82"/>
    </row>
    <row r="832" spans="2:111" ht="9" customHeight="1">
      <c r="B832" s="229"/>
      <c r="C832" s="229"/>
      <c r="D832" s="229"/>
      <c r="E832" s="229"/>
      <c r="F832" s="229"/>
      <c r="G832" s="229"/>
      <c r="H832" s="229"/>
      <c r="I832" s="229"/>
      <c r="J832" s="229"/>
      <c r="K832" s="229"/>
      <c r="L832" s="229"/>
      <c r="M832" s="229"/>
      <c r="N832" s="229"/>
      <c r="P832" s="230"/>
      <c r="Q832" s="230"/>
      <c r="R832" s="230"/>
      <c r="S832" s="230"/>
      <c r="T832" s="230"/>
      <c r="U832" s="230"/>
      <c r="V832" s="230"/>
      <c r="W832" s="230"/>
      <c r="X832" s="230"/>
      <c r="Y832" s="230"/>
      <c r="Z832" s="230"/>
      <c r="AA832" s="230"/>
      <c r="AB832" s="230"/>
      <c r="AC832" s="230"/>
      <c r="AD832" s="230"/>
      <c r="AE832" s="230"/>
      <c r="AF832" s="230"/>
      <c r="AG832" s="230"/>
      <c r="AH832" s="230"/>
      <c r="AI832" s="230"/>
      <c r="AJ832" s="230"/>
      <c r="AK832" s="230"/>
      <c r="AL832" s="230"/>
      <c r="AM832" s="230"/>
      <c r="AN832" s="230"/>
      <c r="AO832" s="230"/>
      <c r="AP832" s="230"/>
      <c r="AQ832" s="230"/>
      <c r="AS832" s="231"/>
      <c r="AT832" s="231"/>
      <c r="AU832" s="231"/>
      <c r="AV832" s="231"/>
      <c r="AW832" s="231"/>
      <c r="AX832" s="231"/>
      <c r="AY832" s="231"/>
      <c r="AZ832" s="231"/>
      <c r="BA832" s="231"/>
      <c r="BC832" s="82"/>
      <c r="BD832" s="82"/>
      <c r="BE832" s="82"/>
      <c r="BF832" s="82"/>
      <c r="BG832" s="82"/>
      <c r="BH832" s="82"/>
      <c r="BI832" s="82"/>
      <c r="BJ832" s="82"/>
      <c r="BK832" s="82"/>
      <c r="BL832" s="82"/>
      <c r="BM832" s="82"/>
      <c r="BN832" s="82"/>
      <c r="BO832" s="82"/>
      <c r="BP832" s="82"/>
      <c r="BQ832" s="82"/>
      <c r="BR832" s="82"/>
      <c r="BS832" s="82"/>
      <c r="BT832" s="82"/>
      <c r="BU832" s="82"/>
      <c r="BV832" s="82"/>
      <c r="BW832" s="82"/>
      <c r="BX832" s="82"/>
      <c r="BY832" s="82"/>
      <c r="BZ832" s="82"/>
      <c r="CA832" s="82"/>
      <c r="CB832" s="82"/>
      <c r="CC832" s="82"/>
      <c r="CD832" s="82"/>
      <c r="CE832" s="82"/>
      <c r="CF832" s="82"/>
      <c r="CG832" s="82"/>
      <c r="CH832" s="82"/>
      <c r="CI832" s="82"/>
      <c r="CJ832" s="82"/>
      <c r="CK832" s="82"/>
      <c r="CL832" s="82"/>
      <c r="CM832" s="82"/>
      <c r="CN832" s="82"/>
      <c r="CO832" s="82"/>
      <c r="CP832" s="82"/>
      <c r="CQ832" s="82"/>
      <c r="CR832" s="82"/>
      <c r="CS832" s="82"/>
      <c r="CT832" s="82"/>
      <c r="CU832" s="82"/>
      <c r="CV832" s="82"/>
      <c r="CW832" s="82"/>
      <c r="CX832" s="82"/>
      <c r="CY832" s="82"/>
      <c r="CZ832" s="82"/>
      <c r="DA832" s="82"/>
      <c r="DB832" s="82"/>
      <c r="DC832" s="82"/>
      <c r="DD832" s="82"/>
      <c r="DE832" s="82"/>
      <c r="DF832" s="82"/>
      <c r="DG832" s="82"/>
    </row>
    <row r="833" spans="2:111" ht="9" customHeight="1">
      <c r="B833" s="229"/>
      <c r="C833" s="229"/>
      <c r="D833" s="229"/>
      <c r="E833" s="229"/>
      <c r="F833" s="229"/>
      <c r="G833" s="229"/>
      <c r="H833" s="229"/>
      <c r="I833" s="229"/>
      <c r="J833" s="229"/>
      <c r="K833" s="229"/>
      <c r="L833" s="229"/>
      <c r="M833" s="229"/>
      <c r="N833" s="229"/>
      <c r="P833" s="230"/>
      <c r="Q833" s="230"/>
      <c r="R833" s="230"/>
      <c r="S833" s="230"/>
      <c r="T833" s="230"/>
      <c r="U833" s="230"/>
      <c r="V833" s="230"/>
      <c r="W833" s="230"/>
      <c r="X833" s="230"/>
      <c r="Y833" s="230"/>
      <c r="Z833" s="230"/>
      <c r="AA833" s="230"/>
      <c r="AB833" s="230"/>
      <c r="AC833" s="230"/>
      <c r="AD833" s="230"/>
      <c r="AE833" s="230"/>
      <c r="AF833" s="230"/>
      <c r="AG833" s="230"/>
      <c r="AH833" s="230"/>
      <c r="AI833" s="230"/>
      <c r="AJ833" s="230"/>
      <c r="AK833" s="230"/>
      <c r="AL833" s="230"/>
      <c r="AM833" s="230"/>
      <c r="AN833" s="230"/>
      <c r="AO833" s="230"/>
      <c r="AP833" s="230"/>
      <c r="AQ833" s="230"/>
      <c r="AS833" s="231"/>
      <c r="AT833" s="231"/>
      <c r="AU833" s="231"/>
      <c r="AV833" s="231"/>
      <c r="AW833" s="231"/>
      <c r="AX833" s="231"/>
      <c r="AY833" s="231"/>
      <c r="AZ833" s="231"/>
      <c r="BA833" s="231"/>
      <c r="BC833" s="82"/>
      <c r="BD833" s="82"/>
      <c r="BE833" s="82"/>
      <c r="BF833" s="82"/>
      <c r="BG833" s="82"/>
      <c r="BH833" s="82"/>
      <c r="BI833" s="82"/>
      <c r="BJ833" s="82"/>
      <c r="BK833" s="82"/>
      <c r="BL833" s="82"/>
      <c r="BM833" s="82"/>
      <c r="BN833" s="82"/>
      <c r="BO833" s="82"/>
      <c r="BP833" s="82"/>
      <c r="BQ833" s="82"/>
      <c r="BR833" s="82"/>
      <c r="BS833" s="82"/>
      <c r="BT833" s="82"/>
      <c r="BU833" s="82"/>
      <c r="BV833" s="82"/>
      <c r="BW833" s="82"/>
      <c r="BX833" s="82"/>
      <c r="BY833" s="82"/>
      <c r="BZ833" s="82"/>
      <c r="CA833" s="82"/>
      <c r="CB833" s="82"/>
      <c r="CC833" s="82"/>
      <c r="CD833" s="82"/>
      <c r="CE833" s="82"/>
      <c r="CF833" s="82"/>
      <c r="CG833" s="82"/>
      <c r="CH833" s="82"/>
      <c r="CI833" s="82"/>
      <c r="CJ833" s="82"/>
      <c r="CK833" s="82"/>
      <c r="CL833" s="82"/>
      <c r="CM833" s="82"/>
      <c r="CN833" s="82"/>
      <c r="CO833" s="82"/>
      <c r="CP833" s="82"/>
      <c r="CQ833" s="82"/>
      <c r="CR833" s="82"/>
      <c r="CS833" s="82"/>
      <c r="CT833" s="82"/>
      <c r="CU833" s="82"/>
      <c r="CV833" s="82"/>
      <c r="CW833" s="82"/>
      <c r="CX833" s="82"/>
      <c r="CY833" s="82"/>
      <c r="CZ833" s="82"/>
      <c r="DA833" s="82"/>
      <c r="DB833" s="82"/>
      <c r="DC833" s="82"/>
      <c r="DD833" s="82"/>
      <c r="DE833" s="82"/>
      <c r="DF833" s="82"/>
      <c r="DG833" s="82"/>
    </row>
    <row r="834" spans="2:111" ht="9" customHeight="1">
      <c r="B834" s="229"/>
      <c r="C834" s="229"/>
      <c r="D834" s="229"/>
      <c r="E834" s="229"/>
      <c r="F834" s="229"/>
      <c r="G834" s="229"/>
      <c r="H834" s="229"/>
      <c r="I834" s="229"/>
      <c r="J834" s="229"/>
      <c r="K834" s="229"/>
      <c r="L834" s="229"/>
      <c r="M834" s="229"/>
      <c r="N834" s="229"/>
      <c r="P834" s="230"/>
      <c r="Q834" s="230"/>
      <c r="R834" s="230"/>
      <c r="S834" s="230"/>
      <c r="T834" s="230"/>
      <c r="U834" s="230"/>
      <c r="V834" s="230"/>
      <c r="W834" s="230"/>
      <c r="X834" s="230"/>
      <c r="Y834" s="230"/>
      <c r="Z834" s="230"/>
      <c r="AA834" s="230"/>
      <c r="AB834" s="230"/>
      <c r="AC834" s="230"/>
      <c r="AD834" s="230"/>
      <c r="AE834" s="230"/>
      <c r="AF834" s="230"/>
      <c r="AG834" s="230"/>
      <c r="AH834" s="230"/>
      <c r="AI834" s="230"/>
      <c r="AJ834" s="230"/>
      <c r="AK834" s="230"/>
      <c r="AL834" s="230"/>
      <c r="AM834" s="230"/>
      <c r="AN834" s="230"/>
      <c r="AO834" s="230"/>
      <c r="AP834" s="230"/>
      <c r="AQ834" s="230"/>
      <c r="AS834" s="231"/>
      <c r="AT834" s="231"/>
      <c r="AU834" s="231"/>
      <c r="AV834" s="231"/>
      <c r="AW834" s="231"/>
      <c r="AX834" s="231"/>
      <c r="AY834" s="231"/>
      <c r="AZ834" s="231"/>
      <c r="BA834" s="231"/>
      <c r="BC834" s="82"/>
      <c r="BD834" s="82"/>
      <c r="BE834" s="82"/>
      <c r="BF834" s="82"/>
      <c r="BG834" s="82"/>
      <c r="BH834" s="82"/>
      <c r="BI834" s="82"/>
      <c r="BJ834" s="82"/>
      <c r="BK834" s="82"/>
      <c r="BL834" s="82"/>
      <c r="BM834" s="82"/>
      <c r="BN834" s="82"/>
      <c r="BO834" s="82"/>
      <c r="BP834" s="82"/>
      <c r="BQ834" s="82"/>
      <c r="BR834" s="82"/>
      <c r="BS834" s="82"/>
      <c r="BT834" s="82"/>
      <c r="BU834" s="82"/>
      <c r="BV834" s="82"/>
      <c r="BW834" s="82"/>
      <c r="BX834" s="82"/>
      <c r="BY834" s="82"/>
      <c r="BZ834" s="82"/>
      <c r="CA834" s="82"/>
      <c r="CB834" s="82"/>
      <c r="CC834" s="82"/>
      <c r="CD834" s="82"/>
      <c r="CE834" s="82"/>
      <c r="CF834" s="82"/>
      <c r="CG834" s="82"/>
      <c r="CH834" s="82"/>
      <c r="CI834" s="82"/>
      <c r="CJ834" s="82"/>
      <c r="CK834" s="82"/>
      <c r="CL834" s="82"/>
      <c r="CM834" s="82"/>
      <c r="CN834" s="82"/>
      <c r="CO834" s="82"/>
      <c r="CP834" s="82"/>
      <c r="CQ834" s="82"/>
      <c r="CR834" s="82"/>
      <c r="CS834" s="82"/>
      <c r="CT834" s="82"/>
      <c r="CU834" s="82"/>
      <c r="CV834" s="82"/>
      <c r="CW834" s="82"/>
      <c r="CX834" s="82"/>
      <c r="CY834" s="82"/>
      <c r="CZ834" s="82"/>
      <c r="DA834" s="82"/>
      <c r="DB834" s="82"/>
      <c r="DC834" s="82"/>
      <c r="DD834" s="82"/>
      <c r="DE834" s="82"/>
      <c r="DF834" s="82"/>
      <c r="DG834" s="82"/>
    </row>
    <row r="835" spans="2:111" ht="9" customHeight="1">
      <c r="B835" s="229"/>
      <c r="C835" s="229"/>
      <c r="D835" s="229"/>
      <c r="E835" s="229"/>
      <c r="F835" s="229"/>
      <c r="G835" s="229"/>
      <c r="H835" s="229"/>
      <c r="I835" s="229"/>
      <c r="J835" s="229"/>
      <c r="K835" s="229"/>
      <c r="L835" s="229"/>
      <c r="M835" s="229"/>
      <c r="N835" s="229"/>
      <c r="P835" s="230"/>
      <c r="Q835" s="230"/>
      <c r="R835" s="230"/>
      <c r="S835" s="230"/>
      <c r="T835" s="230"/>
      <c r="U835" s="230"/>
      <c r="V835" s="230"/>
      <c r="W835" s="230"/>
      <c r="X835" s="230"/>
      <c r="Y835" s="230"/>
      <c r="Z835" s="230"/>
      <c r="AA835" s="230"/>
      <c r="AB835" s="230"/>
      <c r="AC835" s="230"/>
      <c r="AD835" s="230"/>
      <c r="AE835" s="230"/>
      <c r="AF835" s="230"/>
      <c r="AG835" s="230"/>
      <c r="AH835" s="230"/>
      <c r="AI835" s="230"/>
      <c r="AJ835" s="230"/>
      <c r="AK835" s="230"/>
      <c r="AL835" s="230"/>
      <c r="AM835" s="230"/>
      <c r="AN835" s="230"/>
      <c r="AO835" s="230"/>
      <c r="AP835" s="230"/>
      <c r="AQ835" s="230"/>
      <c r="AS835" s="231"/>
      <c r="AT835" s="231"/>
      <c r="AU835" s="231"/>
      <c r="AV835" s="231"/>
      <c r="AW835" s="231"/>
      <c r="AX835" s="231"/>
      <c r="AY835" s="231"/>
      <c r="AZ835" s="231"/>
      <c r="BA835" s="231"/>
      <c r="BC835" s="82"/>
      <c r="BD835" s="82"/>
      <c r="BE835" s="82"/>
      <c r="BF835" s="82"/>
      <c r="BG835" s="82"/>
      <c r="BH835" s="82"/>
      <c r="BI835" s="82"/>
      <c r="BJ835" s="82"/>
      <c r="BK835" s="82"/>
      <c r="BL835" s="82"/>
      <c r="BM835" s="82"/>
      <c r="BN835" s="82"/>
      <c r="BO835" s="82"/>
      <c r="BP835" s="82"/>
      <c r="BQ835" s="82"/>
      <c r="BR835" s="82"/>
      <c r="BS835" s="82"/>
      <c r="BT835" s="82"/>
      <c r="BU835" s="82"/>
      <c r="BV835" s="82"/>
      <c r="BW835" s="82"/>
      <c r="BX835" s="82"/>
      <c r="BY835" s="82"/>
      <c r="BZ835" s="82"/>
      <c r="CA835" s="82"/>
      <c r="CB835" s="82"/>
      <c r="CC835" s="82"/>
      <c r="CD835" s="82"/>
      <c r="CE835" s="82"/>
      <c r="CF835" s="82"/>
      <c r="CG835" s="82"/>
      <c r="CH835" s="82"/>
      <c r="CI835" s="82"/>
      <c r="CJ835" s="82"/>
      <c r="CK835" s="82"/>
      <c r="CL835" s="82"/>
      <c r="CM835" s="82"/>
      <c r="CN835" s="82"/>
      <c r="CO835" s="82"/>
      <c r="CP835" s="82"/>
      <c r="CQ835" s="82"/>
      <c r="CR835" s="82"/>
      <c r="CS835" s="82"/>
      <c r="CT835" s="82"/>
      <c r="CU835" s="82"/>
      <c r="CV835" s="82"/>
      <c r="CW835" s="82"/>
      <c r="CX835" s="82"/>
      <c r="CY835" s="82"/>
      <c r="CZ835" s="82"/>
      <c r="DA835" s="82"/>
      <c r="DB835" s="82"/>
      <c r="DC835" s="82"/>
      <c r="DD835" s="82"/>
      <c r="DE835" s="82"/>
      <c r="DF835" s="82"/>
      <c r="DG835" s="82"/>
    </row>
    <row r="836" spans="2:111" ht="9" customHeight="1">
      <c r="B836" s="229"/>
      <c r="C836" s="229"/>
      <c r="D836" s="229"/>
      <c r="E836" s="229"/>
      <c r="F836" s="229"/>
      <c r="G836" s="229"/>
      <c r="H836" s="229"/>
      <c r="I836" s="229"/>
      <c r="J836" s="229"/>
      <c r="K836" s="229"/>
      <c r="L836" s="229"/>
      <c r="M836" s="229"/>
      <c r="N836" s="229"/>
      <c r="P836" s="230"/>
      <c r="Q836" s="230"/>
      <c r="R836" s="230"/>
      <c r="S836" s="230"/>
      <c r="T836" s="230"/>
      <c r="U836" s="230"/>
      <c r="V836" s="230"/>
      <c r="W836" s="230"/>
      <c r="X836" s="230"/>
      <c r="Y836" s="230"/>
      <c r="Z836" s="230"/>
      <c r="AA836" s="230"/>
      <c r="AB836" s="230"/>
      <c r="AC836" s="230"/>
      <c r="AD836" s="230"/>
      <c r="AE836" s="230"/>
      <c r="AF836" s="230"/>
      <c r="AG836" s="230"/>
      <c r="AH836" s="230"/>
      <c r="AI836" s="230"/>
      <c r="AJ836" s="230"/>
      <c r="AK836" s="230"/>
      <c r="AL836" s="230"/>
      <c r="AM836" s="230"/>
      <c r="AN836" s="230"/>
      <c r="AO836" s="230"/>
      <c r="AP836" s="230"/>
      <c r="AQ836" s="230"/>
      <c r="AS836" s="231"/>
      <c r="AT836" s="231"/>
      <c r="AU836" s="231"/>
      <c r="AV836" s="231"/>
      <c r="AW836" s="231"/>
      <c r="AX836" s="231"/>
      <c r="AY836" s="231"/>
      <c r="AZ836" s="231"/>
      <c r="BA836" s="231"/>
      <c r="BC836" s="82"/>
      <c r="BD836" s="82"/>
      <c r="BE836" s="82"/>
      <c r="BF836" s="82"/>
      <c r="BG836" s="82"/>
      <c r="BH836" s="82"/>
      <c r="BI836" s="82"/>
      <c r="BJ836" s="82"/>
      <c r="BK836" s="82"/>
      <c r="BL836" s="82"/>
      <c r="BM836" s="82"/>
      <c r="BN836" s="82"/>
      <c r="BO836" s="82"/>
      <c r="BP836" s="82"/>
      <c r="BQ836" s="82"/>
      <c r="BR836" s="82"/>
      <c r="BS836" s="82"/>
      <c r="BT836" s="82"/>
      <c r="BU836" s="82"/>
      <c r="BV836" s="82"/>
      <c r="BW836" s="82"/>
      <c r="BX836" s="82"/>
      <c r="BY836" s="82"/>
      <c r="BZ836" s="82"/>
      <c r="CA836" s="82"/>
      <c r="CB836" s="82"/>
      <c r="CC836" s="82"/>
      <c r="CD836" s="82"/>
      <c r="CE836" s="82"/>
      <c r="CF836" s="82"/>
      <c r="CG836" s="82"/>
      <c r="CH836" s="82"/>
      <c r="CI836" s="82"/>
      <c r="CJ836" s="82"/>
      <c r="CK836" s="82"/>
      <c r="CL836" s="82"/>
      <c r="CM836" s="82"/>
      <c r="CN836" s="82"/>
      <c r="CO836" s="82"/>
      <c r="CP836" s="82"/>
      <c r="CQ836" s="82"/>
      <c r="CR836" s="82"/>
      <c r="CS836" s="82"/>
      <c r="CT836" s="82"/>
      <c r="CU836" s="82"/>
      <c r="CV836" s="82"/>
      <c r="CW836" s="82"/>
      <c r="CX836" s="82"/>
      <c r="CY836" s="82"/>
      <c r="CZ836" s="82"/>
      <c r="DA836" s="82"/>
      <c r="DB836" s="82"/>
      <c r="DC836" s="82"/>
      <c r="DD836" s="82"/>
      <c r="DE836" s="82"/>
      <c r="DF836" s="82"/>
      <c r="DG836" s="82"/>
    </row>
    <row r="837" spans="2:111" ht="9" customHeight="1">
      <c r="B837" s="229"/>
      <c r="C837" s="229"/>
      <c r="D837" s="229"/>
      <c r="E837" s="229"/>
      <c r="F837" s="229"/>
      <c r="G837" s="229"/>
      <c r="H837" s="229"/>
      <c r="I837" s="229"/>
      <c r="J837" s="229"/>
      <c r="K837" s="229"/>
      <c r="L837" s="229"/>
      <c r="M837" s="229"/>
      <c r="N837" s="229"/>
      <c r="P837" s="230"/>
      <c r="Q837" s="230"/>
      <c r="R837" s="230"/>
      <c r="S837" s="230"/>
      <c r="T837" s="230"/>
      <c r="U837" s="230"/>
      <c r="V837" s="230"/>
      <c r="W837" s="230"/>
      <c r="X837" s="230"/>
      <c r="Y837" s="230"/>
      <c r="Z837" s="230"/>
      <c r="AA837" s="230"/>
      <c r="AB837" s="230"/>
      <c r="AC837" s="230"/>
      <c r="AD837" s="230"/>
      <c r="AE837" s="230"/>
      <c r="AF837" s="230"/>
      <c r="AG837" s="230"/>
      <c r="AH837" s="230"/>
      <c r="AI837" s="230"/>
      <c r="AJ837" s="230"/>
      <c r="AK837" s="230"/>
      <c r="AL837" s="230"/>
      <c r="AM837" s="230"/>
      <c r="AN837" s="230"/>
      <c r="AO837" s="230"/>
      <c r="AP837" s="230"/>
      <c r="AQ837" s="230"/>
      <c r="AS837" s="231"/>
      <c r="AT837" s="231"/>
      <c r="AU837" s="231"/>
      <c r="AV837" s="231"/>
      <c r="AW837" s="231"/>
      <c r="AX837" s="231"/>
      <c r="AY837" s="231"/>
      <c r="AZ837" s="231"/>
      <c r="BA837" s="231"/>
      <c r="BC837" s="82"/>
      <c r="BD837" s="82"/>
      <c r="BE837" s="82"/>
      <c r="BF837" s="82"/>
      <c r="BG837" s="82"/>
      <c r="BH837" s="82"/>
      <c r="BI837" s="82"/>
      <c r="BJ837" s="82"/>
      <c r="BK837" s="82"/>
      <c r="BL837" s="82"/>
      <c r="BM837" s="82"/>
      <c r="BN837" s="82"/>
      <c r="BO837" s="82"/>
      <c r="BP837" s="82"/>
      <c r="BQ837" s="82"/>
      <c r="BR837" s="82"/>
      <c r="BS837" s="82"/>
      <c r="BT837" s="82"/>
      <c r="BU837" s="82"/>
      <c r="BV837" s="82"/>
      <c r="BW837" s="82"/>
      <c r="BX837" s="82"/>
      <c r="BY837" s="82"/>
      <c r="BZ837" s="82"/>
      <c r="CA837" s="82"/>
      <c r="CB837" s="82"/>
      <c r="CC837" s="82"/>
      <c r="CD837" s="82"/>
      <c r="CE837" s="82"/>
      <c r="CF837" s="82"/>
      <c r="CG837" s="82"/>
      <c r="CH837" s="82"/>
      <c r="CI837" s="82"/>
      <c r="CJ837" s="82"/>
      <c r="CK837" s="82"/>
      <c r="CL837" s="82"/>
      <c r="CM837" s="82"/>
      <c r="CN837" s="82"/>
      <c r="CO837" s="82"/>
      <c r="CP837" s="82"/>
      <c r="CQ837" s="82"/>
      <c r="CR837" s="82"/>
      <c r="CS837" s="82"/>
      <c r="CT837" s="82"/>
      <c r="CU837" s="82"/>
      <c r="CV837" s="82"/>
      <c r="CW837" s="82"/>
      <c r="CX837" s="82"/>
      <c r="CY837" s="82"/>
      <c r="CZ837" s="82"/>
      <c r="DA837" s="82"/>
      <c r="DB837" s="82"/>
      <c r="DC837" s="82"/>
      <c r="DD837" s="82"/>
      <c r="DE837" s="82"/>
      <c r="DF837" s="82"/>
      <c r="DG837" s="82"/>
    </row>
    <row r="838" spans="2:111" ht="9" customHeight="1">
      <c r="B838" s="229"/>
      <c r="C838" s="229"/>
      <c r="D838" s="229"/>
      <c r="E838" s="229"/>
      <c r="F838" s="229"/>
      <c r="G838" s="229"/>
      <c r="H838" s="229"/>
      <c r="I838" s="229"/>
      <c r="J838" s="229"/>
      <c r="K838" s="229"/>
      <c r="L838" s="229"/>
      <c r="M838" s="229"/>
      <c r="N838" s="229"/>
      <c r="P838" s="230"/>
      <c r="Q838" s="230"/>
      <c r="R838" s="230"/>
      <c r="S838" s="230"/>
      <c r="T838" s="230"/>
      <c r="U838" s="230"/>
      <c r="V838" s="230"/>
      <c r="W838" s="230"/>
      <c r="X838" s="230"/>
      <c r="Y838" s="230"/>
      <c r="Z838" s="230"/>
      <c r="AA838" s="230"/>
      <c r="AB838" s="230"/>
      <c r="AC838" s="230"/>
      <c r="AD838" s="230"/>
      <c r="AE838" s="230"/>
      <c r="AF838" s="230"/>
      <c r="AG838" s="230"/>
      <c r="AH838" s="230"/>
      <c r="AI838" s="230"/>
      <c r="AJ838" s="230"/>
      <c r="AK838" s="230"/>
      <c r="AL838" s="230"/>
      <c r="AM838" s="230"/>
      <c r="AN838" s="230"/>
      <c r="AO838" s="230"/>
      <c r="AP838" s="230"/>
      <c r="AQ838" s="230"/>
      <c r="AS838" s="231"/>
      <c r="AT838" s="231"/>
      <c r="AU838" s="231"/>
      <c r="AV838" s="231"/>
      <c r="AW838" s="231"/>
      <c r="AX838" s="231"/>
      <c r="AY838" s="231"/>
      <c r="AZ838" s="231"/>
      <c r="BA838" s="231"/>
      <c r="BC838" s="82"/>
      <c r="BD838" s="82"/>
      <c r="BE838" s="82"/>
      <c r="BF838" s="82"/>
      <c r="BG838" s="82"/>
      <c r="BH838" s="82"/>
      <c r="BI838" s="82"/>
      <c r="BJ838" s="82"/>
      <c r="BK838" s="82"/>
      <c r="BL838" s="82"/>
      <c r="BM838" s="82"/>
      <c r="BN838" s="82"/>
      <c r="BO838" s="82"/>
      <c r="BP838" s="82"/>
      <c r="BQ838" s="82"/>
      <c r="BR838" s="82"/>
      <c r="BS838" s="82"/>
      <c r="BT838" s="82"/>
      <c r="BU838" s="82"/>
      <c r="BV838" s="82"/>
      <c r="BW838" s="82"/>
      <c r="BX838" s="82"/>
      <c r="BY838" s="82"/>
      <c r="BZ838" s="82"/>
      <c r="CA838" s="82"/>
      <c r="CB838" s="82"/>
      <c r="CC838" s="82"/>
      <c r="CD838" s="82"/>
      <c r="CE838" s="82"/>
      <c r="CF838" s="82"/>
      <c r="CG838" s="82"/>
      <c r="CH838" s="82"/>
      <c r="CI838" s="82"/>
      <c r="CJ838" s="82"/>
      <c r="CK838" s="82"/>
      <c r="CL838" s="82"/>
      <c r="CM838" s="82"/>
      <c r="CN838" s="82"/>
      <c r="CO838" s="82"/>
      <c r="CP838" s="82"/>
      <c r="CQ838" s="82"/>
      <c r="CR838" s="82"/>
      <c r="CS838" s="82"/>
      <c r="CT838" s="82"/>
      <c r="CU838" s="82"/>
      <c r="CV838" s="82"/>
      <c r="CW838" s="82"/>
      <c r="CX838" s="82"/>
      <c r="CY838" s="82"/>
      <c r="CZ838" s="82"/>
      <c r="DA838" s="82"/>
      <c r="DB838" s="82"/>
      <c r="DC838" s="82"/>
      <c r="DD838" s="82"/>
      <c r="DE838" s="82"/>
      <c r="DF838" s="82"/>
      <c r="DG838" s="82"/>
    </row>
    <row r="839" spans="2:111" ht="9" customHeight="1">
      <c r="B839" s="229"/>
      <c r="C839" s="229"/>
      <c r="D839" s="229"/>
      <c r="E839" s="229"/>
      <c r="F839" s="229"/>
      <c r="G839" s="229"/>
      <c r="H839" s="229"/>
      <c r="I839" s="229"/>
      <c r="J839" s="229"/>
      <c r="K839" s="229"/>
      <c r="L839" s="229"/>
      <c r="M839" s="229"/>
      <c r="N839" s="229"/>
      <c r="P839" s="230"/>
      <c r="Q839" s="230"/>
      <c r="R839" s="230"/>
      <c r="S839" s="230"/>
      <c r="T839" s="230"/>
      <c r="U839" s="230"/>
      <c r="V839" s="230"/>
      <c r="W839" s="230"/>
      <c r="X839" s="230"/>
      <c r="Y839" s="230"/>
      <c r="Z839" s="230"/>
      <c r="AA839" s="230"/>
      <c r="AB839" s="230"/>
      <c r="AC839" s="230"/>
      <c r="AD839" s="230"/>
      <c r="AE839" s="230"/>
      <c r="AF839" s="230"/>
      <c r="AG839" s="230"/>
      <c r="AH839" s="230"/>
      <c r="AI839" s="230"/>
      <c r="AJ839" s="230"/>
      <c r="AK839" s="230"/>
      <c r="AL839" s="230"/>
      <c r="AM839" s="230"/>
      <c r="AN839" s="230"/>
      <c r="AO839" s="230"/>
      <c r="AP839" s="230"/>
      <c r="AQ839" s="230"/>
      <c r="AS839" s="231"/>
      <c r="AT839" s="231"/>
      <c r="AU839" s="231"/>
      <c r="AV839" s="231"/>
      <c r="AW839" s="231"/>
      <c r="AX839" s="231"/>
      <c r="AY839" s="231"/>
      <c r="AZ839" s="231"/>
      <c r="BA839" s="231"/>
      <c r="BC839" s="82"/>
      <c r="BD839" s="82"/>
      <c r="BE839" s="82"/>
      <c r="BF839" s="82"/>
      <c r="BG839" s="82"/>
      <c r="BH839" s="82"/>
      <c r="BI839" s="82"/>
      <c r="BJ839" s="82"/>
      <c r="BK839" s="82"/>
      <c r="BL839" s="82"/>
      <c r="BM839" s="82"/>
      <c r="BN839" s="82"/>
      <c r="BO839" s="82"/>
      <c r="BP839" s="82"/>
      <c r="BQ839" s="82"/>
      <c r="BR839" s="82"/>
      <c r="BS839" s="82"/>
      <c r="BT839" s="82"/>
      <c r="BU839" s="82"/>
      <c r="BV839" s="82"/>
      <c r="BW839" s="82"/>
      <c r="BX839" s="82"/>
      <c r="BY839" s="82"/>
      <c r="BZ839" s="82"/>
      <c r="CA839" s="82"/>
      <c r="CB839" s="82"/>
      <c r="CC839" s="82"/>
      <c r="CD839" s="82"/>
      <c r="CE839" s="82"/>
      <c r="CF839" s="82"/>
      <c r="CG839" s="82"/>
      <c r="CH839" s="82"/>
      <c r="CI839" s="82"/>
      <c r="CJ839" s="82"/>
      <c r="CK839" s="82"/>
      <c r="CL839" s="82"/>
      <c r="CM839" s="82"/>
      <c r="CN839" s="82"/>
      <c r="CO839" s="82"/>
      <c r="CP839" s="82"/>
      <c r="CQ839" s="82"/>
      <c r="CR839" s="82"/>
      <c r="CS839" s="82"/>
      <c r="CT839" s="82"/>
      <c r="CU839" s="82"/>
      <c r="CV839" s="82"/>
      <c r="CW839" s="82"/>
      <c r="CX839" s="82"/>
      <c r="CY839" s="82"/>
      <c r="CZ839" s="82"/>
      <c r="DA839" s="82"/>
      <c r="DB839" s="82"/>
      <c r="DC839" s="82"/>
      <c r="DD839" s="82"/>
      <c r="DE839" s="82"/>
      <c r="DF839" s="82"/>
      <c r="DG839" s="82"/>
    </row>
    <row r="840" spans="2:111" ht="9" customHeight="1">
      <c r="B840" s="229"/>
      <c r="C840" s="229"/>
      <c r="D840" s="229"/>
      <c r="E840" s="229"/>
      <c r="F840" s="229"/>
      <c r="G840" s="229"/>
      <c r="H840" s="229"/>
      <c r="I840" s="229"/>
      <c r="J840" s="229"/>
      <c r="K840" s="229"/>
      <c r="L840" s="229"/>
      <c r="M840" s="229"/>
      <c r="N840" s="229"/>
      <c r="P840" s="230"/>
      <c r="Q840" s="230"/>
      <c r="R840" s="230"/>
      <c r="S840" s="230"/>
      <c r="T840" s="230"/>
      <c r="U840" s="230"/>
      <c r="V840" s="230"/>
      <c r="W840" s="230"/>
      <c r="X840" s="230"/>
      <c r="Y840" s="230"/>
      <c r="Z840" s="230"/>
      <c r="AA840" s="230"/>
      <c r="AB840" s="230"/>
      <c r="AC840" s="230"/>
      <c r="AD840" s="230"/>
      <c r="AE840" s="230"/>
      <c r="AF840" s="230"/>
      <c r="AG840" s="230"/>
      <c r="AH840" s="230"/>
      <c r="AI840" s="230"/>
      <c r="AJ840" s="230"/>
      <c r="AK840" s="230"/>
      <c r="AL840" s="230"/>
      <c r="AM840" s="230"/>
      <c r="AN840" s="230"/>
      <c r="AO840" s="230"/>
      <c r="AP840" s="230"/>
      <c r="AQ840" s="230"/>
      <c r="AS840" s="231"/>
      <c r="AT840" s="231"/>
      <c r="AU840" s="231"/>
      <c r="AV840" s="231"/>
      <c r="AW840" s="231"/>
      <c r="AX840" s="231"/>
      <c r="AY840" s="231"/>
      <c r="AZ840" s="231"/>
      <c r="BA840" s="231"/>
      <c r="BC840" s="82"/>
      <c r="BD840" s="82"/>
      <c r="BE840" s="82"/>
      <c r="BF840" s="82"/>
      <c r="BG840" s="82"/>
      <c r="BH840" s="82"/>
      <c r="BI840" s="82"/>
      <c r="BJ840" s="82"/>
      <c r="BK840" s="82"/>
      <c r="BL840" s="82"/>
      <c r="BM840" s="82"/>
      <c r="BN840" s="82"/>
      <c r="BO840" s="82"/>
      <c r="BP840" s="82"/>
      <c r="BQ840" s="82"/>
      <c r="BR840" s="82"/>
      <c r="BS840" s="82"/>
      <c r="BT840" s="82"/>
      <c r="BU840" s="82"/>
      <c r="BV840" s="82"/>
      <c r="BW840" s="82"/>
      <c r="BX840" s="82"/>
      <c r="BY840" s="82"/>
      <c r="BZ840" s="82"/>
      <c r="CA840" s="82"/>
      <c r="CB840" s="82"/>
      <c r="CC840" s="82"/>
      <c r="CD840" s="82"/>
      <c r="CE840" s="82"/>
      <c r="CF840" s="82"/>
      <c r="CG840" s="82"/>
      <c r="CH840" s="82"/>
      <c r="CI840" s="82"/>
      <c r="CJ840" s="82"/>
      <c r="CK840" s="82"/>
      <c r="CL840" s="82"/>
      <c r="CM840" s="82"/>
      <c r="CN840" s="82"/>
      <c r="CO840" s="82"/>
      <c r="CP840" s="82"/>
      <c r="CQ840" s="82"/>
      <c r="CR840" s="82"/>
      <c r="CS840" s="82"/>
      <c r="CT840" s="82"/>
      <c r="CU840" s="82"/>
      <c r="CV840" s="82"/>
      <c r="CW840" s="82"/>
      <c r="CX840" s="82"/>
      <c r="CY840" s="82"/>
      <c r="CZ840" s="82"/>
      <c r="DA840" s="82"/>
      <c r="DB840" s="82"/>
      <c r="DC840" s="82"/>
      <c r="DD840" s="82"/>
      <c r="DE840" s="82"/>
      <c r="DF840" s="82"/>
      <c r="DG840" s="82"/>
    </row>
    <row r="841" spans="2:111" ht="9" customHeight="1">
      <c r="B841" s="229"/>
      <c r="C841" s="229"/>
      <c r="D841" s="229"/>
      <c r="E841" s="229"/>
      <c r="F841" s="229"/>
      <c r="G841" s="229"/>
      <c r="H841" s="229"/>
      <c r="I841" s="229"/>
      <c r="J841" s="229"/>
      <c r="K841" s="229"/>
      <c r="L841" s="229"/>
      <c r="M841" s="229"/>
      <c r="N841" s="229"/>
      <c r="P841" s="230"/>
      <c r="Q841" s="230"/>
      <c r="R841" s="230"/>
      <c r="S841" s="230"/>
      <c r="T841" s="230"/>
      <c r="U841" s="230"/>
      <c r="V841" s="230"/>
      <c r="W841" s="230"/>
      <c r="X841" s="230"/>
      <c r="Y841" s="230"/>
      <c r="Z841" s="230"/>
      <c r="AA841" s="230"/>
      <c r="AB841" s="230"/>
      <c r="AC841" s="230"/>
      <c r="AD841" s="230"/>
      <c r="AE841" s="230"/>
      <c r="AF841" s="230"/>
      <c r="AG841" s="230"/>
      <c r="AH841" s="230"/>
      <c r="AI841" s="230"/>
      <c r="AJ841" s="230"/>
      <c r="AK841" s="230"/>
      <c r="AL841" s="230"/>
      <c r="AM841" s="230"/>
      <c r="AN841" s="230"/>
      <c r="AO841" s="230"/>
      <c r="AP841" s="230"/>
      <c r="AQ841" s="230"/>
      <c r="AS841" s="231"/>
      <c r="AT841" s="231"/>
      <c r="AU841" s="231"/>
      <c r="AV841" s="231"/>
      <c r="AW841" s="231"/>
      <c r="AX841" s="231"/>
      <c r="AY841" s="231"/>
      <c r="AZ841" s="231"/>
      <c r="BA841" s="231"/>
      <c r="BC841" s="82"/>
      <c r="BD841" s="82"/>
      <c r="BE841" s="82"/>
      <c r="BF841" s="82"/>
      <c r="BG841" s="82"/>
      <c r="BH841" s="82"/>
      <c r="BI841" s="82"/>
      <c r="BJ841" s="82"/>
      <c r="BK841" s="82"/>
      <c r="BL841" s="82"/>
      <c r="BM841" s="82"/>
      <c r="BN841" s="82"/>
      <c r="BO841" s="82"/>
      <c r="BP841" s="82"/>
      <c r="BQ841" s="82"/>
      <c r="BR841" s="82"/>
      <c r="BS841" s="82"/>
      <c r="BT841" s="82"/>
      <c r="BU841" s="82"/>
      <c r="BV841" s="82"/>
      <c r="BW841" s="82"/>
      <c r="BX841" s="82"/>
      <c r="BY841" s="82"/>
      <c r="BZ841" s="82"/>
      <c r="CA841" s="82"/>
      <c r="CB841" s="82"/>
      <c r="CC841" s="82"/>
      <c r="CD841" s="82"/>
      <c r="CE841" s="82"/>
      <c r="CF841" s="82"/>
      <c r="CG841" s="82"/>
      <c r="CH841" s="82"/>
      <c r="CI841" s="82"/>
      <c r="CJ841" s="82"/>
      <c r="CK841" s="82"/>
      <c r="CL841" s="82"/>
      <c r="CM841" s="82"/>
      <c r="CN841" s="82"/>
      <c r="CO841" s="82"/>
      <c r="CP841" s="82"/>
      <c r="CQ841" s="82"/>
      <c r="CR841" s="82"/>
      <c r="CS841" s="82"/>
      <c r="CT841" s="82"/>
      <c r="CU841" s="82"/>
      <c r="CV841" s="82"/>
      <c r="CW841" s="82"/>
      <c r="CX841" s="82"/>
      <c r="CY841" s="82"/>
      <c r="CZ841" s="82"/>
      <c r="DA841" s="82"/>
      <c r="DB841" s="82"/>
      <c r="DC841" s="82"/>
      <c r="DD841" s="82"/>
      <c r="DE841" s="82"/>
      <c r="DF841" s="82"/>
      <c r="DG841" s="82"/>
    </row>
    <row r="842" spans="2:111" ht="9" customHeight="1">
      <c r="B842" s="229"/>
      <c r="C842" s="229"/>
      <c r="D842" s="229"/>
      <c r="E842" s="229"/>
      <c r="F842" s="229"/>
      <c r="G842" s="229"/>
      <c r="H842" s="229"/>
      <c r="I842" s="229"/>
      <c r="J842" s="229"/>
      <c r="K842" s="229"/>
      <c r="L842" s="229"/>
      <c r="M842" s="229"/>
      <c r="N842" s="229"/>
      <c r="P842" s="230"/>
      <c r="Q842" s="230"/>
      <c r="R842" s="230"/>
      <c r="S842" s="230"/>
      <c r="T842" s="230"/>
      <c r="U842" s="230"/>
      <c r="V842" s="230"/>
      <c r="W842" s="230"/>
      <c r="X842" s="230"/>
      <c r="Y842" s="230"/>
      <c r="Z842" s="230"/>
      <c r="AA842" s="230"/>
      <c r="AB842" s="230"/>
      <c r="AC842" s="230"/>
      <c r="AD842" s="230"/>
      <c r="AE842" s="230"/>
      <c r="AF842" s="230"/>
      <c r="AG842" s="230"/>
      <c r="AH842" s="230"/>
      <c r="AI842" s="230"/>
      <c r="AJ842" s="230"/>
      <c r="AK842" s="230"/>
      <c r="AL842" s="230"/>
      <c r="AM842" s="230"/>
      <c r="AN842" s="230"/>
      <c r="AO842" s="230"/>
      <c r="AP842" s="230"/>
      <c r="AQ842" s="230"/>
      <c r="AS842" s="231"/>
      <c r="AT842" s="231"/>
      <c r="AU842" s="231"/>
      <c r="AV842" s="231"/>
      <c r="AW842" s="231"/>
      <c r="AX842" s="231"/>
      <c r="AY842" s="231"/>
      <c r="AZ842" s="231"/>
      <c r="BA842" s="231"/>
      <c r="BC842" s="82"/>
      <c r="BD842" s="82"/>
      <c r="BE842" s="82"/>
      <c r="BF842" s="82"/>
      <c r="BG842" s="82"/>
      <c r="BH842" s="82"/>
      <c r="BI842" s="82"/>
      <c r="BJ842" s="82"/>
      <c r="BK842" s="82"/>
      <c r="BL842" s="82"/>
      <c r="BM842" s="82"/>
      <c r="BN842" s="82"/>
      <c r="BO842" s="82"/>
      <c r="BP842" s="82"/>
      <c r="BQ842" s="82"/>
      <c r="BR842" s="82"/>
      <c r="BS842" s="82"/>
      <c r="BT842" s="82"/>
      <c r="BU842" s="82"/>
      <c r="BV842" s="82"/>
      <c r="BW842" s="82"/>
      <c r="BX842" s="82"/>
      <c r="BY842" s="82"/>
      <c r="BZ842" s="82"/>
      <c r="CA842" s="82"/>
      <c r="CB842" s="82"/>
      <c r="CC842" s="82"/>
      <c r="CD842" s="82"/>
      <c r="CE842" s="82"/>
      <c r="CF842" s="82"/>
      <c r="CG842" s="82"/>
      <c r="CH842" s="82"/>
      <c r="CI842" s="82"/>
      <c r="CJ842" s="82"/>
      <c r="CK842" s="82"/>
      <c r="CL842" s="82"/>
      <c r="CM842" s="82"/>
      <c r="CN842" s="82"/>
      <c r="CO842" s="82"/>
      <c r="CP842" s="82"/>
      <c r="CQ842" s="82"/>
      <c r="CR842" s="82"/>
      <c r="CS842" s="82"/>
      <c r="CT842" s="82"/>
      <c r="CU842" s="82"/>
      <c r="CV842" s="82"/>
      <c r="CW842" s="82"/>
      <c r="CX842" s="82"/>
      <c r="CY842" s="82"/>
      <c r="CZ842" s="82"/>
      <c r="DA842" s="82"/>
      <c r="DB842" s="82"/>
      <c r="DC842" s="82"/>
      <c r="DD842" s="82"/>
      <c r="DE842" s="82"/>
      <c r="DF842" s="82"/>
      <c r="DG842" s="82"/>
    </row>
    <row r="843" spans="2:111" ht="9" customHeight="1">
      <c r="B843" s="229"/>
      <c r="C843" s="229"/>
      <c r="D843" s="229"/>
      <c r="E843" s="229"/>
      <c r="F843" s="229"/>
      <c r="G843" s="229"/>
      <c r="H843" s="229"/>
      <c r="I843" s="229"/>
      <c r="J843" s="229"/>
      <c r="K843" s="229"/>
      <c r="L843" s="229"/>
      <c r="M843" s="229"/>
      <c r="N843" s="229"/>
      <c r="P843" s="230"/>
      <c r="Q843" s="230"/>
      <c r="R843" s="230"/>
      <c r="S843" s="230"/>
      <c r="T843" s="230"/>
      <c r="U843" s="230"/>
      <c r="V843" s="230"/>
      <c r="W843" s="230"/>
      <c r="X843" s="230"/>
      <c r="Y843" s="230"/>
      <c r="Z843" s="230"/>
      <c r="AA843" s="230"/>
      <c r="AB843" s="230"/>
      <c r="AC843" s="230"/>
      <c r="AD843" s="230"/>
      <c r="AE843" s="230"/>
      <c r="AF843" s="230"/>
      <c r="AG843" s="230"/>
      <c r="AH843" s="230"/>
      <c r="AI843" s="230"/>
      <c r="AJ843" s="230"/>
      <c r="AK843" s="230"/>
      <c r="AL843" s="230"/>
      <c r="AM843" s="230"/>
      <c r="AN843" s="230"/>
      <c r="AO843" s="230"/>
      <c r="AP843" s="230"/>
      <c r="AQ843" s="230"/>
      <c r="AS843" s="231"/>
      <c r="AT843" s="231"/>
      <c r="AU843" s="231"/>
      <c r="AV843" s="231"/>
      <c r="AW843" s="231"/>
      <c r="AX843" s="231"/>
      <c r="AY843" s="231"/>
      <c r="AZ843" s="231"/>
      <c r="BA843" s="231"/>
      <c r="BC843" s="82"/>
      <c r="BD843" s="82"/>
      <c r="BE843" s="82"/>
      <c r="BF843" s="82"/>
      <c r="BG843" s="82"/>
      <c r="BH843" s="82"/>
      <c r="BI843" s="82"/>
      <c r="BJ843" s="82"/>
      <c r="BK843" s="82"/>
      <c r="BL843" s="82"/>
      <c r="BM843" s="82"/>
      <c r="BN843" s="82"/>
      <c r="BO843" s="82"/>
      <c r="BP843" s="82"/>
      <c r="BQ843" s="82"/>
      <c r="BR843" s="82"/>
      <c r="BS843" s="82"/>
      <c r="BT843" s="82"/>
      <c r="BU843" s="82"/>
      <c r="BV843" s="82"/>
      <c r="BW843" s="82"/>
      <c r="BX843" s="82"/>
      <c r="BY843" s="82"/>
      <c r="BZ843" s="82"/>
      <c r="CA843" s="82"/>
      <c r="CB843" s="82"/>
      <c r="CC843" s="82"/>
      <c r="CD843" s="82"/>
      <c r="CE843" s="82"/>
      <c r="CF843" s="82"/>
      <c r="CG843" s="82"/>
      <c r="CH843" s="82"/>
      <c r="CI843" s="82"/>
      <c r="CJ843" s="82"/>
      <c r="CK843" s="82"/>
      <c r="CL843" s="82"/>
      <c r="CM843" s="82"/>
      <c r="CN843" s="82"/>
      <c r="CO843" s="82"/>
      <c r="CP843" s="82"/>
      <c r="CQ843" s="82"/>
      <c r="CR843" s="82"/>
      <c r="CS843" s="82"/>
      <c r="CT843" s="82"/>
      <c r="CU843" s="82"/>
      <c r="CV843" s="82"/>
      <c r="CW843" s="82"/>
      <c r="CX843" s="82"/>
      <c r="CY843" s="82"/>
      <c r="CZ843" s="82"/>
      <c r="DA843" s="82"/>
      <c r="DB843" s="82"/>
      <c r="DC843" s="82"/>
      <c r="DD843" s="82"/>
      <c r="DE843" s="82"/>
      <c r="DF843" s="82"/>
      <c r="DG843" s="82"/>
    </row>
    <row r="844" spans="2:111" ht="9" customHeight="1">
      <c r="B844" s="229"/>
      <c r="C844" s="229"/>
      <c r="D844" s="229"/>
      <c r="E844" s="229"/>
      <c r="F844" s="229"/>
      <c r="G844" s="229"/>
      <c r="H844" s="229"/>
      <c r="I844" s="229"/>
      <c r="J844" s="229"/>
      <c r="K844" s="229"/>
      <c r="L844" s="229"/>
      <c r="M844" s="229"/>
      <c r="N844" s="229"/>
      <c r="P844" s="230"/>
      <c r="Q844" s="230"/>
      <c r="R844" s="230"/>
      <c r="S844" s="230"/>
      <c r="T844" s="230"/>
      <c r="U844" s="230"/>
      <c r="V844" s="230"/>
      <c r="W844" s="230"/>
      <c r="X844" s="230"/>
      <c r="Y844" s="230"/>
      <c r="Z844" s="230"/>
      <c r="AA844" s="230"/>
      <c r="AB844" s="230"/>
      <c r="AC844" s="230"/>
      <c r="AD844" s="230"/>
      <c r="AE844" s="230"/>
      <c r="AF844" s="230"/>
      <c r="AG844" s="230"/>
      <c r="AH844" s="230"/>
      <c r="AI844" s="230"/>
      <c r="AJ844" s="230"/>
      <c r="AK844" s="230"/>
      <c r="AL844" s="230"/>
      <c r="AM844" s="230"/>
      <c r="AN844" s="230"/>
      <c r="AO844" s="230"/>
      <c r="AP844" s="230"/>
      <c r="AQ844" s="230"/>
      <c r="AS844" s="231"/>
      <c r="AT844" s="231"/>
      <c r="AU844" s="231"/>
      <c r="AV844" s="231"/>
      <c r="AW844" s="231"/>
      <c r="AX844" s="231"/>
      <c r="AY844" s="231"/>
      <c r="AZ844" s="231"/>
      <c r="BA844" s="231"/>
      <c r="BC844" s="82"/>
      <c r="BD844" s="82"/>
      <c r="BE844" s="82"/>
      <c r="BF844" s="82"/>
      <c r="BG844" s="82"/>
      <c r="BH844" s="82"/>
      <c r="BI844" s="82"/>
      <c r="BJ844" s="82"/>
      <c r="BK844" s="82"/>
      <c r="BL844" s="82"/>
      <c r="BM844" s="82"/>
      <c r="BN844" s="82"/>
      <c r="BO844" s="82"/>
      <c r="BP844" s="82"/>
      <c r="BQ844" s="82"/>
      <c r="BR844" s="82"/>
      <c r="BS844" s="82"/>
      <c r="BT844" s="82"/>
      <c r="BU844" s="82"/>
      <c r="BV844" s="82"/>
      <c r="BW844" s="82"/>
      <c r="BX844" s="82"/>
      <c r="BY844" s="82"/>
      <c r="BZ844" s="82"/>
      <c r="CA844" s="82"/>
      <c r="CB844" s="82"/>
      <c r="CC844" s="82"/>
      <c r="CD844" s="82"/>
      <c r="CE844" s="82"/>
      <c r="CF844" s="82"/>
      <c r="CG844" s="82"/>
      <c r="CH844" s="82"/>
      <c r="CI844" s="82"/>
      <c r="CJ844" s="82"/>
      <c r="CK844" s="82"/>
      <c r="CL844" s="82"/>
      <c r="CM844" s="82"/>
      <c r="CN844" s="82"/>
      <c r="CO844" s="82"/>
      <c r="CP844" s="82"/>
      <c r="CQ844" s="82"/>
      <c r="CR844" s="82"/>
      <c r="CS844" s="82"/>
      <c r="CT844" s="82"/>
      <c r="CU844" s="82"/>
      <c r="CV844" s="82"/>
      <c r="CW844" s="82"/>
      <c r="CX844" s="82"/>
      <c r="CY844" s="82"/>
      <c r="CZ844" s="82"/>
      <c r="DA844" s="82"/>
      <c r="DB844" s="82"/>
      <c r="DC844" s="82"/>
      <c r="DD844" s="82"/>
      <c r="DE844" s="82"/>
      <c r="DF844" s="82"/>
      <c r="DG844" s="82"/>
    </row>
    <row r="845" spans="2:111" ht="9" customHeight="1">
      <c r="B845" s="229"/>
      <c r="C845" s="229"/>
      <c r="D845" s="229"/>
      <c r="E845" s="229"/>
      <c r="F845" s="229"/>
      <c r="G845" s="229"/>
      <c r="H845" s="229"/>
      <c r="I845" s="229"/>
      <c r="J845" s="229"/>
      <c r="K845" s="229"/>
      <c r="L845" s="229"/>
      <c r="M845" s="229"/>
      <c r="N845" s="229"/>
      <c r="P845" s="230"/>
      <c r="Q845" s="230"/>
      <c r="R845" s="230"/>
      <c r="S845" s="230"/>
      <c r="T845" s="230"/>
      <c r="U845" s="230"/>
      <c r="V845" s="230"/>
      <c r="W845" s="230"/>
      <c r="X845" s="230"/>
      <c r="Y845" s="230"/>
      <c r="Z845" s="230"/>
      <c r="AA845" s="230"/>
      <c r="AB845" s="230"/>
      <c r="AC845" s="230"/>
      <c r="AD845" s="230"/>
      <c r="AE845" s="230"/>
      <c r="AF845" s="230"/>
      <c r="AG845" s="230"/>
      <c r="AH845" s="230"/>
      <c r="AI845" s="230"/>
      <c r="AJ845" s="230"/>
      <c r="AK845" s="230"/>
      <c r="AL845" s="230"/>
      <c r="AM845" s="230"/>
      <c r="AN845" s="230"/>
      <c r="AO845" s="230"/>
      <c r="AP845" s="230"/>
      <c r="AQ845" s="230"/>
      <c r="AS845" s="231"/>
      <c r="AT845" s="231"/>
      <c r="AU845" s="231"/>
      <c r="AV845" s="231"/>
      <c r="AW845" s="231"/>
      <c r="AX845" s="231"/>
      <c r="AY845" s="231"/>
      <c r="AZ845" s="231"/>
      <c r="BA845" s="231"/>
      <c r="BC845" s="82"/>
      <c r="BD845" s="82"/>
      <c r="BE845" s="82"/>
      <c r="BF845" s="82"/>
      <c r="BG845" s="82"/>
      <c r="BH845" s="82"/>
      <c r="BI845" s="82"/>
      <c r="BJ845" s="82"/>
      <c r="BK845" s="82"/>
      <c r="BL845" s="82"/>
      <c r="BM845" s="82"/>
      <c r="BN845" s="82"/>
      <c r="BO845" s="82"/>
      <c r="BP845" s="82"/>
      <c r="BQ845" s="82"/>
      <c r="BR845" s="82"/>
      <c r="BS845" s="82"/>
      <c r="BT845" s="82"/>
      <c r="BU845" s="82"/>
      <c r="BV845" s="82"/>
      <c r="BW845" s="82"/>
      <c r="BX845" s="82"/>
      <c r="BY845" s="82"/>
      <c r="BZ845" s="82"/>
      <c r="CA845" s="82"/>
      <c r="CB845" s="82"/>
      <c r="CC845" s="82"/>
      <c r="CD845" s="82"/>
      <c r="CE845" s="82"/>
      <c r="CF845" s="82"/>
      <c r="CG845" s="82"/>
      <c r="CH845" s="82"/>
      <c r="CI845" s="82"/>
      <c r="CJ845" s="82"/>
      <c r="CK845" s="82"/>
      <c r="CL845" s="82"/>
      <c r="CM845" s="82"/>
      <c r="CN845" s="82"/>
      <c r="CO845" s="82"/>
      <c r="CP845" s="82"/>
      <c r="CQ845" s="82"/>
      <c r="CR845" s="82"/>
      <c r="CS845" s="82"/>
      <c r="CT845" s="82"/>
      <c r="CU845" s="82"/>
      <c r="CV845" s="82"/>
      <c r="CW845" s="82"/>
      <c r="CX845" s="82"/>
      <c r="CY845" s="82"/>
      <c r="CZ845" s="82"/>
      <c r="DA845" s="82"/>
      <c r="DB845" s="82"/>
      <c r="DC845" s="82"/>
      <c r="DD845" s="82"/>
      <c r="DE845" s="82"/>
      <c r="DF845" s="82"/>
      <c r="DG845" s="82"/>
    </row>
    <row r="846" spans="2:111" ht="9" customHeight="1">
      <c r="B846" s="229"/>
      <c r="C846" s="229"/>
      <c r="D846" s="229"/>
      <c r="E846" s="229"/>
      <c r="F846" s="229"/>
      <c r="G846" s="229"/>
      <c r="H846" s="229"/>
      <c r="I846" s="229"/>
      <c r="J846" s="229"/>
      <c r="K846" s="229"/>
      <c r="L846" s="229"/>
      <c r="M846" s="229"/>
      <c r="N846" s="229"/>
      <c r="P846" s="230"/>
      <c r="Q846" s="230"/>
      <c r="R846" s="230"/>
      <c r="S846" s="230"/>
      <c r="T846" s="230"/>
      <c r="U846" s="230"/>
      <c r="V846" s="230"/>
      <c r="W846" s="230"/>
      <c r="X846" s="230"/>
      <c r="Y846" s="230"/>
      <c r="Z846" s="230"/>
      <c r="AA846" s="230"/>
      <c r="AB846" s="230"/>
      <c r="AC846" s="230"/>
      <c r="AD846" s="230"/>
      <c r="AE846" s="230"/>
      <c r="AF846" s="230"/>
      <c r="AG846" s="230"/>
      <c r="AH846" s="230"/>
      <c r="AI846" s="230"/>
      <c r="AJ846" s="230"/>
      <c r="AK846" s="230"/>
      <c r="AL846" s="230"/>
      <c r="AM846" s="230"/>
      <c r="AN846" s="230"/>
      <c r="AO846" s="230"/>
      <c r="AP846" s="230"/>
      <c r="AQ846" s="230"/>
      <c r="AS846" s="231"/>
      <c r="AT846" s="231"/>
      <c r="AU846" s="231"/>
      <c r="AV846" s="231"/>
      <c r="AW846" s="231"/>
      <c r="AX846" s="231"/>
      <c r="AY846" s="231"/>
      <c r="AZ846" s="231"/>
      <c r="BA846" s="231"/>
      <c r="BC846" s="82"/>
      <c r="BD846" s="82"/>
      <c r="BE846" s="82"/>
      <c r="BF846" s="82"/>
      <c r="BG846" s="82"/>
      <c r="BH846" s="82"/>
      <c r="BI846" s="82"/>
      <c r="BJ846" s="82"/>
      <c r="BK846" s="82"/>
      <c r="BL846" s="82"/>
      <c r="BM846" s="82"/>
      <c r="BN846" s="82"/>
      <c r="BO846" s="82"/>
      <c r="BP846" s="82"/>
      <c r="BQ846" s="82"/>
      <c r="BR846" s="82"/>
      <c r="BS846" s="82"/>
      <c r="BT846" s="82"/>
      <c r="BU846" s="82"/>
      <c r="BV846" s="82"/>
      <c r="BW846" s="82"/>
      <c r="BX846" s="82"/>
      <c r="BY846" s="82"/>
      <c r="BZ846" s="82"/>
      <c r="CA846" s="82"/>
      <c r="CB846" s="82"/>
      <c r="CC846" s="82"/>
      <c r="CD846" s="82"/>
      <c r="CE846" s="82"/>
      <c r="CF846" s="82"/>
      <c r="CG846" s="82"/>
      <c r="CH846" s="82"/>
      <c r="CI846" s="82"/>
      <c r="CJ846" s="82"/>
      <c r="CK846" s="82"/>
      <c r="CL846" s="82"/>
      <c r="CM846" s="82"/>
      <c r="CN846" s="82"/>
      <c r="CO846" s="82"/>
      <c r="CP846" s="82"/>
      <c r="CQ846" s="82"/>
      <c r="CR846" s="82"/>
      <c r="CS846" s="82"/>
      <c r="CT846" s="82"/>
      <c r="CU846" s="82"/>
      <c r="CV846" s="82"/>
      <c r="CW846" s="82"/>
      <c r="CX846" s="82"/>
      <c r="CY846" s="82"/>
      <c r="CZ846" s="82"/>
      <c r="DA846" s="82"/>
      <c r="DB846" s="82"/>
      <c r="DC846" s="82"/>
      <c r="DD846" s="82"/>
      <c r="DE846" s="82"/>
      <c r="DF846" s="82"/>
      <c r="DG846" s="82"/>
    </row>
    <row r="847" spans="2:111" ht="12" customHeight="1">
      <c r="BC847" s="82"/>
      <c r="BD847" s="82"/>
      <c r="BE847" s="82"/>
      <c r="BF847" s="82"/>
      <c r="BG847" s="82"/>
      <c r="BH847" s="82"/>
      <c r="BI847" s="82"/>
      <c r="BJ847" s="82"/>
      <c r="BK847" s="82"/>
      <c r="BL847" s="82"/>
      <c r="BM847" s="82"/>
      <c r="BN847" s="82"/>
      <c r="BO847" s="82"/>
      <c r="BP847" s="82"/>
      <c r="BQ847" s="82"/>
      <c r="BR847" s="82"/>
      <c r="BS847" s="82"/>
      <c r="BT847" s="82"/>
      <c r="BU847" s="82"/>
      <c r="BV847" s="82"/>
      <c r="BW847" s="82"/>
      <c r="BX847" s="82"/>
      <c r="BY847" s="82"/>
      <c r="BZ847" s="82"/>
      <c r="CA847" s="82"/>
      <c r="CB847" s="82"/>
      <c r="CC847" s="82"/>
      <c r="CD847" s="82"/>
      <c r="CE847" s="82"/>
      <c r="CF847" s="82"/>
      <c r="CG847" s="82"/>
      <c r="CH847" s="82"/>
      <c r="CI847" s="82"/>
      <c r="CJ847" s="82"/>
      <c r="CK847" s="82"/>
      <c r="CL847" s="82"/>
      <c r="CM847" s="82"/>
      <c r="CN847" s="82"/>
      <c r="CO847" s="82"/>
      <c r="CP847" s="82"/>
      <c r="CQ847" s="82"/>
      <c r="CR847" s="82"/>
      <c r="CS847" s="82"/>
      <c r="CT847" s="82"/>
      <c r="CU847" s="82"/>
      <c r="CV847" s="82"/>
      <c r="CW847" s="82"/>
      <c r="CX847" s="82"/>
      <c r="CY847" s="82"/>
      <c r="CZ847" s="82"/>
      <c r="DA847" s="82"/>
      <c r="DB847" s="82"/>
      <c r="DC847" s="82"/>
      <c r="DD847" s="82"/>
      <c r="DE847" s="82"/>
      <c r="DF847" s="82"/>
      <c r="DG847" s="82"/>
    </row>
    <row r="848" spans="2:111" ht="9" customHeight="1">
      <c r="B848" s="232" t="str">
        <f>IF($U$752&gt;=5,"Etapa 2.5","")</f>
        <v/>
      </c>
      <c r="C848" s="232"/>
      <c r="D848" s="232"/>
      <c r="E848" s="232"/>
      <c r="F848" s="232"/>
      <c r="G848" s="232"/>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c r="AI848" s="233"/>
      <c r="AJ848" s="233"/>
      <c r="AK848" s="233"/>
      <c r="AL848" s="233"/>
      <c r="AM848" s="233"/>
      <c r="AN848" s="233"/>
      <c r="AO848" s="233"/>
      <c r="AP848" s="233"/>
      <c r="AQ848" s="233"/>
      <c r="AS848" s="234" t="str">
        <f>IF(SUM(AS854:BA869)=0,"",SUM(AS854:BA869))</f>
        <v/>
      </c>
      <c r="AT848" s="234"/>
      <c r="AU848" s="234"/>
      <c r="AV848" s="234"/>
      <c r="AW848" s="234"/>
      <c r="AX848" s="234"/>
      <c r="AY848" s="234"/>
      <c r="AZ848" s="234"/>
      <c r="BA848" s="234"/>
      <c r="BC848" s="82"/>
      <c r="BD848" s="82"/>
      <c r="BE848" s="82"/>
      <c r="BF848" s="82"/>
      <c r="BG848" s="82"/>
      <c r="BH848" s="82"/>
      <c r="BI848" s="82"/>
      <c r="BJ848" s="82"/>
      <c r="BK848" s="82"/>
      <c r="BL848" s="82"/>
      <c r="BM848" s="82"/>
      <c r="BN848" s="82"/>
      <c r="BO848" s="82"/>
      <c r="BP848" s="82"/>
      <c r="BQ848" s="82"/>
      <c r="BR848" s="82"/>
      <c r="BS848" s="82"/>
      <c r="BT848" s="82"/>
      <c r="BU848" s="82"/>
      <c r="BV848" s="82"/>
      <c r="BW848" s="82"/>
      <c r="BX848" s="82"/>
      <c r="BY848" s="82"/>
      <c r="BZ848" s="82"/>
      <c r="CA848" s="82"/>
      <c r="CB848" s="82"/>
      <c r="CC848" s="82"/>
      <c r="CD848" s="82"/>
      <c r="CE848" s="82"/>
      <c r="CF848" s="82"/>
      <c r="CG848" s="82"/>
      <c r="CH848" s="82"/>
      <c r="CI848" s="82"/>
      <c r="CJ848" s="82"/>
      <c r="CK848" s="82"/>
      <c r="CL848" s="82"/>
      <c r="CM848" s="82"/>
      <c r="CN848" s="82"/>
      <c r="CO848" s="82"/>
      <c r="CP848" s="82"/>
      <c r="CQ848" s="82"/>
      <c r="CR848" s="82"/>
      <c r="CS848" s="82"/>
      <c r="CT848" s="82"/>
      <c r="CU848" s="82"/>
      <c r="CV848" s="82"/>
      <c r="CW848" s="82"/>
      <c r="CX848" s="82"/>
      <c r="CY848" s="82"/>
      <c r="CZ848" s="82"/>
      <c r="DA848" s="82"/>
      <c r="DB848" s="82"/>
      <c r="DC848" s="82"/>
      <c r="DD848" s="82"/>
      <c r="DE848" s="82"/>
      <c r="DF848" s="82"/>
      <c r="DG848" s="82"/>
    </row>
    <row r="849" spans="2:111" ht="9" customHeight="1">
      <c r="B849" s="232"/>
      <c r="C849" s="232"/>
      <c r="D849" s="232"/>
      <c r="E849" s="232"/>
      <c r="F849" s="232"/>
      <c r="G849" s="232"/>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c r="AI849" s="233"/>
      <c r="AJ849" s="233"/>
      <c r="AK849" s="233"/>
      <c r="AL849" s="233"/>
      <c r="AM849" s="233"/>
      <c r="AN849" s="233"/>
      <c r="AO849" s="233"/>
      <c r="AP849" s="233"/>
      <c r="AQ849" s="233"/>
      <c r="AS849" s="234"/>
      <c r="AT849" s="234"/>
      <c r="AU849" s="234"/>
      <c r="AV849" s="234"/>
      <c r="AW849" s="234"/>
      <c r="AX849" s="234"/>
      <c r="AY849" s="234"/>
      <c r="AZ849" s="234"/>
      <c r="BA849" s="234"/>
      <c r="BC849" s="82"/>
      <c r="BD849" s="82"/>
      <c r="BE849" s="82"/>
      <c r="BF849" s="82"/>
      <c r="BG849" s="82"/>
      <c r="BH849" s="82"/>
      <c r="BI849" s="82"/>
      <c r="BJ849" s="82"/>
      <c r="BK849" s="82"/>
      <c r="BL849" s="82"/>
      <c r="BM849" s="82"/>
      <c r="BN849" s="82"/>
      <c r="BO849" s="82"/>
      <c r="BP849" s="82"/>
      <c r="BQ849" s="82"/>
      <c r="BR849" s="82"/>
      <c r="BS849" s="82"/>
      <c r="BT849" s="82"/>
      <c r="BU849" s="82"/>
      <c r="BV849" s="82"/>
      <c r="BW849" s="82"/>
      <c r="BX849" s="82"/>
      <c r="BY849" s="82"/>
      <c r="BZ849" s="82"/>
      <c r="CA849" s="82"/>
      <c r="CB849" s="82"/>
      <c r="CC849" s="82"/>
      <c r="CD849" s="82"/>
      <c r="CE849" s="82"/>
      <c r="CF849" s="82"/>
      <c r="CG849" s="82"/>
      <c r="CH849" s="82"/>
      <c r="CI849" s="82"/>
      <c r="CJ849" s="82"/>
      <c r="CK849" s="82"/>
      <c r="CL849" s="82"/>
      <c r="CM849" s="82"/>
      <c r="CN849" s="82"/>
      <c r="CO849" s="82"/>
      <c r="CP849" s="82"/>
      <c r="CQ849" s="82"/>
      <c r="CR849" s="82"/>
      <c r="CS849" s="82"/>
      <c r="CT849" s="82"/>
      <c r="CU849" s="82"/>
      <c r="CV849" s="82"/>
      <c r="CW849" s="82"/>
      <c r="CX849" s="82"/>
      <c r="CY849" s="82"/>
      <c r="CZ849" s="82"/>
      <c r="DA849" s="82"/>
      <c r="DB849" s="82"/>
      <c r="DC849" s="82"/>
      <c r="DD849" s="82"/>
      <c r="DE849" s="82"/>
      <c r="DF849" s="82"/>
      <c r="DG849" s="82"/>
    </row>
    <row r="850" spans="2:111" ht="4.5" customHeight="1">
      <c r="BC850" s="82"/>
      <c r="BD850" s="82"/>
      <c r="BE850" s="82"/>
      <c r="BF850" s="82"/>
      <c r="BG850" s="82"/>
      <c r="BH850" s="82"/>
      <c r="BI850" s="82"/>
      <c r="BJ850" s="82"/>
      <c r="BK850" s="82"/>
      <c r="BL850" s="82"/>
      <c r="BM850" s="82"/>
      <c r="BN850" s="82"/>
      <c r="BO850" s="82"/>
      <c r="BP850" s="82"/>
      <c r="BQ850" s="82"/>
      <c r="BR850" s="82"/>
      <c r="BS850" s="82"/>
      <c r="BT850" s="82"/>
      <c r="BU850" s="82"/>
      <c r="BV850" s="82"/>
      <c r="BW850" s="82"/>
      <c r="BX850" s="82"/>
      <c r="BY850" s="82"/>
      <c r="BZ850" s="82"/>
      <c r="CA850" s="82"/>
      <c r="CB850" s="82"/>
      <c r="CC850" s="82"/>
      <c r="CD850" s="82"/>
      <c r="CE850" s="82"/>
      <c r="CF850" s="82"/>
      <c r="CG850" s="82"/>
      <c r="CH850" s="82"/>
      <c r="CI850" s="82"/>
      <c r="CJ850" s="82"/>
      <c r="CK850" s="82"/>
      <c r="CL850" s="82"/>
      <c r="CM850" s="82"/>
      <c r="CN850" s="82"/>
      <c r="CO850" s="82"/>
      <c r="CP850" s="82"/>
      <c r="CQ850" s="82"/>
      <c r="CR850" s="82"/>
      <c r="CS850" s="82"/>
      <c r="CT850" s="82"/>
      <c r="CU850" s="82"/>
      <c r="CV850" s="82"/>
      <c r="CW850" s="82"/>
      <c r="CX850" s="82"/>
      <c r="CY850" s="82"/>
      <c r="CZ850" s="82"/>
      <c r="DA850" s="82"/>
      <c r="DB850" s="82"/>
      <c r="DC850" s="82"/>
      <c r="DD850" s="82"/>
      <c r="DE850" s="82"/>
      <c r="DF850" s="82"/>
      <c r="DG850" s="82"/>
    </row>
    <row r="851" spans="2:111" ht="9" customHeight="1">
      <c r="I851" s="229" t="str">
        <f>IF($U$752&gt;=5,"Início:","")</f>
        <v/>
      </c>
      <c r="J851" s="229"/>
      <c r="K851" s="229"/>
      <c r="L851" s="229"/>
      <c r="M851" s="229"/>
      <c r="N851" s="229"/>
      <c r="P851" s="235"/>
      <c r="Q851" s="235"/>
      <c r="R851" s="235"/>
      <c r="S851" s="235"/>
      <c r="T851" s="235"/>
      <c r="U851" s="235"/>
      <c r="V851" s="235"/>
      <c r="W851" s="235"/>
      <c r="Y851" s="229" t="str">
        <f>IF($U$752&gt;=5,"Término:","")</f>
        <v/>
      </c>
      <c r="Z851" s="229"/>
      <c r="AA851" s="229"/>
      <c r="AB851" s="229"/>
      <c r="AC851" s="229"/>
      <c r="AD851" s="229"/>
      <c r="AF851" s="235"/>
      <c r="AG851" s="235"/>
      <c r="AH851" s="235"/>
      <c r="AI851" s="235"/>
      <c r="AJ851" s="235"/>
      <c r="AK851" s="235"/>
      <c r="AL851" s="235"/>
      <c r="AM851" s="235"/>
      <c r="AW851" s="236" t="str">
        <f>IF($U$752&gt;=5,"Valor (R$):","")</f>
        <v/>
      </c>
      <c r="AX851" s="236"/>
      <c r="AY851" s="236"/>
      <c r="AZ851" s="236"/>
      <c r="BA851" s="236"/>
      <c r="BC851" s="82"/>
      <c r="BD851" s="82"/>
      <c r="BE851" s="82"/>
      <c r="BF851" s="82"/>
      <c r="BG851" s="82"/>
      <c r="BH851" s="82"/>
      <c r="BI851" s="82"/>
      <c r="BJ851" s="82"/>
      <c r="BK851" s="82"/>
      <c r="BL851" s="82"/>
      <c r="BM851" s="82"/>
      <c r="BN851" s="82"/>
      <c r="BO851" s="82"/>
      <c r="BP851" s="82"/>
      <c r="BQ851" s="82"/>
      <c r="BR851" s="82"/>
      <c r="BS851" s="82"/>
      <c r="BT851" s="82"/>
      <c r="BU851" s="82"/>
      <c r="BV851" s="82"/>
      <c r="BW851" s="82"/>
      <c r="BX851" s="82"/>
      <c r="BY851" s="82"/>
      <c r="BZ851" s="82"/>
      <c r="CA851" s="82"/>
      <c r="CB851" s="82"/>
      <c r="CC851" s="82"/>
      <c r="CD851" s="82"/>
      <c r="CE851" s="82"/>
      <c r="CF851" s="82"/>
      <c r="CG851" s="82"/>
      <c r="CH851" s="82"/>
      <c r="CI851" s="82"/>
      <c r="CJ851" s="82"/>
      <c r="CK851" s="82"/>
      <c r="CL851" s="82"/>
      <c r="CM851" s="82"/>
      <c r="CN851" s="82"/>
      <c r="CO851" s="82"/>
      <c r="CP851" s="82"/>
      <c r="CQ851" s="82"/>
      <c r="CR851" s="82"/>
      <c r="CS851" s="82"/>
      <c r="CT851" s="82"/>
      <c r="CU851" s="82"/>
      <c r="CV851" s="82"/>
      <c r="CW851" s="82"/>
      <c r="CX851" s="82"/>
      <c r="CY851" s="82"/>
      <c r="CZ851" s="82"/>
      <c r="DA851" s="82"/>
      <c r="DB851" s="82"/>
      <c r="DC851" s="82"/>
      <c r="DD851" s="82"/>
      <c r="DE851" s="82"/>
      <c r="DF851" s="82"/>
      <c r="DG851" s="82"/>
    </row>
    <row r="852" spans="2:111" ht="9" customHeight="1">
      <c r="I852" s="229"/>
      <c r="J852" s="229"/>
      <c r="K852" s="229"/>
      <c r="L852" s="229"/>
      <c r="M852" s="229"/>
      <c r="N852" s="229"/>
      <c r="P852" s="235"/>
      <c r="Q852" s="235"/>
      <c r="R852" s="235"/>
      <c r="S852" s="235"/>
      <c r="T852" s="235"/>
      <c r="U852" s="235"/>
      <c r="V852" s="235"/>
      <c r="W852" s="235"/>
      <c r="Y852" s="229"/>
      <c r="Z852" s="229"/>
      <c r="AA852" s="229"/>
      <c r="AB852" s="229"/>
      <c r="AC852" s="229"/>
      <c r="AD852" s="229"/>
      <c r="AF852" s="235"/>
      <c r="AG852" s="235"/>
      <c r="AH852" s="235"/>
      <c r="AI852" s="235"/>
      <c r="AJ852" s="235"/>
      <c r="AK852" s="235"/>
      <c r="AL852" s="235"/>
      <c r="AM852" s="235"/>
      <c r="AW852" s="236"/>
      <c r="AX852" s="236"/>
      <c r="AY852" s="236"/>
      <c r="AZ852" s="236"/>
      <c r="BA852" s="236"/>
      <c r="BC852" s="82"/>
      <c r="BD852" s="82"/>
      <c r="BE852" s="82"/>
      <c r="BF852" s="82"/>
      <c r="BG852" s="82"/>
      <c r="BH852" s="82"/>
      <c r="BI852" s="82"/>
      <c r="BJ852" s="82"/>
      <c r="BK852" s="82"/>
      <c r="BL852" s="82"/>
      <c r="BM852" s="82"/>
      <c r="BN852" s="82"/>
      <c r="BO852" s="82"/>
      <c r="BP852" s="82"/>
      <c r="BQ852" s="82"/>
      <c r="BR852" s="82"/>
      <c r="BS852" s="82"/>
      <c r="BT852" s="82"/>
      <c r="BU852" s="82"/>
      <c r="BV852" s="82"/>
      <c r="BW852" s="82"/>
      <c r="BX852" s="82"/>
      <c r="BY852" s="82"/>
      <c r="BZ852" s="82"/>
      <c r="CA852" s="82"/>
      <c r="CB852" s="82"/>
      <c r="CC852" s="82"/>
      <c r="CD852" s="82"/>
      <c r="CE852" s="82"/>
      <c r="CF852" s="82"/>
      <c r="CG852" s="82"/>
      <c r="CH852" s="82"/>
      <c r="CI852" s="82"/>
      <c r="CJ852" s="82"/>
      <c r="CK852" s="82"/>
      <c r="CL852" s="82"/>
      <c r="CM852" s="82"/>
      <c r="CN852" s="82"/>
      <c r="CO852" s="82"/>
      <c r="CP852" s="82"/>
      <c r="CQ852" s="82"/>
      <c r="CR852" s="82"/>
      <c r="CS852" s="82"/>
      <c r="CT852" s="82"/>
      <c r="CU852" s="82"/>
      <c r="CV852" s="82"/>
      <c r="CW852" s="82"/>
      <c r="CX852" s="82"/>
      <c r="CY852" s="82"/>
      <c r="CZ852" s="82"/>
      <c r="DA852" s="82"/>
      <c r="DB852" s="82"/>
      <c r="DC852" s="82"/>
      <c r="DD852" s="82"/>
      <c r="DE852" s="82"/>
      <c r="DF852" s="82"/>
      <c r="DG852" s="82"/>
    </row>
    <row r="853" spans="2:111" ht="4.5" customHeight="1">
      <c r="BC853" s="82"/>
      <c r="BD853" s="82"/>
      <c r="BE853" s="82"/>
      <c r="BF853" s="82"/>
      <c r="BG853" s="82"/>
      <c r="BH853" s="82"/>
      <c r="BI853" s="82"/>
      <c r="BJ853" s="82"/>
      <c r="BK853" s="82"/>
      <c r="BL853" s="82"/>
      <c r="BM853" s="82"/>
      <c r="BN853" s="82"/>
      <c r="BO853" s="82"/>
      <c r="BP853" s="82"/>
      <c r="BQ853" s="82"/>
      <c r="BR853" s="82"/>
      <c r="BS853" s="82"/>
      <c r="BT853" s="82"/>
      <c r="BU853" s="82"/>
      <c r="BV853" s="82"/>
      <c r="BW853" s="82"/>
      <c r="BX853" s="82"/>
      <c r="BY853" s="82"/>
      <c r="BZ853" s="82"/>
      <c r="CA853" s="82"/>
      <c r="CB853" s="82"/>
      <c r="CC853" s="82"/>
      <c r="CD853" s="82"/>
      <c r="CE853" s="82"/>
      <c r="CF853" s="82"/>
      <c r="CG853" s="82"/>
      <c r="CH853" s="82"/>
      <c r="CI853" s="82"/>
      <c r="CJ853" s="82"/>
      <c r="CK853" s="82"/>
      <c r="CL853" s="82"/>
      <c r="CM853" s="82"/>
      <c r="CN853" s="82"/>
      <c r="CO853" s="82"/>
      <c r="CP853" s="82"/>
      <c r="CQ853" s="82"/>
      <c r="CR853" s="82"/>
      <c r="CS853" s="82"/>
      <c r="CT853" s="82"/>
      <c r="CU853" s="82"/>
      <c r="CV853" s="82"/>
      <c r="CW853" s="82"/>
      <c r="CX853" s="82"/>
      <c r="CY853" s="82"/>
      <c r="CZ853" s="82"/>
      <c r="DA853" s="82"/>
      <c r="DB853" s="82"/>
      <c r="DC853" s="82"/>
      <c r="DD853" s="82"/>
      <c r="DE853" s="82"/>
      <c r="DF853" s="82"/>
      <c r="DG853" s="82"/>
    </row>
    <row r="854" spans="2:111" ht="9" customHeight="1">
      <c r="B854" s="229" t="str">
        <f>IF($U$752&gt;=5,"Elementos de Despesa:","")</f>
        <v/>
      </c>
      <c r="C854" s="229"/>
      <c r="D854" s="229"/>
      <c r="E854" s="229"/>
      <c r="F854" s="229"/>
      <c r="G854" s="229"/>
      <c r="H854" s="229"/>
      <c r="I854" s="229"/>
      <c r="J854" s="229"/>
      <c r="K854" s="229"/>
      <c r="L854" s="229"/>
      <c r="M854" s="229"/>
      <c r="N854" s="229"/>
      <c r="P854" s="230"/>
      <c r="Q854" s="230"/>
      <c r="R854" s="230"/>
      <c r="S854" s="230"/>
      <c r="T854" s="230"/>
      <c r="U854" s="230"/>
      <c r="V854" s="230"/>
      <c r="W854" s="230"/>
      <c r="X854" s="230"/>
      <c r="Y854" s="230"/>
      <c r="Z854" s="230"/>
      <c r="AA854" s="230"/>
      <c r="AB854" s="230"/>
      <c r="AC854" s="230"/>
      <c r="AD854" s="230"/>
      <c r="AE854" s="230"/>
      <c r="AF854" s="230"/>
      <c r="AG854" s="230"/>
      <c r="AH854" s="230"/>
      <c r="AI854" s="230"/>
      <c r="AJ854" s="230"/>
      <c r="AK854" s="230"/>
      <c r="AL854" s="230"/>
      <c r="AM854" s="230"/>
      <c r="AN854" s="230"/>
      <c r="AO854" s="230"/>
      <c r="AP854" s="230"/>
      <c r="AQ854" s="230"/>
      <c r="AS854" s="231"/>
      <c r="AT854" s="231"/>
      <c r="AU854" s="231"/>
      <c r="AV854" s="231"/>
      <c r="AW854" s="231"/>
      <c r="AX854" s="231"/>
      <c r="AY854" s="231"/>
      <c r="AZ854" s="231"/>
      <c r="BA854" s="231"/>
      <c r="BC854" s="82"/>
      <c r="BD854" s="82"/>
      <c r="BE854" s="82"/>
      <c r="BF854" s="82"/>
      <c r="BG854" s="82"/>
      <c r="BH854" s="82"/>
      <c r="BI854" s="82"/>
      <c r="BJ854" s="82"/>
      <c r="BK854" s="82"/>
      <c r="BL854" s="82"/>
      <c r="BM854" s="82"/>
      <c r="BN854" s="82"/>
      <c r="BO854" s="82"/>
      <c r="BP854" s="82"/>
      <c r="BQ854" s="82"/>
      <c r="BR854" s="82"/>
      <c r="BS854" s="82"/>
      <c r="BT854" s="82"/>
      <c r="BU854" s="82"/>
      <c r="BV854" s="82"/>
      <c r="BW854" s="82"/>
      <c r="BX854" s="82"/>
      <c r="BY854" s="82"/>
      <c r="BZ854" s="82"/>
      <c r="CA854" s="82"/>
      <c r="CB854" s="82"/>
      <c r="CC854" s="82"/>
      <c r="CD854" s="82"/>
      <c r="CE854" s="82"/>
      <c r="CF854" s="82"/>
      <c r="CG854" s="82"/>
      <c r="CH854" s="82"/>
      <c r="CI854" s="82"/>
      <c r="CJ854" s="82"/>
      <c r="CK854" s="82"/>
      <c r="CL854" s="82"/>
      <c r="CM854" s="82"/>
      <c r="CN854" s="82"/>
      <c r="CO854" s="82"/>
      <c r="CP854" s="82"/>
      <c r="CQ854" s="82"/>
      <c r="CR854" s="82"/>
      <c r="CS854" s="82"/>
      <c r="CT854" s="82"/>
      <c r="CU854" s="82"/>
      <c r="CV854" s="82"/>
      <c r="CW854" s="82"/>
      <c r="CX854" s="82"/>
      <c r="CY854" s="82"/>
      <c r="CZ854" s="82"/>
      <c r="DA854" s="82"/>
      <c r="DB854" s="82"/>
      <c r="DC854" s="82"/>
      <c r="DD854" s="82"/>
      <c r="DE854" s="82"/>
      <c r="DF854" s="82"/>
      <c r="DG854" s="82"/>
    </row>
    <row r="855" spans="2:111" ht="9" customHeight="1">
      <c r="B855" s="229"/>
      <c r="C855" s="229"/>
      <c r="D855" s="229"/>
      <c r="E855" s="229"/>
      <c r="F855" s="229"/>
      <c r="G855" s="229"/>
      <c r="H855" s="229"/>
      <c r="I855" s="229"/>
      <c r="J855" s="229"/>
      <c r="K855" s="229"/>
      <c r="L855" s="229"/>
      <c r="M855" s="229"/>
      <c r="N855" s="229"/>
      <c r="P855" s="230"/>
      <c r="Q855" s="230"/>
      <c r="R855" s="230"/>
      <c r="S855" s="230"/>
      <c r="T855" s="230"/>
      <c r="U855" s="230"/>
      <c r="V855" s="230"/>
      <c r="W855" s="230"/>
      <c r="X855" s="230"/>
      <c r="Y855" s="230"/>
      <c r="Z855" s="230"/>
      <c r="AA855" s="230"/>
      <c r="AB855" s="230"/>
      <c r="AC855" s="230"/>
      <c r="AD855" s="230"/>
      <c r="AE855" s="230"/>
      <c r="AF855" s="230"/>
      <c r="AG855" s="230"/>
      <c r="AH855" s="230"/>
      <c r="AI855" s="230"/>
      <c r="AJ855" s="230"/>
      <c r="AK855" s="230"/>
      <c r="AL855" s="230"/>
      <c r="AM855" s="230"/>
      <c r="AN855" s="230"/>
      <c r="AO855" s="230"/>
      <c r="AP855" s="230"/>
      <c r="AQ855" s="230"/>
      <c r="AS855" s="231"/>
      <c r="AT855" s="231"/>
      <c r="AU855" s="231"/>
      <c r="AV855" s="231"/>
      <c r="AW855" s="231"/>
      <c r="AX855" s="231"/>
      <c r="AY855" s="231"/>
      <c r="AZ855" s="231"/>
      <c r="BA855" s="231"/>
      <c r="BC855" s="82"/>
      <c r="BD855" s="82"/>
      <c r="BE855" s="82"/>
      <c r="BF855" s="82"/>
      <c r="BG855" s="82"/>
      <c r="BH855" s="82"/>
      <c r="BI855" s="82"/>
      <c r="BJ855" s="82"/>
      <c r="BK855" s="82"/>
      <c r="BL855" s="82"/>
      <c r="BM855" s="82"/>
      <c r="BN855" s="82"/>
      <c r="BO855" s="82"/>
      <c r="BP855" s="82"/>
      <c r="BQ855" s="82"/>
      <c r="BR855" s="82"/>
      <c r="BS855" s="82"/>
      <c r="BT855" s="82"/>
      <c r="BU855" s="82"/>
      <c r="BV855" s="82"/>
      <c r="BW855" s="82"/>
      <c r="BX855" s="82"/>
      <c r="BY855" s="82"/>
      <c r="BZ855" s="82"/>
      <c r="CA855" s="82"/>
      <c r="CB855" s="82"/>
      <c r="CC855" s="82"/>
      <c r="CD855" s="82"/>
      <c r="CE855" s="82"/>
      <c r="CF855" s="82"/>
      <c r="CG855" s="82"/>
      <c r="CH855" s="82"/>
      <c r="CI855" s="82"/>
      <c r="CJ855" s="82"/>
      <c r="CK855" s="82"/>
      <c r="CL855" s="82"/>
      <c r="CM855" s="82"/>
      <c r="CN855" s="82"/>
      <c r="CO855" s="82"/>
      <c r="CP855" s="82"/>
      <c r="CQ855" s="82"/>
      <c r="CR855" s="82"/>
      <c r="CS855" s="82"/>
      <c r="CT855" s="82"/>
      <c r="CU855" s="82"/>
      <c r="CV855" s="82"/>
      <c r="CW855" s="82"/>
      <c r="CX855" s="82"/>
      <c r="CY855" s="82"/>
      <c r="CZ855" s="82"/>
      <c r="DA855" s="82"/>
      <c r="DB855" s="82"/>
      <c r="DC855" s="82"/>
      <c r="DD855" s="82"/>
      <c r="DE855" s="82"/>
      <c r="DF855" s="82"/>
      <c r="DG855" s="82"/>
    </row>
    <row r="856" spans="2:111" ht="9" customHeight="1">
      <c r="B856" s="229"/>
      <c r="C856" s="229"/>
      <c r="D856" s="229"/>
      <c r="E856" s="229"/>
      <c r="F856" s="229"/>
      <c r="G856" s="229"/>
      <c r="H856" s="229"/>
      <c r="I856" s="229"/>
      <c r="J856" s="229"/>
      <c r="K856" s="229"/>
      <c r="L856" s="229"/>
      <c r="M856" s="229"/>
      <c r="N856" s="229"/>
      <c r="P856" s="230"/>
      <c r="Q856" s="230"/>
      <c r="R856" s="230"/>
      <c r="S856" s="230"/>
      <c r="T856" s="230"/>
      <c r="U856" s="230"/>
      <c r="V856" s="230"/>
      <c r="W856" s="230"/>
      <c r="X856" s="230"/>
      <c r="Y856" s="230"/>
      <c r="Z856" s="230"/>
      <c r="AA856" s="230"/>
      <c r="AB856" s="230"/>
      <c r="AC856" s="230"/>
      <c r="AD856" s="230"/>
      <c r="AE856" s="230"/>
      <c r="AF856" s="230"/>
      <c r="AG856" s="230"/>
      <c r="AH856" s="230"/>
      <c r="AI856" s="230"/>
      <c r="AJ856" s="230"/>
      <c r="AK856" s="230"/>
      <c r="AL856" s="230"/>
      <c r="AM856" s="230"/>
      <c r="AN856" s="230"/>
      <c r="AO856" s="230"/>
      <c r="AP856" s="230"/>
      <c r="AQ856" s="230"/>
      <c r="AS856" s="231"/>
      <c r="AT856" s="231"/>
      <c r="AU856" s="231"/>
      <c r="AV856" s="231"/>
      <c r="AW856" s="231"/>
      <c r="AX856" s="231"/>
      <c r="AY856" s="231"/>
      <c r="AZ856" s="231"/>
      <c r="BA856" s="231"/>
      <c r="BC856" s="82"/>
      <c r="BD856" s="82"/>
      <c r="BE856" s="82"/>
      <c r="BF856" s="82"/>
      <c r="BG856" s="82"/>
      <c r="BH856" s="82"/>
      <c r="BI856" s="82"/>
      <c r="BJ856" s="82"/>
      <c r="BK856" s="82"/>
      <c r="BL856" s="82"/>
      <c r="BM856" s="82"/>
      <c r="BN856" s="82"/>
      <c r="BO856" s="82"/>
      <c r="BP856" s="82"/>
      <c r="BQ856" s="82"/>
      <c r="BR856" s="82"/>
      <c r="BS856" s="82"/>
      <c r="BT856" s="82"/>
      <c r="BU856" s="82"/>
      <c r="BV856" s="82"/>
      <c r="BW856" s="82"/>
      <c r="BX856" s="82"/>
      <c r="BY856" s="82"/>
      <c r="BZ856" s="82"/>
      <c r="CA856" s="82"/>
      <c r="CB856" s="82"/>
      <c r="CC856" s="82"/>
      <c r="CD856" s="82"/>
      <c r="CE856" s="82"/>
      <c r="CF856" s="82"/>
      <c r="CG856" s="82"/>
      <c r="CH856" s="82"/>
      <c r="CI856" s="82"/>
      <c r="CJ856" s="82"/>
      <c r="CK856" s="82"/>
      <c r="CL856" s="82"/>
      <c r="CM856" s="82"/>
      <c r="CN856" s="82"/>
      <c r="CO856" s="82"/>
      <c r="CP856" s="82"/>
      <c r="CQ856" s="82"/>
      <c r="CR856" s="82"/>
      <c r="CS856" s="82"/>
      <c r="CT856" s="82"/>
      <c r="CU856" s="82"/>
      <c r="CV856" s="82"/>
      <c r="CW856" s="82"/>
      <c r="CX856" s="82"/>
      <c r="CY856" s="82"/>
      <c r="CZ856" s="82"/>
      <c r="DA856" s="82"/>
      <c r="DB856" s="82"/>
      <c r="DC856" s="82"/>
      <c r="DD856" s="82"/>
      <c r="DE856" s="82"/>
      <c r="DF856" s="82"/>
      <c r="DG856" s="82"/>
    </row>
    <row r="857" spans="2:111" ht="9" customHeight="1">
      <c r="B857" s="229"/>
      <c r="C857" s="229"/>
      <c r="D857" s="229"/>
      <c r="E857" s="229"/>
      <c r="F857" s="229"/>
      <c r="G857" s="229"/>
      <c r="H857" s="229"/>
      <c r="I857" s="229"/>
      <c r="J857" s="229"/>
      <c r="K857" s="229"/>
      <c r="L857" s="229"/>
      <c r="M857" s="229"/>
      <c r="N857" s="229"/>
      <c r="P857" s="230"/>
      <c r="Q857" s="230"/>
      <c r="R857" s="230"/>
      <c r="S857" s="230"/>
      <c r="T857" s="230"/>
      <c r="U857" s="230"/>
      <c r="V857" s="230"/>
      <c r="W857" s="230"/>
      <c r="X857" s="230"/>
      <c r="Y857" s="230"/>
      <c r="Z857" s="230"/>
      <c r="AA857" s="230"/>
      <c r="AB857" s="230"/>
      <c r="AC857" s="230"/>
      <c r="AD857" s="230"/>
      <c r="AE857" s="230"/>
      <c r="AF857" s="230"/>
      <c r="AG857" s="230"/>
      <c r="AH857" s="230"/>
      <c r="AI857" s="230"/>
      <c r="AJ857" s="230"/>
      <c r="AK857" s="230"/>
      <c r="AL857" s="230"/>
      <c r="AM857" s="230"/>
      <c r="AN857" s="230"/>
      <c r="AO857" s="230"/>
      <c r="AP857" s="230"/>
      <c r="AQ857" s="230"/>
      <c r="AS857" s="231"/>
      <c r="AT857" s="231"/>
      <c r="AU857" s="231"/>
      <c r="AV857" s="231"/>
      <c r="AW857" s="231"/>
      <c r="AX857" s="231"/>
      <c r="AY857" s="231"/>
      <c r="AZ857" s="231"/>
      <c r="BA857" s="231"/>
      <c r="BC857" s="82"/>
      <c r="BD857" s="82"/>
      <c r="BE857" s="82"/>
      <c r="BF857" s="82"/>
      <c r="BG857" s="82"/>
      <c r="BH857" s="82"/>
      <c r="BI857" s="82"/>
      <c r="BJ857" s="82"/>
      <c r="BK857" s="82"/>
      <c r="BL857" s="82"/>
      <c r="BM857" s="82"/>
      <c r="BN857" s="82"/>
      <c r="BO857" s="82"/>
      <c r="BP857" s="82"/>
      <c r="BQ857" s="82"/>
      <c r="BR857" s="82"/>
      <c r="BS857" s="82"/>
      <c r="BT857" s="82"/>
      <c r="BU857" s="82"/>
      <c r="BV857" s="82"/>
      <c r="BW857" s="82"/>
      <c r="BX857" s="82"/>
      <c r="BY857" s="82"/>
      <c r="BZ857" s="82"/>
      <c r="CA857" s="82"/>
      <c r="CB857" s="82"/>
      <c r="CC857" s="82"/>
      <c r="CD857" s="82"/>
      <c r="CE857" s="82"/>
      <c r="CF857" s="82"/>
      <c r="CG857" s="82"/>
      <c r="CH857" s="82"/>
      <c r="CI857" s="82"/>
      <c r="CJ857" s="82"/>
      <c r="CK857" s="82"/>
      <c r="CL857" s="82"/>
      <c r="CM857" s="82"/>
      <c r="CN857" s="82"/>
      <c r="CO857" s="82"/>
      <c r="CP857" s="82"/>
      <c r="CQ857" s="82"/>
      <c r="CR857" s="82"/>
      <c r="CS857" s="82"/>
      <c r="CT857" s="82"/>
      <c r="CU857" s="82"/>
      <c r="CV857" s="82"/>
      <c r="CW857" s="82"/>
      <c r="CX857" s="82"/>
      <c r="CY857" s="82"/>
      <c r="CZ857" s="82"/>
      <c r="DA857" s="82"/>
      <c r="DB857" s="82"/>
      <c r="DC857" s="82"/>
      <c r="DD857" s="82"/>
      <c r="DE857" s="82"/>
      <c r="DF857" s="82"/>
      <c r="DG857" s="82"/>
    </row>
    <row r="858" spans="2:111" ht="9" customHeight="1">
      <c r="B858" s="229"/>
      <c r="C858" s="229"/>
      <c r="D858" s="229"/>
      <c r="E858" s="229"/>
      <c r="F858" s="229"/>
      <c r="G858" s="229"/>
      <c r="H858" s="229"/>
      <c r="I858" s="229"/>
      <c r="J858" s="229"/>
      <c r="K858" s="229"/>
      <c r="L858" s="229"/>
      <c r="M858" s="229"/>
      <c r="N858" s="229"/>
      <c r="P858" s="230"/>
      <c r="Q858" s="230"/>
      <c r="R858" s="230"/>
      <c r="S858" s="230"/>
      <c r="T858" s="230"/>
      <c r="U858" s="230"/>
      <c r="V858" s="230"/>
      <c r="W858" s="230"/>
      <c r="X858" s="230"/>
      <c r="Y858" s="230"/>
      <c r="Z858" s="230"/>
      <c r="AA858" s="230"/>
      <c r="AB858" s="230"/>
      <c r="AC858" s="230"/>
      <c r="AD858" s="230"/>
      <c r="AE858" s="230"/>
      <c r="AF858" s="230"/>
      <c r="AG858" s="230"/>
      <c r="AH858" s="230"/>
      <c r="AI858" s="230"/>
      <c r="AJ858" s="230"/>
      <c r="AK858" s="230"/>
      <c r="AL858" s="230"/>
      <c r="AM858" s="230"/>
      <c r="AN858" s="230"/>
      <c r="AO858" s="230"/>
      <c r="AP858" s="230"/>
      <c r="AQ858" s="230"/>
      <c r="AS858" s="231"/>
      <c r="AT858" s="231"/>
      <c r="AU858" s="231"/>
      <c r="AV858" s="231"/>
      <c r="AW858" s="231"/>
      <c r="AX858" s="231"/>
      <c r="AY858" s="231"/>
      <c r="AZ858" s="231"/>
      <c r="BA858" s="231"/>
      <c r="BC858" s="82"/>
      <c r="BD858" s="82"/>
      <c r="BE858" s="82"/>
      <c r="BF858" s="82"/>
      <c r="BG858" s="82"/>
      <c r="BH858" s="82"/>
      <c r="BI858" s="82"/>
      <c r="BJ858" s="82"/>
      <c r="BK858" s="82"/>
      <c r="BL858" s="82"/>
      <c r="BM858" s="82"/>
      <c r="BN858" s="82"/>
      <c r="BO858" s="82"/>
      <c r="BP858" s="82"/>
      <c r="BQ858" s="82"/>
      <c r="BR858" s="82"/>
      <c r="BS858" s="82"/>
      <c r="BT858" s="82"/>
      <c r="BU858" s="82"/>
      <c r="BV858" s="82"/>
      <c r="BW858" s="82"/>
      <c r="BX858" s="82"/>
      <c r="BY858" s="82"/>
      <c r="BZ858" s="82"/>
      <c r="CA858" s="82"/>
      <c r="CB858" s="82"/>
      <c r="CC858" s="82"/>
      <c r="CD858" s="82"/>
      <c r="CE858" s="82"/>
      <c r="CF858" s="82"/>
      <c r="CG858" s="82"/>
      <c r="CH858" s="82"/>
      <c r="CI858" s="82"/>
      <c r="CJ858" s="82"/>
      <c r="CK858" s="82"/>
      <c r="CL858" s="82"/>
      <c r="CM858" s="82"/>
      <c r="CN858" s="82"/>
      <c r="CO858" s="82"/>
      <c r="CP858" s="82"/>
      <c r="CQ858" s="82"/>
      <c r="CR858" s="82"/>
      <c r="CS858" s="82"/>
      <c r="CT858" s="82"/>
      <c r="CU858" s="82"/>
      <c r="CV858" s="82"/>
      <c r="CW858" s="82"/>
      <c r="CX858" s="82"/>
      <c r="CY858" s="82"/>
      <c r="CZ858" s="82"/>
      <c r="DA858" s="82"/>
      <c r="DB858" s="82"/>
      <c r="DC858" s="82"/>
      <c r="DD858" s="82"/>
      <c r="DE858" s="82"/>
      <c r="DF858" s="82"/>
      <c r="DG858" s="82"/>
    </row>
    <row r="859" spans="2:111" ht="9" customHeight="1">
      <c r="B859" s="229"/>
      <c r="C859" s="229"/>
      <c r="D859" s="229"/>
      <c r="E859" s="229"/>
      <c r="F859" s="229"/>
      <c r="G859" s="229"/>
      <c r="H859" s="229"/>
      <c r="I859" s="229"/>
      <c r="J859" s="229"/>
      <c r="K859" s="229"/>
      <c r="L859" s="229"/>
      <c r="M859" s="229"/>
      <c r="N859" s="229"/>
      <c r="P859" s="230"/>
      <c r="Q859" s="230"/>
      <c r="R859" s="230"/>
      <c r="S859" s="230"/>
      <c r="T859" s="230"/>
      <c r="U859" s="230"/>
      <c r="V859" s="230"/>
      <c r="W859" s="230"/>
      <c r="X859" s="230"/>
      <c r="Y859" s="230"/>
      <c r="Z859" s="230"/>
      <c r="AA859" s="230"/>
      <c r="AB859" s="230"/>
      <c r="AC859" s="230"/>
      <c r="AD859" s="230"/>
      <c r="AE859" s="230"/>
      <c r="AF859" s="230"/>
      <c r="AG859" s="230"/>
      <c r="AH859" s="230"/>
      <c r="AI859" s="230"/>
      <c r="AJ859" s="230"/>
      <c r="AK859" s="230"/>
      <c r="AL859" s="230"/>
      <c r="AM859" s="230"/>
      <c r="AN859" s="230"/>
      <c r="AO859" s="230"/>
      <c r="AP859" s="230"/>
      <c r="AQ859" s="230"/>
      <c r="AS859" s="231"/>
      <c r="AT859" s="231"/>
      <c r="AU859" s="231"/>
      <c r="AV859" s="231"/>
      <c r="AW859" s="231"/>
      <c r="AX859" s="231"/>
      <c r="AY859" s="231"/>
      <c r="AZ859" s="231"/>
      <c r="BA859" s="231"/>
      <c r="BC859" s="82"/>
      <c r="BD859" s="82"/>
      <c r="BE859" s="82"/>
      <c r="BF859" s="82"/>
      <c r="BG859" s="82"/>
      <c r="BH859" s="82"/>
      <c r="BI859" s="82"/>
      <c r="BJ859" s="82"/>
      <c r="BK859" s="82"/>
      <c r="BL859" s="82"/>
      <c r="BM859" s="82"/>
      <c r="BN859" s="82"/>
      <c r="BO859" s="82"/>
      <c r="BP859" s="82"/>
      <c r="BQ859" s="82"/>
      <c r="BR859" s="82"/>
      <c r="BS859" s="82"/>
      <c r="BT859" s="82"/>
      <c r="BU859" s="82"/>
      <c r="BV859" s="82"/>
      <c r="BW859" s="82"/>
      <c r="BX859" s="82"/>
      <c r="BY859" s="82"/>
      <c r="BZ859" s="82"/>
      <c r="CA859" s="82"/>
      <c r="CB859" s="82"/>
      <c r="CC859" s="82"/>
      <c r="CD859" s="82"/>
      <c r="CE859" s="82"/>
      <c r="CF859" s="82"/>
      <c r="CG859" s="82"/>
      <c r="CH859" s="82"/>
      <c r="CI859" s="82"/>
      <c r="CJ859" s="82"/>
      <c r="CK859" s="82"/>
      <c r="CL859" s="82"/>
      <c r="CM859" s="82"/>
      <c r="CN859" s="82"/>
      <c r="CO859" s="82"/>
      <c r="CP859" s="82"/>
      <c r="CQ859" s="82"/>
      <c r="CR859" s="82"/>
      <c r="CS859" s="82"/>
      <c r="CT859" s="82"/>
      <c r="CU859" s="82"/>
      <c r="CV859" s="82"/>
      <c r="CW859" s="82"/>
      <c r="CX859" s="82"/>
      <c r="CY859" s="82"/>
      <c r="CZ859" s="82"/>
      <c r="DA859" s="82"/>
      <c r="DB859" s="82"/>
      <c r="DC859" s="82"/>
      <c r="DD859" s="82"/>
      <c r="DE859" s="82"/>
      <c r="DF859" s="82"/>
      <c r="DG859" s="82"/>
    </row>
    <row r="860" spans="2:111" ht="9" customHeight="1">
      <c r="B860" s="229"/>
      <c r="C860" s="229"/>
      <c r="D860" s="229"/>
      <c r="E860" s="229"/>
      <c r="F860" s="229"/>
      <c r="G860" s="229"/>
      <c r="H860" s="229"/>
      <c r="I860" s="229"/>
      <c r="J860" s="229"/>
      <c r="K860" s="229"/>
      <c r="L860" s="229"/>
      <c r="M860" s="229"/>
      <c r="N860" s="229"/>
      <c r="P860" s="230"/>
      <c r="Q860" s="230"/>
      <c r="R860" s="230"/>
      <c r="S860" s="230"/>
      <c r="T860" s="230"/>
      <c r="U860" s="230"/>
      <c r="V860" s="230"/>
      <c r="W860" s="230"/>
      <c r="X860" s="230"/>
      <c r="Y860" s="230"/>
      <c r="Z860" s="230"/>
      <c r="AA860" s="230"/>
      <c r="AB860" s="230"/>
      <c r="AC860" s="230"/>
      <c r="AD860" s="230"/>
      <c r="AE860" s="230"/>
      <c r="AF860" s="230"/>
      <c r="AG860" s="230"/>
      <c r="AH860" s="230"/>
      <c r="AI860" s="230"/>
      <c r="AJ860" s="230"/>
      <c r="AK860" s="230"/>
      <c r="AL860" s="230"/>
      <c r="AM860" s="230"/>
      <c r="AN860" s="230"/>
      <c r="AO860" s="230"/>
      <c r="AP860" s="230"/>
      <c r="AQ860" s="230"/>
      <c r="AS860" s="231"/>
      <c r="AT860" s="231"/>
      <c r="AU860" s="231"/>
      <c r="AV860" s="231"/>
      <c r="AW860" s="231"/>
      <c r="AX860" s="231"/>
      <c r="AY860" s="231"/>
      <c r="AZ860" s="231"/>
      <c r="BA860" s="231"/>
      <c r="BC860" s="82"/>
      <c r="BD860" s="82"/>
      <c r="BE860" s="82"/>
      <c r="BF860" s="82"/>
      <c r="BG860" s="82"/>
      <c r="BH860" s="82"/>
      <c r="BI860" s="82"/>
      <c r="BJ860" s="82"/>
      <c r="BK860" s="82"/>
      <c r="BL860" s="82"/>
      <c r="BM860" s="82"/>
      <c r="BN860" s="82"/>
      <c r="BO860" s="82"/>
      <c r="BP860" s="82"/>
      <c r="BQ860" s="82"/>
      <c r="BR860" s="82"/>
      <c r="BS860" s="82"/>
      <c r="BT860" s="82"/>
      <c r="BU860" s="82"/>
      <c r="BV860" s="82"/>
      <c r="BW860" s="82"/>
      <c r="BX860" s="82"/>
      <c r="BY860" s="82"/>
      <c r="BZ860" s="82"/>
      <c r="CA860" s="82"/>
      <c r="CB860" s="82"/>
      <c r="CC860" s="82"/>
      <c r="CD860" s="82"/>
      <c r="CE860" s="82"/>
      <c r="CF860" s="82"/>
      <c r="CG860" s="82"/>
      <c r="CH860" s="82"/>
      <c r="CI860" s="82"/>
      <c r="CJ860" s="82"/>
      <c r="CK860" s="82"/>
      <c r="CL860" s="82"/>
      <c r="CM860" s="82"/>
      <c r="CN860" s="82"/>
      <c r="CO860" s="82"/>
      <c r="CP860" s="82"/>
      <c r="CQ860" s="82"/>
      <c r="CR860" s="82"/>
      <c r="CS860" s="82"/>
      <c r="CT860" s="82"/>
      <c r="CU860" s="82"/>
      <c r="CV860" s="82"/>
      <c r="CW860" s="82"/>
      <c r="CX860" s="82"/>
      <c r="CY860" s="82"/>
      <c r="CZ860" s="82"/>
      <c r="DA860" s="82"/>
      <c r="DB860" s="82"/>
      <c r="DC860" s="82"/>
      <c r="DD860" s="82"/>
      <c r="DE860" s="82"/>
      <c r="DF860" s="82"/>
      <c r="DG860" s="82"/>
    </row>
    <row r="861" spans="2:111" ht="9" customHeight="1">
      <c r="B861" s="229"/>
      <c r="C861" s="229"/>
      <c r="D861" s="229"/>
      <c r="E861" s="229"/>
      <c r="F861" s="229"/>
      <c r="G861" s="229"/>
      <c r="H861" s="229"/>
      <c r="I861" s="229"/>
      <c r="J861" s="229"/>
      <c r="K861" s="229"/>
      <c r="L861" s="229"/>
      <c r="M861" s="229"/>
      <c r="N861" s="229"/>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230"/>
      <c r="AL861" s="230"/>
      <c r="AM861" s="230"/>
      <c r="AN861" s="230"/>
      <c r="AO861" s="230"/>
      <c r="AP861" s="230"/>
      <c r="AQ861" s="230"/>
      <c r="AS861" s="231"/>
      <c r="AT861" s="231"/>
      <c r="AU861" s="231"/>
      <c r="AV861" s="231"/>
      <c r="AW861" s="231"/>
      <c r="AX861" s="231"/>
      <c r="AY861" s="231"/>
      <c r="AZ861" s="231"/>
      <c r="BA861" s="231"/>
      <c r="BC861" s="82"/>
      <c r="BD861" s="82"/>
      <c r="BE861" s="82"/>
      <c r="BF861" s="82"/>
      <c r="BG861" s="82"/>
      <c r="BH861" s="82"/>
      <c r="BI861" s="82"/>
      <c r="BJ861" s="82"/>
      <c r="BK861" s="82"/>
      <c r="BL861" s="82"/>
      <c r="BM861" s="82"/>
      <c r="BN861" s="82"/>
      <c r="BO861" s="82"/>
      <c r="BP861" s="82"/>
      <c r="BQ861" s="82"/>
      <c r="BR861" s="82"/>
      <c r="BS861" s="82"/>
      <c r="BT861" s="82"/>
      <c r="BU861" s="82"/>
      <c r="BV861" s="82"/>
      <c r="BW861" s="82"/>
      <c r="BX861" s="82"/>
      <c r="BY861" s="82"/>
      <c r="BZ861" s="82"/>
      <c r="CA861" s="82"/>
      <c r="CB861" s="82"/>
      <c r="CC861" s="82"/>
      <c r="CD861" s="82"/>
      <c r="CE861" s="82"/>
      <c r="CF861" s="82"/>
      <c r="CG861" s="82"/>
      <c r="CH861" s="82"/>
      <c r="CI861" s="82"/>
      <c r="CJ861" s="82"/>
      <c r="CK861" s="82"/>
      <c r="CL861" s="82"/>
      <c r="CM861" s="82"/>
      <c r="CN861" s="82"/>
      <c r="CO861" s="82"/>
      <c r="CP861" s="82"/>
      <c r="CQ861" s="82"/>
      <c r="CR861" s="82"/>
      <c r="CS861" s="82"/>
      <c r="CT861" s="82"/>
      <c r="CU861" s="82"/>
      <c r="CV861" s="82"/>
      <c r="CW861" s="82"/>
      <c r="CX861" s="82"/>
      <c r="CY861" s="82"/>
      <c r="CZ861" s="82"/>
      <c r="DA861" s="82"/>
      <c r="DB861" s="82"/>
      <c r="DC861" s="82"/>
      <c r="DD861" s="82"/>
      <c r="DE861" s="82"/>
      <c r="DF861" s="82"/>
      <c r="DG861" s="82"/>
    </row>
    <row r="862" spans="2:111" ht="9" customHeight="1">
      <c r="B862" s="229"/>
      <c r="C862" s="229"/>
      <c r="D862" s="229"/>
      <c r="E862" s="229"/>
      <c r="F862" s="229"/>
      <c r="G862" s="229"/>
      <c r="H862" s="229"/>
      <c r="I862" s="229"/>
      <c r="J862" s="229"/>
      <c r="K862" s="229"/>
      <c r="L862" s="229"/>
      <c r="M862" s="229"/>
      <c r="N862" s="229"/>
      <c r="P862" s="230"/>
      <c r="Q862" s="230"/>
      <c r="R862" s="230"/>
      <c r="S862" s="230"/>
      <c r="T862" s="230"/>
      <c r="U862" s="230"/>
      <c r="V862" s="230"/>
      <c r="W862" s="230"/>
      <c r="X862" s="230"/>
      <c r="Y862" s="230"/>
      <c r="Z862" s="230"/>
      <c r="AA862" s="230"/>
      <c r="AB862" s="230"/>
      <c r="AC862" s="230"/>
      <c r="AD862" s="230"/>
      <c r="AE862" s="230"/>
      <c r="AF862" s="230"/>
      <c r="AG862" s="230"/>
      <c r="AH862" s="230"/>
      <c r="AI862" s="230"/>
      <c r="AJ862" s="230"/>
      <c r="AK862" s="230"/>
      <c r="AL862" s="230"/>
      <c r="AM862" s="230"/>
      <c r="AN862" s="230"/>
      <c r="AO862" s="230"/>
      <c r="AP862" s="230"/>
      <c r="AQ862" s="230"/>
      <c r="AS862" s="231"/>
      <c r="AT862" s="231"/>
      <c r="AU862" s="231"/>
      <c r="AV862" s="231"/>
      <c r="AW862" s="231"/>
      <c r="AX862" s="231"/>
      <c r="AY862" s="231"/>
      <c r="AZ862" s="231"/>
      <c r="BA862" s="231"/>
      <c r="BC862" s="82"/>
      <c r="BD862" s="82"/>
      <c r="BE862" s="82"/>
      <c r="BF862" s="82"/>
      <c r="BG862" s="82"/>
      <c r="BH862" s="82"/>
      <c r="BI862" s="82"/>
      <c r="BJ862" s="82"/>
      <c r="BK862" s="82"/>
      <c r="BL862" s="82"/>
      <c r="BM862" s="82"/>
      <c r="BN862" s="82"/>
      <c r="BO862" s="82"/>
      <c r="BP862" s="82"/>
      <c r="BQ862" s="82"/>
      <c r="BR862" s="82"/>
      <c r="BS862" s="82"/>
      <c r="BT862" s="82"/>
      <c r="BU862" s="82"/>
      <c r="BV862" s="82"/>
      <c r="BW862" s="82"/>
      <c r="BX862" s="82"/>
      <c r="BY862" s="82"/>
      <c r="BZ862" s="82"/>
      <c r="CA862" s="82"/>
      <c r="CB862" s="82"/>
      <c r="CC862" s="82"/>
      <c r="CD862" s="82"/>
      <c r="CE862" s="82"/>
      <c r="CF862" s="82"/>
      <c r="CG862" s="82"/>
      <c r="CH862" s="82"/>
      <c r="CI862" s="82"/>
      <c r="CJ862" s="82"/>
      <c r="CK862" s="82"/>
      <c r="CL862" s="82"/>
      <c r="CM862" s="82"/>
      <c r="CN862" s="82"/>
      <c r="CO862" s="82"/>
      <c r="CP862" s="82"/>
      <c r="CQ862" s="82"/>
      <c r="CR862" s="82"/>
      <c r="CS862" s="82"/>
      <c r="CT862" s="82"/>
      <c r="CU862" s="82"/>
      <c r="CV862" s="82"/>
      <c r="CW862" s="82"/>
      <c r="CX862" s="82"/>
      <c r="CY862" s="82"/>
      <c r="CZ862" s="82"/>
      <c r="DA862" s="82"/>
      <c r="DB862" s="82"/>
      <c r="DC862" s="82"/>
      <c r="DD862" s="82"/>
      <c r="DE862" s="82"/>
      <c r="DF862" s="82"/>
      <c r="DG862" s="82"/>
    </row>
    <row r="863" spans="2:111" ht="9" customHeight="1">
      <c r="B863" s="229"/>
      <c r="C863" s="229"/>
      <c r="D863" s="229"/>
      <c r="E863" s="229"/>
      <c r="F863" s="229"/>
      <c r="G863" s="229"/>
      <c r="H863" s="229"/>
      <c r="I863" s="229"/>
      <c r="J863" s="229"/>
      <c r="K863" s="229"/>
      <c r="L863" s="229"/>
      <c r="M863" s="229"/>
      <c r="N863" s="229"/>
      <c r="P863" s="230"/>
      <c r="Q863" s="230"/>
      <c r="R863" s="230"/>
      <c r="S863" s="230"/>
      <c r="T863" s="230"/>
      <c r="U863" s="230"/>
      <c r="V863" s="230"/>
      <c r="W863" s="230"/>
      <c r="X863" s="230"/>
      <c r="Y863" s="230"/>
      <c r="Z863" s="230"/>
      <c r="AA863" s="230"/>
      <c r="AB863" s="230"/>
      <c r="AC863" s="230"/>
      <c r="AD863" s="230"/>
      <c r="AE863" s="230"/>
      <c r="AF863" s="230"/>
      <c r="AG863" s="230"/>
      <c r="AH863" s="230"/>
      <c r="AI863" s="230"/>
      <c r="AJ863" s="230"/>
      <c r="AK863" s="230"/>
      <c r="AL863" s="230"/>
      <c r="AM863" s="230"/>
      <c r="AN863" s="230"/>
      <c r="AO863" s="230"/>
      <c r="AP863" s="230"/>
      <c r="AQ863" s="230"/>
      <c r="AS863" s="231"/>
      <c r="AT863" s="231"/>
      <c r="AU863" s="231"/>
      <c r="AV863" s="231"/>
      <c r="AW863" s="231"/>
      <c r="AX863" s="231"/>
      <c r="AY863" s="231"/>
      <c r="AZ863" s="231"/>
      <c r="BA863" s="231"/>
      <c r="BC863" s="82"/>
      <c r="BD863" s="82"/>
      <c r="BE863" s="82"/>
      <c r="BF863" s="82"/>
      <c r="BG863" s="82"/>
      <c r="BH863" s="82"/>
      <c r="BI863" s="82"/>
      <c r="BJ863" s="82"/>
      <c r="BK863" s="82"/>
      <c r="BL863" s="82"/>
      <c r="BM863" s="82"/>
      <c r="BN863" s="82"/>
      <c r="BO863" s="82"/>
      <c r="BP863" s="82"/>
      <c r="BQ863" s="82"/>
      <c r="BR863" s="82"/>
      <c r="BS863" s="82"/>
      <c r="BT863" s="82"/>
      <c r="BU863" s="82"/>
      <c r="BV863" s="82"/>
      <c r="BW863" s="82"/>
      <c r="BX863" s="82"/>
      <c r="BY863" s="82"/>
      <c r="BZ863" s="82"/>
      <c r="CA863" s="82"/>
      <c r="CB863" s="82"/>
      <c r="CC863" s="82"/>
      <c r="CD863" s="82"/>
      <c r="CE863" s="82"/>
      <c r="CF863" s="82"/>
      <c r="CG863" s="82"/>
      <c r="CH863" s="82"/>
      <c r="CI863" s="82"/>
      <c r="CJ863" s="82"/>
      <c r="CK863" s="82"/>
      <c r="CL863" s="82"/>
      <c r="CM863" s="82"/>
      <c r="CN863" s="82"/>
      <c r="CO863" s="82"/>
      <c r="CP863" s="82"/>
      <c r="CQ863" s="82"/>
      <c r="CR863" s="82"/>
      <c r="CS863" s="82"/>
      <c r="CT863" s="82"/>
      <c r="CU863" s="82"/>
      <c r="CV863" s="82"/>
      <c r="CW863" s="82"/>
      <c r="CX863" s="82"/>
      <c r="CY863" s="82"/>
      <c r="CZ863" s="82"/>
      <c r="DA863" s="82"/>
      <c r="DB863" s="82"/>
      <c r="DC863" s="82"/>
      <c r="DD863" s="82"/>
      <c r="DE863" s="82"/>
      <c r="DF863" s="82"/>
      <c r="DG863" s="82"/>
    </row>
    <row r="864" spans="2:111" ht="9" customHeight="1">
      <c r="B864" s="229"/>
      <c r="C864" s="229"/>
      <c r="D864" s="229"/>
      <c r="E864" s="229"/>
      <c r="F864" s="229"/>
      <c r="G864" s="229"/>
      <c r="H864" s="229"/>
      <c r="I864" s="229"/>
      <c r="J864" s="229"/>
      <c r="K864" s="229"/>
      <c r="L864" s="229"/>
      <c r="M864" s="229"/>
      <c r="N864" s="229"/>
      <c r="P864" s="230"/>
      <c r="Q864" s="230"/>
      <c r="R864" s="230"/>
      <c r="S864" s="230"/>
      <c r="T864" s="230"/>
      <c r="U864" s="230"/>
      <c r="V864" s="230"/>
      <c r="W864" s="230"/>
      <c r="X864" s="230"/>
      <c r="Y864" s="230"/>
      <c r="Z864" s="230"/>
      <c r="AA864" s="230"/>
      <c r="AB864" s="230"/>
      <c r="AC864" s="230"/>
      <c r="AD864" s="230"/>
      <c r="AE864" s="230"/>
      <c r="AF864" s="230"/>
      <c r="AG864" s="230"/>
      <c r="AH864" s="230"/>
      <c r="AI864" s="230"/>
      <c r="AJ864" s="230"/>
      <c r="AK864" s="230"/>
      <c r="AL864" s="230"/>
      <c r="AM864" s="230"/>
      <c r="AN864" s="230"/>
      <c r="AO864" s="230"/>
      <c r="AP864" s="230"/>
      <c r="AQ864" s="230"/>
      <c r="AS864" s="231"/>
      <c r="AT864" s="231"/>
      <c r="AU864" s="231"/>
      <c r="AV864" s="231"/>
      <c r="AW864" s="231"/>
      <c r="AX864" s="231"/>
      <c r="AY864" s="231"/>
      <c r="AZ864" s="231"/>
      <c r="BA864" s="231"/>
      <c r="BC864" s="82"/>
      <c r="BD864" s="82"/>
      <c r="BE864" s="82"/>
      <c r="BF864" s="82"/>
      <c r="BG864" s="82"/>
      <c r="BH864" s="82"/>
      <c r="BI864" s="82"/>
      <c r="BJ864" s="82"/>
      <c r="BK864" s="82"/>
      <c r="BL864" s="82"/>
      <c r="BM864" s="82"/>
      <c r="BN864" s="82"/>
      <c r="BO864" s="82"/>
      <c r="BP864" s="82"/>
      <c r="BQ864" s="82"/>
      <c r="BR864" s="82"/>
      <c r="BS864" s="82"/>
      <c r="BT864" s="82"/>
      <c r="BU864" s="82"/>
      <c r="BV864" s="82"/>
      <c r="BW864" s="82"/>
      <c r="BX864" s="82"/>
      <c r="BY864" s="82"/>
      <c r="BZ864" s="82"/>
      <c r="CA864" s="82"/>
      <c r="CB864" s="82"/>
      <c r="CC864" s="82"/>
      <c r="CD864" s="82"/>
      <c r="CE864" s="82"/>
      <c r="CF864" s="82"/>
      <c r="CG864" s="82"/>
      <c r="CH864" s="82"/>
      <c r="CI864" s="82"/>
      <c r="CJ864" s="82"/>
      <c r="CK864" s="82"/>
      <c r="CL864" s="82"/>
      <c r="CM864" s="82"/>
      <c r="CN864" s="82"/>
      <c r="CO864" s="82"/>
      <c r="CP864" s="82"/>
      <c r="CQ864" s="82"/>
      <c r="CR864" s="82"/>
      <c r="CS864" s="82"/>
      <c r="CT864" s="82"/>
      <c r="CU864" s="82"/>
      <c r="CV864" s="82"/>
      <c r="CW864" s="82"/>
      <c r="CX864" s="82"/>
      <c r="CY864" s="82"/>
      <c r="CZ864" s="82"/>
      <c r="DA864" s="82"/>
      <c r="DB864" s="82"/>
      <c r="DC864" s="82"/>
      <c r="DD864" s="82"/>
      <c r="DE864" s="82"/>
      <c r="DF864" s="82"/>
      <c r="DG864" s="82"/>
    </row>
    <row r="865" spans="2:111" ht="9" customHeight="1">
      <c r="B865" s="229"/>
      <c r="C865" s="229"/>
      <c r="D865" s="229"/>
      <c r="E865" s="229"/>
      <c r="F865" s="229"/>
      <c r="G865" s="229"/>
      <c r="H865" s="229"/>
      <c r="I865" s="229"/>
      <c r="J865" s="229"/>
      <c r="K865" s="229"/>
      <c r="L865" s="229"/>
      <c r="M865" s="229"/>
      <c r="N865" s="229"/>
      <c r="P865" s="230"/>
      <c r="Q865" s="230"/>
      <c r="R865" s="230"/>
      <c r="S865" s="230"/>
      <c r="T865" s="230"/>
      <c r="U865" s="230"/>
      <c r="V865" s="230"/>
      <c r="W865" s="230"/>
      <c r="X865" s="230"/>
      <c r="Y865" s="230"/>
      <c r="Z865" s="230"/>
      <c r="AA865" s="230"/>
      <c r="AB865" s="230"/>
      <c r="AC865" s="230"/>
      <c r="AD865" s="230"/>
      <c r="AE865" s="230"/>
      <c r="AF865" s="230"/>
      <c r="AG865" s="230"/>
      <c r="AH865" s="230"/>
      <c r="AI865" s="230"/>
      <c r="AJ865" s="230"/>
      <c r="AK865" s="230"/>
      <c r="AL865" s="230"/>
      <c r="AM865" s="230"/>
      <c r="AN865" s="230"/>
      <c r="AO865" s="230"/>
      <c r="AP865" s="230"/>
      <c r="AQ865" s="230"/>
      <c r="AS865" s="231"/>
      <c r="AT865" s="231"/>
      <c r="AU865" s="231"/>
      <c r="AV865" s="231"/>
      <c r="AW865" s="231"/>
      <c r="AX865" s="231"/>
      <c r="AY865" s="231"/>
      <c r="AZ865" s="231"/>
      <c r="BA865" s="231"/>
      <c r="BC865" s="82"/>
      <c r="BD865" s="82"/>
      <c r="BE865" s="82"/>
      <c r="BF865" s="82"/>
      <c r="BG865" s="82"/>
      <c r="BH865" s="82"/>
      <c r="BI865" s="82"/>
      <c r="BJ865" s="82"/>
      <c r="BK865" s="82"/>
      <c r="BL865" s="82"/>
      <c r="BM865" s="82"/>
      <c r="BN865" s="82"/>
      <c r="BO865" s="82"/>
      <c r="BP865" s="82"/>
      <c r="BQ865" s="82"/>
      <c r="BR865" s="82"/>
      <c r="BS865" s="82"/>
      <c r="BT865" s="82"/>
      <c r="BU865" s="82"/>
      <c r="BV865" s="82"/>
      <c r="BW865" s="82"/>
      <c r="BX865" s="82"/>
      <c r="BY865" s="82"/>
      <c r="BZ865" s="82"/>
      <c r="CA865" s="82"/>
      <c r="CB865" s="82"/>
      <c r="CC865" s="82"/>
      <c r="CD865" s="82"/>
      <c r="CE865" s="82"/>
      <c r="CF865" s="82"/>
      <c r="CG865" s="82"/>
      <c r="CH865" s="82"/>
      <c r="CI865" s="82"/>
      <c r="CJ865" s="82"/>
      <c r="CK865" s="82"/>
      <c r="CL865" s="82"/>
      <c r="CM865" s="82"/>
      <c r="CN865" s="82"/>
      <c r="CO865" s="82"/>
      <c r="CP865" s="82"/>
      <c r="CQ865" s="82"/>
      <c r="CR865" s="82"/>
      <c r="CS865" s="82"/>
      <c r="CT865" s="82"/>
      <c r="CU865" s="82"/>
      <c r="CV865" s="82"/>
      <c r="CW865" s="82"/>
      <c r="CX865" s="82"/>
      <c r="CY865" s="82"/>
      <c r="CZ865" s="82"/>
      <c r="DA865" s="82"/>
      <c r="DB865" s="82"/>
      <c r="DC865" s="82"/>
      <c r="DD865" s="82"/>
      <c r="DE865" s="82"/>
      <c r="DF865" s="82"/>
      <c r="DG865" s="82"/>
    </row>
    <row r="866" spans="2:111" ht="9" customHeight="1">
      <c r="B866" s="229"/>
      <c r="C866" s="229"/>
      <c r="D866" s="229"/>
      <c r="E866" s="229"/>
      <c r="F866" s="229"/>
      <c r="G866" s="229"/>
      <c r="H866" s="229"/>
      <c r="I866" s="229"/>
      <c r="J866" s="229"/>
      <c r="K866" s="229"/>
      <c r="L866" s="229"/>
      <c r="M866" s="229"/>
      <c r="N866" s="229"/>
      <c r="P866" s="230"/>
      <c r="Q866" s="230"/>
      <c r="R866" s="230"/>
      <c r="S866" s="230"/>
      <c r="T866" s="230"/>
      <c r="U866" s="230"/>
      <c r="V866" s="230"/>
      <c r="W866" s="230"/>
      <c r="X866" s="230"/>
      <c r="Y866" s="230"/>
      <c r="Z866" s="230"/>
      <c r="AA866" s="230"/>
      <c r="AB866" s="230"/>
      <c r="AC866" s="230"/>
      <c r="AD866" s="230"/>
      <c r="AE866" s="230"/>
      <c r="AF866" s="230"/>
      <c r="AG866" s="230"/>
      <c r="AH866" s="230"/>
      <c r="AI866" s="230"/>
      <c r="AJ866" s="230"/>
      <c r="AK866" s="230"/>
      <c r="AL866" s="230"/>
      <c r="AM866" s="230"/>
      <c r="AN866" s="230"/>
      <c r="AO866" s="230"/>
      <c r="AP866" s="230"/>
      <c r="AQ866" s="230"/>
      <c r="AS866" s="231"/>
      <c r="AT866" s="231"/>
      <c r="AU866" s="231"/>
      <c r="AV866" s="231"/>
      <c r="AW866" s="231"/>
      <c r="AX866" s="231"/>
      <c r="AY866" s="231"/>
      <c r="AZ866" s="231"/>
      <c r="BA866" s="231"/>
      <c r="BC866" s="82"/>
      <c r="BD866" s="82"/>
      <c r="BE866" s="82"/>
      <c r="BF866" s="82"/>
      <c r="BG866" s="82"/>
      <c r="BH866" s="82"/>
      <c r="BI866" s="82"/>
      <c r="BJ866" s="82"/>
      <c r="BK866" s="82"/>
      <c r="BL866" s="82"/>
      <c r="BM866" s="82"/>
      <c r="BN866" s="82"/>
      <c r="BO866" s="82"/>
      <c r="BP866" s="82"/>
      <c r="BQ866" s="82"/>
      <c r="BR866" s="82"/>
      <c r="BS866" s="82"/>
      <c r="BT866" s="82"/>
      <c r="BU866" s="82"/>
      <c r="BV866" s="82"/>
      <c r="BW866" s="82"/>
      <c r="BX866" s="82"/>
      <c r="BY866" s="82"/>
      <c r="BZ866" s="82"/>
      <c r="CA866" s="82"/>
      <c r="CB866" s="82"/>
      <c r="CC866" s="82"/>
      <c r="CD866" s="82"/>
      <c r="CE866" s="82"/>
      <c r="CF866" s="82"/>
      <c r="CG866" s="82"/>
      <c r="CH866" s="82"/>
      <c r="CI866" s="82"/>
      <c r="CJ866" s="82"/>
      <c r="CK866" s="82"/>
      <c r="CL866" s="82"/>
      <c r="CM866" s="82"/>
      <c r="CN866" s="82"/>
      <c r="CO866" s="82"/>
      <c r="CP866" s="82"/>
      <c r="CQ866" s="82"/>
      <c r="CR866" s="82"/>
      <c r="CS866" s="82"/>
      <c r="CT866" s="82"/>
      <c r="CU866" s="82"/>
      <c r="CV866" s="82"/>
      <c r="CW866" s="82"/>
      <c r="CX866" s="82"/>
      <c r="CY866" s="82"/>
      <c r="CZ866" s="82"/>
      <c r="DA866" s="82"/>
      <c r="DB866" s="82"/>
      <c r="DC866" s="82"/>
      <c r="DD866" s="82"/>
      <c r="DE866" s="82"/>
      <c r="DF866" s="82"/>
      <c r="DG866" s="82"/>
    </row>
    <row r="867" spans="2:111" ht="9" customHeight="1">
      <c r="B867" s="229"/>
      <c r="C867" s="229"/>
      <c r="D867" s="229"/>
      <c r="E867" s="229"/>
      <c r="F867" s="229"/>
      <c r="G867" s="229"/>
      <c r="H867" s="229"/>
      <c r="I867" s="229"/>
      <c r="J867" s="229"/>
      <c r="K867" s="229"/>
      <c r="L867" s="229"/>
      <c r="M867" s="229"/>
      <c r="N867" s="229"/>
      <c r="P867" s="230"/>
      <c r="Q867" s="230"/>
      <c r="R867" s="230"/>
      <c r="S867" s="230"/>
      <c r="T867" s="230"/>
      <c r="U867" s="230"/>
      <c r="V867" s="230"/>
      <c r="W867" s="230"/>
      <c r="X867" s="230"/>
      <c r="Y867" s="230"/>
      <c r="Z867" s="230"/>
      <c r="AA867" s="230"/>
      <c r="AB867" s="230"/>
      <c r="AC867" s="230"/>
      <c r="AD867" s="230"/>
      <c r="AE867" s="230"/>
      <c r="AF867" s="230"/>
      <c r="AG867" s="230"/>
      <c r="AH867" s="230"/>
      <c r="AI867" s="230"/>
      <c r="AJ867" s="230"/>
      <c r="AK867" s="230"/>
      <c r="AL867" s="230"/>
      <c r="AM867" s="230"/>
      <c r="AN867" s="230"/>
      <c r="AO867" s="230"/>
      <c r="AP867" s="230"/>
      <c r="AQ867" s="230"/>
      <c r="AS867" s="231"/>
      <c r="AT867" s="231"/>
      <c r="AU867" s="231"/>
      <c r="AV867" s="231"/>
      <c r="AW867" s="231"/>
      <c r="AX867" s="231"/>
      <c r="AY867" s="231"/>
      <c r="AZ867" s="231"/>
      <c r="BA867" s="231"/>
      <c r="BC867" s="82"/>
      <c r="BD867" s="82"/>
      <c r="BE867" s="82"/>
      <c r="BF867" s="82"/>
      <c r="BG867" s="82"/>
      <c r="BH867" s="82"/>
      <c r="BI867" s="82"/>
      <c r="BJ867" s="82"/>
      <c r="BK867" s="82"/>
      <c r="BL867" s="82"/>
      <c r="BM867" s="82"/>
      <c r="BN867" s="82"/>
      <c r="BO867" s="82"/>
      <c r="BP867" s="82"/>
      <c r="BQ867" s="82"/>
      <c r="BR867" s="82"/>
      <c r="BS867" s="82"/>
      <c r="BT867" s="82"/>
      <c r="BU867" s="82"/>
      <c r="BV867" s="82"/>
      <c r="BW867" s="82"/>
      <c r="BX867" s="82"/>
      <c r="BY867" s="82"/>
      <c r="BZ867" s="82"/>
      <c r="CA867" s="82"/>
      <c r="CB867" s="82"/>
      <c r="CC867" s="82"/>
      <c r="CD867" s="82"/>
      <c r="CE867" s="82"/>
      <c r="CF867" s="82"/>
      <c r="CG867" s="82"/>
      <c r="CH867" s="82"/>
      <c r="CI867" s="82"/>
      <c r="CJ867" s="82"/>
      <c r="CK867" s="82"/>
      <c r="CL867" s="82"/>
      <c r="CM867" s="82"/>
      <c r="CN867" s="82"/>
      <c r="CO867" s="82"/>
      <c r="CP867" s="82"/>
      <c r="CQ867" s="82"/>
      <c r="CR867" s="82"/>
      <c r="CS867" s="82"/>
      <c r="CT867" s="82"/>
      <c r="CU867" s="82"/>
      <c r="CV867" s="82"/>
      <c r="CW867" s="82"/>
      <c r="CX867" s="82"/>
      <c r="CY867" s="82"/>
      <c r="CZ867" s="82"/>
      <c r="DA867" s="82"/>
      <c r="DB867" s="82"/>
      <c r="DC867" s="82"/>
      <c r="DD867" s="82"/>
      <c r="DE867" s="82"/>
      <c r="DF867" s="82"/>
      <c r="DG867" s="82"/>
    </row>
    <row r="868" spans="2:111" ht="9" customHeight="1">
      <c r="B868" s="229"/>
      <c r="C868" s="229"/>
      <c r="D868" s="229"/>
      <c r="E868" s="229"/>
      <c r="F868" s="229"/>
      <c r="G868" s="229"/>
      <c r="H868" s="229"/>
      <c r="I868" s="229"/>
      <c r="J868" s="229"/>
      <c r="K868" s="229"/>
      <c r="L868" s="229"/>
      <c r="M868" s="229"/>
      <c r="N868" s="229"/>
      <c r="P868" s="230"/>
      <c r="Q868" s="230"/>
      <c r="R868" s="230"/>
      <c r="S868" s="230"/>
      <c r="T868" s="230"/>
      <c r="U868" s="230"/>
      <c r="V868" s="230"/>
      <c r="W868" s="230"/>
      <c r="X868" s="230"/>
      <c r="Y868" s="230"/>
      <c r="Z868" s="230"/>
      <c r="AA868" s="230"/>
      <c r="AB868" s="230"/>
      <c r="AC868" s="230"/>
      <c r="AD868" s="230"/>
      <c r="AE868" s="230"/>
      <c r="AF868" s="230"/>
      <c r="AG868" s="230"/>
      <c r="AH868" s="230"/>
      <c r="AI868" s="230"/>
      <c r="AJ868" s="230"/>
      <c r="AK868" s="230"/>
      <c r="AL868" s="230"/>
      <c r="AM868" s="230"/>
      <c r="AN868" s="230"/>
      <c r="AO868" s="230"/>
      <c r="AP868" s="230"/>
      <c r="AQ868" s="230"/>
      <c r="AS868" s="231"/>
      <c r="AT868" s="231"/>
      <c r="AU868" s="231"/>
      <c r="AV868" s="231"/>
      <c r="AW868" s="231"/>
      <c r="AX868" s="231"/>
      <c r="AY868" s="231"/>
      <c r="AZ868" s="231"/>
      <c r="BA868" s="231"/>
      <c r="BC868" s="82"/>
      <c r="BD868" s="82"/>
      <c r="BE868" s="82"/>
      <c r="BF868" s="82"/>
      <c r="BG868" s="82"/>
      <c r="BH868" s="82"/>
      <c r="BI868" s="82"/>
      <c r="BJ868" s="82"/>
      <c r="BK868" s="82"/>
      <c r="BL868" s="82"/>
      <c r="BM868" s="82"/>
      <c r="BN868" s="82"/>
      <c r="BO868" s="82"/>
      <c r="BP868" s="82"/>
      <c r="BQ868" s="82"/>
      <c r="BR868" s="82"/>
      <c r="BS868" s="82"/>
      <c r="BT868" s="82"/>
      <c r="BU868" s="82"/>
      <c r="BV868" s="82"/>
      <c r="BW868" s="82"/>
      <c r="BX868" s="82"/>
      <c r="BY868" s="82"/>
      <c r="BZ868" s="82"/>
      <c r="CA868" s="82"/>
      <c r="CB868" s="82"/>
      <c r="CC868" s="82"/>
      <c r="CD868" s="82"/>
      <c r="CE868" s="82"/>
      <c r="CF868" s="82"/>
      <c r="CG868" s="82"/>
      <c r="CH868" s="82"/>
      <c r="CI868" s="82"/>
      <c r="CJ868" s="82"/>
      <c r="CK868" s="82"/>
      <c r="CL868" s="82"/>
      <c r="CM868" s="82"/>
      <c r="CN868" s="82"/>
      <c r="CO868" s="82"/>
      <c r="CP868" s="82"/>
      <c r="CQ868" s="82"/>
      <c r="CR868" s="82"/>
      <c r="CS868" s="82"/>
      <c r="CT868" s="82"/>
      <c r="CU868" s="82"/>
      <c r="CV868" s="82"/>
      <c r="CW868" s="82"/>
      <c r="CX868" s="82"/>
      <c r="CY868" s="82"/>
      <c r="CZ868" s="82"/>
      <c r="DA868" s="82"/>
      <c r="DB868" s="82"/>
      <c r="DC868" s="82"/>
      <c r="DD868" s="82"/>
      <c r="DE868" s="82"/>
      <c r="DF868" s="82"/>
      <c r="DG868" s="82"/>
    </row>
    <row r="869" spans="2:111" ht="9" customHeight="1">
      <c r="B869" s="229"/>
      <c r="C869" s="229"/>
      <c r="D869" s="229"/>
      <c r="E869" s="229"/>
      <c r="F869" s="229"/>
      <c r="G869" s="229"/>
      <c r="H869" s="229"/>
      <c r="I869" s="229"/>
      <c r="J869" s="229"/>
      <c r="K869" s="229"/>
      <c r="L869" s="229"/>
      <c r="M869" s="229"/>
      <c r="N869" s="229"/>
      <c r="P869" s="230"/>
      <c r="Q869" s="230"/>
      <c r="R869" s="230"/>
      <c r="S869" s="230"/>
      <c r="T869" s="230"/>
      <c r="U869" s="230"/>
      <c r="V869" s="230"/>
      <c r="W869" s="230"/>
      <c r="X869" s="230"/>
      <c r="Y869" s="230"/>
      <c r="Z869" s="230"/>
      <c r="AA869" s="230"/>
      <c r="AB869" s="230"/>
      <c r="AC869" s="230"/>
      <c r="AD869" s="230"/>
      <c r="AE869" s="230"/>
      <c r="AF869" s="230"/>
      <c r="AG869" s="230"/>
      <c r="AH869" s="230"/>
      <c r="AI869" s="230"/>
      <c r="AJ869" s="230"/>
      <c r="AK869" s="230"/>
      <c r="AL869" s="230"/>
      <c r="AM869" s="230"/>
      <c r="AN869" s="230"/>
      <c r="AO869" s="230"/>
      <c r="AP869" s="230"/>
      <c r="AQ869" s="230"/>
      <c r="AS869" s="231"/>
      <c r="AT869" s="231"/>
      <c r="AU869" s="231"/>
      <c r="AV869" s="231"/>
      <c r="AW869" s="231"/>
      <c r="AX869" s="231"/>
      <c r="AY869" s="231"/>
      <c r="AZ869" s="231"/>
      <c r="BA869" s="231"/>
      <c r="BC869" s="82"/>
      <c r="BD869" s="82"/>
      <c r="BE869" s="82"/>
      <c r="BF869" s="82"/>
      <c r="BG869" s="82"/>
      <c r="BH869" s="82"/>
      <c r="BI869" s="82"/>
      <c r="BJ869" s="82"/>
      <c r="BK869" s="82"/>
      <c r="BL869" s="82"/>
      <c r="BM869" s="82"/>
      <c r="BN869" s="82"/>
      <c r="BO869" s="82"/>
      <c r="BP869" s="82"/>
      <c r="BQ869" s="82"/>
      <c r="BR869" s="82"/>
      <c r="BS869" s="82"/>
      <c r="BT869" s="82"/>
      <c r="BU869" s="82"/>
      <c r="BV869" s="82"/>
      <c r="BW869" s="82"/>
      <c r="BX869" s="82"/>
      <c r="BY869" s="82"/>
      <c r="BZ869" s="82"/>
      <c r="CA869" s="82"/>
      <c r="CB869" s="82"/>
      <c r="CC869" s="82"/>
      <c r="CD869" s="82"/>
      <c r="CE869" s="82"/>
      <c r="CF869" s="82"/>
      <c r="CG869" s="82"/>
      <c r="CH869" s="82"/>
      <c r="CI869" s="82"/>
      <c r="CJ869" s="82"/>
      <c r="CK869" s="82"/>
      <c r="CL869" s="82"/>
      <c r="CM869" s="82"/>
      <c r="CN869" s="82"/>
      <c r="CO869" s="82"/>
      <c r="CP869" s="82"/>
      <c r="CQ869" s="82"/>
      <c r="CR869" s="82"/>
      <c r="CS869" s="82"/>
      <c r="CT869" s="82"/>
      <c r="CU869" s="82"/>
      <c r="CV869" s="82"/>
      <c r="CW869" s="82"/>
      <c r="CX869" s="82"/>
      <c r="CY869" s="82"/>
      <c r="CZ869" s="82"/>
      <c r="DA869" s="82"/>
      <c r="DB869" s="82"/>
      <c r="DC869" s="82"/>
      <c r="DD869" s="82"/>
      <c r="DE869" s="82"/>
      <c r="DF869" s="82"/>
      <c r="DG869" s="82"/>
    </row>
    <row r="870" spans="2:111" ht="9" customHeight="1">
      <c r="B870" s="23"/>
      <c r="C870" s="23"/>
      <c r="D870" s="23"/>
      <c r="E870" s="23"/>
      <c r="F870" s="23"/>
      <c r="G870" s="23"/>
      <c r="H870" s="23"/>
      <c r="I870" s="23"/>
      <c r="J870" s="23"/>
      <c r="K870" s="23"/>
      <c r="L870" s="23"/>
      <c r="BC870" s="82"/>
      <c r="BD870" s="82"/>
      <c r="BE870" s="82"/>
      <c r="BF870" s="82"/>
      <c r="BG870" s="82"/>
      <c r="BH870" s="82"/>
      <c r="BI870" s="82"/>
      <c r="BJ870" s="82"/>
      <c r="BK870" s="82"/>
      <c r="BL870" s="82"/>
      <c r="BM870" s="82"/>
      <c r="BN870" s="82"/>
      <c r="BO870" s="82"/>
      <c r="BP870" s="82"/>
      <c r="BQ870" s="82"/>
      <c r="BR870" s="82"/>
      <c r="BS870" s="82"/>
      <c r="BT870" s="82"/>
      <c r="BU870" s="82"/>
      <c r="BV870" s="82"/>
      <c r="BW870" s="82"/>
      <c r="BX870" s="82"/>
      <c r="BY870" s="82"/>
      <c r="BZ870" s="82"/>
      <c r="CA870" s="82"/>
      <c r="CB870" s="82"/>
      <c r="CC870" s="82"/>
      <c r="CD870" s="82"/>
      <c r="CE870" s="82"/>
      <c r="CF870" s="82"/>
      <c r="CG870" s="82"/>
      <c r="CH870" s="82"/>
      <c r="CI870" s="82"/>
      <c r="CJ870" s="82"/>
      <c r="CK870" s="82"/>
      <c r="CL870" s="82"/>
      <c r="CM870" s="82"/>
      <c r="CN870" s="82"/>
      <c r="CO870" s="82"/>
      <c r="CP870" s="82"/>
      <c r="CQ870" s="82"/>
      <c r="CR870" s="82"/>
      <c r="CS870" s="82"/>
      <c r="CT870" s="82"/>
      <c r="CU870" s="82"/>
      <c r="CV870" s="82"/>
      <c r="CW870" s="82"/>
      <c r="CX870" s="82"/>
      <c r="CY870" s="82"/>
      <c r="CZ870" s="82"/>
      <c r="DA870" s="82"/>
      <c r="DB870" s="82"/>
      <c r="DC870" s="82"/>
      <c r="DD870" s="82"/>
      <c r="DE870" s="82"/>
      <c r="DF870" s="82"/>
      <c r="DG870" s="82"/>
    </row>
    <row r="871" spans="2:111" ht="9" customHeight="1">
      <c r="B871" s="238" t="str">
        <f>IF($U$623&gt;=3,"Meta 3","")</f>
        <v>Meta 3</v>
      </c>
      <c r="C871" s="238"/>
      <c r="D871" s="238"/>
      <c r="E871" s="238"/>
      <c r="F871" s="238"/>
      <c r="G871" s="238"/>
      <c r="I871" s="241" t="s">
        <v>526</v>
      </c>
      <c r="J871" s="241"/>
      <c r="K871" s="241"/>
      <c r="L871" s="241"/>
      <c r="M871" s="241"/>
      <c r="N871" s="241"/>
      <c r="O871" s="241"/>
      <c r="P871" s="241"/>
      <c r="Q871" s="241"/>
      <c r="R871" s="241"/>
      <c r="S871" s="241"/>
      <c r="T871" s="241"/>
      <c r="U871" s="241"/>
      <c r="V871" s="241"/>
      <c r="W871" s="241"/>
      <c r="X871" s="241"/>
      <c r="Y871" s="241"/>
      <c r="Z871" s="241"/>
      <c r="AA871" s="241"/>
      <c r="AB871" s="241"/>
      <c r="AC871" s="241"/>
      <c r="AD871" s="241"/>
      <c r="AE871" s="241"/>
      <c r="AF871" s="241"/>
      <c r="AG871" s="241"/>
      <c r="AH871" s="241"/>
      <c r="AI871" s="241"/>
      <c r="AJ871" s="241"/>
      <c r="AK871" s="241"/>
      <c r="AL871" s="241"/>
      <c r="AM871" s="241"/>
      <c r="AN871" s="241"/>
      <c r="AO871" s="241"/>
      <c r="AP871" s="241"/>
      <c r="AQ871" s="241"/>
      <c r="AR871" s="28"/>
      <c r="AS871" s="234">
        <f>IF((SUM(AS877,AS901,AS924,AS947,AS971))=0,"",(SUM(AS877,AS901,AS924,AS947,AS971)))</f>
        <v>584027.52</v>
      </c>
      <c r="AT871" s="234"/>
      <c r="AU871" s="234"/>
      <c r="AV871" s="234"/>
      <c r="AW871" s="234"/>
      <c r="AX871" s="234"/>
      <c r="AY871" s="234"/>
      <c r="AZ871" s="234"/>
      <c r="BA871" s="234"/>
      <c r="BC871" s="82"/>
      <c r="BD871" s="82"/>
      <c r="BE871" s="82"/>
      <c r="BF871" s="82"/>
      <c r="BG871" s="82"/>
      <c r="BH871" s="82"/>
      <c r="BI871" s="82"/>
      <c r="BJ871" s="82"/>
      <c r="BK871" s="82"/>
      <c r="BL871" s="82"/>
      <c r="BM871" s="82"/>
      <c r="BN871" s="82"/>
      <c r="BO871" s="82"/>
      <c r="BP871" s="82"/>
      <c r="BQ871" s="82"/>
      <c r="BR871" s="82"/>
      <c r="BS871" s="82"/>
      <c r="BT871" s="82"/>
      <c r="BU871" s="82"/>
      <c r="BV871" s="82"/>
      <c r="BW871" s="82"/>
      <c r="BX871" s="82"/>
      <c r="BY871" s="82"/>
      <c r="BZ871" s="82"/>
      <c r="CA871" s="82"/>
      <c r="CB871" s="82"/>
      <c r="CC871" s="82"/>
      <c r="CD871" s="82"/>
      <c r="CE871" s="82"/>
      <c r="CF871" s="82"/>
      <c r="CG871" s="82"/>
      <c r="CH871" s="82"/>
      <c r="CI871" s="82"/>
      <c r="CJ871" s="82"/>
      <c r="CK871" s="82"/>
      <c r="CL871" s="82"/>
      <c r="CM871" s="82"/>
      <c r="CN871" s="82"/>
      <c r="CO871" s="82"/>
      <c r="CP871" s="82"/>
      <c r="CQ871" s="82"/>
      <c r="CR871" s="82"/>
      <c r="CS871" s="82"/>
      <c r="CT871" s="82"/>
      <c r="CU871" s="82"/>
      <c r="CV871" s="82"/>
      <c r="CW871" s="82"/>
      <c r="CX871" s="82"/>
      <c r="CY871" s="82"/>
      <c r="CZ871" s="82"/>
      <c r="DA871" s="82"/>
      <c r="DB871" s="82"/>
      <c r="DC871" s="82"/>
      <c r="DD871" s="82"/>
      <c r="DE871" s="82"/>
      <c r="DF871" s="82"/>
      <c r="DG871" s="82"/>
    </row>
    <row r="872" spans="2:111" ht="9" customHeight="1">
      <c r="B872" s="238"/>
      <c r="C872" s="238"/>
      <c r="D872" s="238"/>
      <c r="E872" s="238"/>
      <c r="F872" s="238"/>
      <c r="G872" s="238"/>
      <c r="I872" s="241"/>
      <c r="J872" s="241"/>
      <c r="K872" s="241"/>
      <c r="L872" s="241"/>
      <c r="M872" s="241"/>
      <c r="N872" s="241"/>
      <c r="O872" s="241"/>
      <c r="P872" s="241"/>
      <c r="Q872" s="241"/>
      <c r="R872" s="241"/>
      <c r="S872" s="241"/>
      <c r="T872" s="241"/>
      <c r="U872" s="241"/>
      <c r="V872" s="241"/>
      <c r="W872" s="241"/>
      <c r="X872" s="241"/>
      <c r="Y872" s="241"/>
      <c r="Z872" s="241"/>
      <c r="AA872" s="241"/>
      <c r="AB872" s="241"/>
      <c r="AC872" s="241"/>
      <c r="AD872" s="241"/>
      <c r="AE872" s="241"/>
      <c r="AF872" s="241"/>
      <c r="AG872" s="241"/>
      <c r="AH872" s="241"/>
      <c r="AI872" s="241"/>
      <c r="AJ872" s="241"/>
      <c r="AK872" s="241"/>
      <c r="AL872" s="241"/>
      <c r="AM872" s="241"/>
      <c r="AN872" s="241"/>
      <c r="AO872" s="241"/>
      <c r="AP872" s="241"/>
      <c r="AQ872" s="241"/>
      <c r="AR872" s="28"/>
      <c r="AS872" s="234"/>
      <c r="AT872" s="234"/>
      <c r="AU872" s="234"/>
      <c r="AV872" s="234"/>
      <c r="AW872" s="234"/>
      <c r="AX872" s="234"/>
      <c r="AY872" s="234"/>
      <c r="AZ872" s="234"/>
      <c r="BA872" s="234"/>
      <c r="BC872" s="82"/>
      <c r="BD872" s="82"/>
      <c r="BE872" s="82"/>
      <c r="BF872" s="82"/>
      <c r="BG872" s="82"/>
      <c r="BH872" s="82"/>
      <c r="BI872" s="82"/>
      <c r="BJ872" s="82"/>
      <c r="BK872" s="82"/>
      <c r="BL872" s="82"/>
      <c r="BM872" s="82"/>
      <c r="BN872" s="82"/>
      <c r="BO872" s="82"/>
      <c r="BP872" s="82"/>
      <c r="BQ872" s="82"/>
      <c r="BR872" s="82"/>
      <c r="BS872" s="82"/>
      <c r="BT872" s="82"/>
      <c r="BU872" s="82"/>
      <c r="BV872" s="82"/>
      <c r="BW872" s="82"/>
      <c r="BX872" s="82"/>
      <c r="BY872" s="82"/>
      <c r="BZ872" s="82"/>
      <c r="CA872" s="82"/>
      <c r="CB872" s="82"/>
      <c r="CC872" s="82"/>
      <c r="CD872" s="82"/>
      <c r="CE872" s="82"/>
      <c r="CF872" s="82"/>
      <c r="CG872" s="82"/>
      <c r="CH872" s="82"/>
      <c r="CI872" s="82"/>
      <c r="CJ872" s="82"/>
      <c r="CK872" s="82"/>
      <c r="CL872" s="82"/>
      <c r="CM872" s="82"/>
      <c r="CN872" s="82"/>
      <c r="CO872" s="82"/>
      <c r="CP872" s="82"/>
      <c r="CQ872" s="82"/>
      <c r="CR872" s="82"/>
      <c r="CS872" s="82"/>
      <c r="CT872" s="82"/>
      <c r="CU872" s="82"/>
      <c r="CV872" s="82"/>
      <c r="CW872" s="82"/>
      <c r="CX872" s="82"/>
      <c r="CY872" s="82"/>
      <c r="CZ872" s="82"/>
      <c r="DA872" s="82"/>
      <c r="DB872" s="82"/>
      <c r="DC872" s="82"/>
      <c r="DD872" s="82"/>
      <c r="DE872" s="82"/>
      <c r="DF872" s="82"/>
      <c r="DG872" s="82"/>
    </row>
    <row r="873" spans="2:111" ht="4.5" customHeight="1">
      <c r="BC873" s="82"/>
      <c r="BD873" s="82"/>
      <c r="BE873" s="82"/>
      <c r="BF873" s="82"/>
      <c r="BG873" s="82"/>
      <c r="BH873" s="82"/>
      <c r="BI873" s="82"/>
      <c r="BJ873" s="82"/>
      <c r="BK873" s="82"/>
      <c r="BL873" s="82"/>
      <c r="BM873" s="82"/>
      <c r="BN873" s="82"/>
      <c r="BO873" s="82"/>
      <c r="BP873" s="82"/>
      <c r="BQ873" s="82"/>
      <c r="BR873" s="82"/>
      <c r="BS873" s="82"/>
      <c r="BT873" s="82"/>
      <c r="BU873" s="82"/>
      <c r="BV873" s="82"/>
      <c r="BW873" s="82"/>
      <c r="BX873" s="82"/>
      <c r="BY873" s="82"/>
      <c r="BZ873" s="82"/>
      <c r="CA873" s="82"/>
      <c r="CB873" s="82"/>
      <c r="CC873" s="82"/>
      <c r="CD873" s="82"/>
      <c r="CE873" s="82"/>
      <c r="CF873" s="82"/>
      <c r="CG873" s="82"/>
      <c r="CH873" s="82"/>
      <c r="CI873" s="82"/>
      <c r="CJ873" s="82"/>
      <c r="CK873" s="82"/>
      <c r="CL873" s="82"/>
      <c r="CM873" s="82"/>
      <c r="CN873" s="82"/>
      <c r="CO873" s="82"/>
      <c r="CP873" s="82"/>
      <c r="CQ873" s="82"/>
      <c r="CR873" s="82"/>
      <c r="CS873" s="82"/>
      <c r="CT873" s="82"/>
      <c r="CU873" s="82"/>
      <c r="CV873" s="82"/>
      <c r="CW873" s="82"/>
      <c r="CX873" s="82"/>
      <c r="CY873" s="82"/>
      <c r="CZ873" s="82"/>
      <c r="DA873" s="82"/>
      <c r="DB873" s="82"/>
      <c r="DC873" s="82"/>
      <c r="DD873" s="82"/>
      <c r="DE873" s="82"/>
      <c r="DF873" s="82"/>
      <c r="DG873" s="82"/>
    </row>
    <row r="874" spans="2:111" ht="9" customHeight="1">
      <c r="B874" s="239" t="str">
        <f>IF($U$623&gt;=3,(CONCATENATE("Quantas etapas possui a ",B871,"?")),"")</f>
        <v>Quantas etapas possui a Meta 3?</v>
      </c>
      <c r="C874" s="239"/>
      <c r="D874" s="239"/>
      <c r="E874" s="239"/>
      <c r="F874" s="239"/>
      <c r="G874" s="239"/>
      <c r="H874" s="239"/>
      <c r="I874" s="239"/>
      <c r="J874" s="239"/>
      <c r="K874" s="239"/>
      <c r="L874" s="239"/>
      <c r="M874" s="239"/>
      <c r="N874" s="239"/>
      <c r="O874" s="239"/>
      <c r="P874" s="239"/>
      <c r="Q874" s="239"/>
      <c r="R874" s="239"/>
      <c r="S874" s="239"/>
      <c r="U874" s="240">
        <v>1</v>
      </c>
      <c r="V874" s="240"/>
      <c r="W874" s="240"/>
      <c r="X874" s="240"/>
      <c r="BC874" s="82"/>
      <c r="BD874" s="82"/>
      <c r="BE874" s="82"/>
      <c r="BF874" s="82"/>
      <c r="BG874" s="82"/>
      <c r="BH874" s="82"/>
      <c r="BI874" s="82"/>
      <c r="BJ874" s="82"/>
      <c r="BK874" s="82"/>
      <c r="BL874" s="82"/>
      <c r="BM874" s="82"/>
      <c r="BN874" s="82"/>
      <c r="BO874" s="82"/>
      <c r="BP874" s="82"/>
      <c r="BQ874" s="82"/>
      <c r="BR874" s="82"/>
      <c r="BS874" s="82"/>
      <c r="BT874" s="82"/>
      <c r="BU874" s="82"/>
      <c r="BV874" s="82"/>
      <c r="BW874" s="82"/>
      <c r="BX874" s="82"/>
      <c r="BY874" s="82"/>
      <c r="BZ874" s="82"/>
      <c r="CA874" s="82"/>
      <c r="CB874" s="82"/>
      <c r="CC874" s="82"/>
      <c r="CD874" s="82"/>
      <c r="CE874" s="82"/>
      <c r="CF874" s="82"/>
      <c r="CG874" s="82"/>
      <c r="CH874" s="82"/>
      <c r="CI874" s="82"/>
      <c r="CJ874" s="82"/>
      <c r="CK874" s="82"/>
      <c r="CL874" s="82"/>
      <c r="CM874" s="82"/>
      <c r="CN874" s="82"/>
      <c r="CO874" s="82"/>
      <c r="CP874" s="82"/>
      <c r="CQ874" s="82"/>
      <c r="CR874" s="82"/>
      <c r="CS874" s="82"/>
      <c r="CT874" s="82"/>
      <c r="CU874" s="82"/>
      <c r="CV874" s="82"/>
      <c r="CW874" s="82"/>
      <c r="CX874" s="82"/>
      <c r="CY874" s="82"/>
      <c r="CZ874" s="82"/>
      <c r="DA874" s="82"/>
      <c r="DB874" s="82"/>
      <c r="DC874" s="82"/>
      <c r="DD874" s="82"/>
      <c r="DE874" s="82"/>
      <c r="DF874" s="82"/>
      <c r="DG874" s="82"/>
    </row>
    <row r="875" spans="2:111" ht="9" customHeight="1">
      <c r="B875" s="239"/>
      <c r="C875" s="239"/>
      <c r="D875" s="239"/>
      <c r="E875" s="239"/>
      <c r="F875" s="239"/>
      <c r="G875" s="239"/>
      <c r="H875" s="239"/>
      <c r="I875" s="239"/>
      <c r="J875" s="239"/>
      <c r="K875" s="239"/>
      <c r="L875" s="239"/>
      <c r="M875" s="239"/>
      <c r="N875" s="239"/>
      <c r="O875" s="239"/>
      <c r="P875" s="239"/>
      <c r="Q875" s="239"/>
      <c r="R875" s="239"/>
      <c r="S875" s="239"/>
      <c r="U875" s="240"/>
      <c r="V875" s="240"/>
      <c r="W875" s="240"/>
      <c r="X875" s="240"/>
      <c r="BC875" s="82"/>
      <c r="BD875" s="82"/>
      <c r="BE875" s="82"/>
      <c r="BF875" s="82"/>
      <c r="BG875" s="82"/>
      <c r="BH875" s="82"/>
      <c r="BI875" s="82"/>
      <c r="BJ875" s="82"/>
      <c r="BK875" s="82"/>
      <c r="BL875" s="82"/>
      <c r="BM875" s="82"/>
      <c r="BN875" s="82"/>
      <c r="BO875" s="82"/>
      <c r="BP875" s="82"/>
      <c r="BQ875" s="82"/>
      <c r="BR875" s="82"/>
      <c r="BS875" s="82"/>
      <c r="BT875" s="82"/>
      <c r="BU875" s="82"/>
      <c r="BV875" s="82"/>
      <c r="BW875" s="82"/>
      <c r="BX875" s="82"/>
      <c r="BY875" s="82"/>
      <c r="BZ875" s="82"/>
      <c r="CA875" s="82"/>
      <c r="CB875" s="82"/>
      <c r="CC875" s="82"/>
      <c r="CD875" s="82"/>
      <c r="CE875" s="82"/>
      <c r="CF875" s="82"/>
      <c r="CG875" s="82"/>
      <c r="CH875" s="82"/>
      <c r="CI875" s="82"/>
      <c r="CJ875" s="82"/>
      <c r="CK875" s="82"/>
      <c r="CL875" s="82"/>
      <c r="CM875" s="82"/>
      <c r="CN875" s="82"/>
      <c r="CO875" s="82"/>
      <c r="CP875" s="82"/>
      <c r="CQ875" s="82"/>
      <c r="CR875" s="82"/>
      <c r="CS875" s="82"/>
      <c r="CT875" s="82"/>
      <c r="CU875" s="82"/>
      <c r="CV875" s="82"/>
      <c r="CW875" s="82"/>
      <c r="CX875" s="82"/>
      <c r="CY875" s="82"/>
      <c r="CZ875" s="82"/>
      <c r="DA875" s="82"/>
      <c r="DB875" s="82"/>
      <c r="DC875" s="82"/>
      <c r="DD875" s="82"/>
      <c r="DE875" s="82"/>
      <c r="DF875" s="82"/>
      <c r="DG875" s="82"/>
    </row>
    <row r="876" spans="2:111" ht="4.5" customHeight="1">
      <c r="BC876" s="82"/>
      <c r="BD876" s="82"/>
      <c r="BE876" s="82"/>
      <c r="BF876" s="82"/>
      <c r="BG876" s="82"/>
      <c r="BH876" s="82"/>
      <c r="BI876" s="82"/>
      <c r="BJ876" s="82"/>
      <c r="BK876" s="82"/>
      <c r="BL876" s="82"/>
      <c r="BM876" s="82"/>
      <c r="BN876" s="82"/>
      <c r="BO876" s="82"/>
      <c r="BP876" s="82"/>
      <c r="BQ876" s="82"/>
      <c r="BR876" s="82"/>
      <c r="BS876" s="82"/>
      <c r="BT876" s="82"/>
      <c r="BU876" s="82"/>
      <c r="BV876" s="82"/>
      <c r="BW876" s="82"/>
      <c r="BX876" s="82"/>
      <c r="BY876" s="82"/>
      <c r="BZ876" s="82"/>
      <c r="CA876" s="82"/>
      <c r="CB876" s="82"/>
      <c r="CC876" s="82"/>
      <c r="CD876" s="82"/>
      <c r="CE876" s="82"/>
      <c r="CF876" s="82"/>
      <c r="CG876" s="82"/>
      <c r="CH876" s="82"/>
      <c r="CI876" s="82"/>
      <c r="CJ876" s="82"/>
      <c r="CK876" s="82"/>
      <c r="CL876" s="82"/>
      <c r="CM876" s="82"/>
      <c r="CN876" s="82"/>
      <c r="CO876" s="82"/>
      <c r="CP876" s="82"/>
      <c r="CQ876" s="82"/>
      <c r="CR876" s="82"/>
      <c r="CS876" s="82"/>
      <c r="CT876" s="82"/>
      <c r="CU876" s="82"/>
      <c r="CV876" s="82"/>
      <c r="CW876" s="82"/>
      <c r="CX876" s="82"/>
      <c r="CY876" s="82"/>
      <c r="CZ876" s="82"/>
      <c r="DA876" s="82"/>
      <c r="DB876" s="82"/>
      <c r="DC876" s="82"/>
      <c r="DD876" s="82"/>
      <c r="DE876" s="82"/>
      <c r="DF876" s="82"/>
      <c r="DG876" s="82"/>
    </row>
    <row r="877" spans="2:111" ht="9" customHeight="1">
      <c r="B877" s="232" t="str">
        <f>IF($U$874&gt;=1,"Etapa 3.1","")</f>
        <v>Etapa 3.1</v>
      </c>
      <c r="C877" s="232"/>
      <c r="D877" s="232"/>
      <c r="E877" s="232"/>
      <c r="F877" s="232"/>
      <c r="G877" s="232"/>
      <c r="I877" s="233" t="s">
        <v>641</v>
      </c>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c r="AI877" s="233"/>
      <c r="AJ877" s="233"/>
      <c r="AK877" s="233"/>
      <c r="AL877" s="233"/>
      <c r="AM877" s="233"/>
      <c r="AN877" s="233"/>
      <c r="AO877" s="233"/>
      <c r="AP877" s="233"/>
      <c r="AQ877" s="233"/>
      <c r="AS877" s="237">
        <f>IF(SUM(AS883:BA898)=0,"",SUM(AS883:BA898))</f>
        <v>584027.52</v>
      </c>
      <c r="AT877" s="237"/>
      <c r="AU877" s="237"/>
      <c r="AV877" s="237"/>
      <c r="AW877" s="237"/>
      <c r="AX877" s="237"/>
      <c r="AY877" s="237"/>
      <c r="AZ877" s="237"/>
      <c r="BA877" s="237"/>
      <c r="BC877" s="82"/>
      <c r="BD877" s="82"/>
      <c r="BE877" s="82"/>
      <c r="BF877" s="82"/>
      <c r="BG877" s="82"/>
      <c r="BH877" s="82"/>
      <c r="BI877" s="82"/>
      <c r="BJ877" s="82"/>
      <c r="BK877" s="82"/>
      <c r="BL877" s="82"/>
      <c r="BM877" s="82"/>
      <c r="BN877" s="82"/>
      <c r="BO877" s="82"/>
      <c r="BP877" s="82"/>
      <c r="BQ877" s="82"/>
      <c r="BR877" s="82"/>
      <c r="BS877" s="82"/>
      <c r="BT877" s="82"/>
      <c r="BU877" s="82"/>
      <c r="BV877" s="82"/>
      <c r="BW877" s="82"/>
      <c r="BX877" s="82"/>
      <c r="BY877" s="82"/>
      <c r="BZ877" s="82"/>
      <c r="CA877" s="82"/>
      <c r="CB877" s="82"/>
      <c r="CC877" s="82"/>
      <c r="CD877" s="82"/>
      <c r="CE877" s="82"/>
      <c r="CF877" s="82"/>
      <c r="CG877" s="82"/>
      <c r="CH877" s="82"/>
      <c r="CI877" s="82"/>
      <c r="CJ877" s="82"/>
      <c r="CK877" s="82"/>
      <c r="CL877" s="82"/>
      <c r="CM877" s="82"/>
      <c r="CN877" s="82"/>
      <c r="CO877" s="82"/>
      <c r="CP877" s="82"/>
      <c r="CQ877" s="82"/>
      <c r="CR877" s="82"/>
      <c r="CS877" s="82"/>
      <c r="CT877" s="82"/>
      <c r="CU877" s="82"/>
      <c r="CV877" s="82"/>
      <c r="CW877" s="82"/>
      <c r="CX877" s="82"/>
      <c r="CY877" s="82"/>
      <c r="CZ877" s="82"/>
      <c r="DA877" s="82"/>
      <c r="DB877" s="82"/>
      <c r="DC877" s="82"/>
      <c r="DD877" s="82"/>
      <c r="DE877" s="82"/>
      <c r="DF877" s="82"/>
      <c r="DG877" s="82"/>
    </row>
    <row r="878" spans="2:111" ht="9" customHeight="1">
      <c r="B878" s="232"/>
      <c r="C878" s="232"/>
      <c r="D878" s="232"/>
      <c r="E878" s="232"/>
      <c r="F878" s="232"/>
      <c r="G878" s="232"/>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c r="AF878" s="233"/>
      <c r="AG878" s="233"/>
      <c r="AH878" s="233"/>
      <c r="AI878" s="233"/>
      <c r="AJ878" s="233"/>
      <c r="AK878" s="233"/>
      <c r="AL878" s="233"/>
      <c r="AM878" s="233"/>
      <c r="AN878" s="233"/>
      <c r="AO878" s="233"/>
      <c r="AP878" s="233"/>
      <c r="AQ878" s="233"/>
      <c r="AS878" s="237"/>
      <c r="AT878" s="237"/>
      <c r="AU878" s="237"/>
      <c r="AV878" s="237"/>
      <c r="AW878" s="237"/>
      <c r="AX878" s="237"/>
      <c r="AY878" s="237"/>
      <c r="AZ878" s="237"/>
      <c r="BA878" s="237"/>
      <c r="BC878" s="82"/>
      <c r="BD878" s="82"/>
      <c r="BE878" s="82"/>
      <c r="BF878" s="82"/>
      <c r="BG878" s="82"/>
      <c r="BH878" s="82"/>
      <c r="BI878" s="82"/>
      <c r="BJ878" s="82"/>
      <c r="BK878" s="82"/>
      <c r="BL878" s="82"/>
      <c r="BM878" s="82"/>
      <c r="BN878" s="82"/>
      <c r="BO878" s="82"/>
      <c r="BP878" s="82"/>
      <c r="BQ878" s="82"/>
      <c r="BR878" s="82"/>
      <c r="BS878" s="82"/>
      <c r="BT878" s="82"/>
      <c r="BU878" s="82"/>
      <c r="BV878" s="82"/>
      <c r="BW878" s="82"/>
      <c r="BX878" s="82"/>
      <c r="BY878" s="82"/>
      <c r="BZ878" s="82"/>
      <c r="CA878" s="82"/>
      <c r="CB878" s="82"/>
      <c r="CC878" s="82"/>
      <c r="CD878" s="82"/>
      <c r="CE878" s="82"/>
      <c r="CF878" s="82"/>
      <c r="CG878" s="82"/>
      <c r="CH878" s="82"/>
      <c r="CI878" s="82"/>
      <c r="CJ878" s="82"/>
      <c r="CK878" s="82"/>
      <c r="CL878" s="82"/>
      <c r="CM878" s="82"/>
      <c r="CN878" s="82"/>
      <c r="CO878" s="82"/>
      <c r="CP878" s="82"/>
      <c r="CQ878" s="82"/>
      <c r="CR878" s="82"/>
      <c r="CS878" s="82"/>
      <c r="CT878" s="82"/>
      <c r="CU878" s="82"/>
      <c r="CV878" s="82"/>
      <c r="CW878" s="82"/>
      <c r="CX878" s="82"/>
      <c r="CY878" s="82"/>
      <c r="CZ878" s="82"/>
      <c r="DA878" s="82"/>
      <c r="DB878" s="82"/>
      <c r="DC878" s="82"/>
      <c r="DD878" s="82"/>
      <c r="DE878" s="82"/>
      <c r="DF878" s="82"/>
      <c r="DG878" s="82"/>
    </row>
    <row r="879" spans="2:111" ht="4.5" customHeight="1">
      <c r="BC879" s="82"/>
      <c r="BD879" s="82"/>
      <c r="BE879" s="82"/>
      <c r="BF879" s="82"/>
      <c r="BG879" s="82"/>
      <c r="BH879" s="82"/>
      <c r="BI879" s="82"/>
      <c r="BJ879" s="82"/>
      <c r="BK879" s="82"/>
      <c r="BL879" s="82"/>
      <c r="BM879" s="82"/>
      <c r="BN879" s="82"/>
      <c r="BO879" s="82"/>
      <c r="BP879" s="82"/>
      <c r="BQ879" s="82"/>
      <c r="BR879" s="82"/>
      <c r="BS879" s="82"/>
      <c r="BT879" s="82"/>
      <c r="BU879" s="82"/>
      <c r="BV879" s="82"/>
      <c r="BW879" s="82"/>
      <c r="BX879" s="82"/>
      <c r="BY879" s="82"/>
      <c r="BZ879" s="82"/>
      <c r="CA879" s="82"/>
      <c r="CB879" s="82"/>
      <c r="CC879" s="82"/>
      <c r="CD879" s="82"/>
      <c r="CE879" s="82"/>
      <c r="CF879" s="82"/>
      <c r="CG879" s="82"/>
      <c r="CH879" s="82"/>
      <c r="CI879" s="82"/>
      <c r="CJ879" s="82"/>
      <c r="CK879" s="82"/>
      <c r="CL879" s="82"/>
      <c r="CM879" s="82"/>
      <c r="CN879" s="82"/>
      <c r="CO879" s="82"/>
      <c r="CP879" s="82"/>
      <c r="CQ879" s="82"/>
      <c r="CR879" s="82"/>
      <c r="CS879" s="82"/>
      <c r="CT879" s="82"/>
      <c r="CU879" s="82"/>
      <c r="CV879" s="82"/>
      <c r="CW879" s="82"/>
      <c r="CX879" s="82"/>
      <c r="CY879" s="82"/>
      <c r="CZ879" s="82"/>
      <c r="DA879" s="82"/>
      <c r="DB879" s="82"/>
      <c r="DC879" s="82"/>
      <c r="DD879" s="82"/>
      <c r="DE879" s="82"/>
      <c r="DF879" s="82"/>
      <c r="DG879" s="82"/>
    </row>
    <row r="880" spans="2:111" ht="9" customHeight="1">
      <c r="I880" s="229" t="str">
        <f>IF($U$874&gt;=1,"Início:","")</f>
        <v>Início:</v>
      </c>
      <c r="J880" s="229"/>
      <c r="K880" s="229"/>
      <c r="L880" s="229"/>
      <c r="M880" s="229"/>
      <c r="N880" s="229"/>
      <c r="P880" s="235">
        <v>44562</v>
      </c>
      <c r="Q880" s="235"/>
      <c r="R880" s="235"/>
      <c r="S880" s="235"/>
      <c r="T880" s="235"/>
      <c r="U880" s="235"/>
      <c r="V880" s="235"/>
      <c r="W880" s="235"/>
      <c r="Y880" s="229" t="str">
        <f>IF($U$874&gt;=1,"Término:","")</f>
        <v>Término:</v>
      </c>
      <c r="Z880" s="229"/>
      <c r="AA880" s="229"/>
      <c r="AB880" s="229"/>
      <c r="AC880" s="229"/>
      <c r="AD880" s="229"/>
      <c r="AF880" s="235">
        <v>44774</v>
      </c>
      <c r="AG880" s="235"/>
      <c r="AH880" s="235"/>
      <c r="AI880" s="235"/>
      <c r="AJ880" s="235"/>
      <c r="AK880" s="235"/>
      <c r="AL880" s="235"/>
      <c r="AM880" s="235"/>
      <c r="AW880" s="236" t="str">
        <f>IF($U$874&gt;=1,"Valor (R$):","")</f>
        <v>Valor (R$):</v>
      </c>
      <c r="AX880" s="236"/>
      <c r="AY880" s="236"/>
      <c r="AZ880" s="236"/>
      <c r="BA880" s="236"/>
      <c r="BC880" s="82"/>
      <c r="BD880" s="82"/>
      <c r="BE880" s="82"/>
      <c r="BF880" s="82"/>
      <c r="BG880" s="82"/>
      <c r="BH880" s="82"/>
      <c r="BI880" s="82"/>
      <c r="BJ880" s="82"/>
      <c r="BK880" s="82"/>
      <c r="BL880" s="82"/>
      <c r="BM880" s="82"/>
      <c r="BN880" s="82"/>
      <c r="BO880" s="82"/>
      <c r="BP880" s="82"/>
      <c r="BQ880" s="82"/>
      <c r="BR880" s="82"/>
      <c r="BS880" s="82"/>
      <c r="BT880" s="82"/>
      <c r="BU880" s="82"/>
      <c r="BV880" s="82"/>
      <c r="BW880" s="82"/>
      <c r="BX880" s="82"/>
      <c r="BY880" s="82"/>
      <c r="BZ880" s="82"/>
      <c r="CA880" s="82"/>
      <c r="CB880" s="82"/>
      <c r="CC880" s="82"/>
      <c r="CD880" s="82"/>
      <c r="CE880" s="82"/>
      <c r="CF880" s="82"/>
      <c r="CG880" s="82"/>
      <c r="CH880" s="82"/>
      <c r="CI880" s="82"/>
      <c r="CJ880" s="82"/>
      <c r="CK880" s="82"/>
      <c r="CL880" s="82"/>
      <c r="CM880" s="82"/>
      <c r="CN880" s="82"/>
      <c r="CO880" s="82"/>
      <c r="CP880" s="82"/>
      <c r="CQ880" s="82"/>
      <c r="CR880" s="82"/>
      <c r="CS880" s="82"/>
      <c r="CT880" s="82"/>
      <c r="CU880" s="82"/>
      <c r="CV880" s="82"/>
      <c r="CW880" s="82"/>
      <c r="CX880" s="82"/>
      <c r="CY880" s="82"/>
      <c r="CZ880" s="82"/>
      <c r="DA880" s="82"/>
      <c r="DB880" s="82"/>
      <c r="DC880" s="82"/>
      <c r="DD880" s="82"/>
      <c r="DE880" s="82"/>
      <c r="DF880" s="82"/>
      <c r="DG880" s="82"/>
    </row>
    <row r="881" spans="2:111" ht="9" customHeight="1">
      <c r="I881" s="229"/>
      <c r="J881" s="229"/>
      <c r="K881" s="229"/>
      <c r="L881" s="229"/>
      <c r="M881" s="229"/>
      <c r="N881" s="229"/>
      <c r="P881" s="235"/>
      <c r="Q881" s="235"/>
      <c r="R881" s="235"/>
      <c r="S881" s="235"/>
      <c r="T881" s="235"/>
      <c r="U881" s="235"/>
      <c r="V881" s="235"/>
      <c r="W881" s="235"/>
      <c r="Y881" s="229"/>
      <c r="Z881" s="229"/>
      <c r="AA881" s="229"/>
      <c r="AB881" s="229"/>
      <c r="AC881" s="229"/>
      <c r="AD881" s="229"/>
      <c r="AF881" s="235"/>
      <c r="AG881" s="235"/>
      <c r="AH881" s="235"/>
      <c r="AI881" s="235"/>
      <c r="AJ881" s="235"/>
      <c r="AK881" s="235"/>
      <c r="AL881" s="235"/>
      <c r="AM881" s="235"/>
      <c r="AW881" s="236"/>
      <c r="AX881" s="236"/>
      <c r="AY881" s="236"/>
      <c r="AZ881" s="236"/>
      <c r="BA881" s="236"/>
      <c r="BC881" s="82"/>
      <c r="BD881" s="82"/>
      <c r="BE881" s="82"/>
      <c r="BF881" s="82"/>
      <c r="BG881" s="82"/>
      <c r="BH881" s="82"/>
      <c r="BI881" s="82"/>
      <c r="BJ881" s="82"/>
      <c r="BK881" s="82"/>
      <c r="BL881" s="82"/>
      <c r="BM881" s="82"/>
      <c r="BN881" s="82"/>
      <c r="BO881" s="82"/>
      <c r="BP881" s="82"/>
      <c r="BQ881" s="82"/>
      <c r="BR881" s="82"/>
      <c r="BS881" s="82"/>
      <c r="BT881" s="82"/>
      <c r="BU881" s="82"/>
      <c r="BV881" s="82"/>
      <c r="BW881" s="82"/>
      <c r="BX881" s="82"/>
      <c r="BY881" s="82"/>
      <c r="BZ881" s="82"/>
      <c r="CA881" s="82"/>
      <c r="CB881" s="82"/>
      <c r="CC881" s="82"/>
      <c r="CD881" s="82"/>
      <c r="CE881" s="82"/>
      <c r="CF881" s="82"/>
      <c r="CG881" s="82"/>
      <c r="CH881" s="82"/>
      <c r="CI881" s="82"/>
      <c r="CJ881" s="82"/>
      <c r="CK881" s="82"/>
      <c r="CL881" s="82"/>
      <c r="CM881" s="82"/>
      <c r="CN881" s="82"/>
      <c r="CO881" s="82"/>
      <c r="CP881" s="82"/>
      <c r="CQ881" s="82"/>
      <c r="CR881" s="82"/>
      <c r="CS881" s="82"/>
      <c r="CT881" s="82"/>
      <c r="CU881" s="82"/>
      <c r="CV881" s="82"/>
      <c r="CW881" s="82"/>
      <c r="CX881" s="82"/>
      <c r="CY881" s="82"/>
      <c r="CZ881" s="82"/>
      <c r="DA881" s="82"/>
      <c r="DB881" s="82"/>
      <c r="DC881" s="82"/>
      <c r="DD881" s="82"/>
      <c r="DE881" s="82"/>
      <c r="DF881" s="82"/>
      <c r="DG881" s="82"/>
    </row>
    <row r="882" spans="2:111" ht="4.5" customHeight="1">
      <c r="BC882" s="82"/>
      <c r="BD882" s="82"/>
      <c r="BE882" s="82"/>
      <c r="BF882" s="82"/>
      <c r="BG882" s="82"/>
      <c r="BH882" s="82"/>
      <c r="BI882" s="82"/>
      <c r="BJ882" s="82"/>
      <c r="BK882" s="82"/>
      <c r="BL882" s="82"/>
      <c r="BM882" s="82"/>
      <c r="BN882" s="82"/>
      <c r="BO882" s="82"/>
      <c r="BP882" s="82"/>
      <c r="BQ882" s="82"/>
      <c r="BR882" s="82"/>
      <c r="BS882" s="82"/>
      <c r="BT882" s="82"/>
      <c r="BU882" s="82"/>
      <c r="BV882" s="82"/>
      <c r="BW882" s="82"/>
      <c r="BX882" s="82"/>
      <c r="BY882" s="82"/>
      <c r="BZ882" s="82"/>
      <c r="CA882" s="82"/>
      <c r="CB882" s="82"/>
      <c r="CC882" s="82"/>
      <c r="CD882" s="82"/>
      <c r="CE882" s="82"/>
      <c r="CF882" s="82"/>
      <c r="CG882" s="82"/>
      <c r="CH882" s="82"/>
      <c r="CI882" s="82"/>
      <c r="CJ882" s="82"/>
      <c r="CK882" s="82"/>
      <c r="CL882" s="82"/>
      <c r="CM882" s="82"/>
      <c r="CN882" s="82"/>
      <c r="CO882" s="82"/>
      <c r="CP882" s="82"/>
      <c r="CQ882" s="82"/>
      <c r="CR882" s="82"/>
      <c r="CS882" s="82"/>
      <c r="CT882" s="82"/>
      <c r="CU882" s="82"/>
      <c r="CV882" s="82"/>
      <c r="CW882" s="82"/>
      <c r="CX882" s="82"/>
      <c r="CY882" s="82"/>
      <c r="CZ882" s="82"/>
      <c r="DA882" s="82"/>
      <c r="DB882" s="82"/>
      <c r="DC882" s="82"/>
      <c r="DD882" s="82"/>
      <c r="DE882" s="82"/>
      <c r="DF882" s="82"/>
      <c r="DG882" s="82"/>
    </row>
    <row r="883" spans="2:111" ht="9" customHeight="1">
      <c r="B883" s="229" t="str">
        <f>IF($U$874&gt;=1,"Elementos de Despesa:","")</f>
        <v>Elementos de Despesa:</v>
      </c>
      <c r="C883" s="229"/>
      <c r="D883" s="229"/>
      <c r="E883" s="229"/>
      <c r="F883" s="229"/>
      <c r="G883" s="229"/>
      <c r="H883" s="229"/>
      <c r="I883" s="229"/>
      <c r="J883" s="229"/>
      <c r="K883" s="229"/>
      <c r="L883" s="229"/>
      <c r="M883" s="229"/>
      <c r="N883" s="229"/>
      <c r="P883" s="230" t="s">
        <v>216</v>
      </c>
      <c r="Q883" s="230"/>
      <c r="R883" s="230"/>
      <c r="S883" s="230"/>
      <c r="T883" s="230"/>
      <c r="U883" s="230"/>
      <c r="V883" s="230"/>
      <c r="W883" s="230"/>
      <c r="X883" s="230"/>
      <c r="Y883" s="230"/>
      <c r="Z883" s="230"/>
      <c r="AA883" s="230"/>
      <c r="AB883" s="230"/>
      <c r="AC883" s="230"/>
      <c r="AD883" s="230"/>
      <c r="AE883" s="230"/>
      <c r="AF883" s="230"/>
      <c r="AG883" s="230"/>
      <c r="AH883" s="230"/>
      <c r="AI883" s="230"/>
      <c r="AJ883" s="230"/>
      <c r="AK883" s="230"/>
      <c r="AL883" s="230"/>
      <c r="AM883" s="230"/>
      <c r="AN883" s="230"/>
      <c r="AO883" s="230"/>
      <c r="AP883" s="230"/>
      <c r="AQ883" s="230"/>
      <c r="AS883" s="231">
        <v>584027.52</v>
      </c>
      <c r="AT883" s="231"/>
      <c r="AU883" s="231"/>
      <c r="AV883" s="231"/>
      <c r="AW883" s="231"/>
      <c r="AX883" s="231"/>
      <c r="AY883" s="231"/>
      <c r="AZ883" s="231"/>
      <c r="BA883" s="231"/>
      <c r="BC883" s="82"/>
      <c r="BD883" s="82"/>
      <c r="BE883" s="82"/>
      <c r="BF883" s="82"/>
      <c r="BG883" s="82"/>
      <c r="BH883" s="82"/>
      <c r="BI883" s="82"/>
      <c r="BJ883" s="82"/>
      <c r="BK883" s="82"/>
      <c r="BL883" s="82"/>
      <c r="BM883" s="82"/>
      <c r="BN883" s="82"/>
      <c r="BO883" s="82"/>
      <c r="BP883" s="82"/>
      <c r="BQ883" s="82"/>
      <c r="BR883" s="82"/>
      <c r="BS883" s="82"/>
      <c r="BT883" s="82"/>
      <c r="BU883" s="82"/>
      <c r="BV883" s="82"/>
      <c r="BW883" s="82"/>
      <c r="BX883" s="82"/>
      <c r="BY883" s="82"/>
      <c r="BZ883" s="82"/>
      <c r="CA883" s="82"/>
      <c r="CB883" s="82"/>
      <c r="CC883" s="82"/>
      <c r="CD883" s="82"/>
      <c r="CE883" s="82"/>
      <c r="CF883" s="82"/>
      <c r="CG883" s="82"/>
      <c r="CH883" s="82"/>
      <c r="CI883" s="82"/>
      <c r="CJ883" s="82"/>
      <c r="CK883" s="82"/>
      <c r="CL883" s="82"/>
      <c r="CM883" s="82"/>
      <c r="CN883" s="82"/>
      <c r="CO883" s="82"/>
      <c r="CP883" s="82"/>
      <c r="CQ883" s="82"/>
      <c r="CR883" s="82"/>
      <c r="CS883" s="82"/>
      <c r="CT883" s="82"/>
      <c r="CU883" s="82"/>
      <c r="CV883" s="82"/>
      <c r="CW883" s="82"/>
      <c r="CX883" s="82"/>
      <c r="CY883" s="82"/>
      <c r="CZ883" s="82"/>
      <c r="DA883" s="82"/>
      <c r="DB883" s="82"/>
      <c r="DC883" s="82"/>
      <c r="DD883" s="82"/>
      <c r="DE883" s="82"/>
      <c r="DF883" s="82"/>
      <c r="DG883" s="82"/>
    </row>
    <row r="884" spans="2:111" ht="9" customHeight="1">
      <c r="B884" s="229"/>
      <c r="C884" s="229"/>
      <c r="D884" s="229"/>
      <c r="E884" s="229"/>
      <c r="F884" s="229"/>
      <c r="G884" s="229"/>
      <c r="H884" s="229"/>
      <c r="I884" s="229"/>
      <c r="J884" s="229"/>
      <c r="K884" s="229"/>
      <c r="L884" s="229"/>
      <c r="M884" s="229"/>
      <c r="N884" s="229"/>
      <c r="P884" s="230"/>
      <c r="Q884" s="230"/>
      <c r="R884" s="230"/>
      <c r="S884" s="230"/>
      <c r="T884" s="230"/>
      <c r="U884" s="230"/>
      <c r="V884" s="230"/>
      <c r="W884" s="230"/>
      <c r="X884" s="230"/>
      <c r="Y884" s="230"/>
      <c r="Z884" s="230"/>
      <c r="AA884" s="230"/>
      <c r="AB884" s="230"/>
      <c r="AC884" s="230"/>
      <c r="AD884" s="230"/>
      <c r="AE884" s="230"/>
      <c r="AF884" s="230"/>
      <c r="AG884" s="230"/>
      <c r="AH884" s="230"/>
      <c r="AI884" s="230"/>
      <c r="AJ884" s="230"/>
      <c r="AK884" s="230"/>
      <c r="AL884" s="230"/>
      <c r="AM884" s="230"/>
      <c r="AN884" s="230"/>
      <c r="AO884" s="230"/>
      <c r="AP884" s="230"/>
      <c r="AQ884" s="230"/>
      <c r="AS884" s="231"/>
      <c r="AT884" s="231"/>
      <c r="AU884" s="231"/>
      <c r="AV884" s="231"/>
      <c r="AW884" s="231"/>
      <c r="AX884" s="231"/>
      <c r="AY884" s="231"/>
      <c r="AZ884" s="231"/>
      <c r="BA884" s="231"/>
      <c r="BC884" s="82"/>
      <c r="BD884" s="82"/>
      <c r="BE884" s="82"/>
      <c r="BF884" s="82"/>
      <c r="BG884" s="82"/>
      <c r="BH884" s="82"/>
      <c r="BI884" s="82"/>
      <c r="BJ884" s="82"/>
      <c r="BK884" s="82"/>
      <c r="BL884" s="82"/>
      <c r="BM884" s="82"/>
      <c r="BN884" s="82"/>
      <c r="BO884" s="82"/>
      <c r="BP884" s="82"/>
      <c r="BQ884" s="82"/>
      <c r="BR884" s="82"/>
      <c r="BS884" s="82"/>
      <c r="BT884" s="82"/>
      <c r="BU884" s="82"/>
      <c r="BV884" s="82"/>
      <c r="BW884" s="82"/>
      <c r="BX884" s="82"/>
      <c r="BY884" s="82"/>
      <c r="BZ884" s="82"/>
      <c r="CA884" s="82"/>
      <c r="CB884" s="82"/>
      <c r="CC884" s="82"/>
      <c r="CD884" s="82"/>
      <c r="CE884" s="82"/>
      <c r="CF884" s="82"/>
      <c r="CG884" s="82"/>
      <c r="CH884" s="82"/>
      <c r="CI884" s="82"/>
      <c r="CJ884" s="82"/>
      <c r="CK884" s="82"/>
      <c r="CL884" s="82"/>
      <c r="CM884" s="82"/>
      <c r="CN884" s="82"/>
      <c r="CO884" s="82"/>
      <c r="CP884" s="82"/>
      <c r="CQ884" s="82"/>
      <c r="CR884" s="82"/>
      <c r="CS884" s="82"/>
      <c r="CT884" s="82"/>
      <c r="CU884" s="82"/>
      <c r="CV884" s="82"/>
      <c r="CW884" s="82"/>
      <c r="CX884" s="82"/>
      <c r="CY884" s="82"/>
      <c r="CZ884" s="82"/>
      <c r="DA884" s="82"/>
      <c r="DB884" s="82"/>
      <c r="DC884" s="82"/>
      <c r="DD884" s="82"/>
      <c r="DE884" s="82"/>
      <c r="DF884" s="82"/>
      <c r="DG884" s="82"/>
    </row>
    <row r="885" spans="2:111" ht="9" customHeight="1">
      <c r="B885" s="229"/>
      <c r="C885" s="229"/>
      <c r="D885" s="229"/>
      <c r="E885" s="229"/>
      <c r="F885" s="229"/>
      <c r="G885" s="229"/>
      <c r="H885" s="229"/>
      <c r="I885" s="229"/>
      <c r="J885" s="229"/>
      <c r="K885" s="229"/>
      <c r="L885" s="229"/>
      <c r="M885" s="229"/>
      <c r="N885" s="229"/>
      <c r="P885" s="230"/>
      <c r="Q885" s="230"/>
      <c r="R885" s="230"/>
      <c r="S885" s="230"/>
      <c r="T885" s="230"/>
      <c r="U885" s="230"/>
      <c r="V885" s="230"/>
      <c r="W885" s="230"/>
      <c r="X885" s="230"/>
      <c r="Y885" s="230"/>
      <c r="Z885" s="230"/>
      <c r="AA885" s="230"/>
      <c r="AB885" s="230"/>
      <c r="AC885" s="230"/>
      <c r="AD885" s="230"/>
      <c r="AE885" s="230"/>
      <c r="AF885" s="230"/>
      <c r="AG885" s="230"/>
      <c r="AH885" s="230"/>
      <c r="AI885" s="230"/>
      <c r="AJ885" s="230"/>
      <c r="AK885" s="230"/>
      <c r="AL885" s="230"/>
      <c r="AM885" s="230"/>
      <c r="AN885" s="230"/>
      <c r="AO885" s="230"/>
      <c r="AP885" s="230"/>
      <c r="AQ885" s="230"/>
      <c r="AS885" s="231"/>
      <c r="AT885" s="231"/>
      <c r="AU885" s="231"/>
      <c r="AV885" s="231"/>
      <c r="AW885" s="231"/>
      <c r="AX885" s="231"/>
      <c r="AY885" s="231"/>
      <c r="AZ885" s="231"/>
      <c r="BA885" s="231"/>
      <c r="BC885" s="82"/>
      <c r="BD885" s="82"/>
      <c r="BE885" s="82"/>
      <c r="BF885" s="82"/>
      <c r="BG885" s="82"/>
      <c r="BH885" s="82"/>
      <c r="BI885" s="82"/>
      <c r="BJ885" s="82"/>
      <c r="BK885" s="82"/>
      <c r="BL885" s="82"/>
      <c r="BM885" s="82"/>
      <c r="BN885" s="82"/>
      <c r="BO885" s="82"/>
      <c r="BP885" s="82"/>
      <c r="BQ885" s="82"/>
      <c r="BR885" s="82"/>
      <c r="BS885" s="82"/>
      <c r="BT885" s="82"/>
      <c r="BU885" s="82"/>
      <c r="BV885" s="82"/>
      <c r="BW885" s="82"/>
      <c r="BX885" s="82"/>
      <c r="BY885" s="82"/>
      <c r="BZ885" s="82"/>
      <c r="CA885" s="82"/>
      <c r="CB885" s="82"/>
      <c r="CC885" s="82"/>
      <c r="CD885" s="82"/>
      <c r="CE885" s="82"/>
      <c r="CF885" s="82"/>
      <c r="CG885" s="82"/>
      <c r="CH885" s="82"/>
      <c r="CI885" s="82"/>
      <c r="CJ885" s="82"/>
      <c r="CK885" s="82"/>
      <c r="CL885" s="82"/>
      <c r="CM885" s="82"/>
      <c r="CN885" s="82"/>
      <c r="CO885" s="82"/>
      <c r="CP885" s="82"/>
      <c r="CQ885" s="82"/>
      <c r="CR885" s="82"/>
      <c r="CS885" s="82"/>
      <c r="CT885" s="82"/>
      <c r="CU885" s="82"/>
      <c r="CV885" s="82"/>
      <c r="CW885" s="82"/>
      <c r="CX885" s="82"/>
      <c r="CY885" s="82"/>
      <c r="CZ885" s="82"/>
      <c r="DA885" s="82"/>
      <c r="DB885" s="82"/>
      <c r="DC885" s="82"/>
      <c r="DD885" s="82"/>
      <c r="DE885" s="82"/>
      <c r="DF885" s="82"/>
      <c r="DG885" s="82"/>
    </row>
    <row r="886" spans="2:111" ht="9" customHeight="1">
      <c r="B886" s="229"/>
      <c r="C886" s="229"/>
      <c r="D886" s="229"/>
      <c r="E886" s="229"/>
      <c r="F886" s="229"/>
      <c r="G886" s="229"/>
      <c r="H886" s="229"/>
      <c r="I886" s="229"/>
      <c r="J886" s="229"/>
      <c r="K886" s="229"/>
      <c r="L886" s="229"/>
      <c r="M886" s="229"/>
      <c r="N886" s="229"/>
      <c r="P886" s="230"/>
      <c r="Q886" s="230"/>
      <c r="R886" s="230"/>
      <c r="S886" s="230"/>
      <c r="T886" s="230"/>
      <c r="U886" s="230"/>
      <c r="V886" s="230"/>
      <c r="W886" s="230"/>
      <c r="X886" s="230"/>
      <c r="Y886" s="230"/>
      <c r="Z886" s="230"/>
      <c r="AA886" s="230"/>
      <c r="AB886" s="230"/>
      <c r="AC886" s="230"/>
      <c r="AD886" s="230"/>
      <c r="AE886" s="230"/>
      <c r="AF886" s="230"/>
      <c r="AG886" s="230"/>
      <c r="AH886" s="230"/>
      <c r="AI886" s="230"/>
      <c r="AJ886" s="230"/>
      <c r="AK886" s="230"/>
      <c r="AL886" s="230"/>
      <c r="AM886" s="230"/>
      <c r="AN886" s="230"/>
      <c r="AO886" s="230"/>
      <c r="AP886" s="230"/>
      <c r="AQ886" s="230"/>
      <c r="AS886" s="231"/>
      <c r="AT886" s="231"/>
      <c r="AU886" s="231"/>
      <c r="AV886" s="231"/>
      <c r="AW886" s="231"/>
      <c r="AX886" s="231"/>
      <c r="AY886" s="231"/>
      <c r="AZ886" s="231"/>
      <c r="BA886" s="231"/>
      <c r="BC886" s="82"/>
      <c r="BD886" s="82"/>
      <c r="BE886" s="82"/>
      <c r="BF886" s="82"/>
      <c r="BG886" s="82"/>
      <c r="BH886" s="82"/>
      <c r="BI886" s="82"/>
      <c r="BJ886" s="82"/>
      <c r="BK886" s="82"/>
      <c r="BL886" s="82"/>
      <c r="BM886" s="82"/>
      <c r="BN886" s="82"/>
      <c r="BO886" s="82"/>
      <c r="BP886" s="82"/>
      <c r="BQ886" s="82"/>
      <c r="BR886" s="82"/>
      <c r="BS886" s="82"/>
      <c r="BT886" s="82"/>
      <c r="BU886" s="82"/>
      <c r="BV886" s="82"/>
      <c r="BW886" s="82"/>
      <c r="BX886" s="82"/>
      <c r="BY886" s="82"/>
      <c r="BZ886" s="82"/>
      <c r="CA886" s="82"/>
      <c r="CB886" s="82"/>
      <c r="CC886" s="82"/>
      <c r="CD886" s="82"/>
      <c r="CE886" s="82"/>
      <c r="CF886" s="82"/>
      <c r="CG886" s="82"/>
      <c r="CH886" s="82"/>
      <c r="CI886" s="82"/>
      <c r="CJ886" s="82"/>
      <c r="CK886" s="82"/>
      <c r="CL886" s="82"/>
      <c r="CM886" s="82"/>
      <c r="CN886" s="82"/>
      <c r="CO886" s="82"/>
      <c r="CP886" s="82"/>
      <c r="CQ886" s="82"/>
      <c r="CR886" s="82"/>
      <c r="CS886" s="82"/>
      <c r="CT886" s="82"/>
      <c r="CU886" s="82"/>
      <c r="CV886" s="82"/>
      <c r="CW886" s="82"/>
      <c r="CX886" s="82"/>
      <c r="CY886" s="82"/>
      <c r="CZ886" s="82"/>
      <c r="DA886" s="82"/>
      <c r="DB886" s="82"/>
      <c r="DC886" s="82"/>
      <c r="DD886" s="82"/>
      <c r="DE886" s="82"/>
      <c r="DF886" s="82"/>
      <c r="DG886" s="82"/>
    </row>
    <row r="887" spans="2:111" ht="9" customHeight="1">
      <c r="B887" s="229"/>
      <c r="C887" s="229"/>
      <c r="D887" s="229"/>
      <c r="E887" s="229"/>
      <c r="F887" s="229"/>
      <c r="G887" s="229"/>
      <c r="H887" s="229"/>
      <c r="I887" s="229"/>
      <c r="J887" s="229"/>
      <c r="K887" s="229"/>
      <c r="L887" s="229"/>
      <c r="M887" s="229"/>
      <c r="N887" s="229"/>
      <c r="P887" s="230"/>
      <c r="Q887" s="230"/>
      <c r="R887" s="230"/>
      <c r="S887" s="230"/>
      <c r="T887" s="230"/>
      <c r="U887" s="230"/>
      <c r="V887" s="230"/>
      <c r="W887" s="230"/>
      <c r="X887" s="230"/>
      <c r="Y887" s="230"/>
      <c r="Z887" s="230"/>
      <c r="AA887" s="230"/>
      <c r="AB887" s="230"/>
      <c r="AC887" s="230"/>
      <c r="AD887" s="230"/>
      <c r="AE887" s="230"/>
      <c r="AF887" s="230"/>
      <c r="AG887" s="230"/>
      <c r="AH887" s="230"/>
      <c r="AI887" s="230"/>
      <c r="AJ887" s="230"/>
      <c r="AK887" s="230"/>
      <c r="AL887" s="230"/>
      <c r="AM887" s="230"/>
      <c r="AN887" s="230"/>
      <c r="AO887" s="230"/>
      <c r="AP887" s="230"/>
      <c r="AQ887" s="230"/>
      <c r="AS887" s="231"/>
      <c r="AT887" s="231"/>
      <c r="AU887" s="231"/>
      <c r="AV887" s="231"/>
      <c r="AW887" s="231"/>
      <c r="AX887" s="231"/>
      <c r="AY887" s="231"/>
      <c r="AZ887" s="231"/>
      <c r="BA887" s="231"/>
      <c r="BC887" s="82"/>
      <c r="BD887" s="82"/>
      <c r="BE887" s="82"/>
      <c r="BF887" s="82"/>
      <c r="BG887" s="82"/>
      <c r="BH887" s="82"/>
      <c r="BI887" s="82"/>
      <c r="BJ887" s="82"/>
      <c r="BK887" s="82"/>
      <c r="BL887" s="82"/>
      <c r="BM887" s="82"/>
      <c r="BN887" s="82"/>
      <c r="BO887" s="82"/>
      <c r="BP887" s="82"/>
      <c r="BQ887" s="82"/>
      <c r="BR887" s="82"/>
      <c r="BS887" s="82"/>
      <c r="BT887" s="82"/>
      <c r="BU887" s="82"/>
      <c r="BV887" s="82"/>
      <c r="BW887" s="82"/>
      <c r="BX887" s="82"/>
      <c r="BY887" s="82"/>
      <c r="BZ887" s="82"/>
      <c r="CA887" s="82"/>
      <c r="CB887" s="82"/>
      <c r="CC887" s="82"/>
      <c r="CD887" s="82"/>
      <c r="CE887" s="82"/>
      <c r="CF887" s="82"/>
      <c r="CG887" s="82"/>
      <c r="CH887" s="82"/>
      <c r="CI887" s="82"/>
      <c r="CJ887" s="82"/>
      <c r="CK887" s="82"/>
      <c r="CL887" s="82"/>
      <c r="CM887" s="82"/>
      <c r="CN887" s="82"/>
      <c r="CO887" s="82"/>
      <c r="CP887" s="82"/>
      <c r="CQ887" s="82"/>
      <c r="CR887" s="82"/>
      <c r="CS887" s="82"/>
      <c r="CT887" s="82"/>
      <c r="CU887" s="82"/>
      <c r="CV887" s="82"/>
      <c r="CW887" s="82"/>
      <c r="CX887" s="82"/>
      <c r="CY887" s="82"/>
      <c r="CZ887" s="82"/>
      <c r="DA887" s="82"/>
      <c r="DB887" s="82"/>
      <c r="DC887" s="82"/>
      <c r="DD887" s="82"/>
      <c r="DE887" s="82"/>
      <c r="DF887" s="82"/>
      <c r="DG887" s="82"/>
    </row>
    <row r="888" spans="2:111" ht="9" customHeight="1">
      <c r="B888" s="229"/>
      <c r="C888" s="229"/>
      <c r="D888" s="229"/>
      <c r="E888" s="229"/>
      <c r="F888" s="229"/>
      <c r="G888" s="229"/>
      <c r="H888" s="229"/>
      <c r="I888" s="229"/>
      <c r="J888" s="229"/>
      <c r="K888" s="229"/>
      <c r="L888" s="229"/>
      <c r="M888" s="229"/>
      <c r="N888" s="229"/>
      <c r="P888" s="230"/>
      <c r="Q888" s="230"/>
      <c r="R888" s="230"/>
      <c r="S888" s="230"/>
      <c r="T888" s="230"/>
      <c r="U888" s="230"/>
      <c r="V888" s="230"/>
      <c r="W888" s="230"/>
      <c r="X888" s="230"/>
      <c r="Y888" s="230"/>
      <c r="Z888" s="230"/>
      <c r="AA888" s="230"/>
      <c r="AB888" s="230"/>
      <c r="AC888" s="230"/>
      <c r="AD888" s="230"/>
      <c r="AE888" s="230"/>
      <c r="AF888" s="230"/>
      <c r="AG888" s="230"/>
      <c r="AH888" s="230"/>
      <c r="AI888" s="230"/>
      <c r="AJ888" s="230"/>
      <c r="AK888" s="230"/>
      <c r="AL888" s="230"/>
      <c r="AM888" s="230"/>
      <c r="AN888" s="230"/>
      <c r="AO888" s="230"/>
      <c r="AP888" s="230"/>
      <c r="AQ888" s="230"/>
      <c r="AS888" s="231"/>
      <c r="AT888" s="231"/>
      <c r="AU888" s="231"/>
      <c r="AV888" s="231"/>
      <c r="AW888" s="231"/>
      <c r="AX888" s="231"/>
      <c r="AY888" s="231"/>
      <c r="AZ888" s="231"/>
      <c r="BA888" s="231"/>
      <c r="BC888" s="82"/>
      <c r="BD888" s="82"/>
      <c r="BE888" s="82"/>
      <c r="BF888" s="82"/>
      <c r="BG888" s="82"/>
      <c r="BH888" s="82"/>
      <c r="BI888" s="82"/>
      <c r="BJ888" s="82"/>
      <c r="BK888" s="82"/>
      <c r="BL888" s="82"/>
      <c r="BM888" s="82"/>
      <c r="BN888" s="82"/>
      <c r="BO888" s="82"/>
      <c r="BP888" s="82"/>
      <c r="BQ888" s="82"/>
      <c r="BR888" s="82"/>
      <c r="BS888" s="82"/>
      <c r="BT888" s="82"/>
      <c r="BU888" s="82"/>
      <c r="BV888" s="82"/>
      <c r="BW888" s="82"/>
      <c r="BX888" s="82"/>
      <c r="BY888" s="82"/>
      <c r="BZ888" s="82"/>
      <c r="CA888" s="82"/>
      <c r="CB888" s="82"/>
      <c r="CC888" s="82"/>
      <c r="CD888" s="82"/>
      <c r="CE888" s="82"/>
      <c r="CF888" s="82"/>
      <c r="CG888" s="82"/>
      <c r="CH888" s="82"/>
      <c r="CI888" s="82"/>
      <c r="CJ888" s="82"/>
      <c r="CK888" s="82"/>
      <c r="CL888" s="82"/>
      <c r="CM888" s="82"/>
      <c r="CN888" s="82"/>
      <c r="CO888" s="82"/>
      <c r="CP888" s="82"/>
      <c r="CQ888" s="82"/>
      <c r="CR888" s="82"/>
      <c r="CS888" s="82"/>
      <c r="CT888" s="82"/>
      <c r="CU888" s="82"/>
      <c r="CV888" s="82"/>
      <c r="CW888" s="82"/>
      <c r="CX888" s="82"/>
      <c r="CY888" s="82"/>
      <c r="CZ888" s="82"/>
      <c r="DA888" s="82"/>
      <c r="DB888" s="82"/>
      <c r="DC888" s="82"/>
      <c r="DD888" s="82"/>
      <c r="DE888" s="82"/>
      <c r="DF888" s="82"/>
      <c r="DG888" s="82"/>
    </row>
    <row r="889" spans="2:111" ht="9" customHeight="1">
      <c r="B889" s="229"/>
      <c r="C889" s="229"/>
      <c r="D889" s="229"/>
      <c r="E889" s="229"/>
      <c r="F889" s="229"/>
      <c r="G889" s="229"/>
      <c r="H889" s="229"/>
      <c r="I889" s="229"/>
      <c r="J889" s="229"/>
      <c r="K889" s="229"/>
      <c r="L889" s="229"/>
      <c r="M889" s="229"/>
      <c r="N889" s="229"/>
      <c r="P889" s="230"/>
      <c r="Q889" s="230"/>
      <c r="R889" s="230"/>
      <c r="S889" s="230"/>
      <c r="T889" s="230"/>
      <c r="U889" s="230"/>
      <c r="V889" s="230"/>
      <c r="W889" s="230"/>
      <c r="X889" s="230"/>
      <c r="Y889" s="230"/>
      <c r="Z889" s="230"/>
      <c r="AA889" s="230"/>
      <c r="AB889" s="230"/>
      <c r="AC889" s="230"/>
      <c r="AD889" s="230"/>
      <c r="AE889" s="230"/>
      <c r="AF889" s="230"/>
      <c r="AG889" s="230"/>
      <c r="AH889" s="230"/>
      <c r="AI889" s="230"/>
      <c r="AJ889" s="230"/>
      <c r="AK889" s="230"/>
      <c r="AL889" s="230"/>
      <c r="AM889" s="230"/>
      <c r="AN889" s="230"/>
      <c r="AO889" s="230"/>
      <c r="AP889" s="230"/>
      <c r="AQ889" s="230"/>
      <c r="AS889" s="231"/>
      <c r="AT889" s="231"/>
      <c r="AU889" s="231"/>
      <c r="AV889" s="231"/>
      <c r="AW889" s="231"/>
      <c r="AX889" s="231"/>
      <c r="AY889" s="231"/>
      <c r="AZ889" s="231"/>
      <c r="BA889" s="231"/>
      <c r="BC889" s="82"/>
      <c r="BD889" s="82"/>
      <c r="BE889" s="82"/>
      <c r="BF889" s="82"/>
      <c r="BG889" s="82"/>
      <c r="BH889" s="82"/>
      <c r="BI889" s="82"/>
      <c r="BJ889" s="82"/>
      <c r="BK889" s="82"/>
      <c r="BL889" s="82"/>
      <c r="BM889" s="82"/>
      <c r="BN889" s="82"/>
      <c r="BO889" s="82"/>
      <c r="BP889" s="82"/>
      <c r="BQ889" s="82"/>
      <c r="BR889" s="82"/>
      <c r="BS889" s="82"/>
      <c r="BT889" s="82"/>
      <c r="BU889" s="82"/>
      <c r="BV889" s="82"/>
      <c r="BW889" s="82"/>
      <c r="BX889" s="82"/>
      <c r="BY889" s="82"/>
      <c r="BZ889" s="82"/>
      <c r="CA889" s="82"/>
      <c r="CB889" s="82"/>
      <c r="CC889" s="82"/>
      <c r="CD889" s="82"/>
      <c r="CE889" s="82"/>
      <c r="CF889" s="82"/>
      <c r="CG889" s="82"/>
      <c r="CH889" s="82"/>
      <c r="CI889" s="82"/>
      <c r="CJ889" s="82"/>
      <c r="CK889" s="82"/>
      <c r="CL889" s="82"/>
      <c r="CM889" s="82"/>
      <c r="CN889" s="82"/>
      <c r="CO889" s="82"/>
      <c r="CP889" s="82"/>
      <c r="CQ889" s="82"/>
      <c r="CR889" s="82"/>
      <c r="CS889" s="82"/>
      <c r="CT889" s="82"/>
      <c r="CU889" s="82"/>
      <c r="CV889" s="82"/>
      <c r="CW889" s="82"/>
      <c r="CX889" s="82"/>
      <c r="CY889" s="82"/>
      <c r="CZ889" s="82"/>
      <c r="DA889" s="82"/>
      <c r="DB889" s="82"/>
      <c r="DC889" s="82"/>
      <c r="DD889" s="82"/>
      <c r="DE889" s="82"/>
      <c r="DF889" s="82"/>
      <c r="DG889" s="82"/>
    </row>
    <row r="890" spans="2:111" ht="9" customHeight="1">
      <c r="B890" s="229"/>
      <c r="C890" s="229"/>
      <c r="D890" s="229"/>
      <c r="E890" s="229"/>
      <c r="F890" s="229"/>
      <c r="G890" s="229"/>
      <c r="H890" s="229"/>
      <c r="I890" s="229"/>
      <c r="J890" s="229"/>
      <c r="K890" s="229"/>
      <c r="L890" s="229"/>
      <c r="M890" s="229"/>
      <c r="N890" s="229"/>
      <c r="P890" s="230"/>
      <c r="Q890" s="230"/>
      <c r="R890" s="230"/>
      <c r="S890" s="230"/>
      <c r="T890" s="230"/>
      <c r="U890" s="230"/>
      <c r="V890" s="230"/>
      <c r="W890" s="230"/>
      <c r="X890" s="230"/>
      <c r="Y890" s="230"/>
      <c r="Z890" s="230"/>
      <c r="AA890" s="230"/>
      <c r="AB890" s="230"/>
      <c r="AC890" s="230"/>
      <c r="AD890" s="230"/>
      <c r="AE890" s="230"/>
      <c r="AF890" s="230"/>
      <c r="AG890" s="230"/>
      <c r="AH890" s="230"/>
      <c r="AI890" s="230"/>
      <c r="AJ890" s="230"/>
      <c r="AK890" s="230"/>
      <c r="AL890" s="230"/>
      <c r="AM890" s="230"/>
      <c r="AN890" s="230"/>
      <c r="AO890" s="230"/>
      <c r="AP890" s="230"/>
      <c r="AQ890" s="230"/>
      <c r="AS890" s="231"/>
      <c r="AT890" s="231"/>
      <c r="AU890" s="231"/>
      <c r="AV890" s="231"/>
      <c r="AW890" s="231"/>
      <c r="AX890" s="231"/>
      <c r="AY890" s="231"/>
      <c r="AZ890" s="231"/>
      <c r="BA890" s="231"/>
      <c r="BC890" s="82"/>
      <c r="BD890" s="82"/>
      <c r="BE890" s="82"/>
      <c r="BF890" s="82"/>
      <c r="BG890" s="82"/>
      <c r="BH890" s="82"/>
      <c r="BI890" s="82"/>
      <c r="BJ890" s="82"/>
      <c r="BK890" s="82"/>
      <c r="BL890" s="82"/>
      <c r="BM890" s="82"/>
      <c r="BN890" s="82"/>
      <c r="BO890" s="82"/>
      <c r="BP890" s="82"/>
      <c r="BQ890" s="82"/>
      <c r="BR890" s="82"/>
      <c r="BS890" s="82"/>
      <c r="BT890" s="82"/>
      <c r="BU890" s="82"/>
      <c r="BV890" s="82"/>
      <c r="BW890" s="82"/>
      <c r="BX890" s="82"/>
      <c r="BY890" s="82"/>
      <c r="BZ890" s="82"/>
      <c r="CA890" s="82"/>
      <c r="CB890" s="82"/>
      <c r="CC890" s="82"/>
      <c r="CD890" s="82"/>
      <c r="CE890" s="82"/>
      <c r="CF890" s="82"/>
      <c r="CG890" s="82"/>
      <c r="CH890" s="82"/>
      <c r="CI890" s="82"/>
      <c r="CJ890" s="82"/>
      <c r="CK890" s="82"/>
      <c r="CL890" s="82"/>
      <c r="CM890" s="82"/>
      <c r="CN890" s="82"/>
      <c r="CO890" s="82"/>
      <c r="CP890" s="82"/>
      <c r="CQ890" s="82"/>
      <c r="CR890" s="82"/>
      <c r="CS890" s="82"/>
      <c r="CT890" s="82"/>
      <c r="CU890" s="82"/>
      <c r="CV890" s="82"/>
      <c r="CW890" s="82"/>
      <c r="CX890" s="82"/>
      <c r="CY890" s="82"/>
      <c r="CZ890" s="82"/>
      <c r="DA890" s="82"/>
      <c r="DB890" s="82"/>
      <c r="DC890" s="82"/>
      <c r="DD890" s="82"/>
      <c r="DE890" s="82"/>
      <c r="DF890" s="82"/>
      <c r="DG890" s="82"/>
    </row>
    <row r="891" spans="2:111" ht="9" customHeight="1">
      <c r="B891" s="229"/>
      <c r="C891" s="229"/>
      <c r="D891" s="229"/>
      <c r="E891" s="229"/>
      <c r="F891" s="229"/>
      <c r="G891" s="229"/>
      <c r="H891" s="229"/>
      <c r="I891" s="229"/>
      <c r="J891" s="229"/>
      <c r="K891" s="229"/>
      <c r="L891" s="229"/>
      <c r="M891" s="229"/>
      <c r="N891" s="229"/>
      <c r="P891" s="230"/>
      <c r="Q891" s="230"/>
      <c r="R891" s="230"/>
      <c r="S891" s="230"/>
      <c r="T891" s="230"/>
      <c r="U891" s="230"/>
      <c r="V891" s="230"/>
      <c r="W891" s="230"/>
      <c r="X891" s="230"/>
      <c r="Y891" s="230"/>
      <c r="Z891" s="230"/>
      <c r="AA891" s="230"/>
      <c r="AB891" s="230"/>
      <c r="AC891" s="230"/>
      <c r="AD891" s="230"/>
      <c r="AE891" s="230"/>
      <c r="AF891" s="230"/>
      <c r="AG891" s="230"/>
      <c r="AH891" s="230"/>
      <c r="AI891" s="230"/>
      <c r="AJ891" s="230"/>
      <c r="AK891" s="230"/>
      <c r="AL891" s="230"/>
      <c r="AM891" s="230"/>
      <c r="AN891" s="230"/>
      <c r="AO891" s="230"/>
      <c r="AP891" s="230"/>
      <c r="AQ891" s="230"/>
      <c r="AS891" s="231"/>
      <c r="AT891" s="231"/>
      <c r="AU891" s="231"/>
      <c r="AV891" s="231"/>
      <c r="AW891" s="231"/>
      <c r="AX891" s="231"/>
      <c r="AY891" s="231"/>
      <c r="AZ891" s="231"/>
      <c r="BA891" s="231"/>
      <c r="BC891" s="82"/>
      <c r="BD891" s="82"/>
      <c r="BE891" s="82"/>
      <c r="BF891" s="82"/>
      <c r="BG891" s="82"/>
      <c r="BH891" s="82"/>
      <c r="BI891" s="82"/>
      <c r="BJ891" s="82"/>
      <c r="BK891" s="82"/>
      <c r="BL891" s="82"/>
      <c r="BM891" s="82"/>
      <c r="BN891" s="82"/>
      <c r="BO891" s="82"/>
      <c r="BP891" s="82"/>
      <c r="BQ891" s="82"/>
      <c r="BR891" s="82"/>
      <c r="BS891" s="82"/>
      <c r="BT891" s="82"/>
      <c r="BU891" s="82"/>
      <c r="BV891" s="82"/>
      <c r="BW891" s="82"/>
      <c r="BX891" s="82"/>
      <c r="BY891" s="82"/>
      <c r="BZ891" s="82"/>
      <c r="CA891" s="82"/>
      <c r="CB891" s="82"/>
      <c r="CC891" s="82"/>
      <c r="CD891" s="82"/>
      <c r="CE891" s="82"/>
      <c r="CF891" s="82"/>
      <c r="CG891" s="82"/>
      <c r="CH891" s="82"/>
      <c r="CI891" s="82"/>
      <c r="CJ891" s="82"/>
      <c r="CK891" s="82"/>
      <c r="CL891" s="82"/>
      <c r="CM891" s="82"/>
      <c r="CN891" s="82"/>
      <c r="CO891" s="82"/>
      <c r="CP891" s="82"/>
      <c r="CQ891" s="82"/>
      <c r="CR891" s="82"/>
      <c r="CS891" s="82"/>
      <c r="CT891" s="82"/>
      <c r="CU891" s="82"/>
      <c r="CV891" s="82"/>
      <c r="CW891" s="82"/>
      <c r="CX891" s="82"/>
      <c r="CY891" s="82"/>
      <c r="CZ891" s="82"/>
      <c r="DA891" s="82"/>
      <c r="DB891" s="82"/>
      <c r="DC891" s="82"/>
      <c r="DD891" s="82"/>
      <c r="DE891" s="82"/>
      <c r="DF891" s="82"/>
      <c r="DG891" s="82"/>
    </row>
    <row r="892" spans="2:111" ht="9" customHeight="1">
      <c r="B892" s="229"/>
      <c r="C892" s="229"/>
      <c r="D892" s="229"/>
      <c r="E892" s="229"/>
      <c r="F892" s="229"/>
      <c r="G892" s="229"/>
      <c r="H892" s="229"/>
      <c r="I892" s="229"/>
      <c r="J892" s="229"/>
      <c r="K892" s="229"/>
      <c r="L892" s="229"/>
      <c r="M892" s="229"/>
      <c r="N892" s="229"/>
      <c r="P892" s="230"/>
      <c r="Q892" s="230"/>
      <c r="R892" s="230"/>
      <c r="S892" s="230"/>
      <c r="T892" s="230"/>
      <c r="U892" s="230"/>
      <c r="V892" s="230"/>
      <c r="W892" s="230"/>
      <c r="X892" s="230"/>
      <c r="Y892" s="230"/>
      <c r="Z892" s="230"/>
      <c r="AA892" s="230"/>
      <c r="AB892" s="230"/>
      <c r="AC892" s="230"/>
      <c r="AD892" s="230"/>
      <c r="AE892" s="230"/>
      <c r="AF892" s="230"/>
      <c r="AG892" s="230"/>
      <c r="AH892" s="230"/>
      <c r="AI892" s="230"/>
      <c r="AJ892" s="230"/>
      <c r="AK892" s="230"/>
      <c r="AL892" s="230"/>
      <c r="AM892" s="230"/>
      <c r="AN892" s="230"/>
      <c r="AO892" s="230"/>
      <c r="AP892" s="230"/>
      <c r="AQ892" s="230"/>
      <c r="AS892" s="231"/>
      <c r="AT892" s="231"/>
      <c r="AU892" s="231"/>
      <c r="AV892" s="231"/>
      <c r="AW892" s="231"/>
      <c r="AX892" s="231"/>
      <c r="AY892" s="231"/>
      <c r="AZ892" s="231"/>
      <c r="BA892" s="231"/>
      <c r="BC892" s="82"/>
      <c r="BD892" s="82"/>
      <c r="BE892" s="82"/>
      <c r="BF892" s="82"/>
      <c r="BG892" s="82"/>
      <c r="BH892" s="82"/>
      <c r="BI892" s="82"/>
      <c r="BJ892" s="82"/>
      <c r="BK892" s="82"/>
      <c r="BL892" s="82"/>
      <c r="BM892" s="82"/>
      <c r="BN892" s="82"/>
      <c r="BO892" s="82"/>
      <c r="BP892" s="82"/>
      <c r="BQ892" s="82"/>
      <c r="BR892" s="82"/>
      <c r="BS892" s="82"/>
      <c r="BT892" s="82"/>
      <c r="BU892" s="82"/>
      <c r="BV892" s="82"/>
      <c r="BW892" s="82"/>
      <c r="BX892" s="82"/>
      <c r="BY892" s="82"/>
      <c r="BZ892" s="82"/>
      <c r="CA892" s="82"/>
      <c r="CB892" s="82"/>
      <c r="CC892" s="82"/>
      <c r="CD892" s="82"/>
      <c r="CE892" s="82"/>
      <c r="CF892" s="82"/>
      <c r="CG892" s="82"/>
      <c r="CH892" s="82"/>
      <c r="CI892" s="82"/>
      <c r="CJ892" s="82"/>
      <c r="CK892" s="82"/>
      <c r="CL892" s="82"/>
      <c r="CM892" s="82"/>
      <c r="CN892" s="82"/>
      <c r="CO892" s="82"/>
      <c r="CP892" s="82"/>
      <c r="CQ892" s="82"/>
      <c r="CR892" s="82"/>
      <c r="CS892" s="82"/>
      <c r="CT892" s="82"/>
      <c r="CU892" s="82"/>
      <c r="CV892" s="82"/>
      <c r="CW892" s="82"/>
      <c r="CX892" s="82"/>
      <c r="CY892" s="82"/>
      <c r="CZ892" s="82"/>
      <c r="DA892" s="82"/>
      <c r="DB892" s="82"/>
      <c r="DC892" s="82"/>
      <c r="DD892" s="82"/>
      <c r="DE892" s="82"/>
      <c r="DF892" s="82"/>
      <c r="DG892" s="82"/>
    </row>
    <row r="893" spans="2:111" ht="9" customHeight="1">
      <c r="B893" s="229"/>
      <c r="C893" s="229"/>
      <c r="D893" s="229"/>
      <c r="E893" s="229"/>
      <c r="F893" s="229"/>
      <c r="G893" s="229"/>
      <c r="H893" s="229"/>
      <c r="I893" s="229"/>
      <c r="J893" s="229"/>
      <c r="K893" s="229"/>
      <c r="L893" s="229"/>
      <c r="M893" s="229"/>
      <c r="N893" s="229"/>
      <c r="P893" s="230"/>
      <c r="Q893" s="230"/>
      <c r="R893" s="230"/>
      <c r="S893" s="230"/>
      <c r="T893" s="230"/>
      <c r="U893" s="230"/>
      <c r="V893" s="230"/>
      <c r="W893" s="230"/>
      <c r="X893" s="230"/>
      <c r="Y893" s="230"/>
      <c r="Z893" s="230"/>
      <c r="AA893" s="230"/>
      <c r="AB893" s="230"/>
      <c r="AC893" s="230"/>
      <c r="AD893" s="230"/>
      <c r="AE893" s="230"/>
      <c r="AF893" s="230"/>
      <c r="AG893" s="230"/>
      <c r="AH893" s="230"/>
      <c r="AI893" s="230"/>
      <c r="AJ893" s="230"/>
      <c r="AK893" s="230"/>
      <c r="AL893" s="230"/>
      <c r="AM893" s="230"/>
      <c r="AN893" s="230"/>
      <c r="AO893" s="230"/>
      <c r="AP893" s="230"/>
      <c r="AQ893" s="230"/>
      <c r="AS893" s="231"/>
      <c r="AT893" s="231"/>
      <c r="AU893" s="231"/>
      <c r="AV893" s="231"/>
      <c r="AW893" s="231"/>
      <c r="AX893" s="231"/>
      <c r="AY893" s="231"/>
      <c r="AZ893" s="231"/>
      <c r="BA893" s="231"/>
      <c r="BC893" s="82"/>
      <c r="BD893" s="82"/>
      <c r="BE893" s="82"/>
      <c r="BF893" s="82"/>
      <c r="BG893" s="82"/>
      <c r="BH893" s="82"/>
      <c r="BI893" s="82"/>
      <c r="BJ893" s="82"/>
      <c r="BK893" s="82"/>
      <c r="BL893" s="82"/>
      <c r="BM893" s="82"/>
      <c r="BN893" s="82"/>
      <c r="BO893" s="82"/>
      <c r="BP893" s="82"/>
      <c r="BQ893" s="82"/>
      <c r="BR893" s="82"/>
      <c r="BS893" s="82"/>
      <c r="BT893" s="82"/>
      <c r="BU893" s="82"/>
      <c r="BV893" s="82"/>
      <c r="BW893" s="82"/>
      <c r="BX893" s="82"/>
      <c r="BY893" s="82"/>
      <c r="BZ893" s="82"/>
      <c r="CA893" s="82"/>
      <c r="CB893" s="82"/>
      <c r="CC893" s="82"/>
      <c r="CD893" s="82"/>
      <c r="CE893" s="82"/>
      <c r="CF893" s="82"/>
      <c r="CG893" s="82"/>
      <c r="CH893" s="82"/>
      <c r="CI893" s="82"/>
      <c r="CJ893" s="82"/>
      <c r="CK893" s="82"/>
      <c r="CL893" s="82"/>
      <c r="CM893" s="82"/>
      <c r="CN893" s="82"/>
      <c r="CO893" s="82"/>
      <c r="CP893" s="82"/>
      <c r="CQ893" s="82"/>
      <c r="CR893" s="82"/>
      <c r="CS893" s="82"/>
      <c r="CT893" s="82"/>
      <c r="CU893" s="82"/>
      <c r="CV893" s="82"/>
      <c r="CW893" s="82"/>
      <c r="CX893" s="82"/>
      <c r="CY893" s="82"/>
      <c r="CZ893" s="82"/>
      <c r="DA893" s="82"/>
      <c r="DB893" s="82"/>
      <c r="DC893" s="82"/>
      <c r="DD893" s="82"/>
      <c r="DE893" s="82"/>
      <c r="DF893" s="82"/>
      <c r="DG893" s="82"/>
    </row>
    <row r="894" spans="2:111" ht="9" customHeight="1">
      <c r="B894" s="229"/>
      <c r="C894" s="229"/>
      <c r="D894" s="229"/>
      <c r="E894" s="229"/>
      <c r="F894" s="229"/>
      <c r="G894" s="229"/>
      <c r="H894" s="229"/>
      <c r="I894" s="229"/>
      <c r="J894" s="229"/>
      <c r="K894" s="229"/>
      <c r="L894" s="229"/>
      <c r="M894" s="229"/>
      <c r="N894" s="229"/>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230"/>
      <c r="AL894" s="230"/>
      <c r="AM894" s="230"/>
      <c r="AN894" s="230"/>
      <c r="AO894" s="230"/>
      <c r="AP894" s="230"/>
      <c r="AQ894" s="230"/>
      <c r="AS894" s="231"/>
      <c r="AT894" s="231"/>
      <c r="AU894" s="231"/>
      <c r="AV894" s="231"/>
      <c r="AW894" s="231"/>
      <c r="AX894" s="231"/>
      <c r="AY894" s="231"/>
      <c r="AZ894" s="231"/>
      <c r="BA894" s="231"/>
      <c r="BC894" s="82"/>
      <c r="BD894" s="82"/>
      <c r="BE894" s="82"/>
      <c r="BF894" s="82"/>
      <c r="BG894" s="82"/>
      <c r="BH894" s="82"/>
      <c r="BI894" s="82"/>
      <c r="BJ894" s="82"/>
      <c r="BK894" s="82"/>
      <c r="BL894" s="82"/>
      <c r="BM894" s="82"/>
      <c r="BN894" s="82"/>
      <c r="BO894" s="82"/>
      <c r="BP894" s="82"/>
      <c r="BQ894" s="82"/>
      <c r="BR894" s="82"/>
      <c r="BS894" s="82"/>
      <c r="BT894" s="82"/>
      <c r="BU894" s="82"/>
      <c r="BV894" s="82"/>
      <c r="BW894" s="82"/>
      <c r="BX894" s="82"/>
      <c r="BY894" s="82"/>
      <c r="BZ894" s="82"/>
      <c r="CA894" s="82"/>
      <c r="CB894" s="82"/>
      <c r="CC894" s="82"/>
      <c r="CD894" s="82"/>
      <c r="CE894" s="82"/>
      <c r="CF894" s="82"/>
      <c r="CG894" s="82"/>
      <c r="CH894" s="82"/>
      <c r="CI894" s="82"/>
      <c r="CJ894" s="82"/>
      <c r="CK894" s="82"/>
      <c r="CL894" s="82"/>
      <c r="CM894" s="82"/>
      <c r="CN894" s="82"/>
      <c r="CO894" s="82"/>
      <c r="CP894" s="82"/>
      <c r="CQ894" s="82"/>
      <c r="CR894" s="82"/>
      <c r="CS894" s="82"/>
      <c r="CT894" s="82"/>
      <c r="CU894" s="82"/>
      <c r="CV894" s="82"/>
      <c r="CW894" s="82"/>
      <c r="CX894" s="82"/>
      <c r="CY894" s="82"/>
      <c r="CZ894" s="82"/>
      <c r="DA894" s="82"/>
      <c r="DB894" s="82"/>
      <c r="DC894" s="82"/>
      <c r="DD894" s="82"/>
      <c r="DE894" s="82"/>
      <c r="DF894" s="82"/>
      <c r="DG894" s="82"/>
    </row>
    <row r="895" spans="2:111" ht="9" customHeight="1">
      <c r="B895" s="229"/>
      <c r="C895" s="229"/>
      <c r="D895" s="229"/>
      <c r="E895" s="229"/>
      <c r="F895" s="229"/>
      <c r="G895" s="229"/>
      <c r="H895" s="229"/>
      <c r="I895" s="229"/>
      <c r="J895" s="229"/>
      <c r="K895" s="229"/>
      <c r="L895" s="229"/>
      <c r="M895" s="229"/>
      <c r="N895" s="229"/>
      <c r="P895" s="230"/>
      <c r="Q895" s="230"/>
      <c r="R895" s="230"/>
      <c r="S895" s="230"/>
      <c r="T895" s="230"/>
      <c r="U895" s="230"/>
      <c r="V895" s="230"/>
      <c r="W895" s="230"/>
      <c r="X895" s="230"/>
      <c r="Y895" s="230"/>
      <c r="Z895" s="230"/>
      <c r="AA895" s="230"/>
      <c r="AB895" s="230"/>
      <c r="AC895" s="230"/>
      <c r="AD895" s="230"/>
      <c r="AE895" s="230"/>
      <c r="AF895" s="230"/>
      <c r="AG895" s="230"/>
      <c r="AH895" s="230"/>
      <c r="AI895" s="230"/>
      <c r="AJ895" s="230"/>
      <c r="AK895" s="230"/>
      <c r="AL895" s="230"/>
      <c r="AM895" s="230"/>
      <c r="AN895" s="230"/>
      <c r="AO895" s="230"/>
      <c r="AP895" s="230"/>
      <c r="AQ895" s="230"/>
      <c r="AS895" s="231"/>
      <c r="AT895" s="231"/>
      <c r="AU895" s="231"/>
      <c r="AV895" s="231"/>
      <c r="AW895" s="231"/>
      <c r="AX895" s="231"/>
      <c r="AY895" s="231"/>
      <c r="AZ895" s="231"/>
      <c r="BA895" s="231"/>
      <c r="BC895" s="82"/>
      <c r="BD895" s="82"/>
      <c r="BE895" s="82"/>
      <c r="BF895" s="82"/>
      <c r="BG895" s="82"/>
      <c r="BH895" s="82"/>
      <c r="BI895" s="82"/>
      <c r="BJ895" s="82"/>
      <c r="BK895" s="82"/>
      <c r="BL895" s="82"/>
      <c r="BM895" s="82"/>
      <c r="BN895" s="82"/>
      <c r="BO895" s="82"/>
      <c r="BP895" s="82"/>
      <c r="BQ895" s="82"/>
      <c r="BR895" s="82"/>
      <c r="BS895" s="82"/>
      <c r="BT895" s="82"/>
      <c r="BU895" s="82"/>
      <c r="BV895" s="82"/>
      <c r="BW895" s="82"/>
      <c r="BX895" s="82"/>
      <c r="BY895" s="82"/>
      <c r="BZ895" s="82"/>
      <c r="CA895" s="82"/>
      <c r="CB895" s="82"/>
      <c r="CC895" s="82"/>
      <c r="CD895" s="82"/>
      <c r="CE895" s="82"/>
      <c r="CF895" s="82"/>
      <c r="CG895" s="82"/>
      <c r="CH895" s="82"/>
      <c r="CI895" s="82"/>
      <c r="CJ895" s="82"/>
      <c r="CK895" s="82"/>
      <c r="CL895" s="82"/>
      <c r="CM895" s="82"/>
      <c r="CN895" s="82"/>
      <c r="CO895" s="82"/>
      <c r="CP895" s="82"/>
      <c r="CQ895" s="82"/>
      <c r="CR895" s="82"/>
      <c r="CS895" s="82"/>
      <c r="CT895" s="82"/>
      <c r="CU895" s="82"/>
      <c r="CV895" s="82"/>
      <c r="CW895" s="82"/>
      <c r="CX895" s="82"/>
      <c r="CY895" s="82"/>
      <c r="CZ895" s="82"/>
      <c r="DA895" s="82"/>
      <c r="DB895" s="82"/>
      <c r="DC895" s="82"/>
      <c r="DD895" s="82"/>
      <c r="DE895" s="82"/>
      <c r="DF895" s="82"/>
      <c r="DG895" s="82"/>
    </row>
    <row r="896" spans="2:111" ht="9" customHeight="1">
      <c r="B896" s="229"/>
      <c r="C896" s="229"/>
      <c r="D896" s="229"/>
      <c r="E896" s="229"/>
      <c r="F896" s="229"/>
      <c r="G896" s="229"/>
      <c r="H896" s="229"/>
      <c r="I896" s="229"/>
      <c r="J896" s="229"/>
      <c r="K896" s="229"/>
      <c r="L896" s="229"/>
      <c r="M896" s="229"/>
      <c r="N896" s="229"/>
      <c r="P896" s="230"/>
      <c r="Q896" s="230"/>
      <c r="R896" s="230"/>
      <c r="S896" s="230"/>
      <c r="T896" s="230"/>
      <c r="U896" s="230"/>
      <c r="V896" s="230"/>
      <c r="W896" s="230"/>
      <c r="X896" s="230"/>
      <c r="Y896" s="230"/>
      <c r="Z896" s="230"/>
      <c r="AA896" s="230"/>
      <c r="AB896" s="230"/>
      <c r="AC896" s="230"/>
      <c r="AD896" s="230"/>
      <c r="AE896" s="230"/>
      <c r="AF896" s="230"/>
      <c r="AG896" s="230"/>
      <c r="AH896" s="230"/>
      <c r="AI896" s="230"/>
      <c r="AJ896" s="230"/>
      <c r="AK896" s="230"/>
      <c r="AL896" s="230"/>
      <c r="AM896" s="230"/>
      <c r="AN896" s="230"/>
      <c r="AO896" s="230"/>
      <c r="AP896" s="230"/>
      <c r="AQ896" s="230"/>
      <c r="AS896" s="231"/>
      <c r="AT896" s="231"/>
      <c r="AU896" s="231"/>
      <c r="AV896" s="231"/>
      <c r="AW896" s="231"/>
      <c r="AX896" s="231"/>
      <c r="AY896" s="231"/>
      <c r="AZ896" s="231"/>
      <c r="BA896" s="231"/>
      <c r="BC896" s="82"/>
      <c r="BD896" s="82"/>
      <c r="BE896" s="82"/>
      <c r="BF896" s="82"/>
      <c r="BG896" s="82"/>
      <c r="BH896" s="82"/>
      <c r="BI896" s="82"/>
      <c r="BJ896" s="82"/>
      <c r="BK896" s="82"/>
      <c r="BL896" s="82"/>
      <c r="BM896" s="82"/>
      <c r="BN896" s="82"/>
      <c r="BO896" s="82"/>
      <c r="BP896" s="82"/>
      <c r="BQ896" s="82"/>
      <c r="BR896" s="82"/>
      <c r="BS896" s="82"/>
      <c r="BT896" s="82"/>
      <c r="BU896" s="82"/>
      <c r="BV896" s="82"/>
      <c r="BW896" s="82"/>
      <c r="BX896" s="82"/>
      <c r="BY896" s="82"/>
      <c r="BZ896" s="82"/>
      <c r="CA896" s="82"/>
      <c r="CB896" s="82"/>
      <c r="CC896" s="82"/>
      <c r="CD896" s="82"/>
      <c r="CE896" s="82"/>
      <c r="CF896" s="82"/>
      <c r="CG896" s="82"/>
      <c r="CH896" s="82"/>
      <c r="CI896" s="82"/>
      <c r="CJ896" s="82"/>
      <c r="CK896" s="82"/>
      <c r="CL896" s="82"/>
      <c r="CM896" s="82"/>
      <c r="CN896" s="82"/>
      <c r="CO896" s="82"/>
      <c r="CP896" s="82"/>
      <c r="CQ896" s="82"/>
      <c r="CR896" s="82"/>
      <c r="CS896" s="82"/>
      <c r="CT896" s="82"/>
      <c r="CU896" s="82"/>
      <c r="CV896" s="82"/>
      <c r="CW896" s="82"/>
      <c r="CX896" s="82"/>
      <c r="CY896" s="82"/>
      <c r="CZ896" s="82"/>
      <c r="DA896" s="82"/>
      <c r="DB896" s="82"/>
      <c r="DC896" s="82"/>
      <c r="DD896" s="82"/>
      <c r="DE896" s="82"/>
      <c r="DF896" s="82"/>
      <c r="DG896" s="82"/>
    </row>
    <row r="897" spans="2:111" ht="9" customHeight="1">
      <c r="B897" s="229"/>
      <c r="C897" s="229"/>
      <c r="D897" s="229"/>
      <c r="E897" s="229"/>
      <c r="F897" s="229"/>
      <c r="G897" s="229"/>
      <c r="H897" s="229"/>
      <c r="I897" s="229"/>
      <c r="J897" s="229"/>
      <c r="K897" s="229"/>
      <c r="L897" s="229"/>
      <c r="M897" s="229"/>
      <c r="N897" s="229"/>
      <c r="P897" s="230"/>
      <c r="Q897" s="230"/>
      <c r="R897" s="230"/>
      <c r="S897" s="230"/>
      <c r="T897" s="230"/>
      <c r="U897" s="230"/>
      <c r="V897" s="230"/>
      <c r="W897" s="230"/>
      <c r="X897" s="230"/>
      <c r="Y897" s="230"/>
      <c r="Z897" s="230"/>
      <c r="AA897" s="230"/>
      <c r="AB897" s="230"/>
      <c r="AC897" s="230"/>
      <c r="AD897" s="230"/>
      <c r="AE897" s="230"/>
      <c r="AF897" s="230"/>
      <c r="AG897" s="230"/>
      <c r="AH897" s="230"/>
      <c r="AI897" s="230"/>
      <c r="AJ897" s="230"/>
      <c r="AK897" s="230"/>
      <c r="AL897" s="230"/>
      <c r="AM897" s="230"/>
      <c r="AN897" s="230"/>
      <c r="AO897" s="230"/>
      <c r="AP897" s="230"/>
      <c r="AQ897" s="230"/>
      <c r="AS897" s="231"/>
      <c r="AT897" s="231"/>
      <c r="AU897" s="231"/>
      <c r="AV897" s="231"/>
      <c r="AW897" s="231"/>
      <c r="AX897" s="231"/>
      <c r="AY897" s="231"/>
      <c r="AZ897" s="231"/>
      <c r="BA897" s="231"/>
      <c r="BC897" s="82"/>
      <c r="BD897" s="82"/>
      <c r="BE897" s="82"/>
      <c r="BF897" s="82"/>
      <c r="BG897" s="82"/>
      <c r="BH897" s="82"/>
      <c r="BI897" s="82"/>
      <c r="BJ897" s="82"/>
      <c r="BK897" s="82"/>
      <c r="BL897" s="82"/>
      <c r="BM897" s="82"/>
      <c r="BN897" s="82"/>
      <c r="BO897" s="82"/>
      <c r="BP897" s="82"/>
      <c r="BQ897" s="82"/>
      <c r="BR897" s="82"/>
      <c r="BS897" s="82"/>
      <c r="BT897" s="82"/>
      <c r="BU897" s="82"/>
      <c r="BV897" s="82"/>
      <c r="BW897" s="82"/>
      <c r="BX897" s="82"/>
      <c r="BY897" s="82"/>
      <c r="BZ897" s="82"/>
      <c r="CA897" s="82"/>
      <c r="CB897" s="82"/>
      <c r="CC897" s="82"/>
      <c r="CD897" s="82"/>
      <c r="CE897" s="82"/>
      <c r="CF897" s="82"/>
      <c r="CG897" s="82"/>
      <c r="CH897" s="82"/>
      <c r="CI897" s="82"/>
      <c r="CJ897" s="82"/>
      <c r="CK897" s="82"/>
      <c r="CL897" s="82"/>
      <c r="CM897" s="82"/>
      <c r="CN897" s="82"/>
      <c r="CO897" s="82"/>
      <c r="CP897" s="82"/>
      <c r="CQ897" s="82"/>
      <c r="CR897" s="82"/>
      <c r="CS897" s="82"/>
      <c r="CT897" s="82"/>
      <c r="CU897" s="82"/>
      <c r="CV897" s="82"/>
      <c r="CW897" s="82"/>
      <c r="CX897" s="82"/>
      <c r="CY897" s="82"/>
      <c r="CZ897" s="82"/>
      <c r="DA897" s="82"/>
      <c r="DB897" s="82"/>
      <c r="DC897" s="82"/>
      <c r="DD897" s="82"/>
      <c r="DE897" s="82"/>
      <c r="DF897" s="82"/>
      <c r="DG897" s="82"/>
    </row>
    <row r="898" spans="2:111" ht="9" customHeight="1">
      <c r="B898" s="229"/>
      <c r="C898" s="229"/>
      <c r="D898" s="229"/>
      <c r="E898" s="229"/>
      <c r="F898" s="229"/>
      <c r="G898" s="229"/>
      <c r="H898" s="229"/>
      <c r="I898" s="229"/>
      <c r="J898" s="229"/>
      <c r="K898" s="229"/>
      <c r="L898" s="229"/>
      <c r="M898" s="229"/>
      <c r="N898" s="229"/>
      <c r="P898" s="230"/>
      <c r="Q898" s="230"/>
      <c r="R898" s="230"/>
      <c r="S898" s="230"/>
      <c r="T898" s="230"/>
      <c r="U898" s="230"/>
      <c r="V898" s="230"/>
      <c r="W898" s="230"/>
      <c r="X898" s="230"/>
      <c r="Y898" s="230"/>
      <c r="Z898" s="230"/>
      <c r="AA898" s="230"/>
      <c r="AB898" s="230"/>
      <c r="AC898" s="230"/>
      <c r="AD898" s="230"/>
      <c r="AE898" s="230"/>
      <c r="AF898" s="230"/>
      <c r="AG898" s="230"/>
      <c r="AH898" s="230"/>
      <c r="AI898" s="230"/>
      <c r="AJ898" s="230"/>
      <c r="AK898" s="230"/>
      <c r="AL898" s="230"/>
      <c r="AM898" s="230"/>
      <c r="AN898" s="230"/>
      <c r="AO898" s="230"/>
      <c r="AP898" s="230"/>
      <c r="AQ898" s="230"/>
      <c r="AS898" s="231"/>
      <c r="AT898" s="231"/>
      <c r="AU898" s="231"/>
      <c r="AV898" s="231"/>
      <c r="AW898" s="231"/>
      <c r="AX898" s="231"/>
      <c r="AY898" s="231"/>
      <c r="AZ898" s="231"/>
      <c r="BA898" s="231"/>
      <c r="BC898" s="82"/>
      <c r="BD898" s="82"/>
      <c r="BE898" s="82"/>
      <c r="BF898" s="82"/>
      <c r="BG898" s="82"/>
      <c r="BH898" s="82"/>
      <c r="BI898" s="82"/>
      <c r="BJ898" s="82"/>
      <c r="BK898" s="82"/>
      <c r="BL898" s="82"/>
      <c r="BM898" s="82"/>
      <c r="BN898" s="82"/>
      <c r="BO898" s="82"/>
      <c r="BP898" s="82"/>
      <c r="BQ898" s="82"/>
      <c r="BR898" s="82"/>
      <c r="BS898" s="82"/>
      <c r="BT898" s="82"/>
      <c r="BU898" s="82"/>
      <c r="BV898" s="82"/>
      <c r="BW898" s="82"/>
      <c r="BX898" s="82"/>
      <c r="BY898" s="82"/>
      <c r="BZ898" s="82"/>
      <c r="CA898" s="82"/>
      <c r="CB898" s="82"/>
      <c r="CC898" s="82"/>
      <c r="CD898" s="82"/>
      <c r="CE898" s="82"/>
      <c r="CF898" s="82"/>
      <c r="CG898" s="82"/>
      <c r="CH898" s="82"/>
      <c r="CI898" s="82"/>
      <c r="CJ898" s="82"/>
      <c r="CK898" s="82"/>
      <c r="CL898" s="82"/>
      <c r="CM898" s="82"/>
      <c r="CN898" s="82"/>
      <c r="CO898" s="82"/>
      <c r="CP898" s="82"/>
      <c r="CQ898" s="82"/>
      <c r="CR898" s="82"/>
      <c r="CS898" s="82"/>
      <c r="CT898" s="82"/>
      <c r="CU898" s="82"/>
      <c r="CV898" s="82"/>
      <c r="CW898" s="82"/>
      <c r="CX898" s="82"/>
      <c r="CY898" s="82"/>
      <c r="CZ898" s="82"/>
      <c r="DA898" s="82"/>
      <c r="DB898" s="82"/>
      <c r="DC898" s="82"/>
      <c r="DD898" s="82"/>
      <c r="DE898" s="82"/>
      <c r="DF898" s="82"/>
      <c r="DG898" s="82"/>
    </row>
    <row r="899" spans="2:111" ht="12" customHeight="1">
      <c r="BC899" s="82"/>
      <c r="BD899" s="82"/>
      <c r="BE899" s="82"/>
      <c r="BF899" s="82"/>
      <c r="BG899" s="82"/>
      <c r="BH899" s="82"/>
      <c r="BI899" s="82"/>
      <c r="BJ899" s="82"/>
      <c r="BK899" s="82"/>
      <c r="BL899" s="82"/>
      <c r="BM899" s="82"/>
      <c r="BN899" s="82"/>
      <c r="BO899" s="82"/>
      <c r="BP899" s="82"/>
      <c r="BQ899" s="82"/>
      <c r="BR899" s="82"/>
      <c r="BS899" s="82"/>
      <c r="BT899" s="82"/>
      <c r="BU899" s="82"/>
      <c r="BV899" s="82"/>
      <c r="BW899" s="82"/>
      <c r="BX899" s="82"/>
      <c r="BY899" s="82"/>
      <c r="BZ899" s="82"/>
      <c r="CA899" s="82"/>
      <c r="CB899" s="82"/>
      <c r="CC899" s="82"/>
      <c r="CD899" s="82"/>
      <c r="CE899" s="82"/>
      <c r="CF899" s="82"/>
      <c r="CG899" s="82"/>
      <c r="CH899" s="82"/>
      <c r="CI899" s="82"/>
      <c r="CJ899" s="82"/>
      <c r="CK899" s="82"/>
      <c r="CL899" s="82"/>
      <c r="CM899" s="82"/>
      <c r="CN899" s="82"/>
      <c r="CO899" s="82"/>
      <c r="CP899" s="82"/>
      <c r="CQ899" s="82"/>
      <c r="CR899" s="82"/>
      <c r="CS899" s="82"/>
      <c r="CT899" s="82"/>
      <c r="CU899" s="82"/>
      <c r="CV899" s="82"/>
      <c r="CW899" s="82"/>
      <c r="CX899" s="82"/>
      <c r="CY899" s="82"/>
      <c r="CZ899" s="82"/>
      <c r="DA899" s="82"/>
      <c r="DB899" s="82"/>
      <c r="DC899" s="82"/>
      <c r="DD899" s="82"/>
      <c r="DE899" s="82"/>
      <c r="DF899" s="82"/>
      <c r="DG899" s="82"/>
    </row>
    <row r="900" spans="2:111" ht="4.5" customHeight="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29"/>
      <c r="AP900" s="29"/>
      <c r="AQ900" s="29"/>
      <c r="AR900" s="29"/>
      <c r="AS900" s="29"/>
      <c r="AT900" s="29"/>
      <c r="AU900" s="29"/>
      <c r="AV900" s="29"/>
      <c r="AW900" s="29"/>
      <c r="AX900" s="29"/>
      <c r="AY900" s="29"/>
      <c r="AZ900" s="29"/>
      <c r="BA900" s="29"/>
      <c r="BC900" s="82"/>
      <c r="BD900" s="82"/>
      <c r="BE900" s="82"/>
      <c r="BF900" s="82"/>
      <c r="BG900" s="82"/>
      <c r="BH900" s="82"/>
      <c r="BI900" s="82"/>
      <c r="BJ900" s="82"/>
      <c r="BK900" s="82"/>
      <c r="BL900" s="82"/>
      <c r="BM900" s="82"/>
      <c r="BN900" s="82"/>
      <c r="BO900" s="82"/>
      <c r="BP900" s="82"/>
      <c r="BQ900" s="82"/>
      <c r="BR900" s="82"/>
      <c r="BS900" s="82"/>
      <c r="BT900" s="82"/>
      <c r="BU900" s="82"/>
      <c r="BV900" s="82"/>
      <c r="BW900" s="82"/>
      <c r="BX900" s="82"/>
      <c r="BY900" s="82"/>
      <c r="BZ900" s="82"/>
      <c r="CA900" s="82"/>
      <c r="CB900" s="82"/>
      <c r="CC900" s="82"/>
      <c r="CD900" s="82"/>
      <c r="CE900" s="82"/>
      <c r="CF900" s="82"/>
      <c r="CG900" s="82"/>
      <c r="CH900" s="82"/>
      <c r="CI900" s="82"/>
      <c r="CJ900" s="82"/>
      <c r="CK900" s="82"/>
      <c r="CL900" s="82"/>
      <c r="CM900" s="82"/>
      <c r="CN900" s="82"/>
      <c r="CO900" s="82"/>
      <c r="CP900" s="82"/>
      <c r="CQ900" s="82"/>
      <c r="CR900" s="82"/>
      <c r="CS900" s="82"/>
      <c r="CT900" s="82"/>
      <c r="CU900" s="82"/>
      <c r="CV900" s="82"/>
      <c r="CW900" s="82"/>
      <c r="CX900" s="82"/>
      <c r="CY900" s="82"/>
      <c r="CZ900" s="82"/>
      <c r="DA900" s="82"/>
      <c r="DB900" s="82"/>
      <c r="DC900" s="82"/>
      <c r="DD900" s="82"/>
      <c r="DE900" s="82"/>
      <c r="DF900" s="82"/>
      <c r="DG900" s="82"/>
    </row>
    <row r="901" spans="2:111" ht="9" customHeight="1">
      <c r="B901" s="232" t="str">
        <f>IF($U$874&gt;=2,"Etapa 3.2","")</f>
        <v/>
      </c>
      <c r="C901" s="232"/>
      <c r="D901" s="232"/>
      <c r="E901" s="232"/>
      <c r="F901" s="232"/>
      <c r="G901" s="232"/>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c r="AF901" s="233"/>
      <c r="AG901" s="233"/>
      <c r="AH901" s="233"/>
      <c r="AI901" s="233"/>
      <c r="AJ901" s="233"/>
      <c r="AK901" s="233"/>
      <c r="AL901" s="233"/>
      <c r="AM901" s="233"/>
      <c r="AN901" s="233"/>
      <c r="AO901" s="233"/>
      <c r="AP901" s="233"/>
      <c r="AQ901" s="233"/>
      <c r="AS901" s="234" t="str">
        <f>IF(SUM(AS907:BA922)=0,"",SUM(AS907:BA922))</f>
        <v/>
      </c>
      <c r="AT901" s="234"/>
      <c r="AU901" s="234"/>
      <c r="AV901" s="234"/>
      <c r="AW901" s="234"/>
      <c r="AX901" s="234"/>
      <c r="AY901" s="234"/>
      <c r="AZ901" s="234"/>
      <c r="BA901" s="234"/>
      <c r="BC901" s="82"/>
      <c r="BD901" s="82"/>
      <c r="BE901" s="82"/>
      <c r="BF901" s="82"/>
      <c r="BG901" s="82"/>
      <c r="BH901" s="82"/>
      <c r="BI901" s="82"/>
      <c r="BJ901" s="82"/>
      <c r="BK901" s="82"/>
      <c r="BL901" s="82"/>
      <c r="BM901" s="82"/>
      <c r="BN901" s="82"/>
      <c r="BO901" s="82"/>
      <c r="BP901" s="82"/>
      <c r="BQ901" s="82"/>
      <c r="BR901" s="82"/>
      <c r="BS901" s="82"/>
      <c r="BT901" s="82"/>
      <c r="BU901" s="82"/>
      <c r="BV901" s="82"/>
      <c r="BW901" s="82"/>
      <c r="BX901" s="82"/>
      <c r="BY901" s="82"/>
      <c r="BZ901" s="82"/>
      <c r="CA901" s="82"/>
      <c r="CB901" s="82"/>
      <c r="CC901" s="82"/>
      <c r="CD901" s="82"/>
      <c r="CE901" s="82"/>
      <c r="CF901" s="82"/>
      <c r="CG901" s="82"/>
      <c r="CH901" s="82"/>
      <c r="CI901" s="82"/>
      <c r="CJ901" s="82"/>
      <c r="CK901" s="82"/>
      <c r="CL901" s="82"/>
      <c r="CM901" s="82"/>
      <c r="CN901" s="82"/>
      <c r="CO901" s="82"/>
      <c r="CP901" s="82"/>
      <c r="CQ901" s="82"/>
      <c r="CR901" s="82"/>
      <c r="CS901" s="82"/>
      <c r="CT901" s="82"/>
      <c r="CU901" s="82"/>
      <c r="CV901" s="82"/>
      <c r="CW901" s="82"/>
      <c r="CX901" s="82"/>
      <c r="CY901" s="82"/>
      <c r="CZ901" s="82"/>
      <c r="DA901" s="82"/>
      <c r="DB901" s="82"/>
      <c r="DC901" s="82"/>
      <c r="DD901" s="82"/>
      <c r="DE901" s="82"/>
      <c r="DF901" s="82"/>
      <c r="DG901" s="82"/>
    </row>
    <row r="902" spans="2:111" ht="9" customHeight="1">
      <c r="B902" s="232"/>
      <c r="C902" s="232"/>
      <c r="D902" s="232"/>
      <c r="E902" s="232"/>
      <c r="F902" s="232"/>
      <c r="G902" s="232"/>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c r="AI902" s="233"/>
      <c r="AJ902" s="233"/>
      <c r="AK902" s="233"/>
      <c r="AL902" s="233"/>
      <c r="AM902" s="233"/>
      <c r="AN902" s="233"/>
      <c r="AO902" s="233"/>
      <c r="AP902" s="233"/>
      <c r="AQ902" s="233"/>
      <c r="AS902" s="234"/>
      <c r="AT902" s="234"/>
      <c r="AU902" s="234"/>
      <c r="AV902" s="234"/>
      <c r="AW902" s="234"/>
      <c r="AX902" s="234"/>
      <c r="AY902" s="234"/>
      <c r="AZ902" s="234"/>
      <c r="BA902" s="234"/>
      <c r="BC902" s="82"/>
      <c r="BD902" s="82"/>
      <c r="BE902" s="82"/>
      <c r="BF902" s="82"/>
      <c r="BG902" s="82"/>
      <c r="BH902" s="82"/>
      <c r="BI902" s="82"/>
      <c r="BJ902" s="82"/>
      <c r="BK902" s="82"/>
      <c r="BL902" s="82"/>
      <c r="BM902" s="82"/>
      <c r="BN902" s="82"/>
      <c r="BO902" s="82"/>
      <c r="BP902" s="82"/>
      <c r="BQ902" s="82"/>
      <c r="BR902" s="82"/>
      <c r="BS902" s="82"/>
      <c r="BT902" s="82"/>
      <c r="BU902" s="82"/>
      <c r="BV902" s="82"/>
      <c r="BW902" s="82"/>
      <c r="BX902" s="82"/>
      <c r="BY902" s="82"/>
      <c r="BZ902" s="82"/>
      <c r="CA902" s="82"/>
      <c r="CB902" s="82"/>
      <c r="CC902" s="82"/>
      <c r="CD902" s="82"/>
      <c r="CE902" s="82"/>
      <c r="CF902" s="82"/>
      <c r="CG902" s="82"/>
      <c r="CH902" s="82"/>
      <c r="CI902" s="82"/>
      <c r="CJ902" s="82"/>
      <c r="CK902" s="82"/>
      <c r="CL902" s="82"/>
      <c r="CM902" s="82"/>
      <c r="CN902" s="82"/>
      <c r="CO902" s="82"/>
      <c r="CP902" s="82"/>
      <c r="CQ902" s="82"/>
      <c r="CR902" s="82"/>
      <c r="CS902" s="82"/>
      <c r="CT902" s="82"/>
      <c r="CU902" s="82"/>
      <c r="CV902" s="82"/>
      <c r="CW902" s="82"/>
      <c r="CX902" s="82"/>
      <c r="CY902" s="82"/>
      <c r="CZ902" s="82"/>
      <c r="DA902" s="82"/>
      <c r="DB902" s="82"/>
      <c r="DC902" s="82"/>
      <c r="DD902" s="82"/>
      <c r="DE902" s="82"/>
      <c r="DF902" s="82"/>
      <c r="DG902" s="82"/>
    </row>
    <row r="903" spans="2:111" ht="4.5" customHeight="1">
      <c r="BC903" s="82"/>
      <c r="BD903" s="82"/>
      <c r="BE903" s="82"/>
      <c r="BF903" s="82"/>
      <c r="BG903" s="82"/>
      <c r="BH903" s="82"/>
      <c r="BI903" s="82"/>
      <c r="BJ903" s="82"/>
      <c r="BK903" s="82"/>
      <c r="BL903" s="82"/>
      <c r="BM903" s="82"/>
      <c r="BN903" s="82"/>
      <c r="BO903" s="82"/>
      <c r="BP903" s="82"/>
      <c r="BQ903" s="82"/>
      <c r="BR903" s="82"/>
      <c r="BS903" s="82"/>
      <c r="BT903" s="82"/>
      <c r="BU903" s="82"/>
      <c r="BV903" s="82"/>
      <c r="BW903" s="82"/>
      <c r="BX903" s="82"/>
      <c r="BY903" s="82"/>
      <c r="BZ903" s="82"/>
      <c r="CA903" s="82"/>
      <c r="CB903" s="82"/>
      <c r="CC903" s="82"/>
      <c r="CD903" s="82"/>
      <c r="CE903" s="82"/>
      <c r="CF903" s="82"/>
      <c r="CG903" s="82"/>
      <c r="CH903" s="82"/>
      <c r="CI903" s="82"/>
      <c r="CJ903" s="82"/>
      <c r="CK903" s="82"/>
      <c r="CL903" s="82"/>
      <c r="CM903" s="82"/>
      <c r="CN903" s="82"/>
      <c r="CO903" s="82"/>
      <c r="CP903" s="82"/>
      <c r="CQ903" s="82"/>
      <c r="CR903" s="82"/>
      <c r="CS903" s="82"/>
      <c r="CT903" s="82"/>
      <c r="CU903" s="82"/>
      <c r="CV903" s="82"/>
      <c r="CW903" s="82"/>
      <c r="CX903" s="82"/>
      <c r="CY903" s="82"/>
      <c r="CZ903" s="82"/>
      <c r="DA903" s="82"/>
      <c r="DB903" s="82"/>
      <c r="DC903" s="82"/>
      <c r="DD903" s="82"/>
      <c r="DE903" s="82"/>
      <c r="DF903" s="82"/>
      <c r="DG903" s="82"/>
    </row>
    <row r="904" spans="2:111" ht="9" customHeight="1">
      <c r="I904" s="229" t="str">
        <f>IF($U$874&gt;=2,"Início:","")</f>
        <v/>
      </c>
      <c r="J904" s="229"/>
      <c r="K904" s="229"/>
      <c r="L904" s="229"/>
      <c r="M904" s="229"/>
      <c r="N904" s="229"/>
      <c r="P904" s="235"/>
      <c r="Q904" s="235"/>
      <c r="R904" s="235"/>
      <c r="S904" s="235"/>
      <c r="T904" s="235"/>
      <c r="U904" s="235"/>
      <c r="V904" s="235"/>
      <c r="W904" s="235"/>
      <c r="Y904" s="229" t="str">
        <f>IF($U$874&gt;=2,"Término:","")</f>
        <v/>
      </c>
      <c r="Z904" s="229"/>
      <c r="AA904" s="229"/>
      <c r="AB904" s="229"/>
      <c r="AC904" s="229"/>
      <c r="AD904" s="229"/>
      <c r="AF904" s="235"/>
      <c r="AG904" s="235"/>
      <c r="AH904" s="235"/>
      <c r="AI904" s="235"/>
      <c r="AJ904" s="235"/>
      <c r="AK904" s="235"/>
      <c r="AL904" s="235"/>
      <c r="AM904" s="235"/>
      <c r="AW904" s="236" t="str">
        <f>IF($U$874&gt;=2,"Valor (R$):","")</f>
        <v/>
      </c>
      <c r="AX904" s="236"/>
      <c r="AY904" s="236"/>
      <c r="AZ904" s="236"/>
      <c r="BA904" s="236"/>
      <c r="BC904" s="82"/>
      <c r="BD904" s="82"/>
      <c r="BE904" s="82"/>
      <c r="BF904" s="82"/>
      <c r="BG904" s="82"/>
      <c r="BH904" s="82"/>
      <c r="BI904" s="82"/>
      <c r="BJ904" s="82"/>
      <c r="BK904" s="82"/>
      <c r="BL904" s="82"/>
      <c r="BM904" s="82"/>
      <c r="BN904" s="82"/>
      <c r="BO904" s="82"/>
      <c r="BP904" s="82"/>
      <c r="BQ904" s="82"/>
      <c r="BR904" s="82"/>
      <c r="BS904" s="82"/>
      <c r="BT904" s="82"/>
      <c r="BU904" s="82"/>
      <c r="BV904" s="82"/>
      <c r="BW904" s="82"/>
      <c r="BX904" s="82"/>
      <c r="BY904" s="82"/>
      <c r="BZ904" s="82"/>
      <c r="CA904" s="82"/>
      <c r="CB904" s="82"/>
      <c r="CC904" s="82"/>
      <c r="CD904" s="82"/>
      <c r="CE904" s="82"/>
      <c r="CF904" s="82"/>
      <c r="CG904" s="82"/>
      <c r="CH904" s="82"/>
      <c r="CI904" s="82"/>
      <c r="CJ904" s="82"/>
      <c r="CK904" s="82"/>
      <c r="CL904" s="82"/>
      <c r="CM904" s="82"/>
      <c r="CN904" s="82"/>
      <c r="CO904" s="82"/>
      <c r="CP904" s="82"/>
      <c r="CQ904" s="82"/>
      <c r="CR904" s="82"/>
      <c r="CS904" s="82"/>
      <c r="CT904" s="82"/>
      <c r="CU904" s="82"/>
      <c r="CV904" s="82"/>
      <c r="CW904" s="82"/>
      <c r="CX904" s="82"/>
      <c r="CY904" s="82"/>
      <c r="CZ904" s="82"/>
      <c r="DA904" s="82"/>
      <c r="DB904" s="82"/>
      <c r="DC904" s="82"/>
      <c r="DD904" s="82"/>
      <c r="DE904" s="82"/>
      <c r="DF904" s="82"/>
      <c r="DG904" s="82"/>
    </row>
    <row r="905" spans="2:111" ht="9" customHeight="1">
      <c r="I905" s="229"/>
      <c r="J905" s="229"/>
      <c r="K905" s="229"/>
      <c r="L905" s="229"/>
      <c r="M905" s="229"/>
      <c r="N905" s="229"/>
      <c r="P905" s="235"/>
      <c r="Q905" s="235"/>
      <c r="R905" s="235"/>
      <c r="S905" s="235"/>
      <c r="T905" s="235"/>
      <c r="U905" s="235"/>
      <c r="V905" s="235"/>
      <c r="W905" s="235"/>
      <c r="Y905" s="229"/>
      <c r="Z905" s="229"/>
      <c r="AA905" s="229"/>
      <c r="AB905" s="229"/>
      <c r="AC905" s="229"/>
      <c r="AD905" s="229"/>
      <c r="AF905" s="235"/>
      <c r="AG905" s="235"/>
      <c r="AH905" s="235"/>
      <c r="AI905" s="235"/>
      <c r="AJ905" s="235"/>
      <c r="AK905" s="235"/>
      <c r="AL905" s="235"/>
      <c r="AM905" s="235"/>
      <c r="AW905" s="236"/>
      <c r="AX905" s="236"/>
      <c r="AY905" s="236"/>
      <c r="AZ905" s="236"/>
      <c r="BA905" s="236"/>
      <c r="BC905" s="82"/>
      <c r="BD905" s="82"/>
      <c r="BE905" s="82"/>
      <c r="BF905" s="82"/>
      <c r="BG905" s="82"/>
      <c r="BH905" s="82"/>
      <c r="BI905" s="82"/>
      <c r="BJ905" s="82"/>
      <c r="BK905" s="82"/>
      <c r="BL905" s="82"/>
      <c r="BM905" s="82"/>
      <c r="BN905" s="82"/>
      <c r="BO905" s="82"/>
      <c r="BP905" s="82"/>
      <c r="BQ905" s="82"/>
      <c r="BR905" s="82"/>
      <c r="BS905" s="82"/>
      <c r="BT905" s="82"/>
      <c r="BU905" s="82"/>
      <c r="BV905" s="82"/>
      <c r="BW905" s="82"/>
      <c r="BX905" s="82"/>
      <c r="BY905" s="82"/>
      <c r="BZ905" s="82"/>
      <c r="CA905" s="82"/>
      <c r="CB905" s="82"/>
      <c r="CC905" s="82"/>
      <c r="CD905" s="82"/>
      <c r="CE905" s="82"/>
      <c r="CF905" s="82"/>
      <c r="CG905" s="82"/>
      <c r="CH905" s="82"/>
      <c r="CI905" s="82"/>
      <c r="CJ905" s="82"/>
      <c r="CK905" s="82"/>
      <c r="CL905" s="82"/>
      <c r="CM905" s="82"/>
      <c r="CN905" s="82"/>
      <c r="CO905" s="82"/>
      <c r="CP905" s="82"/>
      <c r="CQ905" s="82"/>
      <c r="CR905" s="82"/>
      <c r="CS905" s="82"/>
      <c r="CT905" s="82"/>
      <c r="CU905" s="82"/>
      <c r="CV905" s="82"/>
      <c r="CW905" s="82"/>
      <c r="CX905" s="82"/>
      <c r="CY905" s="82"/>
      <c r="CZ905" s="82"/>
      <c r="DA905" s="82"/>
      <c r="DB905" s="82"/>
      <c r="DC905" s="82"/>
      <c r="DD905" s="82"/>
      <c r="DE905" s="82"/>
      <c r="DF905" s="82"/>
      <c r="DG905" s="82"/>
    </row>
    <row r="906" spans="2:111" ht="4.5" customHeight="1">
      <c r="BC906" s="82"/>
      <c r="BD906" s="82"/>
      <c r="BE906" s="82"/>
      <c r="BF906" s="82"/>
      <c r="BG906" s="82"/>
      <c r="BH906" s="82"/>
      <c r="BI906" s="82"/>
      <c r="BJ906" s="82"/>
      <c r="BK906" s="82"/>
      <c r="BL906" s="82"/>
      <c r="BM906" s="82"/>
      <c r="BN906" s="82"/>
      <c r="BO906" s="82"/>
      <c r="BP906" s="82"/>
      <c r="BQ906" s="82"/>
      <c r="BR906" s="82"/>
      <c r="BS906" s="82"/>
      <c r="BT906" s="82"/>
      <c r="BU906" s="82"/>
      <c r="BV906" s="82"/>
      <c r="BW906" s="82"/>
      <c r="BX906" s="82"/>
      <c r="BY906" s="82"/>
      <c r="BZ906" s="82"/>
      <c r="CA906" s="82"/>
      <c r="CB906" s="82"/>
      <c r="CC906" s="82"/>
      <c r="CD906" s="82"/>
      <c r="CE906" s="82"/>
      <c r="CF906" s="82"/>
      <c r="CG906" s="82"/>
      <c r="CH906" s="82"/>
      <c r="CI906" s="82"/>
      <c r="CJ906" s="82"/>
      <c r="CK906" s="82"/>
      <c r="CL906" s="82"/>
      <c r="CM906" s="82"/>
      <c r="CN906" s="82"/>
      <c r="CO906" s="82"/>
      <c r="CP906" s="82"/>
      <c r="CQ906" s="82"/>
      <c r="CR906" s="82"/>
      <c r="CS906" s="82"/>
      <c r="CT906" s="82"/>
      <c r="CU906" s="82"/>
      <c r="CV906" s="82"/>
      <c r="CW906" s="82"/>
      <c r="CX906" s="82"/>
      <c r="CY906" s="82"/>
      <c r="CZ906" s="82"/>
      <c r="DA906" s="82"/>
      <c r="DB906" s="82"/>
      <c r="DC906" s="82"/>
      <c r="DD906" s="82"/>
      <c r="DE906" s="82"/>
      <c r="DF906" s="82"/>
      <c r="DG906" s="82"/>
    </row>
    <row r="907" spans="2:111" ht="9" customHeight="1">
      <c r="B907" s="229" t="str">
        <f>IF($U$874&gt;=2,"Elementos de Despesa:","")</f>
        <v/>
      </c>
      <c r="C907" s="229"/>
      <c r="D907" s="229"/>
      <c r="E907" s="229"/>
      <c r="F907" s="229"/>
      <c r="G907" s="229"/>
      <c r="H907" s="229"/>
      <c r="I907" s="229"/>
      <c r="J907" s="229"/>
      <c r="K907" s="229"/>
      <c r="L907" s="229"/>
      <c r="M907" s="229"/>
      <c r="N907" s="229"/>
      <c r="P907" s="230"/>
      <c r="Q907" s="230"/>
      <c r="R907" s="230"/>
      <c r="S907" s="230"/>
      <c r="T907" s="230"/>
      <c r="U907" s="230"/>
      <c r="V907" s="230"/>
      <c r="W907" s="230"/>
      <c r="X907" s="230"/>
      <c r="Y907" s="230"/>
      <c r="Z907" s="230"/>
      <c r="AA907" s="230"/>
      <c r="AB907" s="230"/>
      <c r="AC907" s="230"/>
      <c r="AD907" s="230"/>
      <c r="AE907" s="230"/>
      <c r="AF907" s="230"/>
      <c r="AG907" s="230"/>
      <c r="AH907" s="230"/>
      <c r="AI907" s="230"/>
      <c r="AJ907" s="230"/>
      <c r="AK907" s="230"/>
      <c r="AL907" s="230"/>
      <c r="AM907" s="230"/>
      <c r="AN907" s="230"/>
      <c r="AO907" s="230"/>
      <c r="AP907" s="230"/>
      <c r="AQ907" s="230"/>
      <c r="AS907" s="231"/>
      <c r="AT907" s="231"/>
      <c r="AU907" s="231"/>
      <c r="AV907" s="231"/>
      <c r="AW907" s="231"/>
      <c r="AX907" s="231"/>
      <c r="AY907" s="231"/>
      <c r="AZ907" s="231"/>
      <c r="BA907" s="231"/>
      <c r="BC907" s="82"/>
      <c r="BD907" s="82"/>
      <c r="BE907" s="82"/>
      <c r="BF907" s="82"/>
      <c r="BG907" s="82"/>
      <c r="BH907" s="82"/>
      <c r="BI907" s="82"/>
      <c r="BJ907" s="82"/>
      <c r="BK907" s="82"/>
      <c r="BL907" s="82"/>
      <c r="BM907" s="82"/>
      <c r="BN907" s="82"/>
      <c r="BO907" s="82"/>
      <c r="BP907" s="82"/>
      <c r="BQ907" s="82"/>
      <c r="BR907" s="82"/>
      <c r="BS907" s="82"/>
      <c r="BT907" s="82"/>
      <c r="BU907" s="82"/>
      <c r="BV907" s="82"/>
      <c r="BW907" s="82"/>
      <c r="BX907" s="82"/>
      <c r="BY907" s="82"/>
      <c r="BZ907" s="82"/>
      <c r="CA907" s="82"/>
      <c r="CB907" s="82"/>
      <c r="CC907" s="82"/>
      <c r="CD907" s="82"/>
      <c r="CE907" s="82"/>
      <c r="CF907" s="82"/>
      <c r="CG907" s="82"/>
      <c r="CH907" s="82"/>
      <c r="CI907" s="82"/>
      <c r="CJ907" s="82"/>
      <c r="CK907" s="82"/>
      <c r="CL907" s="82"/>
      <c r="CM907" s="82"/>
      <c r="CN907" s="82"/>
      <c r="CO907" s="82"/>
      <c r="CP907" s="82"/>
      <c r="CQ907" s="82"/>
      <c r="CR907" s="82"/>
      <c r="CS907" s="82"/>
      <c r="CT907" s="82"/>
      <c r="CU907" s="82"/>
      <c r="CV907" s="82"/>
      <c r="CW907" s="82"/>
      <c r="CX907" s="82"/>
      <c r="CY907" s="82"/>
      <c r="CZ907" s="82"/>
      <c r="DA907" s="82"/>
      <c r="DB907" s="82"/>
      <c r="DC907" s="82"/>
      <c r="DD907" s="82"/>
      <c r="DE907" s="82"/>
      <c r="DF907" s="82"/>
      <c r="DG907" s="82"/>
    </row>
    <row r="908" spans="2:111" ht="9" customHeight="1">
      <c r="B908" s="229"/>
      <c r="C908" s="229"/>
      <c r="D908" s="229"/>
      <c r="E908" s="229"/>
      <c r="F908" s="229"/>
      <c r="G908" s="229"/>
      <c r="H908" s="229"/>
      <c r="I908" s="229"/>
      <c r="J908" s="229"/>
      <c r="K908" s="229"/>
      <c r="L908" s="229"/>
      <c r="M908" s="229"/>
      <c r="N908" s="229"/>
      <c r="P908" s="230"/>
      <c r="Q908" s="230"/>
      <c r="R908" s="230"/>
      <c r="S908" s="230"/>
      <c r="T908" s="230"/>
      <c r="U908" s="230"/>
      <c r="V908" s="230"/>
      <c r="W908" s="230"/>
      <c r="X908" s="230"/>
      <c r="Y908" s="230"/>
      <c r="Z908" s="230"/>
      <c r="AA908" s="230"/>
      <c r="AB908" s="230"/>
      <c r="AC908" s="230"/>
      <c r="AD908" s="230"/>
      <c r="AE908" s="230"/>
      <c r="AF908" s="230"/>
      <c r="AG908" s="230"/>
      <c r="AH908" s="230"/>
      <c r="AI908" s="230"/>
      <c r="AJ908" s="230"/>
      <c r="AK908" s="230"/>
      <c r="AL908" s="230"/>
      <c r="AM908" s="230"/>
      <c r="AN908" s="230"/>
      <c r="AO908" s="230"/>
      <c r="AP908" s="230"/>
      <c r="AQ908" s="230"/>
      <c r="AS908" s="231"/>
      <c r="AT908" s="231"/>
      <c r="AU908" s="231"/>
      <c r="AV908" s="231"/>
      <c r="AW908" s="231"/>
      <c r="AX908" s="231"/>
      <c r="AY908" s="231"/>
      <c r="AZ908" s="231"/>
      <c r="BA908" s="231"/>
      <c r="BC908" s="82"/>
      <c r="BD908" s="82"/>
      <c r="BE908" s="82"/>
      <c r="BF908" s="82"/>
      <c r="BG908" s="82"/>
      <c r="BH908" s="82"/>
      <c r="BI908" s="82"/>
      <c r="BJ908" s="82"/>
      <c r="BK908" s="82"/>
      <c r="BL908" s="82"/>
      <c r="BM908" s="82"/>
      <c r="BN908" s="82"/>
      <c r="BO908" s="82"/>
      <c r="BP908" s="82"/>
      <c r="BQ908" s="82"/>
      <c r="BR908" s="82"/>
      <c r="BS908" s="82"/>
      <c r="BT908" s="82"/>
      <c r="BU908" s="82"/>
      <c r="BV908" s="82"/>
      <c r="BW908" s="82"/>
      <c r="BX908" s="82"/>
      <c r="BY908" s="82"/>
      <c r="BZ908" s="82"/>
      <c r="CA908" s="82"/>
      <c r="CB908" s="82"/>
      <c r="CC908" s="82"/>
      <c r="CD908" s="82"/>
      <c r="CE908" s="82"/>
      <c r="CF908" s="82"/>
      <c r="CG908" s="82"/>
      <c r="CH908" s="82"/>
      <c r="CI908" s="82"/>
      <c r="CJ908" s="82"/>
      <c r="CK908" s="82"/>
      <c r="CL908" s="82"/>
      <c r="CM908" s="82"/>
      <c r="CN908" s="82"/>
      <c r="CO908" s="82"/>
      <c r="CP908" s="82"/>
      <c r="CQ908" s="82"/>
      <c r="CR908" s="82"/>
      <c r="CS908" s="82"/>
      <c r="CT908" s="82"/>
      <c r="CU908" s="82"/>
      <c r="CV908" s="82"/>
      <c r="CW908" s="82"/>
      <c r="CX908" s="82"/>
      <c r="CY908" s="82"/>
      <c r="CZ908" s="82"/>
      <c r="DA908" s="82"/>
      <c r="DB908" s="82"/>
      <c r="DC908" s="82"/>
      <c r="DD908" s="82"/>
      <c r="DE908" s="82"/>
      <c r="DF908" s="82"/>
      <c r="DG908" s="82"/>
    </row>
    <row r="909" spans="2:111" ht="9" customHeight="1">
      <c r="B909" s="229"/>
      <c r="C909" s="229"/>
      <c r="D909" s="229"/>
      <c r="E909" s="229"/>
      <c r="F909" s="229"/>
      <c r="G909" s="229"/>
      <c r="H909" s="229"/>
      <c r="I909" s="229"/>
      <c r="J909" s="229"/>
      <c r="K909" s="229"/>
      <c r="L909" s="229"/>
      <c r="M909" s="229"/>
      <c r="N909" s="229"/>
      <c r="P909" s="230"/>
      <c r="Q909" s="230"/>
      <c r="R909" s="230"/>
      <c r="S909" s="230"/>
      <c r="T909" s="230"/>
      <c r="U909" s="230"/>
      <c r="V909" s="230"/>
      <c r="W909" s="230"/>
      <c r="X909" s="230"/>
      <c r="Y909" s="230"/>
      <c r="Z909" s="230"/>
      <c r="AA909" s="230"/>
      <c r="AB909" s="230"/>
      <c r="AC909" s="230"/>
      <c r="AD909" s="230"/>
      <c r="AE909" s="230"/>
      <c r="AF909" s="230"/>
      <c r="AG909" s="230"/>
      <c r="AH909" s="230"/>
      <c r="AI909" s="230"/>
      <c r="AJ909" s="230"/>
      <c r="AK909" s="230"/>
      <c r="AL909" s="230"/>
      <c r="AM909" s="230"/>
      <c r="AN909" s="230"/>
      <c r="AO909" s="230"/>
      <c r="AP909" s="230"/>
      <c r="AQ909" s="230"/>
      <c r="AS909" s="231"/>
      <c r="AT909" s="231"/>
      <c r="AU909" s="231"/>
      <c r="AV909" s="231"/>
      <c r="AW909" s="231"/>
      <c r="AX909" s="231"/>
      <c r="AY909" s="231"/>
      <c r="AZ909" s="231"/>
      <c r="BA909" s="231"/>
      <c r="BC909" s="82"/>
      <c r="BD909" s="82"/>
      <c r="BE909" s="82"/>
      <c r="BF909" s="82"/>
      <c r="BG909" s="82"/>
      <c r="BH909" s="82"/>
      <c r="BI909" s="82"/>
      <c r="BJ909" s="82"/>
      <c r="BK909" s="82"/>
      <c r="BL909" s="82"/>
      <c r="BM909" s="82"/>
      <c r="BN909" s="82"/>
      <c r="BO909" s="82"/>
      <c r="BP909" s="82"/>
      <c r="BQ909" s="82"/>
      <c r="BR909" s="82"/>
      <c r="BS909" s="82"/>
      <c r="BT909" s="82"/>
      <c r="BU909" s="82"/>
      <c r="BV909" s="82"/>
      <c r="BW909" s="82"/>
      <c r="BX909" s="82"/>
      <c r="BY909" s="82"/>
      <c r="BZ909" s="82"/>
      <c r="CA909" s="82"/>
      <c r="CB909" s="82"/>
      <c r="CC909" s="82"/>
      <c r="CD909" s="82"/>
      <c r="CE909" s="82"/>
      <c r="CF909" s="82"/>
      <c r="CG909" s="82"/>
      <c r="CH909" s="82"/>
      <c r="CI909" s="82"/>
      <c r="CJ909" s="82"/>
      <c r="CK909" s="82"/>
      <c r="CL909" s="82"/>
      <c r="CM909" s="82"/>
      <c r="CN909" s="82"/>
      <c r="CO909" s="82"/>
      <c r="CP909" s="82"/>
      <c r="CQ909" s="82"/>
      <c r="CR909" s="82"/>
      <c r="CS909" s="82"/>
      <c r="CT909" s="82"/>
      <c r="CU909" s="82"/>
      <c r="CV909" s="82"/>
      <c r="CW909" s="82"/>
      <c r="CX909" s="82"/>
      <c r="CY909" s="82"/>
      <c r="CZ909" s="82"/>
      <c r="DA909" s="82"/>
      <c r="DB909" s="82"/>
      <c r="DC909" s="82"/>
      <c r="DD909" s="82"/>
      <c r="DE909" s="82"/>
      <c r="DF909" s="82"/>
      <c r="DG909" s="82"/>
    </row>
    <row r="910" spans="2:111" ht="9" customHeight="1">
      <c r="B910" s="229"/>
      <c r="C910" s="229"/>
      <c r="D910" s="229"/>
      <c r="E910" s="229"/>
      <c r="F910" s="229"/>
      <c r="G910" s="229"/>
      <c r="H910" s="229"/>
      <c r="I910" s="229"/>
      <c r="J910" s="229"/>
      <c r="K910" s="229"/>
      <c r="L910" s="229"/>
      <c r="M910" s="229"/>
      <c r="N910" s="229"/>
      <c r="P910" s="230"/>
      <c r="Q910" s="230"/>
      <c r="R910" s="230"/>
      <c r="S910" s="230"/>
      <c r="T910" s="230"/>
      <c r="U910" s="230"/>
      <c r="V910" s="230"/>
      <c r="W910" s="230"/>
      <c r="X910" s="230"/>
      <c r="Y910" s="230"/>
      <c r="Z910" s="230"/>
      <c r="AA910" s="230"/>
      <c r="AB910" s="230"/>
      <c r="AC910" s="230"/>
      <c r="AD910" s="230"/>
      <c r="AE910" s="230"/>
      <c r="AF910" s="230"/>
      <c r="AG910" s="230"/>
      <c r="AH910" s="230"/>
      <c r="AI910" s="230"/>
      <c r="AJ910" s="230"/>
      <c r="AK910" s="230"/>
      <c r="AL910" s="230"/>
      <c r="AM910" s="230"/>
      <c r="AN910" s="230"/>
      <c r="AO910" s="230"/>
      <c r="AP910" s="230"/>
      <c r="AQ910" s="230"/>
      <c r="AS910" s="231"/>
      <c r="AT910" s="231"/>
      <c r="AU910" s="231"/>
      <c r="AV910" s="231"/>
      <c r="AW910" s="231"/>
      <c r="AX910" s="231"/>
      <c r="AY910" s="231"/>
      <c r="AZ910" s="231"/>
      <c r="BA910" s="231"/>
      <c r="BC910" s="82"/>
      <c r="BD910" s="82"/>
      <c r="BE910" s="82"/>
      <c r="BF910" s="82"/>
      <c r="BG910" s="82"/>
      <c r="BH910" s="82"/>
      <c r="BI910" s="82"/>
      <c r="BJ910" s="82"/>
      <c r="BK910" s="82"/>
      <c r="BL910" s="82"/>
      <c r="BM910" s="82"/>
      <c r="BN910" s="82"/>
      <c r="BO910" s="82"/>
      <c r="BP910" s="82"/>
      <c r="BQ910" s="82"/>
      <c r="BR910" s="82"/>
      <c r="BS910" s="82"/>
      <c r="BT910" s="82"/>
      <c r="BU910" s="82"/>
      <c r="BV910" s="82"/>
      <c r="BW910" s="82"/>
      <c r="BX910" s="82"/>
      <c r="BY910" s="82"/>
      <c r="BZ910" s="82"/>
      <c r="CA910" s="82"/>
      <c r="CB910" s="82"/>
      <c r="CC910" s="82"/>
      <c r="CD910" s="82"/>
      <c r="CE910" s="82"/>
      <c r="CF910" s="82"/>
      <c r="CG910" s="82"/>
      <c r="CH910" s="82"/>
      <c r="CI910" s="82"/>
      <c r="CJ910" s="82"/>
      <c r="CK910" s="82"/>
      <c r="CL910" s="82"/>
      <c r="CM910" s="82"/>
      <c r="CN910" s="82"/>
      <c r="CO910" s="82"/>
      <c r="CP910" s="82"/>
      <c r="CQ910" s="82"/>
      <c r="CR910" s="82"/>
      <c r="CS910" s="82"/>
      <c r="CT910" s="82"/>
      <c r="CU910" s="82"/>
      <c r="CV910" s="82"/>
      <c r="CW910" s="82"/>
      <c r="CX910" s="82"/>
      <c r="CY910" s="82"/>
      <c r="CZ910" s="82"/>
      <c r="DA910" s="82"/>
      <c r="DB910" s="82"/>
      <c r="DC910" s="82"/>
      <c r="DD910" s="82"/>
      <c r="DE910" s="82"/>
      <c r="DF910" s="82"/>
      <c r="DG910" s="82"/>
    </row>
    <row r="911" spans="2:111" ht="9" customHeight="1">
      <c r="B911" s="229"/>
      <c r="C911" s="229"/>
      <c r="D911" s="229"/>
      <c r="E911" s="229"/>
      <c r="F911" s="229"/>
      <c r="G911" s="229"/>
      <c r="H911" s="229"/>
      <c r="I911" s="229"/>
      <c r="J911" s="229"/>
      <c r="K911" s="229"/>
      <c r="L911" s="229"/>
      <c r="M911" s="229"/>
      <c r="N911" s="229"/>
      <c r="P911" s="230"/>
      <c r="Q911" s="230"/>
      <c r="R911" s="230"/>
      <c r="S911" s="230"/>
      <c r="T911" s="230"/>
      <c r="U911" s="230"/>
      <c r="V911" s="230"/>
      <c r="W911" s="230"/>
      <c r="X911" s="230"/>
      <c r="Y911" s="230"/>
      <c r="Z911" s="230"/>
      <c r="AA911" s="230"/>
      <c r="AB911" s="230"/>
      <c r="AC911" s="230"/>
      <c r="AD911" s="230"/>
      <c r="AE911" s="230"/>
      <c r="AF911" s="230"/>
      <c r="AG911" s="230"/>
      <c r="AH911" s="230"/>
      <c r="AI911" s="230"/>
      <c r="AJ911" s="230"/>
      <c r="AK911" s="230"/>
      <c r="AL911" s="230"/>
      <c r="AM911" s="230"/>
      <c r="AN911" s="230"/>
      <c r="AO911" s="230"/>
      <c r="AP911" s="230"/>
      <c r="AQ911" s="230"/>
      <c r="AS911" s="231"/>
      <c r="AT911" s="231"/>
      <c r="AU911" s="231"/>
      <c r="AV911" s="231"/>
      <c r="AW911" s="231"/>
      <c r="AX911" s="231"/>
      <c r="AY911" s="231"/>
      <c r="AZ911" s="231"/>
      <c r="BA911" s="231"/>
      <c r="BC911" s="82"/>
      <c r="BD911" s="82"/>
      <c r="BE911" s="82"/>
      <c r="BF911" s="82"/>
      <c r="BG911" s="82"/>
      <c r="BH911" s="82"/>
      <c r="BI911" s="82"/>
      <c r="BJ911" s="82"/>
      <c r="BK911" s="82"/>
      <c r="BL911" s="82"/>
      <c r="BM911" s="82"/>
      <c r="BN911" s="82"/>
      <c r="BO911" s="82"/>
      <c r="BP911" s="82"/>
      <c r="BQ911" s="82"/>
      <c r="BR911" s="82"/>
      <c r="BS911" s="82"/>
      <c r="BT911" s="82"/>
      <c r="BU911" s="82"/>
      <c r="BV911" s="82"/>
      <c r="BW911" s="82"/>
      <c r="BX911" s="82"/>
      <c r="BY911" s="82"/>
      <c r="BZ911" s="82"/>
      <c r="CA911" s="82"/>
      <c r="CB911" s="82"/>
      <c r="CC911" s="82"/>
      <c r="CD911" s="82"/>
      <c r="CE911" s="82"/>
      <c r="CF911" s="82"/>
      <c r="CG911" s="82"/>
      <c r="CH911" s="82"/>
      <c r="CI911" s="82"/>
      <c r="CJ911" s="82"/>
      <c r="CK911" s="82"/>
      <c r="CL911" s="82"/>
      <c r="CM911" s="82"/>
      <c r="CN911" s="82"/>
      <c r="CO911" s="82"/>
      <c r="CP911" s="82"/>
      <c r="CQ911" s="82"/>
      <c r="CR911" s="82"/>
      <c r="CS911" s="82"/>
      <c r="CT911" s="82"/>
      <c r="CU911" s="82"/>
      <c r="CV911" s="82"/>
      <c r="CW911" s="82"/>
      <c r="CX911" s="82"/>
      <c r="CY911" s="82"/>
      <c r="CZ911" s="82"/>
      <c r="DA911" s="82"/>
      <c r="DB911" s="82"/>
      <c r="DC911" s="82"/>
      <c r="DD911" s="82"/>
      <c r="DE911" s="82"/>
      <c r="DF911" s="82"/>
      <c r="DG911" s="82"/>
    </row>
    <row r="912" spans="2:111" ht="9" customHeight="1">
      <c r="B912" s="229"/>
      <c r="C912" s="229"/>
      <c r="D912" s="229"/>
      <c r="E912" s="229"/>
      <c r="F912" s="229"/>
      <c r="G912" s="229"/>
      <c r="H912" s="229"/>
      <c r="I912" s="229"/>
      <c r="J912" s="229"/>
      <c r="K912" s="229"/>
      <c r="L912" s="229"/>
      <c r="M912" s="229"/>
      <c r="N912" s="229"/>
      <c r="P912" s="230"/>
      <c r="Q912" s="230"/>
      <c r="R912" s="230"/>
      <c r="S912" s="230"/>
      <c r="T912" s="230"/>
      <c r="U912" s="230"/>
      <c r="V912" s="230"/>
      <c r="W912" s="230"/>
      <c r="X912" s="230"/>
      <c r="Y912" s="230"/>
      <c r="Z912" s="230"/>
      <c r="AA912" s="230"/>
      <c r="AB912" s="230"/>
      <c r="AC912" s="230"/>
      <c r="AD912" s="230"/>
      <c r="AE912" s="230"/>
      <c r="AF912" s="230"/>
      <c r="AG912" s="230"/>
      <c r="AH912" s="230"/>
      <c r="AI912" s="230"/>
      <c r="AJ912" s="230"/>
      <c r="AK912" s="230"/>
      <c r="AL912" s="230"/>
      <c r="AM912" s="230"/>
      <c r="AN912" s="230"/>
      <c r="AO912" s="230"/>
      <c r="AP912" s="230"/>
      <c r="AQ912" s="230"/>
      <c r="AS912" s="231"/>
      <c r="AT912" s="231"/>
      <c r="AU912" s="231"/>
      <c r="AV912" s="231"/>
      <c r="AW912" s="231"/>
      <c r="AX912" s="231"/>
      <c r="AY912" s="231"/>
      <c r="AZ912" s="231"/>
      <c r="BA912" s="231"/>
      <c r="BC912" s="82"/>
      <c r="BD912" s="82"/>
      <c r="BE912" s="82"/>
      <c r="BF912" s="82"/>
      <c r="BG912" s="82"/>
      <c r="BH912" s="82"/>
      <c r="BI912" s="82"/>
      <c r="BJ912" s="82"/>
      <c r="BK912" s="82"/>
      <c r="BL912" s="82"/>
      <c r="BM912" s="82"/>
      <c r="BN912" s="82"/>
      <c r="BO912" s="82"/>
      <c r="BP912" s="82"/>
      <c r="BQ912" s="82"/>
      <c r="BR912" s="82"/>
      <c r="BS912" s="82"/>
      <c r="BT912" s="82"/>
      <c r="BU912" s="82"/>
      <c r="BV912" s="82"/>
      <c r="BW912" s="82"/>
      <c r="BX912" s="82"/>
      <c r="BY912" s="82"/>
      <c r="BZ912" s="82"/>
      <c r="CA912" s="82"/>
      <c r="CB912" s="82"/>
      <c r="CC912" s="82"/>
      <c r="CD912" s="82"/>
      <c r="CE912" s="82"/>
      <c r="CF912" s="82"/>
      <c r="CG912" s="82"/>
      <c r="CH912" s="82"/>
      <c r="CI912" s="82"/>
      <c r="CJ912" s="82"/>
      <c r="CK912" s="82"/>
      <c r="CL912" s="82"/>
      <c r="CM912" s="82"/>
      <c r="CN912" s="82"/>
      <c r="CO912" s="82"/>
      <c r="CP912" s="82"/>
      <c r="CQ912" s="82"/>
      <c r="CR912" s="82"/>
      <c r="CS912" s="82"/>
      <c r="CT912" s="82"/>
      <c r="CU912" s="82"/>
      <c r="CV912" s="82"/>
      <c r="CW912" s="82"/>
      <c r="CX912" s="82"/>
      <c r="CY912" s="82"/>
      <c r="CZ912" s="82"/>
      <c r="DA912" s="82"/>
      <c r="DB912" s="82"/>
      <c r="DC912" s="82"/>
      <c r="DD912" s="82"/>
      <c r="DE912" s="82"/>
      <c r="DF912" s="82"/>
      <c r="DG912" s="82"/>
    </row>
    <row r="913" spans="2:111" ht="9" customHeight="1">
      <c r="B913" s="229"/>
      <c r="C913" s="229"/>
      <c r="D913" s="229"/>
      <c r="E913" s="229"/>
      <c r="F913" s="229"/>
      <c r="G913" s="229"/>
      <c r="H913" s="229"/>
      <c r="I913" s="229"/>
      <c r="J913" s="229"/>
      <c r="K913" s="229"/>
      <c r="L913" s="229"/>
      <c r="M913" s="229"/>
      <c r="N913" s="229"/>
      <c r="P913" s="230"/>
      <c r="Q913" s="230"/>
      <c r="R913" s="230"/>
      <c r="S913" s="230"/>
      <c r="T913" s="230"/>
      <c r="U913" s="230"/>
      <c r="V913" s="230"/>
      <c r="W913" s="230"/>
      <c r="X913" s="230"/>
      <c r="Y913" s="230"/>
      <c r="Z913" s="230"/>
      <c r="AA913" s="230"/>
      <c r="AB913" s="230"/>
      <c r="AC913" s="230"/>
      <c r="AD913" s="230"/>
      <c r="AE913" s="230"/>
      <c r="AF913" s="230"/>
      <c r="AG913" s="230"/>
      <c r="AH913" s="230"/>
      <c r="AI913" s="230"/>
      <c r="AJ913" s="230"/>
      <c r="AK913" s="230"/>
      <c r="AL913" s="230"/>
      <c r="AM913" s="230"/>
      <c r="AN913" s="230"/>
      <c r="AO913" s="230"/>
      <c r="AP913" s="230"/>
      <c r="AQ913" s="230"/>
      <c r="AS913" s="231"/>
      <c r="AT913" s="231"/>
      <c r="AU913" s="231"/>
      <c r="AV913" s="231"/>
      <c r="AW913" s="231"/>
      <c r="AX913" s="231"/>
      <c r="AY913" s="231"/>
      <c r="AZ913" s="231"/>
      <c r="BA913" s="231"/>
      <c r="BC913" s="82"/>
      <c r="BD913" s="82"/>
      <c r="BE913" s="82"/>
      <c r="BF913" s="82"/>
      <c r="BG913" s="82"/>
      <c r="BH913" s="82"/>
      <c r="BI913" s="82"/>
      <c r="BJ913" s="82"/>
      <c r="BK913" s="82"/>
      <c r="BL913" s="82"/>
      <c r="BM913" s="82"/>
      <c r="BN913" s="82"/>
      <c r="BO913" s="82"/>
      <c r="BP913" s="82"/>
      <c r="BQ913" s="82"/>
      <c r="BR913" s="82"/>
      <c r="BS913" s="82"/>
      <c r="BT913" s="82"/>
      <c r="BU913" s="82"/>
      <c r="BV913" s="82"/>
      <c r="BW913" s="82"/>
      <c r="BX913" s="82"/>
      <c r="BY913" s="82"/>
      <c r="BZ913" s="82"/>
      <c r="CA913" s="82"/>
      <c r="CB913" s="82"/>
      <c r="CC913" s="82"/>
      <c r="CD913" s="82"/>
      <c r="CE913" s="82"/>
      <c r="CF913" s="82"/>
      <c r="CG913" s="82"/>
      <c r="CH913" s="82"/>
      <c r="CI913" s="82"/>
      <c r="CJ913" s="82"/>
      <c r="CK913" s="82"/>
      <c r="CL913" s="82"/>
      <c r="CM913" s="82"/>
      <c r="CN913" s="82"/>
      <c r="CO913" s="82"/>
      <c r="CP913" s="82"/>
      <c r="CQ913" s="82"/>
      <c r="CR913" s="82"/>
      <c r="CS913" s="82"/>
      <c r="CT913" s="82"/>
      <c r="CU913" s="82"/>
      <c r="CV913" s="82"/>
      <c r="CW913" s="82"/>
      <c r="CX913" s="82"/>
      <c r="CY913" s="82"/>
      <c r="CZ913" s="82"/>
      <c r="DA913" s="82"/>
      <c r="DB913" s="82"/>
      <c r="DC913" s="82"/>
      <c r="DD913" s="82"/>
      <c r="DE913" s="82"/>
      <c r="DF913" s="82"/>
      <c r="DG913" s="82"/>
    </row>
    <row r="914" spans="2:111" ht="9" customHeight="1">
      <c r="B914" s="229"/>
      <c r="C914" s="229"/>
      <c r="D914" s="229"/>
      <c r="E914" s="229"/>
      <c r="F914" s="229"/>
      <c r="G914" s="229"/>
      <c r="H914" s="229"/>
      <c r="I914" s="229"/>
      <c r="J914" s="229"/>
      <c r="K914" s="229"/>
      <c r="L914" s="229"/>
      <c r="M914" s="229"/>
      <c r="N914" s="229"/>
      <c r="P914" s="230"/>
      <c r="Q914" s="230"/>
      <c r="R914" s="230"/>
      <c r="S914" s="230"/>
      <c r="T914" s="230"/>
      <c r="U914" s="230"/>
      <c r="V914" s="230"/>
      <c r="W914" s="230"/>
      <c r="X914" s="230"/>
      <c r="Y914" s="230"/>
      <c r="Z914" s="230"/>
      <c r="AA914" s="230"/>
      <c r="AB914" s="230"/>
      <c r="AC914" s="230"/>
      <c r="AD914" s="230"/>
      <c r="AE914" s="230"/>
      <c r="AF914" s="230"/>
      <c r="AG914" s="230"/>
      <c r="AH914" s="230"/>
      <c r="AI914" s="230"/>
      <c r="AJ914" s="230"/>
      <c r="AK914" s="230"/>
      <c r="AL914" s="230"/>
      <c r="AM914" s="230"/>
      <c r="AN914" s="230"/>
      <c r="AO914" s="230"/>
      <c r="AP914" s="230"/>
      <c r="AQ914" s="230"/>
      <c r="AS914" s="231"/>
      <c r="AT914" s="231"/>
      <c r="AU914" s="231"/>
      <c r="AV914" s="231"/>
      <c r="AW914" s="231"/>
      <c r="AX914" s="231"/>
      <c r="AY914" s="231"/>
      <c r="AZ914" s="231"/>
      <c r="BA914" s="231"/>
      <c r="BC914" s="82"/>
      <c r="BD914" s="82"/>
      <c r="BE914" s="82"/>
      <c r="BF914" s="82"/>
      <c r="BG914" s="82"/>
      <c r="BH914" s="82"/>
      <c r="BI914" s="82"/>
      <c r="BJ914" s="82"/>
      <c r="BK914" s="82"/>
      <c r="BL914" s="82"/>
      <c r="BM914" s="82"/>
      <c r="BN914" s="82"/>
      <c r="BO914" s="82"/>
      <c r="BP914" s="82"/>
      <c r="BQ914" s="82"/>
      <c r="BR914" s="82"/>
      <c r="BS914" s="82"/>
      <c r="BT914" s="82"/>
      <c r="BU914" s="82"/>
      <c r="BV914" s="82"/>
      <c r="BW914" s="82"/>
      <c r="BX914" s="82"/>
      <c r="BY914" s="82"/>
      <c r="BZ914" s="82"/>
      <c r="CA914" s="82"/>
      <c r="CB914" s="82"/>
      <c r="CC914" s="82"/>
      <c r="CD914" s="82"/>
      <c r="CE914" s="82"/>
      <c r="CF914" s="82"/>
      <c r="CG914" s="82"/>
      <c r="CH914" s="82"/>
      <c r="CI914" s="82"/>
      <c r="CJ914" s="82"/>
      <c r="CK914" s="82"/>
      <c r="CL914" s="82"/>
      <c r="CM914" s="82"/>
      <c r="CN914" s="82"/>
      <c r="CO914" s="82"/>
      <c r="CP914" s="82"/>
      <c r="CQ914" s="82"/>
      <c r="CR914" s="82"/>
      <c r="CS914" s="82"/>
      <c r="CT914" s="82"/>
      <c r="CU914" s="82"/>
      <c r="CV914" s="82"/>
      <c r="CW914" s="82"/>
      <c r="CX914" s="82"/>
      <c r="CY914" s="82"/>
      <c r="CZ914" s="82"/>
      <c r="DA914" s="82"/>
      <c r="DB914" s="82"/>
      <c r="DC914" s="82"/>
      <c r="DD914" s="82"/>
      <c r="DE914" s="82"/>
      <c r="DF914" s="82"/>
      <c r="DG914" s="82"/>
    </row>
    <row r="915" spans="2:111" ht="9" customHeight="1">
      <c r="B915" s="229"/>
      <c r="C915" s="229"/>
      <c r="D915" s="229"/>
      <c r="E915" s="229"/>
      <c r="F915" s="229"/>
      <c r="G915" s="229"/>
      <c r="H915" s="229"/>
      <c r="I915" s="229"/>
      <c r="J915" s="229"/>
      <c r="K915" s="229"/>
      <c r="L915" s="229"/>
      <c r="M915" s="229"/>
      <c r="N915" s="229"/>
      <c r="P915" s="230"/>
      <c r="Q915" s="230"/>
      <c r="R915" s="230"/>
      <c r="S915" s="230"/>
      <c r="T915" s="230"/>
      <c r="U915" s="230"/>
      <c r="V915" s="230"/>
      <c r="W915" s="230"/>
      <c r="X915" s="230"/>
      <c r="Y915" s="230"/>
      <c r="Z915" s="230"/>
      <c r="AA915" s="230"/>
      <c r="AB915" s="230"/>
      <c r="AC915" s="230"/>
      <c r="AD915" s="230"/>
      <c r="AE915" s="230"/>
      <c r="AF915" s="230"/>
      <c r="AG915" s="230"/>
      <c r="AH915" s="230"/>
      <c r="AI915" s="230"/>
      <c r="AJ915" s="230"/>
      <c r="AK915" s="230"/>
      <c r="AL915" s="230"/>
      <c r="AM915" s="230"/>
      <c r="AN915" s="230"/>
      <c r="AO915" s="230"/>
      <c r="AP915" s="230"/>
      <c r="AQ915" s="230"/>
      <c r="AS915" s="231"/>
      <c r="AT915" s="231"/>
      <c r="AU915" s="231"/>
      <c r="AV915" s="231"/>
      <c r="AW915" s="231"/>
      <c r="AX915" s="231"/>
      <c r="AY915" s="231"/>
      <c r="AZ915" s="231"/>
      <c r="BA915" s="231"/>
      <c r="BC915" s="82"/>
      <c r="BD915" s="82"/>
      <c r="BE915" s="82"/>
      <c r="BF915" s="82"/>
      <c r="BG915" s="82"/>
      <c r="BH915" s="82"/>
      <c r="BI915" s="82"/>
      <c r="BJ915" s="82"/>
      <c r="BK915" s="82"/>
      <c r="BL915" s="82"/>
      <c r="BM915" s="82"/>
      <c r="BN915" s="82"/>
      <c r="BO915" s="82"/>
      <c r="BP915" s="82"/>
      <c r="BQ915" s="82"/>
      <c r="BR915" s="82"/>
      <c r="BS915" s="82"/>
      <c r="BT915" s="82"/>
      <c r="BU915" s="82"/>
      <c r="BV915" s="82"/>
      <c r="BW915" s="82"/>
      <c r="BX915" s="82"/>
      <c r="BY915" s="82"/>
      <c r="BZ915" s="82"/>
      <c r="CA915" s="82"/>
      <c r="CB915" s="82"/>
      <c r="CC915" s="82"/>
      <c r="CD915" s="82"/>
      <c r="CE915" s="82"/>
      <c r="CF915" s="82"/>
      <c r="CG915" s="82"/>
      <c r="CH915" s="82"/>
      <c r="CI915" s="82"/>
      <c r="CJ915" s="82"/>
      <c r="CK915" s="82"/>
      <c r="CL915" s="82"/>
      <c r="CM915" s="82"/>
      <c r="CN915" s="82"/>
      <c r="CO915" s="82"/>
      <c r="CP915" s="82"/>
      <c r="CQ915" s="82"/>
      <c r="CR915" s="82"/>
      <c r="CS915" s="82"/>
      <c r="CT915" s="82"/>
      <c r="CU915" s="82"/>
      <c r="CV915" s="82"/>
      <c r="CW915" s="82"/>
      <c r="CX915" s="82"/>
      <c r="CY915" s="82"/>
      <c r="CZ915" s="82"/>
      <c r="DA915" s="82"/>
      <c r="DB915" s="82"/>
      <c r="DC915" s="82"/>
      <c r="DD915" s="82"/>
      <c r="DE915" s="82"/>
      <c r="DF915" s="82"/>
      <c r="DG915" s="82"/>
    </row>
    <row r="916" spans="2:111" ht="9" customHeight="1">
      <c r="B916" s="229"/>
      <c r="C916" s="229"/>
      <c r="D916" s="229"/>
      <c r="E916" s="229"/>
      <c r="F916" s="229"/>
      <c r="G916" s="229"/>
      <c r="H916" s="229"/>
      <c r="I916" s="229"/>
      <c r="J916" s="229"/>
      <c r="K916" s="229"/>
      <c r="L916" s="229"/>
      <c r="M916" s="229"/>
      <c r="N916" s="229"/>
      <c r="P916" s="230"/>
      <c r="Q916" s="230"/>
      <c r="R916" s="230"/>
      <c r="S916" s="230"/>
      <c r="T916" s="230"/>
      <c r="U916" s="230"/>
      <c r="V916" s="230"/>
      <c r="W916" s="230"/>
      <c r="X916" s="230"/>
      <c r="Y916" s="230"/>
      <c r="Z916" s="230"/>
      <c r="AA916" s="230"/>
      <c r="AB916" s="230"/>
      <c r="AC916" s="230"/>
      <c r="AD916" s="230"/>
      <c r="AE916" s="230"/>
      <c r="AF916" s="230"/>
      <c r="AG916" s="230"/>
      <c r="AH916" s="230"/>
      <c r="AI916" s="230"/>
      <c r="AJ916" s="230"/>
      <c r="AK916" s="230"/>
      <c r="AL916" s="230"/>
      <c r="AM916" s="230"/>
      <c r="AN916" s="230"/>
      <c r="AO916" s="230"/>
      <c r="AP916" s="230"/>
      <c r="AQ916" s="230"/>
      <c r="AS916" s="231"/>
      <c r="AT916" s="231"/>
      <c r="AU916" s="231"/>
      <c r="AV916" s="231"/>
      <c r="AW916" s="231"/>
      <c r="AX916" s="231"/>
      <c r="AY916" s="231"/>
      <c r="AZ916" s="231"/>
      <c r="BA916" s="231"/>
      <c r="BC916" s="82"/>
      <c r="BD916" s="82"/>
      <c r="BE916" s="82"/>
      <c r="BF916" s="82"/>
      <c r="BG916" s="82"/>
      <c r="BH916" s="82"/>
      <c r="BI916" s="82"/>
      <c r="BJ916" s="82"/>
      <c r="BK916" s="82"/>
      <c r="BL916" s="82"/>
      <c r="BM916" s="82"/>
      <c r="BN916" s="82"/>
      <c r="BO916" s="82"/>
      <c r="BP916" s="82"/>
      <c r="BQ916" s="82"/>
      <c r="BR916" s="82"/>
      <c r="BS916" s="82"/>
      <c r="BT916" s="82"/>
      <c r="BU916" s="82"/>
      <c r="BV916" s="82"/>
      <c r="BW916" s="82"/>
      <c r="BX916" s="82"/>
      <c r="BY916" s="82"/>
      <c r="BZ916" s="82"/>
      <c r="CA916" s="82"/>
      <c r="CB916" s="82"/>
      <c r="CC916" s="82"/>
      <c r="CD916" s="82"/>
      <c r="CE916" s="82"/>
      <c r="CF916" s="82"/>
      <c r="CG916" s="82"/>
      <c r="CH916" s="82"/>
      <c r="CI916" s="82"/>
      <c r="CJ916" s="82"/>
      <c r="CK916" s="82"/>
      <c r="CL916" s="82"/>
      <c r="CM916" s="82"/>
      <c r="CN916" s="82"/>
      <c r="CO916" s="82"/>
      <c r="CP916" s="82"/>
      <c r="CQ916" s="82"/>
      <c r="CR916" s="82"/>
      <c r="CS916" s="82"/>
      <c r="CT916" s="82"/>
      <c r="CU916" s="82"/>
      <c r="CV916" s="82"/>
      <c r="CW916" s="82"/>
      <c r="CX916" s="82"/>
      <c r="CY916" s="82"/>
      <c r="CZ916" s="82"/>
      <c r="DA916" s="82"/>
      <c r="DB916" s="82"/>
      <c r="DC916" s="82"/>
      <c r="DD916" s="82"/>
      <c r="DE916" s="82"/>
      <c r="DF916" s="82"/>
      <c r="DG916" s="82"/>
    </row>
    <row r="917" spans="2:111" ht="9" customHeight="1">
      <c r="B917" s="229"/>
      <c r="C917" s="229"/>
      <c r="D917" s="229"/>
      <c r="E917" s="229"/>
      <c r="F917" s="229"/>
      <c r="G917" s="229"/>
      <c r="H917" s="229"/>
      <c r="I917" s="229"/>
      <c r="J917" s="229"/>
      <c r="K917" s="229"/>
      <c r="L917" s="229"/>
      <c r="M917" s="229"/>
      <c r="N917" s="229"/>
      <c r="P917" s="230"/>
      <c r="Q917" s="230"/>
      <c r="R917" s="230"/>
      <c r="S917" s="230"/>
      <c r="T917" s="230"/>
      <c r="U917" s="230"/>
      <c r="V917" s="230"/>
      <c r="W917" s="230"/>
      <c r="X917" s="230"/>
      <c r="Y917" s="230"/>
      <c r="Z917" s="230"/>
      <c r="AA917" s="230"/>
      <c r="AB917" s="230"/>
      <c r="AC917" s="230"/>
      <c r="AD917" s="230"/>
      <c r="AE917" s="230"/>
      <c r="AF917" s="230"/>
      <c r="AG917" s="230"/>
      <c r="AH917" s="230"/>
      <c r="AI917" s="230"/>
      <c r="AJ917" s="230"/>
      <c r="AK917" s="230"/>
      <c r="AL917" s="230"/>
      <c r="AM917" s="230"/>
      <c r="AN917" s="230"/>
      <c r="AO917" s="230"/>
      <c r="AP917" s="230"/>
      <c r="AQ917" s="230"/>
      <c r="AS917" s="231"/>
      <c r="AT917" s="231"/>
      <c r="AU917" s="231"/>
      <c r="AV917" s="231"/>
      <c r="AW917" s="231"/>
      <c r="AX917" s="231"/>
      <c r="AY917" s="231"/>
      <c r="AZ917" s="231"/>
      <c r="BA917" s="231"/>
      <c r="BC917" s="82"/>
      <c r="BD917" s="82"/>
      <c r="BE917" s="82"/>
      <c r="BF917" s="82"/>
      <c r="BG917" s="82"/>
      <c r="BH917" s="82"/>
      <c r="BI917" s="82"/>
      <c r="BJ917" s="82"/>
      <c r="BK917" s="82"/>
      <c r="BL917" s="82"/>
      <c r="BM917" s="82"/>
      <c r="BN917" s="82"/>
      <c r="BO917" s="82"/>
      <c r="BP917" s="82"/>
      <c r="BQ917" s="82"/>
      <c r="BR917" s="82"/>
      <c r="BS917" s="82"/>
      <c r="BT917" s="82"/>
      <c r="BU917" s="82"/>
      <c r="BV917" s="82"/>
      <c r="BW917" s="82"/>
      <c r="BX917" s="82"/>
      <c r="BY917" s="82"/>
      <c r="BZ917" s="82"/>
      <c r="CA917" s="82"/>
      <c r="CB917" s="82"/>
      <c r="CC917" s="82"/>
      <c r="CD917" s="82"/>
      <c r="CE917" s="82"/>
      <c r="CF917" s="82"/>
      <c r="CG917" s="82"/>
      <c r="CH917" s="82"/>
      <c r="CI917" s="82"/>
      <c r="CJ917" s="82"/>
      <c r="CK917" s="82"/>
      <c r="CL917" s="82"/>
      <c r="CM917" s="82"/>
      <c r="CN917" s="82"/>
      <c r="CO917" s="82"/>
      <c r="CP917" s="82"/>
      <c r="CQ917" s="82"/>
      <c r="CR917" s="82"/>
      <c r="CS917" s="82"/>
      <c r="CT917" s="82"/>
      <c r="CU917" s="82"/>
      <c r="CV917" s="82"/>
      <c r="CW917" s="82"/>
      <c r="CX917" s="82"/>
      <c r="CY917" s="82"/>
      <c r="CZ917" s="82"/>
      <c r="DA917" s="82"/>
      <c r="DB917" s="82"/>
      <c r="DC917" s="82"/>
      <c r="DD917" s="82"/>
      <c r="DE917" s="82"/>
      <c r="DF917" s="82"/>
      <c r="DG917" s="82"/>
    </row>
    <row r="918" spans="2:111" ht="9" customHeight="1">
      <c r="B918" s="229"/>
      <c r="C918" s="229"/>
      <c r="D918" s="229"/>
      <c r="E918" s="229"/>
      <c r="F918" s="229"/>
      <c r="G918" s="229"/>
      <c r="H918" s="229"/>
      <c r="I918" s="229"/>
      <c r="J918" s="229"/>
      <c r="K918" s="229"/>
      <c r="L918" s="229"/>
      <c r="M918" s="229"/>
      <c r="N918" s="229"/>
      <c r="P918" s="230"/>
      <c r="Q918" s="230"/>
      <c r="R918" s="230"/>
      <c r="S918" s="230"/>
      <c r="T918" s="230"/>
      <c r="U918" s="230"/>
      <c r="V918" s="230"/>
      <c r="W918" s="230"/>
      <c r="X918" s="230"/>
      <c r="Y918" s="230"/>
      <c r="Z918" s="230"/>
      <c r="AA918" s="230"/>
      <c r="AB918" s="230"/>
      <c r="AC918" s="230"/>
      <c r="AD918" s="230"/>
      <c r="AE918" s="230"/>
      <c r="AF918" s="230"/>
      <c r="AG918" s="230"/>
      <c r="AH918" s="230"/>
      <c r="AI918" s="230"/>
      <c r="AJ918" s="230"/>
      <c r="AK918" s="230"/>
      <c r="AL918" s="230"/>
      <c r="AM918" s="230"/>
      <c r="AN918" s="230"/>
      <c r="AO918" s="230"/>
      <c r="AP918" s="230"/>
      <c r="AQ918" s="230"/>
      <c r="AS918" s="231"/>
      <c r="AT918" s="231"/>
      <c r="AU918" s="231"/>
      <c r="AV918" s="231"/>
      <c r="AW918" s="231"/>
      <c r="AX918" s="231"/>
      <c r="AY918" s="231"/>
      <c r="AZ918" s="231"/>
      <c r="BA918" s="231"/>
      <c r="BC918" s="82"/>
      <c r="BD918" s="82"/>
      <c r="BE918" s="82"/>
      <c r="BF918" s="82"/>
      <c r="BG918" s="82"/>
      <c r="BH918" s="82"/>
      <c r="BI918" s="82"/>
      <c r="BJ918" s="82"/>
      <c r="BK918" s="82"/>
      <c r="BL918" s="82"/>
      <c r="BM918" s="82"/>
      <c r="BN918" s="82"/>
      <c r="BO918" s="82"/>
      <c r="BP918" s="82"/>
      <c r="BQ918" s="82"/>
      <c r="BR918" s="82"/>
      <c r="BS918" s="82"/>
      <c r="BT918" s="82"/>
      <c r="BU918" s="82"/>
      <c r="BV918" s="82"/>
      <c r="BW918" s="82"/>
      <c r="BX918" s="82"/>
      <c r="BY918" s="82"/>
      <c r="BZ918" s="82"/>
      <c r="CA918" s="82"/>
      <c r="CB918" s="82"/>
      <c r="CC918" s="82"/>
      <c r="CD918" s="82"/>
      <c r="CE918" s="82"/>
      <c r="CF918" s="82"/>
      <c r="CG918" s="82"/>
      <c r="CH918" s="82"/>
      <c r="CI918" s="82"/>
      <c r="CJ918" s="82"/>
      <c r="CK918" s="82"/>
      <c r="CL918" s="82"/>
      <c r="CM918" s="82"/>
      <c r="CN918" s="82"/>
      <c r="CO918" s="82"/>
      <c r="CP918" s="82"/>
      <c r="CQ918" s="82"/>
      <c r="CR918" s="82"/>
      <c r="CS918" s="82"/>
      <c r="CT918" s="82"/>
      <c r="CU918" s="82"/>
      <c r="CV918" s="82"/>
      <c r="CW918" s="82"/>
      <c r="CX918" s="82"/>
      <c r="CY918" s="82"/>
      <c r="CZ918" s="82"/>
      <c r="DA918" s="82"/>
      <c r="DB918" s="82"/>
      <c r="DC918" s="82"/>
      <c r="DD918" s="82"/>
      <c r="DE918" s="82"/>
      <c r="DF918" s="82"/>
      <c r="DG918" s="82"/>
    </row>
    <row r="919" spans="2:111" ht="9" customHeight="1">
      <c r="B919" s="229"/>
      <c r="C919" s="229"/>
      <c r="D919" s="229"/>
      <c r="E919" s="229"/>
      <c r="F919" s="229"/>
      <c r="G919" s="229"/>
      <c r="H919" s="229"/>
      <c r="I919" s="229"/>
      <c r="J919" s="229"/>
      <c r="K919" s="229"/>
      <c r="L919" s="229"/>
      <c r="M919" s="229"/>
      <c r="N919" s="229"/>
      <c r="P919" s="230"/>
      <c r="Q919" s="230"/>
      <c r="R919" s="230"/>
      <c r="S919" s="230"/>
      <c r="T919" s="230"/>
      <c r="U919" s="230"/>
      <c r="V919" s="230"/>
      <c r="W919" s="230"/>
      <c r="X919" s="230"/>
      <c r="Y919" s="230"/>
      <c r="Z919" s="230"/>
      <c r="AA919" s="230"/>
      <c r="AB919" s="230"/>
      <c r="AC919" s="230"/>
      <c r="AD919" s="230"/>
      <c r="AE919" s="230"/>
      <c r="AF919" s="230"/>
      <c r="AG919" s="230"/>
      <c r="AH919" s="230"/>
      <c r="AI919" s="230"/>
      <c r="AJ919" s="230"/>
      <c r="AK919" s="230"/>
      <c r="AL919" s="230"/>
      <c r="AM919" s="230"/>
      <c r="AN919" s="230"/>
      <c r="AO919" s="230"/>
      <c r="AP919" s="230"/>
      <c r="AQ919" s="230"/>
      <c r="AS919" s="231"/>
      <c r="AT919" s="231"/>
      <c r="AU919" s="231"/>
      <c r="AV919" s="231"/>
      <c r="AW919" s="231"/>
      <c r="AX919" s="231"/>
      <c r="AY919" s="231"/>
      <c r="AZ919" s="231"/>
      <c r="BA919" s="231"/>
      <c r="BC919" s="82"/>
      <c r="BD919" s="82"/>
      <c r="BE919" s="82"/>
      <c r="BF919" s="82"/>
      <c r="BG919" s="82"/>
      <c r="BH919" s="82"/>
      <c r="BI919" s="82"/>
      <c r="BJ919" s="82"/>
      <c r="BK919" s="82"/>
      <c r="BL919" s="82"/>
      <c r="BM919" s="82"/>
      <c r="BN919" s="82"/>
      <c r="BO919" s="82"/>
      <c r="BP919" s="82"/>
      <c r="BQ919" s="82"/>
      <c r="BR919" s="82"/>
      <c r="BS919" s="82"/>
      <c r="BT919" s="82"/>
      <c r="BU919" s="82"/>
      <c r="BV919" s="82"/>
      <c r="BW919" s="82"/>
      <c r="BX919" s="82"/>
      <c r="BY919" s="82"/>
      <c r="BZ919" s="82"/>
      <c r="CA919" s="82"/>
      <c r="CB919" s="82"/>
      <c r="CC919" s="82"/>
      <c r="CD919" s="82"/>
      <c r="CE919" s="82"/>
      <c r="CF919" s="82"/>
      <c r="CG919" s="82"/>
      <c r="CH919" s="82"/>
      <c r="CI919" s="82"/>
      <c r="CJ919" s="82"/>
      <c r="CK919" s="82"/>
      <c r="CL919" s="82"/>
      <c r="CM919" s="82"/>
      <c r="CN919" s="82"/>
      <c r="CO919" s="82"/>
      <c r="CP919" s="82"/>
      <c r="CQ919" s="82"/>
      <c r="CR919" s="82"/>
      <c r="CS919" s="82"/>
      <c r="CT919" s="82"/>
      <c r="CU919" s="82"/>
      <c r="CV919" s="82"/>
      <c r="CW919" s="82"/>
      <c r="CX919" s="82"/>
      <c r="CY919" s="82"/>
      <c r="CZ919" s="82"/>
      <c r="DA919" s="82"/>
      <c r="DB919" s="82"/>
      <c r="DC919" s="82"/>
      <c r="DD919" s="82"/>
      <c r="DE919" s="82"/>
      <c r="DF919" s="82"/>
      <c r="DG919" s="82"/>
    </row>
    <row r="920" spans="2:111" ht="9" customHeight="1">
      <c r="B920" s="229"/>
      <c r="C920" s="229"/>
      <c r="D920" s="229"/>
      <c r="E920" s="229"/>
      <c r="F920" s="229"/>
      <c r="G920" s="229"/>
      <c r="H920" s="229"/>
      <c r="I920" s="229"/>
      <c r="J920" s="229"/>
      <c r="K920" s="229"/>
      <c r="L920" s="229"/>
      <c r="M920" s="229"/>
      <c r="N920" s="229"/>
      <c r="P920" s="230"/>
      <c r="Q920" s="230"/>
      <c r="R920" s="230"/>
      <c r="S920" s="230"/>
      <c r="T920" s="230"/>
      <c r="U920" s="230"/>
      <c r="V920" s="230"/>
      <c r="W920" s="230"/>
      <c r="X920" s="230"/>
      <c r="Y920" s="230"/>
      <c r="Z920" s="230"/>
      <c r="AA920" s="230"/>
      <c r="AB920" s="230"/>
      <c r="AC920" s="230"/>
      <c r="AD920" s="230"/>
      <c r="AE920" s="230"/>
      <c r="AF920" s="230"/>
      <c r="AG920" s="230"/>
      <c r="AH920" s="230"/>
      <c r="AI920" s="230"/>
      <c r="AJ920" s="230"/>
      <c r="AK920" s="230"/>
      <c r="AL920" s="230"/>
      <c r="AM920" s="230"/>
      <c r="AN920" s="230"/>
      <c r="AO920" s="230"/>
      <c r="AP920" s="230"/>
      <c r="AQ920" s="230"/>
      <c r="AS920" s="231"/>
      <c r="AT920" s="231"/>
      <c r="AU920" s="231"/>
      <c r="AV920" s="231"/>
      <c r="AW920" s="231"/>
      <c r="AX920" s="231"/>
      <c r="AY920" s="231"/>
      <c r="AZ920" s="231"/>
      <c r="BA920" s="231"/>
      <c r="BC920" s="82"/>
      <c r="BD920" s="82"/>
      <c r="BE920" s="82"/>
      <c r="BF920" s="82"/>
      <c r="BG920" s="82"/>
      <c r="BH920" s="82"/>
      <c r="BI920" s="82"/>
      <c r="BJ920" s="82"/>
      <c r="BK920" s="82"/>
      <c r="BL920" s="82"/>
      <c r="BM920" s="82"/>
      <c r="BN920" s="82"/>
      <c r="BO920" s="82"/>
      <c r="BP920" s="82"/>
      <c r="BQ920" s="82"/>
      <c r="BR920" s="82"/>
      <c r="BS920" s="82"/>
      <c r="BT920" s="82"/>
      <c r="BU920" s="82"/>
      <c r="BV920" s="82"/>
      <c r="BW920" s="82"/>
      <c r="BX920" s="82"/>
      <c r="BY920" s="82"/>
      <c r="BZ920" s="82"/>
      <c r="CA920" s="82"/>
      <c r="CB920" s="82"/>
      <c r="CC920" s="82"/>
      <c r="CD920" s="82"/>
      <c r="CE920" s="82"/>
      <c r="CF920" s="82"/>
      <c r="CG920" s="82"/>
      <c r="CH920" s="82"/>
      <c r="CI920" s="82"/>
      <c r="CJ920" s="82"/>
      <c r="CK920" s="82"/>
      <c r="CL920" s="82"/>
      <c r="CM920" s="82"/>
      <c r="CN920" s="82"/>
      <c r="CO920" s="82"/>
      <c r="CP920" s="82"/>
      <c r="CQ920" s="82"/>
      <c r="CR920" s="82"/>
      <c r="CS920" s="82"/>
      <c r="CT920" s="82"/>
      <c r="CU920" s="82"/>
      <c r="CV920" s="82"/>
      <c r="CW920" s="82"/>
      <c r="CX920" s="82"/>
      <c r="CY920" s="82"/>
      <c r="CZ920" s="82"/>
      <c r="DA920" s="82"/>
      <c r="DB920" s="82"/>
      <c r="DC920" s="82"/>
      <c r="DD920" s="82"/>
      <c r="DE920" s="82"/>
      <c r="DF920" s="82"/>
      <c r="DG920" s="82"/>
    </row>
    <row r="921" spans="2:111" ht="9" customHeight="1">
      <c r="B921" s="229"/>
      <c r="C921" s="229"/>
      <c r="D921" s="229"/>
      <c r="E921" s="229"/>
      <c r="F921" s="229"/>
      <c r="G921" s="229"/>
      <c r="H921" s="229"/>
      <c r="I921" s="229"/>
      <c r="J921" s="229"/>
      <c r="K921" s="229"/>
      <c r="L921" s="229"/>
      <c r="M921" s="229"/>
      <c r="N921" s="229"/>
      <c r="P921" s="230"/>
      <c r="Q921" s="230"/>
      <c r="R921" s="230"/>
      <c r="S921" s="230"/>
      <c r="T921" s="230"/>
      <c r="U921" s="230"/>
      <c r="V921" s="230"/>
      <c r="W921" s="230"/>
      <c r="X921" s="230"/>
      <c r="Y921" s="230"/>
      <c r="Z921" s="230"/>
      <c r="AA921" s="230"/>
      <c r="AB921" s="230"/>
      <c r="AC921" s="230"/>
      <c r="AD921" s="230"/>
      <c r="AE921" s="230"/>
      <c r="AF921" s="230"/>
      <c r="AG921" s="230"/>
      <c r="AH921" s="230"/>
      <c r="AI921" s="230"/>
      <c r="AJ921" s="230"/>
      <c r="AK921" s="230"/>
      <c r="AL921" s="230"/>
      <c r="AM921" s="230"/>
      <c r="AN921" s="230"/>
      <c r="AO921" s="230"/>
      <c r="AP921" s="230"/>
      <c r="AQ921" s="230"/>
      <c r="AS921" s="231"/>
      <c r="AT921" s="231"/>
      <c r="AU921" s="231"/>
      <c r="AV921" s="231"/>
      <c r="AW921" s="231"/>
      <c r="AX921" s="231"/>
      <c r="AY921" s="231"/>
      <c r="AZ921" s="231"/>
      <c r="BA921" s="231"/>
      <c r="BC921" s="82"/>
      <c r="BD921" s="82"/>
      <c r="BE921" s="82"/>
      <c r="BF921" s="82"/>
      <c r="BG921" s="82"/>
      <c r="BH921" s="82"/>
      <c r="BI921" s="82"/>
      <c r="BJ921" s="82"/>
      <c r="BK921" s="82"/>
      <c r="BL921" s="82"/>
      <c r="BM921" s="82"/>
      <c r="BN921" s="82"/>
      <c r="BO921" s="82"/>
      <c r="BP921" s="82"/>
      <c r="BQ921" s="82"/>
      <c r="BR921" s="82"/>
      <c r="BS921" s="82"/>
      <c r="BT921" s="82"/>
      <c r="BU921" s="82"/>
      <c r="BV921" s="82"/>
      <c r="BW921" s="82"/>
      <c r="BX921" s="82"/>
      <c r="BY921" s="82"/>
      <c r="BZ921" s="82"/>
      <c r="CA921" s="82"/>
      <c r="CB921" s="82"/>
      <c r="CC921" s="82"/>
      <c r="CD921" s="82"/>
      <c r="CE921" s="82"/>
      <c r="CF921" s="82"/>
      <c r="CG921" s="82"/>
      <c r="CH921" s="82"/>
      <c r="CI921" s="82"/>
      <c r="CJ921" s="82"/>
      <c r="CK921" s="82"/>
      <c r="CL921" s="82"/>
      <c r="CM921" s="82"/>
      <c r="CN921" s="82"/>
      <c r="CO921" s="82"/>
      <c r="CP921" s="82"/>
      <c r="CQ921" s="82"/>
      <c r="CR921" s="82"/>
      <c r="CS921" s="82"/>
      <c r="CT921" s="82"/>
      <c r="CU921" s="82"/>
      <c r="CV921" s="82"/>
      <c r="CW921" s="82"/>
      <c r="CX921" s="82"/>
      <c r="CY921" s="82"/>
      <c r="CZ921" s="82"/>
      <c r="DA921" s="82"/>
      <c r="DB921" s="82"/>
      <c r="DC921" s="82"/>
      <c r="DD921" s="82"/>
      <c r="DE921" s="82"/>
      <c r="DF921" s="82"/>
      <c r="DG921" s="82"/>
    </row>
    <row r="922" spans="2:111" ht="9" customHeight="1">
      <c r="B922" s="229"/>
      <c r="C922" s="229"/>
      <c r="D922" s="229"/>
      <c r="E922" s="229"/>
      <c r="F922" s="229"/>
      <c r="G922" s="229"/>
      <c r="H922" s="229"/>
      <c r="I922" s="229"/>
      <c r="J922" s="229"/>
      <c r="K922" s="229"/>
      <c r="L922" s="229"/>
      <c r="M922" s="229"/>
      <c r="N922" s="229"/>
      <c r="P922" s="230"/>
      <c r="Q922" s="230"/>
      <c r="R922" s="230"/>
      <c r="S922" s="230"/>
      <c r="T922" s="230"/>
      <c r="U922" s="230"/>
      <c r="V922" s="230"/>
      <c r="W922" s="230"/>
      <c r="X922" s="230"/>
      <c r="Y922" s="230"/>
      <c r="Z922" s="230"/>
      <c r="AA922" s="230"/>
      <c r="AB922" s="230"/>
      <c r="AC922" s="230"/>
      <c r="AD922" s="230"/>
      <c r="AE922" s="230"/>
      <c r="AF922" s="230"/>
      <c r="AG922" s="230"/>
      <c r="AH922" s="230"/>
      <c r="AI922" s="230"/>
      <c r="AJ922" s="230"/>
      <c r="AK922" s="230"/>
      <c r="AL922" s="230"/>
      <c r="AM922" s="230"/>
      <c r="AN922" s="230"/>
      <c r="AO922" s="230"/>
      <c r="AP922" s="230"/>
      <c r="AQ922" s="230"/>
      <c r="AS922" s="231"/>
      <c r="AT922" s="231"/>
      <c r="AU922" s="231"/>
      <c r="AV922" s="231"/>
      <c r="AW922" s="231"/>
      <c r="AX922" s="231"/>
      <c r="AY922" s="231"/>
      <c r="AZ922" s="231"/>
      <c r="BA922" s="231"/>
      <c r="BC922" s="82"/>
      <c r="BD922" s="82"/>
      <c r="BE922" s="82"/>
      <c r="BF922" s="82"/>
      <c r="BG922" s="82"/>
      <c r="BH922" s="82"/>
      <c r="BI922" s="82"/>
      <c r="BJ922" s="82"/>
      <c r="BK922" s="82"/>
      <c r="BL922" s="82"/>
      <c r="BM922" s="82"/>
      <c r="BN922" s="82"/>
      <c r="BO922" s="82"/>
      <c r="BP922" s="82"/>
      <c r="BQ922" s="82"/>
      <c r="BR922" s="82"/>
      <c r="BS922" s="82"/>
      <c r="BT922" s="82"/>
      <c r="BU922" s="82"/>
      <c r="BV922" s="82"/>
      <c r="BW922" s="82"/>
      <c r="BX922" s="82"/>
      <c r="BY922" s="82"/>
      <c r="BZ922" s="82"/>
      <c r="CA922" s="82"/>
      <c r="CB922" s="82"/>
      <c r="CC922" s="82"/>
      <c r="CD922" s="82"/>
      <c r="CE922" s="82"/>
      <c r="CF922" s="82"/>
      <c r="CG922" s="82"/>
      <c r="CH922" s="82"/>
      <c r="CI922" s="82"/>
      <c r="CJ922" s="82"/>
      <c r="CK922" s="82"/>
      <c r="CL922" s="82"/>
      <c r="CM922" s="82"/>
      <c r="CN922" s="82"/>
      <c r="CO922" s="82"/>
      <c r="CP922" s="82"/>
      <c r="CQ922" s="82"/>
      <c r="CR922" s="82"/>
      <c r="CS922" s="82"/>
      <c r="CT922" s="82"/>
      <c r="CU922" s="82"/>
      <c r="CV922" s="82"/>
      <c r="CW922" s="82"/>
      <c r="CX922" s="82"/>
      <c r="CY922" s="82"/>
      <c r="CZ922" s="82"/>
      <c r="DA922" s="82"/>
      <c r="DB922" s="82"/>
      <c r="DC922" s="82"/>
      <c r="DD922" s="82"/>
      <c r="DE922" s="82"/>
      <c r="DF922" s="82"/>
      <c r="DG922" s="82"/>
    </row>
    <row r="923" spans="2:111" ht="12" customHeight="1">
      <c r="BC923" s="82"/>
      <c r="BD923" s="82"/>
      <c r="BE923" s="82"/>
      <c r="BF923" s="82"/>
      <c r="BG923" s="82"/>
      <c r="BH923" s="82"/>
      <c r="BI923" s="82"/>
      <c r="BJ923" s="82"/>
      <c r="BK923" s="82"/>
      <c r="BL923" s="82"/>
      <c r="BM923" s="82"/>
      <c r="BN923" s="82"/>
      <c r="BO923" s="82"/>
      <c r="BP923" s="82"/>
      <c r="BQ923" s="82"/>
      <c r="BR923" s="82"/>
      <c r="BS923" s="82"/>
      <c r="BT923" s="82"/>
      <c r="BU923" s="82"/>
      <c r="BV923" s="82"/>
      <c r="BW923" s="82"/>
      <c r="BX923" s="82"/>
      <c r="BY923" s="82"/>
      <c r="BZ923" s="82"/>
      <c r="CA923" s="82"/>
      <c r="CB923" s="82"/>
      <c r="CC923" s="82"/>
      <c r="CD923" s="82"/>
      <c r="CE923" s="82"/>
      <c r="CF923" s="82"/>
      <c r="CG923" s="82"/>
      <c r="CH923" s="82"/>
      <c r="CI923" s="82"/>
      <c r="CJ923" s="82"/>
      <c r="CK923" s="82"/>
      <c r="CL923" s="82"/>
      <c r="CM923" s="82"/>
      <c r="CN923" s="82"/>
      <c r="CO923" s="82"/>
      <c r="CP923" s="82"/>
      <c r="CQ923" s="82"/>
      <c r="CR923" s="82"/>
      <c r="CS923" s="82"/>
      <c r="CT923" s="82"/>
      <c r="CU923" s="82"/>
      <c r="CV923" s="82"/>
      <c r="CW923" s="82"/>
      <c r="CX923" s="82"/>
      <c r="CY923" s="82"/>
      <c r="CZ923" s="82"/>
      <c r="DA923" s="82"/>
      <c r="DB923" s="82"/>
      <c r="DC923" s="82"/>
      <c r="DD923" s="82"/>
      <c r="DE923" s="82"/>
      <c r="DF923" s="82"/>
      <c r="DG923" s="82"/>
    </row>
    <row r="924" spans="2:111" ht="9" customHeight="1">
      <c r="B924" s="232" t="str">
        <f>IF($U$874&gt;=3,"Etapa 3.3","")</f>
        <v/>
      </c>
      <c r="C924" s="232"/>
      <c r="D924" s="232"/>
      <c r="E924" s="232"/>
      <c r="F924" s="232"/>
      <c r="G924" s="232"/>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c r="AI924" s="233"/>
      <c r="AJ924" s="233"/>
      <c r="AK924" s="233"/>
      <c r="AL924" s="233"/>
      <c r="AM924" s="233"/>
      <c r="AN924" s="233"/>
      <c r="AO924" s="233"/>
      <c r="AP924" s="233"/>
      <c r="AQ924" s="233"/>
      <c r="AS924" s="234" t="str">
        <f>IF(SUM(AS930:BA945)=0,"",SUM(AS930:BA945))</f>
        <v/>
      </c>
      <c r="AT924" s="234"/>
      <c r="AU924" s="234"/>
      <c r="AV924" s="234"/>
      <c r="AW924" s="234"/>
      <c r="AX924" s="234"/>
      <c r="AY924" s="234"/>
      <c r="AZ924" s="234"/>
      <c r="BA924" s="234"/>
      <c r="BC924" s="82"/>
      <c r="BD924" s="82"/>
      <c r="BE924" s="82"/>
      <c r="BF924" s="82"/>
      <c r="BG924" s="82"/>
      <c r="BH924" s="82"/>
      <c r="BI924" s="82"/>
      <c r="BJ924" s="82"/>
      <c r="BK924" s="82"/>
      <c r="BL924" s="82"/>
      <c r="BM924" s="82"/>
      <c r="BN924" s="82"/>
      <c r="BO924" s="82"/>
      <c r="BP924" s="82"/>
      <c r="BQ924" s="82"/>
      <c r="BR924" s="82"/>
      <c r="BS924" s="82"/>
      <c r="BT924" s="82"/>
      <c r="BU924" s="82"/>
      <c r="BV924" s="82"/>
      <c r="BW924" s="82"/>
      <c r="BX924" s="82"/>
      <c r="BY924" s="82"/>
      <c r="BZ924" s="82"/>
      <c r="CA924" s="82"/>
      <c r="CB924" s="82"/>
      <c r="CC924" s="82"/>
      <c r="CD924" s="82"/>
      <c r="CE924" s="82"/>
      <c r="CF924" s="82"/>
      <c r="CG924" s="82"/>
      <c r="CH924" s="82"/>
      <c r="CI924" s="82"/>
      <c r="CJ924" s="82"/>
      <c r="CK924" s="82"/>
      <c r="CL924" s="82"/>
      <c r="CM924" s="82"/>
      <c r="CN924" s="82"/>
      <c r="CO924" s="82"/>
      <c r="CP924" s="82"/>
      <c r="CQ924" s="82"/>
      <c r="CR924" s="82"/>
      <c r="CS924" s="82"/>
      <c r="CT924" s="82"/>
      <c r="CU924" s="82"/>
      <c r="CV924" s="82"/>
      <c r="CW924" s="82"/>
      <c r="CX924" s="82"/>
      <c r="CY924" s="82"/>
      <c r="CZ924" s="82"/>
      <c r="DA924" s="82"/>
      <c r="DB924" s="82"/>
      <c r="DC924" s="82"/>
      <c r="DD924" s="82"/>
      <c r="DE924" s="82"/>
      <c r="DF924" s="82"/>
      <c r="DG924" s="82"/>
    </row>
    <row r="925" spans="2:111" ht="9" customHeight="1">
      <c r="B925" s="232"/>
      <c r="C925" s="232"/>
      <c r="D925" s="232"/>
      <c r="E925" s="232"/>
      <c r="F925" s="232"/>
      <c r="G925" s="232"/>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c r="AI925" s="233"/>
      <c r="AJ925" s="233"/>
      <c r="AK925" s="233"/>
      <c r="AL925" s="233"/>
      <c r="AM925" s="233"/>
      <c r="AN925" s="233"/>
      <c r="AO925" s="233"/>
      <c r="AP925" s="233"/>
      <c r="AQ925" s="233"/>
      <c r="AS925" s="234"/>
      <c r="AT925" s="234"/>
      <c r="AU925" s="234"/>
      <c r="AV925" s="234"/>
      <c r="AW925" s="234"/>
      <c r="AX925" s="234"/>
      <c r="AY925" s="234"/>
      <c r="AZ925" s="234"/>
      <c r="BA925" s="234"/>
      <c r="BC925" s="82"/>
      <c r="BD925" s="82"/>
      <c r="BE925" s="82"/>
      <c r="BF925" s="82"/>
      <c r="BG925" s="82"/>
      <c r="BH925" s="82"/>
      <c r="BI925" s="82"/>
      <c r="BJ925" s="82"/>
      <c r="BK925" s="82"/>
      <c r="BL925" s="82"/>
      <c r="BM925" s="82"/>
      <c r="BN925" s="82"/>
      <c r="BO925" s="82"/>
      <c r="BP925" s="82"/>
      <c r="BQ925" s="82"/>
      <c r="BR925" s="82"/>
      <c r="BS925" s="82"/>
      <c r="BT925" s="82"/>
      <c r="BU925" s="82"/>
      <c r="BV925" s="82"/>
      <c r="BW925" s="82"/>
      <c r="BX925" s="82"/>
      <c r="BY925" s="82"/>
      <c r="BZ925" s="82"/>
      <c r="CA925" s="82"/>
      <c r="CB925" s="82"/>
      <c r="CC925" s="82"/>
      <c r="CD925" s="82"/>
      <c r="CE925" s="82"/>
      <c r="CF925" s="82"/>
      <c r="CG925" s="82"/>
      <c r="CH925" s="82"/>
      <c r="CI925" s="82"/>
      <c r="CJ925" s="82"/>
      <c r="CK925" s="82"/>
      <c r="CL925" s="82"/>
      <c r="CM925" s="82"/>
      <c r="CN925" s="82"/>
      <c r="CO925" s="82"/>
      <c r="CP925" s="82"/>
      <c r="CQ925" s="82"/>
      <c r="CR925" s="82"/>
      <c r="CS925" s="82"/>
      <c r="CT925" s="82"/>
      <c r="CU925" s="82"/>
      <c r="CV925" s="82"/>
      <c r="CW925" s="82"/>
      <c r="CX925" s="82"/>
      <c r="CY925" s="82"/>
      <c r="CZ925" s="82"/>
      <c r="DA925" s="82"/>
      <c r="DB925" s="82"/>
      <c r="DC925" s="82"/>
      <c r="DD925" s="82"/>
      <c r="DE925" s="82"/>
      <c r="DF925" s="82"/>
      <c r="DG925" s="82"/>
    </row>
    <row r="926" spans="2:111" ht="4.5" customHeight="1">
      <c r="BC926" s="82"/>
      <c r="BD926" s="82"/>
      <c r="BE926" s="82"/>
      <c r="BF926" s="82"/>
      <c r="BG926" s="82"/>
      <c r="BH926" s="82"/>
      <c r="BI926" s="82"/>
      <c r="BJ926" s="82"/>
      <c r="BK926" s="82"/>
      <c r="BL926" s="82"/>
      <c r="BM926" s="82"/>
      <c r="BN926" s="82"/>
      <c r="BO926" s="82"/>
      <c r="BP926" s="82"/>
      <c r="BQ926" s="82"/>
      <c r="BR926" s="82"/>
      <c r="BS926" s="82"/>
      <c r="BT926" s="82"/>
      <c r="BU926" s="82"/>
      <c r="BV926" s="82"/>
      <c r="BW926" s="82"/>
      <c r="BX926" s="82"/>
      <c r="BY926" s="82"/>
      <c r="BZ926" s="82"/>
      <c r="CA926" s="82"/>
      <c r="CB926" s="82"/>
      <c r="CC926" s="82"/>
      <c r="CD926" s="82"/>
      <c r="CE926" s="82"/>
      <c r="CF926" s="82"/>
      <c r="CG926" s="82"/>
      <c r="CH926" s="82"/>
      <c r="CI926" s="82"/>
      <c r="CJ926" s="82"/>
      <c r="CK926" s="82"/>
      <c r="CL926" s="82"/>
      <c r="CM926" s="82"/>
      <c r="CN926" s="82"/>
      <c r="CO926" s="82"/>
      <c r="CP926" s="82"/>
      <c r="CQ926" s="82"/>
      <c r="CR926" s="82"/>
      <c r="CS926" s="82"/>
      <c r="CT926" s="82"/>
      <c r="CU926" s="82"/>
      <c r="CV926" s="82"/>
      <c r="CW926" s="82"/>
      <c r="CX926" s="82"/>
      <c r="CY926" s="82"/>
      <c r="CZ926" s="82"/>
      <c r="DA926" s="82"/>
      <c r="DB926" s="82"/>
      <c r="DC926" s="82"/>
      <c r="DD926" s="82"/>
      <c r="DE926" s="82"/>
      <c r="DF926" s="82"/>
      <c r="DG926" s="82"/>
    </row>
    <row r="927" spans="2:111" ht="9" customHeight="1">
      <c r="I927" s="229" t="str">
        <f>IF($U$874&gt;=3,"Início:","")</f>
        <v/>
      </c>
      <c r="J927" s="229"/>
      <c r="K927" s="229"/>
      <c r="L927" s="229"/>
      <c r="M927" s="229"/>
      <c r="N927" s="229"/>
      <c r="P927" s="235"/>
      <c r="Q927" s="235"/>
      <c r="R927" s="235"/>
      <c r="S927" s="235"/>
      <c r="T927" s="235"/>
      <c r="U927" s="235"/>
      <c r="V927" s="235"/>
      <c r="W927" s="235"/>
      <c r="Y927" s="229" t="str">
        <f>IF($U$874&gt;=3,"Término:","")</f>
        <v/>
      </c>
      <c r="Z927" s="229"/>
      <c r="AA927" s="229"/>
      <c r="AB927" s="229"/>
      <c r="AC927" s="229"/>
      <c r="AD927" s="229"/>
      <c r="AF927" s="235"/>
      <c r="AG927" s="235"/>
      <c r="AH927" s="235"/>
      <c r="AI927" s="235"/>
      <c r="AJ927" s="235"/>
      <c r="AK927" s="235"/>
      <c r="AL927" s="235"/>
      <c r="AM927" s="235"/>
      <c r="AW927" s="236" t="str">
        <f>IF($U$874&gt;=3,"Valor (R$):","")</f>
        <v/>
      </c>
      <c r="AX927" s="236"/>
      <c r="AY927" s="236"/>
      <c r="AZ927" s="236"/>
      <c r="BA927" s="236"/>
      <c r="BC927" s="82"/>
      <c r="BD927" s="82"/>
      <c r="BE927" s="82"/>
      <c r="BF927" s="82"/>
      <c r="BG927" s="82"/>
      <c r="BH927" s="82"/>
      <c r="BI927" s="82"/>
      <c r="BJ927" s="82"/>
      <c r="BK927" s="82"/>
      <c r="BL927" s="82"/>
      <c r="BM927" s="82"/>
      <c r="BN927" s="82"/>
      <c r="BO927" s="82"/>
      <c r="BP927" s="82"/>
      <c r="BQ927" s="82"/>
      <c r="BR927" s="82"/>
      <c r="BS927" s="82"/>
      <c r="BT927" s="82"/>
      <c r="BU927" s="82"/>
      <c r="BV927" s="82"/>
      <c r="BW927" s="82"/>
      <c r="BX927" s="82"/>
      <c r="BY927" s="82"/>
      <c r="BZ927" s="82"/>
      <c r="CA927" s="82"/>
      <c r="CB927" s="82"/>
      <c r="CC927" s="82"/>
      <c r="CD927" s="82"/>
      <c r="CE927" s="82"/>
      <c r="CF927" s="82"/>
      <c r="CG927" s="82"/>
      <c r="CH927" s="82"/>
      <c r="CI927" s="82"/>
      <c r="CJ927" s="82"/>
      <c r="CK927" s="82"/>
      <c r="CL927" s="82"/>
      <c r="CM927" s="82"/>
      <c r="CN927" s="82"/>
      <c r="CO927" s="82"/>
      <c r="CP927" s="82"/>
      <c r="CQ927" s="82"/>
      <c r="CR927" s="82"/>
      <c r="CS927" s="82"/>
      <c r="CT927" s="82"/>
      <c r="CU927" s="82"/>
      <c r="CV927" s="82"/>
      <c r="CW927" s="82"/>
      <c r="CX927" s="82"/>
      <c r="CY927" s="82"/>
      <c r="CZ927" s="82"/>
      <c r="DA927" s="82"/>
      <c r="DB927" s="82"/>
      <c r="DC927" s="82"/>
      <c r="DD927" s="82"/>
      <c r="DE927" s="82"/>
      <c r="DF927" s="82"/>
      <c r="DG927" s="82"/>
    </row>
    <row r="928" spans="2:111" ht="9" customHeight="1">
      <c r="I928" s="229"/>
      <c r="J928" s="229"/>
      <c r="K928" s="229"/>
      <c r="L928" s="229"/>
      <c r="M928" s="229"/>
      <c r="N928" s="229"/>
      <c r="P928" s="235"/>
      <c r="Q928" s="235"/>
      <c r="R928" s="235"/>
      <c r="S928" s="235"/>
      <c r="T928" s="235"/>
      <c r="U928" s="235"/>
      <c r="V928" s="235"/>
      <c r="W928" s="235"/>
      <c r="Y928" s="229"/>
      <c r="Z928" s="229"/>
      <c r="AA928" s="229"/>
      <c r="AB928" s="229"/>
      <c r="AC928" s="229"/>
      <c r="AD928" s="229"/>
      <c r="AF928" s="235"/>
      <c r="AG928" s="235"/>
      <c r="AH928" s="235"/>
      <c r="AI928" s="235"/>
      <c r="AJ928" s="235"/>
      <c r="AK928" s="235"/>
      <c r="AL928" s="235"/>
      <c r="AM928" s="235"/>
      <c r="AW928" s="236"/>
      <c r="AX928" s="236"/>
      <c r="AY928" s="236"/>
      <c r="AZ928" s="236"/>
      <c r="BA928" s="236"/>
      <c r="BC928" s="82"/>
      <c r="BD928" s="82"/>
      <c r="BE928" s="82"/>
      <c r="BF928" s="82"/>
      <c r="BG928" s="82"/>
      <c r="BH928" s="82"/>
      <c r="BI928" s="82"/>
      <c r="BJ928" s="82"/>
      <c r="BK928" s="82"/>
      <c r="BL928" s="82"/>
      <c r="BM928" s="82"/>
      <c r="BN928" s="82"/>
      <c r="BO928" s="82"/>
      <c r="BP928" s="82"/>
      <c r="BQ928" s="82"/>
      <c r="BR928" s="82"/>
      <c r="BS928" s="82"/>
      <c r="BT928" s="82"/>
      <c r="BU928" s="82"/>
      <c r="BV928" s="82"/>
      <c r="BW928" s="82"/>
      <c r="BX928" s="82"/>
      <c r="BY928" s="82"/>
      <c r="BZ928" s="82"/>
      <c r="CA928" s="82"/>
      <c r="CB928" s="82"/>
      <c r="CC928" s="82"/>
      <c r="CD928" s="82"/>
      <c r="CE928" s="82"/>
      <c r="CF928" s="82"/>
      <c r="CG928" s="82"/>
      <c r="CH928" s="82"/>
      <c r="CI928" s="82"/>
      <c r="CJ928" s="82"/>
      <c r="CK928" s="82"/>
      <c r="CL928" s="82"/>
      <c r="CM928" s="82"/>
      <c r="CN928" s="82"/>
      <c r="CO928" s="82"/>
      <c r="CP928" s="82"/>
      <c r="CQ928" s="82"/>
      <c r="CR928" s="82"/>
      <c r="CS928" s="82"/>
      <c r="CT928" s="82"/>
      <c r="CU928" s="82"/>
      <c r="CV928" s="82"/>
      <c r="CW928" s="82"/>
      <c r="CX928" s="82"/>
      <c r="CY928" s="82"/>
      <c r="CZ928" s="82"/>
      <c r="DA928" s="82"/>
      <c r="DB928" s="82"/>
      <c r="DC928" s="82"/>
      <c r="DD928" s="82"/>
      <c r="DE928" s="82"/>
      <c r="DF928" s="82"/>
      <c r="DG928" s="82"/>
    </row>
    <row r="929" spans="2:111" ht="4.5" customHeight="1">
      <c r="BC929" s="82"/>
      <c r="BD929" s="82"/>
      <c r="BE929" s="82"/>
      <c r="BF929" s="82"/>
      <c r="BG929" s="82"/>
      <c r="BH929" s="82"/>
      <c r="BI929" s="82"/>
      <c r="BJ929" s="82"/>
      <c r="BK929" s="82"/>
      <c r="BL929" s="82"/>
      <c r="BM929" s="82"/>
      <c r="BN929" s="82"/>
      <c r="BO929" s="82"/>
      <c r="BP929" s="82"/>
      <c r="BQ929" s="82"/>
      <c r="BR929" s="82"/>
      <c r="BS929" s="82"/>
      <c r="BT929" s="82"/>
      <c r="BU929" s="82"/>
      <c r="BV929" s="82"/>
      <c r="BW929" s="82"/>
      <c r="BX929" s="82"/>
      <c r="BY929" s="82"/>
      <c r="BZ929" s="82"/>
      <c r="CA929" s="82"/>
      <c r="CB929" s="82"/>
      <c r="CC929" s="82"/>
      <c r="CD929" s="82"/>
      <c r="CE929" s="82"/>
      <c r="CF929" s="82"/>
      <c r="CG929" s="82"/>
      <c r="CH929" s="82"/>
      <c r="CI929" s="82"/>
      <c r="CJ929" s="82"/>
      <c r="CK929" s="82"/>
      <c r="CL929" s="82"/>
      <c r="CM929" s="82"/>
      <c r="CN929" s="82"/>
      <c r="CO929" s="82"/>
      <c r="CP929" s="82"/>
      <c r="CQ929" s="82"/>
      <c r="CR929" s="82"/>
      <c r="CS929" s="82"/>
      <c r="CT929" s="82"/>
      <c r="CU929" s="82"/>
      <c r="CV929" s="82"/>
      <c r="CW929" s="82"/>
      <c r="CX929" s="82"/>
      <c r="CY929" s="82"/>
      <c r="CZ929" s="82"/>
      <c r="DA929" s="82"/>
      <c r="DB929" s="82"/>
      <c r="DC929" s="82"/>
      <c r="DD929" s="82"/>
      <c r="DE929" s="82"/>
      <c r="DF929" s="82"/>
      <c r="DG929" s="82"/>
    </row>
    <row r="930" spans="2:111" ht="9" customHeight="1">
      <c r="B930" s="229" t="str">
        <f>IF($U$874&gt;=3,"Elementos de Despesa:","")</f>
        <v/>
      </c>
      <c r="C930" s="229"/>
      <c r="D930" s="229"/>
      <c r="E930" s="229"/>
      <c r="F930" s="229"/>
      <c r="G930" s="229"/>
      <c r="H930" s="229"/>
      <c r="I930" s="229"/>
      <c r="J930" s="229"/>
      <c r="K930" s="229"/>
      <c r="L930" s="229"/>
      <c r="M930" s="229"/>
      <c r="N930" s="229"/>
      <c r="P930" s="230"/>
      <c r="Q930" s="230"/>
      <c r="R930" s="230"/>
      <c r="S930" s="230"/>
      <c r="T930" s="230"/>
      <c r="U930" s="230"/>
      <c r="V930" s="230"/>
      <c r="W930" s="230"/>
      <c r="X930" s="230"/>
      <c r="Y930" s="230"/>
      <c r="Z930" s="230"/>
      <c r="AA930" s="230"/>
      <c r="AB930" s="230"/>
      <c r="AC930" s="230"/>
      <c r="AD930" s="230"/>
      <c r="AE930" s="230"/>
      <c r="AF930" s="230"/>
      <c r="AG930" s="230"/>
      <c r="AH930" s="230"/>
      <c r="AI930" s="230"/>
      <c r="AJ930" s="230"/>
      <c r="AK930" s="230"/>
      <c r="AL930" s="230"/>
      <c r="AM930" s="230"/>
      <c r="AN930" s="230"/>
      <c r="AO930" s="230"/>
      <c r="AP930" s="230"/>
      <c r="AQ930" s="230"/>
      <c r="AS930" s="231"/>
      <c r="AT930" s="231"/>
      <c r="AU930" s="231"/>
      <c r="AV930" s="231"/>
      <c r="AW930" s="231"/>
      <c r="AX930" s="231"/>
      <c r="AY930" s="231"/>
      <c r="AZ930" s="231"/>
      <c r="BA930" s="231"/>
      <c r="BC930" s="82"/>
      <c r="BD930" s="82"/>
      <c r="BE930" s="82"/>
      <c r="BF930" s="82"/>
      <c r="BG930" s="82"/>
      <c r="BH930" s="82"/>
      <c r="BI930" s="82"/>
      <c r="BJ930" s="82"/>
      <c r="BK930" s="82"/>
      <c r="BL930" s="82"/>
      <c r="BM930" s="82"/>
      <c r="BN930" s="82"/>
      <c r="BO930" s="82"/>
      <c r="BP930" s="82"/>
      <c r="BQ930" s="82"/>
      <c r="BR930" s="82"/>
      <c r="BS930" s="82"/>
      <c r="BT930" s="82"/>
      <c r="BU930" s="82"/>
      <c r="BV930" s="82"/>
      <c r="BW930" s="82"/>
      <c r="BX930" s="82"/>
      <c r="BY930" s="82"/>
      <c r="BZ930" s="82"/>
      <c r="CA930" s="82"/>
      <c r="CB930" s="82"/>
      <c r="CC930" s="82"/>
      <c r="CD930" s="82"/>
      <c r="CE930" s="82"/>
      <c r="CF930" s="82"/>
      <c r="CG930" s="82"/>
      <c r="CH930" s="82"/>
      <c r="CI930" s="82"/>
      <c r="CJ930" s="82"/>
      <c r="CK930" s="82"/>
      <c r="CL930" s="82"/>
      <c r="CM930" s="82"/>
      <c r="CN930" s="82"/>
      <c r="CO930" s="82"/>
      <c r="CP930" s="82"/>
      <c r="CQ930" s="82"/>
      <c r="CR930" s="82"/>
      <c r="CS930" s="82"/>
      <c r="CT930" s="82"/>
      <c r="CU930" s="82"/>
      <c r="CV930" s="82"/>
      <c r="CW930" s="82"/>
      <c r="CX930" s="82"/>
      <c r="CY930" s="82"/>
      <c r="CZ930" s="82"/>
      <c r="DA930" s="82"/>
      <c r="DB930" s="82"/>
      <c r="DC930" s="82"/>
      <c r="DD930" s="82"/>
      <c r="DE930" s="82"/>
      <c r="DF930" s="82"/>
      <c r="DG930" s="82"/>
    </row>
    <row r="931" spans="2:111" ht="9" customHeight="1">
      <c r="B931" s="229"/>
      <c r="C931" s="229"/>
      <c r="D931" s="229"/>
      <c r="E931" s="229"/>
      <c r="F931" s="229"/>
      <c r="G931" s="229"/>
      <c r="H931" s="229"/>
      <c r="I931" s="229"/>
      <c r="J931" s="229"/>
      <c r="K931" s="229"/>
      <c r="L931" s="229"/>
      <c r="M931" s="229"/>
      <c r="N931" s="229"/>
      <c r="P931" s="230"/>
      <c r="Q931" s="230"/>
      <c r="R931" s="230"/>
      <c r="S931" s="230"/>
      <c r="T931" s="230"/>
      <c r="U931" s="230"/>
      <c r="V931" s="230"/>
      <c r="W931" s="230"/>
      <c r="X931" s="230"/>
      <c r="Y931" s="230"/>
      <c r="Z931" s="230"/>
      <c r="AA931" s="230"/>
      <c r="AB931" s="230"/>
      <c r="AC931" s="230"/>
      <c r="AD931" s="230"/>
      <c r="AE931" s="230"/>
      <c r="AF931" s="230"/>
      <c r="AG931" s="230"/>
      <c r="AH931" s="230"/>
      <c r="AI931" s="230"/>
      <c r="AJ931" s="230"/>
      <c r="AK931" s="230"/>
      <c r="AL931" s="230"/>
      <c r="AM931" s="230"/>
      <c r="AN931" s="230"/>
      <c r="AO931" s="230"/>
      <c r="AP931" s="230"/>
      <c r="AQ931" s="230"/>
      <c r="AS931" s="231"/>
      <c r="AT931" s="231"/>
      <c r="AU931" s="231"/>
      <c r="AV931" s="231"/>
      <c r="AW931" s="231"/>
      <c r="AX931" s="231"/>
      <c r="AY931" s="231"/>
      <c r="AZ931" s="231"/>
      <c r="BA931" s="231"/>
      <c r="BC931" s="82"/>
      <c r="BD931" s="82"/>
      <c r="BE931" s="82"/>
      <c r="BF931" s="82"/>
      <c r="BG931" s="82"/>
      <c r="BH931" s="82"/>
      <c r="BI931" s="82"/>
      <c r="BJ931" s="82"/>
      <c r="BK931" s="82"/>
      <c r="BL931" s="82"/>
      <c r="BM931" s="82"/>
      <c r="BN931" s="82"/>
      <c r="BO931" s="82"/>
      <c r="BP931" s="82"/>
      <c r="BQ931" s="82"/>
      <c r="BR931" s="82"/>
      <c r="BS931" s="82"/>
      <c r="BT931" s="82"/>
      <c r="BU931" s="82"/>
      <c r="BV931" s="82"/>
      <c r="BW931" s="82"/>
      <c r="BX931" s="82"/>
      <c r="BY931" s="82"/>
      <c r="BZ931" s="82"/>
      <c r="CA931" s="82"/>
      <c r="CB931" s="82"/>
      <c r="CC931" s="82"/>
      <c r="CD931" s="82"/>
      <c r="CE931" s="82"/>
      <c r="CF931" s="82"/>
      <c r="CG931" s="82"/>
      <c r="CH931" s="82"/>
      <c r="CI931" s="82"/>
      <c r="CJ931" s="82"/>
      <c r="CK931" s="82"/>
      <c r="CL931" s="82"/>
      <c r="CM931" s="82"/>
      <c r="CN931" s="82"/>
      <c r="CO931" s="82"/>
      <c r="CP931" s="82"/>
      <c r="CQ931" s="82"/>
      <c r="CR931" s="82"/>
      <c r="CS931" s="82"/>
      <c r="CT931" s="82"/>
      <c r="CU931" s="82"/>
      <c r="CV931" s="82"/>
      <c r="CW931" s="82"/>
      <c r="CX931" s="82"/>
      <c r="CY931" s="82"/>
      <c r="CZ931" s="82"/>
      <c r="DA931" s="82"/>
      <c r="DB931" s="82"/>
      <c r="DC931" s="82"/>
      <c r="DD931" s="82"/>
      <c r="DE931" s="82"/>
      <c r="DF931" s="82"/>
      <c r="DG931" s="82"/>
    </row>
    <row r="932" spans="2:111" ht="9" customHeight="1">
      <c r="B932" s="229"/>
      <c r="C932" s="229"/>
      <c r="D932" s="229"/>
      <c r="E932" s="229"/>
      <c r="F932" s="229"/>
      <c r="G932" s="229"/>
      <c r="H932" s="229"/>
      <c r="I932" s="229"/>
      <c r="J932" s="229"/>
      <c r="K932" s="229"/>
      <c r="L932" s="229"/>
      <c r="M932" s="229"/>
      <c r="N932" s="229"/>
      <c r="P932" s="230"/>
      <c r="Q932" s="230"/>
      <c r="R932" s="230"/>
      <c r="S932" s="230"/>
      <c r="T932" s="230"/>
      <c r="U932" s="230"/>
      <c r="V932" s="230"/>
      <c r="W932" s="230"/>
      <c r="X932" s="230"/>
      <c r="Y932" s="230"/>
      <c r="Z932" s="230"/>
      <c r="AA932" s="230"/>
      <c r="AB932" s="230"/>
      <c r="AC932" s="230"/>
      <c r="AD932" s="230"/>
      <c r="AE932" s="230"/>
      <c r="AF932" s="230"/>
      <c r="AG932" s="230"/>
      <c r="AH932" s="230"/>
      <c r="AI932" s="230"/>
      <c r="AJ932" s="230"/>
      <c r="AK932" s="230"/>
      <c r="AL932" s="230"/>
      <c r="AM932" s="230"/>
      <c r="AN932" s="230"/>
      <c r="AO932" s="230"/>
      <c r="AP932" s="230"/>
      <c r="AQ932" s="230"/>
      <c r="AS932" s="231"/>
      <c r="AT932" s="231"/>
      <c r="AU932" s="231"/>
      <c r="AV932" s="231"/>
      <c r="AW932" s="231"/>
      <c r="AX932" s="231"/>
      <c r="AY932" s="231"/>
      <c r="AZ932" s="231"/>
      <c r="BA932" s="231"/>
      <c r="BC932" s="82"/>
      <c r="BD932" s="82"/>
      <c r="BE932" s="82"/>
      <c r="BF932" s="82"/>
      <c r="BG932" s="82"/>
      <c r="BH932" s="82"/>
      <c r="BI932" s="82"/>
      <c r="BJ932" s="82"/>
      <c r="BK932" s="82"/>
      <c r="BL932" s="82"/>
      <c r="BM932" s="82"/>
      <c r="BN932" s="82"/>
      <c r="BO932" s="82"/>
      <c r="BP932" s="82"/>
      <c r="BQ932" s="82"/>
      <c r="BR932" s="82"/>
      <c r="BS932" s="82"/>
      <c r="BT932" s="82"/>
      <c r="BU932" s="82"/>
      <c r="BV932" s="82"/>
      <c r="BW932" s="82"/>
      <c r="BX932" s="82"/>
      <c r="BY932" s="82"/>
      <c r="BZ932" s="82"/>
      <c r="CA932" s="82"/>
      <c r="CB932" s="82"/>
      <c r="CC932" s="82"/>
      <c r="CD932" s="82"/>
      <c r="CE932" s="82"/>
      <c r="CF932" s="82"/>
      <c r="CG932" s="82"/>
      <c r="CH932" s="82"/>
      <c r="CI932" s="82"/>
      <c r="CJ932" s="82"/>
      <c r="CK932" s="82"/>
      <c r="CL932" s="82"/>
      <c r="CM932" s="82"/>
      <c r="CN932" s="82"/>
      <c r="CO932" s="82"/>
      <c r="CP932" s="82"/>
      <c r="CQ932" s="82"/>
      <c r="CR932" s="82"/>
      <c r="CS932" s="82"/>
      <c r="CT932" s="82"/>
      <c r="CU932" s="82"/>
      <c r="CV932" s="82"/>
      <c r="CW932" s="82"/>
      <c r="CX932" s="82"/>
      <c r="CY932" s="82"/>
      <c r="CZ932" s="82"/>
      <c r="DA932" s="82"/>
      <c r="DB932" s="82"/>
      <c r="DC932" s="82"/>
      <c r="DD932" s="82"/>
      <c r="DE932" s="82"/>
      <c r="DF932" s="82"/>
      <c r="DG932" s="82"/>
    </row>
    <row r="933" spans="2:111" ht="9" customHeight="1">
      <c r="B933" s="229"/>
      <c r="C933" s="229"/>
      <c r="D933" s="229"/>
      <c r="E933" s="229"/>
      <c r="F933" s="229"/>
      <c r="G933" s="229"/>
      <c r="H933" s="229"/>
      <c r="I933" s="229"/>
      <c r="J933" s="229"/>
      <c r="K933" s="229"/>
      <c r="L933" s="229"/>
      <c r="M933" s="229"/>
      <c r="N933" s="229"/>
      <c r="P933" s="230"/>
      <c r="Q933" s="230"/>
      <c r="R933" s="230"/>
      <c r="S933" s="230"/>
      <c r="T933" s="230"/>
      <c r="U933" s="230"/>
      <c r="V933" s="230"/>
      <c r="W933" s="230"/>
      <c r="X933" s="230"/>
      <c r="Y933" s="230"/>
      <c r="Z933" s="230"/>
      <c r="AA933" s="230"/>
      <c r="AB933" s="230"/>
      <c r="AC933" s="230"/>
      <c r="AD933" s="230"/>
      <c r="AE933" s="230"/>
      <c r="AF933" s="230"/>
      <c r="AG933" s="230"/>
      <c r="AH933" s="230"/>
      <c r="AI933" s="230"/>
      <c r="AJ933" s="230"/>
      <c r="AK933" s="230"/>
      <c r="AL933" s="230"/>
      <c r="AM933" s="230"/>
      <c r="AN933" s="230"/>
      <c r="AO933" s="230"/>
      <c r="AP933" s="230"/>
      <c r="AQ933" s="230"/>
      <c r="AS933" s="231"/>
      <c r="AT933" s="231"/>
      <c r="AU933" s="231"/>
      <c r="AV933" s="231"/>
      <c r="AW933" s="231"/>
      <c r="AX933" s="231"/>
      <c r="AY933" s="231"/>
      <c r="AZ933" s="231"/>
      <c r="BA933" s="231"/>
      <c r="BC933" s="82"/>
      <c r="BD933" s="82"/>
      <c r="BE933" s="82"/>
      <c r="BF933" s="82"/>
      <c r="BG933" s="82"/>
      <c r="BH933" s="82"/>
      <c r="BI933" s="82"/>
      <c r="BJ933" s="82"/>
      <c r="BK933" s="82"/>
      <c r="BL933" s="82"/>
      <c r="BM933" s="82"/>
      <c r="BN933" s="82"/>
      <c r="BO933" s="82"/>
      <c r="BP933" s="82"/>
      <c r="BQ933" s="82"/>
      <c r="BR933" s="82"/>
      <c r="BS933" s="82"/>
      <c r="BT933" s="82"/>
      <c r="BU933" s="82"/>
      <c r="BV933" s="82"/>
      <c r="BW933" s="82"/>
      <c r="BX933" s="82"/>
      <c r="BY933" s="82"/>
      <c r="BZ933" s="82"/>
      <c r="CA933" s="82"/>
      <c r="CB933" s="82"/>
      <c r="CC933" s="82"/>
      <c r="CD933" s="82"/>
      <c r="CE933" s="82"/>
      <c r="CF933" s="82"/>
      <c r="CG933" s="82"/>
      <c r="CH933" s="82"/>
      <c r="CI933" s="82"/>
      <c r="CJ933" s="82"/>
      <c r="CK933" s="82"/>
      <c r="CL933" s="82"/>
      <c r="CM933" s="82"/>
      <c r="CN933" s="82"/>
      <c r="CO933" s="82"/>
      <c r="CP933" s="82"/>
      <c r="CQ933" s="82"/>
      <c r="CR933" s="82"/>
      <c r="CS933" s="82"/>
      <c r="CT933" s="82"/>
      <c r="CU933" s="82"/>
      <c r="CV933" s="82"/>
      <c r="CW933" s="82"/>
      <c r="CX933" s="82"/>
      <c r="CY933" s="82"/>
      <c r="CZ933" s="82"/>
      <c r="DA933" s="82"/>
      <c r="DB933" s="82"/>
      <c r="DC933" s="82"/>
      <c r="DD933" s="82"/>
      <c r="DE933" s="82"/>
      <c r="DF933" s="82"/>
      <c r="DG933" s="82"/>
    </row>
    <row r="934" spans="2:111" ht="9" customHeight="1">
      <c r="B934" s="229"/>
      <c r="C934" s="229"/>
      <c r="D934" s="229"/>
      <c r="E934" s="229"/>
      <c r="F934" s="229"/>
      <c r="G934" s="229"/>
      <c r="H934" s="229"/>
      <c r="I934" s="229"/>
      <c r="J934" s="229"/>
      <c r="K934" s="229"/>
      <c r="L934" s="229"/>
      <c r="M934" s="229"/>
      <c r="N934" s="229"/>
      <c r="P934" s="230"/>
      <c r="Q934" s="230"/>
      <c r="R934" s="230"/>
      <c r="S934" s="230"/>
      <c r="T934" s="230"/>
      <c r="U934" s="230"/>
      <c r="V934" s="230"/>
      <c r="W934" s="230"/>
      <c r="X934" s="230"/>
      <c r="Y934" s="230"/>
      <c r="Z934" s="230"/>
      <c r="AA934" s="230"/>
      <c r="AB934" s="230"/>
      <c r="AC934" s="230"/>
      <c r="AD934" s="230"/>
      <c r="AE934" s="230"/>
      <c r="AF934" s="230"/>
      <c r="AG934" s="230"/>
      <c r="AH934" s="230"/>
      <c r="AI934" s="230"/>
      <c r="AJ934" s="230"/>
      <c r="AK934" s="230"/>
      <c r="AL934" s="230"/>
      <c r="AM934" s="230"/>
      <c r="AN934" s="230"/>
      <c r="AO934" s="230"/>
      <c r="AP934" s="230"/>
      <c r="AQ934" s="230"/>
      <c r="AS934" s="231"/>
      <c r="AT934" s="231"/>
      <c r="AU934" s="231"/>
      <c r="AV934" s="231"/>
      <c r="AW934" s="231"/>
      <c r="AX934" s="231"/>
      <c r="AY934" s="231"/>
      <c r="AZ934" s="231"/>
      <c r="BA934" s="231"/>
      <c r="BC934" s="82"/>
      <c r="BD934" s="82"/>
      <c r="BE934" s="82"/>
      <c r="BF934" s="82"/>
      <c r="BG934" s="82"/>
      <c r="BH934" s="82"/>
      <c r="BI934" s="82"/>
      <c r="BJ934" s="82"/>
      <c r="BK934" s="82"/>
      <c r="BL934" s="82"/>
      <c r="BM934" s="82"/>
      <c r="BN934" s="82"/>
      <c r="BO934" s="82"/>
      <c r="BP934" s="82"/>
      <c r="BQ934" s="82"/>
      <c r="BR934" s="82"/>
      <c r="BS934" s="82"/>
      <c r="BT934" s="82"/>
      <c r="BU934" s="82"/>
      <c r="BV934" s="82"/>
      <c r="BW934" s="82"/>
      <c r="BX934" s="82"/>
      <c r="BY934" s="82"/>
      <c r="BZ934" s="82"/>
      <c r="CA934" s="82"/>
      <c r="CB934" s="82"/>
      <c r="CC934" s="82"/>
      <c r="CD934" s="82"/>
      <c r="CE934" s="82"/>
      <c r="CF934" s="82"/>
      <c r="CG934" s="82"/>
      <c r="CH934" s="82"/>
      <c r="CI934" s="82"/>
      <c r="CJ934" s="82"/>
      <c r="CK934" s="82"/>
      <c r="CL934" s="82"/>
      <c r="CM934" s="82"/>
      <c r="CN934" s="82"/>
      <c r="CO934" s="82"/>
      <c r="CP934" s="82"/>
      <c r="CQ934" s="82"/>
      <c r="CR934" s="82"/>
      <c r="CS934" s="82"/>
      <c r="CT934" s="82"/>
      <c r="CU934" s="82"/>
      <c r="CV934" s="82"/>
      <c r="CW934" s="82"/>
      <c r="CX934" s="82"/>
      <c r="CY934" s="82"/>
      <c r="CZ934" s="82"/>
      <c r="DA934" s="82"/>
      <c r="DB934" s="82"/>
      <c r="DC934" s="82"/>
      <c r="DD934" s="82"/>
      <c r="DE934" s="82"/>
      <c r="DF934" s="82"/>
      <c r="DG934" s="82"/>
    </row>
    <row r="935" spans="2:111" ht="9" customHeight="1">
      <c r="B935" s="229"/>
      <c r="C935" s="229"/>
      <c r="D935" s="229"/>
      <c r="E935" s="229"/>
      <c r="F935" s="229"/>
      <c r="G935" s="229"/>
      <c r="H935" s="229"/>
      <c r="I935" s="229"/>
      <c r="J935" s="229"/>
      <c r="K935" s="229"/>
      <c r="L935" s="229"/>
      <c r="M935" s="229"/>
      <c r="N935" s="229"/>
      <c r="P935" s="230"/>
      <c r="Q935" s="230"/>
      <c r="R935" s="230"/>
      <c r="S935" s="230"/>
      <c r="T935" s="230"/>
      <c r="U935" s="230"/>
      <c r="V935" s="230"/>
      <c r="W935" s="230"/>
      <c r="X935" s="230"/>
      <c r="Y935" s="230"/>
      <c r="Z935" s="230"/>
      <c r="AA935" s="230"/>
      <c r="AB935" s="230"/>
      <c r="AC935" s="230"/>
      <c r="AD935" s="230"/>
      <c r="AE935" s="230"/>
      <c r="AF935" s="230"/>
      <c r="AG935" s="230"/>
      <c r="AH935" s="230"/>
      <c r="AI935" s="230"/>
      <c r="AJ935" s="230"/>
      <c r="AK935" s="230"/>
      <c r="AL935" s="230"/>
      <c r="AM935" s="230"/>
      <c r="AN935" s="230"/>
      <c r="AO935" s="230"/>
      <c r="AP935" s="230"/>
      <c r="AQ935" s="230"/>
      <c r="AS935" s="231"/>
      <c r="AT935" s="231"/>
      <c r="AU935" s="231"/>
      <c r="AV935" s="231"/>
      <c r="AW935" s="231"/>
      <c r="AX935" s="231"/>
      <c r="AY935" s="231"/>
      <c r="AZ935" s="231"/>
      <c r="BA935" s="231"/>
      <c r="BC935" s="82"/>
      <c r="BD935" s="82"/>
      <c r="BE935" s="82"/>
      <c r="BF935" s="82"/>
      <c r="BG935" s="82"/>
      <c r="BH935" s="82"/>
      <c r="BI935" s="82"/>
      <c r="BJ935" s="82"/>
      <c r="BK935" s="82"/>
      <c r="BL935" s="82"/>
      <c r="BM935" s="82"/>
      <c r="BN935" s="82"/>
      <c r="BO935" s="82"/>
      <c r="BP935" s="82"/>
      <c r="BQ935" s="82"/>
      <c r="BR935" s="82"/>
      <c r="BS935" s="82"/>
      <c r="BT935" s="82"/>
      <c r="BU935" s="82"/>
      <c r="BV935" s="82"/>
      <c r="BW935" s="82"/>
      <c r="BX935" s="82"/>
      <c r="BY935" s="82"/>
      <c r="BZ935" s="82"/>
      <c r="CA935" s="82"/>
      <c r="CB935" s="82"/>
      <c r="CC935" s="82"/>
      <c r="CD935" s="82"/>
      <c r="CE935" s="82"/>
      <c r="CF935" s="82"/>
      <c r="CG935" s="82"/>
      <c r="CH935" s="82"/>
      <c r="CI935" s="82"/>
      <c r="CJ935" s="82"/>
      <c r="CK935" s="82"/>
      <c r="CL935" s="82"/>
      <c r="CM935" s="82"/>
      <c r="CN935" s="82"/>
      <c r="CO935" s="82"/>
      <c r="CP935" s="82"/>
      <c r="CQ935" s="82"/>
      <c r="CR935" s="82"/>
      <c r="CS935" s="82"/>
      <c r="CT935" s="82"/>
      <c r="CU935" s="82"/>
      <c r="CV935" s="82"/>
      <c r="CW935" s="82"/>
      <c r="CX935" s="82"/>
      <c r="CY935" s="82"/>
      <c r="CZ935" s="82"/>
      <c r="DA935" s="82"/>
      <c r="DB935" s="82"/>
      <c r="DC935" s="82"/>
      <c r="DD935" s="82"/>
      <c r="DE935" s="82"/>
      <c r="DF935" s="82"/>
      <c r="DG935" s="82"/>
    </row>
    <row r="936" spans="2:111" ht="9" customHeight="1">
      <c r="B936" s="229"/>
      <c r="C936" s="229"/>
      <c r="D936" s="229"/>
      <c r="E936" s="229"/>
      <c r="F936" s="229"/>
      <c r="G936" s="229"/>
      <c r="H936" s="229"/>
      <c r="I936" s="229"/>
      <c r="J936" s="229"/>
      <c r="K936" s="229"/>
      <c r="L936" s="229"/>
      <c r="M936" s="229"/>
      <c r="N936" s="229"/>
      <c r="P936" s="230"/>
      <c r="Q936" s="230"/>
      <c r="R936" s="230"/>
      <c r="S936" s="230"/>
      <c r="T936" s="230"/>
      <c r="U936" s="230"/>
      <c r="V936" s="230"/>
      <c r="W936" s="230"/>
      <c r="X936" s="230"/>
      <c r="Y936" s="230"/>
      <c r="Z936" s="230"/>
      <c r="AA936" s="230"/>
      <c r="AB936" s="230"/>
      <c r="AC936" s="230"/>
      <c r="AD936" s="230"/>
      <c r="AE936" s="230"/>
      <c r="AF936" s="230"/>
      <c r="AG936" s="230"/>
      <c r="AH936" s="230"/>
      <c r="AI936" s="230"/>
      <c r="AJ936" s="230"/>
      <c r="AK936" s="230"/>
      <c r="AL936" s="230"/>
      <c r="AM936" s="230"/>
      <c r="AN936" s="230"/>
      <c r="AO936" s="230"/>
      <c r="AP936" s="230"/>
      <c r="AQ936" s="230"/>
      <c r="AS936" s="231"/>
      <c r="AT936" s="231"/>
      <c r="AU936" s="231"/>
      <c r="AV936" s="231"/>
      <c r="AW936" s="231"/>
      <c r="AX936" s="231"/>
      <c r="AY936" s="231"/>
      <c r="AZ936" s="231"/>
      <c r="BA936" s="231"/>
      <c r="BC936" s="82"/>
      <c r="BD936" s="82"/>
      <c r="BE936" s="82"/>
      <c r="BF936" s="82"/>
      <c r="BG936" s="82"/>
      <c r="BH936" s="82"/>
      <c r="BI936" s="82"/>
      <c r="BJ936" s="82"/>
      <c r="BK936" s="82"/>
      <c r="BL936" s="82"/>
      <c r="BM936" s="82"/>
      <c r="BN936" s="82"/>
      <c r="BO936" s="82"/>
      <c r="BP936" s="82"/>
      <c r="BQ936" s="82"/>
      <c r="BR936" s="82"/>
      <c r="BS936" s="82"/>
      <c r="BT936" s="82"/>
      <c r="BU936" s="82"/>
      <c r="BV936" s="82"/>
      <c r="BW936" s="82"/>
      <c r="BX936" s="82"/>
      <c r="BY936" s="82"/>
      <c r="BZ936" s="82"/>
      <c r="CA936" s="82"/>
      <c r="CB936" s="82"/>
      <c r="CC936" s="82"/>
      <c r="CD936" s="82"/>
      <c r="CE936" s="82"/>
      <c r="CF936" s="82"/>
      <c r="CG936" s="82"/>
      <c r="CH936" s="82"/>
      <c r="CI936" s="82"/>
      <c r="CJ936" s="82"/>
      <c r="CK936" s="82"/>
      <c r="CL936" s="82"/>
      <c r="CM936" s="82"/>
      <c r="CN936" s="82"/>
      <c r="CO936" s="82"/>
      <c r="CP936" s="82"/>
      <c r="CQ936" s="82"/>
      <c r="CR936" s="82"/>
      <c r="CS936" s="82"/>
      <c r="CT936" s="82"/>
      <c r="CU936" s="82"/>
      <c r="CV936" s="82"/>
      <c r="CW936" s="82"/>
      <c r="CX936" s="82"/>
      <c r="CY936" s="82"/>
      <c r="CZ936" s="82"/>
      <c r="DA936" s="82"/>
      <c r="DB936" s="82"/>
      <c r="DC936" s="82"/>
      <c r="DD936" s="82"/>
      <c r="DE936" s="82"/>
      <c r="DF936" s="82"/>
      <c r="DG936" s="82"/>
    </row>
    <row r="937" spans="2:111" ht="9" customHeight="1">
      <c r="B937" s="229"/>
      <c r="C937" s="229"/>
      <c r="D937" s="229"/>
      <c r="E937" s="229"/>
      <c r="F937" s="229"/>
      <c r="G937" s="229"/>
      <c r="H937" s="229"/>
      <c r="I937" s="229"/>
      <c r="J937" s="229"/>
      <c r="K937" s="229"/>
      <c r="L937" s="229"/>
      <c r="M937" s="229"/>
      <c r="N937" s="229"/>
      <c r="P937" s="230"/>
      <c r="Q937" s="230"/>
      <c r="R937" s="230"/>
      <c r="S937" s="230"/>
      <c r="T937" s="230"/>
      <c r="U937" s="230"/>
      <c r="V937" s="230"/>
      <c r="W937" s="230"/>
      <c r="X937" s="230"/>
      <c r="Y937" s="230"/>
      <c r="Z937" s="230"/>
      <c r="AA937" s="230"/>
      <c r="AB937" s="230"/>
      <c r="AC937" s="230"/>
      <c r="AD937" s="230"/>
      <c r="AE937" s="230"/>
      <c r="AF937" s="230"/>
      <c r="AG937" s="230"/>
      <c r="AH937" s="230"/>
      <c r="AI937" s="230"/>
      <c r="AJ937" s="230"/>
      <c r="AK937" s="230"/>
      <c r="AL937" s="230"/>
      <c r="AM937" s="230"/>
      <c r="AN937" s="230"/>
      <c r="AO937" s="230"/>
      <c r="AP937" s="230"/>
      <c r="AQ937" s="230"/>
      <c r="AS937" s="231"/>
      <c r="AT937" s="231"/>
      <c r="AU937" s="231"/>
      <c r="AV937" s="231"/>
      <c r="AW937" s="231"/>
      <c r="AX937" s="231"/>
      <c r="AY937" s="231"/>
      <c r="AZ937" s="231"/>
      <c r="BA937" s="231"/>
      <c r="BC937" s="82"/>
      <c r="BD937" s="82"/>
      <c r="BE937" s="82"/>
      <c r="BF937" s="82"/>
      <c r="BG937" s="82"/>
      <c r="BH937" s="82"/>
      <c r="BI937" s="82"/>
      <c r="BJ937" s="82"/>
      <c r="BK937" s="82"/>
      <c r="BL937" s="82"/>
      <c r="BM937" s="82"/>
      <c r="BN937" s="82"/>
      <c r="BO937" s="82"/>
      <c r="BP937" s="82"/>
      <c r="BQ937" s="82"/>
      <c r="BR937" s="82"/>
      <c r="BS937" s="82"/>
      <c r="BT937" s="82"/>
      <c r="BU937" s="82"/>
      <c r="BV937" s="82"/>
      <c r="BW937" s="82"/>
      <c r="BX937" s="82"/>
      <c r="BY937" s="82"/>
      <c r="BZ937" s="82"/>
      <c r="CA937" s="82"/>
      <c r="CB937" s="82"/>
      <c r="CC937" s="82"/>
      <c r="CD937" s="82"/>
      <c r="CE937" s="82"/>
      <c r="CF937" s="82"/>
      <c r="CG937" s="82"/>
      <c r="CH937" s="82"/>
      <c r="CI937" s="82"/>
      <c r="CJ937" s="82"/>
      <c r="CK937" s="82"/>
      <c r="CL937" s="82"/>
      <c r="CM937" s="82"/>
      <c r="CN937" s="82"/>
      <c r="CO937" s="82"/>
      <c r="CP937" s="82"/>
      <c r="CQ937" s="82"/>
      <c r="CR937" s="82"/>
      <c r="CS937" s="82"/>
      <c r="CT937" s="82"/>
      <c r="CU937" s="82"/>
      <c r="CV937" s="82"/>
      <c r="CW937" s="82"/>
      <c r="CX937" s="82"/>
      <c r="CY937" s="82"/>
      <c r="CZ937" s="82"/>
      <c r="DA937" s="82"/>
      <c r="DB937" s="82"/>
      <c r="DC937" s="82"/>
      <c r="DD937" s="82"/>
      <c r="DE937" s="82"/>
      <c r="DF937" s="82"/>
      <c r="DG937" s="82"/>
    </row>
    <row r="938" spans="2:111" ht="9" customHeight="1">
      <c r="B938" s="229"/>
      <c r="C938" s="229"/>
      <c r="D938" s="229"/>
      <c r="E938" s="229"/>
      <c r="F938" s="229"/>
      <c r="G938" s="229"/>
      <c r="H938" s="229"/>
      <c r="I938" s="229"/>
      <c r="J938" s="229"/>
      <c r="K938" s="229"/>
      <c r="L938" s="229"/>
      <c r="M938" s="229"/>
      <c r="N938" s="229"/>
      <c r="P938" s="230"/>
      <c r="Q938" s="230"/>
      <c r="R938" s="230"/>
      <c r="S938" s="230"/>
      <c r="T938" s="230"/>
      <c r="U938" s="230"/>
      <c r="V938" s="230"/>
      <c r="W938" s="230"/>
      <c r="X938" s="230"/>
      <c r="Y938" s="230"/>
      <c r="Z938" s="230"/>
      <c r="AA938" s="230"/>
      <c r="AB938" s="230"/>
      <c r="AC938" s="230"/>
      <c r="AD938" s="230"/>
      <c r="AE938" s="230"/>
      <c r="AF938" s="230"/>
      <c r="AG938" s="230"/>
      <c r="AH938" s="230"/>
      <c r="AI938" s="230"/>
      <c r="AJ938" s="230"/>
      <c r="AK938" s="230"/>
      <c r="AL938" s="230"/>
      <c r="AM938" s="230"/>
      <c r="AN938" s="230"/>
      <c r="AO938" s="230"/>
      <c r="AP938" s="230"/>
      <c r="AQ938" s="230"/>
      <c r="AS938" s="231"/>
      <c r="AT938" s="231"/>
      <c r="AU938" s="231"/>
      <c r="AV938" s="231"/>
      <c r="AW938" s="231"/>
      <c r="AX938" s="231"/>
      <c r="AY938" s="231"/>
      <c r="AZ938" s="231"/>
      <c r="BA938" s="231"/>
      <c r="BC938" s="82"/>
      <c r="BD938" s="82"/>
      <c r="BE938" s="82"/>
      <c r="BF938" s="82"/>
      <c r="BG938" s="82"/>
      <c r="BH938" s="82"/>
      <c r="BI938" s="82"/>
      <c r="BJ938" s="82"/>
      <c r="BK938" s="82"/>
      <c r="BL938" s="82"/>
      <c r="BM938" s="82"/>
      <c r="BN938" s="82"/>
      <c r="BO938" s="82"/>
      <c r="BP938" s="82"/>
      <c r="BQ938" s="82"/>
      <c r="BR938" s="82"/>
      <c r="BS938" s="82"/>
      <c r="BT938" s="82"/>
      <c r="BU938" s="82"/>
      <c r="BV938" s="82"/>
      <c r="BW938" s="82"/>
      <c r="BX938" s="82"/>
      <c r="BY938" s="82"/>
      <c r="BZ938" s="82"/>
      <c r="CA938" s="82"/>
      <c r="CB938" s="82"/>
      <c r="CC938" s="82"/>
      <c r="CD938" s="82"/>
      <c r="CE938" s="82"/>
      <c r="CF938" s="82"/>
      <c r="CG938" s="82"/>
      <c r="CH938" s="82"/>
      <c r="CI938" s="82"/>
      <c r="CJ938" s="82"/>
      <c r="CK938" s="82"/>
      <c r="CL938" s="82"/>
      <c r="CM938" s="82"/>
      <c r="CN938" s="82"/>
      <c r="CO938" s="82"/>
      <c r="CP938" s="82"/>
      <c r="CQ938" s="82"/>
      <c r="CR938" s="82"/>
      <c r="CS938" s="82"/>
      <c r="CT938" s="82"/>
      <c r="CU938" s="82"/>
      <c r="CV938" s="82"/>
      <c r="CW938" s="82"/>
      <c r="CX938" s="82"/>
      <c r="CY938" s="82"/>
      <c r="CZ938" s="82"/>
      <c r="DA938" s="82"/>
      <c r="DB938" s="82"/>
      <c r="DC938" s="82"/>
      <c r="DD938" s="82"/>
      <c r="DE938" s="82"/>
      <c r="DF938" s="82"/>
      <c r="DG938" s="82"/>
    </row>
    <row r="939" spans="2:111" ht="9" customHeight="1">
      <c r="B939" s="229"/>
      <c r="C939" s="229"/>
      <c r="D939" s="229"/>
      <c r="E939" s="229"/>
      <c r="F939" s="229"/>
      <c r="G939" s="229"/>
      <c r="H939" s="229"/>
      <c r="I939" s="229"/>
      <c r="J939" s="229"/>
      <c r="K939" s="229"/>
      <c r="L939" s="229"/>
      <c r="M939" s="229"/>
      <c r="N939" s="229"/>
      <c r="P939" s="230"/>
      <c r="Q939" s="230"/>
      <c r="R939" s="230"/>
      <c r="S939" s="230"/>
      <c r="T939" s="230"/>
      <c r="U939" s="230"/>
      <c r="V939" s="230"/>
      <c r="W939" s="230"/>
      <c r="X939" s="230"/>
      <c r="Y939" s="230"/>
      <c r="Z939" s="230"/>
      <c r="AA939" s="230"/>
      <c r="AB939" s="230"/>
      <c r="AC939" s="230"/>
      <c r="AD939" s="230"/>
      <c r="AE939" s="230"/>
      <c r="AF939" s="230"/>
      <c r="AG939" s="230"/>
      <c r="AH939" s="230"/>
      <c r="AI939" s="230"/>
      <c r="AJ939" s="230"/>
      <c r="AK939" s="230"/>
      <c r="AL939" s="230"/>
      <c r="AM939" s="230"/>
      <c r="AN939" s="230"/>
      <c r="AO939" s="230"/>
      <c r="AP939" s="230"/>
      <c r="AQ939" s="230"/>
      <c r="AS939" s="231"/>
      <c r="AT939" s="231"/>
      <c r="AU939" s="231"/>
      <c r="AV939" s="231"/>
      <c r="AW939" s="231"/>
      <c r="AX939" s="231"/>
      <c r="AY939" s="231"/>
      <c r="AZ939" s="231"/>
      <c r="BA939" s="231"/>
      <c r="BC939" s="82"/>
      <c r="BD939" s="82"/>
      <c r="BE939" s="82"/>
      <c r="BF939" s="82"/>
      <c r="BG939" s="82"/>
      <c r="BH939" s="82"/>
      <c r="BI939" s="82"/>
      <c r="BJ939" s="82"/>
      <c r="BK939" s="82"/>
      <c r="BL939" s="82"/>
      <c r="BM939" s="82"/>
      <c r="BN939" s="82"/>
      <c r="BO939" s="82"/>
      <c r="BP939" s="82"/>
      <c r="BQ939" s="82"/>
      <c r="BR939" s="82"/>
      <c r="BS939" s="82"/>
      <c r="BT939" s="82"/>
      <c r="BU939" s="82"/>
      <c r="BV939" s="82"/>
      <c r="BW939" s="82"/>
      <c r="BX939" s="82"/>
      <c r="BY939" s="82"/>
      <c r="BZ939" s="82"/>
      <c r="CA939" s="82"/>
      <c r="CB939" s="82"/>
      <c r="CC939" s="82"/>
      <c r="CD939" s="82"/>
      <c r="CE939" s="82"/>
      <c r="CF939" s="82"/>
      <c r="CG939" s="82"/>
      <c r="CH939" s="82"/>
      <c r="CI939" s="82"/>
      <c r="CJ939" s="82"/>
      <c r="CK939" s="82"/>
      <c r="CL939" s="82"/>
      <c r="CM939" s="82"/>
      <c r="CN939" s="82"/>
      <c r="CO939" s="82"/>
      <c r="CP939" s="82"/>
      <c r="CQ939" s="82"/>
      <c r="CR939" s="82"/>
      <c r="CS939" s="82"/>
      <c r="CT939" s="82"/>
      <c r="CU939" s="82"/>
      <c r="CV939" s="82"/>
      <c r="CW939" s="82"/>
      <c r="CX939" s="82"/>
      <c r="CY939" s="82"/>
      <c r="CZ939" s="82"/>
      <c r="DA939" s="82"/>
      <c r="DB939" s="82"/>
      <c r="DC939" s="82"/>
      <c r="DD939" s="82"/>
      <c r="DE939" s="82"/>
      <c r="DF939" s="82"/>
      <c r="DG939" s="82"/>
    </row>
    <row r="940" spans="2:111" ht="9" customHeight="1">
      <c r="B940" s="229"/>
      <c r="C940" s="229"/>
      <c r="D940" s="229"/>
      <c r="E940" s="229"/>
      <c r="F940" s="229"/>
      <c r="G940" s="229"/>
      <c r="H940" s="229"/>
      <c r="I940" s="229"/>
      <c r="J940" s="229"/>
      <c r="K940" s="229"/>
      <c r="L940" s="229"/>
      <c r="M940" s="229"/>
      <c r="N940" s="229"/>
      <c r="P940" s="230"/>
      <c r="Q940" s="230"/>
      <c r="R940" s="230"/>
      <c r="S940" s="230"/>
      <c r="T940" s="230"/>
      <c r="U940" s="230"/>
      <c r="V940" s="230"/>
      <c r="W940" s="230"/>
      <c r="X940" s="230"/>
      <c r="Y940" s="230"/>
      <c r="Z940" s="230"/>
      <c r="AA940" s="230"/>
      <c r="AB940" s="230"/>
      <c r="AC940" s="230"/>
      <c r="AD940" s="230"/>
      <c r="AE940" s="230"/>
      <c r="AF940" s="230"/>
      <c r="AG940" s="230"/>
      <c r="AH940" s="230"/>
      <c r="AI940" s="230"/>
      <c r="AJ940" s="230"/>
      <c r="AK940" s="230"/>
      <c r="AL940" s="230"/>
      <c r="AM940" s="230"/>
      <c r="AN940" s="230"/>
      <c r="AO940" s="230"/>
      <c r="AP940" s="230"/>
      <c r="AQ940" s="230"/>
      <c r="AS940" s="231"/>
      <c r="AT940" s="231"/>
      <c r="AU940" s="231"/>
      <c r="AV940" s="231"/>
      <c r="AW940" s="231"/>
      <c r="AX940" s="231"/>
      <c r="AY940" s="231"/>
      <c r="AZ940" s="231"/>
      <c r="BA940" s="231"/>
      <c r="BC940" s="82"/>
      <c r="BD940" s="82"/>
      <c r="BE940" s="82"/>
      <c r="BF940" s="82"/>
      <c r="BG940" s="82"/>
      <c r="BH940" s="82"/>
      <c r="BI940" s="82"/>
      <c r="BJ940" s="82"/>
      <c r="BK940" s="82"/>
      <c r="BL940" s="82"/>
      <c r="BM940" s="82"/>
      <c r="BN940" s="82"/>
      <c r="BO940" s="82"/>
      <c r="BP940" s="82"/>
      <c r="BQ940" s="82"/>
      <c r="BR940" s="82"/>
      <c r="BS940" s="82"/>
      <c r="BT940" s="82"/>
      <c r="BU940" s="82"/>
      <c r="BV940" s="82"/>
      <c r="BW940" s="82"/>
      <c r="BX940" s="82"/>
      <c r="BY940" s="82"/>
      <c r="BZ940" s="82"/>
      <c r="CA940" s="82"/>
      <c r="CB940" s="82"/>
      <c r="CC940" s="82"/>
      <c r="CD940" s="82"/>
      <c r="CE940" s="82"/>
      <c r="CF940" s="82"/>
      <c r="CG940" s="82"/>
      <c r="CH940" s="82"/>
      <c r="CI940" s="82"/>
      <c r="CJ940" s="82"/>
      <c r="CK940" s="82"/>
      <c r="CL940" s="82"/>
      <c r="CM940" s="82"/>
      <c r="CN940" s="82"/>
      <c r="CO940" s="82"/>
      <c r="CP940" s="82"/>
      <c r="CQ940" s="82"/>
      <c r="CR940" s="82"/>
      <c r="CS940" s="82"/>
      <c r="CT940" s="82"/>
      <c r="CU940" s="82"/>
      <c r="CV940" s="82"/>
      <c r="CW940" s="82"/>
      <c r="CX940" s="82"/>
      <c r="CY940" s="82"/>
      <c r="CZ940" s="82"/>
      <c r="DA940" s="82"/>
      <c r="DB940" s="82"/>
      <c r="DC940" s="82"/>
      <c r="DD940" s="82"/>
      <c r="DE940" s="82"/>
      <c r="DF940" s="82"/>
      <c r="DG940" s="82"/>
    </row>
    <row r="941" spans="2:111" ht="9" customHeight="1">
      <c r="B941" s="229"/>
      <c r="C941" s="229"/>
      <c r="D941" s="229"/>
      <c r="E941" s="229"/>
      <c r="F941" s="229"/>
      <c r="G941" s="229"/>
      <c r="H941" s="229"/>
      <c r="I941" s="229"/>
      <c r="J941" s="229"/>
      <c r="K941" s="229"/>
      <c r="L941" s="229"/>
      <c r="M941" s="229"/>
      <c r="N941" s="229"/>
      <c r="P941" s="230"/>
      <c r="Q941" s="230"/>
      <c r="R941" s="230"/>
      <c r="S941" s="230"/>
      <c r="T941" s="230"/>
      <c r="U941" s="230"/>
      <c r="V941" s="230"/>
      <c r="W941" s="230"/>
      <c r="X941" s="230"/>
      <c r="Y941" s="230"/>
      <c r="Z941" s="230"/>
      <c r="AA941" s="230"/>
      <c r="AB941" s="230"/>
      <c r="AC941" s="230"/>
      <c r="AD941" s="230"/>
      <c r="AE941" s="230"/>
      <c r="AF941" s="230"/>
      <c r="AG941" s="230"/>
      <c r="AH941" s="230"/>
      <c r="AI941" s="230"/>
      <c r="AJ941" s="230"/>
      <c r="AK941" s="230"/>
      <c r="AL941" s="230"/>
      <c r="AM941" s="230"/>
      <c r="AN941" s="230"/>
      <c r="AO941" s="230"/>
      <c r="AP941" s="230"/>
      <c r="AQ941" s="230"/>
      <c r="AS941" s="231"/>
      <c r="AT941" s="231"/>
      <c r="AU941" s="231"/>
      <c r="AV941" s="231"/>
      <c r="AW941" s="231"/>
      <c r="AX941" s="231"/>
      <c r="AY941" s="231"/>
      <c r="AZ941" s="231"/>
      <c r="BA941" s="231"/>
      <c r="BC941" s="82"/>
      <c r="BD941" s="82"/>
      <c r="BE941" s="82"/>
      <c r="BF941" s="82"/>
      <c r="BG941" s="82"/>
      <c r="BH941" s="82"/>
      <c r="BI941" s="82"/>
      <c r="BJ941" s="82"/>
      <c r="BK941" s="82"/>
      <c r="BL941" s="82"/>
      <c r="BM941" s="82"/>
      <c r="BN941" s="82"/>
      <c r="BO941" s="82"/>
      <c r="BP941" s="82"/>
      <c r="BQ941" s="82"/>
      <c r="BR941" s="82"/>
      <c r="BS941" s="82"/>
      <c r="BT941" s="82"/>
      <c r="BU941" s="82"/>
      <c r="BV941" s="82"/>
      <c r="BW941" s="82"/>
      <c r="BX941" s="82"/>
      <c r="BY941" s="82"/>
      <c r="BZ941" s="82"/>
      <c r="CA941" s="82"/>
      <c r="CB941" s="82"/>
      <c r="CC941" s="82"/>
      <c r="CD941" s="82"/>
      <c r="CE941" s="82"/>
      <c r="CF941" s="82"/>
      <c r="CG941" s="82"/>
      <c r="CH941" s="82"/>
      <c r="CI941" s="82"/>
      <c r="CJ941" s="82"/>
      <c r="CK941" s="82"/>
      <c r="CL941" s="82"/>
      <c r="CM941" s="82"/>
      <c r="CN941" s="82"/>
      <c r="CO941" s="82"/>
      <c r="CP941" s="82"/>
      <c r="CQ941" s="82"/>
      <c r="CR941" s="82"/>
      <c r="CS941" s="82"/>
      <c r="CT941" s="82"/>
      <c r="CU941" s="82"/>
      <c r="CV941" s="82"/>
      <c r="CW941" s="82"/>
      <c r="CX941" s="82"/>
      <c r="CY941" s="82"/>
      <c r="CZ941" s="82"/>
      <c r="DA941" s="82"/>
      <c r="DB941" s="82"/>
      <c r="DC941" s="82"/>
      <c r="DD941" s="82"/>
      <c r="DE941" s="82"/>
      <c r="DF941" s="82"/>
      <c r="DG941" s="82"/>
    </row>
    <row r="942" spans="2:111" ht="9" customHeight="1">
      <c r="B942" s="229"/>
      <c r="C942" s="229"/>
      <c r="D942" s="229"/>
      <c r="E942" s="229"/>
      <c r="F942" s="229"/>
      <c r="G942" s="229"/>
      <c r="H942" s="229"/>
      <c r="I942" s="229"/>
      <c r="J942" s="229"/>
      <c r="K942" s="229"/>
      <c r="L942" s="229"/>
      <c r="M942" s="229"/>
      <c r="N942" s="229"/>
      <c r="P942" s="230"/>
      <c r="Q942" s="230"/>
      <c r="R942" s="230"/>
      <c r="S942" s="230"/>
      <c r="T942" s="230"/>
      <c r="U942" s="230"/>
      <c r="V942" s="230"/>
      <c r="W942" s="230"/>
      <c r="X942" s="230"/>
      <c r="Y942" s="230"/>
      <c r="Z942" s="230"/>
      <c r="AA942" s="230"/>
      <c r="AB942" s="230"/>
      <c r="AC942" s="230"/>
      <c r="AD942" s="230"/>
      <c r="AE942" s="230"/>
      <c r="AF942" s="230"/>
      <c r="AG942" s="230"/>
      <c r="AH942" s="230"/>
      <c r="AI942" s="230"/>
      <c r="AJ942" s="230"/>
      <c r="AK942" s="230"/>
      <c r="AL942" s="230"/>
      <c r="AM942" s="230"/>
      <c r="AN942" s="230"/>
      <c r="AO942" s="230"/>
      <c r="AP942" s="230"/>
      <c r="AQ942" s="230"/>
      <c r="AS942" s="231"/>
      <c r="AT942" s="231"/>
      <c r="AU942" s="231"/>
      <c r="AV942" s="231"/>
      <c r="AW942" s="231"/>
      <c r="AX942" s="231"/>
      <c r="AY942" s="231"/>
      <c r="AZ942" s="231"/>
      <c r="BA942" s="231"/>
      <c r="BC942" s="82"/>
      <c r="BD942" s="82"/>
      <c r="BE942" s="82"/>
      <c r="BF942" s="82"/>
      <c r="BG942" s="82"/>
      <c r="BH942" s="82"/>
      <c r="BI942" s="82"/>
      <c r="BJ942" s="82"/>
      <c r="BK942" s="82"/>
      <c r="BL942" s="82"/>
      <c r="BM942" s="82"/>
      <c r="BN942" s="82"/>
      <c r="BO942" s="82"/>
      <c r="BP942" s="82"/>
      <c r="BQ942" s="82"/>
      <c r="BR942" s="82"/>
      <c r="BS942" s="82"/>
      <c r="BT942" s="82"/>
      <c r="BU942" s="82"/>
      <c r="BV942" s="82"/>
      <c r="BW942" s="82"/>
      <c r="BX942" s="82"/>
      <c r="BY942" s="82"/>
      <c r="BZ942" s="82"/>
      <c r="CA942" s="82"/>
      <c r="CB942" s="82"/>
      <c r="CC942" s="82"/>
      <c r="CD942" s="82"/>
      <c r="CE942" s="82"/>
      <c r="CF942" s="82"/>
      <c r="CG942" s="82"/>
      <c r="CH942" s="82"/>
      <c r="CI942" s="82"/>
      <c r="CJ942" s="82"/>
      <c r="CK942" s="82"/>
      <c r="CL942" s="82"/>
      <c r="CM942" s="82"/>
      <c r="CN942" s="82"/>
      <c r="CO942" s="82"/>
      <c r="CP942" s="82"/>
      <c r="CQ942" s="82"/>
      <c r="CR942" s="82"/>
      <c r="CS942" s="82"/>
      <c r="CT942" s="82"/>
      <c r="CU942" s="82"/>
      <c r="CV942" s="82"/>
      <c r="CW942" s="82"/>
      <c r="CX942" s="82"/>
      <c r="CY942" s="82"/>
      <c r="CZ942" s="82"/>
      <c r="DA942" s="82"/>
      <c r="DB942" s="82"/>
      <c r="DC942" s="82"/>
      <c r="DD942" s="82"/>
      <c r="DE942" s="82"/>
      <c r="DF942" s="82"/>
      <c r="DG942" s="82"/>
    </row>
    <row r="943" spans="2:111" ht="9" customHeight="1">
      <c r="B943" s="229"/>
      <c r="C943" s="229"/>
      <c r="D943" s="229"/>
      <c r="E943" s="229"/>
      <c r="F943" s="229"/>
      <c r="G943" s="229"/>
      <c r="H943" s="229"/>
      <c r="I943" s="229"/>
      <c r="J943" s="229"/>
      <c r="K943" s="229"/>
      <c r="L943" s="229"/>
      <c r="M943" s="229"/>
      <c r="N943" s="229"/>
      <c r="P943" s="230"/>
      <c r="Q943" s="230"/>
      <c r="R943" s="230"/>
      <c r="S943" s="230"/>
      <c r="T943" s="230"/>
      <c r="U943" s="230"/>
      <c r="V943" s="230"/>
      <c r="W943" s="230"/>
      <c r="X943" s="230"/>
      <c r="Y943" s="230"/>
      <c r="Z943" s="230"/>
      <c r="AA943" s="230"/>
      <c r="AB943" s="230"/>
      <c r="AC943" s="230"/>
      <c r="AD943" s="230"/>
      <c r="AE943" s="230"/>
      <c r="AF943" s="230"/>
      <c r="AG943" s="230"/>
      <c r="AH943" s="230"/>
      <c r="AI943" s="230"/>
      <c r="AJ943" s="230"/>
      <c r="AK943" s="230"/>
      <c r="AL943" s="230"/>
      <c r="AM943" s="230"/>
      <c r="AN943" s="230"/>
      <c r="AO943" s="230"/>
      <c r="AP943" s="230"/>
      <c r="AQ943" s="230"/>
      <c r="AS943" s="231"/>
      <c r="AT943" s="231"/>
      <c r="AU943" s="231"/>
      <c r="AV943" s="231"/>
      <c r="AW943" s="231"/>
      <c r="AX943" s="231"/>
      <c r="AY943" s="231"/>
      <c r="AZ943" s="231"/>
      <c r="BA943" s="231"/>
      <c r="BC943" s="82"/>
      <c r="BD943" s="82"/>
      <c r="BE943" s="82"/>
      <c r="BF943" s="82"/>
      <c r="BG943" s="82"/>
      <c r="BH943" s="82"/>
      <c r="BI943" s="82"/>
      <c r="BJ943" s="82"/>
      <c r="BK943" s="82"/>
      <c r="BL943" s="82"/>
      <c r="BM943" s="82"/>
      <c r="BN943" s="82"/>
      <c r="BO943" s="82"/>
      <c r="BP943" s="82"/>
      <c r="BQ943" s="82"/>
      <c r="BR943" s="82"/>
      <c r="BS943" s="82"/>
      <c r="BT943" s="82"/>
      <c r="BU943" s="82"/>
      <c r="BV943" s="82"/>
      <c r="BW943" s="82"/>
      <c r="BX943" s="82"/>
      <c r="BY943" s="82"/>
      <c r="BZ943" s="82"/>
      <c r="CA943" s="82"/>
      <c r="CB943" s="82"/>
      <c r="CC943" s="82"/>
      <c r="CD943" s="82"/>
      <c r="CE943" s="82"/>
      <c r="CF943" s="82"/>
      <c r="CG943" s="82"/>
      <c r="CH943" s="82"/>
      <c r="CI943" s="82"/>
      <c r="CJ943" s="82"/>
      <c r="CK943" s="82"/>
      <c r="CL943" s="82"/>
      <c r="CM943" s="82"/>
      <c r="CN943" s="82"/>
      <c r="CO943" s="82"/>
      <c r="CP943" s="82"/>
      <c r="CQ943" s="82"/>
      <c r="CR943" s="82"/>
      <c r="CS943" s="82"/>
      <c r="CT943" s="82"/>
      <c r="CU943" s="82"/>
      <c r="CV943" s="82"/>
      <c r="CW943" s="82"/>
      <c r="CX943" s="82"/>
      <c r="CY943" s="82"/>
      <c r="CZ943" s="82"/>
      <c r="DA943" s="82"/>
      <c r="DB943" s="82"/>
      <c r="DC943" s="82"/>
      <c r="DD943" s="82"/>
      <c r="DE943" s="82"/>
      <c r="DF943" s="82"/>
      <c r="DG943" s="82"/>
    </row>
    <row r="944" spans="2:111" ht="9" customHeight="1">
      <c r="B944" s="229"/>
      <c r="C944" s="229"/>
      <c r="D944" s="229"/>
      <c r="E944" s="229"/>
      <c r="F944" s="229"/>
      <c r="G944" s="229"/>
      <c r="H944" s="229"/>
      <c r="I944" s="229"/>
      <c r="J944" s="229"/>
      <c r="K944" s="229"/>
      <c r="L944" s="229"/>
      <c r="M944" s="229"/>
      <c r="N944" s="229"/>
      <c r="P944" s="230"/>
      <c r="Q944" s="230"/>
      <c r="R944" s="230"/>
      <c r="S944" s="230"/>
      <c r="T944" s="230"/>
      <c r="U944" s="230"/>
      <c r="V944" s="230"/>
      <c r="W944" s="230"/>
      <c r="X944" s="230"/>
      <c r="Y944" s="230"/>
      <c r="Z944" s="230"/>
      <c r="AA944" s="230"/>
      <c r="AB944" s="230"/>
      <c r="AC944" s="230"/>
      <c r="AD944" s="230"/>
      <c r="AE944" s="230"/>
      <c r="AF944" s="230"/>
      <c r="AG944" s="230"/>
      <c r="AH944" s="230"/>
      <c r="AI944" s="230"/>
      <c r="AJ944" s="230"/>
      <c r="AK944" s="230"/>
      <c r="AL944" s="230"/>
      <c r="AM944" s="230"/>
      <c r="AN944" s="230"/>
      <c r="AO944" s="230"/>
      <c r="AP944" s="230"/>
      <c r="AQ944" s="230"/>
      <c r="AS944" s="231"/>
      <c r="AT944" s="231"/>
      <c r="AU944" s="231"/>
      <c r="AV944" s="231"/>
      <c r="AW944" s="231"/>
      <c r="AX944" s="231"/>
      <c r="AY944" s="231"/>
      <c r="AZ944" s="231"/>
      <c r="BA944" s="231"/>
      <c r="BC944" s="82"/>
      <c r="BD944" s="82"/>
      <c r="BE944" s="82"/>
      <c r="BF944" s="82"/>
      <c r="BG944" s="82"/>
      <c r="BH944" s="82"/>
      <c r="BI944" s="82"/>
      <c r="BJ944" s="82"/>
      <c r="BK944" s="82"/>
      <c r="BL944" s="82"/>
      <c r="BM944" s="82"/>
      <c r="BN944" s="82"/>
      <c r="BO944" s="82"/>
      <c r="BP944" s="82"/>
      <c r="BQ944" s="82"/>
      <c r="BR944" s="82"/>
      <c r="BS944" s="82"/>
      <c r="BT944" s="82"/>
      <c r="BU944" s="82"/>
      <c r="BV944" s="82"/>
      <c r="BW944" s="82"/>
      <c r="BX944" s="82"/>
      <c r="BY944" s="82"/>
      <c r="BZ944" s="82"/>
      <c r="CA944" s="82"/>
      <c r="CB944" s="82"/>
      <c r="CC944" s="82"/>
      <c r="CD944" s="82"/>
      <c r="CE944" s="82"/>
      <c r="CF944" s="82"/>
      <c r="CG944" s="82"/>
      <c r="CH944" s="82"/>
      <c r="CI944" s="82"/>
      <c r="CJ944" s="82"/>
      <c r="CK944" s="82"/>
      <c r="CL944" s="82"/>
      <c r="CM944" s="82"/>
      <c r="CN944" s="82"/>
      <c r="CO944" s="82"/>
      <c r="CP944" s="82"/>
      <c r="CQ944" s="82"/>
      <c r="CR944" s="82"/>
      <c r="CS944" s="82"/>
      <c r="CT944" s="82"/>
      <c r="CU944" s="82"/>
      <c r="CV944" s="82"/>
      <c r="CW944" s="82"/>
      <c r="CX944" s="82"/>
      <c r="CY944" s="82"/>
      <c r="CZ944" s="82"/>
      <c r="DA944" s="82"/>
      <c r="DB944" s="82"/>
      <c r="DC944" s="82"/>
      <c r="DD944" s="82"/>
      <c r="DE944" s="82"/>
      <c r="DF944" s="82"/>
      <c r="DG944" s="82"/>
    </row>
    <row r="945" spans="2:111" ht="9" customHeight="1">
      <c r="B945" s="229"/>
      <c r="C945" s="229"/>
      <c r="D945" s="229"/>
      <c r="E945" s="229"/>
      <c r="F945" s="229"/>
      <c r="G945" s="229"/>
      <c r="H945" s="229"/>
      <c r="I945" s="229"/>
      <c r="J945" s="229"/>
      <c r="K945" s="229"/>
      <c r="L945" s="229"/>
      <c r="M945" s="229"/>
      <c r="N945" s="229"/>
      <c r="P945" s="230"/>
      <c r="Q945" s="230"/>
      <c r="R945" s="230"/>
      <c r="S945" s="230"/>
      <c r="T945" s="230"/>
      <c r="U945" s="230"/>
      <c r="V945" s="230"/>
      <c r="W945" s="230"/>
      <c r="X945" s="230"/>
      <c r="Y945" s="230"/>
      <c r="Z945" s="230"/>
      <c r="AA945" s="230"/>
      <c r="AB945" s="230"/>
      <c r="AC945" s="230"/>
      <c r="AD945" s="230"/>
      <c r="AE945" s="230"/>
      <c r="AF945" s="230"/>
      <c r="AG945" s="230"/>
      <c r="AH945" s="230"/>
      <c r="AI945" s="230"/>
      <c r="AJ945" s="230"/>
      <c r="AK945" s="230"/>
      <c r="AL945" s="230"/>
      <c r="AM945" s="230"/>
      <c r="AN945" s="230"/>
      <c r="AO945" s="230"/>
      <c r="AP945" s="230"/>
      <c r="AQ945" s="230"/>
      <c r="AS945" s="231"/>
      <c r="AT945" s="231"/>
      <c r="AU945" s="231"/>
      <c r="AV945" s="231"/>
      <c r="AW945" s="231"/>
      <c r="AX945" s="231"/>
      <c r="AY945" s="231"/>
      <c r="AZ945" s="231"/>
      <c r="BA945" s="231"/>
      <c r="BC945" s="82"/>
      <c r="BD945" s="82"/>
      <c r="BE945" s="82"/>
      <c r="BF945" s="82"/>
      <c r="BG945" s="82"/>
      <c r="BH945" s="82"/>
      <c r="BI945" s="82"/>
      <c r="BJ945" s="82"/>
      <c r="BK945" s="82"/>
      <c r="BL945" s="82"/>
      <c r="BM945" s="82"/>
      <c r="BN945" s="82"/>
      <c r="BO945" s="82"/>
      <c r="BP945" s="82"/>
      <c r="BQ945" s="82"/>
      <c r="BR945" s="82"/>
      <c r="BS945" s="82"/>
      <c r="BT945" s="82"/>
      <c r="BU945" s="82"/>
      <c r="BV945" s="82"/>
      <c r="BW945" s="82"/>
      <c r="BX945" s="82"/>
      <c r="BY945" s="82"/>
      <c r="BZ945" s="82"/>
      <c r="CA945" s="82"/>
      <c r="CB945" s="82"/>
      <c r="CC945" s="82"/>
      <c r="CD945" s="82"/>
      <c r="CE945" s="82"/>
      <c r="CF945" s="82"/>
      <c r="CG945" s="82"/>
      <c r="CH945" s="82"/>
      <c r="CI945" s="82"/>
      <c r="CJ945" s="82"/>
      <c r="CK945" s="82"/>
      <c r="CL945" s="82"/>
      <c r="CM945" s="82"/>
      <c r="CN945" s="82"/>
      <c r="CO945" s="82"/>
      <c r="CP945" s="82"/>
      <c r="CQ945" s="82"/>
      <c r="CR945" s="82"/>
      <c r="CS945" s="82"/>
      <c r="CT945" s="82"/>
      <c r="CU945" s="82"/>
      <c r="CV945" s="82"/>
      <c r="CW945" s="82"/>
      <c r="CX945" s="82"/>
      <c r="CY945" s="82"/>
      <c r="CZ945" s="82"/>
      <c r="DA945" s="82"/>
      <c r="DB945" s="82"/>
      <c r="DC945" s="82"/>
      <c r="DD945" s="82"/>
      <c r="DE945" s="82"/>
      <c r="DF945" s="82"/>
      <c r="DG945" s="82"/>
    </row>
    <row r="946" spans="2:111" ht="12" customHeight="1">
      <c r="BC946" s="82"/>
      <c r="BD946" s="82"/>
      <c r="BE946" s="82"/>
      <c r="BF946" s="82"/>
      <c r="BG946" s="82"/>
      <c r="BH946" s="82"/>
      <c r="BI946" s="82"/>
      <c r="BJ946" s="82"/>
      <c r="BK946" s="82"/>
      <c r="BL946" s="82"/>
      <c r="BM946" s="82"/>
      <c r="BN946" s="82"/>
      <c r="BO946" s="82"/>
      <c r="BP946" s="82"/>
      <c r="BQ946" s="82"/>
      <c r="BR946" s="82"/>
      <c r="BS946" s="82"/>
      <c r="BT946" s="82"/>
      <c r="BU946" s="82"/>
      <c r="BV946" s="82"/>
      <c r="BW946" s="82"/>
      <c r="BX946" s="82"/>
      <c r="BY946" s="82"/>
      <c r="BZ946" s="82"/>
      <c r="CA946" s="82"/>
      <c r="CB946" s="82"/>
      <c r="CC946" s="82"/>
      <c r="CD946" s="82"/>
      <c r="CE946" s="82"/>
      <c r="CF946" s="82"/>
      <c r="CG946" s="82"/>
      <c r="CH946" s="82"/>
      <c r="CI946" s="82"/>
      <c r="CJ946" s="82"/>
      <c r="CK946" s="82"/>
      <c r="CL946" s="82"/>
      <c r="CM946" s="82"/>
      <c r="CN946" s="82"/>
      <c r="CO946" s="82"/>
      <c r="CP946" s="82"/>
      <c r="CQ946" s="82"/>
      <c r="CR946" s="82"/>
      <c r="CS946" s="82"/>
      <c r="CT946" s="82"/>
      <c r="CU946" s="82"/>
      <c r="CV946" s="82"/>
      <c r="CW946" s="82"/>
      <c r="CX946" s="82"/>
      <c r="CY946" s="82"/>
      <c r="CZ946" s="82"/>
      <c r="DA946" s="82"/>
      <c r="DB946" s="82"/>
      <c r="DC946" s="82"/>
      <c r="DD946" s="82"/>
      <c r="DE946" s="82"/>
      <c r="DF946" s="82"/>
      <c r="DG946" s="82"/>
    </row>
    <row r="947" spans="2:111" ht="9" customHeight="1">
      <c r="B947" s="232" t="str">
        <f>IF($U$874&gt;=4,"Etapa 3.4","")</f>
        <v/>
      </c>
      <c r="C947" s="232"/>
      <c r="D947" s="232"/>
      <c r="E947" s="232"/>
      <c r="F947" s="232"/>
      <c r="G947" s="232"/>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c r="AI947" s="233"/>
      <c r="AJ947" s="233"/>
      <c r="AK947" s="233"/>
      <c r="AL947" s="233"/>
      <c r="AM947" s="233"/>
      <c r="AN947" s="233"/>
      <c r="AO947" s="233"/>
      <c r="AP947" s="233"/>
      <c r="AQ947" s="233"/>
      <c r="AS947" s="234" t="str">
        <f>IF(SUM(AS953:BA968)=0,"",SUM(AS953:BA968))</f>
        <v/>
      </c>
      <c r="AT947" s="234"/>
      <c r="AU947" s="234"/>
      <c r="AV947" s="234"/>
      <c r="AW947" s="234"/>
      <c r="AX947" s="234"/>
      <c r="AY947" s="234"/>
      <c r="AZ947" s="234"/>
      <c r="BA947" s="234"/>
      <c r="BC947" s="82"/>
      <c r="BD947" s="82"/>
      <c r="BE947" s="82"/>
      <c r="BF947" s="82"/>
      <c r="BG947" s="82"/>
      <c r="BH947" s="82"/>
      <c r="BI947" s="82"/>
      <c r="BJ947" s="82"/>
      <c r="BK947" s="82"/>
      <c r="BL947" s="82"/>
      <c r="BM947" s="82"/>
      <c r="BN947" s="82"/>
      <c r="BO947" s="82"/>
      <c r="BP947" s="82"/>
      <c r="BQ947" s="82"/>
      <c r="BR947" s="82"/>
      <c r="BS947" s="82"/>
      <c r="BT947" s="82"/>
      <c r="BU947" s="82"/>
      <c r="BV947" s="82"/>
      <c r="BW947" s="82"/>
      <c r="BX947" s="82"/>
      <c r="BY947" s="82"/>
      <c r="BZ947" s="82"/>
      <c r="CA947" s="82"/>
      <c r="CB947" s="82"/>
      <c r="CC947" s="82"/>
      <c r="CD947" s="82"/>
      <c r="CE947" s="82"/>
      <c r="CF947" s="82"/>
      <c r="CG947" s="82"/>
      <c r="CH947" s="82"/>
      <c r="CI947" s="82"/>
      <c r="CJ947" s="82"/>
      <c r="CK947" s="82"/>
      <c r="CL947" s="82"/>
      <c r="CM947" s="82"/>
      <c r="CN947" s="82"/>
      <c r="CO947" s="82"/>
      <c r="CP947" s="82"/>
      <c r="CQ947" s="82"/>
      <c r="CR947" s="82"/>
      <c r="CS947" s="82"/>
      <c r="CT947" s="82"/>
      <c r="CU947" s="82"/>
      <c r="CV947" s="82"/>
      <c r="CW947" s="82"/>
      <c r="CX947" s="82"/>
      <c r="CY947" s="82"/>
      <c r="CZ947" s="82"/>
      <c r="DA947" s="82"/>
      <c r="DB947" s="82"/>
      <c r="DC947" s="82"/>
      <c r="DD947" s="82"/>
      <c r="DE947" s="82"/>
      <c r="DF947" s="82"/>
      <c r="DG947" s="82"/>
    </row>
    <row r="948" spans="2:111" ht="9" customHeight="1">
      <c r="B948" s="232"/>
      <c r="C948" s="232"/>
      <c r="D948" s="232"/>
      <c r="E948" s="232"/>
      <c r="F948" s="232"/>
      <c r="G948" s="232"/>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c r="AF948" s="233"/>
      <c r="AG948" s="233"/>
      <c r="AH948" s="233"/>
      <c r="AI948" s="233"/>
      <c r="AJ948" s="233"/>
      <c r="AK948" s="233"/>
      <c r="AL948" s="233"/>
      <c r="AM948" s="233"/>
      <c r="AN948" s="233"/>
      <c r="AO948" s="233"/>
      <c r="AP948" s="233"/>
      <c r="AQ948" s="233"/>
      <c r="AS948" s="234"/>
      <c r="AT948" s="234"/>
      <c r="AU948" s="234"/>
      <c r="AV948" s="234"/>
      <c r="AW948" s="234"/>
      <c r="AX948" s="234"/>
      <c r="AY948" s="234"/>
      <c r="AZ948" s="234"/>
      <c r="BA948" s="234"/>
      <c r="BC948" s="82"/>
      <c r="BD948" s="82"/>
      <c r="BE948" s="82"/>
      <c r="BF948" s="82"/>
      <c r="BG948" s="82"/>
      <c r="BH948" s="82"/>
      <c r="BI948" s="82"/>
      <c r="BJ948" s="82"/>
      <c r="BK948" s="82"/>
      <c r="BL948" s="82"/>
      <c r="BM948" s="82"/>
      <c r="BN948" s="82"/>
      <c r="BO948" s="82"/>
      <c r="BP948" s="82"/>
      <c r="BQ948" s="82"/>
      <c r="BR948" s="82"/>
      <c r="BS948" s="82"/>
      <c r="BT948" s="82"/>
      <c r="BU948" s="82"/>
      <c r="BV948" s="82"/>
      <c r="BW948" s="82"/>
      <c r="BX948" s="82"/>
      <c r="BY948" s="82"/>
      <c r="BZ948" s="82"/>
      <c r="CA948" s="82"/>
      <c r="CB948" s="82"/>
      <c r="CC948" s="82"/>
      <c r="CD948" s="82"/>
      <c r="CE948" s="82"/>
      <c r="CF948" s="82"/>
      <c r="CG948" s="82"/>
      <c r="CH948" s="82"/>
      <c r="CI948" s="82"/>
      <c r="CJ948" s="82"/>
      <c r="CK948" s="82"/>
      <c r="CL948" s="82"/>
      <c r="CM948" s="82"/>
      <c r="CN948" s="82"/>
      <c r="CO948" s="82"/>
      <c r="CP948" s="82"/>
      <c r="CQ948" s="82"/>
      <c r="CR948" s="82"/>
      <c r="CS948" s="82"/>
      <c r="CT948" s="82"/>
      <c r="CU948" s="82"/>
      <c r="CV948" s="82"/>
      <c r="CW948" s="82"/>
      <c r="CX948" s="82"/>
      <c r="CY948" s="82"/>
      <c r="CZ948" s="82"/>
      <c r="DA948" s="82"/>
      <c r="DB948" s="82"/>
      <c r="DC948" s="82"/>
      <c r="DD948" s="82"/>
      <c r="DE948" s="82"/>
      <c r="DF948" s="82"/>
      <c r="DG948" s="82"/>
    </row>
    <row r="949" spans="2:111" ht="4.5" customHeight="1">
      <c r="BC949" s="82"/>
      <c r="BD949" s="82"/>
      <c r="BE949" s="82"/>
      <c r="BF949" s="82"/>
      <c r="BG949" s="82"/>
      <c r="BH949" s="82"/>
      <c r="BI949" s="82"/>
      <c r="BJ949" s="82"/>
      <c r="BK949" s="82"/>
      <c r="BL949" s="82"/>
      <c r="BM949" s="82"/>
      <c r="BN949" s="82"/>
      <c r="BO949" s="82"/>
      <c r="BP949" s="82"/>
      <c r="BQ949" s="82"/>
      <c r="BR949" s="82"/>
      <c r="BS949" s="82"/>
      <c r="BT949" s="82"/>
      <c r="BU949" s="82"/>
      <c r="BV949" s="82"/>
      <c r="BW949" s="82"/>
      <c r="BX949" s="82"/>
      <c r="BY949" s="82"/>
      <c r="BZ949" s="82"/>
      <c r="CA949" s="82"/>
      <c r="CB949" s="82"/>
      <c r="CC949" s="82"/>
      <c r="CD949" s="82"/>
      <c r="CE949" s="82"/>
      <c r="CF949" s="82"/>
      <c r="CG949" s="82"/>
      <c r="CH949" s="82"/>
      <c r="CI949" s="82"/>
      <c r="CJ949" s="82"/>
      <c r="CK949" s="82"/>
      <c r="CL949" s="82"/>
      <c r="CM949" s="82"/>
      <c r="CN949" s="82"/>
      <c r="CO949" s="82"/>
      <c r="CP949" s="82"/>
      <c r="CQ949" s="82"/>
      <c r="CR949" s="82"/>
      <c r="CS949" s="82"/>
      <c r="CT949" s="82"/>
      <c r="CU949" s="82"/>
      <c r="CV949" s="82"/>
      <c r="CW949" s="82"/>
      <c r="CX949" s="82"/>
      <c r="CY949" s="82"/>
      <c r="CZ949" s="82"/>
      <c r="DA949" s="82"/>
      <c r="DB949" s="82"/>
      <c r="DC949" s="82"/>
      <c r="DD949" s="82"/>
      <c r="DE949" s="82"/>
      <c r="DF949" s="82"/>
      <c r="DG949" s="82"/>
    </row>
    <row r="950" spans="2:111" ht="9" customHeight="1">
      <c r="I950" s="229" t="str">
        <f>IF($U$874&gt;=4,"Início:","")</f>
        <v/>
      </c>
      <c r="J950" s="229"/>
      <c r="K950" s="229"/>
      <c r="L950" s="229"/>
      <c r="M950" s="229"/>
      <c r="N950" s="229"/>
      <c r="P950" s="235"/>
      <c r="Q950" s="235"/>
      <c r="R950" s="235"/>
      <c r="S950" s="235"/>
      <c r="T950" s="235"/>
      <c r="U950" s="235"/>
      <c r="V950" s="235"/>
      <c r="W950" s="235"/>
      <c r="Y950" s="229" t="str">
        <f>IF($U$874&gt;=4,"Término:","")</f>
        <v/>
      </c>
      <c r="Z950" s="229"/>
      <c r="AA950" s="229"/>
      <c r="AB950" s="229"/>
      <c r="AC950" s="229"/>
      <c r="AD950" s="229"/>
      <c r="AF950" s="235"/>
      <c r="AG950" s="235"/>
      <c r="AH950" s="235"/>
      <c r="AI950" s="235"/>
      <c r="AJ950" s="235"/>
      <c r="AK950" s="235"/>
      <c r="AL950" s="235"/>
      <c r="AM950" s="235"/>
      <c r="AW950" s="236" t="str">
        <f>IF($U$874&gt;=4,"Valor (R$):","")</f>
        <v/>
      </c>
      <c r="AX950" s="236"/>
      <c r="AY950" s="236"/>
      <c r="AZ950" s="236"/>
      <c r="BA950" s="236"/>
      <c r="BC950" s="82"/>
      <c r="BD950" s="82"/>
      <c r="BE950" s="82"/>
      <c r="BF950" s="82"/>
      <c r="BG950" s="82"/>
      <c r="BH950" s="82"/>
      <c r="BI950" s="82"/>
      <c r="BJ950" s="82"/>
      <c r="BK950" s="82"/>
      <c r="BL950" s="82"/>
      <c r="BM950" s="82"/>
      <c r="BN950" s="82"/>
      <c r="BO950" s="82"/>
      <c r="BP950" s="82"/>
      <c r="BQ950" s="82"/>
      <c r="BR950" s="82"/>
      <c r="BS950" s="82"/>
      <c r="BT950" s="82"/>
      <c r="BU950" s="82"/>
      <c r="BV950" s="82"/>
      <c r="BW950" s="82"/>
      <c r="BX950" s="82"/>
      <c r="BY950" s="82"/>
      <c r="BZ950" s="82"/>
      <c r="CA950" s="82"/>
      <c r="CB950" s="82"/>
      <c r="CC950" s="82"/>
      <c r="CD950" s="82"/>
      <c r="CE950" s="82"/>
      <c r="CF950" s="82"/>
      <c r="CG950" s="82"/>
      <c r="CH950" s="82"/>
      <c r="CI950" s="82"/>
      <c r="CJ950" s="82"/>
      <c r="CK950" s="82"/>
      <c r="CL950" s="82"/>
      <c r="CM950" s="82"/>
      <c r="CN950" s="82"/>
      <c r="CO950" s="82"/>
      <c r="CP950" s="82"/>
      <c r="CQ950" s="82"/>
      <c r="CR950" s="82"/>
      <c r="CS950" s="82"/>
      <c r="CT950" s="82"/>
      <c r="CU950" s="82"/>
      <c r="CV950" s="82"/>
      <c r="CW950" s="82"/>
      <c r="CX950" s="82"/>
      <c r="CY950" s="82"/>
      <c r="CZ950" s="82"/>
      <c r="DA950" s="82"/>
      <c r="DB950" s="82"/>
      <c r="DC950" s="82"/>
      <c r="DD950" s="82"/>
      <c r="DE950" s="82"/>
      <c r="DF950" s="82"/>
      <c r="DG950" s="82"/>
    </row>
    <row r="951" spans="2:111" ht="9" customHeight="1">
      <c r="I951" s="229"/>
      <c r="J951" s="229"/>
      <c r="K951" s="229"/>
      <c r="L951" s="229"/>
      <c r="M951" s="229"/>
      <c r="N951" s="229"/>
      <c r="P951" s="235"/>
      <c r="Q951" s="235"/>
      <c r="R951" s="235"/>
      <c r="S951" s="235"/>
      <c r="T951" s="235"/>
      <c r="U951" s="235"/>
      <c r="V951" s="235"/>
      <c r="W951" s="235"/>
      <c r="Y951" s="229"/>
      <c r="Z951" s="229"/>
      <c r="AA951" s="229"/>
      <c r="AB951" s="229"/>
      <c r="AC951" s="229"/>
      <c r="AD951" s="229"/>
      <c r="AF951" s="235"/>
      <c r="AG951" s="235"/>
      <c r="AH951" s="235"/>
      <c r="AI951" s="235"/>
      <c r="AJ951" s="235"/>
      <c r="AK951" s="235"/>
      <c r="AL951" s="235"/>
      <c r="AM951" s="235"/>
      <c r="AW951" s="236"/>
      <c r="AX951" s="236"/>
      <c r="AY951" s="236"/>
      <c r="AZ951" s="236"/>
      <c r="BA951" s="236"/>
      <c r="BC951" s="82"/>
      <c r="BD951" s="82"/>
      <c r="BE951" s="82"/>
      <c r="BF951" s="82"/>
      <c r="BG951" s="82"/>
      <c r="BH951" s="82"/>
      <c r="BI951" s="82"/>
      <c r="BJ951" s="82"/>
      <c r="BK951" s="82"/>
      <c r="BL951" s="82"/>
      <c r="BM951" s="82"/>
      <c r="BN951" s="82"/>
      <c r="BO951" s="82"/>
      <c r="BP951" s="82"/>
      <c r="BQ951" s="82"/>
      <c r="BR951" s="82"/>
      <c r="BS951" s="82"/>
      <c r="BT951" s="82"/>
      <c r="BU951" s="82"/>
      <c r="BV951" s="82"/>
      <c r="BW951" s="82"/>
      <c r="BX951" s="82"/>
      <c r="BY951" s="82"/>
      <c r="BZ951" s="82"/>
      <c r="CA951" s="82"/>
      <c r="CB951" s="82"/>
      <c r="CC951" s="82"/>
      <c r="CD951" s="82"/>
      <c r="CE951" s="82"/>
      <c r="CF951" s="82"/>
      <c r="CG951" s="82"/>
      <c r="CH951" s="82"/>
      <c r="CI951" s="82"/>
      <c r="CJ951" s="82"/>
      <c r="CK951" s="82"/>
      <c r="CL951" s="82"/>
      <c r="CM951" s="82"/>
      <c r="CN951" s="82"/>
      <c r="CO951" s="82"/>
      <c r="CP951" s="82"/>
      <c r="CQ951" s="82"/>
      <c r="CR951" s="82"/>
      <c r="CS951" s="82"/>
      <c r="CT951" s="82"/>
      <c r="CU951" s="82"/>
      <c r="CV951" s="82"/>
      <c r="CW951" s="82"/>
      <c r="CX951" s="82"/>
      <c r="CY951" s="82"/>
      <c r="CZ951" s="82"/>
      <c r="DA951" s="82"/>
      <c r="DB951" s="82"/>
      <c r="DC951" s="82"/>
      <c r="DD951" s="82"/>
      <c r="DE951" s="82"/>
      <c r="DF951" s="82"/>
      <c r="DG951" s="82"/>
    </row>
    <row r="952" spans="2:111" ht="4.5" customHeight="1">
      <c r="BC952" s="82"/>
      <c r="BD952" s="82"/>
      <c r="BE952" s="82"/>
      <c r="BF952" s="82"/>
      <c r="BG952" s="82"/>
      <c r="BH952" s="82"/>
      <c r="BI952" s="82"/>
      <c r="BJ952" s="82"/>
      <c r="BK952" s="82"/>
      <c r="BL952" s="82"/>
      <c r="BM952" s="82"/>
      <c r="BN952" s="82"/>
      <c r="BO952" s="82"/>
      <c r="BP952" s="82"/>
      <c r="BQ952" s="82"/>
      <c r="BR952" s="82"/>
      <c r="BS952" s="82"/>
      <c r="BT952" s="82"/>
      <c r="BU952" s="82"/>
      <c r="BV952" s="82"/>
      <c r="BW952" s="82"/>
      <c r="BX952" s="82"/>
      <c r="BY952" s="82"/>
      <c r="BZ952" s="82"/>
      <c r="CA952" s="82"/>
      <c r="CB952" s="82"/>
      <c r="CC952" s="82"/>
      <c r="CD952" s="82"/>
      <c r="CE952" s="82"/>
      <c r="CF952" s="82"/>
      <c r="CG952" s="82"/>
      <c r="CH952" s="82"/>
      <c r="CI952" s="82"/>
      <c r="CJ952" s="82"/>
      <c r="CK952" s="82"/>
      <c r="CL952" s="82"/>
      <c r="CM952" s="82"/>
      <c r="CN952" s="82"/>
      <c r="CO952" s="82"/>
      <c r="CP952" s="82"/>
      <c r="CQ952" s="82"/>
      <c r="CR952" s="82"/>
      <c r="CS952" s="82"/>
      <c r="CT952" s="82"/>
      <c r="CU952" s="82"/>
      <c r="CV952" s="82"/>
      <c r="CW952" s="82"/>
      <c r="CX952" s="82"/>
      <c r="CY952" s="82"/>
      <c r="CZ952" s="82"/>
      <c r="DA952" s="82"/>
      <c r="DB952" s="82"/>
      <c r="DC952" s="82"/>
      <c r="DD952" s="82"/>
      <c r="DE952" s="82"/>
      <c r="DF952" s="82"/>
      <c r="DG952" s="82"/>
    </row>
    <row r="953" spans="2:111" ht="9" customHeight="1">
      <c r="B953" s="229" t="str">
        <f>IF($U$874&gt;=4,"Elementos de Despesa:","")</f>
        <v/>
      </c>
      <c r="C953" s="229"/>
      <c r="D953" s="229"/>
      <c r="E953" s="229"/>
      <c r="F953" s="229"/>
      <c r="G953" s="229"/>
      <c r="H953" s="229"/>
      <c r="I953" s="229"/>
      <c r="J953" s="229"/>
      <c r="K953" s="229"/>
      <c r="L953" s="229"/>
      <c r="M953" s="229"/>
      <c r="N953" s="229"/>
      <c r="P953" s="230"/>
      <c r="Q953" s="230"/>
      <c r="R953" s="230"/>
      <c r="S953" s="230"/>
      <c r="T953" s="230"/>
      <c r="U953" s="230"/>
      <c r="V953" s="230"/>
      <c r="W953" s="230"/>
      <c r="X953" s="230"/>
      <c r="Y953" s="230"/>
      <c r="Z953" s="230"/>
      <c r="AA953" s="230"/>
      <c r="AB953" s="230"/>
      <c r="AC953" s="230"/>
      <c r="AD953" s="230"/>
      <c r="AE953" s="230"/>
      <c r="AF953" s="230"/>
      <c r="AG953" s="230"/>
      <c r="AH953" s="230"/>
      <c r="AI953" s="230"/>
      <c r="AJ953" s="230"/>
      <c r="AK953" s="230"/>
      <c r="AL953" s="230"/>
      <c r="AM953" s="230"/>
      <c r="AN953" s="230"/>
      <c r="AO953" s="230"/>
      <c r="AP953" s="230"/>
      <c r="AQ953" s="230"/>
      <c r="AS953" s="231"/>
      <c r="AT953" s="231"/>
      <c r="AU953" s="231"/>
      <c r="AV953" s="231"/>
      <c r="AW953" s="231"/>
      <c r="AX953" s="231"/>
      <c r="AY953" s="231"/>
      <c r="AZ953" s="231"/>
      <c r="BA953" s="231"/>
      <c r="BC953" s="82"/>
      <c r="BD953" s="82"/>
      <c r="BE953" s="82"/>
      <c r="BF953" s="82"/>
      <c r="BG953" s="82"/>
      <c r="BH953" s="82"/>
      <c r="BI953" s="82"/>
      <c r="BJ953" s="82"/>
      <c r="BK953" s="82"/>
      <c r="BL953" s="82"/>
      <c r="BM953" s="82"/>
      <c r="BN953" s="82"/>
      <c r="BO953" s="82"/>
      <c r="BP953" s="82"/>
      <c r="BQ953" s="82"/>
      <c r="BR953" s="82"/>
      <c r="BS953" s="82"/>
      <c r="BT953" s="82"/>
      <c r="BU953" s="82"/>
      <c r="BV953" s="82"/>
      <c r="BW953" s="82"/>
      <c r="BX953" s="82"/>
      <c r="BY953" s="82"/>
      <c r="BZ953" s="82"/>
      <c r="CA953" s="82"/>
      <c r="CB953" s="82"/>
      <c r="CC953" s="82"/>
      <c r="CD953" s="82"/>
      <c r="CE953" s="82"/>
      <c r="CF953" s="82"/>
      <c r="CG953" s="82"/>
      <c r="CH953" s="82"/>
      <c r="CI953" s="82"/>
      <c r="CJ953" s="82"/>
      <c r="CK953" s="82"/>
      <c r="CL953" s="82"/>
      <c r="CM953" s="82"/>
      <c r="CN953" s="82"/>
      <c r="CO953" s="82"/>
      <c r="CP953" s="82"/>
      <c r="CQ953" s="82"/>
      <c r="CR953" s="82"/>
      <c r="CS953" s="82"/>
      <c r="CT953" s="82"/>
      <c r="CU953" s="82"/>
      <c r="CV953" s="82"/>
      <c r="CW953" s="82"/>
      <c r="CX953" s="82"/>
      <c r="CY953" s="82"/>
      <c r="CZ953" s="82"/>
      <c r="DA953" s="82"/>
      <c r="DB953" s="82"/>
      <c r="DC953" s="82"/>
      <c r="DD953" s="82"/>
      <c r="DE953" s="82"/>
      <c r="DF953" s="82"/>
      <c r="DG953" s="82"/>
    </row>
    <row r="954" spans="2:111" ht="9" customHeight="1">
      <c r="B954" s="229"/>
      <c r="C954" s="229"/>
      <c r="D954" s="229"/>
      <c r="E954" s="229"/>
      <c r="F954" s="229"/>
      <c r="G954" s="229"/>
      <c r="H954" s="229"/>
      <c r="I954" s="229"/>
      <c r="J954" s="229"/>
      <c r="K954" s="229"/>
      <c r="L954" s="229"/>
      <c r="M954" s="229"/>
      <c r="N954" s="229"/>
      <c r="P954" s="230"/>
      <c r="Q954" s="230"/>
      <c r="R954" s="230"/>
      <c r="S954" s="230"/>
      <c r="T954" s="230"/>
      <c r="U954" s="230"/>
      <c r="V954" s="230"/>
      <c r="W954" s="230"/>
      <c r="X954" s="230"/>
      <c r="Y954" s="230"/>
      <c r="Z954" s="230"/>
      <c r="AA954" s="230"/>
      <c r="AB954" s="230"/>
      <c r="AC954" s="230"/>
      <c r="AD954" s="230"/>
      <c r="AE954" s="230"/>
      <c r="AF954" s="230"/>
      <c r="AG954" s="230"/>
      <c r="AH954" s="230"/>
      <c r="AI954" s="230"/>
      <c r="AJ954" s="230"/>
      <c r="AK954" s="230"/>
      <c r="AL954" s="230"/>
      <c r="AM954" s="230"/>
      <c r="AN954" s="230"/>
      <c r="AO954" s="230"/>
      <c r="AP954" s="230"/>
      <c r="AQ954" s="230"/>
      <c r="AS954" s="231"/>
      <c r="AT954" s="231"/>
      <c r="AU954" s="231"/>
      <c r="AV954" s="231"/>
      <c r="AW954" s="231"/>
      <c r="AX954" s="231"/>
      <c r="AY954" s="231"/>
      <c r="AZ954" s="231"/>
      <c r="BA954" s="231"/>
      <c r="BC954" s="82"/>
      <c r="BD954" s="82"/>
      <c r="BE954" s="82"/>
      <c r="BF954" s="82"/>
      <c r="BG954" s="82"/>
      <c r="BH954" s="82"/>
      <c r="BI954" s="82"/>
      <c r="BJ954" s="82"/>
      <c r="BK954" s="82"/>
      <c r="BL954" s="82"/>
      <c r="BM954" s="82"/>
      <c r="BN954" s="82"/>
      <c r="BO954" s="82"/>
      <c r="BP954" s="82"/>
      <c r="BQ954" s="82"/>
      <c r="BR954" s="82"/>
      <c r="BS954" s="82"/>
      <c r="BT954" s="82"/>
      <c r="BU954" s="82"/>
      <c r="BV954" s="82"/>
      <c r="BW954" s="82"/>
      <c r="BX954" s="82"/>
      <c r="BY954" s="82"/>
      <c r="BZ954" s="82"/>
      <c r="CA954" s="82"/>
      <c r="CB954" s="82"/>
      <c r="CC954" s="82"/>
      <c r="CD954" s="82"/>
      <c r="CE954" s="82"/>
      <c r="CF954" s="82"/>
      <c r="CG954" s="82"/>
      <c r="CH954" s="82"/>
      <c r="CI954" s="82"/>
      <c r="CJ954" s="82"/>
      <c r="CK954" s="82"/>
      <c r="CL954" s="82"/>
      <c r="CM954" s="82"/>
      <c r="CN954" s="82"/>
      <c r="CO954" s="82"/>
      <c r="CP954" s="82"/>
      <c r="CQ954" s="82"/>
      <c r="CR954" s="82"/>
      <c r="CS954" s="82"/>
      <c r="CT954" s="82"/>
      <c r="CU954" s="82"/>
      <c r="CV954" s="82"/>
      <c r="CW954" s="82"/>
      <c r="CX954" s="82"/>
      <c r="CY954" s="82"/>
      <c r="CZ954" s="82"/>
      <c r="DA954" s="82"/>
      <c r="DB954" s="82"/>
      <c r="DC954" s="82"/>
      <c r="DD954" s="82"/>
      <c r="DE954" s="82"/>
      <c r="DF954" s="82"/>
      <c r="DG954" s="82"/>
    </row>
    <row r="955" spans="2:111" ht="9" customHeight="1">
      <c r="B955" s="229"/>
      <c r="C955" s="229"/>
      <c r="D955" s="229"/>
      <c r="E955" s="229"/>
      <c r="F955" s="229"/>
      <c r="G955" s="229"/>
      <c r="H955" s="229"/>
      <c r="I955" s="229"/>
      <c r="J955" s="229"/>
      <c r="K955" s="229"/>
      <c r="L955" s="229"/>
      <c r="M955" s="229"/>
      <c r="N955" s="229"/>
      <c r="P955" s="230"/>
      <c r="Q955" s="230"/>
      <c r="R955" s="230"/>
      <c r="S955" s="230"/>
      <c r="T955" s="230"/>
      <c r="U955" s="230"/>
      <c r="V955" s="230"/>
      <c r="W955" s="230"/>
      <c r="X955" s="230"/>
      <c r="Y955" s="230"/>
      <c r="Z955" s="230"/>
      <c r="AA955" s="230"/>
      <c r="AB955" s="230"/>
      <c r="AC955" s="230"/>
      <c r="AD955" s="230"/>
      <c r="AE955" s="230"/>
      <c r="AF955" s="230"/>
      <c r="AG955" s="230"/>
      <c r="AH955" s="230"/>
      <c r="AI955" s="230"/>
      <c r="AJ955" s="230"/>
      <c r="AK955" s="230"/>
      <c r="AL955" s="230"/>
      <c r="AM955" s="230"/>
      <c r="AN955" s="230"/>
      <c r="AO955" s="230"/>
      <c r="AP955" s="230"/>
      <c r="AQ955" s="230"/>
      <c r="AS955" s="231"/>
      <c r="AT955" s="231"/>
      <c r="AU955" s="231"/>
      <c r="AV955" s="231"/>
      <c r="AW955" s="231"/>
      <c r="AX955" s="231"/>
      <c r="AY955" s="231"/>
      <c r="AZ955" s="231"/>
      <c r="BA955" s="231"/>
      <c r="BC955" s="82"/>
      <c r="BD955" s="82"/>
      <c r="BE955" s="82"/>
      <c r="BF955" s="82"/>
      <c r="BG955" s="82"/>
      <c r="BH955" s="82"/>
      <c r="BI955" s="82"/>
      <c r="BJ955" s="82"/>
      <c r="BK955" s="82"/>
      <c r="BL955" s="82"/>
      <c r="BM955" s="82"/>
      <c r="BN955" s="82"/>
      <c r="BO955" s="82"/>
      <c r="BP955" s="82"/>
      <c r="BQ955" s="82"/>
      <c r="BR955" s="82"/>
      <c r="BS955" s="82"/>
      <c r="BT955" s="82"/>
      <c r="BU955" s="82"/>
      <c r="BV955" s="82"/>
      <c r="BW955" s="82"/>
      <c r="BX955" s="82"/>
      <c r="BY955" s="82"/>
      <c r="BZ955" s="82"/>
      <c r="CA955" s="82"/>
      <c r="CB955" s="82"/>
      <c r="CC955" s="82"/>
      <c r="CD955" s="82"/>
      <c r="CE955" s="82"/>
      <c r="CF955" s="82"/>
      <c r="CG955" s="82"/>
      <c r="CH955" s="82"/>
      <c r="CI955" s="82"/>
      <c r="CJ955" s="82"/>
      <c r="CK955" s="82"/>
      <c r="CL955" s="82"/>
      <c r="CM955" s="82"/>
      <c r="CN955" s="82"/>
      <c r="CO955" s="82"/>
      <c r="CP955" s="82"/>
      <c r="CQ955" s="82"/>
      <c r="CR955" s="82"/>
      <c r="CS955" s="82"/>
      <c r="CT955" s="82"/>
      <c r="CU955" s="82"/>
      <c r="CV955" s="82"/>
      <c r="CW955" s="82"/>
      <c r="CX955" s="82"/>
      <c r="CY955" s="82"/>
      <c r="CZ955" s="82"/>
      <c r="DA955" s="82"/>
      <c r="DB955" s="82"/>
      <c r="DC955" s="82"/>
      <c r="DD955" s="82"/>
      <c r="DE955" s="82"/>
      <c r="DF955" s="82"/>
      <c r="DG955" s="82"/>
    </row>
    <row r="956" spans="2:111" ht="9" customHeight="1">
      <c r="B956" s="229"/>
      <c r="C956" s="229"/>
      <c r="D956" s="229"/>
      <c r="E956" s="229"/>
      <c r="F956" s="229"/>
      <c r="G956" s="229"/>
      <c r="H956" s="229"/>
      <c r="I956" s="229"/>
      <c r="J956" s="229"/>
      <c r="K956" s="229"/>
      <c r="L956" s="229"/>
      <c r="M956" s="229"/>
      <c r="N956" s="229"/>
      <c r="P956" s="230"/>
      <c r="Q956" s="230"/>
      <c r="R956" s="230"/>
      <c r="S956" s="230"/>
      <c r="T956" s="230"/>
      <c r="U956" s="230"/>
      <c r="V956" s="230"/>
      <c r="W956" s="230"/>
      <c r="X956" s="230"/>
      <c r="Y956" s="230"/>
      <c r="Z956" s="230"/>
      <c r="AA956" s="230"/>
      <c r="AB956" s="230"/>
      <c r="AC956" s="230"/>
      <c r="AD956" s="230"/>
      <c r="AE956" s="230"/>
      <c r="AF956" s="230"/>
      <c r="AG956" s="230"/>
      <c r="AH956" s="230"/>
      <c r="AI956" s="230"/>
      <c r="AJ956" s="230"/>
      <c r="AK956" s="230"/>
      <c r="AL956" s="230"/>
      <c r="AM956" s="230"/>
      <c r="AN956" s="230"/>
      <c r="AO956" s="230"/>
      <c r="AP956" s="230"/>
      <c r="AQ956" s="230"/>
      <c r="AS956" s="231"/>
      <c r="AT956" s="231"/>
      <c r="AU956" s="231"/>
      <c r="AV956" s="231"/>
      <c r="AW956" s="231"/>
      <c r="AX956" s="231"/>
      <c r="AY956" s="231"/>
      <c r="AZ956" s="231"/>
      <c r="BA956" s="231"/>
      <c r="BC956" s="82"/>
      <c r="BD956" s="82"/>
      <c r="BE956" s="82"/>
      <c r="BF956" s="82"/>
      <c r="BG956" s="82"/>
      <c r="BH956" s="82"/>
      <c r="BI956" s="82"/>
      <c r="BJ956" s="82"/>
      <c r="BK956" s="82"/>
      <c r="BL956" s="82"/>
      <c r="BM956" s="82"/>
      <c r="BN956" s="82"/>
      <c r="BO956" s="82"/>
      <c r="BP956" s="82"/>
      <c r="BQ956" s="82"/>
      <c r="BR956" s="82"/>
      <c r="BS956" s="82"/>
      <c r="BT956" s="82"/>
      <c r="BU956" s="82"/>
      <c r="BV956" s="82"/>
      <c r="BW956" s="82"/>
      <c r="BX956" s="82"/>
      <c r="BY956" s="82"/>
      <c r="BZ956" s="82"/>
      <c r="CA956" s="82"/>
      <c r="CB956" s="82"/>
      <c r="CC956" s="82"/>
      <c r="CD956" s="82"/>
      <c r="CE956" s="82"/>
      <c r="CF956" s="82"/>
      <c r="CG956" s="82"/>
      <c r="CH956" s="82"/>
      <c r="CI956" s="82"/>
      <c r="CJ956" s="82"/>
      <c r="CK956" s="82"/>
      <c r="CL956" s="82"/>
      <c r="CM956" s="82"/>
      <c r="CN956" s="82"/>
      <c r="CO956" s="82"/>
      <c r="CP956" s="82"/>
      <c r="CQ956" s="82"/>
      <c r="CR956" s="82"/>
      <c r="CS956" s="82"/>
      <c r="CT956" s="82"/>
      <c r="CU956" s="82"/>
      <c r="CV956" s="82"/>
      <c r="CW956" s="82"/>
      <c r="CX956" s="82"/>
      <c r="CY956" s="82"/>
      <c r="CZ956" s="82"/>
      <c r="DA956" s="82"/>
      <c r="DB956" s="82"/>
      <c r="DC956" s="82"/>
      <c r="DD956" s="82"/>
      <c r="DE956" s="82"/>
      <c r="DF956" s="82"/>
      <c r="DG956" s="82"/>
    </row>
    <row r="957" spans="2:111" ht="9" customHeight="1">
      <c r="B957" s="229"/>
      <c r="C957" s="229"/>
      <c r="D957" s="229"/>
      <c r="E957" s="229"/>
      <c r="F957" s="229"/>
      <c r="G957" s="229"/>
      <c r="H957" s="229"/>
      <c r="I957" s="229"/>
      <c r="J957" s="229"/>
      <c r="K957" s="229"/>
      <c r="L957" s="229"/>
      <c r="M957" s="229"/>
      <c r="N957" s="229"/>
      <c r="P957" s="230"/>
      <c r="Q957" s="230"/>
      <c r="R957" s="230"/>
      <c r="S957" s="230"/>
      <c r="T957" s="230"/>
      <c r="U957" s="230"/>
      <c r="V957" s="230"/>
      <c r="W957" s="230"/>
      <c r="X957" s="230"/>
      <c r="Y957" s="230"/>
      <c r="Z957" s="230"/>
      <c r="AA957" s="230"/>
      <c r="AB957" s="230"/>
      <c r="AC957" s="230"/>
      <c r="AD957" s="230"/>
      <c r="AE957" s="230"/>
      <c r="AF957" s="230"/>
      <c r="AG957" s="230"/>
      <c r="AH957" s="230"/>
      <c r="AI957" s="230"/>
      <c r="AJ957" s="230"/>
      <c r="AK957" s="230"/>
      <c r="AL957" s="230"/>
      <c r="AM957" s="230"/>
      <c r="AN957" s="230"/>
      <c r="AO957" s="230"/>
      <c r="AP957" s="230"/>
      <c r="AQ957" s="230"/>
      <c r="AS957" s="231"/>
      <c r="AT957" s="231"/>
      <c r="AU957" s="231"/>
      <c r="AV957" s="231"/>
      <c r="AW957" s="231"/>
      <c r="AX957" s="231"/>
      <c r="AY957" s="231"/>
      <c r="AZ957" s="231"/>
      <c r="BA957" s="231"/>
      <c r="BC957" s="82"/>
      <c r="BD957" s="82"/>
      <c r="BE957" s="82"/>
      <c r="BF957" s="82"/>
      <c r="BG957" s="82"/>
      <c r="BH957" s="82"/>
      <c r="BI957" s="82"/>
      <c r="BJ957" s="82"/>
      <c r="BK957" s="82"/>
      <c r="BL957" s="82"/>
      <c r="BM957" s="82"/>
      <c r="BN957" s="82"/>
      <c r="BO957" s="82"/>
      <c r="BP957" s="82"/>
      <c r="BQ957" s="82"/>
      <c r="BR957" s="82"/>
      <c r="BS957" s="82"/>
      <c r="BT957" s="82"/>
      <c r="BU957" s="82"/>
      <c r="BV957" s="82"/>
      <c r="BW957" s="82"/>
      <c r="BX957" s="82"/>
      <c r="BY957" s="82"/>
      <c r="BZ957" s="82"/>
      <c r="CA957" s="82"/>
      <c r="CB957" s="82"/>
      <c r="CC957" s="82"/>
      <c r="CD957" s="82"/>
      <c r="CE957" s="82"/>
      <c r="CF957" s="82"/>
      <c r="CG957" s="82"/>
      <c r="CH957" s="82"/>
      <c r="CI957" s="82"/>
      <c r="CJ957" s="82"/>
      <c r="CK957" s="82"/>
      <c r="CL957" s="82"/>
      <c r="CM957" s="82"/>
      <c r="CN957" s="82"/>
      <c r="CO957" s="82"/>
      <c r="CP957" s="82"/>
      <c r="CQ957" s="82"/>
      <c r="CR957" s="82"/>
      <c r="CS957" s="82"/>
      <c r="CT957" s="82"/>
      <c r="CU957" s="82"/>
      <c r="CV957" s="82"/>
      <c r="CW957" s="82"/>
      <c r="CX957" s="82"/>
      <c r="CY957" s="82"/>
      <c r="CZ957" s="82"/>
      <c r="DA957" s="82"/>
      <c r="DB957" s="82"/>
      <c r="DC957" s="82"/>
      <c r="DD957" s="82"/>
      <c r="DE957" s="82"/>
      <c r="DF957" s="82"/>
      <c r="DG957" s="82"/>
    </row>
    <row r="958" spans="2:111" ht="9" customHeight="1">
      <c r="B958" s="229"/>
      <c r="C958" s="229"/>
      <c r="D958" s="229"/>
      <c r="E958" s="229"/>
      <c r="F958" s="229"/>
      <c r="G958" s="229"/>
      <c r="H958" s="229"/>
      <c r="I958" s="229"/>
      <c r="J958" s="229"/>
      <c r="K958" s="229"/>
      <c r="L958" s="229"/>
      <c r="M958" s="229"/>
      <c r="N958" s="229"/>
      <c r="P958" s="230"/>
      <c r="Q958" s="230"/>
      <c r="R958" s="230"/>
      <c r="S958" s="230"/>
      <c r="T958" s="230"/>
      <c r="U958" s="230"/>
      <c r="V958" s="230"/>
      <c r="W958" s="230"/>
      <c r="X958" s="230"/>
      <c r="Y958" s="230"/>
      <c r="Z958" s="230"/>
      <c r="AA958" s="230"/>
      <c r="AB958" s="230"/>
      <c r="AC958" s="230"/>
      <c r="AD958" s="230"/>
      <c r="AE958" s="230"/>
      <c r="AF958" s="230"/>
      <c r="AG958" s="230"/>
      <c r="AH958" s="230"/>
      <c r="AI958" s="230"/>
      <c r="AJ958" s="230"/>
      <c r="AK958" s="230"/>
      <c r="AL958" s="230"/>
      <c r="AM958" s="230"/>
      <c r="AN958" s="230"/>
      <c r="AO958" s="230"/>
      <c r="AP958" s="230"/>
      <c r="AQ958" s="230"/>
      <c r="AS958" s="231"/>
      <c r="AT958" s="231"/>
      <c r="AU958" s="231"/>
      <c r="AV958" s="231"/>
      <c r="AW958" s="231"/>
      <c r="AX958" s="231"/>
      <c r="AY958" s="231"/>
      <c r="AZ958" s="231"/>
      <c r="BA958" s="231"/>
      <c r="BC958" s="82"/>
      <c r="BD958" s="82"/>
      <c r="BE958" s="82"/>
      <c r="BF958" s="82"/>
      <c r="BG958" s="82"/>
      <c r="BH958" s="82"/>
      <c r="BI958" s="82"/>
      <c r="BJ958" s="82"/>
      <c r="BK958" s="82"/>
      <c r="BL958" s="82"/>
      <c r="BM958" s="82"/>
      <c r="BN958" s="82"/>
      <c r="BO958" s="82"/>
      <c r="BP958" s="82"/>
      <c r="BQ958" s="82"/>
      <c r="BR958" s="82"/>
      <c r="BS958" s="82"/>
      <c r="BT958" s="82"/>
      <c r="BU958" s="82"/>
      <c r="BV958" s="82"/>
      <c r="BW958" s="82"/>
      <c r="BX958" s="82"/>
      <c r="BY958" s="82"/>
      <c r="BZ958" s="82"/>
      <c r="CA958" s="82"/>
      <c r="CB958" s="82"/>
      <c r="CC958" s="82"/>
      <c r="CD958" s="82"/>
      <c r="CE958" s="82"/>
      <c r="CF958" s="82"/>
      <c r="CG958" s="82"/>
      <c r="CH958" s="82"/>
      <c r="CI958" s="82"/>
      <c r="CJ958" s="82"/>
      <c r="CK958" s="82"/>
      <c r="CL958" s="82"/>
      <c r="CM958" s="82"/>
      <c r="CN958" s="82"/>
      <c r="CO958" s="82"/>
      <c r="CP958" s="82"/>
      <c r="CQ958" s="82"/>
      <c r="CR958" s="82"/>
      <c r="CS958" s="82"/>
      <c r="CT958" s="82"/>
      <c r="CU958" s="82"/>
      <c r="CV958" s="82"/>
      <c r="CW958" s="82"/>
      <c r="CX958" s="82"/>
      <c r="CY958" s="82"/>
      <c r="CZ958" s="82"/>
      <c r="DA958" s="82"/>
      <c r="DB958" s="82"/>
      <c r="DC958" s="82"/>
      <c r="DD958" s="82"/>
      <c r="DE958" s="82"/>
      <c r="DF958" s="82"/>
      <c r="DG958" s="82"/>
    </row>
    <row r="959" spans="2:111" ht="9" customHeight="1">
      <c r="B959" s="229"/>
      <c r="C959" s="229"/>
      <c r="D959" s="229"/>
      <c r="E959" s="229"/>
      <c r="F959" s="229"/>
      <c r="G959" s="229"/>
      <c r="H959" s="229"/>
      <c r="I959" s="229"/>
      <c r="J959" s="229"/>
      <c r="K959" s="229"/>
      <c r="L959" s="229"/>
      <c r="M959" s="229"/>
      <c r="N959" s="229"/>
      <c r="P959" s="230"/>
      <c r="Q959" s="230"/>
      <c r="R959" s="230"/>
      <c r="S959" s="230"/>
      <c r="T959" s="230"/>
      <c r="U959" s="230"/>
      <c r="V959" s="230"/>
      <c r="W959" s="230"/>
      <c r="X959" s="230"/>
      <c r="Y959" s="230"/>
      <c r="Z959" s="230"/>
      <c r="AA959" s="230"/>
      <c r="AB959" s="230"/>
      <c r="AC959" s="230"/>
      <c r="AD959" s="230"/>
      <c r="AE959" s="230"/>
      <c r="AF959" s="230"/>
      <c r="AG959" s="230"/>
      <c r="AH959" s="230"/>
      <c r="AI959" s="230"/>
      <c r="AJ959" s="230"/>
      <c r="AK959" s="230"/>
      <c r="AL959" s="230"/>
      <c r="AM959" s="230"/>
      <c r="AN959" s="230"/>
      <c r="AO959" s="230"/>
      <c r="AP959" s="230"/>
      <c r="AQ959" s="230"/>
      <c r="AS959" s="231"/>
      <c r="AT959" s="231"/>
      <c r="AU959" s="231"/>
      <c r="AV959" s="231"/>
      <c r="AW959" s="231"/>
      <c r="AX959" s="231"/>
      <c r="AY959" s="231"/>
      <c r="AZ959" s="231"/>
      <c r="BA959" s="231"/>
      <c r="BC959" s="82"/>
      <c r="BD959" s="82"/>
      <c r="BE959" s="82"/>
      <c r="BF959" s="82"/>
      <c r="BG959" s="82"/>
      <c r="BH959" s="82"/>
      <c r="BI959" s="82"/>
      <c r="BJ959" s="82"/>
      <c r="BK959" s="82"/>
      <c r="BL959" s="82"/>
      <c r="BM959" s="82"/>
      <c r="BN959" s="82"/>
      <c r="BO959" s="82"/>
      <c r="BP959" s="82"/>
      <c r="BQ959" s="82"/>
      <c r="BR959" s="82"/>
      <c r="BS959" s="82"/>
      <c r="BT959" s="82"/>
      <c r="BU959" s="82"/>
      <c r="BV959" s="82"/>
      <c r="BW959" s="82"/>
      <c r="BX959" s="82"/>
      <c r="BY959" s="82"/>
      <c r="BZ959" s="82"/>
      <c r="CA959" s="82"/>
      <c r="CB959" s="82"/>
      <c r="CC959" s="82"/>
      <c r="CD959" s="82"/>
      <c r="CE959" s="82"/>
      <c r="CF959" s="82"/>
      <c r="CG959" s="82"/>
      <c r="CH959" s="82"/>
      <c r="CI959" s="82"/>
      <c r="CJ959" s="82"/>
      <c r="CK959" s="82"/>
      <c r="CL959" s="82"/>
      <c r="CM959" s="82"/>
      <c r="CN959" s="82"/>
      <c r="CO959" s="82"/>
      <c r="CP959" s="82"/>
      <c r="CQ959" s="82"/>
      <c r="CR959" s="82"/>
      <c r="CS959" s="82"/>
      <c r="CT959" s="82"/>
      <c r="CU959" s="82"/>
      <c r="CV959" s="82"/>
      <c r="CW959" s="82"/>
      <c r="CX959" s="82"/>
      <c r="CY959" s="82"/>
      <c r="CZ959" s="82"/>
      <c r="DA959" s="82"/>
      <c r="DB959" s="82"/>
      <c r="DC959" s="82"/>
      <c r="DD959" s="82"/>
      <c r="DE959" s="82"/>
      <c r="DF959" s="82"/>
      <c r="DG959" s="82"/>
    </row>
    <row r="960" spans="2:111" ht="9" customHeight="1">
      <c r="B960" s="229"/>
      <c r="C960" s="229"/>
      <c r="D960" s="229"/>
      <c r="E960" s="229"/>
      <c r="F960" s="229"/>
      <c r="G960" s="229"/>
      <c r="H960" s="229"/>
      <c r="I960" s="229"/>
      <c r="J960" s="229"/>
      <c r="K960" s="229"/>
      <c r="L960" s="229"/>
      <c r="M960" s="229"/>
      <c r="N960" s="229"/>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230"/>
      <c r="AL960" s="230"/>
      <c r="AM960" s="230"/>
      <c r="AN960" s="230"/>
      <c r="AO960" s="230"/>
      <c r="AP960" s="230"/>
      <c r="AQ960" s="230"/>
      <c r="AS960" s="231"/>
      <c r="AT960" s="231"/>
      <c r="AU960" s="231"/>
      <c r="AV960" s="231"/>
      <c r="AW960" s="231"/>
      <c r="AX960" s="231"/>
      <c r="AY960" s="231"/>
      <c r="AZ960" s="231"/>
      <c r="BA960" s="231"/>
      <c r="BC960" s="82"/>
      <c r="BD960" s="82"/>
      <c r="BE960" s="82"/>
      <c r="BF960" s="82"/>
      <c r="BG960" s="82"/>
      <c r="BH960" s="82"/>
      <c r="BI960" s="82"/>
      <c r="BJ960" s="82"/>
      <c r="BK960" s="82"/>
      <c r="BL960" s="82"/>
      <c r="BM960" s="82"/>
      <c r="BN960" s="82"/>
      <c r="BO960" s="82"/>
      <c r="BP960" s="82"/>
      <c r="BQ960" s="82"/>
      <c r="BR960" s="82"/>
      <c r="BS960" s="82"/>
      <c r="BT960" s="82"/>
      <c r="BU960" s="82"/>
      <c r="BV960" s="82"/>
      <c r="BW960" s="82"/>
      <c r="BX960" s="82"/>
      <c r="BY960" s="82"/>
      <c r="BZ960" s="82"/>
      <c r="CA960" s="82"/>
      <c r="CB960" s="82"/>
      <c r="CC960" s="82"/>
      <c r="CD960" s="82"/>
      <c r="CE960" s="82"/>
      <c r="CF960" s="82"/>
      <c r="CG960" s="82"/>
      <c r="CH960" s="82"/>
      <c r="CI960" s="82"/>
      <c r="CJ960" s="82"/>
      <c r="CK960" s="82"/>
      <c r="CL960" s="82"/>
      <c r="CM960" s="82"/>
      <c r="CN960" s="82"/>
      <c r="CO960" s="82"/>
      <c r="CP960" s="82"/>
      <c r="CQ960" s="82"/>
      <c r="CR960" s="82"/>
      <c r="CS960" s="82"/>
      <c r="CT960" s="82"/>
      <c r="CU960" s="82"/>
      <c r="CV960" s="82"/>
      <c r="CW960" s="82"/>
      <c r="CX960" s="82"/>
      <c r="CY960" s="82"/>
      <c r="CZ960" s="82"/>
      <c r="DA960" s="82"/>
      <c r="DB960" s="82"/>
      <c r="DC960" s="82"/>
      <c r="DD960" s="82"/>
      <c r="DE960" s="82"/>
      <c r="DF960" s="82"/>
      <c r="DG960" s="82"/>
    </row>
    <row r="961" spans="2:111" ht="9" customHeight="1">
      <c r="B961" s="229"/>
      <c r="C961" s="229"/>
      <c r="D961" s="229"/>
      <c r="E961" s="229"/>
      <c r="F961" s="229"/>
      <c r="G961" s="229"/>
      <c r="H961" s="229"/>
      <c r="I961" s="229"/>
      <c r="J961" s="229"/>
      <c r="K961" s="229"/>
      <c r="L961" s="229"/>
      <c r="M961" s="229"/>
      <c r="N961" s="229"/>
      <c r="P961" s="230"/>
      <c r="Q961" s="230"/>
      <c r="R961" s="230"/>
      <c r="S961" s="230"/>
      <c r="T961" s="230"/>
      <c r="U961" s="230"/>
      <c r="V961" s="230"/>
      <c r="W961" s="230"/>
      <c r="X961" s="230"/>
      <c r="Y961" s="230"/>
      <c r="Z961" s="230"/>
      <c r="AA961" s="230"/>
      <c r="AB961" s="230"/>
      <c r="AC961" s="230"/>
      <c r="AD961" s="230"/>
      <c r="AE961" s="230"/>
      <c r="AF961" s="230"/>
      <c r="AG961" s="230"/>
      <c r="AH961" s="230"/>
      <c r="AI961" s="230"/>
      <c r="AJ961" s="230"/>
      <c r="AK961" s="230"/>
      <c r="AL961" s="230"/>
      <c r="AM961" s="230"/>
      <c r="AN961" s="230"/>
      <c r="AO961" s="230"/>
      <c r="AP961" s="230"/>
      <c r="AQ961" s="230"/>
      <c r="AS961" s="231"/>
      <c r="AT961" s="231"/>
      <c r="AU961" s="231"/>
      <c r="AV961" s="231"/>
      <c r="AW961" s="231"/>
      <c r="AX961" s="231"/>
      <c r="AY961" s="231"/>
      <c r="AZ961" s="231"/>
      <c r="BA961" s="231"/>
      <c r="BC961" s="82"/>
      <c r="BD961" s="82"/>
      <c r="BE961" s="82"/>
      <c r="BF961" s="82"/>
      <c r="BG961" s="82"/>
      <c r="BH961" s="82"/>
      <c r="BI961" s="82"/>
      <c r="BJ961" s="82"/>
      <c r="BK961" s="82"/>
      <c r="BL961" s="82"/>
      <c r="BM961" s="82"/>
      <c r="BN961" s="82"/>
      <c r="BO961" s="82"/>
      <c r="BP961" s="82"/>
      <c r="BQ961" s="82"/>
      <c r="BR961" s="82"/>
      <c r="BS961" s="82"/>
      <c r="BT961" s="82"/>
      <c r="BU961" s="82"/>
      <c r="BV961" s="82"/>
      <c r="BW961" s="82"/>
      <c r="BX961" s="82"/>
      <c r="BY961" s="82"/>
      <c r="BZ961" s="82"/>
      <c r="CA961" s="82"/>
      <c r="CB961" s="82"/>
      <c r="CC961" s="82"/>
      <c r="CD961" s="82"/>
      <c r="CE961" s="82"/>
      <c r="CF961" s="82"/>
      <c r="CG961" s="82"/>
      <c r="CH961" s="82"/>
      <c r="CI961" s="82"/>
      <c r="CJ961" s="82"/>
      <c r="CK961" s="82"/>
      <c r="CL961" s="82"/>
      <c r="CM961" s="82"/>
      <c r="CN961" s="82"/>
      <c r="CO961" s="82"/>
      <c r="CP961" s="82"/>
      <c r="CQ961" s="82"/>
      <c r="CR961" s="82"/>
      <c r="CS961" s="82"/>
      <c r="CT961" s="82"/>
      <c r="CU961" s="82"/>
      <c r="CV961" s="82"/>
      <c r="CW961" s="82"/>
      <c r="CX961" s="82"/>
      <c r="CY961" s="82"/>
      <c r="CZ961" s="82"/>
      <c r="DA961" s="82"/>
      <c r="DB961" s="82"/>
      <c r="DC961" s="82"/>
      <c r="DD961" s="82"/>
      <c r="DE961" s="82"/>
      <c r="DF961" s="82"/>
      <c r="DG961" s="82"/>
    </row>
    <row r="962" spans="2:111" ht="9" customHeight="1">
      <c r="B962" s="229"/>
      <c r="C962" s="229"/>
      <c r="D962" s="229"/>
      <c r="E962" s="229"/>
      <c r="F962" s="229"/>
      <c r="G962" s="229"/>
      <c r="H962" s="229"/>
      <c r="I962" s="229"/>
      <c r="J962" s="229"/>
      <c r="K962" s="229"/>
      <c r="L962" s="229"/>
      <c r="M962" s="229"/>
      <c r="N962" s="229"/>
      <c r="P962" s="230"/>
      <c r="Q962" s="230"/>
      <c r="R962" s="230"/>
      <c r="S962" s="230"/>
      <c r="T962" s="230"/>
      <c r="U962" s="230"/>
      <c r="V962" s="230"/>
      <c r="W962" s="230"/>
      <c r="X962" s="230"/>
      <c r="Y962" s="230"/>
      <c r="Z962" s="230"/>
      <c r="AA962" s="230"/>
      <c r="AB962" s="230"/>
      <c r="AC962" s="230"/>
      <c r="AD962" s="230"/>
      <c r="AE962" s="230"/>
      <c r="AF962" s="230"/>
      <c r="AG962" s="230"/>
      <c r="AH962" s="230"/>
      <c r="AI962" s="230"/>
      <c r="AJ962" s="230"/>
      <c r="AK962" s="230"/>
      <c r="AL962" s="230"/>
      <c r="AM962" s="230"/>
      <c r="AN962" s="230"/>
      <c r="AO962" s="230"/>
      <c r="AP962" s="230"/>
      <c r="AQ962" s="230"/>
      <c r="AS962" s="231"/>
      <c r="AT962" s="231"/>
      <c r="AU962" s="231"/>
      <c r="AV962" s="231"/>
      <c r="AW962" s="231"/>
      <c r="AX962" s="231"/>
      <c r="AY962" s="231"/>
      <c r="AZ962" s="231"/>
      <c r="BA962" s="231"/>
      <c r="BC962" s="82"/>
      <c r="BD962" s="82"/>
      <c r="BE962" s="82"/>
      <c r="BF962" s="82"/>
      <c r="BG962" s="82"/>
      <c r="BH962" s="82"/>
      <c r="BI962" s="82"/>
      <c r="BJ962" s="82"/>
      <c r="BK962" s="82"/>
      <c r="BL962" s="82"/>
      <c r="BM962" s="82"/>
      <c r="BN962" s="82"/>
      <c r="BO962" s="82"/>
      <c r="BP962" s="82"/>
      <c r="BQ962" s="82"/>
      <c r="BR962" s="82"/>
      <c r="BS962" s="82"/>
      <c r="BT962" s="82"/>
      <c r="BU962" s="82"/>
      <c r="BV962" s="82"/>
      <c r="BW962" s="82"/>
      <c r="BX962" s="82"/>
      <c r="BY962" s="82"/>
      <c r="BZ962" s="82"/>
      <c r="CA962" s="82"/>
      <c r="CB962" s="82"/>
      <c r="CC962" s="82"/>
      <c r="CD962" s="82"/>
      <c r="CE962" s="82"/>
      <c r="CF962" s="82"/>
      <c r="CG962" s="82"/>
      <c r="CH962" s="82"/>
      <c r="CI962" s="82"/>
      <c r="CJ962" s="82"/>
      <c r="CK962" s="82"/>
      <c r="CL962" s="82"/>
      <c r="CM962" s="82"/>
      <c r="CN962" s="82"/>
      <c r="CO962" s="82"/>
      <c r="CP962" s="82"/>
      <c r="CQ962" s="82"/>
      <c r="CR962" s="82"/>
      <c r="CS962" s="82"/>
      <c r="CT962" s="82"/>
      <c r="CU962" s="82"/>
      <c r="CV962" s="82"/>
      <c r="CW962" s="82"/>
      <c r="CX962" s="82"/>
      <c r="CY962" s="82"/>
      <c r="CZ962" s="82"/>
      <c r="DA962" s="82"/>
      <c r="DB962" s="82"/>
      <c r="DC962" s="82"/>
      <c r="DD962" s="82"/>
      <c r="DE962" s="82"/>
      <c r="DF962" s="82"/>
      <c r="DG962" s="82"/>
    </row>
    <row r="963" spans="2:111" ht="9" customHeight="1">
      <c r="B963" s="229"/>
      <c r="C963" s="229"/>
      <c r="D963" s="229"/>
      <c r="E963" s="229"/>
      <c r="F963" s="229"/>
      <c r="G963" s="229"/>
      <c r="H963" s="229"/>
      <c r="I963" s="229"/>
      <c r="J963" s="229"/>
      <c r="K963" s="229"/>
      <c r="L963" s="229"/>
      <c r="M963" s="229"/>
      <c r="N963" s="229"/>
      <c r="P963" s="230"/>
      <c r="Q963" s="230"/>
      <c r="R963" s="230"/>
      <c r="S963" s="230"/>
      <c r="T963" s="230"/>
      <c r="U963" s="230"/>
      <c r="V963" s="230"/>
      <c r="W963" s="230"/>
      <c r="X963" s="230"/>
      <c r="Y963" s="230"/>
      <c r="Z963" s="230"/>
      <c r="AA963" s="230"/>
      <c r="AB963" s="230"/>
      <c r="AC963" s="230"/>
      <c r="AD963" s="230"/>
      <c r="AE963" s="230"/>
      <c r="AF963" s="230"/>
      <c r="AG963" s="230"/>
      <c r="AH963" s="230"/>
      <c r="AI963" s="230"/>
      <c r="AJ963" s="230"/>
      <c r="AK963" s="230"/>
      <c r="AL963" s="230"/>
      <c r="AM963" s="230"/>
      <c r="AN963" s="230"/>
      <c r="AO963" s="230"/>
      <c r="AP963" s="230"/>
      <c r="AQ963" s="230"/>
      <c r="AS963" s="231"/>
      <c r="AT963" s="231"/>
      <c r="AU963" s="231"/>
      <c r="AV963" s="231"/>
      <c r="AW963" s="231"/>
      <c r="AX963" s="231"/>
      <c r="AY963" s="231"/>
      <c r="AZ963" s="231"/>
      <c r="BA963" s="231"/>
      <c r="BC963" s="82"/>
      <c r="BD963" s="82"/>
      <c r="BE963" s="82"/>
      <c r="BF963" s="82"/>
      <c r="BG963" s="82"/>
      <c r="BH963" s="82"/>
      <c r="BI963" s="82"/>
      <c r="BJ963" s="82"/>
      <c r="BK963" s="82"/>
      <c r="BL963" s="82"/>
      <c r="BM963" s="82"/>
      <c r="BN963" s="82"/>
      <c r="BO963" s="82"/>
      <c r="BP963" s="82"/>
      <c r="BQ963" s="82"/>
      <c r="BR963" s="82"/>
      <c r="BS963" s="82"/>
      <c r="BT963" s="82"/>
      <c r="BU963" s="82"/>
      <c r="BV963" s="82"/>
      <c r="BW963" s="82"/>
      <c r="BX963" s="82"/>
      <c r="BY963" s="82"/>
      <c r="BZ963" s="82"/>
      <c r="CA963" s="82"/>
      <c r="CB963" s="82"/>
      <c r="CC963" s="82"/>
      <c r="CD963" s="82"/>
      <c r="CE963" s="82"/>
      <c r="CF963" s="82"/>
      <c r="CG963" s="82"/>
      <c r="CH963" s="82"/>
      <c r="CI963" s="82"/>
      <c r="CJ963" s="82"/>
      <c r="CK963" s="82"/>
      <c r="CL963" s="82"/>
      <c r="CM963" s="82"/>
      <c r="CN963" s="82"/>
      <c r="CO963" s="82"/>
      <c r="CP963" s="82"/>
      <c r="CQ963" s="82"/>
      <c r="CR963" s="82"/>
      <c r="CS963" s="82"/>
      <c r="CT963" s="82"/>
      <c r="CU963" s="82"/>
      <c r="CV963" s="82"/>
      <c r="CW963" s="82"/>
      <c r="CX963" s="82"/>
      <c r="CY963" s="82"/>
      <c r="CZ963" s="82"/>
      <c r="DA963" s="82"/>
      <c r="DB963" s="82"/>
      <c r="DC963" s="82"/>
      <c r="DD963" s="82"/>
      <c r="DE963" s="82"/>
      <c r="DF963" s="82"/>
      <c r="DG963" s="82"/>
    </row>
    <row r="964" spans="2:111" ht="9" customHeight="1">
      <c r="B964" s="229"/>
      <c r="C964" s="229"/>
      <c r="D964" s="229"/>
      <c r="E964" s="229"/>
      <c r="F964" s="229"/>
      <c r="G964" s="229"/>
      <c r="H964" s="229"/>
      <c r="I964" s="229"/>
      <c r="J964" s="229"/>
      <c r="K964" s="229"/>
      <c r="L964" s="229"/>
      <c r="M964" s="229"/>
      <c r="N964" s="229"/>
      <c r="P964" s="230"/>
      <c r="Q964" s="230"/>
      <c r="R964" s="230"/>
      <c r="S964" s="230"/>
      <c r="T964" s="230"/>
      <c r="U964" s="230"/>
      <c r="V964" s="230"/>
      <c r="W964" s="230"/>
      <c r="X964" s="230"/>
      <c r="Y964" s="230"/>
      <c r="Z964" s="230"/>
      <c r="AA964" s="230"/>
      <c r="AB964" s="230"/>
      <c r="AC964" s="230"/>
      <c r="AD964" s="230"/>
      <c r="AE964" s="230"/>
      <c r="AF964" s="230"/>
      <c r="AG964" s="230"/>
      <c r="AH964" s="230"/>
      <c r="AI964" s="230"/>
      <c r="AJ964" s="230"/>
      <c r="AK964" s="230"/>
      <c r="AL964" s="230"/>
      <c r="AM964" s="230"/>
      <c r="AN964" s="230"/>
      <c r="AO964" s="230"/>
      <c r="AP964" s="230"/>
      <c r="AQ964" s="230"/>
      <c r="AS964" s="231"/>
      <c r="AT964" s="231"/>
      <c r="AU964" s="231"/>
      <c r="AV964" s="231"/>
      <c r="AW964" s="231"/>
      <c r="AX964" s="231"/>
      <c r="AY964" s="231"/>
      <c r="AZ964" s="231"/>
      <c r="BA964" s="231"/>
      <c r="BC964" s="82"/>
      <c r="BD964" s="82"/>
      <c r="BE964" s="82"/>
      <c r="BF964" s="82"/>
      <c r="BG964" s="82"/>
      <c r="BH964" s="82"/>
      <c r="BI964" s="82"/>
      <c r="BJ964" s="82"/>
      <c r="BK964" s="82"/>
      <c r="BL964" s="82"/>
      <c r="BM964" s="82"/>
      <c r="BN964" s="82"/>
      <c r="BO964" s="82"/>
      <c r="BP964" s="82"/>
      <c r="BQ964" s="82"/>
      <c r="BR964" s="82"/>
      <c r="BS964" s="82"/>
      <c r="BT964" s="82"/>
      <c r="BU964" s="82"/>
      <c r="BV964" s="82"/>
      <c r="BW964" s="82"/>
      <c r="BX964" s="82"/>
      <c r="BY964" s="82"/>
      <c r="BZ964" s="82"/>
      <c r="CA964" s="82"/>
      <c r="CB964" s="82"/>
      <c r="CC964" s="82"/>
      <c r="CD964" s="82"/>
      <c r="CE964" s="82"/>
      <c r="CF964" s="82"/>
      <c r="CG964" s="82"/>
      <c r="CH964" s="82"/>
      <c r="CI964" s="82"/>
      <c r="CJ964" s="82"/>
      <c r="CK964" s="82"/>
      <c r="CL964" s="82"/>
      <c r="CM964" s="82"/>
      <c r="CN964" s="82"/>
      <c r="CO964" s="82"/>
      <c r="CP964" s="82"/>
      <c r="CQ964" s="82"/>
      <c r="CR964" s="82"/>
      <c r="CS964" s="82"/>
      <c r="CT964" s="82"/>
      <c r="CU964" s="82"/>
      <c r="CV964" s="82"/>
      <c r="CW964" s="82"/>
      <c r="CX964" s="82"/>
      <c r="CY964" s="82"/>
      <c r="CZ964" s="82"/>
      <c r="DA964" s="82"/>
      <c r="DB964" s="82"/>
      <c r="DC964" s="82"/>
      <c r="DD964" s="82"/>
      <c r="DE964" s="82"/>
      <c r="DF964" s="82"/>
      <c r="DG964" s="82"/>
    </row>
    <row r="965" spans="2:111" ht="9" customHeight="1">
      <c r="B965" s="229"/>
      <c r="C965" s="229"/>
      <c r="D965" s="229"/>
      <c r="E965" s="229"/>
      <c r="F965" s="229"/>
      <c r="G965" s="229"/>
      <c r="H965" s="229"/>
      <c r="I965" s="229"/>
      <c r="J965" s="229"/>
      <c r="K965" s="229"/>
      <c r="L965" s="229"/>
      <c r="M965" s="229"/>
      <c r="N965" s="229"/>
      <c r="P965" s="230"/>
      <c r="Q965" s="230"/>
      <c r="R965" s="230"/>
      <c r="S965" s="230"/>
      <c r="T965" s="230"/>
      <c r="U965" s="230"/>
      <c r="V965" s="230"/>
      <c r="W965" s="230"/>
      <c r="X965" s="230"/>
      <c r="Y965" s="230"/>
      <c r="Z965" s="230"/>
      <c r="AA965" s="230"/>
      <c r="AB965" s="230"/>
      <c r="AC965" s="230"/>
      <c r="AD965" s="230"/>
      <c r="AE965" s="230"/>
      <c r="AF965" s="230"/>
      <c r="AG965" s="230"/>
      <c r="AH965" s="230"/>
      <c r="AI965" s="230"/>
      <c r="AJ965" s="230"/>
      <c r="AK965" s="230"/>
      <c r="AL965" s="230"/>
      <c r="AM965" s="230"/>
      <c r="AN965" s="230"/>
      <c r="AO965" s="230"/>
      <c r="AP965" s="230"/>
      <c r="AQ965" s="230"/>
      <c r="AS965" s="231"/>
      <c r="AT965" s="231"/>
      <c r="AU965" s="231"/>
      <c r="AV965" s="231"/>
      <c r="AW965" s="231"/>
      <c r="AX965" s="231"/>
      <c r="AY965" s="231"/>
      <c r="AZ965" s="231"/>
      <c r="BA965" s="231"/>
      <c r="BC965" s="82"/>
      <c r="BD965" s="82"/>
      <c r="BE965" s="82"/>
      <c r="BF965" s="82"/>
      <c r="BG965" s="82"/>
      <c r="BH965" s="82"/>
      <c r="BI965" s="82"/>
      <c r="BJ965" s="82"/>
      <c r="BK965" s="82"/>
      <c r="BL965" s="82"/>
      <c r="BM965" s="82"/>
      <c r="BN965" s="82"/>
      <c r="BO965" s="82"/>
      <c r="BP965" s="82"/>
      <c r="BQ965" s="82"/>
      <c r="BR965" s="82"/>
      <c r="BS965" s="82"/>
      <c r="BT965" s="82"/>
      <c r="BU965" s="82"/>
      <c r="BV965" s="82"/>
      <c r="BW965" s="82"/>
      <c r="BX965" s="82"/>
      <c r="BY965" s="82"/>
      <c r="BZ965" s="82"/>
      <c r="CA965" s="82"/>
      <c r="CB965" s="82"/>
      <c r="CC965" s="82"/>
      <c r="CD965" s="82"/>
      <c r="CE965" s="82"/>
      <c r="CF965" s="82"/>
      <c r="CG965" s="82"/>
      <c r="CH965" s="82"/>
      <c r="CI965" s="82"/>
      <c r="CJ965" s="82"/>
      <c r="CK965" s="82"/>
      <c r="CL965" s="82"/>
      <c r="CM965" s="82"/>
      <c r="CN965" s="82"/>
      <c r="CO965" s="82"/>
      <c r="CP965" s="82"/>
      <c r="CQ965" s="82"/>
      <c r="CR965" s="82"/>
      <c r="CS965" s="82"/>
      <c r="CT965" s="82"/>
      <c r="CU965" s="82"/>
      <c r="CV965" s="82"/>
      <c r="CW965" s="82"/>
      <c r="CX965" s="82"/>
      <c r="CY965" s="82"/>
      <c r="CZ965" s="82"/>
      <c r="DA965" s="82"/>
      <c r="DB965" s="82"/>
      <c r="DC965" s="82"/>
      <c r="DD965" s="82"/>
      <c r="DE965" s="82"/>
      <c r="DF965" s="82"/>
      <c r="DG965" s="82"/>
    </row>
    <row r="966" spans="2:111" ht="9" customHeight="1">
      <c r="B966" s="229"/>
      <c r="C966" s="229"/>
      <c r="D966" s="229"/>
      <c r="E966" s="229"/>
      <c r="F966" s="229"/>
      <c r="G966" s="229"/>
      <c r="H966" s="229"/>
      <c r="I966" s="229"/>
      <c r="J966" s="229"/>
      <c r="K966" s="229"/>
      <c r="L966" s="229"/>
      <c r="M966" s="229"/>
      <c r="N966" s="229"/>
      <c r="P966" s="230"/>
      <c r="Q966" s="230"/>
      <c r="R966" s="230"/>
      <c r="S966" s="230"/>
      <c r="T966" s="230"/>
      <c r="U966" s="230"/>
      <c r="V966" s="230"/>
      <c r="W966" s="230"/>
      <c r="X966" s="230"/>
      <c r="Y966" s="230"/>
      <c r="Z966" s="230"/>
      <c r="AA966" s="230"/>
      <c r="AB966" s="230"/>
      <c r="AC966" s="230"/>
      <c r="AD966" s="230"/>
      <c r="AE966" s="230"/>
      <c r="AF966" s="230"/>
      <c r="AG966" s="230"/>
      <c r="AH966" s="230"/>
      <c r="AI966" s="230"/>
      <c r="AJ966" s="230"/>
      <c r="AK966" s="230"/>
      <c r="AL966" s="230"/>
      <c r="AM966" s="230"/>
      <c r="AN966" s="230"/>
      <c r="AO966" s="230"/>
      <c r="AP966" s="230"/>
      <c r="AQ966" s="230"/>
      <c r="AS966" s="231"/>
      <c r="AT966" s="231"/>
      <c r="AU966" s="231"/>
      <c r="AV966" s="231"/>
      <c r="AW966" s="231"/>
      <c r="AX966" s="231"/>
      <c r="AY966" s="231"/>
      <c r="AZ966" s="231"/>
      <c r="BA966" s="231"/>
      <c r="BC966" s="82"/>
      <c r="BD966" s="82"/>
      <c r="BE966" s="82"/>
      <c r="BF966" s="82"/>
      <c r="BG966" s="82"/>
      <c r="BH966" s="82"/>
      <c r="BI966" s="82"/>
      <c r="BJ966" s="82"/>
      <c r="BK966" s="82"/>
      <c r="BL966" s="82"/>
      <c r="BM966" s="82"/>
      <c r="BN966" s="82"/>
      <c r="BO966" s="82"/>
      <c r="BP966" s="82"/>
      <c r="BQ966" s="82"/>
      <c r="BR966" s="82"/>
      <c r="BS966" s="82"/>
      <c r="BT966" s="82"/>
      <c r="BU966" s="82"/>
      <c r="BV966" s="82"/>
      <c r="BW966" s="82"/>
      <c r="BX966" s="82"/>
      <c r="BY966" s="82"/>
      <c r="BZ966" s="82"/>
      <c r="CA966" s="82"/>
      <c r="CB966" s="82"/>
      <c r="CC966" s="82"/>
      <c r="CD966" s="82"/>
      <c r="CE966" s="82"/>
      <c r="CF966" s="82"/>
      <c r="CG966" s="82"/>
      <c r="CH966" s="82"/>
      <c r="CI966" s="82"/>
      <c r="CJ966" s="82"/>
      <c r="CK966" s="82"/>
      <c r="CL966" s="82"/>
      <c r="CM966" s="82"/>
      <c r="CN966" s="82"/>
      <c r="CO966" s="82"/>
      <c r="CP966" s="82"/>
      <c r="CQ966" s="82"/>
      <c r="CR966" s="82"/>
      <c r="CS966" s="82"/>
      <c r="CT966" s="82"/>
      <c r="CU966" s="82"/>
      <c r="CV966" s="82"/>
      <c r="CW966" s="82"/>
      <c r="CX966" s="82"/>
      <c r="CY966" s="82"/>
      <c r="CZ966" s="82"/>
      <c r="DA966" s="82"/>
      <c r="DB966" s="82"/>
      <c r="DC966" s="82"/>
      <c r="DD966" s="82"/>
      <c r="DE966" s="82"/>
      <c r="DF966" s="82"/>
      <c r="DG966" s="82"/>
    </row>
    <row r="967" spans="2:111" ht="9" customHeight="1">
      <c r="B967" s="229"/>
      <c r="C967" s="229"/>
      <c r="D967" s="229"/>
      <c r="E967" s="229"/>
      <c r="F967" s="229"/>
      <c r="G967" s="229"/>
      <c r="H967" s="229"/>
      <c r="I967" s="229"/>
      <c r="J967" s="229"/>
      <c r="K967" s="229"/>
      <c r="L967" s="229"/>
      <c r="M967" s="229"/>
      <c r="N967" s="229"/>
      <c r="P967" s="230"/>
      <c r="Q967" s="230"/>
      <c r="R967" s="230"/>
      <c r="S967" s="230"/>
      <c r="T967" s="230"/>
      <c r="U967" s="230"/>
      <c r="V967" s="230"/>
      <c r="W967" s="230"/>
      <c r="X967" s="230"/>
      <c r="Y967" s="230"/>
      <c r="Z967" s="230"/>
      <c r="AA967" s="230"/>
      <c r="AB967" s="230"/>
      <c r="AC967" s="230"/>
      <c r="AD967" s="230"/>
      <c r="AE967" s="230"/>
      <c r="AF967" s="230"/>
      <c r="AG967" s="230"/>
      <c r="AH967" s="230"/>
      <c r="AI967" s="230"/>
      <c r="AJ967" s="230"/>
      <c r="AK967" s="230"/>
      <c r="AL967" s="230"/>
      <c r="AM967" s="230"/>
      <c r="AN967" s="230"/>
      <c r="AO967" s="230"/>
      <c r="AP967" s="230"/>
      <c r="AQ967" s="230"/>
      <c r="AS967" s="231"/>
      <c r="AT967" s="231"/>
      <c r="AU967" s="231"/>
      <c r="AV967" s="231"/>
      <c r="AW967" s="231"/>
      <c r="AX967" s="231"/>
      <c r="AY967" s="231"/>
      <c r="AZ967" s="231"/>
      <c r="BA967" s="231"/>
      <c r="BC967" s="82"/>
      <c r="BD967" s="82"/>
      <c r="BE967" s="82"/>
      <c r="BF967" s="82"/>
      <c r="BG967" s="82"/>
      <c r="BH967" s="82"/>
      <c r="BI967" s="82"/>
      <c r="BJ967" s="82"/>
      <c r="BK967" s="82"/>
      <c r="BL967" s="82"/>
      <c r="BM967" s="82"/>
      <c r="BN967" s="82"/>
      <c r="BO967" s="82"/>
      <c r="BP967" s="82"/>
      <c r="BQ967" s="82"/>
      <c r="BR967" s="82"/>
      <c r="BS967" s="82"/>
      <c r="BT967" s="82"/>
      <c r="BU967" s="82"/>
      <c r="BV967" s="82"/>
      <c r="BW967" s="82"/>
      <c r="BX967" s="82"/>
      <c r="BY967" s="82"/>
      <c r="BZ967" s="82"/>
      <c r="CA967" s="82"/>
      <c r="CB967" s="82"/>
      <c r="CC967" s="82"/>
      <c r="CD967" s="82"/>
      <c r="CE967" s="82"/>
      <c r="CF967" s="82"/>
      <c r="CG967" s="82"/>
      <c r="CH967" s="82"/>
      <c r="CI967" s="82"/>
      <c r="CJ967" s="82"/>
      <c r="CK967" s="82"/>
      <c r="CL967" s="82"/>
      <c r="CM967" s="82"/>
      <c r="CN967" s="82"/>
      <c r="CO967" s="82"/>
      <c r="CP967" s="82"/>
      <c r="CQ967" s="82"/>
      <c r="CR967" s="82"/>
      <c r="CS967" s="82"/>
      <c r="CT967" s="82"/>
      <c r="CU967" s="82"/>
      <c r="CV967" s="82"/>
      <c r="CW967" s="82"/>
      <c r="CX967" s="82"/>
      <c r="CY967" s="82"/>
      <c r="CZ967" s="82"/>
      <c r="DA967" s="82"/>
      <c r="DB967" s="82"/>
      <c r="DC967" s="82"/>
      <c r="DD967" s="82"/>
      <c r="DE967" s="82"/>
      <c r="DF967" s="82"/>
      <c r="DG967" s="82"/>
    </row>
    <row r="968" spans="2:111" ht="9" customHeight="1">
      <c r="B968" s="229"/>
      <c r="C968" s="229"/>
      <c r="D968" s="229"/>
      <c r="E968" s="229"/>
      <c r="F968" s="229"/>
      <c r="G968" s="229"/>
      <c r="H968" s="229"/>
      <c r="I968" s="229"/>
      <c r="J968" s="229"/>
      <c r="K968" s="229"/>
      <c r="L968" s="229"/>
      <c r="M968" s="229"/>
      <c r="N968" s="229"/>
      <c r="P968" s="230"/>
      <c r="Q968" s="230"/>
      <c r="R968" s="230"/>
      <c r="S968" s="230"/>
      <c r="T968" s="230"/>
      <c r="U968" s="230"/>
      <c r="V968" s="230"/>
      <c r="W968" s="230"/>
      <c r="X968" s="230"/>
      <c r="Y968" s="230"/>
      <c r="Z968" s="230"/>
      <c r="AA968" s="230"/>
      <c r="AB968" s="230"/>
      <c r="AC968" s="230"/>
      <c r="AD968" s="230"/>
      <c r="AE968" s="230"/>
      <c r="AF968" s="230"/>
      <c r="AG968" s="230"/>
      <c r="AH968" s="230"/>
      <c r="AI968" s="230"/>
      <c r="AJ968" s="230"/>
      <c r="AK968" s="230"/>
      <c r="AL968" s="230"/>
      <c r="AM968" s="230"/>
      <c r="AN968" s="230"/>
      <c r="AO968" s="230"/>
      <c r="AP968" s="230"/>
      <c r="AQ968" s="230"/>
      <c r="AS968" s="231"/>
      <c r="AT968" s="231"/>
      <c r="AU968" s="231"/>
      <c r="AV968" s="231"/>
      <c r="AW968" s="231"/>
      <c r="AX968" s="231"/>
      <c r="AY968" s="231"/>
      <c r="AZ968" s="231"/>
      <c r="BA968" s="231"/>
      <c r="BC968" s="82"/>
      <c r="BD968" s="82"/>
      <c r="BE968" s="82"/>
      <c r="BF968" s="82"/>
      <c r="BG968" s="82"/>
      <c r="BH968" s="82"/>
      <c r="BI968" s="82"/>
      <c r="BJ968" s="82"/>
      <c r="BK968" s="82"/>
      <c r="BL968" s="82"/>
      <c r="BM968" s="82"/>
      <c r="BN968" s="82"/>
      <c r="BO968" s="82"/>
      <c r="BP968" s="82"/>
      <c r="BQ968" s="82"/>
      <c r="BR968" s="82"/>
      <c r="BS968" s="82"/>
      <c r="BT968" s="82"/>
      <c r="BU968" s="82"/>
      <c r="BV968" s="82"/>
      <c r="BW968" s="82"/>
      <c r="BX968" s="82"/>
      <c r="BY968" s="82"/>
      <c r="BZ968" s="82"/>
      <c r="CA968" s="82"/>
      <c r="CB968" s="82"/>
      <c r="CC968" s="82"/>
      <c r="CD968" s="82"/>
      <c r="CE968" s="82"/>
      <c r="CF968" s="82"/>
      <c r="CG968" s="82"/>
      <c r="CH968" s="82"/>
      <c r="CI968" s="82"/>
      <c r="CJ968" s="82"/>
      <c r="CK968" s="82"/>
      <c r="CL968" s="82"/>
      <c r="CM968" s="82"/>
      <c r="CN968" s="82"/>
      <c r="CO968" s="82"/>
      <c r="CP968" s="82"/>
      <c r="CQ968" s="82"/>
      <c r="CR968" s="82"/>
      <c r="CS968" s="82"/>
      <c r="CT968" s="82"/>
      <c r="CU968" s="82"/>
      <c r="CV968" s="82"/>
      <c r="CW968" s="82"/>
      <c r="CX968" s="82"/>
      <c r="CY968" s="82"/>
      <c r="CZ968" s="82"/>
      <c r="DA968" s="82"/>
      <c r="DB968" s="82"/>
      <c r="DC968" s="82"/>
      <c r="DD968" s="82"/>
      <c r="DE968" s="82"/>
      <c r="DF968" s="82"/>
      <c r="DG968" s="82"/>
    </row>
    <row r="969" spans="2:111" ht="12" customHeight="1">
      <c r="BC969" s="82"/>
      <c r="BD969" s="82"/>
      <c r="BE969" s="82"/>
      <c r="BF969" s="82"/>
      <c r="BG969" s="82"/>
      <c r="BH969" s="82"/>
      <c r="BI969" s="82"/>
      <c r="BJ969" s="82"/>
      <c r="BK969" s="82"/>
      <c r="BL969" s="82"/>
      <c r="BM969" s="82"/>
      <c r="BN969" s="82"/>
      <c r="BO969" s="82"/>
      <c r="BP969" s="82"/>
      <c r="BQ969" s="82"/>
      <c r="BR969" s="82"/>
      <c r="BS969" s="82"/>
      <c r="BT969" s="82"/>
      <c r="BU969" s="82"/>
      <c r="BV969" s="82"/>
      <c r="BW969" s="82"/>
      <c r="BX969" s="82"/>
      <c r="BY969" s="82"/>
      <c r="BZ969" s="82"/>
      <c r="CA969" s="82"/>
      <c r="CB969" s="82"/>
      <c r="CC969" s="82"/>
      <c r="CD969" s="82"/>
      <c r="CE969" s="82"/>
      <c r="CF969" s="82"/>
      <c r="CG969" s="82"/>
      <c r="CH969" s="82"/>
      <c r="CI969" s="82"/>
      <c r="CJ969" s="82"/>
      <c r="CK969" s="82"/>
      <c r="CL969" s="82"/>
      <c r="CM969" s="82"/>
      <c r="CN969" s="82"/>
      <c r="CO969" s="82"/>
      <c r="CP969" s="82"/>
      <c r="CQ969" s="82"/>
      <c r="CR969" s="82"/>
      <c r="CS969" s="82"/>
      <c r="CT969" s="82"/>
      <c r="CU969" s="82"/>
      <c r="CV969" s="82"/>
      <c r="CW969" s="82"/>
      <c r="CX969" s="82"/>
      <c r="CY969" s="82"/>
      <c r="CZ969" s="82"/>
      <c r="DA969" s="82"/>
      <c r="DB969" s="82"/>
      <c r="DC969" s="82"/>
      <c r="DD969" s="82"/>
      <c r="DE969" s="82"/>
      <c r="DF969" s="82"/>
      <c r="DG969" s="82"/>
    </row>
    <row r="970" spans="2:111" ht="4.5" customHeight="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29"/>
      <c r="AP970" s="29"/>
      <c r="AQ970" s="29"/>
      <c r="AR970" s="29"/>
      <c r="AS970" s="29"/>
      <c r="AT970" s="29"/>
      <c r="AU970" s="29"/>
      <c r="AV970" s="29"/>
      <c r="AW970" s="29"/>
      <c r="AX970" s="29"/>
      <c r="AY970" s="29"/>
      <c r="AZ970" s="29"/>
      <c r="BA970" s="29"/>
      <c r="BC970" s="82"/>
      <c r="BD970" s="82"/>
      <c r="BE970" s="82"/>
      <c r="BF970" s="82"/>
      <c r="BG970" s="82"/>
      <c r="BH970" s="82"/>
      <c r="BI970" s="82"/>
      <c r="BJ970" s="82"/>
      <c r="BK970" s="82"/>
      <c r="BL970" s="82"/>
      <c r="BM970" s="82"/>
      <c r="BN970" s="82"/>
      <c r="BO970" s="82"/>
      <c r="BP970" s="82"/>
      <c r="BQ970" s="82"/>
      <c r="BR970" s="82"/>
      <c r="BS970" s="82"/>
      <c r="BT970" s="82"/>
      <c r="BU970" s="82"/>
      <c r="BV970" s="82"/>
      <c r="BW970" s="82"/>
      <c r="BX970" s="82"/>
      <c r="BY970" s="82"/>
      <c r="BZ970" s="82"/>
      <c r="CA970" s="82"/>
      <c r="CB970" s="82"/>
      <c r="CC970" s="82"/>
      <c r="CD970" s="82"/>
      <c r="CE970" s="82"/>
      <c r="CF970" s="82"/>
      <c r="CG970" s="82"/>
      <c r="CH970" s="82"/>
      <c r="CI970" s="82"/>
      <c r="CJ970" s="82"/>
      <c r="CK970" s="82"/>
      <c r="CL970" s="82"/>
      <c r="CM970" s="82"/>
      <c r="CN970" s="82"/>
      <c r="CO970" s="82"/>
      <c r="CP970" s="82"/>
      <c r="CQ970" s="82"/>
      <c r="CR970" s="82"/>
      <c r="CS970" s="82"/>
      <c r="CT970" s="82"/>
      <c r="CU970" s="82"/>
      <c r="CV970" s="82"/>
      <c r="CW970" s="82"/>
      <c r="CX970" s="82"/>
      <c r="CY970" s="82"/>
      <c r="CZ970" s="82"/>
      <c r="DA970" s="82"/>
      <c r="DB970" s="82"/>
      <c r="DC970" s="82"/>
      <c r="DD970" s="82"/>
      <c r="DE970" s="82"/>
      <c r="DF970" s="82"/>
      <c r="DG970" s="82"/>
    </row>
    <row r="971" spans="2:111" ht="9" customHeight="1">
      <c r="B971" s="232" t="str">
        <f>IF($U$874&gt;=5,"Etapa 3.5","")</f>
        <v/>
      </c>
      <c r="C971" s="232"/>
      <c r="D971" s="232"/>
      <c r="E971" s="232"/>
      <c r="F971" s="232"/>
      <c r="G971" s="232"/>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c r="AI971" s="233"/>
      <c r="AJ971" s="233"/>
      <c r="AK971" s="233"/>
      <c r="AL971" s="233"/>
      <c r="AM971" s="233"/>
      <c r="AN971" s="233"/>
      <c r="AO971" s="233"/>
      <c r="AP971" s="233"/>
      <c r="AQ971" s="233"/>
      <c r="AS971" s="234" t="str">
        <f>IF(SUM(AS977:BA992)=0,"",SUM(AS977:BA992))</f>
        <v/>
      </c>
      <c r="AT971" s="234"/>
      <c r="AU971" s="234"/>
      <c r="AV971" s="234"/>
      <c r="AW971" s="234"/>
      <c r="AX971" s="234"/>
      <c r="AY971" s="234"/>
      <c r="AZ971" s="234"/>
      <c r="BA971" s="234"/>
      <c r="BC971" s="82"/>
      <c r="BD971" s="82"/>
      <c r="BE971" s="82"/>
      <c r="BF971" s="82"/>
      <c r="BG971" s="82"/>
      <c r="BH971" s="82"/>
      <c r="BI971" s="82"/>
      <c r="BJ971" s="82"/>
      <c r="BK971" s="82"/>
      <c r="BL971" s="82"/>
      <c r="BM971" s="82"/>
      <c r="BN971" s="82"/>
      <c r="BO971" s="82"/>
      <c r="BP971" s="82"/>
      <c r="BQ971" s="82"/>
      <c r="BR971" s="82"/>
      <c r="BS971" s="82"/>
      <c r="BT971" s="82"/>
      <c r="BU971" s="82"/>
      <c r="BV971" s="82"/>
      <c r="BW971" s="82"/>
      <c r="BX971" s="82"/>
      <c r="BY971" s="82"/>
      <c r="BZ971" s="82"/>
      <c r="CA971" s="82"/>
      <c r="CB971" s="82"/>
      <c r="CC971" s="82"/>
      <c r="CD971" s="82"/>
      <c r="CE971" s="82"/>
      <c r="CF971" s="82"/>
      <c r="CG971" s="82"/>
      <c r="CH971" s="82"/>
      <c r="CI971" s="82"/>
      <c r="CJ971" s="82"/>
      <c r="CK971" s="82"/>
      <c r="CL971" s="82"/>
      <c r="CM971" s="82"/>
      <c r="CN971" s="82"/>
      <c r="CO971" s="82"/>
      <c r="CP971" s="82"/>
      <c r="CQ971" s="82"/>
      <c r="CR971" s="82"/>
      <c r="CS971" s="82"/>
      <c r="CT971" s="82"/>
      <c r="CU971" s="82"/>
      <c r="CV971" s="82"/>
      <c r="CW971" s="82"/>
      <c r="CX971" s="82"/>
      <c r="CY971" s="82"/>
      <c r="CZ971" s="82"/>
      <c r="DA971" s="82"/>
      <c r="DB971" s="82"/>
      <c r="DC971" s="82"/>
      <c r="DD971" s="82"/>
      <c r="DE971" s="82"/>
      <c r="DF971" s="82"/>
      <c r="DG971" s="82"/>
    </row>
    <row r="972" spans="2:111" ht="9" customHeight="1">
      <c r="B972" s="232"/>
      <c r="C972" s="232"/>
      <c r="D972" s="232"/>
      <c r="E972" s="232"/>
      <c r="F972" s="232"/>
      <c r="G972" s="232"/>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c r="AI972" s="233"/>
      <c r="AJ972" s="233"/>
      <c r="AK972" s="233"/>
      <c r="AL972" s="233"/>
      <c r="AM972" s="233"/>
      <c r="AN972" s="233"/>
      <c r="AO972" s="233"/>
      <c r="AP972" s="233"/>
      <c r="AQ972" s="233"/>
      <c r="AS972" s="234"/>
      <c r="AT972" s="234"/>
      <c r="AU972" s="234"/>
      <c r="AV972" s="234"/>
      <c r="AW972" s="234"/>
      <c r="AX972" s="234"/>
      <c r="AY972" s="234"/>
      <c r="AZ972" s="234"/>
      <c r="BA972" s="234"/>
      <c r="BC972" s="82"/>
      <c r="BD972" s="82"/>
      <c r="BE972" s="82"/>
      <c r="BF972" s="82"/>
      <c r="BG972" s="82"/>
      <c r="BH972" s="82"/>
      <c r="BI972" s="82"/>
      <c r="BJ972" s="82"/>
      <c r="BK972" s="82"/>
      <c r="BL972" s="82"/>
      <c r="BM972" s="82"/>
      <c r="BN972" s="82"/>
      <c r="BO972" s="82"/>
      <c r="BP972" s="82"/>
      <c r="BQ972" s="82"/>
      <c r="BR972" s="82"/>
      <c r="BS972" s="82"/>
      <c r="BT972" s="82"/>
      <c r="BU972" s="82"/>
      <c r="BV972" s="82"/>
      <c r="BW972" s="82"/>
      <c r="BX972" s="82"/>
      <c r="BY972" s="82"/>
      <c r="BZ972" s="82"/>
      <c r="CA972" s="82"/>
      <c r="CB972" s="82"/>
      <c r="CC972" s="82"/>
      <c r="CD972" s="82"/>
      <c r="CE972" s="82"/>
      <c r="CF972" s="82"/>
      <c r="CG972" s="82"/>
      <c r="CH972" s="82"/>
      <c r="CI972" s="82"/>
      <c r="CJ972" s="82"/>
      <c r="CK972" s="82"/>
      <c r="CL972" s="82"/>
      <c r="CM972" s="82"/>
      <c r="CN972" s="82"/>
      <c r="CO972" s="82"/>
      <c r="CP972" s="82"/>
      <c r="CQ972" s="82"/>
      <c r="CR972" s="82"/>
      <c r="CS972" s="82"/>
      <c r="CT972" s="82"/>
      <c r="CU972" s="82"/>
      <c r="CV972" s="82"/>
      <c r="CW972" s="82"/>
      <c r="CX972" s="82"/>
      <c r="CY972" s="82"/>
      <c r="CZ972" s="82"/>
      <c r="DA972" s="82"/>
      <c r="DB972" s="82"/>
      <c r="DC972" s="82"/>
      <c r="DD972" s="82"/>
      <c r="DE972" s="82"/>
      <c r="DF972" s="82"/>
      <c r="DG972" s="82"/>
    </row>
    <row r="973" spans="2:111" ht="4.5" customHeight="1">
      <c r="BC973" s="82"/>
      <c r="BD973" s="82"/>
      <c r="BE973" s="82"/>
      <c r="BF973" s="82"/>
      <c r="BG973" s="82"/>
      <c r="BH973" s="82"/>
      <c r="BI973" s="82"/>
      <c r="BJ973" s="82"/>
      <c r="BK973" s="82"/>
      <c r="BL973" s="82"/>
      <c r="BM973" s="82"/>
      <c r="BN973" s="82"/>
      <c r="BO973" s="82"/>
      <c r="BP973" s="82"/>
      <c r="BQ973" s="82"/>
      <c r="BR973" s="82"/>
      <c r="BS973" s="82"/>
      <c r="BT973" s="82"/>
      <c r="BU973" s="82"/>
      <c r="BV973" s="82"/>
      <c r="BW973" s="82"/>
      <c r="BX973" s="82"/>
      <c r="BY973" s="82"/>
      <c r="BZ973" s="82"/>
      <c r="CA973" s="82"/>
      <c r="CB973" s="82"/>
      <c r="CC973" s="82"/>
      <c r="CD973" s="82"/>
      <c r="CE973" s="82"/>
      <c r="CF973" s="82"/>
      <c r="CG973" s="82"/>
      <c r="CH973" s="82"/>
      <c r="CI973" s="82"/>
      <c r="CJ973" s="82"/>
      <c r="CK973" s="82"/>
      <c r="CL973" s="82"/>
      <c r="CM973" s="82"/>
      <c r="CN973" s="82"/>
      <c r="CO973" s="82"/>
      <c r="CP973" s="82"/>
      <c r="CQ973" s="82"/>
      <c r="CR973" s="82"/>
      <c r="CS973" s="82"/>
      <c r="CT973" s="82"/>
      <c r="CU973" s="82"/>
      <c r="CV973" s="82"/>
      <c r="CW973" s="82"/>
      <c r="CX973" s="82"/>
      <c r="CY973" s="82"/>
      <c r="CZ973" s="82"/>
      <c r="DA973" s="82"/>
      <c r="DB973" s="82"/>
      <c r="DC973" s="82"/>
      <c r="DD973" s="82"/>
      <c r="DE973" s="82"/>
      <c r="DF973" s="82"/>
      <c r="DG973" s="82"/>
    </row>
    <row r="974" spans="2:111" ht="9" customHeight="1">
      <c r="I974" s="229" t="str">
        <f>IF($U$874&gt;=5,"Início:","")</f>
        <v/>
      </c>
      <c r="J974" s="229"/>
      <c r="K974" s="229"/>
      <c r="L974" s="229"/>
      <c r="M974" s="229"/>
      <c r="N974" s="229"/>
      <c r="P974" s="235"/>
      <c r="Q974" s="235"/>
      <c r="R974" s="235"/>
      <c r="S974" s="235"/>
      <c r="T974" s="235"/>
      <c r="U974" s="235"/>
      <c r="V974" s="235"/>
      <c r="W974" s="235"/>
      <c r="Y974" s="229" t="str">
        <f>IF($U$874&gt;=5,"Término:","")</f>
        <v/>
      </c>
      <c r="Z974" s="229"/>
      <c r="AA974" s="229"/>
      <c r="AB974" s="229"/>
      <c r="AC974" s="229"/>
      <c r="AD974" s="229"/>
      <c r="AF974" s="235"/>
      <c r="AG974" s="235"/>
      <c r="AH974" s="235"/>
      <c r="AI974" s="235"/>
      <c r="AJ974" s="235"/>
      <c r="AK974" s="235"/>
      <c r="AL974" s="235"/>
      <c r="AM974" s="235"/>
      <c r="AW974" s="236" t="str">
        <f>IF($U$874&gt;=5,"Valor (R$):","")</f>
        <v/>
      </c>
      <c r="AX974" s="236"/>
      <c r="AY974" s="236"/>
      <c r="AZ974" s="236"/>
      <c r="BA974" s="236"/>
      <c r="BC974" s="82"/>
      <c r="BD974" s="82"/>
      <c r="BE974" s="82"/>
      <c r="BF974" s="82"/>
      <c r="BG974" s="82"/>
      <c r="BH974" s="82"/>
      <c r="BI974" s="82"/>
      <c r="BJ974" s="82"/>
      <c r="BK974" s="82"/>
      <c r="BL974" s="82"/>
      <c r="BM974" s="82"/>
      <c r="BN974" s="82"/>
      <c r="BO974" s="82"/>
      <c r="BP974" s="82"/>
      <c r="BQ974" s="82"/>
      <c r="BR974" s="82"/>
      <c r="BS974" s="82"/>
      <c r="BT974" s="82"/>
      <c r="BU974" s="82"/>
      <c r="BV974" s="82"/>
      <c r="BW974" s="82"/>
      <c r="BX974" s="82"/>
      <c r="BY974" s="82"/>
      <c r="BZ974" s="82"/>
      <c r="CA974" s="82"/>
      <c r="CB974" s="82"/>
      <c r="CC974" s="82"/>
      <c r="CD974" s="82"/>
      <c r="CE974" s="82"/>
      <c r="CF974" s="82"/>
      <c r="CG974" s="82"/>
      <c r="CH974" s="82"/>
      <c r="CI974" s="82"/>
      <c r="CJ974" s="82"/>
      <c r="CK974" s="82"/>
      <c r="CL974" s="82"/>
      <c r="CM974" s="82"/>
      <c r="CN974" s="82"/>
      <c r="CO974" s="82"/>
      <c r="CP974" s="82"/>
      <c r="CQ974" s="82"/>
      <c r="CR974" s="82"/>
      <c r="CS974" s="82"/>
      <c r="CT974" s="82"/>
      <c r="CU974" s="82"/>
      <c r="CV974" s="82"/>
      <c r="CW974" s="82"/>
      <c r="CX974" s="82"/>
      <c r="CY974" s="82"/>
      <c r="CZ974" s="82"/>
      <c r="DA974" s="82"/>
      <c r="DB974" s="82"/>
      <c r="DC974" s="82"/>
      <c r="DD974" s="82"/>
      <c r="DE974" s="82"/>
      <c r="DF974" s="82"/>
      <c r="DG974" s="82"/>
    </row>
    <row r="975" spans="2:111" ht="9" customHeight="1">
      <c r="I975" s="229"/>
      <c r="J975" s="229"/>
      <c r="K975" s="229"/>
      <c r="L975" s="229"/>
      <c r="M975" s="229"/>
      <c r="N975" s="229"/>
      <c r="P975" s="235"/>
      <c r="Q975" s="235"/>
      <c r="R975" s="235"/>
      <c r="S975" s="235"/>
      <c r="T975" s="235"/>
      <c r="U975" s="235"/>
      <c r="V975" s="235"/>
      <c r="W975" s="235"/>
      <c r="Y975" s="229"/>
      <c r="Z975" s="229"/>
      <c r="AA975" s="229"/>
      <c r="AB975" s="229"/>
      <c r="AC975" s="229"/>
      <c r="AD975" s="229"/>
      <c r="AF975" s="235"/>
      <c r="AG975" s="235"/>
      <c r="AH975" s="235"/>
      <c r="AI975" s="235"/>
      <c r="AJ975" s="235"/>
      <c r="AK975" s="235"/>
      <c r="AL975" s="235"/>
      <c r="AM975" s="235"/>
      <c r="AW975" s="236"/>
      <c r="AX975" s="236"/>
      <c r="AY975" s="236"/>
      <c r="AZ975" s="236"/>
      <c r="BA975" s="236"/>
      <c r="BC975" s="82"/>
      <c r="BD975" s="82"/>
      <c r="BE975" s="82"/>
      <c r="BF975" s="82"/>
      <c r="BG975" s="82"/>
      <c r="BH975" s="82"/>
      <c r="BI975" s="82"/>
      <c r="BJ975" s="82"/>
      <c r="BK975" s="82"/>
      <c r="BL975" s="82"/>
      <c r="BM975" s="82"/>
      <c r="BN975" s="82"/>
      <c r="BO975" s="82"/>
      <c r="BP975" s="82"/>
      <c r="BQ975" s="82"/>
      <c r="BR975" s="82"/>
      <c r="BS975" s="82"/>
      <c r="BT975" s="82"/>
      <c r="BU975" s="82"/>
      <c r="BV975" s="82"/>
      <c r="BW975" s="82"/>
      <c r="BX975" s="82"/>
      <c r="BY975" s="82"/>
      <c r="BZ975" s="82"/>
      <c r="CA975" s="82"/>
      <c r="CB975" s="82"/>
      <c r="CC975" s="82"/>
      <c r="CD975" s="82"/>
      <c r="CE975" s="82"/>
      <c r="CF975" s="82"/>
      <c r="CG975" s="82"/>
      <c r="CH975" s="82"/>
      <c r="CI975" s="82"/>
      <c r="CJ975" s="82"/>
      <c r="CK975" s="82"/>
      <c r="CL975" s="82"/>
      <c r="CM975" s="82"/>
      <c r="CN975" s="82"/>
      <c r="CO975" s="82"/>
      <c r="CP975" s="82"/>
      <c r="CQ975" s="82"/>
      <c r="CR975" s="82"/>
      <c r="CS975" s="82"/>
      <c r="CT975" s="82"/>
      <c r="CU975" s="82"/>
      <c r="CV975" s="82"/>
      <c r="CW975" s="82"/>
      <c r="CX975" s="82"/>
      <c r="CY975" s="82"/>
      <c r="CZ975" s="82"/>
      <c r="DA975" s="82"/>
      <c r="DB975" s="82"/>
      <c r="DC975" s="82"/>
      <c r="DD975" s="82"/>
      <c r="DE975" s="82"/>
      <c r="DF975" s="82"/>
      <c r="DG975" s="82"/>
    </row>
    <row r="976" spans="2:111" ht="4.5" customHeight="1">
      <c r="BC976" s="82"/>
      <c r="BD976" s="82"/>
      <c r="BE976" s="82"/>
      <c r="BF976" s="82"/>
      <c r="BG976" s="82"/>
      <c r="BH976" s="82"/>
      <c r="BI976" s="82"/>
      <c r="BJ976" s="82"/>
      <c r="BK976" s="82"/>
      <c r="BL976" s="82"/>
      <c r="BM976" s="82"/>
      <c r="BN976" s="82"/>
      <c r="BO976" s="82"/>
      <c r="BP976" s="82"/>
      <c r="BQ976" s="82"/>
      <c r="BR976" s="82"/>
      <c r="BS976" s="82"/>
      <c r="BT976" s="82"/>
      <c r="BU976" s="82"/>
      <c r="BV976" s="82"/>
      <c r="BW976" s="82"/>
      <c r="BX976" s="82"/>
      <c r="BY976" s="82"/>
      <c r="BZ976" s="82"/>
      <c r="CA976" s="82"/>
      <c r="CB976" s="82"/>
      <c r="CC976" s="82"/>
      <c r="CD976" s="82"/>
      <c r="CE976" s="82"/>
      <c r="CF976" s="82"/>
      <c r="CG976" s="82"/>
      <c r="CH976" s="82"/>
      <c r="CI976" s="82"/>
      <c r="CJ976" s="82"/>
      <c r="CK976" s="82"/>
      <c r="CL976" s="82"/>
      <c r="CM976" s="82"/>
      <c r="CN976" s="82"/>
      <c r="CO976" s="82"/>
      <c r="CP976" s="82"/>
      <c r="CQ976" s="82"/>
      <c r="CR976" s="82"/>
      <c r="CS976" s="82"/>
      <c r="CT976" s="82"/>
      <c r="CU976" s="82"/>
      <c r="CV976" s="82"/>
      <c r="CW976" s="82"/>
      <c r="CX976" s="82"/>
      <c r="CY976" s="82"/>
      <c r="CZ976" s="82"/>
      <c r="DA976" s="82"/>
      <c r="DB976" s="82"/>
      <c r="DC976" s="82"/>
      <c r="DD976" s="82"/>
      <c r="DE976" s="82"/>
      <c r="DF976" s="82"/>
      <c r="DG976" s="82"/>
    </row>
    <row r="977" spans="2:111" ht="9" customHeight="1">
      <c r="B977" s="229" t="str">
        <f>IF($U$874&gt;=5,"Elementos de Despesa:","")</f>
        <v/>
      </c>
      <c r="C977" s="229"/>
      <c r="D977" s="229"/>
      <c r="E977" s="229"/>
      <c r="F977" s="229"/>
      <c r="G977" s="229"/>
      <c r="H977" s="229"/>
      <c r="I977" s="229"/>
      <c r="J977" s="229"/>
      <c r="K977" s="229"/>
      <c r="L977" s="229"/>
      <c r="M977" s="229"/>
      <c r="N977" s="229"/>
      <c r="P977" s="230"/>
      <c r="Q977" s="230"/>
      <c r="R977" s="230"/>
      <c r="S977" s="230"/>
      <c r="T977" s="230"/>
      <c r="U977" s="230"/>
      <c r="V977" s="230"/>
      <c r="W977" s="230"/>
      <c r="X977" s="230"/>
      <c r="Y977" s="230"/>
      <c r="Z977" s="230"/>
      <c r="AA977" s="230"/>
      <c r="AB977" s="230"/>
      <c r="AC977" s="230"/>
      <c r="AD977" s="230"/>
      <c r="AE977" s="230"/>
      <c r="AF977" s="230"/>
      <c r="AG977" s="230"/>
      <c r="AH977" s="230"/>
      <c r="AI977" s="230"/>
      <c r="AJ977" s="230"/>
      <c r="AK977" s="230"/>
      <c r="AL977" s="230"/>
      <c r="AM977" s="230"/>
      <c r="AN977" s="230"/>
      <c r="AO977" s="230"/>
      <c r="AP977" s="230"/>
      <c r="AQ977" s="230"/>
      <c r="AS977" s="231"/>
      <c r="AT977" s="231"/>
      <c r="AU977" s="231"/>
      <c r="AV977" s="231"/>
      <c r="AW977" s="231"/>
      <c r="AX977" s="231"/>
      <c r="AY977" s="231"/>
      <c r="AZ977" s="231"/>
      <c r="BA977" s="231"/>
      <c r="BC977" s="82"/>
      <c r="BD977" s="82"/>
      <c r="BE977" s="82"/>
      <c r="BF977" s="82"/>
      <c r="BG977" s="82"/>
      <c r="BH977" s="82"/>
      <c r="BI977" s="82"/>
      <c r="BJ977" s="82"/>
      <c r="BK977" s="82"/>
      <c r="BL977" s="82"/>
      <c r="BM977" s="82"/>
      <c r="BN977" s="82"/>
      <c r="BO977" s="82"/>
      <c r="BP977" s="82"/>
      <c r="BQ977" s="82"/>
      <c r="BR977" s="82"/>
      <c r="BS977" s="82"/>
      <c r="BT977" s="82"/>
      <c r="BU977" s="82"/>
      <c r="BV977" s="82"/>
      <c r="BW977" s="82"/>
      <c r="BX977" s="82"/>
      <c r="BY977" s="82"/>
      <c r="BZ977" s="82"/>
      <c r="CA977" s="82"/>
      <c r="CB977" s="82"/>
      <c r="CC977" s="82"/>
      <c r="CD977" s="82"/>
      <c r="CE977" s="82"/>
      <c r="CF977" s="82"/>
      <c r="CG977" s="82"/>
      <c r="CH977" s="82"/>
      <c r="CI977" s="82"/>
      <c r="CJ977" s="82"/>
      <c r="CK977" s="82"/>
      <c r="CL977" s="82"/>
      <c r="CM977" s="82"/>
      <c r="CN977" s="82"/>
      <c r="CO977" s="82"/>
      <c r="CP977" s="82"/>
      <c r="CQ977" s="82"/>
      <c r="CR977" s="82"/>
      <c r="CS977" s="82"/>
      <c r="CT977" s="82"/>
      <c r="CU977" s="82"/>
      <c r="CV977" s="82"/>
      <c r="CW977" s="82"/>
      <c r="CX977" s="82"/>
      <c r="CY977" s="82"/>
      <c r="CZ977" s="82"/>
      <c r="DA977" s="82"/>
      <c r="DB977" s="82"/>
      <c r="DC977" s="82"/>
      <c r="DD977" s="82"/>
      <c r="DE977" s="82"/>
      <c r="DF977" s="82"/>
      <c r="DG977" s="82"/>
    </row>
    <row r="978" spans="2:111" ht="9" customHeight="1">
      <c r="B978" s="229"/>
      <c r="C978" s="229"/>
      <c r="D978" s="229"/>
      <c r="E978" s="229"/>
      <c r="F978" s="229"/>
      <c r="G978" s="229"/>
      <c r="H978" s="229"/>
      <c r="I978" s="229"/>
      <c r="J978" s="229"/>
      <c r="K978" s="229"/>
      <c r="L978" s="229"/>
      <c r="M978" s="229"/>
      <c r="N978" s="229"/>
      <c r="P978" s="230"/>
      <c r="Q978" s="230"/>
      <c r="R978" s="230"/>
      <c r="S978" s="230"/>
      <c r="T978" s="230"/>
      <c r="U978" s="230"/>
      <c r="V978" s="230"/>
      <c r="W978" s="230"/>
      <c r="X978" s="230"/>
      <c r="Y978" s="230"/>
      <c r="Z978" s="230"/>
      <c r="AA978" s="230"/>
      <c r="AB978" s="230"/>
      <c r="AC978" s="230"/>
      <c r="AD978" s="230"/>
      <c r="AE978" s="230"/>
      <c r="AF978" s="230"/>
      <c r="AG978" s="230"/>
      <c r="AH978" s="230"/>
      <c r="AI978" s="230"/>
      <c r="AJ978" s="230"/>
      <c r="AK978" s="230"/>
      <c r="AL978" s="230"/>
      <c r="AM978" s="230"/>
      <c r="AN978" s="230"/>
      <c r="AO978" s="230"/>
      <c r="AP978" s="230"/>
      <c r="AQ978" s="230"/>
      <c r="AS978" s="231"/>
      <c r="AT978" s="231"/>
      <c r="AU978" s="231"/>
      <c r="AV978" s="231"/>
      <c r="AW978" s="231"/>
      <c r="AX978" s="231"/>
      <c r="AY978" s="231"/>
      <c r="AZ978" s="231"/>
      <c r="BA978" s="231"/>
      <c r="BC978" s="82"/>
      <c r="BD978" s="82"/>
      <c r="BE978" s="82"/>
      <c r="BF978" s="82"/>
      <c r="BG978" s="82"/>
      <c r="BH978" s="82"/>
      <c r="BI978" s="82"/>
      <c r="BJ978" s="82"/>
      <c r="BK978" s="82"/>
      <c r="BL978" s="82"/>
      <c r="BM978" s="82"/>
      <c r="BN978" s="82"/>
      <c r="BO978" s="82"/>
      <c r="BP978" s="82"/>
      <c r="BQ978" s="82"/>
      <c r="BR978" s="82"/>
      <c r="BS978" s="82"/>
      <c r="BT978" s="82"/>
      <c r="BU978" s="82"/>
      <c r="BV978" s="82"/>
      <c r="BW978" s="82"/>
      <c r="BX978" s="82"/>
      <c r="BY978" s="82"/>
      <c r="BZ978" s="82"/>
      <c r="CA978" s="82"/>
      <c r="CB978" s="82"/>
      <c r="CC978" s="82"/>
      <c r="CD978" s="82"/>
      <c r="CE978" s="82"/>
      <c r="CF978" s="82"/>
      <c r="CG978" s="82"/>
      <c r="CH978" s="82"/>
      <c r="CI978" s="82"/>
      <c r="CJ978" s="82"/>
      <c r="CK978" s="82"/>
      <c r="CL978" s="82"/>
      <c r="CM978" s="82"/>
      <c r="CN978" s="82"/>
      <c r="CO978" s="82"/>
      <c r="CP978" s="82"/>
      <c r="CQ978" s="82"/>
      <c r="CR978" s="82"/>
      <c r="CS978" s="82"/>
      <c r="CT978" s="82"/>
      <c r="CU978" s="82"/>
      <c r="CV978" s="82"/>
      <c r="CW978" s="82"/>
      <c r="CX978" s="82"/>
      <c r="CY978" s="82"/>
      <c r="CZ978" s="82"/>
      <c r="DA978" s="82"/>
      <c r="DB978" s="82"/>
      <c r="DC978" s="82"/>
      <c r="DD978" s="82"/>
      <c r="DE978" s="82"/>
      <c r="DF978" s="82"/>
      <c r="DG978" s="82"/>
    </row>
    <row r="979" spans="2:111" ht="9" customHeight="1">
      <c r="B979" s="229"/>
      <c r="C979" s="229"/>
      <c r="D979" s="229"/>
      <c r="E979" s="229"/>
      <c r="F979" s="229"/>
      <c r="G979" s="229"/>
      <c r="H979" s="229"/>
      <c r="I979" s="229"/>
      <c r="J979" s="229"/>
      <c r="K979" s="229"/>
      <c r="L979" s="229"/>
      <c r="M979" s="229"/>
      <c r="N979" s="229"/>
      <c r="P979" s="230"/>
      <c r="Q979" s="230"/>
      <c r="R979" s="230"/>
      <c r="S979" s="230"/>
      <c r="T979" s="230"/>
      <c r="U979" s="230"/>
      <c r="V979" s="230"/>
      <c r="W979" s="230"/>
      <c r="X979" s="230"/>
      <c r="Y979" s="230"/>
      <c r="Z979" s="230"/>
      <c r="AA979" s="230"/>
      <c r="AB979" s="230"/>
      <c r="AC979" s="230"/>
      <c r="AD979" s="230"/>
      <c r="AE979" s="230"/>
      <c r="AF979" s="230"/>
      <c r="AG979" s="230"/>
      <c r="AH979" s="230"/>
      <c r="AI979" s="230"/>
      <c r="AJ979" s="230"/>
      <c r="AK979" s="230"/>
      <c r="AL979" s="230"/>
      <c r="AM979" s="230"/>
      <c r="AN979" s="230"/>
      <c r="AO979" s="230"/>
      <c r="AP979" s="230"/>
      <c r="AQ979" s="230"/>
      <c r="AS979" s="231"/>
      <c r="AT979" s="231"/>
      <c r="AU979" s="231"/>
      <c r="AV979" s="231"/>
      <c r="AW979" s="231"/>
      <c r="AX979" s="231"/>
      <c r="AY979" s="231"/>
      <c r="AZ979" s="231"/>
      <c r="BA979" s="231"/>
      <c r="BC979" s="82"/>
      <c r="BD979" s="82"/>
      <c r="BE979" s="82"/>
      <c r="BF979" s="82"/>
      <c r="BG979" s="82"/>
      <c r="BH979" s="82"/>
      <c r="BI979" s="82"/>
      <c r="BJ979" s="82"/>
      <c r="BK979" s="82"/>
      <c r="BL979" s="82"/>
      <c r="BM979" s="82"/>
      <c r="BN979" s="82"/>
      <c r="BO979" s="82"/>
      <c r="BP979" s="82"/>
      <c r="BQ979" s="82"/>
      <c r="BR979" s="82"/>
      <c r="BS979" s="82"/>
      <c r="BT979" s="82"/>
      <c r="BU979" s="82"/>
      <c r="BV979" s="82"/>
      <c r="BW979" s="82"/>
      <c r="BX979" s="82"/>
      <c r="BY979" s="82"/>
      <c r="BZ979" s="82"/>
      <c r="CA979" s="82"/>
      <c r="CB979" s="82"/>
      <c r="CC979" s="82"/>
      <c r="CD979" s="82"/>
      <c r="CE979" s="82"/>
      <c r="CF979" s="82"/>
      <c r="CG979" s="82"/>
      <c r="CH979" s="82"/>
      <c r="CI979" s="82"/>
      <c r="CJ979" s="82"/>
      <c r="CK979" s="82"/>
      <c r="CL979" s="82"/>
      <c r="CM979" s="82"/>
      <c r="CN979" s="82"/>
      <c r="CO979" s="82"/>
      <c r="CP979" s="82"/>
      <c r="CQ979" s="82"/>
      <c r="CR979" s="82"/>
      <c r="CS979" s="82"/>
      <c r="CT979" s="82"/>
      <c r="CU979" s="82"/>
      <c r="CV979" s="82"/>
      <c r="CW979" s="82"/>
      <c r="CX979" s="82"/>
      <c r="CY979" s="82"/>
      <c r="CZ979" s="82"/>
      <c r="DA979" s="82"/>
      <c r="DB979" s="82"/>
      <c r="DC979" s="82"/>
      <c r="DD979" s="82"/>
      <c r="DE979" s="82"/>
      <c r="DF979" s="82"/>
      <c r="DG979" s="82"/>
    </row>
    <row r="980" spans="2:111" ht="9" customHeight="1">
      <c r="B980" s="229"/>
      <c r="C980" s="229"/>
      <c r="D980" s="229"/>
      <c r="E980" s="229"/>
      <c r="F980" s="229"/>
      <c r="G980" s="229"/>
      <c r="H980" s="229"/>
      <c r="I980" s="229"/>
      <c r="J980" s="229"/>
      <c r="K980" s="229"/>
      <c r="L980" s="229"/>
      <c r="M980" s="229"/>
      <c r="N980" s="229"/>
      <c r="P980" s="230"/>
      <c r="Q980" s="230"/>
      <c r="R980" s="230"/>
      <c r="S980" s="230"/>
      <c r="T980" s="230"/>
      <c r="U980" s="230"/>
      <c r="V980" s="230"/>
      <c r="W980" s="230"/>
      <c r="X980" s="230"/>
      <c r="Y980" s="230"/>
      <c r="Z980" s="230"/>
      <c r="AA980" s="230"/>
      <c r="AB980" s="230"/>
      <c r="AC980" s="230"/>
      <c r="AD980" s="230"/>
      <c r="AE980" s="230"/>
      <c r="AF980" s="230"/>
      <c r="AG980" s="230"/>
      <c r="AH980" s="230"/>
      <c r="AI980" s="230"/>
      <c r="AJ980" s="230"/>
      <c r="AK980" s="230"/>
      <c r="AL980" s="230"/>
      <c r="AM980" s="230"/>
      <c r="AN980" s="230"/>
      <c r="AO980" s="230"/>
      <c r="AP980" s="230"/>
      <c r="AQ980" s="230"/>
      <c r="AS980" s="231"/>
      <c r="AT980" s="231"/>
      <c r="AU980" s="231"/>
      <c r="AV980" s="231"/>
      <c r="AW980" s="231"/>
      <c r="AX980" s="231"/>
      <c r="AY980" s="231"/>
      <c r="AZ980" s="231"/>
      <c r="BA980" s="231"/>
      <c r="BC980" s="82"/>
      <c r="BD980" s="82"/>
      <c r="BE980" s="82"/>
      <c r="BF980" s="82"/>
      <c r="BG980" s="82"/>
      <c r="BH980" s="82"/>
      <c r="BI980" s="82"/>
      <c r="BJ980" s="82"/>
      <c r="BK980" s="82"/>
      <c r="BL980" s="82"/>
      <c r="BM980" s="82"/>
      <c r="BN980" s="82"/>
      <c r="BO980" s="82"/>
      <c r="BP980" s="82"/>
      <c r="BQ980" s="82"/>
      <c r="BR980" s="82"/>
      <c r="BS980" s="82"/>
      <c r="BT980" s="82"/>
      <c r="BU980" s="82"/>
      <c r="BV980" s="82"/>
      <c r="BW980" s="82"/>
      <c r="BX980" s="82"/>
      <c r="BY980" s="82"/>
      <c r="BZ980" s="82"/>
      <c r="CA980" s="82"/>
      <c r="CB980" s="82"/>
      <c r="CC980" s="82"/>
      <c r="CD980" s="82"/>
      <c r="CE980" s="82"/>
      <c r="CF980" s="82"/>
      <c r="CG980" s="82"/>
      <c r="CH980" s="82"/>
      <c r="CI980" s="82"/>
      <c r="CJ980" s="82"/>
      <c r="CK980" s="82"/>
      <c r="CL980" s="82"/>
      <c r="CM980" s="82"/>
      <c r="CN980" s="82"/>
      <c r="CO980" s="82"/>
      <c r="CP980" s="82"/>
      <c r="CQ980" s="82"/>
      <c r="CR980" s="82"/>
      <c r="CS980" s="82"/>
      <c r="CT980" s="82"/>
      <c r="CU980" s="82"/>
      <c r="CV980" s="82"/>
      <c r="CW980" s="82"/>
      <c r="CX980" s="82"/>
      <c r="CY980" s="82"/>
      <c r="CZ980" s="82"/>
      <c r="DA980" s="82"/>
      <c r="DB980" s="82"/>
      <c r="DC980" s="82"/>
      <c r="DD980" s="82"/>
      <c r="DE980" s="82"/>
      <c r="DF980" s="82"/>
      <c r="DG980" s="82"/>
    </row>
    <row r="981" spans="2:111" ht="9" customHeight="1">
      <c r="B981" s="229"/>
      <c r="C981" s="229"/>
      <c r="D981" s="229"/>
      <c r="E981" s="229"/>
      <c r="F981" s="229"/>
      <c r="G981" s="229"/>
      <c r="H981" s="229"/>
      <c r="I981" s="229"/>
      <c r="J981" s="229"/>
      <c r="K981" s="229"/>
      <c r="L981" s="229"/>
      <c r="M981" s="229"/>
      <c r="N981" s="229"/>
      <c r="P981" s="230"/>
      <c r="Q981" s="230"/>
      <c r="R981" s="230"/>
      <c r="S981" s="230"/>
      <c r="T981" s="230"/>
      <c r="U981" s="230"/>
      <c r="V981" s="230"/>
      <c r="W981" s="230"/>
      <c r="X981" s="230"/>
      <c r="Y981" s="230"/>
      <c r="Z981" s="230"/>
      <c r="AA981" s="230"/>
      <c r="AB981" s="230"/>
      <c r="AC981" s="230"/>
      <c r="AD981" s="230"/>
      <c r="AE981" s="230"/>
      <c r="AF981" s="230"/>
      <c r="AG981" s="230"/>
      <c r="AH981" s="230"/>
      <c r="AI981" s="230"/>
      <c r="AJ981" s="230"/>
      <c r="AK981" s="230"/>
      <c r="AL981" s="230"/>
      <c r="AM981" s="230"/>
      <c r="AN981" s="230"/>
      <c r="AO981" s="230"/>
      <c r="AP981" s="230"/>
      <c r="AQ981" s="230"/>
      <c r="AS981" s="231"/>
      <c r="AT981" s="231"/>
      <c r="AU981" s="231"/>
      <c r="AV981" s="231"/>
      <c r="AW981" s="231"/>
      <c r="AX981" s="231"/>
      <c r="AY981" s="231"/>
      <c r="AZ981" s="231"/>
      <c r="BA981" s="231"/>
      <c r="BC981" s="82"/>
      <c r="BD981" s="82"/>
      <c r="BE981" s="82"/>
      <c r="BF981" s="82"/>
      <c r="BG981" s="82"/>
      <c r="BH981" s="82"/>
      <c r="BI981" s="82"/>
      <c r="BJ981" s="82"/>
      <c r="BK981" s="82"/>
      <c r="BL981" s="82"/>
      <c r="BM981" s="82"/>
      <c r="BN981" s="82"/>
      <c r="BO981" s="82"/>
      <c r="BP981" s="82"/>
      <c r="BQ981" s="82"/>
      <c r="BR981" s="82"/>
      <c r="BS981" s="82"/>
      <c r="BT981" s="82"/>
      <c r="BU981" s="82"/>
      <c r="BV981" s="82"/>
      <c r="BW981" s="82"/>
      <c r="BX981" s="82"/>
      <c r="BY981" s="82"/>
      <c r="BZ981" s="82"/>
      <c r="CA981" s="82"/>
      <c r="CB981" s="82"/>
      <c r="CC981" s="82"/>
      <c r="CD981" s="82"/>
      <c r="CE981" s="82"/>
      <c r="CF981" s="82"/>
      <c r="CG981" s="82"/>
      <c r="CH981" s="82"/>
      <c r="CI981" s="82"/>
      <c r="CJ981" s="82"/>
      <c r="CK981" s="82"/>
      <c r="CL981" s="82"/>
      <c r="CM981" s="82"/>
      <c r="CN981" s="82"/>
      <c r="CO981" s="82"/>
      <c r="CP981" s="82"/>
      <c r="CQ981" s="82"/>
      <c r="CR981" s="82"/>
      <c r="CS981" s="82"/>
      <c r="CT981" s="82"/>
      <c r="CU981" s="82"/>
      <c r="CV981" s="82"/>
      <c r="CW981" s="82"/>
      <c r="CX981" s="82"/>
      <c r="CY981" s="82"/>
      <c r="CZ981" s="82"/>
      <c r="DA981" s="82"/>
      <c r="DB981" s="82"/>
      <c r="DC981" s="82"/>
      <c r="DD981" s="82"/>
      <c r="DE981" s="82"/>
      <c r="DF981" s="82"/>
      <c r="DG981" s="82"/>
    </row>
    <row r="982" spans="2:111" ht="9" customHeight="1">
      <c r="B982" s="229"/>
      <c r="C982" s="229"/>
      <c r="D982" s="229"/>
      <c r="E982" s="229"/>
      <c r="F982" s="229"/>
      <c r="G982" s="229"/>
      <c r="H982" s="229"/>
      <c r="I982" s="229"/>
      <c r="J982" s="229"/>
      <c r="K982" s="229"/>
      <c r="L982" s="229"/>
      <c r="M982" s="229"/>
      <c r="N982" s="229"/>
      <c r="P982" s="230"/>
      <c r="Q982" s="230"/>
      <c r="R982" s="230"/>
      <c r="S982" s="230"/>
      <c r="T982" s="230"/>
      <c r="U982" s="230"/>
      <c r="V982" s="230"/>
      <c r="W982" s="230"/>
      <c r="X982" s="230"/>
      <c r="Y982" s="230"/>
      <c r="Z982" s="230"/>
      <c r="AA982" s="230"/>
      <c r="AB982" s="230"/>
      <c r="AC982" s="230"/>
      <c r="AD982" s="230"/>
      <c r="AE982" s="230"/>
      <c r="AF982" s="230"/>
      <c r="AG982" s="230"/>
      <c r="AH982" s="230"/>
      <c r="AI982" s="230"/>
      <c r="AJ982" s="230"/>
      <c r="AK982" s="230"/>
      <c r="AL982" s="230"/>
      <c r="AM982" s="230"/>
      <c r="AN982" s="230"/>
      <c r="AO982" s="230"/>
      <c r="AP982" s="230"/>
      <c r="AQ982" s="230"/>
      <c r="AS982" s="231"/>
      <c r="AT982" s="231"/>
      <c r="AU982" s="231"/>
      <c r="AV982" s="231"/>
      <c r="AW982" s="231"/>
      <c r="AX982" s="231"/>
      <c r="AY982" s="231"/>
      <c r="AZ982" s="231"/>
      <c r="BA982" s="231"/>
      <c r="BC982" s="82"/>
      <c r="BD982" s="82"/>
      <c r="BE982" s="82"/>
      <c r="BF982" s="82"/>
      <c r="BG982" s="82"/>
      <c r="BH982" s="82"/>
      <c r="BI982" s="82"/>
      <c r="BJ982" s="82"/>
      <c r="BK982" s="82"/>
      <c r="BL982" s="82"/>
      <c r="BM982" s="82"/>
      <c r="BN982" s="82"/>
      <c r="BO982" s="82"/>
      <c r="BP982" s="82"/>
      <c r="BQ982" s="82"/>
      <c r="BR982" s="82"/>
      <c r="BS982" s="82"/>
      <c r="BT982" s="82"/>
      <c r="BU982" s="82"/>
      <c r="BV982" s="82"/>
      <c r="BW982" s="82"/>
      <c r="BX982" s="82"/>
      <c r="BY982" s="82"/>
      <c r="BZ982" s="82"/>
      <c r="CA982" s="82"/>
      <c r="CB982" s="82"/>
      <c r="CC982" s="82"/>
      <c r="CD982" s="82"/>
      <c r="CE982" s="82"/>
      <c r="CF982" s="82"/>
      <c r="CG982" s="82"/>
      <c r="CH982" s="82"/>
      <c r="CI982" s="82"/>
      <c r="CJ982" s="82"/>
      <c r="CK982" s="82"/>
      <c r="CL982" s="82"/>
      <c r="CM982" s="82"/>
      <c r="CN982" s="82"/>
      <c r="CO982" s="82"/>
      <c r="CP982" s="82"/>
      <c r="CQ982" s="82"/>
      <c r="CR982" s="82"/>
      <c r="CS982" s="82"/>
      <c r="CT982" s="82"/>
      <c r="CU982" s="82"/>
      <c r="CV982" s="82"/>
      <c r="CW982" s="82"/>
      <c r="CX982" s="82"/>
      <c r="CY982" s="82"/>
      <c r="CZ982" s="82"/>
      <c r="DA982" s="82"/>
      <c r="DB982" s="82"/>
      <c r="DC982" s="82"/>
      <c r="DD982" s="82"/>
      <c r="DE982" s="82"/>
      <c r="DF982" s="82"/>
      <c r="DG982" s="82"/>
    </row>
    <row r="983" spans="2:111" ht="9" customHeight="1">
      <c r="B983" s="229"/>
      <c r="C983" s="229"/>
      <c r="D983" s="229"/>
      <c r="E983" s="229"/>
      <c r="F983" s="229"/>
      <c r="G983" s="229"/>
      <c r="H983" s="229"/>
      <c r="I983" s="229"/>
      <c r="J983" s="229"/>
      <c r="K983" s="229"/>
      <c r="L983" s="229"/>
      <c r="M983" s="229"/>
      <c r="N983" s="229"/>
      <c r="P983" s="230"/>
      <c r="Q983" s="230"/>
      <c r="R983" s="230"/>
      <c r="S983" s="230"/>
      <c r="T983" s="230"/>
      <c r="U983" s="230"/>
      <c r="V983" s="230"/>
      <c r="W983" s="230"/>
      <c r="X983" s="230"/>
      <c r="Y983" s="230"/>
      <c r="Z983" s="230"/>
      <c r="AA983" s="230"/>
      <c r="AB983" s="230"/>
      <c r="AC983" s="230"/>
      <c r="AD983" s="230"/>
      <c r="AE983" s="230"/>
      <c r="AF983" s="230"/>
      <c r="AG983" s="230"/>
      <c r="AH983" s="230"/>
      <c r="AI983" s="230"/>
      <c r="AJ983" s="230"/>
      <c r="AK983" s="230"/>
      <c r="AL983" s="230"/>
      <c r="AM983" s="230"/>
      <c r="AN983" s="230"/>
      <c r="AO983" s="230"/>
      <c r="AP983" s="230"/>
      <c r="AQ983" s="230"/>
      <c r="AS983" s="231"/>
      <c r="AT983" s="231"/>
      <c r="AU983" s="231"/>
      <c r="AV983" s="231"/>
      <c r="AW983" s="231"/>
      <c r="AX983" s="231"/>
      <c r="AY983" s="231"/>
      <c r="AZ983" s="231"/>
      <c r="BA983" s="231"/>
      <c r="BC983" s="82"/>
      <c r="BD983" s="82"/>
      <c r="BE983" s="82"/>
      <c r="BF983" s="82"/>
      <c r="BG983" s="82"/>
      <c r="BH983" s="82"/>
      <c r="BI983" s="82"/>
      <c r="BJ983" s="82"/>
      <c r="BK983" s="82"/>
      <c r="BL983" s="82"/>
      <c r="BM983" s="82"/>
      <c r="BN983" s="82"/>
      <c r="BO983" s="82"/>
      <c r="BP983" s="82"/>
      <c r="BQ983" s="82"/>
      <c r="BR983" s="82"/>
      <c r="BS983" s="82"/>
      <c r="BT983" s="82"/>
      <c r="BU983" s="82"/>
      <c r="BV983" s="82"/>
      <c r="BW983" s="82"/>
      <c r="BX983" s="82"/>
      <c r="BY983" s="82"/>
      <c r="BZ983" s="82"/>
      <c r="CA983" s="82"/>
      <c r="CB983" s="82"/>
      <c r="CC983" s="82"/>
      <c r="CD983" s="82"/>
      <c r="CE983" s="82"/>
      <c r="CF983" s="82"/>
      <c r="CG983" s="82"/>
      <c r="CH983" s="82"/>
      <c r="CI983" s="82"/>
      <c r="CJ983" s="82"/>
      <c r="CK983" s="82"/>
      <c r="CL983" s="82"/>
      <c r="CM983" s="82"/>
      <c r="CN983" s="82"/>
      <c r="CO983" s="82"/>
      <c r="CP983" s="82"/>
      <c r="CQ983" s="82"/>
      <c r="CR983" s="82"/>
      <c r="CS983" s="82"/>
      <c r="CT983" s="82"/>
      <c r="CU983" s="82"/>
      <c r="CV983" s="82"/>
      <c r="CW983" s="82"/>
      <c r="CX983" s="82"/>
      <c r="CY983" s="82"/>
      <c r="CZ983" s="82"/>
      <c r="DA983" s="82"/>
      <c r="DB983" s="82"/>
      <c r="DC983" s="82"/>
      <c r="DD983" s="82"/>
      <c r="DE983" s="82"/>
      <c r="DF983" s="82"/>
      <c r="DG983" s="82"/>
    </row>
    <row r="984" spans="2:111" ht="9" customHeight="1">
      <c r="B984" s="229"/>
      <c r="C984" s="229"/>
      <c r="D984" s="229"/>
      <c r="E984" s="229"/>
      <c r="F984" s="229"/>
      <c r="G984" s="229"/>
      <c r="H984" s="229"/>
      <c r="I984" s="229"/>
      <c r="J984" s="229"/>
      <c r="K984" s="229"/>
      <c r="L984" s="229"/>
      <c r="M984" s="229"/>
      <c r="N984" s="229"/>
      <c r="P984" s="230"/>
      <c r="Q984" s="230"/>
      <c r="R984" s="230"/>
      <c r="S984" s="230"/>
      <c r="T984" s="230"/>
      <c r="U984" s="230"/>
      <c r="V984" s="230"/>
      <c r="W984" s="230"/>
      <c r="X984" s="230"/>
      <c r="Y984" s="230"/>
      <c r="Z984" s="230"/>
      <c r="AA984" s="230"/>
      <c r="AB984" s="230"/>
      <c r="AC984" s="230"/>
      <c r="AD984" s="230"/>
      <c r="AE984" s="230"/>
      <c r="AF984" s="230"/>
      <c r="AG984" s="230"/>
      <c r="AH984" s="230"/>
      <c r="AI984" s="230"/>
      <c r="AJ984" s="230"/>
      <c r="AK984" s="230"/>
      <c r="AL984" s="230"/>
      <c r="AM984" s="230"/>
      <c r="AN984" s="230"/>
      <c r="AO984" s="230"/>
      <c r="AP984" s="230"/>
      <c r="AQ984" s="230"/>
      <c r="AS984" s="231"/>
      <c r="AT984" s="231"/>
      <c r="AU984" s="231"/>
      <c r="AV984" s="231"/>
      <c r="AW984" s="231"/>
      <c r="AX984" s="231"/>
      <c r="AY984" s="231"/>
      <c r="AZ984" s="231"/>
      <c r="BA984" s="231"/>
      <c r="BC984" s="82"/>
      <c r="BD984" s="82"/>
      <c r="BE984" s="82"/>
      <c r="BF984" s="82"/>
      <c r="BG984" s="82"/>
      <c r="BH984" s="82"/>
      <c r="BI984" s="82"/>
      <c r="BJ984" s="82"/>
      <c r="BK984" s="82"/>
      <c r="BL984" s="82"/>
      <c r="BM984" s="82"/>
      <c r="BN984" s="82"/>
      <c r="BO984" s="82"/>
      <c r="BP984" s="82"/>
      <c r="BQ984" s="82"/>
      <c r="BR984" s="82"/>
      <c r="BS984" s="82"/>
      <c r="BT984" s="82"/>
      <c r="BU984" s="82"/>
      <c r="BV984" s="82"/>
      <c r="BW984" s="82"/>
      <c r="BX984" s="82"/>
      <c r="BY984" s="82"/>
      <c r="BZ984" s="82"/>
      <c r="CA984" s="82"/>
      <c r="CB984" s="82"/>
      <c r="CC984" s="82"/>
      <c r="CD984" s="82"/>
      <c r="CE984" s="82"/>
      <c r="CF984" s="82"/>
      <c r="CG984" s="82"/>
      <c r="CH984" s="82"/>
      <c r="CI984" s="82"/>
      <c r="CJ984" s="82"/>
      <c r="CK984" s="82"/>
      <c r="CL984" s="82"/>
      <c r="CM984" s="82"/>
      <c r="CN984" s="82"/>
      <c r="CO984" s="82"/>
      <c r="CP984" s="82"/>
      <c r="CQ984" s="82"/>
      <c r="CR984" s="82"/>
      <c r="CS984" s="82"/>
      <c r="CT984" s="82"/>
      <c r="CU984" s="82"/>
      <c r="CV984" s="82"/>
      <c r="CW984" s="82"/>
      <c r="CX984" s="82"/>
      <c r="CY984" s="82"/>
      <c r="CZ984" s="82"/>
      <c r="DA984" s="82"/>
      <c r="DB984" s="82"/>
      <c r="DC984" s="82"/>
      <c r="DD984" s="82"/>
      <c r="DE984" s="82"/>
      <c r="DF984" s="82"/>
      <c r="DG984" s="82"/>
    </row>
    <row r="985" spans="2:111" ht="9" customHeight="1">
      <c r="B985" s="229"/>
      <c r="C985" s="229"/>
      <c r="D985" s="229"/>
      <c r="E985" s="229"/>
      <c r="F985" s="229"/>
      <c r="G985" s="229"/>
      <c r="H985" s="229"/>
      <c r="I985" s="229"/>
      <c r="J985" s="229"/>
      <c r="K985" s="229"/>
      <c r="L985" s="229"/>
      <c r="M985" s="229"/>
      <c r="N985" s="229"/>
      <c r="P985" s="230"/>
      <c r="Q985" s="230"/>
      <c r="R985" s="230"/>
      <c r="S985" s="230"/>
      <c r="T985" s="230"/>
      <c r="U985" s="230"/>
      <c r="V985" s="230"/>
      <c r="W985" s="230"/>
      <c r="X985" s="230"/>
      <c r="Y985" s="230"/>
      <c r="Z985" s="230"/>
      <c r="AA985" s="230"/>
      <c r="AB985" s="230"/>
      <c r="AC985" s="230"/>
      <c r="AD985" s="230"/>
      <c r="AE985" s="230"/>
      <c r="AF985" s="230"/>
      <c r="AG985" s="230"/>
      <c r="AH985" s="230"/>
      <c r="AI985" s="230"/>
      <c r="AJ985" s="230"/>
      <c r="AK985" s="230"/>
      <c r="AL985" s="230"/>
      <c r="AM985" s="230"/>
      <c r="AN985" s="230"/>
      <c r="AO985" s="230"/>
      <c r="AP985" s="230"/>
      <c r="AQ985" s="230"/>
      <c r="AS985" s="231"/>
      <c r="AT985" s="231"/>
      <c r="AU985" s="231"/>
      <c r="AV985" s="231"/>
      <c r="AW985" s="231"/>
      <c r="AX985" s="231"/>
      <c r="AY985" s="231"/>
      <c r="AZ985" s="231"/>
      <c r="BA985" s="231"/>
      <c r="BC985" s="82"/>
      <c r="BD985" s="82"/>
      <c r="BE985" s="82"/>
      <c r="BF985" s="82"/>
      <c r="BG985" s="82"/>
      <c r="BH985" s="82"/>
      <c r="BI985" s="82"/>
      <c r="BJ985" s="82"/>
      <c r="BK985" s="82"/>
      <c r="BL985" s="82"/>
      <c r="BM985" s="82"/>
      <c r="BN985" s="82"/>
      <c r="BO985" s="82"/>
      <c r="BP985" s="82"/>
      <c r="BQ985" s="82"/>
      <c r="BR985" s="82"/>
      <c r="BS985" s="82"/>
      <c r="BT985" s="82"/>
      <c r="BU985" s="82"/>
      <c r="BV985" s="82"/>
      <c r="BW985" s="82"/>
      <c r="BX985" s="82"/>
      <c r="BY985" s="82"/>
      <c r="BZ985" s="82"/>
      <c r="CA985" s="82"/>
      <c r="CB985" s="82"/>
      <c r="CC985" s="82"/>
      <c r="CD985" s="82"/>
      <c r="CE985" s="82"/>
      <c r="CF985" s="82"/>
      <c r="CG985" s="82"/>
      <c r="CH985" s="82"/>
      <c r="CI985" s="82"/>
      <c r="CJ985" s="82"/>
      <c r="CK985" s="82"/>
      <c r="CL985" s="82"/>
      <c r="CM985" s="82"/>
      <c r="CN985" s="82"/>
      <c r="CO985" s="82"/>
      <c r="CP985" s="82"/>
      <c r="CQ985" s="82"/>
      <c r="CR985" s="82"/>
      <c r="CS985" s="82"/>
      <c r="CT985" s="82"/>
      <c r="CU985" s="82"/>
      <c r="CV985" s="82"/>
      <c r="CW985" s="82"/>
      <c r="CX985" s="82"/>
      <c r="CY985" s="82"/>
      <c r="CZ985" s="82"/>
      <c r="DA985" s="82"/>
      <c r="DB985" s="82"/>
      <c r="DC985" s="82"/>
      <c r="DD985" s="82"/>
      <c r="DE985" s="82"/>
      <c r="DF985" s="82"/>
      <c r="DG985" s="82"/>
    </row>
    <row r="986" spans="2:111" ht="9" customHeight="1">
      <c r="B986" s="229"/>
      <c r="C986" s="229"/>
      <c r="D986" s="229"/>
      <c r="E986" s="229"/>
      <c r="F986" s="229"/>
      <c r="G986" s="229"/>
      <c r="H986" s="229"/>
      <c r="I986" s="229"/>
      <c r="J986" s="229"/>
      <c r="K986" s="229"/>
      <c r="L986" s="229"/>
      <c r="M986" s="229"/>
      <c r="N986" s="229"/>
      <c r="P986" s="230"/>
      <c r="Q986" s="230"/>
      <c r="R986" s="230"/>
      <c r="S986" s="230"/>
      <c r="T986" s="230"/>
      <c r="U986" s="230"/>
      <c r="V986" s="230"/>
      <c r="W986" s="230"/>
      <c r="X986" s="230"/>
      <c r="Y986" s="230"/>
      <c r="Z986" s="230"/>
      <c r="AA986" s="230"/>
      <c r="AB986" s="230"/>
      <c r="AC986" s="230"/>
      <c r="AD986" s="230"/>
      <c r="AE986" s="230"/>
      <c r="AF986" s="230"/>
      <c r="AG986" s="230"/>
      <c r="AH986" s="230"/>
      <c r="AI986" s="230"/>
      <c r="AJ986" s="230"/>
      <c r="AK986" s="230"/>
      <c r="AL986" s="230"/>
      <c r="AM986" s="230"/>
      <c r="AN986" s="230"/>
      <c r="AO986" s="230"/>
      <c r="AP986" s="230"/>
      <c r="AQ986" s="230"/>
      <c r="AS986" s="231"/>
      <c r="AT986" s="231"/>
      <c r="AU986" s="231"/>
      <c r="AV986" s="231"/>
      <c r="AW986" s="231"/>
      <c r="AX986" s="231"/>
      <c r="AY986" s="231"/>
      <c r="AZ986" s="231"/>
      <c r="BA986" s="231"/>
      <c r="BC986" s="82"/>
      <c r="BD986" s="82"/>
      <c r="BE986" s="82"/>
      <c r="BF986" s="82"/>
      <c r="BG986" s="82"/>
      <c r="BH986" s="82"/>
      <c r="BI986" s="82"/>
      <c r="BJ986" s="82"/>
      <c r="BK986" s="82"/>
      <c r="BL986" s="82"/>
      <c r="BM986" s="82"/>
      <c r="BN986" s="82"/>
      <c r="BO986" s="82"/>
      <c r="BP986" s="82"/>
      <c r="BQ986" s="82"/>
      <c r="BR986" s="82"/>
      <c r="BS986" s="82"/>
      <c r="BT986" s="82"/>
      <c r="BU986" s="82"/>
      <c r="BV986" s="82"/>
      <c r="BW986" s="82"/>
      <c r="BX986" s="82"/>
      <c r="BY986" s="82"/>
      <c r="BZ986" s="82"/>
      <c r="CA986" s="82"/>
      <c r="CB986" s="82"/>
      <c r="CC986" s="82"/>
      <c r="CD986" s="82"/>
      <c r="CE986" s="82"/>
      <c r="CF986" s="82"/>
      <c r="CG986" s="82"/>
      <c r="CH986" s="82"/>
      <c r="CI986" s="82"/>
      <c r="CJ986" s="82"/>
      <c r="CK986" s="82"/>
      <c r="CL986" s="82"/>
      <c r="CM986" s="82"/>
      <c r="CN986" s="82"/>
      <c r="CO986" s="82"/>
      <c r="CP986" s="82"/>
      <c r="CQ986" s="82"/>
      <c r="CR986" s="82"/>
      <c r="CS986" s="82"/>
      <c r="CT986" s="82"/>
      <c r="CU986" s="82"/>
      <c r="CV986" s="82"/>
      <c r="CW986" s="82"/>
      <c r="CX986" s="82"/>
      <c r="CY986" s="82"/>
      <c r="CZ986" s="82"/>
      <c r="DA986" s="82"/>
      <c r="DB986" s="82"/>
      <c r="DC986" s="82"/>
      <c r="DD986" s="82"/>
      <c r="DE986" s="82"/>
      <c r="DF986" s="82"/>
      <c r="DG986" s="82"/>
    </row>
    <row r="987" spans="2:111" ht="9" customHeight="1">
      <c r="B987" s="229"/>
      <c r="C987" s="229"/>
      <c r="D987" s="229"/>
      <c r="E987" s="229"/>
      <c r="F987" s="229"/>
      <c r="G987" s="229"/>
      <c r="H987" s="229"/>
      <c r="I987" s="229"/>
      <c r="J987" s="229"/>
      <c r="K987" s="229"/>
      <c r="L987" s="229"/>
      <c r="M987" s="229"/>
      <c r="N987" s="229"/>
      <c r="P987" s="230"/>
      <c r="Q987" s="230"/>
      <c r="R987" s="230"/>
      <c r="S987" s="230"/>
      <c r="T987" s="230"/>
      <c r="U987" s="230"/>
      <c r="V987" s="230"/>
      <c r="W987" s="230"/>
      <c r="X987" s="230"/>
      <c r="Y987" s="230"/>
      <c r="Z987" s="230"/>
      <c r="AA987" s="230"/>
      <c r="AB987" s="230"/>
      <c r="AC987" s="230"/>
      <c r="AD987" s="230"/>
      <c r="AE987" s="230"/>
      <c r="AF987" s="230"/>
      <c r="AG987" s="230"/>
      <c r="AH987" s="230"/>
      <c r="AI987" s="230"/>
      <c r="AJ987" s="230"/>
      <c r="AK987" s="230"/>
      <c r="AL987" s="230"/>
      <c r="AM987" s="230"/>
      <c r="AN987" s="230"/>
      <c r="AO987" s="230"/>
      <c r="AP987" s="230"/>
      <c r="AQ987" s="230"/>
      <c r="AS987" s="231"/>
      <c r="AT987" s="231"/>
      <c r="AU987" s="231"/>
      <c r="AV987" s="231"/>
      <c r="AW987" s="231"/>
      <c r="AX987" s="231"/>
      <c r="AY987" s="231"/>
      <c r="AZ987" s="231"/>
      <c r="BA987" s="231"/>
      <c r="BC987" s="82"/>
      <c r="BD987" s="82"/>
      <c r="BE987" s="82"/>
      <c r="BF987" s="82"/>
      <c r="BG987" s="82"/>
      <c r="BH987" s="82"/>
      <c r="BI987" s="82"/>
      <c r="BJ987" s="82"/>
      <c r="BK987" s="82"/>
      <c r="BL987" s="82"/>
      <c r="BM987" s="82"/>
      <c r="BN987" s="82"/>
      <c r="BO987" s="82"/>
      <c r="BP987" s="82"/>
      <c r="BQ987" s="82"/>
      <c r="BR987" s="82"/>
      <c r="BS987" s="82"/>
      <c r="BT987" s="82"/>
      <c r="BU987" s="82"/>
      <c r="BV987" s="82"/>
      <c r="BW987" s="82"/>
      <c r="BX987" s="82"/>
      <c r="BY987" s="82"/>
      <c r="BZ987" s="82"/>
      <c r="CA987" s="82"/>
      <c r="CB987" s="82"/>
      <c r="CC987" s="82"/>
      <c r="CD987" s="82"/>
      <c r="CE987" s="82"/>
      <c r="CF987" s="82"/>
      <c r="CG987" s="82"/>
      <c r="CH987" s="82"/>
      <c r="CI987" s="82"/>
      <c r="CJ987" s="82"/>
      <c r="CK987" s="82"/>
      <c r="CL987" s="82"/>
      <c r="CM987" s="82"/>
      <c r="CN987" s="82"/>
      <c r="CO987" s="82"/>
      <c r="CP987" s="82"/>
      <c r="CQ987" s="82"/>
      <c r="CR987" s="82"/>
      <c r="CS987" s="82"/>
      <c r="CT987" s="82"/>
      <c r="CU987" s="82"/>
      <c r="CV987" s="82"/>
      <c r="CW987" s="82"/>
      <c r="CX987" s="82"/>
      <c r="CY987" s="82"/>
      <c r="CZ987" s="82"/>
      <c r="DA987" s="82"/>
      <c r="DB987" s="82"/>
      <c r="DC987" s="82"/>
      <c r="DD987" s="82"/>
      <c r="DE987" s="82"/>
      <c r="DF987" s="82"/>
      <c r="DG987" s="82"/>
    </row>
    <row r="988" spans="2:111" ht="9" customHeight="1">
      <c r="B988" s="229"/>
      <c r="C988" s="229"/>
      <c r="D988" s="229"/>
      <c r="E988" s="229"/>
      <c r="F988" s="229"/>
      <c r="G988" s="229"/>
      <c r="H988" s="229"/>
      <c r="I988" s="229"/>
      <c r="J988" s="229"/>
      <c r="K988" s="229"/>
      <c r="L988" s="229"/>
      <c r="M988" s="229"/>
      <c r="N988" s="229"/>
      <c r="P988" s="230"/>
      <c r="Q988" s="230"/>
      <c r="R988" s="230"/>
      <c r="S988" s="230"/>
      <c r="T988" s="230"/>
      <c r="U988" s="230"/>
      <c r="V988" s="230"/>
      <c r="W988" s="230"/>
      <c r="X988" s="230"/>
      <c r="Y988" s="230"/>
      <c r="Z988" s="230"/>
      <c r="AA988" s="230"/>
      <c r="AB988" s="230"/>
      <c r="AC988" s="230"/>
      <c r="AD988" s="230"/>
      <c r="AE988" s="230"/>
      <c r="AF988" s="230"/>
      <c r="AG988" s="230"/>
      <c r="AH988" s="230"/>
      <c r="AI988" s="230"/>
      <c r="AJ988" s="230"/>
      <c r="AK988" s="230"/>
      <c r="AL988" s="230"/>
      <c r="AM988" s="230"/>
      <c r="AN988" s="230"/>
      <c r="AO988" s="230"/>
      <c r="AP988" s="230"/>
      <c r="AQ988" s="230"/>
      <c r="AS988" s="231"/>
      <c r="AT988" s="231"/>
      <c r="AU988" s="231"/>
      <c r="AV988" s="231"/>
      <c r="AW988" s="231"/>
      <c r="AX988" s="231"/>
      <c r="AY988" s="231"/>
      <c r="AZ988" s="231"/>
      <c r="BA988" s="231"/>
      <c r="BC988" s="82"/>
      <c r="BD988" s="82"/>
      <c r="BE988" s="82"/>
      <c r="BF988" s="82"/>
      <c r="BG988" s="82"/>
      <c r="BH988" s="82"/>
      <c r="BI988" s="82"/>
      <c r="BJ988" s="82"/>
      <c r="BK988" s="82"/>
      <c r="BL988" s="82"/>
      <c r="BM988" s="82"/>
      <c r="BN988" s="82"/>
      <c r="BO988" s="82"/>
      <c r="BP988" s="82"/>
      <c r="BQ988" s="82"/>
      <c r="BR988" s="82"/>
      <c r="BS988" s="82"/>
      <c r="BT988" s="82"/>
      <c r="BU988" s="82"/>
      <c r="BV988" s="82"/>
      <c r="BW988" s="82"/>
      <c r="BX988" s="82"/>
      <c r="BY988" s="82"/>
      <c r="BZ988" s="82"/>
      <c r="CA988" s="82"/>
      <c r="CB988" s="82"/>
      <c r="CC988" s="82"/>
      <c r="CD988" s="82"/>
      <c r="CE988" s="82"/>
      <c r="CF988" s="82"/>
      <c r="CG988" s="82"/>
      <c r="CH988" s="82"/>
      <c r="CI988" s="82"/>
      <c r="CJ988" s="82"/>
      <c r="CK988" s="82"/>
      <c r="CL988" s="82"/>
      <c r="CM988" s="82"/>
      <c r="CN988" s="82"/>
      <c r="CO988" s="82"/>
      <c r="CP988" s="82"/>
      <c r="CQ988" s="82"/>
      <c r="CR988" s="82"/>
      <c r="CS988" s="82"/>
      <c r="CT988" s="82"/>
      <c r="CU988" s="82"/>
      <c r="CV988" s="82"/>
      <c r="CW988" s="82"/>
      <c r="CX988" s="82"/>
      <c r="CY988" s="82"/>
      <c r="CZ988" s="82"/>
      <c r="DA988" s="82"/>
      <c r="DB988" s="82"/>
      <c r="DC988" s="82"/>
      <c r="DD988" s="82"/>
      <c r="DE988" s="82"/>
      <c r="DF988" s="82"/>
      <c r="DG988" s="82"/>
    </row>
    <row r="989" spans="2:111" ht="9" customHeight="1">
      <c r="B989" s="229"/>
      <c r="C989" s="229"/>
      <c r="D989" s="229"/>
      <c r="E989" s="229"/>
      <c r="F989" s="229"/>
      <c r="G989" s="229"/>
      <c r="H989" s="229"/>
      <c r="I989" s="229"/>
      <c r="J989" s="229"/>
      <c r="K989" s="229"/>
      <c r="L989" s="229"/>
      <c r="M989" s="229"/>
      <c r="N989" s="229"/>
      <c r="P989" s="230"/>
      <c r="Q989" s="230"/>
      <c r="R989" s="230"/>
      <c r="S989" s="230"/>
      <c r="T989" s="230"/>
      <c r="U989" s="230"/>
      <c r="V989" s="230"/>
      <c r="W989" s="230"/>
      <c r="X989" s="230"/>
      <c r="Y989" s="230"/>
      <c r="Z989" s="230"/>
      <c r="AA989" s="230"/>
      <c r="AB989" s="230"/>
      <c r="AC989" s="230"/>
      <c r="AD989" s="230"/>
      <c r="AE989" s="230"/>
      <c r="AF989" s="230"/>
      <c r="AG989" s="230"/>
      <c r="AH989" s="230"/>
      <c r="AI989" s="230"/>
      <c r="AJ989" s="230"/>
      <c r="AK989" s="230"/>
      <c r="AL989" s="230"/>
      <c r="AM989" s="230"/>
      <c r="AN989" s="230"/>
      <c r="AO989" s="230"/>
      <c r="AP989" s="230"/>
      <c r="AQ989" s="230"/>
      <c r="AS989" s="231"/>
      <c r="AT989" s="231"/>
      <c r="AU989" s="231"/>
      <c r="AV989" s="231"/>
      <c r="AW989" s="231"/>
      <c r="AX989" s="231"/>
      <c r="AY989" s="231"/>
      <c r="AZ989" s="231"/>
      <c r="BA989" s="231"/>
      <c r="BC989" s="82"/>
      <c r="BD989" s="82"/>
      <c r="BE989" s="82"/>
      <c r="BF989" s="82"/>
      <c r="BG989" s="82"/>
      <c r="BH989" s="82"/>
      <c r="BI989" s="82"/>
      <c r="BJ989" s="82"/>
      <c r="BK989" s="82"/>
      <c r="BL989" s="82"/>
      <c r="BM989" s="82"/>
      <c r="BN989" s="82"/>
      <c r="BO989" s="82"/>
      <c r="BP989" s="82"/>
      <c r="BQ989" s="82"/>
      <c r="BR989" s="82"/>
      <c r="BS989" s="82"/>
      <c r="BT989" s="82"/>
      <c r="BU989" s="82"/>
      <c r="BV989" s="82"/>
      <c r="BW989" s="82"/>
      <c r="BX989" s="82"/>
      <c r="BY989" s="82"/>
      <c r="BZ989" s="82"/>
      <c r="CA989" s="82"/>
      <c r="CB989" s="82"/>
      <c r="CC989" s="82"/>
      <c r="CD989" s="82"/>
      <c r="CE989" s="82"/>
      <c r="CF989" s="82"/>
      <c r="CG989" s="82"/>
      <c r="CH989" s="82"/>
      <c r="CI989" s="82"/>
      <c r="CJ989" s="82"/>
      <c r="CK989" s="82"/>
      <c r="CL989" s="82"/>
      <c r="CM989" s="82"/>
      <c r="CN989" s="82"/>
      <c r="CO989" s="82"/>
      <c r="CP989" s="82"/>
      <c r="CQ989" s="82"/>
      <c r="CR989" s="82"/>
      <c r="CS989" s="82"/>
      <c r="CT989" s="82"/>
      <c r="CU989" s="82"/>
      <c r="CV989" s="82"/>
      <c r="CW989" s="82"/>
      <c r="CX989" s="82"/>
      <c r="CY989" s="82"/>
      <c r="CZ989" s="82"/>
      <c r="DA989" s="82"/>
      <c r="DB989" s="82"/>
      <c r="DC989" s="82"/>
      <c r="DD989" s="82"/>
      <c r="DE989" s="82"/>
      <c r="DF989" s="82"/>
      <c r="DG989" s="82"/>
    </row>
    <row r="990" spans="2:111" ht="9" customHeight="1">
      <c r="B990" s="229"/>
      <c r="C990" s="229"/>
      <c r="D990" s="229"/>
      <c r="E990" s="229"/>
      <c r="F990" s="229"/>
      <c r="G990" s="229"/>
      <c r="H990" s="229"/>
      <c r="I990" s="229"/>
      <c r="J990" s="229"/>
      <c r="K990" s="229"/>
      <c r="L990" s="229"/>
      <c r="M990" s="229"/>
      <c r="N990" s="229"/>
      <c r="P990" s="230"/>
      <c r="Q990" s="230"/>
      <c r="R990" s="230"/>
      <c r="S990" s="230"/>
      <c r="T990" s="230"/>
      <c r="U990" s="230"/>
      <c r="V990" s="230"/>
      <c r="W990" s="230"/>
      <c r="X990" s="230"/>
      <c r="Y990" s="230"/>
      <c r="Z990" s="230"/>
      <c r="AA990" s="230"/>
      <c r="AB990" s="230"/>
      <c r="AC990" s="230"/>
      <c r="AD990" s="230"/>
      <c r="AE990" s="230"/>
      <c r="AF990" s="230"/>
      <c r="AG990" s="230"/>
      <c r="AH990" s="230"/>
      <c r="AI990" s="230"/>
      <c r="AJ990" s="230"/>
      <c r="AK990" s="230"/>
      <c r="AL990" s="230"/>
      <c r="AM990" s="230"/>
      <c r="AN990" s="230"/>
      <c r="AO990" s="230"/>
      <c r="AP990" s="230"/>
      <c r="AQ990" s="230"/>
      <c r="AS990" s="231"/>
      <c r="AT990" s="231"/>
      <c r="AU990" s="231"/>
      <c r="AV990" s="231"/>
      <c r="AW990" s="231"/>
      <c r="AX990" s="231"/>
      <c r="AY990" s="231"/>
      <c r="AZ990" s="231"/>
      <c r="BA990" s="231"/>
      <c r="BC990" s="82"/>
      <c r="BD990" s="82"/>
      <c r="BE990" s="82"/>
      <c r="BF990" s="82"/>
      <c r="BG990" s="82"/>
      <c r="BH990" s="82"/>
      <c r="BI990" s="82"/>
      <c r="BJ990" s="82"/>
      <c r="BK990" s="82"/>
      <c r="BL990" s="82"/>
      <c r="BM990" s="82"/>
      <c r="BN990" s="82"/>
      <c r="BO990" s="82"/>
      <c r="BP990" s="82"/>
      <c r="BQ990" s="82"/>
      <c r="BR990" s="82"/>
      <c r="BS990" s="82"/>
      <c r="BT990" s="82"/>
      <c r="BU990" s="82"/>
      <c r="BV990" s="82"/>
      <c r="BW990" s="82"/>
      <c r="BX990" s="82"/>
      <c r="BY990" s="82"/>
      <c r="BZ990" s="82"/>
      <c r="CA990" s="82"/>
      <c r="CB990" s="82"/>
      <c r="CC990" s="82"/>
      <c r="CD990" s="82"/>
      <c r="CE990" s="82"/>
      <c r="CF990" s="82"/>
      <c r="CG990" s="82"/>
      <c r="CH990" s="82"/>
      <c r="CI990" s="82"/>
      <c r="CJ990" s="82"/>
      <c r="CK990" s="82"/>
      <c r="CL990" s="82"/>
      <c r="CM990" s="82"/>
      <c r="CN990" s="82"/>
      <c r="CO990" s="82"/>
      <c r="CP990" s="82"/>
      <c r="CQ990" s="82"/>
      <c r="CR990" s="82"/>
      <c r="CS990" s="82"/>
      <c r="CT990" s="82"/>
      <c r="CU990" s="82"/>
      <c r="CV990" s="82"/>
      <c r="CW990" s="82"/>
      <c r="CX990" s="82"/>
      <c r="CY990" s="82"/>
      <c r="CZ990" s="82"/>
      <c r="DA990" s="82"/>
      <c r="DB990" s="82"/>
      <c r="DC990" s="82"/>
      <c r="DD990" s="82"/>
      <c r="DE990" s="82"/>
      <c r="DF990" s="82"/>
      <c r="DG990" s="82"/>
    </row>
    <row r="991" spans="2:111" ht="9" customHeight="1">
      <c r="B991" s="229"/>
      <c r="C991" s="229"/>
      <c r="D991" s="229"/>
      <c r="E991" s="229"/>
      <c r="F991" s="229"/>
      <c r="G991" s="229"/>
      <c r="H991" s="229"/>
      <c r="I991" s="229"/>
      <c r="J991" s="229"/>
      <c r="K991" s="229"/>
      <c r="L991" s="229"/>
      <c r="M991" s="229"/>
      <c r="N991" s="229"/>
      <c r="P991" s="230"/>
      <c r="Q991" s="230"/>
      <c r="R991" s="230"/>
      <c r="S991" s="230"/>
      <c r="T991" s="230"/>
      <c r="U991" s="230"/>
      <c r="V991" s="230"/>
      <c r="W991" s="230"/>
      <c r="X991" s="230"/>
      <c r="Y991" s="230"/>
      <c r="Z991" s="230"/>
      <c r="AA991" s="230"/>
      <c r="AB991" s="230"/>
      <c r="AC991" s="230"/>
      <c r="AD991" s="230"/>
      <c r="AE991" s="230"/>
      <c r="AF991" s="230"/>
      <c r="AG991" s="230"/>
      <c r="AH991" s="230"/>
      <c r="AI991" s="230"/>
      <c r="AJ991" s="230"/>
      <c r="AK991" s="230"/>
      <c r="AL991" s="230"/>
      <c r="AM991" s="230"/>
      <c r="AN991" s="230"/>
      <c r="AO991" s="230"/>
      <c r="AP991" s="230"/>
      <c r="AQ991" s="230"/>
      <c r="AS991" s="231"/>
      <c r="AT991" s="231"/>
      <c r="AU991" s="231"/>
      <c r="AV991" s="231"/>
      <c r="AW991" s="231"/>
      <c r="AX991" s="231"/>
      <c r="AY991" s="231"/>
      <c r="AZ991" s="231"/>
      <c r="BA991" s="231"/>
      <c r="BC991" s="82"/>
      <c r="BD991" s="82"/>
      <c r="BE991" s="82"/>
      <c r="BF991" s="82"/>
      <c r="BG991" s="82"/>
      <c r="BH991" s="82"/>
      <c r="BI991" s="82"/>
      <c r="BJ991" s="82"/>
      <c r="BK991" s="82"/>
      <c r="BL991" s="82"/>
      <c r="BM991" s="82"/>
      <c r="BN991" s="82"/>
      <c r="BO991" s="82"/>
      <c r="BP991" s="82"/>
      <c r="BQ991" s="82"/>
      <c r="BR991" s="82"/>
      <c r="BS991" s="82"/>
      <c r="BT991" s="82"/>
      <c r="BU991" s="82"/>
      <c r="BV991" s="82"/>
      <c r="BW991" s="82"/>
      <c r="BX991" s="82"/>
      <c r="BY991" s="82"/>
      <c r="BZ991" s="82"/>
      <c r="CA991" s="82"/>
      <c r="CB991" s="82"/>
      <c r="CC991" s="82"/>
      <c r="CD991" s="82"/>
      <c r="CE991" s="82"/>
      <c r="CF991" s="82"/>
      <c r="CG991" s="82"/>
      <c r="CH991" s="82"/>
      <c r="CI991" s="82"/>
      <c r="CJ991" s="82"/>
      <c r="CK991" s="82"/>
      <c r="CL991" s="82"/>
      <c r="CM991" s="82"/>
      <c r="CN991" s="82"/>
      <c r="CO991" s="82"/>
      <c r="CP991" s="82"/>
      <c r="CQ991" s="82"/>
      <c r="CR991" s="82"/>
      <c r="CS991" s="82"/>
      <c r="CT991" s="82"/>
      <c r="CU991" s="82"/>
      <c r="CV991" s="82"/>
      <c r="CW991" s="82"/>
      <c r="CX991" s="82"/>
      <c r="CY991" s="82"/>
      <c r="CZ991" s="82"/>
      <c r="DA991" s="82"/>
      <c r="DB991" s="82"/>
      <c r="DC991" s="82"/>
      <c r="DD991" s="82"/>
      <c r="DE991" s="82"/>
      <c r="DF991" s="82"/>
      <c r="DG991" s="82"/>
    </row>
    <row r="992" spans="2:111" ht="9" customHeight="1">
      <c r="B992" s="229"/>
      <c r="C992" s="229"/>
      <c r="D992" s="229"/>
      <c r="E992" s="229"/>
      <c r="F992" s="229"/>
      <c r="G992" s="229"/>
      <c r="H992" s="229"/>
      <c r="I992" s="229"/>
      <c r="J992" s="229"/>
      <c r="K992" s="229"/>
      <c r="L992" s="229"/>
      <c r="M992" s="229"/>
      <c r="N992" s="229"/>
      <c r="P992" s="230"/>
      <c r="Q992" s="230"/>
      <c r="R992" s="230"/>
      <c r="S992" s="230"/>
      <c r="T992" s="230"/>
      <c r="U992" s="230"/>
      <c r="V992" s="230"/>
      <c r="W992" s="230"/>
      <c r="X992" s="230"/>
      <c r="Y992" s="230"/>
      <c r="Z992" s="230"/>
      <c r="AA992" s="230"/>
      <c r="AB992" s="230"/>
      <c r="AC992" s="230"/>
      <c r="AD992" s="230"/>
      <c r="AE992" s="230"/>
      <c r="AF992" s="230"/>
      <c r="AG992" s="230"/>
      <c r="AH992" s="230"/>
      <c r="AI992" s="230"/>
      <c r="AJ992" s="230"/>
      <c r="AK992" s="230"/>
      <c r="AL992" s="230"/>
      <c r="AM992" s="230"/>
      <c r="AN992" s="230"/>
      <c r="AO992" s="230"/>
      <c r="AP992" s="230"/>
      <c r="AQ992" s="230"/>
      <c r="AS992" s="231"/>
      <c r="AT992" s="231"/>
      <c r="AU992" s="231"/>
      <c r="AV992" s="231"/>
      <c r="AW992" s="231"/>
      <c r="AX992" s="231"/>
      <c r="AY992" s="231"/>
      <c r="AZ992" s="231"/>
      <c r="BA992" s="231"/>
      <c r="BC992" s="82"/>
      <c r="BD992" s="82"/>
      <c r="BE992" s="82"/>
      <c r="BF992" s="82"/>
      <c r="BG992" s="82"/>
      <c r="BH992" s="82"/>
      <c r="BI992" s="82"/>
      <c r="BJ992" s="82"/>
      <c r="BK992" s="82"/>
      <c r="BL992" s="82"/>
      <c r="BM992" s="82"/>
      <c r="BN992" s="82"/>
      <c r="BO992" s="82"/>
      <c r="BP992" s="82"/>
      <c r="BQ992" s="82"/>
      <c r="BR992" s="82"/>
      <c r="BS992" s="82"/>
      <c r="BT992" s="82"/>
      <c r="BU992" s="82"/>
      <c r="BV992" s="82"/>
      <c r="BW992" s="82"/>
      <c r="BX992" s="82"/>
      <c r="BY992" s="82"/>
      <c r="BZ992" s="82"/>
      <c r="CA992" s="82"/>
      <c r="CB992" s="82"/>
      <c r="CC992" s="82"/>
      <c r="CD992" s="82"/>
      <c r="CE992" s="82"/>
      <c r="CF992" s="82"/>
      <c r="CG992" s="82"/>
      <c r="CH992" s="82"/>
      <c r="CI992" s="82"/>
      <c r="CJ992" s="82"/>
      <c r="CK992" s="82"/>
      <c r="CL992" s="82"/>
      <c r="CM992" s="82"/>
      <c r="CN992" s="82"/>
      <c r="CO992" s="82"/>
      <c r="CP992" s="82"/>
      <c r="CQ992" s="82"/>
      <c r="CR992" s="82"/>
      <c r="CS992" s="82"/>
      <c r="CT992" s="82"/>
      <c r="CU992" s="82"/>
      <c r="CV992" s="82"/>
      <c r="CW992" s="82"/>
      <c r="CX992" s="82"/>
      <c r="CY992" s="82"/>
      <c r="CZ992" s="82"/>
      <c r="DA992" s="82"/>
      <c r="DB992" s="82"/>
      <c r="DC992" s="82"/>
      <c r="DD992" s="82"/>
      <c r="DE992" s="82"/>
      <c r="DF992" s="82"/>
      <c r="DG992" s="82"/>
    </row>
    <row r="993" spans="2:111" ht="9" customHeight="1">
      <c r="B993" s="23"/>
      <c r="C993" s="23"/>
      <c r="D993" s="23"/>
      <c r="E993" s="23"/>
      <c r="F993" s="23"/>
      <c r="G993" s="23"/>
      <c r="H993" s="23"/>
      <c r="I993" s="23"/>
      <c r="J993" s="23"/>
      <c r="K993" s="23"/>
      <c r="L993" s="23"/>
      <c r="BC993" s="82"/>
      <c r="BD993" s="82"/>
      <c r="BE993" s="82"/>
      <c r="BF993" s="82"/>
      <c r="BG993" s="82"/>
      <c r="BH993" s="82"/>
      <c r="BI993" s="82"/>
      <c r="BJ993" s="82"/>
      <c r="BK993" s="82"/>
      <c r="BL993" s="82"/>
      <c r="BM993" s="82"/>
      <c r="BN993" s="82"/>
      <c r="BO993" s="82"/>
      <c r="BP993" s="82"/>
      <c r="BQ993" s="82"/>
      <c r="BR993" s="82"/>
      <c r="BS993" s="82"/>
      <c r="BT993" s="82"/>
      <c r="BU993" s="82"/>
      <c r="BV993" s="82"/>
      <c r="BW993" s="82"/>
      <c r="BX993" s="82"/>
      <c r="BY993" s="82"/>
      <c r="BZ993" s="82"/>
      <c r="CA993" s="82"/>
      <c r="CB993" s="82"/>
      <c r="CC993" s="82"/>
      <c r="CD993" s="82"/>
      <c r="CE993" s="82"/>
      <c r="CF993" s="82"/>
      <c r="CG993" s="82"/>
      <c r="CH993" s="82"/>
      <c r="CI993" s="82"/>
      <c r="CJ993" s="82"/>
      <c r="CK993" s="82"/>
      <c r="CL993" s="82"/>
      <c r="CM993" s="82"/>
      <c r="CN993" s="82"/>
      <c r="CO993" s="82"/>
      <c r="CP993" s="82"/>
      <c r="CQ993" s="82"/>
      <c r="CR993" s="82"/>
      <c r="CS993" s="82"/>
      <c r="CT993" s="82"/>
      <c r="CU993" s="82"/>
      <c r="CV993" s="82"/>
      <c r="CW993" s="82"/>
      <c r="CX993" s="82"/>
      <c r="CY993" s="82"/>
      <c r="CZ993" s="82"/>
      <c r="DA993" s="82"/>
      <c r="DB993" s="82"/>
      <c r="DC993" s="82"/>
      <c r="DD993" s="82"/>
      <c r="DE993" s="82"/>
      <c r="DF993" s="82"/>
      <c r="DG993" s="82"/>
    </row>
    <row r="994" spans="2:111" ht="9" customHeight="1">
      <c r="B994" s="238" t="str">
        <f>IF($U$623&gt;=4,"Meta 4","")</f>
        <v>Meta 4</v>
      </c>
      <c r="C994" s="238"/>
      <c r="D994" s="238"/>
      <c r="E994" s="238"/>
      <c r="F994" s="238"/>
      <c r="G994" s="238"/>
      <c r="I994" s="241" t="s">
        <v>527</v>
      </c>
      <c r="J994" s="241"/>
      <c r="K994" s="241"/>
      <c r="L994" s="241"/>
      <c r="M994" s="241"/>
      <c r="N994" s="241"/>
      <c r="O994" s="241"/>
      <c r="P994" s="241"/>
      <c r="Q994" s="241"/>
      <c r="R994" s="241"/>
      <c r="S994" s="241"/>
      <c r="T994" s="241"/>
      <c r="U994" s="241"/>
      <c r="V994" s="241"/>
      <c r="W994" s="241"/>
      <c r="X994" s="241"/>
      <c r="Y994" s="241"/>
      <c r="Z994" s="241"/>
      <c r="AA994" s="241"/>
      <c r="AB994" s="241"/>
      <c r="AC994" s="241"/>
      <c r="AD994" s="241"/>
      <c r="AE994" s="241"/>
      <c r="AF994" s="241"/>
      <c r="AG994" s="241"/>
      <c r="AH994" s="241"/>
      <c r="AI994" s="241"/>
      <c r="AJ994" s="241"/>
      <c r="AK994" s="241"/>
      <c r="AL994" s="241"/>
      <c r="AM994" s="241"/>
      <c r="AN994" s="241"/>
      <c r="AO994" s="241"/>
      <c r="AP994" s="241"/>
      <c r="AQ994" s="241"/>
      <c r="AR994" s="28"/>
      <c r="AS994" s="234">
        <f>IF((SUM(AS1000,AS1023,AS1047,AS1070,AS1093))=0,"",(SUM(AS1000,AS1023,AS1047,AS1070,AS1093)))</f>
        <v>259370.62</v>
      </c>
      <c r="AT994" s="234"/>
      <c r="AU994" s="234"/>
      <c r="AV994" s="234"/>
      <c r="AW994" s="234"/>
      <c r="AX994" s="234"/>
      <c r="AY994" s="234"/>
      <c r="AZ994" s="234"/>
      <c r="BA994" s="234"/>
      <c r="BC994" s="82"/>
      <c r="BD994" s="82"/>
      <c r="BE994" s="82"/>
      <c r="BF994" s="82"/>
      <c r="BG994" s="82"/>
      <c r="BH994" s="82"/>
      <c r="BI994" s="82"/>
      <c r="BJ994" s="82"/>
      <c r="BK994" s="82"/>
      <c r="BL994" s="82"/>
      <c r="BM994" s="82"/>
      <c r="BN994" s="82"/>
      <c r="BO994" s="82"/>
      <c r="BP994" s="82"/>
      <c r="BQ994" s="82"/>
      <c r="BR994" s="82"/>
      <c r="BS994" s="82"/>
      <c r="BT994" s="82"/>
      <c r="BU994" s="82"/>
      <c r="BV994" s="82"/>
      <c r="BW994" s="82"/>
      <c r="BX994" s="82"/>
      <c r="BY994" s="82"/>
      <c r="BZ994" s="82"/>
      <c r="CA994" s="82"/>
      <c r="CB994" s="82"/>
      <c r="CC994" s="82"/>
      <c r="CD994" s="82"/>
      <c r="CE994" s="82"/>
      <c r="CF994" s="82"/>
      <c r="CG994" s="82"/>
      <c r="CH994" s="82"/>
      <c r="CI994" s="82"/>
      <c r="CJ994" s="82"/>
      <c r="CK994" s="82"/>
      <c r="CL994" s="82"/>
      <c r="CM994" s="82"/>
      <c r="CN994" s="82"/>
      <c r="CO994" s="82"/>
      <c r="CP994" s="82"/>
      <c r="CQ994" s="82"/>
      <c r="CR994" s="82"/>
      <c r="CS994" s="82"/>
      <c r="CT994" s="82"/>
      <c r="CU994" s="82"/>
      <c r="CV994" s="82"/>
      <c r="CW994" s="82"/>
      <c r="CX994" s="82"/>
      <c r="CY994" s="82"/>
      <c r="CZ994" s="82"/>
      <c r="DA994" s="82"/>
      <c r="DB994" s="82"/>
      <c r="DC994" s="82"/>
      <c r="DD994" s="82"/>
      <c r="DE994" s="82"/>
      <c r="DF994" s="82"/>
      <c r="DG994" s="82"/>
    </row>
    <row r="995" spans="2:111" ht="9" customHeight="1">
      <c r="B995" s="238"/>
      <c r="C995" s="238"/>
      <c r="D995" s="238"/>
      <c r="E995" s="238"/>
      <c r="F995" s="238"/>
      <c r="G995" s="238"/>
      <c r="I995" s="241"/>
      <c r="J995" s="241"/>
      <c r="K995" s="241"/>
      <c r="L995" s="241"/>
      <c r="M995" s="241"/>
      <c r="N995" s="241"/>
      <c r="O995" s="241"/>
      <c r="P995" s="241"/>
      <c r="Q995" s="241"/>
      <c r="R995" s="241"/>
      <c r="S995" s="241"/>
      <c r="T995" s="241"/>
      <c r="U995" s="241"/>
      <c r="V995" s="241"/>
      <c r="W995" s="241"/>
      <c r="X995" s="241"/>
      <c r="Y995" s="241"/>
      <c r="Z995" s="241"/>
      <c r="AA995" s="241"/>
      <c r="AB995" s="241"/>
      <c r="AC995" s="241"/>
      <c r="AD995" s="241"/>
      <c r="AE995" s="241"/>
      <c r="AF995" s="241"/>
      <c r="AG995" s="241"/>
      <c r="AH995" s="241"/>
      <c r="AI995" s="241"/>
      <c r="AJ995" s="241"/>
      <c r="AK995" s="241"/>
      <c r="AL995" s="241"/>
      <c r="AM995" s="241"/>
      <c r="AN995" s="241"/>
      <c r="AO995" s="241"/>
      <c r="AP995" s="241"/>
      <c r="AQ995" s="241"/>
      <c r="AR995" s="28"/>
      <c r="AS995" s="234"/>
      <c r="AT995" s="234"/>
      <c r="AU995" s="234"/>
      <c r="AV995" s="234"/>
      <c r="AW995" s="234"/>
      <c r="AX995" s="234"/>
      <c r="AY995" s="234"/>
      <c r="AZ995" s="234"/>
      <c r="BA995" s="234"/>
      <c r="BC995" s="82"/>
      <c r="BD995" s="82"/>
      <c r="BE995" s="82"/>
      <c r="BF995" s="82"/>
      <c r="BG995" s="82"/>
      <c r="BH995" s="82"/>
      <c r="BI995" s="82"/>
      <c r="BJ995" s="82"/>
      <c r="BK995" s="82"/>
      <c r="BL995" s="82"/>
      <c r="BM995" s="82"/>
      <c r="BN995" s="82"/>
      <c r="BO995" s="82"/>
      <c r="BP995" s="82"/>
      <c r="BQ995" s="82"/>
      <c r="BR995" s="82"/>
      <c r="BS995" s="82"/>
      <c r="BT995" s="82"/>
      <c r="BU995" s="82"/>
      <c r="BV995" s="82"/>
      <c r="BW995" s="82"/>
      <c r="BX995" s="82"/>
      <c r="BY995" s="82"/>
      <c r="BZ995" s="82"/>
      <c r="CA995" s="82"/>
      <c r="CB995" s="82"/>
      <c r="CC995" s="82"/>
      <c r="CD995" s="82"/>
      <c r="CE995" s="82"/>
      <c r="CF995" s="82"/>
      <c r="CG995" s="82"/>
      <c r="CH995" s="82"/>
      <c r="CI995" s="82"/>
      <c r="CJ995" s="82"/>
      <c r="CK995" s="82"/>
      <c r="CL995" s="82"/>
      <c r="CM995" s="82"/>
      <c r="CN995" s="82"/>
      <c r="CO995" s="82"/>
      <c r="CP995" s="82"/>
      <c r="CQ995" s="82"/>
      <c r="CR995" s="82"/>
      <c r="CS995" s="82"/>
      <c r="CT995" s="82"/>
      <c r="CU995" s="82"/>
      <c r="CV995" s="82"/>
      <c r="CW995" s="82"/>
      <c r="CX995" s="82"/>
      <c r="CY995" s="82"/>
      <c r="CZ995" s="82"/>
      <c r="DA995" s="82"/>
      <c r="DB995" s="82"/>
      <c r="DC995" s="82"/>
      <c r="DD995" s="82"/>
      <c r="DE995" s="82"/>
      <c r="DF995" s="82"/>
      <c r="DG995" s="82"/>
    </row>
    <row r="996" spans="2:111" ht="4.5" customHeight="1">
      <c r="BC996" s="82"/>
      <c r="BD996" s="82"/>
      <c r="BE996" s="82"/>
      <c r="BF996" s="82"/>
      <c r="BG996" s="82"/>
      <c r="BH996" s="82"/>
      <c r="BI996" s="82"/>
      <c r="BJ996" s="82"/>
      <c r="BK996" s="82"/>
      <c r="BL996" s="82"/>
      <c r="BM996" s="82"/>
      <c r="BN996" s="82"/>
      <c r="BO996" s="82"/>
      <c r="BP996" s="82"/>
      <c r="BQ996" s="82"/>
      <c r="BR996" s="82"/>
      <c r="BS996" s="82"/>
      <c r="BT996" s="82"/>
      <c r="BU996" s="82"/>
      <c r="BV996" s="82"/>
      <c r="BW996" s="82"/>
      <c r="BX996" s="82"/>
      <c r="BY996" s="82"/>
      <c r="BZ996" s="82"/>
      <c r="CA996" s="82"/>
      <c r="CB996" s="82"/>
      <c r="CC996" s="82"/>
      <c r="CD996" s="82"/>
      <c r="CE996" s="82"/>
      <c r="CF996" s="82"/>
      <c r="CG996" s="82"/>
      <c r="CH996" s="82"/>
      <c r="CI996" s="82"/>
      <c r="CJ996" s="82"/>
      <c r="CK996" s="82"/>
      <c r="CL996" s="82"/>
      <c r="CM996" s="82"/>
      <c r="CN996" s="82"/>
      <c r="CO996" s="82"/>
      <c r="CP996" s="82"/>
      <c r="CQ996" s="82"/>
      <c r="CR996" s="82"/>
      <c r="CS996" s="82"/>
      <c r="CT996" s="82"/>
      <c r="CU996" s="82"/>
      <c r="CV996" s="82"/>
      <c r="CW996" s="82"/>
      <c r="CX996" s="82"/>
      <c r="CY996" s="82"/>
      <c r="CZ996" s="82"/>
      <c r="DA996" s="82"/>
      <c r="DB996" s="82"/>
      <c r="DC996" s="82"/>
      <c r="DD996" s="82"/>
      <c r="DE996" s="82"/>
      <c r="DF996" s="82"/>
      <c r="DG996" s="82"/>
    </row>
    <row r="997" spans="2:111" ht="9" customHeight="1">
      <c r="B997" s="239" t="str">
        <f>IF($U$623&gt;=4,(CONCATENATE("Quantas etapas possui a ",B994,"?")),"")</f>
        <v>Quantas etapas possui a Meta 4?</v>
      </c>
      <c r="C997" s="239"/>
      <c r="D997" s="239"/>
      <c r="E997" s="239"/>
      <c r="F997" s="239"/>
      <c r="G997" s="239"/>
      <c r="H997" s="239"/>
      <c r="I997" s="239"/>
      <c r="J997" s="239"/>
      <c r="K997" s="239"/>
      <c r="L997" s="239"/>
      <c r="M997" s="239"/>
      <c r="N997" s="239"/>
      <c r="O997" s="239"/>
      <c r="P997" s="239"/>
      <c r="Q997" s="239"/>
      <c r="R997" s="239"/>
      <c r="S997" s="239"/>
      <c r="U997" s="240">
        <v>3</v>
      </c>
      <c r="V997" s="240"/>
      <c r="W997" s="240"/>
      <c r="X997" s="240"/>
      <c r="BC997" s="82"/>
      <c r="BD997" s="82"/>
      <c r="BE997" s="82"/>
      <c r="BF997" s="82"/>
      <c r="BG997" s="82"/>
      <c r="BH997" s="82"/>
      <c r="BI997" s="82"/>
      <c r="BJ997" s="82"/>
      <c r="BK997" s="82"/>
      <c r="BL997" s="82"/>
      <c r="BM997" s="82"/>
      <c r="BN997" s="82"/>
      <c r="BO997" s="82"/>
      <c r="BP997" s="82"/>
      <c r="BQ997" s="82"/>
      <c r="BR997" s="82"/>
      <c r="BS997" s="82"/>
      <c r="BT997" s="82"/>
      <c r="BU997" s="82"/>
      <c r="BV997" s="82"/>
      <c r="BW997" s="82"/>
      <c r="BX997" s="82"/>
      <c r="BY997" s="82"/>
      <c r="BZ997" s="82"/>
      <c r="CA997" s="82"/>
      <c r="CB997" s="82"/>
      <c r="CC997" s="82"/>
      <c r="CD997" s="82"/>
      <c r="CE997" s="82"/>
      <c r="CF997" s="82"/>
      <c r="CG997" s="82"/>
      <c r="CH997" s="82"/>
      <c r="CI997" s="82"/>
      <c r="CJ997" s="82"/>
      <c r="CK997" s="82"/>
      <c r="CL997" s="82"/>
      <c r="CM997" s="82"/>
      <c r="CN997" s="82"/>
      <c r="CO997" s="82"/>
      <c r="CP997" s="82"/>
      <c r="CQ997" s="82"/>
      <c r="CR997" s="82"/>
      <c r="CS997" s="82"/>
      <c r="CT997" s="82"/>
      <c r="CU997" s="82"/>
      <c r="CV997" s="82"/>
      <c r="CW997" s="82"/>
      <c r="CX997" s="82"/>
      <c r="CY997" s="82"/>
      <c r="CZ997" s="82"/>
      <c r="DA997" s="82"/>
      <c r="DB997" s="82"/>
      <c r="DC997" s="82"/>
      <c r="DD997" s="82"/>
      <c r="DE997" s="82"/>
      <c r="DF997" s="82"/>
      <c r="DG997" s="82"/>
    </row>
    <row r="998" spans="2:111" ht="9" customHeight="1">
      <c r="B998" s="239"/>
      <c r="C998" s="239"/>
      <c r="D998" s="239"/>
      <c r="E998" s="239"/>
      <c r="F998" s="239"/>
      <c r="G998" s="239"/>
      <c r="H998" s="239"/>
      <c r="I998" s="239"/>
      <c r="J998" s="239"/>
      <c r="K998" s="239"/>
      <c r="L998" s="239"/>
      <c r="M998" s="239"/>
      <c r="N998" s="239"/>
      <c r="O998" s="239"/>
      <c r="P998" s="239"/>
      <c r="Q998" s="239"/>
      <c r="R998" s="239"/>
      <c r="S998" s="239"/>
      <c r="U998" s="240"/>
      <c r="V998" s="240"/>
      <c r="W998" s="240"/>
      <c r="X998" s="240"/>
      <c r="BC998" s="82"/>
      <c r="BD998" s="82"/>
      <c r="BE998" s="82"/>
      <c r="BF998" s="82"/>
      <c r="BG998" s="82"/>
      <c r="BH998" s="82"/>
      <c r="BI998" s="82"/>
      <c r="BJ998" s="82"/>
      <c r="BK998" s="82"/>
      <c r="BL998" s="82"/>
      <c r="BM998" s="82"/>
      <c r="BN998" s="82"/>
      <c r="BO998" s="82"/>
      <c r="BP998" s="82"/>
      <c r="BQ998" s="82"/>
      <c r="BR998" s="82"/>
      <c r="BS998" s="82"/>
      <c r="BT998" s="82"/>
      <c r="BU998" s="82"/>
      <c r="BV998" s="82"/>
      <c r="BW998" s="82"/>
      <c r="BX998" s="82"/>
      <c r="BY998" s="82"/>
      <c r="BZ998" s="82"/>
      <c r="CA998" s="82"/>
      <c r="CB998" s="82"/>
      <c r="CC998" s="82"/>
      <c r="CD998" s="82"/>
      <c r="CE998" s="82"/>
      <c r="CF998" s="82"/>
      <c r="CG998" s="82"/>
      <c r="CH998" s="82"/>
      <c r="CI998" s="82"/>
      <c r="CJ998" s="82"/>
      <c r="CK998" s="82"/>
      <c r="CL998" s="82"/>
      <c r="CM998" s="82"/>
      <c r="CN998" s="82"/>
      <c r="CO998" s="82"/>
      <c r="CP998" s="82"/>
      <c r="CQ998" s="82"/>
      <c r="CR998" s="82"/>
      <c r="CS998" s="82"/>
      <c r="CT998" s="82"/>
      <c r="CU998" s="82"/>
      <c r="CV998" s="82"/>
      <c r="CW998" s="82"/>
      <c r="CX998" s="82"/>
      <c r="CY998" s="82"/>
      <c r="CZ998" s="82"/>
      <c r="DA998" s="82"/>
      <c r="DB998" s="82"/>
      <c r="DC998" s="82"/>
      <c r="DD998" s="82"/>
      <c r="DE998" s="82"/>
      <c r="DF998" s="82"/>
      <c r="DG998" s="82"/>
    </row>
    <row r="999" spans="2:111" ht="4.5" customHeight="1">
      <c r="BC999" s="82"/>
      <c r="BD999" s="82"/>
      <c r="BE999" s="82"/>
      <c r="BF999" s="82"/>
      <c r="BG999" s="82"/>
      <c r="BH999" s="82"/>
      <c r="BI999" s="82"/>
      <c r="BJ999" s="82"/>
      <c r="BK999" s="82"/>
      <c r="BL999" s="82"/>
      <c r="BM999" s="82"/>
      <c r="BN999" s="82"/>
      <c r="BO999" s="82"/>
      <c r="BP999" s="82"/>
      <c r="BQ999" s="82"/>
      <c r="BR999" s="82"/>
      <c r="BS999" s="82"/>
      <c r="BT999" s="82"/>
      <c r="BU999" s="82"/>
      <c r="BV999" s="82"/>
      <c r="BW999" s="82"/>
      <c r="BX999" s="82"/>
      <c r="BY999" s="82"/>
      <c r="BZ999" s="82"/>
      <c r="CA999" s="82"/>
      <c r="CB999" s="82"/>
      <c r="CC999" s="82"/>
      <c r="CD999" s="82"/>
      <c r="CE999" s="82"/>
      <c r="CF999" s="82"/>
      <c r="CG999" s="82"/>
      <c r="CH999" s="82"/>
      <c r="CI999" s="82"/>
      <c r="CJ999" s="82"/>
      <c r="CK999" s="82"/>
      <c r="CL999" s="82"/>
      <c r="CM999" s="82"/>
      <c r="CN999" s="82"/>
      <c r="CO999" s="82"/>
      <c r="CP999" s="82"/>
      <c r="CQ999" s="82"/>
      <c r="CR999" s="82"/>
      <c r="CS999" s="82"/>
      <c r="CT999" s="82"/>
      <c r="CU999" s="82"/>
      <c r="CV999" s="82"/>
      <c r="CW999" s="82"/>
      <c r="CX999" s="82"/>
      <c r="CY999" s="82"/>
      <c r="CZ999" s="82"/>
      <c r="DA999" s="82"/>
      <c r="DB999" s="82"/>
      <c r="DC999" s="82"/>
      <c r="DD999" s="82"/>
      <c r="DE999" s="82"/>
      <c r="DF999" s="82"/>
      <c r="DG999" s="82"/>
    </row>
    <row r="1000" spans="2:111" ht="9" customHeight="1">
      <c r="B1000" s="232" t="str">
        <f>IF($U$997&gt;=1,"Etapa 4.1","")</f>
        <v>Etapa 4.1</v>
      </c>
      <c r="C1000" s="232"/>
      <c r="D1000" s="232"/>
      <c r="E1000" s="232"/>
      <c r="F1000" s="232"/>
      <c r="G1000" s="232"/>
      <c r="I1000" s="233" t="s">
        <v>521</v>
      </c>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S1000" s="237">
        <f>IF(SUM(AS1006:BA1021)=0,"",SUM(AS1006:BA1021))</f>
        <v>129555</v>
      </c>
      <c r="AT1000" s="237"/>
      <c r="AU1000" s="237"/>
      <c r="AV1000" s="237"/>
      <c r="AW1000" s="237"/>
      <c r="AX1000" s="237"/>
      <c r="AY1000" s="237"/>
      <c r="AZ1000" s="237"/>
      <c r="BA1000" s="237"/>
      <c r="BC1000" s="82"/>
      <c r="BD1000" s="82"/>
      <c r="BE1000" s="82"/>
      <c r="BF1000" s="82"/>
      <c r="BG1000" s="82"/>
      <c r="BH1000" s="82"/>
      <c r="BI1000" s="82"/>
      <c r="BJ1000" s="82"/>
      <c r="BK1000" s="82"/>
      <c r="BL1000" s="82"/>
      <c r="BM1000" s="82"/>
      <c r="BN1000" s="82"/>
      <c r="BO1000" s="82"/>
      <c r="BP1000" s="82"/>
      <c r="BQ1000" s="82"/>
      <c r="BR1000" s="82"/>
      <c r="BS1000" s="82"/>
      <c r="BT1000" s="82"/>
      <c r="BU1000" s="82"/>
      <c r="BV1000" s="82"/>
      <c r="BW1000" s="82"/>
      <c r="BX1000" s="82"/>
      <c r="BY1000" s="82"/>
      <c r="BZ1000" s="82"/>
      <c r="CA1000" s="82"/>
      <c r="CB1000" s="82"/>
      <c r="CC1000" s="82"/>
      <c r="CD1000" s="82"/>
      <c r="CE1000" s="82"/>
      <c r="CF1000" s="82"/>
      <c r="CG1000" s="82"/>
      <c r="CH1000" s="82"/>
      <c r="CI1000" s="82"/>
      <c r="CJ1000" s="82"/>
      <c r="CK1000" s="82"/>
      <c r="CL1000" s="82"/>
      <c r="CM1000" s="82"/>
      <c r="CN1000" s="82"/>
      <c r="CO1000" s="82"/>
      <c r="CP1000" s="82"/>
      <c r="CQ1000" s="82"/>
      <c r="CR1000" s="82"/>
      <c r="CS1000" s="82"/>
      <c r="CT1000" s="82"/>
      <c r="CU1000" s="82"/>
      <c r="CV1000" s="82"/>
      <c r="CW1000" s="82"/>
      <c r="CX1000" s="82"/>
      <c r="CY1000" s="82"/>
      <c r="CZ1000" s="82"/>
      <c r="DA1000" s="82"/>
      <c r="DB1000" s="82"/>
      <c r="DC1000" s="82"/>
      <c r="DD1000" s="82"/>
      <c r="DE1000" s="82"/>
      <c r="DF1000" s="82"/>
      <c r="DG1000" s="82"/>
    </row>
    <row r="1001" spans="2:111" ht="9" customHeight="1">
      <c r="B1001" s="232"/>
      <c r="C1001" s="232"/>
      <c r="D1001" s="232"/>
      <c r="E1001" s="232"/>
      <c r="F1001" s="232"/>
      <c r="G1001" s="232"/>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3"/>
      <c r="AK1001" s="233"/>
      <c r="AL1001" s="233"/>
      <c r="AM1001" s="233"/>
      <c r="AN1001" s="233"/>
      <c r="AO1001" s="233"/>
      <c r="AP1001" s="233"/>
      <c r="AQ1001" s="233"/>
      <c r="AS1001" s="237"/>
      <c r="AT1001" s="237"/>
      <c r="AU1001" s="237"/>
      <c r="AV1001" s="237"/>
      <c r="AW1001" s="237"/>
      <c r="AX1001" s="237"/>
      <c r="AY1001" s="237"/>
      <c r="AZ1001" s="237"/>
      <c r="BA1001" s="237"/>
      <c r="BC1001" s="82"/>
      <c r="BD1001" s="82"/>
      <c r="BE1001" s="82"/>
      <c r="BF1001" s="82"/>
      <c r="BG1001" s="82"/>
      <c r="BH1001" s="82"/>
      <c r="BI1001" s="82"/>
      <c r="BJ1001" s="82"/>
      <c r="BK1001" s="82"/>
      <c r="BL1001" s="82"/>
      <c r="BM1001" s="82"/>
      <c r="BN1001" s="82"/>
      <c r="BO1001" s="82"/>
      <c r="BP1001" s="82"/>
      <c r="BQ1001" s="82"/>
      <c r="BR1001" s="82"/>
      <c r="BS1001" s="82"/>
      <c r="BT1001" s="82"/>
      <c r="BU1001" s="82"/>
      <c r="BV1001" s="82"/>
      <c r="BW1001" s="82"/>
      <c r="BX1001" s="82"/>
      <c r="BY1001" s="82"/>
      <c r="BZ1001" s="82"/>
      <c r="CA1001" s="82"/>
      <c r="CB1001" s="82"/>
      <c r="CC1001" s="82"/>
      <c r="CD1001" s="82"/>
      <c r="CE1001" s="82"/>
      <c r="CF1001" s="82"/>
      <c r="CG1001" s="82"/>
      <c r="CH1001" s="82"/>
      <c r="CI1001" s="82"/>
      <c r="CJ1001" s="82"/>
      <c r="CK1001" s="82"/>
      <c r="CL1001" s="82"/>
      <c r="CM1001" s="82"/>
      <c r="CN1001" s="82"/>
      <c r="CO1001" s="82"/>
      <c r="CP1001" s="82"/>
      <c r="CQ1001" s="82"/>
      <c r="CR1001" s="82"/>
      <c r="CS1001" s="82"/>
      <c r="CT1001" s="82"/>
      <c r="CU1001" s="82"/>
      <c r="CV1001" s="82"/>
      <c r="CW1001" s="82"/>
      <c r="CX1001" s="82"/>
      <c r="CY1001" s="82"/>
      <c r="CZ1001" s="82"/>
      <c r="DA1001" s="82"/>
      <c r="DB1001" s="82"/>
      <c r="DC1001" s="82"/>
      <c r="DD1001" s="82"/>
      <c r="DE1001" s="82"/>
      <c r="DF1001" s="82"/>
      <c r="DG1001" s="82"/>
    </row>
    <row r="1002" spans="2:111" ht="4.5" customHeight="1">
      <c r="BC1002" s="82"/>
      <c r="BD1002" s="82"/>
      <c r="BE1002" s="82"/>
      <c r="BF1002" s="82"/>
      <c r="BG1002" s="82"/>
      <c r="BH1002" s="82"/>
      <c r="BI1002" s="82"/>
      <c r="BJ1002" s="82"/>
      <c r="BK1002" s="82"/>
      <c r="BL1002" s="82"/>
      <c r="BM1002" s="82"/>
      <c r="BN1002" s="82"/>
      <c r="BO1002" s="82"/>
      <c r="BP1002" s="82"/>
      <c r="BQ1002" s="82"/>
      <c r="BR1002" s="82"/>
      <c r="BS1002" s="82"/>
      <c r="BT1002" s="82"/>
      <c r="BU1002" s="82"/>
      <c r="BV1002" s="82"/>
      <c r="BW1002" s="82"/>
      <c r="BX1002" s="82"/>
      <c r="BY1002" s="82"/>
      <c r="BZ1002" s="82"/>
      <c r="CA1002" s="82"/>
      <c r="CB1002" s="82"/>
      <c r="CC1002" s="82"/>
      <c r="CD1002" s="82"/>
      <c r="CE1002" s="82"/>
      <c r="CF1002" s="82"/>
      <c r="CG1002" s="82"/>
      <c r="CH1002" s="82"/>
      <c r="CI1002" s="82"/>
      <c r="CJ1002" s="82"/>
      <c r="CK1002" s="82"/>
      <c r="CL1002" s="82"/>
      <c r="CM1002" s="82"/>
      <c r="CN1002" s="82"/>
      <c r="CO1002" s="82"/>
      <c r="CP1002" s="82"/>
      <c r="CQ1002" s="82"/>
      <c r="CR1002" s="82"/>
      <c r="CS1002" s="82"/>
      <c r="CT1002" s="82"/>
      <c r="CU1002" s="82"/>
      <c r="CV1002" s="82"/>
      <c r="CW1002" s="82"/>
      <c r="CX1002" s="82"/>
      <c r="CY1002" s="82"/>
      <c r="CZ1002" s="82"/>
      <c r="DA1002" s="82"/>
      <c r="DB1002" s="82"/>
      <c r="DC1002" s="82"/>
      <c r="DD1002" s="82"/>
      <c r="DE1002" s="82"/>
      <c r="DF1002" s="82"/>
      <c r="DG1002" s="82"/>
    </row>
    <row r="1003" spans="2:111" ht="9" customHeight="1">
      <c r="I1003" s="229" t="str">
        <f>IF($U$997&gt;=1,"Início:","")</f>
        <v>Início:</v>
      </c>
      <c r="J1003" s="229"/>
      <c r="K1003" s="229"/>
      <c r="L1003" s="229"/>
      <c r="M1003" s="229"/>
      <c r="N1003" s="229"/>
      <c r="P1003" s="235">
        <v>44409</v>
      </c>
      <c r="Q1003" s="235"/>
      <c r="R1003" s="235"/>
      <c r="S1003" s="235"/>
      <c r="T1003" s="235"/>
      <c r="U1003" s="235"/>
      <c r="V1003" s="235"/>
      <c r="W1003" s="235"/>
      <c r="Y1003" s="229" t="str">
        <f>IF($U$997&gt;=1,"Término:","")</f>
        <v>Término:</v>
      </c>
      <c r="Z1003" s="229"/>
      <c r="AA1003" s="229"/>
      <c r="AB1003" s="229"/>
      <c r="AC1003" s="229"/>
      <c r="AD1003" s="229"/>
      <c r="AF1003" s="235">
        <v>44652</v>
      </c>
      <c r="AG1003" s="235"/>
      <c r="AH1003" s="235"/>
      <c r="AI1003" s="235"/>
      <c r="AJ1003" s="235"/>
      <c r="AK1003" s="235"/>
      <c r="AL1003" s="235"/>
      <c r="AM1003" s="235"/>
      <c r="AW1003" s="236" t="str">
        <f>IF($U$997&gt;=1,"Valor (R$):","")</f>
        <v>Valor (R$):</v>
      </c>
      <c r="AX1003" s="236"/>
      <c r="AY1003" s="236"/>
      <c r="AZ1003" s="236"/>
      <c r="BA1003" s="236"/>
      <c r="BC1003" s="82"/>
      <c r="BD1003" s="82"/>
      <c r="BE1003" s="82"/>
      <c r="BF1003" s="82"/>
      <c r="BG1003" s="82"/>
      <c r="BH1003" s="82"/>
      <c r="BI1003" s="82"/>
      <c r="BJ1003" s="82"/>
      <c r="BK1003" s="82"/>
      <c r="BL1003" s="82"/>
      <c r="BM1003" s="82"/>
      <c r="BN1003" s="82"/>
      <c r="BO1003" s="82"/>
      <c r="BP1003" s="82"/>
      <c r="BQ1003" s="82"/>
      <c r="BR1003" s="82"/>
      <c r="BS1003" s="82"/>
      <c r="BT1003" s="82"/>
      <c r="BU1003" s="82"/>
      <c r="BV1003" s="82"/>
      <c r="BW1003" s="82"/>
      <c r="BX1003" s="82"/>
      <c r="BY1003" s="82"/>
      <c r="BZ1003" s="82"/>
      <c r="CA1003" s="82"/>
      <c r="CB1003" s="82"/>
      <c r="CC1003" s="82"/>
      <c r="CD1003" s="82"/>
      <c r="CE1003" s="82"/>
      <c r="CF1003" s="82"/>
      <c r="CG1003" s="82"/>
      <c r="CH1003" s="82"/>
      <c r="CI1003" s="82"/>
      <c r="CJ1003" s="82"/>
      <c r="CK1003" s="82"/>
      <c r="CL1003" s="82"/>
      <c r="CM1003" s="82"/>
      <c r="CN1003" s="82"/>
      <c r="CO1003" s="82"/>
      <c r="CP1003" s="82"/>
      <c r="CQ1003" s="82"/>
      <c r="CR1003" s="82"/>
      <c r="CS1003" s="82"/>
      <c r="CT1003" s="82"/>
      <c r="CU1003" s="82"/>
      <c r="CV1003" s="82"/>
      <c r="CW1003" s="82"/>
      <c r="CX1003" s="82"/>
      <c r="CY1003" s="82"/>
      <c r="CZ1003" s="82"/>
      <c r="DA1003" s="82"/>
      <c r="DB1003" s="82"/>
      <c r="DC1003" s="82"/>
      <c r="DD1003" s="82"/>
      <c r="DE1003" s="82"/>
      <c r="DF1003" s="82"/>
      <c r="DG1003" s="82"/>
    </row>
    <row r="1004" spans="2:111" ht="9" customHeight="1">
      <c r="I1004" s="229"/>
      <c r="J1004" s="229"/>
      <c r="K1004" s="229"/>
      <c r="L1004" s="229"/>
      <c r="M1004" s="229"/>
      <c r="N1004" s="229"/>
      <c r="P1004" s="235"/>
      <c r="Q1004" s="235"/>
      <c r="R1004" s="235"/>
      <c r="S1004" s="235"/>
      <c r="T1004" s="235"/>
      <c r="U1004" s="235"/>
      <c r="V1004" s="235"/>
      <c r="W1004" s="235"/>
      <c r="Y1004" s="229"/>
      <c r="Z1004" s="229"/>
      <c r="AA1004" s="229"/>
      <c r="AB1004" s="229"/>
      <c r="AC1004" s="229"/>
      <c r="AD1004" s="229"/>
      <c r="AF1004" s="235"/>
      <c r="AG1004" s="235"/>
      <c r="AH1004" s="235"/>
      <c r="AI1004" s="235"/>
      <c r="AJ1004" s="235"/>
      <c r="AK1004" s="235"/>
      <c r="AL1004" s="235"/>
      <c r="AM1004" s="235"/>
      <c r="AW1004" s="236"/>
      <c r="AX1004" s="236"/>
      <c r="AY1004" s="236"/>
      <c r="AZ1004" s="236"/>
      <c r="BA1004" s="236"/>
      <c r="BC1004" s="82"/>
      <c r="BD1004" s="82"/>
      <c r="BE1004" s="82"/>
      <c r="BF1004" s="82"/>
      <c r="BG1004" s="82"/>
      <c r="BH1004" s="82"/>
      <c r="BI1004" s="82"/>
      <c r="BJ1004" s="82"/>
      <c r="BK1004" s="82"/>
      <c r="BL1004" s="82"/>
      <c r="BM1004" s="82"/>
      <c r="BN1004" s="82"/>
      <c r="BO1004" s="82"/>
      <c r="BP1004" s="82"/>
      <c r="BQ1004" s="82"/>
      <c r="BR1004" s="82"/>
      <c r="BS1004" s="82"/>
      <c r="BT1004" s="82"/>
      <c r="BU1004" s="82"/>
      <c r="BV1004" s="82"/>
      <c r="BW1004" s="82"/>
      <c r="BX1004" s="82"/>
      <c r="BY1004" s="82"/>
      <c r="BZ1004" s="82"/>
      <c r="CA1004" s="82"/>
      <c r="CB1004" s="82"/>
      <c r="CC1004" s="82"/>
      <c r="CD1004" s="82"/>
      <c r="CE1004" s="82"/>
      <c r="CF1004" s="82"/>
      <c r="CG1004" s="82"/>
      <c r="CH1004" s="82"/>
      <c r="CI1004" s="82"/>
      <c r="CJ1004" s="82"/>
      <c r="CK1004" s="82"/>
      <c r="CL1004" s="82"/>
      <c r="CM1004" s="82"/>
      <c r="CN1004" s="82"/>
      <c r="CO1004" s="82"/>
      <c r="CP1004" s="82"/>
      <c r="CQ1004" s="82"/>
      <c r="CR1004" s="82"/>
      <c r="CS1004" s="82"/>
      <c r="CT1004" s="82"/>
      <c r="CU1004" s="82"/>
      <c r="CV1004" s="82"/>
      <c r="CW1004" s="82"/>
      <c r="CX1004" s="82"/>
      <c r="CY1004" s="82"/>
      <c r="CZ1004" s="82"/>
      <c r="DA1004" s="82"/>
      <c r="DB1004" s="82"/>
      <c r="DC1004" s="82"/>
      <c r="DD1004" s="82"/>
      <c r="DE1004" s="82"/>
      <c r="DF1004" s="82"/>
      <c r="DG1004" s="82"/>
    </row>
    <row r="1005" spans="2:111" ht="4.5" customHeight="1">
      <c r="BC1005" s="82"/>
      <c r="BD1005" s="82"/>
      <c r="BE1005" s="82"/>
      <c r="BF1005" s="82"/>
      <c r="BG1005" s="82"/>
      <c r="BH1005" s="82"/>
      <c r="BI1005" s="82"/>
      <c r="BJ1005" s="82"/>
      <c r="BK1005" s="82"/>
      <c r="BL1005" s="82"/>
      <c r="BM1005" s="82"/>
      <c r="BN1005" s="82"/>
      <c r="BO1005" s="82"/>
      <c r="BP1005" s="82"/>
      <c r="BQ1005" s="82"/>
      <c r="BR1005" s="82"/>
      <c r="BS1005" s="82"/>
      <c r="BT1005" s="82"/>
      <c r="BU1005" s="82"/>
      <c r="BV1005" s="82"/>
      <c r="BW1005" s="82"/>
      <c r="BX1005" s="82"/>
      <c r="BY1005" s="82"/>
      <c r="BZ1005" s="82"/>
      <c r="CA1005" s="82"/>
      <c r="CB1005" s="82"/>
      <c r="CC1005" s="82"/>
      <c r="CD1005" s="82"/>
      <c r="CE1005" s="82"/>
      <c r="CF1005" s="82"/>
      <c r="CG1005" s="82"/>
      <c r="CH1005" s="82"/>
      <c r="CI1005" s="82"/>
      <c r="CJ1005" s="82"/>
      <c r="CK1005" s="82"/>
      <c r="CL1005" s="82"/>
      <c r="CM1005" s="82"/>
      <c r="CN1005" s="82"/>
      <c r="CO1005" s="82"/>
      <c r="CP1005" s="82"/>
      <c r="CQ1005" s="82"/>
      <c r="CR1005" s="82"/>
      <c r="CS1005" s="82"/>
      <c r="CT1005" s="82"/>
      <c r="CU1005" s="82"/>
      <c r="CV1005" s="82"/>
      <c r="CW1005" s="82"/>
      <c r="CX1005" s="82"/>
      <c r="CY1005" s="82"/>
      <c r="CZ1005" s="82"/>
      <c r="DA1005" s="82"/>
      <c r="DB1005" s="82"/>
      <c r="DC1005" s="82"/>
      <c r="DD1005" s="82"/>
      <c r="DE1005" s="82"/>
      <c r="DF1005" s="82"/>
      <c r="DG1005" s="82"/>
    </row>
    <row r="1006" spans="2:111" ht="9" customHeight="1">
      <c r="B1006" s="229" t="str">
        <f>IF($U$997&gt;=1,"Elementos de Despesa:","")</f>
        <v>Elementos de Despesa:</v>
      </c>
      <c r="C1006" s="229"/>
      <c r="D1006" s="229"/>
      <c r="E1006" s="229"/>
      <c r="F1006" s="229"/>
      <c r="G1006" s="229"/>
      <c r="H1006" s="229"/>
      <c r="I1006" s="229"/>
      <c r="J1006" s="229"/>
      <c r="K1006" s="229"/>
      <c r="L1006" s="229"/>
      <c r="M1006" s="229"/>
      <c r="N1006" s="229"/>
      <c r="P1006" s="230" t="s">
        <v>215</v>
      </c>
      <c r="Q1006" s="230"/>
      <c r="R1006" s="230"/>
      <c r="S1006" s="230"/>
      <c r="T1006" s="230"/>
      <c r="U1006" s="230"/>
      <c r="V1006" s="230"/>
      <c r="W1006" s="230"/>
      <c r="X1006" s="230"/>
      <c r="Y1006" s="230"/>
      <c r="Z1006" s="230"/>
      <c r="AA1006" s="230"/>
      <c r="AB1006" s="230"/>
      <c r="AC1006" s="230"/>
      <c r="AD1006" s="230"/>
      <c r="AE1006" s="230"/>
      <c r="AF1006" s="230"/>
      <c r="AG1006" s="230"/>
      <c r="AH1006" s="230"/>
      <c r="AI1006" s="230"/>
      <c r="AJ1006" s="230"/>
      <c r="AK1006" s="230"/>
      <c r="AL1006" s="230"/>
      <c r="AM1006" s="230"/>
      <c r="AN1006" s="230"/>
      <c r="AO1006" s="230"/>
      <c r="AP1006" s="230"/>
      <c r="AQ1006" s="230"/>
      <c r="AS1006" s="231">
        <v>129555</v>
      </c>
      <c r="AT1006" s="231"/>
      <c r="AU1006" s="231"/>
      <c r="AV1006" s="231"/>
      <c r="AW1006" s="231"/>
      <c r="AX1006" s="231"/>
      <c r="AY1006" s="231"/>
      <c r="AZ1006" s="231"/>
      <c r="BA1006" s="231"/>
      <c r="BC1006" s="82"/>
      <c r="BD1006" s="82"/>
      <c r="BE1006" s="82"/>
      <c r="BF1006" s="82"/>
      <c r="BG1006" s="82"/>
      <c r="BH1006" s="82"/>
      <c r="BI1006" s="82"/>
      <c r="BJ1006" s="82"/>
      <c r="BK1006" s="82"/>
      <c r="BL1006" s="82"/>
      <c r="BM1006" s="82"/>
      <c r="BN1006" s="82"/>
      <c r="BO1006" s="82"/>
      <c r="BP1006" s="82"/>
      <c r="BQ1006" s="82"/>
      <c r="BR1006" s="82"/>
      <c r="BS1006" s="82"/>
      <c r="BT1006" s="82"/>
      <c r="BU1006" s="82"/>
      <c r="BV1006" s="82"/>
      <c r="BW1006" s="82"/>
      <c r="BX1006" s="82"/>
      <c r="BY1006" s="82"/>
      <c r="BZ1006" s="82"/>
      <c r="CA1006" s="82"/>
      <c r="CB1006" s="82"/>
      <c r="CC1006" s="82"/>
      <c r="CD1006" s="82"/>
      <c r="CE1006" s="82"/>
      <c r="CF1006" s="82"/>
      <c r="CG1006" s="82"/>
      <c r="CH1006" s="82"/>
      <c r="CI1006" s="82"/>
      <c r="CJ1006" s="82"/>
      <c r="CK1006" s="82"/>
      <c r="CL1006" s="82"/>
      <c r="CM1006" s="82"/>
      <c r="CN1006" s="82"/>
      <c r="CO1006" s="82"/>
      <c r="CP1006" s="82"/>
      <c r="CQ1006" s="82"/>
      <c r="CR1006" s="82"/>
      <c r="CS1006" s="82"/>
      <c r="CT1006" s="82"/>
      <c r="CU1006" s="82"/>
      <c r="CV1006" s="82"/>
      <c r="CW1006" s="82"/>
      <c r="CX1006" s="82"/>
      <c r="CY1006" s="82"/>
      <c r="CZ1006" s="82"/>
      <c r="DA1006" s="82"/>
      <c r="DB1006" s="82"/>
      <c r="DC1006" s="82"/>
      <c r="DD1006" s="82"/>
      <c r="DE1006" s="82"/>
      <c r="DF1006" s="82"/>
      <c r="DG1006" s="82"/>
    </row>
    <row r="1007" spans="2:111" ht="9" customHeight="1">
      <c r="B1007" s="229"/>
      <c r="C1007" s="229"/>
      <c r="D1007" s="229"/>
      <c r="E1007" s="229"/>
      <c r="F1007" s="229"/>
      <c r="G1007" s="229"/>
      <c r="H1007" s="229"/>
      <c r="I1007" s="229"/>
      <c r="J1007" s="229"/>
      <c r="K1007" s="229"/>
      <c r="L1007" s="229"/>
      <c r="M1007" s="229"/>
      <c r="N1007" s="229"/>
      <c r="P1007" s="230"/>
      <c r="Q1007" s="230"/>
      <c r="R1007" s="230"/>
      <c r="S1007" s="230"/>
      <c r="T1007" s="230"/>
      <c r="U1007" s="230"/>
      <c r="V1007" s="230"/>
      <c r="W1007" s="230"/>
      <c r="X1007" s="230"/>
      <c r="Y1007" s="230"/>
      <c r="Z1007" s="230"/>
      <c r="AA1007" s="230"/>
      <c r="AB1007" s="230"/>
      <c r="AC1007" s="230"/>
      <c r="AD1007" s="230"/>
      <c r="AE1007" s="230"/>
      <c r="AF1007" s="230"/>
      <c r="AG1007" s="230"/>
      <c r="AH1007" s="230"/>
      <c r="AI1007" s="230"/>
      <c r="AJ1007" s="230"/>
      <c r="AK1007" s="230"/>
      <c r="AL1007" s="230"/>
      <c r="AM1007" s="230"/>
      <c r="AN1007" s="230"/>
      <c r="AO1007" s="230"/>
      <c r="AP1007" s="230"/>
      <c r="AQ1007" s="230"/>
      <c r="AS1007" s="231"/>
      <c r="AT1007" s="231"/>
      <c r="AU1007" s="231"/>
      <c r="AV1007" s="231"/>
      <c r="AW1007" s="231"/>
      <c r="AX1007" s="231"/>
      <c r="AY1007" s="231"/>
      <c r="AZ1007" s="231"/>
      <c r="BA1007" s="231"/>
      <c r="BC1007" s="82"/>
      <c r="BD1007" s="82"/>
      <c r="BE1007" s="82"/>
      <c r="BF1007" s="82"/>
      <c r="BG1007" s="82"/>
      <c r="BH1007" s="82"/>
      <c r="BI1007" s="82"/>
      <c r="BJ1007" s="82"/>
      <c r="BK1007" s="82"/>
      <c r="BL1007" s="82"/>
      <c r="BM1007" s="82"/>
      <c r="BN1007" s="82"/>
      <c r="BO1007" s="82"/>
      <c r="BP1007" s="82"/>
      <c r="BQ1007" s="82"/>
      <c r="BR1007" s="82"/>
      <c r="BS1007" s="82"/>
      <c r="BT1007" s="82"/>
      <c r="BU1007" s="82"/>
      <c r="BV1007" s="82"/>
      <c r="BW1007" s="82"/>
      <c r="BX1007" s="82"/>
      <c r="BY1007" s="82"/>
      <c r="BZ1007" s="82"/>
      <c r="CA1007" s="82"/>
      <c r="CB1007" s="82"/>
      <c r="CC1007" s="82"/>
      <c r="CD1007" s="82"/>
      <c r="CE1007" s="82"/>
      <c r="CF1007" s="82"/>
      <c r="CG1007" s="82"/>
      <c r="CH1007" s="82"/>
      <c r="CI1007" s="82"/>
      <c r="CJ1007" s="82"/>
      <c r="CK1007" s="82"/>
      <c r="CL1007" s="82"/>
      <c r="CM1007" s="82"/>
      <c r="CN1007" s="82"/>
      <c r="CO1007" s="82"/>
      <c r="CP1007" s="82"/>
      <c r="CQ1007" s="82"/>
      <c r="CR1007" s="82"/>
      <c r="CS1007" s="82"/>
      <c r="CT1007" s="82"/>
      <c r="CU1007" s="82"/>
      <c r="CV1007" s="82"/>
      <c r="CW1007" s="82"/>
      <c r="CX1007" s="82"/>
      <c r="CY1007" s="82"/>
      <c r="CZ1007" s="82"/>
      <c r="DA1007" s="82"/>
      <c r="DB1007" s="82"/>
      <c r="DC1007" s="82"/>
      <c r="DD1007" s="82"/>
      <c r="DE1007" s="82"/>
      <c r="DF1007" s="82"/>
      <c r="DG1007" s="82"/>
    </row>
    <row r="1008" spans="2:111" ht="9" customHeight="1">
      <c r="B1008" s="229"/>
      <c r="C1008" s="229"/>
      <c r="D1008" s="229"/>
      <c r="E1008" s="229"/>
      <c r="F1008" s="229"/>
      <c r="G1008" s="229"/>
      <c r="H1008" s="229"/>
      <c r="I1008" s="229"/>
      <c r="J1008" s="229"/>
      <c r="K1008" s="229"/>
      <c r="L1008" s="229"/>
      <c r="M1008" s="229"/>
      <c r="N1008" s="229"/>
      <c r="P1008" s="230"/>
      <c r="Q1008" s="230"/>
      <c r="R1008" s="230"/>
      <c r="S1008" s="230"/>
      <c r="T1008" s="230"/>
      <c r="U1008" s="230"/>
      <c r="V1008" s="230"/>
      <c r="W1008" s="230"/>
      <c r="X1008" s="230"/>
      <c r="Y1008" s="230"/>
      <c r="Z1008" s="230"/>
      <c r="AA1008" s="230"/>
      <c r="AB1008" s="230"/>
      <c r="AC1008" s="230"/>
      <c r="AD1008" s="230"/>
      <c r="AE1008" s="230"/>
      <c r="AF1008" s="230"/>
      <c r="AG1008" s="230"/>
      <c r="AH1008" s="230"/>
      <c r="AI1008" s="230"/>
      <c r="AJ1008" s="230"/>
      <c r="AK1008" s="230"/>
      <c r="AL1008" s="230"/>
      <c r="AM1008" s="230"/>
      <c r="AN1008" s="230"/>
      <c r="AO1008" s="230"/>
      <c r="AP1008" s="230"/>
      <c r="AQ1008" s="230"/>
      <c r="AS1008" s="231"/>
      <c r="AT1008" s="231"/>
      <c r="AU1008" s="231"/>
      <c r="AV1008" s="231"/>
      <c r="AW1008" s="231"/>
      <c r="AX1008" s="231"/>
      <c r="AY1008" s="231"/>
      <c r="AZ1008" s="231"/>
      <c r="BA1008" s="231"/>
      <c r="BC1008" s="82"/>
      <c r="BD1008" s="82"/>
      <c r="BE1008" s="82"/>
      <c r="BF1008" s="82"/>
      <c r="BG1008" s="82"/>
      <c r="BH1008" s="82"/>
      <c r="BI1008" s="82"/>
      <c r="BJ1008" s="82"/>
      <c r="BK1008" s="82"/>
      <c r="BL1008" s="82"/>
      <c r="BM1008" s="82"/>
      <c r="BN1008" s="82"/>
      <c r="BO1008" s="82"/>
      <c r="BP1008" s="82"/>
      <c r="BQ1008" s="82"/>
      <c r="BR1008" s="82"/>
      <c r="BS1008" s="82"/>
      <c r="BT1008" s="82"/>
      <c r="BU1008" s="82"/>
      <c r="BV1008" s="82"/>
      <c r="BW1008" s="82"/>
      <c r="BX1008" s="82"/>
      <c r="BY1008" s="82"/>
      <c r="BZ1008" s="82"/>
      <c r="CA1008" s="82"/>
      <c r="CB1008" s="82"/>
      <c r="CC1008" s="82"/>
      <c r="CD1008" s="82"/>
      <c r="CE1008" s="82"/>
      <c r="CF1008" s="82"/>
      <c r="CG1008" s="82"/>
      <c r="CH1008" s="82"/>
      <c r="CI1008" s="82"/>
      <c r="CJ1008" s="82"/>
      <c r="CK1008" s="82"/>
      <c r="CL1008" s="82"/>
      <c r="CM1008" s="82"/>
      <c r="CN1008" s="82"/>
      <c r="CO1008" s="82"/>
      <c r="CP1008" s="82"/>
      <c r="CQ1008" s="82"/>
      <c r="CR1008" s="82"/>
      <c r="CS1008" s="82"/>
      <c r="CT1008" s="82"/>
      <c r="CU1008" s="82"/>
      <c r="CV1008" s="82"/>
      <c r="CW1008" s="82"/>
      <c r="CX1008" s="82"/>
      <c r="CY1008" s="82"/>
      <c r="CZ1008" s="82"/>
      <c r="DA1008" s="82"/>
      <c r="DB1008" s="82"/>
      <c r="DC1008" s="82"/>
      <c r="DD1008" s="82"/>
      <c r="DE1008" s="82"/>
      <c r="DF1008" s="82"/>
      <c r="DG1008" s="82"/>
    </row>
    <row r="1009" spans="2:111" ht="9" customHeight="1">
      <c r="B1009" s="229"/>
      <c r="C1009" s="229"/>
      <c r="D1009" s="229"/>
      <c r="E1009" s="229"/>
      <c r="F1009" s="229"/>
      <c r="G1009" s="229"/>
      <c r="H1009" s="229"/>
      <c r="I1009" s="229"/>
      <c r="J1009" s="229"/>
      <c r="K1009" s="229"/>
      <c r="L1009" s="229"/>
      <c r="M1009" s="229"/>
      <c r="N1009" s="229"/>
      <c r="P1009" s="230"/>
      <c r="Q1009" s="230"/>
      <c r="R1009" s="230"/>
      <c r="S1009" s="230"/>
      <c r="T1009" s="230"/>
      <c r="U1009" s="230"/>
      <c r="V1009" s="230"/>
      <c r="W1009" s="230"/>
      <c r="X1009" s="230"/>
      <c r="Y1009" s="230"/>
      <c r="Z1009" s="230"/>
      <c r="AA1009" s="230"/>
      <c r="AB1009" s="230"/>
      <c r="AC1009" s="230"/>
      <c r="AD1009" s="230"/>
      <c r="AE1009" s="230"/>
      <c r="AF1009" s="230"/>
      <c r="AG1009" s="230"/>
      <c r="AH1009" s="230"/>
      <c r="AI1009" s="230"/>
      <c r="AJ1009" s="230"/>
      <c r="AK1009" s="230"/>
      <c r="AL1009" s="230"/>
      <c r="AM1009" s="230"/>
      <c r="AN1009" s="230"/>
      <c r="AO1009" s="230"/>
      <c r="AP1009" s="230"/>
      <c r="AQ1009" s="230"/>
      <c r="AS1009" s="231"/>
      <c r="AT1009" s="231"/>
      <c r="AU1009" s="231"/>
      <c r="AV1009" s="231"/>
      <c r="AW1009" s="231"/>
      <c r="AX1009" s="231"/>
      <c r="AY1009" s="231"/>
      <c r="AZ1009" s="231"/>
      <c r="BA1009" s="231"/>
      <c r="BC1009" s="82"/>
      <c r="BD1009" s="82"/>
      <c r="BE1009" s="82"/>
      <c r="BF1009" s="82"/>
      <c r="BG1009" s="82"/>
      <c r="BH1009" s="82"/>
      <c r="BI1009" s="82"/>
      <c r="BJ1009" s="82"/>
      <c r="BK1009" s="82"/>
      <c r="BL1009" s="82"/>
      <c r="BM1009" s="82"/>
      <c r="BN1009" s="82"/>
      <c r="BO1009" s="82"/>
      <c r="BP1009" s="82"/>
      <c r="BQ1009" s="82"/>
      <c r="BR1009" s="82"/>
      <c r="BS1009" s="82"/>
      <c r="BT1009" s="82"/>
      <c r="BU1009" s="82"/>
      <c r="BV1009" s="82"/>
      <c r="BW1009" s="82"/>
      <c r="BX1009" s="82"/>
      <c r="BY1009" s="82"/>
      <c r="BZ1009" s="82"/>
      <c r="CA1009" s="82"/>
      <c r="CB1009" s="82"/>
      <c r="CC1009" s="82"/>
      <c r="CD1009" s="82"/>
      <c r="CE1009" s="82"/>
      <c r="CF1009" s="82"/>
      <c r="CG1009" s="82"/>
      <c r="CH1009" s="82"/>
      <c r="CI1009" s="82"/>
      <c r="CJ1009" s="82"/>
      <c r="CK1009" s="82"/>
      <c r="CL1009" s="82"/>
      <c r="CM1009" s="82"/>
      <c r="CN1009" s="82"/>
      <c r="CO1009" s="82"/>
      <c r="CP1009" s="82"/>
      <c r="CQ1009" s="82"/>
      <c r="CR1009" s="82"/>
      <c r="CS1009" s="82"/>
      <c r="CT1009" s="82"/>
      <c r="CU1009" s="82"/>
      <c r="CV1009" s="82"/>
      <c r="CW1009" s="82"/>
      <c r="CX1009" s="82"/>
      <c r="CY1009" s="82"/>
      <c r="CZ1009" s="82"/>
      <c r="DA1009" s="82"/>
      <c r="DB1009" s="82"/>
      <c r="DC1009" s="82"/>
      <c r="DD1009" s="82"/>
      <c r="DE1009" s="82"/>
      <c r="DF1009" s="82"/>
      <c r="DG1009" s="82"/>
    </row>
    <row r="1010" spans="2:111" ht="9" customHeight="1">
      <c r="B1010" s="229"/>
      <c r="C1010" s="229"/>
      <c r="D1010" s="229"/>
      <c r="E1010" s="229"/>
      <c r="F1010" s="229"/>
      <c r="G1010" s="229"/>
      <c r="H1010" s="229"/>
      <c r="I1010" s="229"/>
      <c r="J1010" s="229"/>
      <c r="K1010" s="229"/>
      <c r="L1010" s="229"/>
      <c r="M1010" s="229"/>
      <c r="N1010" s="229"/>
      <c r="P1010" s="230"/>
      <c r="Q1010" s="230"/>
      <c r="R1010" s="230"/>
      <c r="S1010" s="230"/>
      <c r="T1010" s="230"/>
      <c r="U1010" s="230"/>
      <c r="V1010" s="230"/>
      <c r="W1010" s="230"/>
      <c r="X1010" s="230"/>
      <c r="Y1010" s="230"/>
      <c r="Z1010" s="230"/>
      <c r="AA1010" s="230"/>
      <c r="AB1010" s="230"/>
      <c r="AC1010" s="230"/>
      <c r="AD1010" s="230"/>
      <c r="AE1010" s="230"/>
      <c r="AF1010" s="230"/>
      <c r="AG1010" s="230"/>
      <c r="AH1010" s="230"/>
      <c r="AI1010" s="230"/>
      <c r="AJ1010" s="230"/>
      <c r="AK1010" s="230"/>
      <c r="AL1010" s="230"/>
      <c r="AM1010" s="230"/>
      <c r="AN1010" s="230"/>
      <c r="AO1010" s="230"/>
      <c r="AP1010" s="230"/>
      <c r="AQ1010" s="230"/>
      <c r="AS1010" s="231"/>
      <c r="AT1010" s="231"/>
      <c r="AU1010" s="231"/>
      <c r="AV1010" s="231"/>
      <c r="AW1010" s="231"/>
      <c r="AX1010" s="231"/>
      <c r="AY1010" s="231"/>
      <c r="AZ1010" s="231"/>
      <c r="BA1010" s="231"/>
      <c r="BC1010" s="82"/>
      <c r="BD1010" s="82"/>
      <c r="BE1010" s="82"/>
      <c r="BF1010" s="82"/>
      <c r="BG1010" s="82"/>
      <c r="BH1010" s="82"/>
      <c r="BI1010" s="82"/>
      <c r="BJ1010" s="82"/>
      <c r="BK1010" s="82"/>
      <c r="BL1010" s="82"/>
      <c r="BM1010" s="82"/>
      <c r="BN1010" s="82"/>
      <c r="BO1010" s="82"/>
      <c r="BP1010" s="82"/>
      <c r="BQ1010" s="82"/>
      <c r="BR1010" s="82"/>
      <c r="BS1010" s="82"/>
      <c r="BT1010" s="82"/>
      <c r="BU1010" s="82"/>
      <c r="BV1010" s="82"/>
      <c r="BW1010" s="82"/>
      <c r="BX1010" s="82"/>
      <c r="BY1010" s="82"/>
      <c r="BZ1010" s="82"/>
      <c r="CA1010" s="82"/>
      <c r="CB1010" s="82"/>
      <c r="CC1010" s="82"/>
      <c r="CD1010" s="82"/>
      <c r="CE1010" s="82"/>
      <c r="CF1010" s="82"/>
      <c r="CG1010" s="82"/>
      <c r="CH1010" s="82"/>
      <c r="CI1010" s="82"/>
      <c r="CJ1010" s="82"/>
      <c r="CK1010" s="82"/>
      <c r="CL1010" s="82"/>
      <c r="CM1010" s="82"/>
      <c r="CN1010" s="82"/>
      <c r="CO1010" s="82"/>
      <c r="CP1010" s="82"/>
      <c r="CQ1010" s="82"/>
      <c r="CR1010" s="82"/>
      <c r="CS1010" s="82"/>
      <c r="CT1010" s="82"/>
      <c r="CU1010" s="82"/>
      <c r="CV1010" s="82"/>
      <c r="CW1010" s="82"/>
      <c r="CX1010" s="82"/>
      <c r="CY1010" s="82"/>
      <c r="CZ1010" s="82"/>
      <c r="DA1010" s="82"/>
      <c r="DB1010" s="82"/>
      <c r="DC1010" s="82"/>
      <c r="DD1010" s="82"/>
      <c r="DE1010" s="82"/>
      <c r="DF1010" s="82"/>
      <c r="DG1010" s="82"/>
    </row>
    <row r="1011" spans="2:111" ht="9" customHeight="1">
      <c r="B1011" s="229"/>
      <c r="C1011" s="229"/>
      <c r="D1011" s="229"/>
      <c r="E1011" s="229"/>
      <c r="F1011" s="229"/>
      <c r="G1011" s="229"/>
      <c r="H1011" s="229"/>
      <c r="I1011" s="229"/>
      <c r="J1011" s="229"/>
      <c r="K1011" s="229"/>
      <c r="L1011" s="229"/>
      <c r="M1011" s="229"/>
      <c r="N1011" s="229"/>
      <c r="P1011" s="230"/>
      <c r="Q1011" s="230"/>
      <c r="R1011" s="230"/>
      <c r="S1011" s="230"/>
      <c r="T1011" s="230"/>
      <c r="U1011" s="230"/>
      <c r="V1011" s="230"/>
      <c r="W1011" s="230"/>
      <c r="X1011" s="230"/>
      <c r="Y1011" s="230"/>
      <c r="Z1011" s="230"/>
      <c r="AA1011" s="230"/>
      <c r="AB1011" s="230"/>
      <c r="AC1011" s="230"/>
      <c r="AD1011" s="230"/>
      <c r="AE1011" s="230"/>
      <c r="AF1011" s="230"/>
      <c r="AG1011" s="230"/>
      <c r="AH1011" s="230"/>
      <c r="AI1011" s="230"/>
      <c r="AJ1011" s="230"/>
      <c r="AK1011" s="230"/>
      <c r="AL1011" s="230"/>
      <c r="AM1011" s="230"/>
      <c r="AN1011" s="230"/>
      <c r="AO1011" s="230"/>
      <c r="AP1011" s="230"/>
      <c r="AQ1011" s="230"/>
      <c r="AS1011" s="231"/>
      <c r="AT1011" s="231"/>
      <c r="AU1011" s="231"/>
      <c r="AV1011" s="231"/>
      <c r="AW1011" s="231"/>
      <c r="AX1011" s="231"/>
      <c r="AY1011" s="231"/>
      <c r="AZ1011" s="231"/>
      <c r="BA1011" s="231"/>
      <c r="BC1011" s="82"/>
      <c r="BD1011" s="82"/>
      <c r="BE1011" s="82"/>
      <c r="BF1011" s="82"/>
      <c r="BG1011" s="82"/>
      <c r="BH1011" s="82"/>
      <c r="BI1011" s="82"/>
      <c r="BJ1011" s="82"/>
      <c r="BK1011" s="82"/>
      <c r="BL1011" s="82"/>
      <c r="BM1011" s="82"/>
      <c r="BN1011" s="82"/>
      <c r="BO1011" s="82"/>
      <c r="BP1011" s="82"/>
      <c r="BQ1011" s="82"/>
      <c r="BR1011" s="82"/>
      <c r="BS1011" s="82"/>
      <c r="BT1011" s="82"/>
      <c r="BU1011" s="82"/>
      <c r="BV1011" s="82"/>
      <c r="BW1011" s="82"/>
      <c r="BX1011" s="82"/>
      <c r="BY1011" s="82"/>
      <c r="BZ1011" s="82"/>
      <c r="CA1011" s="82"/>
      <c r="CB1011" s="82"/>
      <c r="CC1011" s="82"/>
      <c r="CD1011" s="82"/>
      <c r="CE1011" s="82"/>
      <c r="CF1011" s="82"/>
      <c r="CG1011" s="82"/>
      <c r="CH1011" s="82"/>
      <c r="CI1011" s="82"/>
      <c r="CJ1011" s="82"/>
      <c r="CK1011" s="82"/>
      <c r="CL1011" s="82"/>
      <c r="CM1011" s="82"/>
      <c r="CN1011" s="82"/>
      <c r="CO1011" s="82"/>
      <c r="CP1011" s="82"/>
      <c r="CQ1011" s="82"/>
      <c r="CR1011" s="82"/>
      <c r="CS1011" s="82"/>
      <c r="CT1011" s="82"/>
      <c r="CU1011" s="82"/>
      <c r="CV1011" s="82"/>
      <c r="CW1011" s="82"/>
      <c r="CX1011" s="82"/>
      <c r="CY1011" s="82"/>
      <c r="CZ1011" s="82"/>
      <c r="DA1011" s="82"/>
      <c r="DB1011" s="82"/>
      <c r="DC1011" s="82"/>
      <c r="DD1011" s="82"/>
      <c r="DE1011" s="82"/>
      <c r="DF1011" s="82"/>
      <c r="DG1011" s="82"/>
    </row>
    <row r="1012" spans="2:111" ht="9" customHeight="1">
      <c r="B1012" s="229"/>
      <c r="C1012" s="229"/>
      <c r="D1012" s="229"/>
      <c r="E1012" s="229"/>
      <c r="F1012" s="229"/>
      <c r="G1012" s="229"/>
      <c r="H1012" s="229"/>
      <c r="I1012" s="229"/>
      <c r="J1012" s="229"/>
      <c r="K1012" s="229"/>
      <c r="L1012" s="229"/>
      <c r="M1012" s="229"/>
      <c r="N1012" s="229"/>
      <c r="P1012" s="230"/>
      <c r="Q1012" s="230"/>
      <c r="R1012" s="230"/>
      <c r="S1012" s="230"/>
      <c r="T1012" s="230"/>
      <c r="U1012" s="230"/>
      <c r="V1012" s="230"/>
      <c r="W1012" s="230"/>
      <c r="X1012" s="230"/>
      <c r="Y1012" s="230"/>
      <c r="Z1012" s="230"/>
      <c r="AA1012" s="230"/>
      <c r="AB1012" s="230"/>
      <c r="AC1012" s="230"/>
      <c r="AD1012" s="230"/>
      <c r="AE1012" s="230"/>
      <c r="AF1012" s="230"/>
      <c r="AG1012" s="230"/>
      <c r="AH1012" s="230"/>
      <c r="AI1012" s="230"/>
      <c r="AJ1012" s="230"/>
      <c r="AK1012" s="230"/>
      <c r="AL1012" s="230"/>
      <c r="AM1012" s="230"/>
      <c r="AN1012" s="230"/>
      <c r="AO1012" s="230"/>
      <c r="AP1012" s="230"/>
      <c r="AQ1012" s="230"/>
      <c r="AS1012" s="231"/>
      <c r="AT1012" s="231"/>
      <c r="AU1012" s="231"/>
      <c r="AV1012" s="231"/>
      <c r="AW1012" s="231"/>
      <c r="AX1012" s="231"/>
      <c r="AY1012" s="231"/>
      <c r="AZ1012" s="231"/>
      <c r="BA1012" s="231"/>
      <c r="BC1012" s="82"/>
      <c r="BD1012" s="82"/>
      <c r="BE1012" s="82"/>
      <c r="BF1012" s="82"/>
      <c r="BG1012" s="82"/>
      <c r="BH1012" s="82"/>
      <c r="BI1012" s="82"/>
      <c r="BJ1012" s="82"/>
      <c r="BK1012" s="82"/>
      <c r="BL1012" s="82"/>
      <c r="BM1012" s="82"/>
      <c r="BN1012" s="82"/>
      <c r="BO1012" s="82"/>
      <c r="BP1012" s="82"/>
      <c r="BQ1012" s="82"/>
      <c r="BR1012" s="82"/>
      <c r="BS1012" s="82"/>
      <c r="BT1012" s="82"/>
      <c r="BU1012" s="82"/>
      <c r="BV1012" s="82"/>
      <c r="BW1012" s="82"/>
      <c r="BX1012" s="82"/>
      <c r="BY1012" s="82"/>
      <c r="BZ1012" s="82"/>
      <c r="CA1012" s="82"/>
      <c r="CB1012" s="82"/>
      <c r="CC1012" s="82"/>
      <c r="CD1012" s="82"/>
      <c r="CE1012" s="82"/>
      <c r="CF1012" s="82"/>
      <c r="CG1012" s="82"/>
      <c r="CH1012" s="82"/>
      <c r="CI1012" s="82"/>
      <c r="CJ1012" s="82"/>
      <c r="CK1012" s="82"/>
      <c r="CL1012" s="82"/>
      <c r="CM1012" s="82"/>
      <c r="CN1012" s="82"/>
      <c r="CO1012" s="82"/>
      <c r="CP1012" s="82"/>
      <c r="CQ1012" s="82"/>
      <c r="CR1012" s="82"/>
      <c r="CS1012" s="82"/>
      <c r="CT1012" s="82"/>
      <c r="CU1012" s="82"/>
      <c r="CV1012" s="82"/>
      <c r="CW1012" s="82"/>
      <c r="CX1012" s="82"/>
      <c r="CY1012" s="82"/>
      <c r="CZ1012" s="82"/>
      <c r="DA1012" s="82"/>
      <c r="DB1012" s="82"/>
      <c r="DC1012" s="82"/>
      <c r="DD1012" s="82"/>
      <c r="DE1012" s="82"/>
      <c r="DF1012" s="82"/>
      <c r="DG1012" s="82"/>
    </row>
    <row r="1013" spans="2:111" ht="9" customHeight="1">
      <c r="B1013" s="229"/>
      <c r="C1013" s="229"/>
      <c r="D1013" s="229"/>
      <c r="E1013" s="229"/>
      <c r="F1013" s="229"/>
      <c r="G1013" s="229"/>
      <c r="H1013" s="229"/>
      <c r="I1013" s="229"/>
      <c r="J1013" s="229"/>
      <c r="K1013" s="229"/>
      <c r="L1013" s="229"/>
      <c r="M1013" s="229"/>
      <c r="N1013" s="229"/>
      <c r="P1013" s="230"/>
      <c r="Q1013" s="230"/>
      <c r="R1013" s="230"/>
      <c r="S1013" s="230"/>
      <c r="T1013" s="230"/>
      <c r="U1013" s="230"/>
      <c r="V1013" s="230"/>
      <c r="W1013" s="230"/>
      <c r="X1013" s="230"/>
      <c r="Y1013" s="230"/>
      <c r="Z1013" s="230"/>
      <c r="AA1013" s="230"/>
      <c r="AB1013" s="230"/>
      <c r="AC1013" s="230"/>
      <c r="AD1013" s="230"/>
      <c r="AE1013" s="230"/>
      <c r="AF1013" s="230"/>
      <c r="AG1013" s="230"/>
      <c r="AH1013" s="230"/>
      <c r="AI1013" s="230"/>
      <c r="AJ1013" s="230"/>
      <c r="AK1013" s="230"/>
      <c r="AL1013" s="230"/>
      <c r="AM1013" s="230"/>
      <c r="AN1013" s="230"/>
      <c r="AO1013" s="230"/>
      <c r="AP1013" s="230"/>
      <c r="AQ1013" s="230"/>
      <c r="AS1013" s="231"/>
      <c r="AT1013" s="231"/>
      <c r="AU1013" s="231"/>
      <c r="AV1013" s="231"/>
      <c r="AW1013" s="231"/>
      <c r="AX1013" s="231"/>
      <c r="AY1013" s="231"/>
      <c r="AZ1013" s="231"/>
      <c r="BA1013" s="231"/>
      <c r="BC1013" s="82"/>
      <c r="BD1013" s="82"/>
      <c r="BE1013" s="82"/>
      <c r="BF1013" s="82"/>
      <c r="BG1013" s="82"/>
      <c r="BH1013" s="82"/>
      <c r="BI1013" s="82"/>
      <c r="BJ1013" s="82"/>
      <c r="BK1013" s="82"/>
      <c r="BL1013" s="82"/>
      <c r="BM1013" s="82"/>
      <c r="BN1013" s="82"/>
      <c r="BO1013" s="82"/>
      <c r="BP1013" s="82"/>
      <c r="BQ1013" s="82"/>
      <c r="BR1013" s="82"/>
      <c r="BS1013" s="82"/>
      <c r="BT1013" s="82"/>
      <c r="BU1013" s="82"/>
      <c r="BV1013" s="82"/>
      <c r="BW1013" s="82"/>
      <c r="BX1013" s="82"/>
      <c r="BY1013" s="82"/>
      <c r="BZ1013" s="82"/>
      <c r="CA1013" s="82"/>
      <c r="CB1013" s="82"/>
      <c r="CC1013" s="82"/>
      <c r="CD1013" s="82"/>
      <c r="CE1013" s="82"/>
      <c r="CF1013" s="82"/>
      <c r="CG1013" s="82"/>
      <c r="CH1013" s="82"/>
      <c r="CI1013" s="82"/>
      <c r="CJ1013" s="82"/>
      <c r="CK1013" s="82"/>
      <c r="CL1013" s="82"/>
      <c r="CM1013" s="82"/>
      <c r="CN1013" s="82"/>
      <c r="CO1013" s="82"/>
      <c r="CP1013" s="82"/>
      <c r="CQ1013" s="82"/>
      <c r="CR1013" s="82"/>
      <c r="CS1013" s="82"/>
      <c r="CT1013" s="82"/>
      <c r="CU1013" s="82"/>
      <c r="CV1013" s="82"/>
      <c r="CW1013" s="82"/>
      <c r="CX1013" s="82"/>
      <c r="CY1013" s="82"/>
      <c r="CZ1013" s="82"/>
      <c r="DA1013" s="82"/>
      <c r="DB1013" s="82"/>
      <c r="DC1013" s="82"/>
      <c r="DD1013" s="82"/>
      <c r="DE1013" s="82"/>
      <c r="DF1013" s="82"/>
      <c r="DG1013" s="82"/>
    </row>
    <row r="1014" spans="2:111" ht="9" customHeight="1">
      <c r="B1014" s="229"/>
      <c r="C1014" s="229"/>
      <c r="D1014" s="229"/>
      <c r="E1014" s="229"/>
      <c r="F1014" s="229"/>
      <c r="G1014" s="229"/>
      <c r="H1014" s="229"/>
      <c r="I1014" s="229"/>
      <c r="J1014" s="229"/>
      <c r="K1014" s="229"/>
      <c r="L1014" s="229"/>
      <c r="M1014" s="229"/>
      <c r="N1014" s="229"/>
      <c r="P1014" s="230"/>
      <c r="Q1014" s="230"/>
      <c r="R1014" s="230"/>
      <c r="S1014" s="230"/>
      <c r="T1014" s="230"/>
      <c r="U1014" s="230"/>
      <c r="V1014" s="230"/>
      <c r="W1014" s="230"/>
      <c r="X1014" s="230"/>
      <c r="Y1014" s="230"/>
      <c r="Z1014" s="230"/>
      <c r="AA1014" s="230"/>
      <c r="AB1014" s="230"/>
      <c r="AC1014" s="230"/>
      <c r="AD1014" s="230"/>
      <c r="AE1014" s="230"/>
      <c r="AF1014" s="230"/>
      <c r="AG1014" s="230"/>
      <c r="AH1014" s="230"/>
      <c r="AI1014" s="230"/>
      <c r="AJ1014" s="230"/>
      <c r="AK1014" s="230"/>
      <c r="AL1014" s="230"/>
      <c r="AM1014" s="230"/>
      <c r="AN1014" s="230"/>
      <c r="AO1014" s="230"/>
      <c r="AP1014" s="230"/>
      <c r="AQ1014" s="230"/>
      <c r="AS1014" s="231"/>
      <c r="AT1014" s="231"/>
      <c r="AU1014" s="231"/>
      <c r="AV1014" s="231"/>
      <c r="AW1014" s="231"/>
      <c r="AX1014" s="231"/>
      <c r="AY1014" s="231"/>
      <c r="AZ1014" s="231"/>
      <c r="BA1014" s="231"/>
      <c r="BC1014" s="82"/>
      <c r="BD1014" s="82"/>
      <c r="BE1014" s="82"/>
      <c r="BF1014" s="82"/>
      <c r="BG1014" s="82"/>
      <c r="BH1014" s="82"/>
      <c r="BI1014" s="82"/>
      <c r="BJ1014" s="82"/>
      <c r="BK1014" s="82"/>
      <c r="BL1014" s="82"/>
      <c r="BM1014" s="82"/>
      <c r="BN1014" s="82"/>
      <c r="BO1014" s="82"/>
      <c r="BP1014" s="82"/>
      <c r="BQ1014" s="82"/>
      <c r="BR1014" s="82"/>
      <c r="BS1014" s="82"/>
      <c r="BT1014" s="82"/>
      <c r="BU1014" s="82"/>
      <c r="BV1014" s="82"/>
      <c r="BW1014" s="82"/>
      <c r="BX1014" s="82"/>
      <c r="BY1014" s="82"/>
      <c r="BZ1014" s="82"/>
      <c r="CA1014" s="82"/>
      <c r="CB1014" s="82"/>
      <c r="CC1014" s="82"/>
      <c r="CD1014" s="82"/>
      <c r="CE1014" s="82"/>
      <c r="CF1014" s="82"/>
      <c r="CG1014" s="82"/>
      <c r="CH1014" s="82"/>
      <c r="CI1014" s="82"/>
      <c r="CJ1014" s="82"/>
      <c r="CK1014" s="82"/>
      <c r="CL1014" s="82"/>
      <c r="CM1014" s="82"/>
      <c r="CN1014" s="82"/>
      <c r="CO1014" s="82"/>
      <c r="CP1014" s="82"/>
      <c r="CQ1014" s="82"/>
      <c r="CR1014" s="82"/>
      <c r="CS1014" s="82"/>
      <c r="CT1014" s="82"/>
      <c r="CU1014" s="82"/>
      <c r="CV1014" s="82"/>
      <c r="CW1014" s="82"/>
      <c r="CX1014" s="82"/>
      <c r="CY1014" s="82"/>
      <c r="CZ1014" s="82"/>
      <c r="DA1014" s="82"/>
      <c r="DB1014" s="82"/>
      <c r="DC1014" s="82"/>
      <c r="DD1014" s="82"/>
      <c r="DE1014" s="82"/>
      <c r="DF1014" s="82"/>
      <c r="DG1014" s="82"/>
    </row>
    <row r="1015" spans="2:111" ht="9" customHeight="1">
      <c r="B1015" s="229"/>
      <c r="C1015" s="229"/>
      <c r="D1015" s="229"/>
      <c r="E1015" s="229"/>
      <c r="F1015" s="229"/>
      <c r="G1015" s="229"/>
      <c r="H1015" s="229"/>
      <c r="I1015" s="229"/>
      <c r="J1015" s="229"/>
      <c r="K1015" s="229"/>
      <c r="L1015" s="229"/>
      <c r="M1015" s="229"/>
      <c r="N1015" s="229"/>
      <c r="P1015" s="230"/>
      <c r="Q1015" s="230"/>
      <c r="R1015" s="230"/>
      <c r="S1015" s="230"/>
      <c r="T1015" s="230"/>
      <c r="U1015" s="230"/>
      <c r="V1015" s="230"/>
      <c r="W1015" s="230"/>
      <c r="X1015" s="230"/>
      <c r="Y1015" s="230"/>
      <c r="Z1015" s="230"/>
      <c r="AA1015" s="230"/>
      <c r="AB1015" s="230"/>
      <c r="AC1015" s="230"/>
      <c r="AD1015" s="230"/>
      <c r="AE1015" s="230"/>
      <c r="AF1015" s="230"/>
      <c r="AG1015" s="230"/>
      <c r="AH1015" s="230"/>
      <c r="AI1015" s="230"/>
      <c r="AJ1015" s="230"/>
      <c r="AK1015" s="230"/>
      <c r="AL1015" s="230"/>
      <c r="AM1015" s="230"/>
      <c r="AN1015" s="230"/>
      <c r="AO1015" s="230"/>
      <c r="AP1015" s="230"/>
      <c r="AQ1015" s="230"/>
      <c r="AS1015" s="231"/>
      <c r="AT1015" s="231"/>
      <c r="AU1015" s="231"/>
      <c r="AV1015" s="231"/>
      <c r="AW1015" s="231"/>
      <c r="AX1015" s="231"/>
      <c r="AY1015" s="231"/>
      <c r="AZ1015" s="231"/>
      <c r="BA1015" s="231"/>
      <c r="BC1015" s="82"/>
      <c r="BD1015" s="82"/>
      <c r="BE1015" s="82"/>
      <c r="BF1015" s="82"/>
      <c r="BG1015" s="82"/>
      <c r="BH1015" s="82"/>
      <c r="BI1015" s="82"/>
      <c r="BJ1015" s="82"/>
      <c r="BK1015" s="82"/>
      <c r="BL1015" s="82"/>
      <c r="BM1015" s="82"/>
      <c r="BN1015" s="82"/>
      <c r="BO1015" s="82"/>
      <c r="BP1015" s="82"/>
      <c r="BQ1015" s="82"/>
      <c r="BR1015" s="82"/>
      <c r="BS1015" s="82"/>
      <c r="BT1015" s="82"/>
      <c r="BU1015" s="82"/>
      <c r="BV1015" s="82"/>
      <c r="BW1015" s="82"/>
      <c r="BX1015" s="82"/>
      <c r="BY1015" s="82"/>
      <c r="BZ1015" s="82"/>
      <c r="CA1015" s="82"/>
      <c r="CB1015" s="82"/>
      <c r="CC1015" s="82"/>
      <c r="CD1015" s="82"/>
      <c r="CE1015" s="82"/>
      <c r="CF1015" s="82"/>
      <c r="CG1015" s="82"/>
      <c r="CH1015" s="82"/>
      <c r="CI1015" s="82"/>
      <c r="CJ1015" s="82"/>
      <c r="CK1015" s="82"/>
      <c r="CL1015" s="82"/>
      <c r="CM1015" s="82"/>
      <c r="CN1015" s="82"/>
      <c r="CO1015" s="82"/>
      <c r="CP1015" s="82"/>
      <c r="CQ1015" s="82"/>
      <c r="CR1015" s="82"/>
      <c r="CS1015" s="82"/>
      <c r="CT1015" s="82"/>
      <c r="CU1015" s="82"/>
      <c r="CV1015" s="82"/>
      <c r="CW1015" s="82"/>
      <c r="CX1015" s="82"/>
      <c r="CY1015" s="82"/>
      <c r="CZ1015" s="82"/>
      <c r="DA1015" s="82"/>
      <c r="DB1015" s="82"/>
      <c r="DC1015" s="82"/>
      <c r="DD1015" s="82"/>
      <c r="DE1015" s="82"/>
      <c r="DF1015" s="82"/>
      <c r="DG1015" s="82"/>
    </row>
    <row r="1016" spans="2:111" ht="9" customHeight="1">
      <c r="B1016" s="229"/>
      <c r="C1016" s="229"/>
      <c r="D1016" s="229"/>
      <c r="E1016" s="229"/>
      <c r="F1016" s="229"/>
      <c r="G1016" s="229"/>
      <c r="H1016" s="229"/>
      <c r="I1016" s="229"/>
      <c r="J1016" s="229"/>
      <c r="K1016" s="229"/>
      <c r="L1016" s="229"/>
      <c r="M1016" s="229"/>
      <c r="N1016" s="229"/>
      <c r="P1016" s="230"/>
      <c r="Q1016" s="230"/>
      <c r="R1016" s="230"/>
      <c r="S1016" s="230"/>
      <c r="T1016" s="230"/>
      <c r="U1016" s="230"/>
      <c r="V1016" s="230"/>
      <c r="W1016" s="230"/>
      <c r="X1016" s="230"/>
      <c r="Y1016" s="230"/>
      <c r="Z1016" s="230"/>
      <c r="AA1016" s="230"/>
      <c r="AB1016" s="230"/>
      <c r="AC1016" s="230"/>
      <c r="AD1016" s="230"/>
      <c r="AE1016" s="230"/>
      <c r="AF1016" s="230"/>
      <c r="AG1016" s="230"/>
      <c r="AH1016" s="230"/>
      <c r="AI1016" s="230"/>
      <c r="AJ1016" s="230"/>
      <c r="AK1016" s="230"/>
      <c r="AL1016" s="230"/>
      <c r="AM1016" s="230"/>
      <c r="AN1016" s="230"/>
      <c r="AO1016" s="230"/>
      <c r="AP1016" s="230"/>
      <c r="AQ1016" s="230"/>
      <c r="AS1016" s="231"/>
      <c r="AT1016" s="231"/>
      <c r="AU1016" s="231"/>
      <c r="AV1016" s="231"/>
      <c r="AW1016" s="231"/>
      <c r="AX1016" s="231"/>
      <c r="AY1016" s="231"/>
      <c r="AZ1016" s="231"/>
      <c r="BA1016" s="231"/>
      <c r="BC1016" s="82"/>
      <c r="BD1016" s="82"/>
      <c r="BE1016" s="82"/>
      <c r="BF1016" s="82"/>
      <c r="BG1016" s="82"/>
      <c r="BH1016" s="82"/>
      <c r="BI1016" s="82"/>
      <c r="BJ1016" s="82"/>
      <c r="BK1016" s="82"/>
      <c r="BL1016" s="82"/>
      <c r="BM1016" s="82"/>
      <c r="BN1016" s="82"/>
      <c r="BO1016" s="82"/>
      <c r="BP1016" s="82"/>
      <c r="BQ1016" s="82"/>
      <c r="BR1016" s="82"/>
      <c r="BS1016" s="82"/>
      <c r="BT1016" s="82"/>
      <c r="BU1016" s="82"/>
      <c r="BV1016" s="82"/>
      <c r="BW1016" s="82"/>
      <c r="BX1016" s="82"/>
      <c r="BY1016" s="82"/>
      <c r="BZ1016" s="82"/>
      <c r="CA1016" s="82"/>
      <c r="CB1016" s="82"/>
      <c r="CC1016" s="82"/>
      <c r="CD1016" s="82"/>
      <c r="CE1016" s="82"/>
      <c r="CF1016" s="82"/>
      <c r="CG1016" s="82"/>
      <c r="CH1016" s="82"/>
      <c r="CI1016" s="82"/>
      <c r="CJ1016" s="82"/>
      <c r="CK1016" s="82"/>
      <c r="CL1016" s="82"/>
      <c r="CM1016" s="82"/>
      <c r="CN1016" s="82"/>
      <c r="CO1016" s="82"/>
      <c r="CP1016" s="82"/>
      <c r="CQ1016" s="82"/>
      <c r="CR1016" s="82"/>
      <c r="CS1016" s="82"/>
      <c r="CT1016" s="82"/>
      <c r="CU1016" s="82"/>
      <c r="CV1016" s="82"/>
      <c r="CW1016" s="82"/>
      <c r="CX1016" s="82"/>
      <c r="CY1016" s="82"/>
      <c r="CZ1016" s="82"/>
      <c r="DA1016" s="82"/>
      <c r="DB1016" s="82"/>
      <c r="DC1016" s="82"/>
      <c r="DD1016" s="82"/>
      <c r="DE1016" s="82"/>
      <c r="DF1016" s="82"/>
      <c r="DG1016" s="82"/>
    </row>
    <row r="1017" spans="2:111" ht="9" customHeight="1">
      <c r="B1017" s="229"/>
      <c r="C1017" s="229"/>
      <c r="D1017" s="229"/>
      <c r="E1017" s="229"/>
      <c r="F1017" s="229"/>
      <c r="G1017" s="229"/>
      <c r="H1017" s="229"/>
      <c r="I1017" s="229"/>
      <c r="J1017" s="229"/>
      <c r="K1017" s="229"/>
      <c r="L1017" s="229"/>
      <c r="M1017" s="229"/>
      <c r="N1017" s="229"/>
      <c r="P1017" s="230"/>
      <c r="Q1017" s="230"/>
      <c r="R1017" s="230"/>
      <c r="S1017" s="230"/>
      <c r="T1017" s="230"/>
      <c r="U1017" s="230"/>
      <c r="V1017" s="230"/>
      <c r="W1017" s="230"/>
      <c r="X1017" s="230"/>
      <c r="Y1017" s="230"/>
      <c r="Z1017" s="230"/>
      <c r="AA1017" s="230"/>
      <c r="AB1017" s="230"/>
      <c r="AC1017" s="230"/>
      <c r="AD1017" s="230"/>
      <c r="AE1017" s="230"/>
      <c r="AF1017" s="230"/>
      <c r="AG1017" s="230"/>
      <c r="AH1017" s="230"/>
      <c r="AI1017" s="230"/>
      <c r="AJ1017" s="230"/>
      <c r="AK1017" s="230"/>
      <c r="AL1017" s="230"/>
      <c r="AM1017" s="230"/>
      <c r="AN1017" s="230"/>
      <c r="AO1017" s="230"/>
      <c r="AP1017" s="230"/>
      <c r="AQ1017" s="230"/>
      <c r="AS1017" s="231"/>
      <c r="AT1017" s="231"/>
      <c r="AU1017" s="231"/>
      <c r="AV1017" s="231"/>
      <c r="AW1017" s="231"/>
      <c r="AX1017" s="231"/>
      <c r="AY1017" s="231"/>
      <c r="AZ1017" s="231"/>
      <c r="BA1017" s="231"/>
      <c r="BC1017" s="82"/>
      <c r="BD1017" s="82"/>
      <c r="BE1017" s="82"/>
      <c r="BF1017" s="82"/>
      <c r="BG1017" s="82"/>
      <c r="BH1017" s="82"/>
      <c r="BI1017" s="82"/>
      <c r="BJ1017" s="82"/>
      <c r="BK1017" s="82"/>
      <c r="BL1017" s="82"/>
      <c r="BM1017" s="82"/>
      <c r="BN1017" s="82"/>
      <c r="BO1017" s="82"/>
      <c r="BP1017" s="82"/>
      <c r="BQ1017" s="82"/>
      <c r="BR1017" s="82"/>
      <c r="BS1017" s="82"/>
      <c r="BT1017" s="82"/>
      <c r="BU1017" s="82"/>
      <c r="BV1017" s="82"/>
      <c r="BW1017" s="82"/>
      <c r="BX1017" s="82"/>
      <c r="BY1017" s="82"/>
      <c r="BZ1017" s="82"/>
      <c r="CA1017" s="82"/>
      <c r="CB1017" s="82"/>
      <c r="CC1017" s="82"/>
      <c r="CD1017" s="82"/>
      <c r="CE1017" s="82"/>
      <c r="CF1017" s="82"/>
      <c r="CG1017" s="82"/>
      <c r="CH1017" s="82"/>
      <c r="CI1017" s="82"/>
      <c r="CJ1017" s="82"/>
      <c r="CK1017" s="82"/>
      <c r="CL1017" s="82"/>
      <c r="CM1017" s="82"/>
      <c r="CN1017" s="82"/>
      <c r="CO1017" s="82"/>
      <c r="CP1017" s="82"/>
      <c r="CQ1017" s="82"/>
      <c r="CR1017" s="82"/>
      <c r="CS1017" s="82"/>
      <c r="CT1017" s="82"/>
      <c r="CU1017" s="82"/>
      <c r="CV1017" s="82"/>
      <c r="CW1017" s="82"/>
      <c r="CX1017" s="82"/>
      <c r="CY1017" s="82"/>
      <c r="CZ1017" s="82"/>
      <c r="DA1017" s="82"/>
      <c r="DB1017" s="82"/>
      <c r="DC1017" s="82"/>
      <c r="DD1017" s="82"/>
      <c r="DE1017" s="82"/>
      <c r="DF1017" s="82"/>
      <c r="DG1017" s="82"/>
    </row>
    <row r="1018" spans="2:111" ht="9" customHeight="1">
      <c r="B1018" s="229"/>
      <c r="C1018" s="229"/>
      <c r="D1018" s="229"/>
      <c r="E1018" s="229"/>
      <c r="F1018" s="229"/>
      <c r="G1018" s="229"/>
      <c r="H1018" s="229"/>
      <c r="I1018" s="229"/>
      <c r="J1018" s="229"/>
      <c r="K1018" s="229"/>
      <c r="L1018" s="229"/>
      <c r="M1018" s="229"/>
      <c r="N1018" s="229"/>
      <c r="P1018" s="230"/>
      <c r="Q1018" s="230"/>
      <c r="R1018" s="230"/>
      <c r="S1018" s="230"/>
      <c r="T1018" s="230"/>
      <c r="U1018" s="230"/>
      <c r="V1018" s="230"/>
      <c r="W1018" s="230"/>
      <c r="X1018" s="230"/>
      <c r="Y1018" s="230"/>
      <c r="Z1018" s="230"/>
      <c r="AA1018" s="230"/>
      <c r="AB1018" s="230"/>
      <c r="AC1018" s="230"/>
      <c r="AD1018" s="230"/>
      <c r="AE1018" s="230"/>
      <c r="AF1018" s="230"/>
      <c r="AG1018" s="230"/>
      <c r="AH1018" s="230"/>
      <c r="AI1018" s="230"/>
      <c r="AJ1018" s="230"/>
      <c r="AK1018" s="230"/>
      <c r="AL1018" s="230"/>
      <c r="AM1018" s="230"/>
      <c r="AN1018" s="230"/>
      <c r="AO1018" s="230"/>
      <c r="AP1018" s="230"/>
      <c r="AQ1018" s="230"/>
      <c r="AS1018" s="231"/>
      <c r="AT1018" s="231"/>
      <c r="AU1018" s="231"/>
      <c r="AV1018" s="231"/>
      <c r="AW1018" s="231"/>
      <c r="AX1018" s="231"/>
      <c r="AY1018" s="231"/>
      <c r="AZ1018" s="231"/>
      <c r="BA1018" s="231"/>
      <c r="BC1018" s="82"/>
      <c r="BD1018" s="82"/>
      <c r="BE1018" s="82"/>
      <c r="BF1018" s="82"/>
      <c r="BG1018" s="82"/>
      <c r="BH1018" s="82"/>
      <c r="BI1018" s="82"/>
      <c r="BJ1018" s="82"/>
      <c r="BK1018" s="82"/>
      <c r="BL1018" s="82"/>
      <c r="BM1018" s="82"/>
      <c r="BN1018" s="82"/>
      <c r="BO1018" s="82"/>
      <c r="BP1018" s="82"/>
      <c r="BQ1018" s="82"/>
      <c r="BR1018" s="82"/>
      <c r="BS1018" s="82"/>
      <c r="BT1018" s="82"/>
      <c r="BU1018" s="82"/>
      <c r="BV1018" s="82"/>
      <c r="BW1018" s="82"/>
      <c r="BX1018" s="82"/>
      <c r="BY1018" s="82"/>
      <c r="BZ1018" s="82"/>
      <c r="CA1018" s="82"/>
      <c r="CB1018" s="82"/>
      <c r="CC1018" s="82"/>
      <c r="CD1018" s="82"/>
      <c r="CE1018" s="82"/>
      <c r="CF1018" s="82"/>
      <c r="CG1018" s="82"/>
      <c r="CH1018" s="82"/>
      <c r="CI1018" s="82"/>
      <c r="CJ1018" s="82"/>
      <c r="CK1018" s="82"/>
      <c r="CL1018" s="82"/>
      <c r="CM1018" s="82"/>
      <c r="CN1018" s="82"/>
      <c r="CO1018" s="82"/>
      <c r="CP1018" s="82"/>
      <c r="CQ1018" s="82"/>
      <c r="CR1018" s="82"/>
      <c r="CS1018" s="82"/>
      <c r="CT1018" s="82"/>
      <c r="CU1018" s="82"/>
      <c r="CV1018" s="82"/>
      <c r="CW1018" s="82"/>
      <c r="CX1018" s="82"/>
      <c r="CY1018" s="82"/>
      <c r="CZ1018" s="82"/>
      <c r="DA1018" s="82"/>
      <c r="DB1018" s="82"/>
      <c r="DC1018" s="82"/>
      <c r="DD1018" s="82"/>
      <c r="DE1018" s="82"/>
      <c r="DF1018" s="82"/>
      <c r="DG1018" s="82"/>
    </row>
    <row r="1019" spans="2:111" ht="9" customHeight="1">
      <c r="B1019" s="229"/>
      <c r="C1019" s="229"/>
      <c r="D1019" s="229"/>
      <c r="E1019" s="229"/>
      <c r="F1019" s="229"/>
      <c r="G1019" s="229"/>
      <c r="H1019" s="229"/>
      <c r="I1019" s="229"/>
      <c r="J1019" s="229"/>
      <c r="K1019" s="229"/>
      <c r="L1019" s="229"/>
      <c r="M1019" s="229"/>
      <c r="N1019" s="229"/>
      <c r="P1019" s="230"/>
      <c r="Q1019" s="230"/>
      <c r="R1019" s="230"/>
      <c r="S1019" s="230"/>
      <c r="T1019" s="230"/>
      <c r="U1019" s="230"/>
      <c r="V1019" s="230"/>
      <c r="W1019" s="230"/>
      <c r="X1019" s="230"/>
      <c r="Y1019" s="230"/>
      <c r="Z1019" s="230"/>
      <c r="AA1019" s="230"/>
      <c r="AB1019" s="230"/>
      <c r="AC1019" s="230"/>
      <c r="AD1019" s="230"/>
      <c r="AE1019" s="230"/>
      <c r="AF1019" s="230"/>
      <c r="AG1019" s="230"/>
      <c r="AH1019" s="230"/>
      <c r="AI1019" s="230"/>
      <c r="AJ1019" s="230"/>
      <c r="AK1019" s="230"/>
      <c r="AL1019" s="230"/>
      <c r="AM1019" s="230"/>
      <c r="AN1019" s="230"/>
      <c r="AO1019" s="230"/>
      <c r="AP1019" s="230"/>
      <c r="AQ1019" s="230"/>
      <c r="AS1019" s="231"/>
      <c r="AT1019" s="231"/>
      <c r="AU1019" s="231"/>
      <c r="AV1019" s="231"/>
      <c r="AW1019" s="231"/>
      <c r="AX1019" s="231"/>
      <c r="AY1019" s="231"/>
      <c r="AZ1019" s="231"/>
      <c r="BA1019" s="231"/>
      <c r="BC1019" s="82"/>
      <c r="BD1019" s="82"/>
      <c r="BE1019" s="82"/>
      <c r="BF1019" s="82"/>
      <c r="BG1019" s="82"/>
      <c r="BH1019" s="82"/>
      <c r="BI1019" s="82"/>
      <c r="BJ1019" s="82"/>
      <c r="BK1019" s="82"/>
      <c r="BL1019" s="82"/>
      <c r="BM1019" s="82"/>
      <c r="BN1019" s="82"/>
      <c r="BO1019" s="82"/>
      <c r="BP1019" s="82"/>
      <c r="BQ1019" s="82"/>
      <c r="BR1019" s="82"/>
      <c r="BS1019" s="82"/>
      <c r="BT1019" s="82"/>
      <c r="BU1019" s="82"/>
      <c r="BV1019" s="82"/>
      <c r="BW1019" s="82"/>
      <c r="BX1019" s="82"/>
      <c r="BY1019" s="82"/>
      <c r="BZ1019" s="82"/>
      <c r="CA1019" s="82"/>
      <c r="CB1019" s="82"/>
      <c r="CC1019" s="82"/>
      <c r="CD1019" s="82"/>
      <c r="CE1019" s="82"/>
      <c r="CF1019" s="82"/>
      <c r="CG1019" s="82"/>
      <c r="CH1019" s="82"/>
      <c r="CI1019" s="82"/>
      <c r="CJ1019" s="82"/>
      <c r="CK1019" s="82"/>
      <c r="CL1019" s="82"/>
      <c r="CM1019" s="82"/>
      <c r="CN1019" s="82"/>
      <c r="CO1019" s="82"/>
      <c r="CP1019" s="82"/>
      <c r="CQ1019" s="82"/>
      <c r="CR1019" s="82"/>
      <c r="CS1019" s="82"/>
      <c r="CT1019" s="82"/>
      <c r="CU1019" s="82"/>
      <c r="CV1019" s="82"/>
      <c r="CW1019" s="82"/>
      <c r="CX1019" s="82"/>
      <c r="CY1019" s="82"/>
      <c r="CZ1019" s="82"/>
      <c r="DA1019" s="82"/>
      <c r="DB1019" s="82"/>
      <c r="DC1019" s="82"/>
      <c r="DD1019" s="82"/>
      <c r="DE1019" s="82"/>
      <c r="DF1019" s="82"/>
      <c r="DG1019" s="82"/>
    </row>
    <row r="1020" spans="2:111" ht="9" customHeight="1">
      <c r="B1020" s="229"/>
      <c r="C1020" s="229"/>
      <c r="D1020" s="229"/>
      <c r="E1020" s="229"/>
      <c r="F1020" s="229"/>
      <c r="G1020" s="229"/>
      <c r="H1020" s="229"/>
      <c r="I1020" s="229"/>
      <c r="J1020" s="229"/>
      <c r="K1020" s="229"/>
      <c r="L1020" s="229"/>
      <c r="M1020" s="229"/>
      <c r="N1020" s="229"/>
      <c r="P1020" s="230"/>
      <c r="Q1020" s="230"/>
      <c r="R1020" s="230"/>
      <c r="S1020" s="230"/>
      <c r="T1020" s="230"/>
      <c r="U1020" s="230"/>
      <c r="V1020" s="230"/>
      <c r="W1020" s="230"/>
      <c r="X1020" s="230"/>
      <c r="Y1020" s="230"/>
      <c r="Z1020" s="230"/>
      <c r="AA1020" s="230"/>
      <c r="AB1020" s="230"/>
      <c r="AC1020" s="230"/>
      <c r="AD1020" s="230"/>
      <c r="AE1020" s="230"/>
      <c r="AF1020" s="230"/>
      <c r="AG1020" s="230"/>
      <c r="AH1020" s="230"/>
      <c r="AI1020" s="230"/>
      <c r="AJ1020" s="230"/>
      <c r="AK1020" s="230"/>
      <c r="AL1020" s="230"/>
      <c r="AM1020" s="230"/>
      <c r="AN1020" s="230"/>
      <c r="AO1020" s="230"/>
      <c r="AP1020" s="230"/>
      <c r="AQ1020" s="230"/>
      <c r="AS1020" s="231"/>
      <c r="AT1020" s="231"/>
      <c r="AU1020" s="231"/>
      <c r="AV1020" s="231"/>
      <c r="AW1020" s="231"/>
      <c r="AX1020" s="231"/>
      <c r="AY1020" s="231"/>
      <c r="AZ1020" s="231"/>
      <c r="BA1020" s="231"/>
      <c r="BC1020" s="82"/>
      <c r="BD1020" s="82"/>
      <c r="BE1020" s="82"/>
      <c r="BF1020" s="82"/>
      <c r="BG1020" s="82"/>
      <c r="BH1020" s="82"/>
      <c r="BI1020" s="82"/>
      <c r="BJ1020" s="82"/>
      <c r="BK1020" s="82"/>
      <c r="BL1020" s="82"/>
      <c r="BM1020" s="82"/>
      <c r="BN1020" s="82"/>
      <c r="BO1020" s="82"/>
      <c r="BP1020" s="82"/>
      <c r="BQ1020" s="82"/>
      <c r="BR1020" s="82"/>
      <c r="BS1020" s="82"/>
      <c r="BT1020" s="82"/>
      <c r="BU1020" s="82"/>
      <c r="BV1020" s="82"/>
      <c r="BW1020" s="82"/>
      <c r="BX1020" s="82"/>
      <c r="BY1020" s="82"/>
      <c r="BZ1020" s="82"/>
      <c r="CA1020" s="82"/>
      <c r="CB1020" s="82"/>
      <c r="CC1020" s="82"/>
      <c r="CD1020" s="82"/>
      <c r="CE1020" s="82"/>
      <c r="CF1020" s="82"/>
      <c r="CG1020" s="82"/>
      <c r="CH1020" s="82"/>
      <c r="CI1020" s="82"/>
      <c r="CJ1020" s="82"/>
      <c r="CK1020" s="82"/>
      <c r="CL1020" s="82"/>
      <c r="CM1020" s="82"/>
      <c r="CN1020" s="82"/>
      <c r="CO1020" s="82"/>
      <c r="CP1020" s="82"/>
      <c r="CQ1020" s="82"/>
      <c r="CR1020" s="82"/>
      <c r="CS1020" s="82"/>
      <c r="CT1020" s="82"/>
      <c r="CU1020" s="82"/>
      <c r="CV1020" s="82"/>
      <c r="CW1020" s="82"/>
      <c r="CX1020" s="82"/>
      <c r="CY1020" s="82"/>
      <c r="CZ1020" s="82"/>
      <c r="DA1020" s="82"/>
      <c r="DB1020" s="82"/>
      <c r="DC1020" s="82"/>
      <c r="DD1020" s="82"/>
      <c r="DE1020" s="82"/>
      <c r="DF1020" s="82"/>
      <c r="DG1020" s="82"/>
    </row>
    <row r="1021" spans="2:111" ht="9" customHeight="1">
      <c r="B1021" s="229"/>
      <c r="C1021" s="229"/>
      <c r="D1021" s="229"/>
      <c r="E1021" s="229"/>
      <c r="F1021" s="229"/>
      <c r="G1021" s="229"/>
      <c r="H1021" s="229"/>
      <c r="I1021" s="229"/>
      <c r="J1021" s="229"/>
      <c r="K1021" s="229"/>
      <c r="L1021" s="229"/>
      <c r="M1021" s="229"/>
      <c r="N1021" s="229"/>
      <c r="P1021" s="230"/>
      <c r="Q1021" s="230"/>
      <c r="R1021" s="230"/>
      <c r="S1021" s="230"/>
      <c r="T1021" s="230"/>
      <c r="U1021" s="230"/>
      <c r="V1021" s="230"/>
      <c r="W1021" s="230"/>
      <c r="X1021" s="230"/>
      <c r="Y1021" s="230"/>
      <c r="Z1021" s="230"/>
      <c r="AA1021" s="230"/>
      <c r="AB1021" s="230"/>
      <c r="AC1021" s="230"/>
      <c r="AD1021" s="230"/>
      <c r="AE1021" s="230"/>
      <c r="AF1021" s="230"/>
      <c r="AG1021" s="230"/>
      <c r="AH1021" s="230"/>
      <c r="AI1021" s="230"/>
      <c r="AJ1021" s="230"/>
      <c r="AK1021" s="230"/>
      <c r="AL1021" s="230"/>
      <c r="AM1021" s="230"/>
      <c r="AN1021" s="230"/>
      <c r="AO1021" s="230"/>
      <c r="AP1021" s="230"/>
      <c r="AQ1021" s="230"/>
      <c r="AS1021" s="231"/>
      <c r="AT1021" s="231"/>
      <c r="AU1021" s="231"/>
      <c r="AV1021" s="231"/>
      <c r="AW1021" s="231"/>
      <c r="AX1021" s="231"/>
      <c r="AY1021" s="231"/>
      <c r="AZ1021" s="231"/>
      <c r="BA1021" s="231"/>
      <c r="BC1021" s="82"/>
      <c r="BD1021" s="82"/>
      <c r="BE1021" s="82"/>
      <c r="BF1021" s="82"/>
      <c r="BG1021" s="82"/>
      <c r="BH1021" s="82"/>
      <c r="BI1021" s="82"/>
      <c r="BJ1021" s="82"/>
      <c r="BK1021" s="82"/>
      <c r="BL1021" s="82"/>
      <c r="BM1021" s="82"/>
      <c r="BN1021" s="82"/>
      <c r="BO1021" s="82"/>
      <c r="BP1021" s="82"/>
      <c r="BQ1021" s="82"/>
      <c r="BR1021" s="82"/>
      <c r="BS1021" s="82"/>
      <c r="BT1021" s="82"/>
      <c r="BU1021" s="82"/>
      <c r="BV1021" s="82"/>
      <c r="BW1021" s="82"/>
      <c r="BX1021" s="82"/>
      <c r="BY1021" s="82"/>
      <c r="BZ1021" s="82"/>
      <c r="CA1021" s="82"/>
      <c r="CB1021" s="82"/>
      <c r="CC1021" s="82"/>
      <c r="CD1021" s="82"/>
      <c r="CE1021" s="82"/>
      <c r="CF1021" s="82"/>
      <c r="CG1021" s="82"/>
      <c r="CH1021" s="82"/>
      <c r="CI1021" s="82"/>
      <c r="CJ1021" s="82"/>
      <c r="CK1021" s="82"/>
      <c r="CL1021" s="82"/>
      <c r="CM1021" s="82"/>
      <c r="CN1021" s="82"/>
      <c r="CO1021" s="82"/>
      <c r="CP1021" s="82"/>
      <c r="CQ1021" s="82"/>
      <c r="CR1021" s="82"/>
      <c r="CS1021" s="82"/>
      <c r="CT1021" s="82"/>
      <c r="CU1021" s="82"/>
      <c r="CV1021" s="82"/>
      <c r="CW1021" s="82"/>
      <c r="CX1021" s="82"/>
      <c r="CY1021" s="82"/>
      <c r="CZ1021" s="82"/>
      <c r="DA1021" s="82"/>
      <c r="DB1021" s="82"/>
      <c r="DC1021" s="82"/>
      <c r="DD1021" s="82"/>
      <c r="DE1021" s="82"/>
      <c r="DF1021" s="82"/>
      <c r="DG1021" s="82"/>
    </row>
    <row r="1022" spans="2:111" ht="12" customHeight="1">
      <c r="BC1022" s="82"/>
      <c r="BD1022" s="82"/>
      <c r="BE1022" s="82"/>
      <c r="BF1022" s="82"/>
      <c r="BG1022" s="82"/>
      <c r="BH1022" s="82"/>
      <c r="BI1022" s="82"/>
      <c r="BJ1022" s="82"/>
      <c r="BK1022" s="82"/>
      <c r="BL1022" s="82"/>
      <c r="BM1022" s="82"/>
      <c r="BN1022" s="82"/>
      <c r="BO1022" s="82"/>
      <c r="BP1022" s="82"/>
      <c r="BQ1022" s="82"/>
      <c r="BR1022" s="82"/>
      <c r="BS1022" s="82"/>
      <c r="BT1022" s="82"/>
      <c r="BU1022" s="82"/>
      <c r="BV1022" s="82"/>
      <c r="BW1022" s="82"/>
      <c r="BX1022" s="82"/>
      <c r="BY1022" s="82"/>
      <c r="BZ1022" s="82"/>
      <c r="CA1022" s="82"/>
      <c r="CB1022" s="82"/>
      <c r="CC1022" s="82"/>
      <c r="CD1022" s="82"/>
      <c r="CE1022" s="82"/>
      <c r="CF1022" s="82"/>
      <c r="CG1022" s="82"/>
      <c r="CH1022" s="82"/>
      <c r="CI1022" s="82"/>
      <c r="CJ1022" s="82"/>
      <c r="CK1022" s="82"/>
      <c r="CL1022" s="82"/>
      <c r="CM1022" s="82"/>
      <c r="CN1022" s="82"/>
      <c r="CO1022" s="82"/>
      <c r="CP1022" s="82"/>
      <c r="CQ1022" s="82"/>
      <c r="CR1022" s="82"/>
      <c r="CS1022" s="82"/>
      <c r="CT1022" s="82"/>
      <c r="CU1022" s="82"/>
      <c r="CV1022" s="82"/>
      <c r="CW1022" s="82"/>
      <c r="CX1022" s="82"/>
      <c r="CY1022" s="82"/>
      <c r="CZ1022" s="82"/>
      <c r="DA1022" s="82"/>
      <c r="DB1022" s="82"/>
      <c r="DC1022" s="82"/>
      <c r="DD1022" s="82"/>
      <c r="DE1022" s="82"/>
      <c r="DF1022" s="82"/>
      <c r="DG1022" s="82"/>
    </row>
    <row r="1023" spans="2:111" ht="9" customHeight="1">
      <c r="B1023" s="232" t="str">
        <f>IF($U$997&gt;=2,"Etapa 4.2","")</f>
        <v>Etapa 4.2</v>
      </c>
      <c r="C1023" s="232"/>
      <c r="D1023" s="232"/>
      <c r="E1023" s="232"/>
      <c r="F1023" s="232"/>
      <c r="G1023" s="232"/>
      <c r="I1023" s="233" t="s">
        <v>522</v>
      </c>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c r="AF1023" s="233"/>
      <c r="AG1023" s="233"/>
      <c r="AH1023" s="233"/>
      <c r="AI1023" s="233"/>
      <c r="AJ1023" s="233"/>
      <c r="AK1023" s="233"/>
      <c r="AL1023" s="233"/>
      <c r="AM1023" s="233"/>
      <c r="AN1023" s="233"/>
      <c r="AO1023" s="233"/>
      <c r="AP1023" s="233"/>
      <c r="AQ1023" s="233"/>
      <c r="AS1023" s="234">
        <f>IF(SUM(AS1029:BA1044)=0,"",SUM(AS1029:BA1044))</f>
        <v>75503</v>
      </c>
      <c r="AT1023" s="234"/>
      <c r="AU1023" s="234"/>
      <c r="AV1023" s="234"/>
      <c r="AW1023" s="234"/>
      <c r="AX1023" s="234"/>
      <c r="AY1023" s="234"/>
      <c r="AZ1023" s="234"/>
      <c r="BA1023" s="234"/>
      <c r="BC1023" s="82"/>
      <c r="BD1023" s="82"/>
      <c r="BE1023" s="82"/>
      <c r="BF1023" s="82"/>
      <c r="BG1023" s="82"/>
      <c r="BH1023" s="82"/>
      <c r="BI1023" s="82"/>
      <c r="BJ1023" s="82"/>
      <c r="BK1023" s="82"/>
      <c r="BL1023" s="82"/>
      <c r="BM1023" s="82"/>
      <c r="BN1023" s="82"/>
      <c r="BO1023" s="82"/>
      <c r="BP1023" s="82"/>
      <c r="BQ1023" s="82"/>
      <c r="BR1023" s="82"/>
      <c r="BS1023" s="82"/>
      <c r="BT1023" s="82"/>
      <c r="BU1023" s="82"/>
      <c r="BV1023" s="82"/>
      <c r="BW1023" s="82"/>
      <c r="BX1023" s="82"/>
      <c r="BY1023" s="82"/>
      <c r="BZ1023" s="82"/>
      <c r="CA1023" s="82"/>
      <c r="CB1023" s="82"/>
      <c r="CC1023" s="82"/>
      <c r="CD1023" s="82"/>
      <c r="CE1023" s="82"/>
      <c r="CF1023" s="82"/>
      <c r="CG1023" s="82"/>
      <c r="CH1023" s="82"/>
      <c r="CI1023" s="82"/>
      <c r="CJ1023" s="82"/>
      <c r="CK1023" s="82"/>
      <c r="CL1023" s="82"/>
      <c r="CM1023" s="82"/>
      <c r="CN1023" s="82"/>
      <c r="CO1023" s="82"/>
      <c r="CP1023" s="82"/>
      <c r="CQ1023" s="82"/>
      <c r="CR1023" s="82"/>
      <c r="CS1023" s="82"/>
      <c r="CT1023" s="82"/>
      <c r="CU1023" s="82"/>
      <c r="CV1023" s="82"/>
      <c r="CW1023" s="82"/>
      <c r="CX1023" s="82"/>
      <c r="CY1023" s="82"/>
      <c r="CZ1023" s="82"/>
      <c r="DA1023" s="82"/>
      <c r="DB1023" s="82"/>
      <c r="DC1023" s="82"/>
      <c r="DD1023" s="82"/>
      <c r="DE1023" s="82"/>
      <c r="DF1023" s="82"/>
      <c r="DG1023" s="82"/>
    </row>
    <row r="1024" spans="2:111" ht="9" customHeight="1">
      <c r="B1024" s="232"/>
      <c r="C1024" s="232"/>
      <c r="D1024" s="232"/>
      <c r="E1024" s="232"/>
      <c r="F1024" s="232"/>
      <c r="G1024" s="232"/>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3"/>
      <c r="AD1024" s="233"/>
      <c r="AE1024" s="233"/>
      <c r="AF1024" s="233"/>
      <c r="AG1024" s="233"/>
      <c r="AH1024" s="233"/>
      <c r="AI1024" s="233"/>
      <c r="AJ1024" s="233"/>
      <c r="AK1024" s="233"/>
      <c r="AL1024" s="233"/>
      <c r="AM1024" s="233"/>
      <c r="AN1024" s="233"/>
      <c r="AO1024" s="233"/>
      <c r="AP1024" s="233"/>
      <c r="AQ1024" s="233"/>
      <c r="AS1024" s="234"/>
      <c r="AT1024" s="234"/>
      <c r="AU1024" s="234"/>
      <c r="AV1024" s="234"/>
      <c r="AW1024" s="234"/>
      <c r="AX1024" s="234"/>
      <c r="AY1024" s="234"/>
      <c r="AZ1024" s="234"/>
      <c r="BA1024" s="234"/>
      <c r="BC1024" s="82"/>
      <c r="BD1024" s="82"/>
      <c r="BE1024" s="82"/>
      <c r="BF1024" s="82"/>
      <c r="BG1024" s="82"/>
      <c r="BH1024" s="82"/>
      <c r="BI1024" s="82"/>
      <c r="BJ1024" s="82"/>
      <c r="BK1024" s="82"/>
      <c r="BL1024" s="82"/>
      <c r="BM1024" s="82"/>
      <c r="BN1024" s="82"/>
      <c r="BO1024" s="82"/>
      <c r="BP1024" s="82"/>
      <c r="BQ1024" s="82"/>
      <c r="BR1024" s="82"/>
      <c r="BS1024" s="82"/>
      <c r="BT1024" s="82"/>
      <c r="BU1024" s="82"/>
      <c r="BV1024" s="82"/>
      <c r="BW1024" s="82"/>
      <c r="BX1024" s="82"/>
      <c r="BY1024" s="82"/>
      <c r="BZ1024" s="82"/>
      <c r="CA1024" s="82"/>
      <c r="CB1024" s="82"/>
      <c r="CC1024" s="82"/>
      <c r="CD1024" s="82"/>
      <c r="CE1024" s="82"/>
      <c r="CF1024" s="82"/>
      <c r="CG1024" s="82"/>
      <c r="CH1024" s="82"/>
      <c r="CI1024" s="82"/>
      <c r="CJ1024" s="82"/>
      <c r="CK1024" s="82"/>
      <c r="CL1024" s="82"/>
      <c r="CM1024" s="82"/>
      <c r="CN1024" s="82"/>
      <c r="CO1024" s="82"/>
      <c r="CP1024" s="82"/>
      <c r="CQ1024" s="82"/>
      <c r="CR1024" s="82"/>
      <c r="CS1024" s="82"/>
      <c r="CT1024" s="82"/>
      <c r="CU1024" s="82"/>
      <c r="CV1024" s="82"/>
      <c r="CW1024" s="82"/>
      <c r="CX1024" s="82"/>
      <c r="CY1024" s="82"/>
      <c r="CZ1024" s="82"/>
      <c r="DA1024" s="82"/>
      <c r="DB1024" s="82"/>
      <c r="DC1024" s="82"/>
      <c r="DD1024" s="82"/>
      <c r="DE1024" s="82"/>
      <c r="DF1024" s="82"/>
      <c r="DG1024" s="82"/>
    </row>
    <row r="1025" spans="2:111" ht="4.5" customHeight="1">
      <c r="BC1025" s="82"/>
      <c r="BD1025" s="82"/>
      <c r="BE1025" s="82"/>
      <c r="BF1025" s="82"/>
      <c r="BG1025" s="82"/>
      <c r="BH1025" s="82"/>
      <c r="BI1025" s="82"/>
      <c r="BJ1025" s="82"/>
      <c r="BK1025" s="82"/>
      <c r="BL1025" s="82"/>
      <c r="BM1025" s="82"/>
      <c r="BN1025" s="82"/>
      <c r="BO1025" s="82"/>
      <c r="BP1025" s="82"/>
      <c r="BQ1025" s="82"/>
      <c r="BR1025" s="82"/>
      <c r="BS1025" s="82"/>
      <c r="BT1025" s="82"/>
      <c r="BU1025" s="82"/>
      <c r="BV1025" s="82"/>
      <c r="BW1025" s="82"/>
      <c r="BX1025" s="82"/>
      <c r="BY1025" s="82"/>
      <c r="BZ1025" s="82"/>
      <c r="CA1025" s="82"/>
      <c r="CB1025" s="82"/>
      <c r="CC1025" s="82"/>
      <c r="CD1025" s="82"/>
      <c r="CE1025" s="82"/>
      <c r="CF1025" s="82"/>
      <c r="CG1025" s="82"/>
      <c r="CH1025" s="82"/>
      <c r="CI1025" s="82"/>
      <c r="CJ1025" s="82"/>
      <c r="CK1025" s="82"/>
      <c r="CL1025" s="82"/>
      <c r="CM1025" s="82"/>
      <c r="CN1025" s="82"/>
      <c r="CO1025" s="82"/>
      <c r="CP1025" s="82"/>
      <c r="CQ1025" s="82"/>
      <c r="CR1025" s="82"/>
      <c r="CS1025" s="82"/>
      <c r="CT1025" s="82"/>
      <c r="CU1025" s="82"/>
      <c r="CV1025" s="82"/>
      <c r="CW1025" s="82"/>
      <c r="CX1025" s="82"/>
      <c r="CY1025" s="82"/>
      <c r="CZ1025" s="82"/>
      <c r="DA1025" s="82"/>
      <c r="DB1025" s="82"/>
      <c r="DC1025" s="82"/>
      <c r="DD1025" s="82"/>
      <c r="DE1025" s="82"/>
      <c r="DF1025" s="82"/>
      <c r="DG1025" s="82"/>
    </row>
    <row r="1026" spans="2:111" ht="9" customHeight="1">
      <c r="I1026" s="229" t="str">
        <f>IF($U$997&gt;=2,"Início:","")</f>
        <v>Início:</v>
      </c>
      <c r="J1026" s="229"/>
      <c r="K1026" s="229"/>
      <c r="L1026" s="229"/>
      <c r="M1026" s="229"/>
      <c r="N1026" s="229"/>
      <c r="P1026" s="235">
        <v>43983</v>
      </c>
      <c r="Q1026" s="235"/>
      <c r="R1026" s="235"/>
      <c r="S1026" s="235"/>
      <c r="T1026" s="235"/>
      <c r="U1026" s="235"/>
      <c r="V1026" s="235"/>
      <c r="W1026" s="235"/>
      <c r="Y1026" s="229" t="str">
        <f>IF($U$997&gt;=2,"Término:","")</f>
        <v>Término:</v>
      </c>
      <c r="Z1026" s="229"/>
      <c r="AA1026" s="229"/>
      <c r="AB1026" s="229"/>
      <c r="AC1026" s="229"/>
      <c r="AD1026" s="229"/>
      <c r="AF1026" s="235">
        <v>44166</v>
      </c>
      <c r="AG1026" s="235"/>
      <c r="AH1026" s="235"/>
      <c r="AI1026" s="235"/>
      <c r="AJ1026" s="235"/>
      <c r="AK1026" s="235"/>
      <c r="AL1026" s="235"/>
      <c r="AM1026" s="235"/>
      <c r="AW1026" s="236" t="str">
        <f>IF($U$997&gt;=2,"Valor (R$):","")</f>
        <v>Valor (R$):</v>
      </c>
      <c r="AX1026" s="236"/>
      <c r="AY1026" s="236"/>
      <c r="AZ1026" s="236"/>
      <c r="BA1026" s="236"/>
      <c r="BC1026" s="82"/>
      <c r="BD1026" s="82"/>
      <c r="BE1026" s="82"/>
      <c r="BF1026" s="82"/>
      <c r="BG1026" s="82"/>
      <c r="BH1026" s="82"/>
      <c r="BI1026" s="82"/>
      <c r="BJ1026" s="82"/>
      <c r="BK1026" s="82"/>
      <c r="BL1026" s="82"/>
      <c r="BM1026" s="82"/>
      <c r="BN1026" s="82"/>
      <c r="BO1026" s="82"/>
      <c r="BP1026" s="82"/>
      <c r="BQ1026" s="82"/>
      <c r="BR1026" s="82"/>
      <c r="BS1026" s="82"/>
      <c r="BT1026" s="82"/>
      <c r="BU1026" s="82"/>
      <c r="BV1026" s="82"/>
      <c r="BW1026" s="82"/>
      <c r="BX1026" s="82"/>
      <c r="BY1026" s="82"/>
      <c r="BZ1026" s="82"/>
      <c r="CA1026" s="82"/>
      <c r="CB1026" s="82"/>
      <c r="CC1026" s="82"/>
      <c r="CD1026" s="82"/>
      <c r="CE1026" s="82"/>
      <c r="CF1026" s="82"/>
      <c r="CG1026" s="82"/>
      <c r="CH1026" s="82"/>
      <c r="CI1026" s="82"/>
      <c r="CJ1026" s="82"/>
      <c r="CK1026" s="82"/>
      <c r="CL1026" s="82"/>
      <c r="CM1026" s="82"/>
      <c r="CN1026" s="82"/>
      <c r="CO1026" s="82"/>
      <c r="CP1026" s="82"/>
      <c r="CQ1026" s="82"/>
      <c r="CR1026" s="82"/>
      <c r="CS1026" s="82"/>
      <c r="CT1026" s="82"/>
      <c r="CU1026" s="82"/>
      <c r="CV1026" s="82"/>
      <c r="CW1026" s="82"/>
      <c r="CX1026" s="82"/>
      <c r="CY1026" s="82"/>
      <c r="CZ1026" s="82"/>
      <c r="DA1026" s="82"/>
      <c r="DB1026" s="82"/>
      <c r="DC1026" s="82"/>
      <c r="DD1026" s="82"/>
      <c r="DE1026" s="82"/>
      <c r="DF1026" s="82"/>
      <c r="DG1026" s="82"/>
    </row>
    <row r="1027" spans="2:111" ht="9" customHeight="1">
      <c r="I1027" s="229"/>
      <c r="J1027" s="229"/>
      <c r="K1027" s="229"/>
      <c r="L1027" s="229"/>
      <c r="M1027" s="229"/>
      <c r="N1027" s="229"/>
      <c r="P1027" s="235"/>
      <c r="Q1027" s="235"/>
      <c r="R1027" s="235"/>
      <c r="S1027" s="235"/>
      <c r="T1027" s="235"/>
      <c r="U1027" s="235"/>
      <c r="V1027" s="235"/>
      <c r="W1027" s="235"/>
      <c r="Y1027" s="229"/>
      <c r="Z1027" s="229"/>
      <c r="AA1027" s="229"/>
      <c r="AB1027" s="229"/>
      <c r="AC1027" s="229"/>
      <c r="AD1027" s="229"/>
      <c r="AF1027" s="235"/>
      <c r="AG1027" s="235"/>
      <c r="AH1027" s="235"/>
      <c r="AI1027" s="235"/>
      <c r="AJ1027" s="235"/>
      <c r="AK1027" s="235"/>
      <c r="AL1027" s="235"/>
      <c r="AM1027" s="235"/>
      <c r="AW1027" s="236"/>
      <c r="AX1027" s="236"/>
      <c r="AY1027" s="236"/>
      <c r="AZ1027" s="236"/>
      <c r="BA1027" s="236"/>
      <c r="BC1027" s="82"/>
      <c r="BD1027" s="82"/>
      <c r="BE1027" s="82"/>
      <c r="BF1027" s="82"/>
      <c r="BG1027" s="82"/>
      <c r="BH1027" s="82"/>
      <c r="BI1027" s="82"/>
      <c r="BJ1027" s="82"/>
      <c r="BK1027" s="82"/>
      <c r="BL1027" s="82"/>
      <c r="BM1027" s="82"/>
      <c r="BN1027" s="82"/>
      <c r="BO1027" s="82"/>
      <c r="BP1027" s="82"/>
      <c r="BQ1027" s="82"/>
      <c r="BR1027" s="82"/>
      <c r="BS1027" s="82"/>
      <c r="BT1027" s="82"/>
      <c r="BU1027" s="82"/>
      <c r="BV1027" s="82"/>
      <c r="BW1027" s="82"/>
      <c r="BX1027" s="82"/>
      <c r="BY1027" s="82"/>
      <c r="BZ1027" s="82"/>
      <c r="CA1027" s="82"/>
      <c r="CB1027" s="82"/>
      <c r="CC1027" s="82"/>
      <c r="CD1027" s="82"/>
      <c r="CE1027" s="82"/>
      <c r="CF1027" s="82"/>
      <c r="CG1027" s="82"/>
      <c r="CH1027" s="82"/>
      <c r="CI1027" s="82"/>
      <c r="CJ1027" s="82"/>
      <c r="CK1027" s="82"/>
      <c r="CL1027" s="82"/>
      <c r="CM1027" s="82"/>
      <c r="CN1027" s="82"/>
      <c r="CO1027" s="82"/>
      <c r="CP1027" s="82"/>
      <c r="CQ1027" s="82"/>
      <c r="CR1027" s="82"/>
      <c r="CS1027" s="82"/>
      <c r="CT1027" s="82"/>
      <c r="CU1027" s="82"/>
      <c r="CV1027" s="82"/>
      <c r="CW1027" s="82"/>
      <c r="CX1027" s="82"/>
      <c r="CY1027" s="82"/>
      <c r="CZ1027" s="82"/>
      <c r="DA1027" s="82"/>
      <c r="DB1027" s="82"/>
      <c r="DC1027" s="82"/>
      <c r="DD1027" s="82"/>
      <c r="DE1027" s="82"/>
      <c r="DF1027" s="82"/>
      <c r="DG1027" s="82"/>
    </row>
    <row r="1028" spans="2:111" ht="4.5" customHeight="1">
      <c r="BC1028" s="82"/>
      <c r="BD1028" s="82"/>
      <c r="BE1028" s="82"/>
      <c r="BF1028" s="82"/>
      <c r="BG1028" s="82"/>
      <c r="BH1028" s="82"/>
      <c r="BI1028" s="82"/>
      <c r="BJ1028" s="82"/>
      <c r="BK1028" s="82"/>
      <c r="BL1028" s="82"/>
      <c r="BM1028" s="82"/>
      <c r="BN1028" s="82"/>
      <c r="BO1028" s="82"/>
      <c r="BP1028" s="82"/>
      <c r="BQ1028" s="82"/>
      <c r="BR1028" s="82"/>
      <c r="BS1028" s="82"/>
      <c r="BT1028" s="82"/>
      <c r="BU1028" s="82"/>
      <c r="BV1028" s="82"/>
      <c r="BW1028" s="82"/>
      <c r="BX1028" s="82"/>
      <c r="BY1028" s="82"/>
      <c r="BZ1028" s="82"/>
      <c r="CA1028" s="82"/>
      <c r="CB1028" s="82"/>
      <c r="CC1028" s="82"/>
      <c r="CD1028" s="82"/>
      <c r="CE1028" s="82"/>
      <c r="CF1028" s="82"/>
      <c r="CG1028" s="82"/>
      <c r="CH1028" s="82"/>
      <c r="CI1028" s="82"/>
      <c r="CJ1028" s="82"/>
      <c r="CK1028" s="82"/>
      <c r="CL1028" s="82"/>
      <c r="CM1028" s="82"/>
      <c r="CN1028" s="82"/>
      <c r="CO1028" s="82"/>
      <c r="CP1028" s="82"/>
      <c r="CQ1028" s="82"/>
      <c r="CR1028" s="82"/>
      <c r="CS1028" s="82"/>
      <c r="CT1028" s="82"/>
      <c r="CU1028" s="82"/>
      <c r="CV1028" s="82"/>
      <c r="CW1028" s="82"/>
      <c r="CX1028" s="82"/>
      <c r="CY1028" s="82"/>
      <c r="CZ1028" s="82"/>
      <c r="DA1028" s="82"/>
      <c r="DB1028" s="82"/>
      <c r="DC1028" s="82"/>
      <c r="DD1028" s="82"/>
      <c r="DE1028" s="82"/>
      <c r="DF1028" s="82"/>
      <c r="DG1028" s="82"/>
    </row>
    <row r="1029" spans="2:111" ht="9" customHeight="1">
      <c r="B1029" s="229" t="str">
        <f>IF($U$997&gt;=2,"Elementos de Despesa:","")</f>
        <v>Elementos de Despesa:</v>
      </c>
      <c r="C1029" s="229"/>
      <c r="D1029" s="229"/>
      <c r="E1029" s="229"/>
      <c r="F1029" s="229"/>
      <c r="G1029" s="229"/>
      <c r="H1029" s="229"/>
      <c r="I1029" s="229"/>
      <c r="J1029" s="229"/>
      <c r="K1029" s="229"/>
      <c r="L1029" s="229"/>
      <c r="M1029" s="229"/>
      <c r="N1029" s="229"/>
      <c r="P1029" s="230" t="s">
        <v>226</v>
      </c>
      <c r="Q1029" s="230"/>
      <c r="R1029" s="230"/>
      <c r="S1029" s="230"/>
      <c r="T1029" s="230"/>
      <c r="U1029" s="230"/>
      <c r="V1029" s="230"/>
      <c r="W1029" s="230"/>
      <c r="X1029" s="230"/>
      <c r="Y1029" s="230"/>
      <c r="Z1029" s="230"/>
      <c r="AA1029" s="230"/>
      <c r="AB1029" s="230"/>
      <c r="AC1029" s="230"/>
      <c r="AD1029" s="230"/>
      <c r="AE1029" s="230"/>
      <c r="AF1029" s="230"/>
      <c r="AG1029" s="230"/>
      <c r="AH1029" s="230"/>
      <c r="AI1029" s="230"/>
      <c r="AJ1029" s="230"/>
      <c r="AK1029" s="230"/>
      <c r="AL1029" s="230"/>
      <c r="AM1029" s="230"/>
      <c r="AN1029" s="230"/>
      <c r="AO1029" s="230"/>
      <c r="AP1029" s="230"/>
      <c r="AQ1029" s="230"/>
      <c r="AS1029" s="231">
        <v>75503</v>
      </c>
      <c r="AT1029" s="231"/>
      <c r="AU1029" s="231"/>
      <c r="AV1029" s="231"/>
      <c r="AW1029" s="231"/>
      <c r="AX1029" s="231"/>
      <c r="AY1029" s="231"/>
      <c r="AZ1029" s="231"/>
      <c r="BA1029" s="231"/>
      <c r="BC1029" s="82"/>
      <c r="BD1029" s="82"/>
      <c r="BE1029" s="82"/>
      <c r="BF1029" s="82"/>
      <c r="BG1029" s="82"/>
      <c r="BH1029" s="82"/>
      <c r="BI1029" s="82"/>
      <c r="BJ1029" s="82"/>
      <c r="BK1029" s="82"/>
      <c r="BL1029" s="82"/>
      <c r="BM1029" s="82"/>
      <c r="BN1029" s="82"/>
      <c r="BO1029" s="82"/>
      <c r="BP1029" s="82"/>
      <c r="BQ1029" s="82"/>
      <c r="BR1029" s="82"/>
      <c r="BS1029" s="82"/>
      <c r="BT1029" s="82"/>
      <c r="BU1029" s="82"/>
      <c r="BV1029" s="82"/>
      <c r="BW1029" s="82"/>
      <c r="BX1029" s="82"/>
      <c r="BY1029" s="82"/>
      <c r="BZ1029" s="82"/>
      <c r="CA1029" s="82"/>
      <c r="CB1029" s="82"/>
      <c r="CC1029" s="82"/>
      <c r="CD1029" s="82"/>
      <c r="CE1029" s="82"/>
      <c r="CF1029" s="82"/>
      <c r="CG1029" s="82"/>
      <c r="CH1029" s="82"/>
      <c r="CI1029" s="82"/>
      <c r="CJ1029" s="82"/>
      <c r="CK1029" s="82"/>
      <c r="CL1029" s="82"/>
      <c r="CM1029" s="82"/>
      <c r="CN1029" s="82"/>
      <c r="CO1029" s="82"/>
      <c r="CP1029" s="82"/>
      <c r="CQ1029" s="82"/>
      <c r="CR1029" s="82"/>
      <c r="CS1029" s="82"/>
      <c r="CT1029" s="82"/>
      <c r="CU1029" s="82"/>
      <c r="CV1029" s="82"/>
      <c r="CW1029" s="82"/>
      <c r="CX1029" s="82"/>
      <c r="CY1029" s="82"/>
      <c r="CZ1029" s="82"/>
      <c r="DA1029" s="82"/>
      <c r="DB1029" s="82"/>
      <c r="DC1029" s="82"/>
      <c r="DD1029" s="82"/>
      <c r="DE1029" s="82"/>
      <c r="DF1029" s="82"/>
      <c r="DG1029" s="82"/>
    </row>
    <row r="1030" spans="2:111" ht="9" customHeight="1">
      <c r="B1030" s="229"/>
      <c r="C1030" s="229"/>
      <c r="D1030" s="229"/>
      <c r="E1030" s="229"/>
      <c r="F1030" s="229"/>
      <c r="G1030" s="229"/>
      <c r="H1030" s="229"/>
      <c r="I1030" s="229"/>
      <c r="J1030" s="229"/>
      <c r="K1030" s="229"/>
      <c r="L1030" s="229"/>
      <c r="M1030" s="229"/>
      <c r="N1030" s="229"/>
      <c r="P1030" s="230"/>
      <c r="Q1030" s="230"/>
      <c r="R1030" s="230"/>
      <c r="S1030" s="230"/>
      <c r="T1030" s="230"/>
      <c r="U1030" s="230"/>
      <c r="V1030" s="230"/>
      <c r="W1030" s="230"/>
      <c r="X1030" s="230"/>
      <c r="Y1030" s="230"/>
      <c r="Z1030" s="230"/>
      <c r="AA1030" s="230"/>
      <c r="AB1030" s="230"/>
      <c r="AC1030" s="230"/>
      <c r="AD1030" s="230"/>
      <c r="AE1030" s="230"/>
      <c r="AF1030" s="230"/>
      <c r="AG1030" s="230"/>
      <c r="AH1030" s="230"/>
      <c r="AI1030" s="230"/>
      <c r="AJ1030" s="230"/>
      <c r="AK1030" s="230"/>
      <c r="AL1030" s="230"/>
      <c r="AM1030" s="230"/>
      <c r="AN1030" s="230"/>
      <c r="AO1030" s="230"/>
      <c r="AP1030" s="230"/>
      <c r="AQ1030" s="230"/>
      <c r="AS1030" s="231"/>
      <c r="AT1030" s="231"/>
      <c r="AU1030" s="231"/>
      <c r="AV1030" s="231"/>
      <c r="AW1030" s="231"/>
      <c r="AX1030" s="231"/>
      <c r="AY1030" s="231"/>
      <c r="AZ1030" s="231"/>
      <c r="BA1030" s="231"/>
      <c r="BC1030" s="82"/>
      <c r="BD1030" s="82"/>
      <c r="BE1030" s="82"/>
      <c r="BF1030" s="82"/>
      <c r="BG1030" s="82"/>
      <c r="BH1030" s="82"/>
      <c r="BI1030" s="82"/>
      <c r="BJ1030" s="82"/>
      <c r="BK1030" s="82"/>
      <c r="BL1030" s="82"/>
      <c r="BM1030" s="82"/>
      <c r="BN1030" s="82"/>
      <c r="BO1030" s="82"/>
      <c r="BP1030" s="82"/>
      <c r="BQ1030" s="82"/>
      <c r="BR1030" s="82"/>
      <c r="BS1030" s="82"/>
      <c r="BT1030" s="82"/>
      <c r="BU1030" s="82"/>
      <c r="BV1030" s="82"/>
      <c r="BW1030" s="82"/>
      <c r="BX1030" s="82"/>
      <c r="BY1030" s="82"/>
      <c r="BZ1030" s="82"/>
      <c r="CA1030" s="82"/>
      <c r="CB1030" s="82"/>
      <c r="CC1030" s="82"/>
      <c r="CD1030" s="82"/>
      <c r="CE1030" s="82"/>
      <c r="CF1030" s="82"/>
      <c r="CG1030" s="82"/>
      <c r="CH1030" s="82"/>
      <c r="CI1030" s="82"/>
      <c r="CJ1030" s="82"/>
      <c r="CK1030" s="82"/>
      <c r="CL1030" s="82"/>
      <c r="CM1030" s="82"/>
      <c r="CN1030" s="82"/>
      <c r="CO1030" s="82"/>
      <c r="CP1030" s="82"/>
      <c r="CQ1030" s="82"/>
      <c r="CR1030" s="82"/>
      <c r="CS1030" s="82"/>
      <c r="CT1030" s="82"/>
      <c r="CU1030" s="82"/>
      <c r="CV1030" s="82"/>
      <c r="CW1030" s="82"/>
      <c r="CX1030" s="82"/>
      <c r="CY1030" s="82"/>
      <c r="CZ1030" s="82"/>
      <c r="DA1030" s="82"/>
      <c r="DB1030" s="82"/>
      <c r="DC1030" s="82"/>
      <c r="DD1030" s="82"/>
      <c r="DE1030" s="82"/>
      <c r="DF1030" s="82"/>
      <c r="DG1030" s="82"/>
    </row>
    <row r="1031" spans="2:111" ht="9" customHeight="1">
      <c r="B1031" s="229"/>
      <c r="C1031" s="229"/>
      <c r="D1031" s="229"/>
      <c r="E1031" s="229"/>
      <c r="F1031" s="229"/>
      <c r="G1031" s="229"/>
      <c r="H1031" s="229"/>
      <c r="I1031" s="229"/>
      <c r="J1031" s="229"/>
      <c r="K1031" s="229"/>
      <c r="L1031" s="229"/>
      <c r="M1031" s="229"/>
      <c r="N1031" s="229"/>
      <c r="P1031" s="230"/>
      <c r="Q1031" s="230"/>
      <c r="R1031" s="230"/>
      <c r="S1031" s="230"/>
      <c r="T1031" s="230"/>
      <c r="U1031" s="230"/>
      <c r="V1031" s="230"/>
      <c r="W1031" s="230"/>
      <c r="X1031" s="230"/>
      <c r="Y1031" s="230"/>
      <c r="Z1031" s="230"/>
      <c r="AA1031" s="230"/>
      <c r="AB1031" s="230"/>
      <c r="AC1031" s="230"/>
      <c r="AD1031" s="230"/>
      <c r="AE1031" s="230"/>
      <c r="AF1031" s="230"/>
      <c r="AG1031" s="230"/>
      <c r="AH1031" s="230"/>
      <c r="AI1031" s="230"/>
      <c r="AJ1031" s="230"/>
      <c r="AK1031" s="230"/>
      <c r="AL1031" s="230"/>
      <c r="AM1031" s="230"/>
      <c r="AN1031" s="230"/>
      <c r="AO1031" s="230"/>
      <c r="AP1031" s="230"/>
      <c r="AQ1031" s="230"/>
      <c r="AS1031" s="231"/>
      <c r="AT1031" s="231"/>
      <c r="AU1031" s="231"/>
      <c r="AV1031" s="231"/>
      <c r="AW1031" s="231"/>
      <c r="AX1031" s="231"/>
      <c r="AY1031" s="231"/>
      <c r="AZ1031" s="231"/>
      <c r="BA1031" s="231"/>
      <c r="BC1031" s="82"/>
      <c r="BD1031" s="82"/>
      <c r="BE1031" s="82"/>
      <c r="BF1031" s="82"/>
      <c r="BG1031" s="82"/>
      <c r="BH1031" s="82"/>
      <c r="BI1031" s="82"/>
      <c r="BJ1031" s="82"/>
      <c r="BK1031" s="82"/>
      <c r="BL1031" s="82"/>
      <c r="BM1031" s="82"/>
      <c r="BN1031" s="82"/>
      <c r="BO1031" s="82"/>
      <c r="BP1031" s="82"/>
      <c r="BQ1031" s="82"/>
      <c r="BR1031" s="82"/>
      <c r="BS1031" s="82"/>
      <c r="BT1031" s="82"/>
      <c r="BU1031" s="82"/>
      <c r="BV1031" s="82"/>
      <c r="BW1031" s="82"/>
      <c r="BX1031" s="82"/>
      <c r="BY1031" s="82"/>
      <c r="BZ1031" s="82"/>
      <c r="CA1031" s="82"/>
      <c r="CB1031" s="82"/>
      <c r="CC1031" s="82"/>
      <c r="CD1031" s="82"/>
      <c r="CE1031" s="82"/>
      <c r="CF1031" s="82"/>
      <c r="CG1031" s="82"/>
      <c r="CH1031" s="82"/>
      <c r="CI1031" s="82"/>
      <c r="CJ1031" s="82"/>
      <c r="CK1031" s="82"/>
      <c r="CL1031" s="82"/>
      <c r="CM1031" s="82"/>
      <c r="CN1031" s="82"/>
      <c r="CO1031" s="82"/>
      <c r="CP1031" s="82"/>
      <c r="CQ1031" s="82"/>
      <c r="CR1031" s="82"/>
      <c r="CS1031" s="82"/>
      <c r="CT1031" s="82"/>
      <c r="CU1031" s="82"/>
      <c r="CV1031" s="82"/>
      <c r="CW1031" s="82"/>
      <c r="CX1031" s="82"/>
      <c r="CY1031" s="82"/>
      <c r="CZ1031" s="82"/>
      <c r="DA1031" s="82"/>
      <c r="DB1031" s="82"/>
      <c r="DC1031" s="82"/>
      <c r="DD1031" s="82"/>
      <c r="DE1031" s="82"/>
      <c r="DF1031" s="82"/>
      <c r="DG1031" s="82"/>
    </row>
    <row r="1032" spans="2:111" ht="9" customHeight="1">
      <c r="B1032" s="229"/>
      <c r="C1032" s="229"/>
      <c r="D1032" s="229"/>
      <c r="E1032" s="229"/>
      <c r="F1032" s="229"/>
      <c r="G1032" s="229"/>
      <c r="H1032" s="229"/>
      <c r="I1032" s="229"/>
      <c r="J1032" s="229"/>
      <c r="K1032" s="229"/>
      <c r="L1032" s="229"/>
      <c r="M1032" s="229"/>
      <c r="N1032" s="229"/>
      <c r="P1032" s="230"/>
      <c r="Q1032" s="230"/>
      <c r="R1032" s="230"/>
      <c r="S1032" s="230"/>
      <c r="T1032" s="230"/>
      <c r="U1032" s="230"/>
      <c r="V1032" s="230"/>
      <c r="W1032" s="230"/>
      <c r="X1032" s="230"/>
      <c r="Y1032" s="230"/>
      <c r="Z1032" s="230"/>
      <c r="AA1032" s="230"/>
      <c r="AB1032" s="230"/>
      <c r="AC1032" s="230"/>
      <c r="AD1032" s="230"/>
      <c r="AE1032" s="230"/>
      <c r="AF1032" s="230"/>
      <c r="AG1032" s="230"/>
      <c r="AH1032" s="230"/>
      <c r="AI1032" s="230"/>
      <c r="AJ1032" s="230"/>
      <c r="AK1032" s="230"/>
      <c r="AL1032" s="230"/>
      <c r="AM1032" s="230"/>
      <c r="AN1032" s="230"/>
      <c r="AO1032" s="230"/>
      <c r="AP1032" s="230"/>
      <c r="AQ1032" s="230"/>
      <c r="AS1032" s="231"/>
      <c r="AT1032" s="231"/>
      <c r="AU1032" s="231"/>
      <c r="AV1032" s="231"/>
      <c r="AW1032" s="231"/>
      <c r="AX1032" s="231"/>
      <c r="AY1032" s="231"/>
      <c r="AZ1032" s="231"/>
      <c r="BA1032" s="231"/>
      <c r="BC1032" s="82"/>
      <c r="BD1032" s="82"/>
      <c r="BE1032" s="82"/>
      <c r="BF1032" s="82"/>
      <c r="BG1032" s="82"/>
      <c r="BH1032" s="82"/>
      <c r="BI1032" s="82"/>
      <c r="BJ1032" s="82"/>
      <c r="BK1032" s="82"/>
      <c r="BL1032" s="82"/>
      <c r="BM1032" s="82"/>
      <c r="BN1032" s="82"/>
      <c r="BO1032" s="82"/>
      <c r="BP1032" s="82"/>
      <c r="BQ1032" s="82"/>
      <c r="BR1032" s="82"/>
      <c r="BS1032" s="82"/>
      <c r="BT1032" s="82"/>
      <c r="BU1032" s="82"/>
      <c r="BV1032" s="82"/>
      <c r="BW1032" s="82"/>
      <c r="BX1032" s="82"/>
      <c r="BY1032" s="82"/>
      <c r="BZ1032" s="82"/>
      <c r="CA1032" s="82"/>
      <c r="CB1032" s="82"/>
      <c r="CC1032" s="82"/>
      <c r="CD1032" s="82"/>
      <c r="CE1032" s="82"/>
      <c r="CF1032" s="82"/>
      <c r="CG1032" s="82"/>
      <c r="CH1032" s="82"/>
      <c r="CI1032" s="82"/>
      <c r="CJ1032" s="82"/>
      <c r="CK1032" s="82"/>
      <c r="CL1032" s="82"/>
      <c r="CM1032" s="82"/>
      <c r="CN1032" s="82"/>
      <c r="CO1032" s="82"/>
      <c r="CP1032" s="82"/>
      <c r="CQ1032" s="82"/>
      <c r="CR1032" s="82"/>
      <c r="CS1032" s="82"/>
      <c r="CT1032" s="82"/>
      <c r="CU1032" s="82"/>
      <c r="CV1032" s="82"/>
      <c r="CW1032" s="82"/>
      <c r="CX1032" s="82"/>
      <c r="CY1032" s="82"/>
      <c r="CZ1032" s="82"/>
      <c r="DA1032" s="82"/>
      <c r="DB1032" s="82"/>
      <c r="DC1032" s="82"/>
      <c r="DD1032" s="82"/>
      <c r="DE1032" s="82"/>
      <c r="DF1032" s="82"/>
      <c r="DG1032" s="82"/>
    </row>
    <row r="1033" spans="2:111" ht="9" customHeight="1">
      <c r="B1033" s="229"/>
      <c r="C1033" s="229"/>
      <c r="D1033" s="229"/>
      <c r="E1033" s="229"/>
      <c r="F1033" s="229"/>
      <c r="G1033" s="229"/>
      <c r="H1033" s="229"/>
      <c r="I1033" s="229"/>
      <c r="J1033" s="229"/>
      <c r="K1033" s="229"/>
      <c r="L1033" s="229"/>
      <c r="M1033" s="229"/>
      <c r="N1033" s="229"/>
      <c r="P1033" s="230"/>
      <c r="Q1033" s="230"/>
      <c r="R1033" s="230"/>
      <c r="S1033" s="230"/>
      <c r="T1033" s="230"/>
      <c r="U1033" s="230"/>
      <c r="V1033" s="230"/>
      <c r="W1033" s="230"/>
      <c r="X1033" s="230"/>
      <c r="Y1033" s="230"/>
      <c r="Z1033" s="230"/>
      <c r="AA1033" s="230"/>
      <c r="AB1033" s="230"/>
      <c r="AC1033" s="230"/>
      <c r="AD1033" s="230"/>
      <c r="AE1033" s="230"/>
      <c r="AF1033" s="230"/>
      <c r="AG1033" s="230"/>
      <c r="AH1033" s="230"/>
      <c r="AI1033" s="230"/>
      <c r="AJ1033" s="230"/>
      <c r="AK1033" s="230"/>
      <c r="AL1033" s="230"/>
      <c r="AM1033" s="230"/>
      <c r="AN1033" s="230"/>
      <c r="AO1033" s="230"/>
      <c r="AP1033" s="230"/>
      <c r="AQ1033" s="230"/>
      <c r="AS1033" s="231"/>
      <c r="AT1033" s="231"/>
      <c r="AU1033" s="231"/>
      <c r="AV1033" s="231"/>
      <c r="AW1033" s="231"/>
      <c r="AX1033" s="231"/>
      <c r="AY1033" s="231"/>
      <c r="AZ1033" s="231"/>
      <c r="BA1033" s="231"/>
      <c r="BC1033" s="82"/>
      <c r="BD1033" s="82"/>
      <c r="BE1033" s="82"/>
      <c r="BF1033" s="82"/>
      <c r="BG1033" s="82"/>
      <c r="BH1033" s="82"/>
      <c r="BI1033" s="82"/>
      <c r="BJ1033" s="82"/>
      <c r="BK1033" s="82"/>
      <c r="BL1033" s="82"/>
      <c r="BM1033" s="82"/>
      <c r="BN1033" s="82"/>
      <c r="BO1033" s="82"/>
      <c r="BP1033" s="82"/>
      <c r="BQ1033" s="82"/>
      <c r="BR1033" s="82"/>
      <c r="BS1033" s="82"/>
      <c r="BT1033" s="82"/>
      <c r="BU1033" s="82"/>
      <c r="BV1033" s="82"/>
      <c r="BW1033" s="82"/>
      <c r="BX1033" s="82"/>
      <c r="BY1033" s="82"/>
      <c r="BZ1033" s="82"/>
      <c r="CA1033" s="82"/>
      <c r="CB1033" s="82"/>
      <c r="CC1033" s="82"/>
      <c r="CD1033" s="82"/>
      <c r="CE1033" s="82"/>
      <c r="CF1033" s="82"/>
      <c r="CG1033" s="82"/>
      <c r="CH1033" s="82"/>
      <c r="CI1033" s="82"/>
      <c r="CJ1033" s="82"/>
      <c r="CK1033" s="82"/>
      <c r="CL1033" s="82"/>
      <c r="CM1033" s="82"/>
      <c r="CN1033" s="82"/>
      <c r="CO1033" s="82"/>
      <c r="CP1033" s="82"/>
      <c r="CQ1033" s="82"/>
      <c r="CR1033" s="82"/>
      <c r="CS1033" s="82"/>
      <c r="CT1033" s="82"/>
      <c r="CU1033" s="82"/>
      <c r="CV1033" s="82"/>
      <c r="CW1033" s="82"/>
      <c r="CX1033" s="82"/>
      <c r="CY1033" s="82"/>
      <c r="CZ1033" s="82"/>
      <c r="DA1033" s="82"/>
      <c r="DB1033" s="82"/>
      <c r="DC1033" s="82"/>
      <c r="DD1033" s="82"/>
      <c r="DE1033" s="82"/>
      <c r="DF1033" s="82"/>
      <c r="DG1033" s="82"/>
    </row>
    <row r="1034" spans="2:111" ht="9" customHeight="1">
      <c r="B1034" s="229"/>
      <c r="C1034" s="229"/>
      <c r="D1034" s="229"/>
      <c r="E1034" s="229"/>
      <c r="F1034" s="229"/>
      <c r="G1034" s="229"/>
      <c r="H1034" s="229"/>
      <c r="I1034" s="229"/>
      <c r="J1034" s="229"/>
      <c r="K1034" s="229"/>
      <c r="L1034" s="229"/>
      <c r="M1034" s="229"/>
      <c r="N1034" s="229"/>
      <c r="P1034" s="230"/>
      <c r="Q1034" s="230"/>
      <c r="R1034" s="230"/>
      <c r="S1034" s="230"/>
      <c r="T1034" s="230"/>
      <c r="U1034" s="230"/>
      <c r="V1034" s="230"/>
      <c r="W1034" s="230"/>
      <c r="X1034" s="230"/>
      <c r="Y1034" s="230"/>
      <c r="Z1034" s="230"/>
      <c r="AA1034" s="230"/>
      <c r="AB1034" s="230"/>
      <c r="AC1034" s="230"/>
      <c r="AD1034" s="230"/>
      <c r="AE1034" s="230"/>
      <c r="AF1034" s="230"/>
      <c r="AG1034" s="230"/>
      <c r="AH1034" s="230"/>
      <c r="AI1034" s="230"/>
      <c r="AJ1034" s="230"/>
      <c r="AK1034" s="230"/>
      <c r="AL1034" s="230"/>
      <c r="AM1034" s="230"/>
      <c r="AN1034" s="230"/>
      <c r="AO1034" s="230"/>
      <c r="AP1034" s="230"/>
      <c r="AQ1034" s="230"/>
      <c r="AS1034" s="231"/>
      <c r="AT1034" s="231"/>
      <c r="AU1034" s="231"/>
      <c r="AV1034" s="231"/>
      <c r="AW1034" s="231"/>
      <c r="AX1034" s="231"/>
      <c r="AY1034" s="231"/>
      <c r="AZ1034" s="231"/>
      <c r="BA1034" s="231"/>
      <c r="BC1034" s="82"/>
      <c r="BD1034" s="82"/>
      <c r="BE1034" s="82"/>
      <c r="BF1034" s="82"/>
      <c r="BG1034" s="82"/>
      <c r="BH1034" s="82"/>
      <c r="BI1034" s="82"/>
      <c r="BJ1034" s="82"/>
      <c r="BK1034" s="82"/>
      <c r="BL1034" s="82"/>
      <c r="BM1034" s="82"/>
      <c r="BN1034" s="82"/>
      <c r="BO1034" s="82"/>
      <c r="BP1034" s="82"/>
      <c r="BQ1034" s="82"/>
      <c r="BR1034" s="82"/>
      <c r="BS1034" s="82"/>
      <c r="BT1034" s="82"/>
      <c r="BU1034" s="82"/>
      <c r="BV1034" s="82"/>
      <c r="BW1034" s="82"/>
      <c r="BX1034" s="82"/>
      <c r="BY1034" s="82"/>
      <c r="BZ1034" s="82"/>
      <c r="CA1034" s="82"/>
      <c r="CB1034" s="82"/>
      <c r="CC1034" s="82"/>
      <c r="CD1034" s="82"/>
      <c r="CE1034" s="82"/>
      <c r="CF1034" s="82"/>
      <c r="CG1034" s="82"/>
      <c r="CH1034" s="82"/>
      <c r="CI1034" s="82"/>
      <c r="CJ1034" s="82"/>
      <c r="CK1034" s="82"/>
      <c r="CL1034" s="82"/>
      <c r="CM1034" s="82"/>
      <c r="CN1034" s="82"/>
      <c r="CO1034" s="82"/>
      <c r="CP1034" s="82"/>
      <c r="CQ1034" s="82"/>
      <c r="CR1034" s="82"/>
      <c r="CS1034" s="82"/>
      <c r="CT1034" s="82"/>
      <c r="CU1034" s="82"/>
      <c r="CV1034" s="82"/>
      <c r="CW1034" s="82"/>
      <c r="CX1034" s="82"/>
      <c r="CY1034" s="82"/>
      <c r="CZ1034" s="82"/>
      <c r="DA1034" s="82"/>
      <c r="DB1034" s="82"/>
      <c r="DC1034" s="82"/>
      <c r="DD1034" s="82"/>
      <c r="DE1034" s="82"/>
      <c r="DF1034" s="82"/>
      <c r="DG1034" s="82"/>
    </row>
    <row r="1035" spans="2:111" ht="9" customHeight="1">
      <c r="B1035" s="229"/>
      <c r="C1035" s="229"/>
      <c r="D1035" s="229"/>
      <c r="E1035" s="229"/>
      <c r="F1035" s="229"/>
      <c r="G1035" s="229"/>
      <c r="H1035" s="229"/>
      <c r="I1035" s="229"/>
      <c r="J1035" s="229"/>
      <c r="K1035" s="229"/>
      <c r="L1035" s="229"/>
      <c r="M1035" s="229"/>
      <c r="N1035" s="229"/>
      <c r="P1035" s="230"/>
      <c r="Q1035" s="230"/>
      <c r="R1035" s="230"/>
      <c r="S1035" s="230"/>
      <c r="T1035" s="230"/>
      <c r="U1035" s="230"/>
      <c r="V1035" s="230"/>
      <c r="W1035" s="230"/>
      <c r="X1035" s="230"/>
      <c r="Y1035" s="230"/>
      <c r="Z1035" s="230"/>
      <c r="AA1035" s="230"/>
      <c r="AB1035" s="230"/>
      <c r="AC1035" s="230"/>
      <c r="AD1035" s="230"/>
      <c r="AE1035" s="230"/>
      <c r="AF1035" s="230"/>
      <c r="AG1035" s="230"/>
      <c r="AH1035" s="230"/>
      <c r="AI1035" s="230"/>
      <c r="AJ1035" s="230"/>
      <c r="AK1035" s="230"/>
      <c r="AL1035" s="230"/>
      <c r="AM1035" s="230"/>
      <c r="AN1035" s="230"/>
      <c r="AO1035" s="230"/>
      <c r="AP1035" s="230"/>
      <c r="AQ1035" s="230"/>
      <c r="AS1035" s="231"/>
      <c r="AT1035" s="231"/>
      <c r="AU1035" s="231"/>
      <c r="AV1035" s="231"/>
      <c r="AW1035" s="231"/>
      <c r="AX1035" s="231"/>
      <c r="AY1035" s="231"/>
      <c r="AZ1035" s="231"/>
      <c r="BA1035" s="231"/>
      <c r="BC1035" s="82"/>
      <c r="BD1035" s="82"/>
      <c r="BE1035" s="82"/>
      <c r="BF1035" s="82"/>
      <c r="BG1035" s="82"/>
      <c r="BH1035" s="82"/>
      <c r="BI1035" s="82"/>
      <c r="BJ1035" s="82"/>
      <c r="BK1035" s="82"/>
      <c r="BL1035" s="82"/>
      <c r="BM1035" s="82"/>
      <c r="BN1035" s="82"/>
      <c r="BO1035" s="82"/>
      <c r="BP1035" s="82"/>
      <c r="BQ1035" s="82"/>
      <c r="BR1035" s="82"/>
      <c r="BS1035" s="82"/>
      <c r="BT1035" s="82"/>
      <c r="BU1035" s="82"/>
      <c r="BV1035" s="82"/>
      <c r="BW1035" s="82"/>
      <c r="BX1035" s="82"/>
      <c r="BY1035" s="82"/>
      <c r="BZ1035" s="82"/>
      <c r="CA1035" s="82"/>
      <c r="CB1035" s="82"/>
      <c r="CC1035" s="82"/>
      <c r="CD1035" s="82"/>
      <c r="CE1035" s="82"/>
      <c r="CF1035" s="82"/>
      <c r="CG1035" s="82"/>
      <c r="CH1035" s="82"/>
      <c r="CI1035" s="82"/>
      <c r="CJ1035" s="82"/>
      <c r="CK1035" s="82"/>
      <c r="CL1035" s="82"/>
      <c r="CM1035" s="82"/>
      <c r="CN1035" s="82"/>
      <c r="CO1035" s="82"/>
      <c r="CP1035" s="82"/>
      <c r="CQ1035" s="82"/>
      <c r="CR1035" s="82"/>
      <c r="CS1035" s="82"/>
      <c r="CT1035" s="82"/>
      <c r="CU1035" s="82"/>
      <c r="CV1035" s="82"/>
      <c r="CW1035" s="82"/>
      <c r="CX1035" s="82"/>
      <c r="CY1035" s="82"/>
      <c r="CZ1035" s="82"/>
      <c r="DA1035" s="82"/>
      <c r="DB1035" s="82"/>
      <c r="DC1035" s="82"/>
      <c r="DD1035" s="82"/>
      <c r="DE1035" s="82"/>
      <c r="DF1035" s="82"/>
      <c r="DG1035" s="82"/>
    </row>
    <row r="1036" spans="2:111" ht="9" customHeight="1">
      <c r="B1036" s="229"/>
      <c r="C1036" s="229"/>
      <c r="D1036" s="229"/>
      <c r="E1036" s="229"/>
      <c r="F1036" s="229"/>
      <c r="G1036" s="229"/>
      <c r="H1036" s="229"/>
      <c r="I1036" s="229"/>
      <c r="J1036" s="229"/>
      <c r="K1036" s="229"/>
      <c r="L1036" s="229"/>
      <c r="M1036" s="229"/>
      <c r="N1036" s="229"/>
      <c r="P1036" s="230"/>
      <c r="Q1036" s="230"/>
      <c r="R1036" s="230"/>
      <c r="S1036" s="230"/>
      <c r="T1036" s="230"/>
      <c r="U1036" s="230"/>
      <c r="V1036" s="230"/>
      <c r="W1036" s="230"/>
      <c r="X1036" s="230"/>
      <c r="Y1036" s="230"/>
      <c r="Z1036" s="230"/>
      <c r="AA1036" s="230"/>
      <c r="AB1036" s="230"/>
      <c r="AC1036" s="230"/>
      <c r="AD1036" s="230"/>
      <c r="AE1036" s="230"/>
      <c r="AF1036" s="230"/>
      <c r="AG1036" s="230"/>
      <c r="AH1036" s="230"/>
      <c r="AI1036" s="230"/>
      <c r="AJ1036" s="230"/>
      <c r="AK1036" s="230"/>
      <c r="AL1036" s="230"/>
      <c r="AM1036" s="230"/>
      <c r="AN1036" s="230"/>
      <c r="AO1036" s="230"/>
      <c r="AP1036" s="230"/>
      <c r="AQ1036" s="230"/>
      <c r="AS1036" s="231"/>
      <c r="AT1036" s="231"/>
      <c r="AU1036" s="231"/>
      <c r="AV1036" s="231"/>
      <c r="AW1036" s="231"/>
      <c r="AX1036" s="231"/>
      <c r="AY1036" s="231"/>
      <c r="AZ1036" s="231"/>
      <c r="BA1036" s="231"/>
      <c r="BC1036" s="82"/>
      <c r="BD1036" s="82"/>
      <c r="BE1036" s="82"/>
      <c r="BF1036" s="82"/>
      <c r="BG1036" s="82"/>
      <c r="BH1036" s="82"/>
      <c r="BI1036" s="82"/>
      <c r="BJ1036" s="82"/>
      <c r="BK1036" s="82"/>
      <c r="BL1036" s="82"/>
      <c r="BM1036" s="82"/>
      <c r="BN1036" s="82"/>
      <c r="BO1036" s="82"/>
      <c r="BP1036" s="82"/>
      <c r="BQ1036" s="82"/>
      <c r="BR1036" s="82"/>
      <c r="BS1036" s="82"/>
      <c r="BT1036" s="82"/>
      <c r="BU1036" s="82"/>
      <c r="BV1036" s="82"/>
      <c r="BW1036" s="82"/>
      <c r="BX1036" s="82"/>
      <c r="BY1036" s="82"/>
      <c r="BZ1036" s="82"/>
      <c r="CA1036" s="82"/>
      <c r="CB1036" s="82"/>
      <c r="CC1036" s="82"/>
      <c r="CD1036" s="82"/>
      <c r="CE1036" s="82"/>
      <c r="CF1036" s="82"/>
      <c r="CG1036" s="82"/>
      <c r="CH1036" s="82"/>
      <c r="CI1036" s="82"/>
      <c r="CJ1036" s="82"/>
      <c r="CK1036" s="82"/>
      <c r="CL1036" s="82"/>
      <c r="CM1036" s="82"/>
      <c r="CN1036" s="82"/>
      <c r="CO1036" s="82"/>
      <c r="CP1036" s="82"/>
      <c r="CQ1036" s="82"/>
      <c r="CR1036" s="82"/>
      <c r="CS1036" s="82"/>
      <c r="CT1036" s="82"/>
      <c r="CU1036" s="82"/>
      <c r="CV1036" s="82"/>
      <c r="CW1036" s="82"/>
      <c r="CX1036" s="82"/>
      <c r="CY1036" s="82"/>
      <c r="CZ1036" s="82"/>
      <c r="DA1036" s="82"/>
      <c r="DB1036" s="82"/>
      <c r="DC1036" s="82"/>
      <c r="DD1036" s="82"/>
      <c r="DE1036" s="82"/>
      <c r="DF1036" s="82"/>
      <c r="DG1036" s="82"/>
    </row>
    <row r="1037" spans="2:111" ht="9" customHeight="1">
      <c r="B1037" s="229"/>
      <c r="C1037" s="229"/>
      <c r="D1037" s="229"/>
      <c r="E1037" s="229"/>
      <c r="F1037" s="229"/>
      <c r="G1037" s="229"/>
      <c r="H1037" s="229"/>
      <c r="I1037" s="229"/>
      <c r="J1037" s="229"/>
      <c r="K1037" s="229"/>
      <c r="L1037" s="229"/>
      <c r="M1037" s="229"/>
      <c r="N1037" s="229"/>
      <c r="P1037" s="230"/>
      <c r="Q1037" s="230"/>
      <c r="R1037" s="230"/>
      <c r="S1037" s="230"/>
      <c r="T1037" s="230"/>
      <c r="U1037" s="230"/>
      <c r="V1037" s="230"/>
      <c r="W1037" s="230"/>
      <c r="X1037" s="230"/>
      <c r="Y1037" s="230"/>
      <c r="Z1037" s="230"/>
      <c r="AA1037" s="230"/>
      <c r="AB1037" s="230"/>
      <c r="AC1037" s="230"/>
      <c r="AD1037" s="230"/>
      <c r="AE1037" s="230"/>
      <c r="AF1037" s="230"/>
      <c r="AG1037" s="230"/>
      <c r="AH1037" s="230"/>
      <c r="AI1037" s="230"/>
      <c r="AJ1037" s="230"/>
      <c r="AK1037" s="230"/>
      <c r="AL1037" s="230"/>
      <c r="AM1037" s="230"/>
      <c r="AN1037" s="230"/>
      <c r="AO1037" s="230"/>
      <c r="AP1037" s="230"/>
      <c r="AQ1037" s="230"/>
      <c r="AS1037" s="231"/>
      <c r="AT1037" s="231"/>
      <c r="AU1037" s="231"/>
      <c r="AV1037" s="231"/>
      <c r="AW1037" s="231"/>
      <c r="AX1037" s="231"/>
      <c r="AY1037" s="231"/>
      <c r="AZ1037" s="231"/>
      <c r="BA1037" s="231"/>
      <c r="BC1037" s="82"/>
      <c r="BD1037" s="82"/>
      <c r="BE1037" s="82"/>
      <c r="BF1037" s="82"/>
      <c r="BG1037" s="82"/>
      <c r="BH1037" s="82"/>
      <c r="BI1037" s="82"/>
      <c r="BJ1037" s="82"/>
      <c r="BK1037" s="82"/>
      <c r="BL1037" s="82"/>
      <c r="BM1037" s="82"/>
      <c r="BN1037" s="82"/>
      <c r="BO1037" s="82"/>
      <c r="BP1037" s="82"/>
      <c r="BQ1037" s="82"/>
      <c r="BR1037" s="82"/>
      <c r="BS1037" s="82"/>
      <c r="BT1037" s="82"/>
      <c r="BU1037" s="82"/>
      <c r="BV1037" s="82"/>
      <c r="BW1037" s="82"/>
      <c r="BX1037" s="82"/>
      <c r="BY1037" s="82"/>
      <c r="BZ1037" s="82"/>
      <c r="CA1037" s="82"/>
      <c r="CB1037" s="82"/>
      <c r="CC1037" s="82"/>
      <c r="CD1037" s="82"/>
      <c r="CE1037" s="82"/>
      <c r="CF1037" s="82"/>
      <c r="CG1037" s="82"/>
      <c r="CH1037" s="82"/>
      <c r="CI1037" s="82"/>
      <c r="CJ1037" s="82"/>
      <c r="CK1037" s="82"/>
      <c r="CL1037" s="82"/>
      <c r="CM1037" s="82"/>
      <c r="CN1037" s="82"/>
      <c r="CO1037" s="82"/>
      <c r="CP1037" s="82"/>
      <c r="CQ1037" s="82"/>
      <c r="CR1037" s="82"/>
      <c r="CS1037" s="82"/>
      <c r="CT1037" s="82"/>
      <c r="CU1037" s="82"/>
      <c r="CV1037" s="82"/>
      <c r="CW1037" s="82"/>
      <c r="CX1037" s="82"/>
      <c r="CY1037" s="82"/>
      <c r="CZ1037" s="82"/>
      <c r="DA1037" s="82"/>
      <c r="DB1037" s="82"/>
      <c r="DC1037" s="82"/>
      <c r="DD1037" s="82"/>
      <c r="DE1037" s="82"/>
      <c r="DF1037" s="82"/>
      <c r="DG1037" s="82"/>
    </row>
    <row r="1038" spans="2:111" ht="9" customHeight="1">
      <c r="B1038" s="229"/>
      <c r="C1038" s="229"/>
      <c r="D1038" s="229"/>
      <c r="E1038" s="229"/>
      <c r="F1038" s="229"/>
      <c r="G1038" s="229"/>
      <c r="H1038" s="229"/>
      <c r="I1038" s="229"/>
      <c r="J1038" s="229"/>
      <c r="K1038" s="229"/>
      <c r="L1038" s="229"/>
      <c r="M1038" s="229"/>
      <c r="N1038" s="229"/>
      <c r="P1038" s="230"/>
      <c r="Q1038" s="230"/>
      <c r="R1038" s="230"/>
      <c r="S1038" s="230"/>
      <c r="T1038" s="230"/>
      <c r="U1038" s="230"/>
      <c r="V1038" s="230"/>
      <c r="W1038" s="230"/>
      <c r="X1038" s="230"/>
      <c r="Y1038" s="230"/>
      <c r="Z1038" s="230"/>
      <c r="AA1038" s="230"/>
      <c r="AB1038" s="230"/>
      <c r="AC1038" s="230"/>
      <c r="AD1038" s="230"/>
      <c r="AE1038" s="230"/>
      <c r="AF1038" s="230"/>
      <c r="AG1038" s="230"/>
      <c r="AH1038" s="230"/>
      <c r="AI1038" s="230"/>
      <c r="AJ1038" s="230"/>
      <c r="AK1038" s="230"/>
      <c r="AL1038" s="230"/>
      <c r="AM1038" s="230"/>
      <c r="AN1038" s="230"/>
      <c r="AO1038" s="230"/>
      <c r="AP1038" s="230"/>
      <c r="AQ1038" s="230"/>
      <c r="AS1038" s="231"/>
      <c r="AT1038" s="231"/>
      <c r="AU1038" s="231"/>
      <c r="AV1038" s="231"/>
      <c r="AW1038" s="231"/>
      <c r="AX1038" s="231"/>
      <c r="AY1038" s="231"/>
      <c r="AZ1038" s="231"/>
      <c r="BA1038" s="231"/>
      <c r="BC1038" s="82"/>
      <c r="BD1038" s="82"/>
      <c r="BE1038" s="82"/>
      <c r="BF1038" s="82"/>
      <c r="BG1038" s="82"/>
      <c r="BH1038" s="82"/>
      <c r="BI1038" s="82"/>
      <c r="BJ1038" s="82"/>
      <c r="BK1038" s="82"/>
      <c r="BL1038" s="82"/>
      <c r="BM1038" s="82"/>
      <c r="BN1038" s="82"/>
      <c r="BO1038" s="82"/>
      <c r="BP1038" s="82"/>
      <c r="BQ1038" s="82"/>
      <c r="BR1038" s="82"/>
      <c r="BS1038" s="82"/>
      <c r="BT1038" s="82"/>
      <c r="BU1038" s="82"/>
      <c r="BV1038" s="82"/>
      <c r="BW1038" s="82"/>
      <c r="BX1038" s="82"/>
      <c r="BY1038" s="82"/>
      <c r="BZ1038" s="82"/>
      <c r="CA1038" s="82"/>
      <c r="CB1038" s="82"/>
      <c r="CC1038" s="82"/>
      <c r="CD1038" s="82"/>
      <c r="CE1038" s="82"/>
      <c r="CF1038" s="82"/>
      <c r="CG1038" s="82"/>
      <c r="CH1038" s="82"/>
      <c r="CI1038" s="82"/>
      <c r="CJ1038" s="82"/>
      <c r="CK1038" s="82"/>
      <c r="CL1038" s="82"/>
      <c r="CM1038" s="82"/>
      <c r="CN1038" s="82"/>
      <c r="CO1038" s="82"/>
      <c r="CP1038" s="82"/>
      <c r="CQ1038" s="82"/>
      <c r="CR1038" s="82"/>
      <c r="CS1038" s="82"/>
      <c r="CT1038" s="82"/>
      <c r="CU1038" s="82"/>
      <c r="CV1038" s="82"/>
      <c r="CW1038" s="82"/>
      <c r="CX1038" s="82"/>
      <c r="CY1038" s="82"/>
      <c r="CZ1038" s="82"/>
      <c r="DA1038" s="82"/>
      <c r="DB1038" s="82"/>
      <c r="DC1038" s="82"/>
      <c r="DD1038" s="82"/>
      <c r="DE1038" s="82"/>
      <c r="DF1038" s="82"/>
      <c r="DG1038" s="82"/>
    </row>
    <row r="1039" spans="2:111" ht="9" customHeight="1">
      <c r="B1039" s="229"/>
      <c r="C1039" s="229"/>
      <c r="D1039" s="229"/>
      <c r="E1039" s="229"/>
      <c r="F1039" s="229"/>
      <c r="G1039" s="229"/>
      <c r="H1039" s="229"/>
      <c r="I1039" s="229"/>
      <c r="J1039" s="229"/>
      <c r="K1039" s="229"/>
      <c r="L1039" s="229"/>
      <c r="M1039" s="229"/>
      <c r="N1039" s="229"/>
      <c r="P1039" s="230"/>
      <c r="Q1039" s="230"/>
      <c r="R1039" s="230"/>
      <c r="S1039" s="230"/>
      <c r="T1039" s="230"/>
      <c r="U1039" s="230"/>
      <c r="V1039" s="230"/>
      <c r="W1039" s="230"/>
      <c r="X1039" s="230"/>
      <c r="Y1039" s="230"/>
      <c r="Z1039" s="230"/>
      <c r="AA1039" s="230"/>
      <c r="AB1039" s="230"/>
      <c r="AC1039" s="230"/>
      <c r="AD1039" s="230"/>
      <c r="AE1039" s="230"/>
      <c r="AF1039" s="230"/>
      <c r="AG1039" s="230"/>
      <c r="AH1039" s="230"/>
      <c r="AI1039" s="230"/>
      <c r="AJ1039" s="230"/>
      <c r="AK1039" s="230"/>
      <c r="AL1039" s="230"/>
      <c r="AM1039" s="230"/>
      <c r="AN1039" s="230"/>
      <c r="AO1039" s="230"/>
      <c r="AP1039" s="230"/>
      <c r="AQ1039" s="230"/>
      <c r="AS1039" s="231"/>
      <c r="AT1039" s="231"/>
      <c r="AU1039" s="231"/>
      <c r="AV1039" s="231"/>
      <c r="AW1039" s="231"/>
      <c r="AX1039" s="231"/>
      <c r="AY1039" s="231"/>
      <c r="AZ1039" s="231"/>
      <c r="BA1039" s="231"/>
      <c r="BC1039" s="82"/>
      <c r="BD1039" s="82"/>
      <c r="BE1039" s="82"/>
      <c r="BF1039" s="82"/>
      <c r="BG1039" s="82"/>
      <c r="BH1039" s="82"/>
      <c r="BI1039" s="82"/>
      <c r="BJ1039" s="82"/>
      <c r="BK1039" s="82"/>
      <c r="BL1039" s="82"/>
      <c r="BM1039" s="82"/>
      <c r="BN1039" s="82"/>
      <c r="BO1039" s="82"/>
      <c r="BP1039" s="82"/>
      <c r="BQ1039" s="82"/>
      <c r="BR1039" s="82"/>
      <c r="BS1039" s="82"/>
      <c r="BT1039" s="82"/>
      <c r="BU1039" s="82"/>
      <c r="BV1039" s="82"/>
      <c r="BW1039" s="82"/>
      <c r="BX1039" s="82"/>
      <c r="BY1039" s="82"/>
      <c r="BZ1039" s="82"/>
      <c r="CA1039" s="82"/>
      <c r="CB1039" s="82"/>
      <c r="CC1039" s="82"/>
      <c r="CD1039" s="82"/>
      <c r="CE1039" s="82"/>
      <c r="CF1039" s="82"/>
      <c r="CG1039" s="82"/>
      <c r="CH1039" s="82"/>
      <c r="CI1039" s="82"/>
      <c r="CJ1039" s="82"/>
      <c r="CK1039" s="82"/>
      <c r="CL1039" s="82"/>
      <c r="CM1039" s="82"/>
      <c r="CN1039" s="82"/>
      <c r="CO1039" s="82"/>
      <c r="CP1039" s="82"/>
      <c r="CQ1039" s="82"/>
      <c r="CR1039" s="82"/>
      <c r="CS1039" s="82"/>
      <c r="CT1039" s="82"/>
      <c r="CU1039" s="82"/>
      <c r="CV1039" s="82"/>
      <c r="CW1039" s="82"/>
      <c r="CX1039" s="82"/>
      <c r="CY1039" s="82"/>
      <c r="CZ1039" s="82"/>
      <c r="DA1039" s="82"/>
      <c r="DB1039" s="82"/>
      <c r="DC1039" s="82"/>
      <c r="DD1039" s="82"/>
      <c r="DE1039" s="82"/>
      <c r="DF1039" s="82"/>
      <c r="DG1039" s="82"/>
    </row>
    <row r="1040" spans="2:111" ht="9" customHeight="1">
      <c r="B1040" s="229"/>
      <c r="C1040" s="229"/>
      <c r="D1040" s="229"/>
      <c r="E1040" s="229"/>
      <c r="F1040" s="229"/>
      <c r="G1040" s="229"/>
      <c r="H1040" s="229"/>
      <c r="I1040" s="229"/>
      <c r="J1040" s="229"/>
      <c r="K1040" s="229"/>
      <c r="L1040" s="229"/>
      <c r="M1040" s="229"/>
      <c r="N1040" s="229"/>
      <c r="P1040" s="230"/>
      <c r="Q1040" s="230"/>
      <c r="R1040" s="230"/>
      <c r="S1040" s="230"/>
      <c r="T1040" s="230"/>
      <c r="U1040" s="230"/>
      <c r="V1040" s="230"/>
      <c r="W1040" s="230"/>
      <c r="X1040" s="230"/>
      <c r="Y1040" s="230"/>
      <c r="Z1040" s="230"/>
      <c r="AA1040" s="230"/>
      <c r="AB1040" s="230"/>
      <c r="AC1040" s="230"/>
      <c r="AD1040" s="230"/>
      <c r="AE1040" s="230"/>
      <c r="AF1040" s="230"/>
      <c r="AG1040" s="230"/>
      <c r="AH1040" s="230"/>
      <c r="AI1040" s="230"/>
      <c r="AJ1040" s="230"/>
      <c r="AK1040" s="230"/>
      <c r="AL1040" s="230"/>
      <c r="AM1040" s="230"/>
      <c r="AN1040" s="230"/>
      <c r="AO1040" s="230"/>
      <c r="AP1040" s="230"/>
      <c r="AQ1040" s="230"/>
      <c r="AS1040" s="231"/>
      <c r="AT1040" s="231"/>
      <c r="AU1040" s="231"/>
      <c r="AV1040" s="231"/>
      <c r="AW1040" s="231"/>
      <c r="AX1040" s="231"/>
      <c r="AY1040" s="231"/>
      <c r="AZ1040" s="231"/>
      <c r="BA1040" s="231"/>
      <c r="BC1040" s="82"/>
      <c r="BD1040" s="82"/>
      <c r="BE1040" s="82"/>
      <c r="BF1040" s="82"/>
      <c r="BG1040" s="82"/>
      <c r="BH1040" s="82"/>
      <c r="BI1040" s="82"/>
      <c r="BJ1040" s="82"/>
      <c r="BK1040" s="82"/>
      <c r="BL1040" s="82"/>
      <c r="BM1040" s="82"/>
      <c r="BN1040" s="82"/>
      <c r="BO1040" s="82"/>
      <c r="BP1040" s="82"/>
      <c r="BQ1040" s="82"/>
      <c r="BR1040" s="82"/>
      <c r="BS1040" s="82"/>
      <c r="BT1040" s="82"/>
      <c r="BU1040" s="82"/>
      <c r="BV1040" s="82"/>
      <c r="BW1040" s="82"/>
      <c r="BX1040" s="82"/>
      <c r="BY1040" s="82"/>
      <c r="BZ1040" s="82"/>
      <c r="CA1040" s="82"/>
      <c r="CB1040" s="82"/>
      <c r="CC1040" s="82"/>
      <c r="CD1040" s="82"/>
      <c r="CE1040" s="82"/>
      <c r="CF1040" s="82"/>
      <c r="CG1040" s="82"/>
      <c r="CH1040" s="82"/>
      <c r="CI1040" s="82"/>
      <c r="CJ1040" s="82"/>
      <c r="CK1040" s="82"/>
      <c r="CL1040" s="82"/>
      <c r="CM1040" s="82"/>
      <c r="CN1040" s="82"/>
      <c r="CO1040" s="82"/>
      <c r="CP1040" s="82"/>
      <c r="CQ1040" s="82"/>
      <c r="CR1040" s="82"/>
      <c r="CS1040" s="82"/>
      <c r="CT1040" s="82"/>
      <c r="CU1040" s="82"/>
      <c r="CV1040" s="82"/>
      <c r="CW1040" s="82"/>
      <c r="CX1040" s="82"/>
      <c r="CY1040" s="82"/>
      <c r="CZ1040" s="82"/>
      <c r="DA1040" s="82"/>
      <c r="DB1040" s="82"/>
      <c r="DC1040" s="82"/>
      <c r="DD1040" s="82"/>
      <c r="DE1040" s="82"/>
      <c r="DF1040" s="82"/>
      <c r="DG1040" s="82"/>
    </row>
    <row r="1041" spans="2:111" ht="9" customHeight="1">
      <c r="B1041" s="229"/>
      <c r="C1041" s="229"/>
      <c r="D1041" s="229"/>
      <c r="E1041" s="229"/>
      <c r="F1041" s="229"/>
      <c r="G1041" s="229"/>
      <c r="H1041" s="229"/>
      <c r="I1041" s="229"/>
      <c r="J1041" s="229"/>
      <c r="K1041" s="229"/>
      <c r="L1041" s="229"/>
      <c r="M1041" s="229"/>
      <c r="N1041" s="229"/>
      <c r="P1041" s="230"/>
      <c r="Q1041" s="230"/>
      <c r="R1041" s="230"/>
      <c r="S1041" s="230"/>
      <c r="T1041" s="230"/>
      <c r="U1041" s="230"/>
      <c r="V1041" s="230"/>
      <c r="W1041" s="230"/>
      <c r="X1041" s="230"/>
      <c r="Y1041" s="230"/>
      <c r="Z1041" s="230"/>
      <c r="AA1041" s="230"/>
      <c r="AB1041" s="230"/>
      <c r="AC1041" s="230"/>
      <c r="AD1041" s="230"/>
      <c r="AE1041" s="230"/>
      <c r="AF1041" s="230"/>
      <c r="AG1041" s="230"/>
      <c r="AH1041" s="230"/>
      <c r="AI1041" s="230"/>
      <c r="AJ1041" s="230"/>
      <c r="AK1041" s="230"/>
      <c r="AL1041" s="230"/>
      <c r="AM1041" s="230"/>
      <c r="AN1041" s="230"/>
      <c r="AO1041" s="230"/>
      <c r="AP1041" s="230"/>
      <c r="AQ1041" s="230"/>
      <c r="AS1041" s="231"/>
      <c r="AT1041" s="231"/>
      <c r="AU1041" s="231"/>
      <c r="AV1041" s="231"/>
      <c r="AW1041" s="231"/>
      <c r="AX1041" s="231"/>
      <c r="AY1041" s="231"/>
      <c r="AZ1041" s="231"/>
      <c r="BA1041" s="231"/>
      <c r="BC1041" s="82"/>
      <c r="BD1041" s="82"/>
      <c r="BE1041" s="82"/>
      <c r="BF1041" s="82"/>
      <c r="BG1041" s="82"/>
      <c r="BH1041" s="82"/>
      <c r="BI1041" s="82"/>
      <c r="BJ1041" s="82"/>
      <c r="BK1041" s="82"/>
      <c r="BL1041" s="82"/>
      <c r="BM1041" s="82"/>
      <c r="BN1041" s="82"/>
      <c r="BO1041" s="82"/>
      <c r="BP1041" s="82"/>
      <c r="BQ1041" s="82"/>
      <c r="BR1041" s="82"/>
      <c r="BS1041" s="82"/>
      <c r="BT1041" s="82"/>
      <c r="BU1041" s="82"/>
      <c r="BV1041" s="82"/>
      <c r="BW1041" s="82"/>
      <c r="BX1041" s="82"/>
      <c r="BY1041" s="82"/>
      <c r="BZ1041" s="82"/>
      <c r="CA1041" s="82"/>
      <c r="CB1041" s="82"/>
      <c r="CC1041" s="82"/>
      <c r="CD1041" s="82"/>
      <c r="CE1041" s="82"/>
      <c r="CF1041" s="82"/>
      <c r="CG1041" s="82"/>
      <c r="CH1041" s="82"/>
      <c r="CI1041" s="82"/>
      <c r="CJ1041" s="82"/>
      <c r="CK1041" s="82"/>
      <c r="CL1041" s="82"/>
      <c r="CM1041" s="82"/>
      <c r="CN1041" s="82"/>
      <c r="CO1041" s="82"/>
      <c r="CP1041" s="82"/>
      <c r="CQ1041" s="82"/>
      <c r="CR1041" s="82"/>
      <c r="CS1041" s="82"/>
      <c r="CT1041" s="82"/>
      <c r="CU1041" s="82"/>
      <c r="CV1041" s="82"/>
      <c r="CW1041" s="82"/>
      <c r="CX1041" s="82"/>
      <c r="CY1041" s="82"/>
      <c r="CZ1041" s="82"/>
      <c r="DA1041" s="82"/>
      <c r="DB1041" s="82"/>
      <c r="DC1041" s="82"/>
      <c r="DD1041" s="82"/>
      <c r="DE1041" s="82"/>
      <c r="DF1041" s="82"/>
      <c r="DG1041" s="82"/>
    </row>
    <row r="1042" spans="2:111" ht="9" customHeight="1">
      <c r="B1042" s="229"/>
      <c r="C1042" s="229"/>
      <c r="D1042" s="229"/>
      <c r="E1042" s="229"/>
      <c r="F1042" s="229"/>
      <c r="G1042" s="229"/>
      <c r="H1042" s="229"/>
      <c r="I1042" s="229"/>
      <c r="J1042" s="229"/>
      <c r="K1042" s="229"/>
      <c r="L1042" s="229"/>
      <c r="M1042" s="229"/>
      <c r="N1042" s="229"/>
      <c r="P1042" s="230"/>
      <c r="Q1042" s="230"/>
      <c r="R1042" s="230"/>
      <c r="S1042" s="230"/>
      <c r="T1042" s="230"/>
      <c r="U1042" s="230"/>
      <c r="V1042" s="230"/>
      <c r="W1042" s="230"/>
      <c r="X1042" s="230"/>
      <c r="Y1042" s="230"/>
      <c r="Z1042" s="230"/>
      <c r="AA1042" s="230"/>
      <c r="AB1042" s="230"/>
      <c r="AC1042" s="230"/>
      <c r="AD1042" s="230"/>
      <c r="AE1042" s="230"/>
      <c r="AF1042" s="230"/>
      <c r="AG1042" s="230"/>
      <c r="AH1042" s="230"/>
      <c r="AI1042" s="230"/>
      <c r="AJ1042" s="230"/>
      <c r="AK1042" s="230"/>
      <c r="AL1042" s="230"/>
      <c r="AM1042" s="230"/>
      <c r="AN1042" s="230"/>
      <c r="AO1042" s="230"/>
      <c r="AP1042" s="230"/>
      <c r="AQ1042" s="230"/>
      <c r="AS1042" s="231"/>
      <c r="AT1042" s="231"/>
      <c r="AU1042" s="231"/>
      <c r="AV1042" s="231"/>
      <c r="AW1042" s="231"/>
      <c r="AX1042" s="231"/>
      <c r="AY1042" s="231"/>
      <c r="AZ1042" s="231"/>
      <c r="BA1042" s="231"/>
      <c r="BC1042" s="82"/>
      <c r="BD1042" s="82"/>
      <c r="BE1042" s="82"/>
      <c r="BF1042" s="82"/>
      <c r="BG1042" s="82"/>
      <c r="BH1042" s="82"/>
      <c r="BI1042" s="82"/>
      <c r="BJ1042" s="82"/>
      <c r="BK1042" s="82"/>
      <c r="BL1042" s="82"/>
      <c r="BM1042" s="82"/>
      <c r="BN1042" s="82"/>
      <c r="BO1042" s="82"/>
      <c r="BP1042" s="82"/>
      <c r="BQ1042" s="82"/>
      <c r="BR1042" s="82"/>
      <c r="BS1042" s="82"/>
      <c r="BT1042" s="82"/>
      <c r="BU1042" s="82"/>
      <c r="BV1042" s="82"/>
      <c r="BW1042" s="82"/>
      <c r="BX1042" s="82"/>
      <c r="BY1042" s="82"/>
      <c r="BZ1042" s="82"/>
      <c r="CA1042" s="82"/>
      <c r="CB1042" s="82"/>
      <c r="CC1042" s="82"/>
      <c r="CD1042" s="82"/>
      <c r="CE1042" s="82"/>
      <c r="CF1042" s="82"/>
      <c r="CG1042" s="82"/>
      <c r="CH1042" s="82"/>
      <c r="CI1042" s="82"/>
      <c r="CJ1042" s="82"/>
      <c r="CK1042" s="82"/>
      <c r="CL1042" s="82"/>
      <c r="CM1042" s="82"/>
      <c r="CN1042" s="82"/>
      <c r="CO1042" s="82"/>
      <c r="CP1042" s="82"/>
      <c r="CQ1042" s="82"/>
      <c r="CR1042" s="82"/>
      <c r="CS1042" s="82"/>
      <c r="CT1042" s="82"/>
      <c r="CU1042" s="82"/>
      <c r="CV1042" s="82"/>
      <c r="CW1042" s="82"/>
      <c r="CX1042" s="82"/>
      <c r="CY1042" s="82"/>
      <c r="CZ1042" s="82"/>
      <c r="DA1042" s="82"/>
      <c r="DB1042" s="82"/>
      <c r="DC1042" s="82"/>
      <c r="DD1042" s="82"/>
      <c r="DE1042" s="82"/>
      <c r="DF1042" s="82"/>
      <c r="DG1042" s="82"/>
    </row>
    <row r="1043" spans="2:111" ht="9" customHeight="1">
      <c r="B1043" s="229"/>
      <c r="C1043" s="229"/>
      <c r="D1043" s="229"/>
      <c r="E1043" s="229"/>
      <c r="F1043" s="229"/>
      <c r="G1043" s="229"/>
      <c r="H1043" s="229"/>
      <c r="I1043" s="229"/>
      <c r="J1043" s="229"/>
      <c r="K1043" s="229"/>
      <c r="L1043" s="229"/>
      <c r="M1043" s="229"/>
      <c r="N1043" s="229"/>
      <c r="P1043" s="230"/>
      <c r="Q1043" s="230"/>
      <c r="R1043" s="230"/>
      <c r="S1043" s="230"/>
      <c r="T1043" s="230"/>
      <c r="U1043" s="230"/>
      <c r="V1043" s="230"/>
      <c r="W1043" s="230"/>
      <c r="X1043" s="230"/>
      <c r="Y1043" s="230"/>
      <c r="Z1043" s="230"/>
      <c r="AA1043" s="230"/>
      <c r="AB1043" s="230"/>
      <c r="AC1043" s="230"/>
      <c r="AD1043" s="230"/>
      <c r="AE1043" s="230"/>
      <c r="AF1043" s="230"/>
      <c r="AG1043" s="230"/>
      <c r="AH1043" s="230"/>
      <c r="AI1043" s="230"/>
      <c r="AJ1043" s="230"/>
      <c r="AK1043" s="230"/>
      <c r="AL1043" s="230"/>
      <c r="AM1043" s="230"/>
      <c r="AN1043" s="230"/>
      <c r="AO1043" s="230"/>
      <c r="AP1043" s="230"/>
      <c r="AQ1043" s="230"/>
      <c r="AS1043" s="231"/>
      <c r="AT1043" s="231"/>
      <c r="AU1043" s="231"/>
      <c r="AV1043" s="231"/>
      <c r="AW1043" s="231"/>
      <c r="AX1043" s="231"/>
      <c r="AY1043" s="231"/>
      <c r="AZ1043" s="231"/>
      <c r="BA1043" s="231"/>
      <c r="BC1043" s="82"/>
      <c r="BD1043" s="82"/>
      <c r="BE1043" s="82"/>
      <c r="BF1043" s="82"/>
      <c r="BG1043" s="82"/>
      <c r="BH1043" s="82"/>
      <c r="BI1043" s="82"/>
      <c r="BJ1043" s="82"/>
      <c r="BK1043" s="82"/>
      <c r="BL1043" s="82"/>
      <c r="BM1043" s="82"/>
      <c r="BN1043" s="82"/>
      <c r="BO1043" s="82"/>
      <c r="BP1043" s="82"/>
      <c r="BQ1043" s="82"/>
      <c r="BR1043" s="82"/>
      <c r="BS1043" s="82"/>
      <c r="BT1043" s="82"/>
      <c r="BU1043" s="82"/>
      <c r="BV1043" s="82"/>
      <c r="BW1043" s="82"/>
      <c r="BX1043" s="82"/>
      <c r="BY1043" s="82"/>
      <c r="BZ1043" s="82"/>
      <c r="CA1043" s="82"/>
      <c r="CB1043" s="82"/>
      <c r="CC1043" s="82"/>
      <c r="CD1043" s="82"/>
      <c r="CE1043" s="82"/>
      <c r="CF1043" s="82"/>
      <c r="CG1043" s="82"/>
      <c r="CH1043" s="82"/>
      <c r="CI1043" s="82"/>
      <c r="CJ1043" s="82"/>
      <c r="CK1043" s="82"/>
      <c r="CL1043" s="82"/>
      <c r="CM1043" s="82"/>
      <c r="CN1043" s="82"/>
      <c r="CO1043" s="82"/>
      <c r="CP1043" s="82"/>
      <c r="CQ1043" s="82"/>
      <c r="CR1043" s="82"/>
      <c r="CS1043" s="82"/>
      <c r="CT1043" s="82"/>
      <c r="CU1043" s="82"/>
      <c r="CV1043" s="82"/>
      <c r="CW1043" s="82"/>
      <c r="CX1043" s="82"/>
      <c r="CY1043" s="82"/>
      <c r="CZ1043" s="82"/>
      <c r="DA1043" s="82"/>
      <c r="DB1043" s="82"/>
      <c r="DC1043" s="82"/>
      <c r="DD1043" s="82"/>
      <c r="DE1043" s="82"/>
      <c r="DF1043" s="82"/>
      <c r="DG1043" s="82"/>
    </row>
    <row r="1044" spans="2:111" ht="9" customHeight="1">
      <c r="B1044" s="229"/>
      <c r="C1044" s="229"/>
      <c r="D1044" s="229"/>
      <c r="E1044" s="229"/>
      <c r="F1044" s="229"/>
      <c r="G1044" s="229"/>
      <c r="H1044" s="229"/>
      <c r="I1044" s="229"/>
      <c r="J1044" s="229"/>
      <c r="K1044" s="229"/>
      <c r="L1044" s="229"/>
      <c r="M1044" s="229"/>
      <c r="N1044" s="229"/>
      <c r="P1044" s="230"/>
      <c r="Q1044" s="230"/>
      <c r="R1044" s="230"/>
      <c r="S1044" s="230"/>
      <c r="T1044" s="230"/>
      <c r="U1044" s="230"/>
      <c r="V1044" s="230"/>
      <c r="W1044" s="230"/>
      <c r="X1044" s="230"/>
      <c r="Y1044" s="230"/>
      <c r="Z1044" s="230"/>
      <c r="AA1044" s="230"/>
      <c r="AB1044" s="230"/>
      <c r="AC1044" s="230"/>
      <c r="AD1044" s="230"/>
      <c r="AE1044" s="230"/>
      <c r="AF1044" s="230"/>
      <c r="AG1044" s="230"/>
      <c r="AH1044" s="230"/>
      <c r="AI1044" s="230"/>
      <c r="AJ1044" s="230"/>
      <c r="AK1044" s="230"/>
      <c r="AL1044" s="230"/>
      <c r="AM1044" s="230"/>
      <c r="AN1044" s="230"/>
      <c r="AO1044" s="230"/>
      <c r="AP1044" s="230"/>
      <c r="AQ1044" s="230"/>
      <c r="AS1044" s="231"/>
      <c r="AT1044" s="231"/>
      <c r="AU1044" s="231"/>
      <c r="AV1044" s="231"/>
      <c r="AW1044" s="231"/>
      <c r="AX1044" s="231"/>
      <c r="AY1044" s="231"/>
      <c r="AZ1044" s="231"/>
      <c r="BA1044" s="231"/>
      <c r="BC1044" s="82"/>
      <c r="BD1044" s="82"/>
      <c r="BE1044" s="82"/>
      <c r="BF1044" s="82"/>
      <c r="BG1044" s="82"/>
      <c r="BH1044" s="82"/>
      <c r="BI1044" s="82"/>
      <c r="BJ1044" s="82"/>
      <c r="BK1044" s="82"/>
      <c r="BL1044" s="82"/>
      <c r="BM1044" s="82"/>
      <c r="BN1044" s="82"/>
      <c r="BO1044" s="82"/>
      <c r="BP1044" s="82"/>
      <c r="BQ1044" s="82"/>
      <c r="BR1044" s="82"/>
      <c r="BS1044" s="82"/>
      <c r="BT1044" s="82"/>
      <c r="BU1044" s="82"/>
      <c r="BV1044" s="82"/>
      <c r="BW1044" s="82"/>
      <c r="BX1044" s="82"/>
      <c r="BY1044" s="82"/>
      <c r="BZ1044" s="82"/>
      <c r="CA1044" s="82"/>
      <c r="CB1044" s="82"/>
      <c r="CC1044" s="82"/>
      <c r="CD1044" s="82"/>
      <c r="CE1044" s="82"/>
      <c r="CF1044" s="82"/>
      <c r="CG1044" s="82"/>
      <c r="CH1044" s="82"/>
      <c r="CI1044" s="82"/>
      <c r="CJ1044" s="82"/>
      <c r="CK1044" s="82"/>
      <c r="CL1044" s="82"/>
      <c r="CM1044" s="82"/>
      <c r="CN1044" s="82"/>
      <c r="CO1044" s="82"/>
      <c r="CP1044" s="82"/>
      <c r="CQ1044" s="82"/>
      <c r="CR1044" s="82"/>
      <c r="CS1044" s="82"/>
      <c r="CT1044" s="82"/>
      <c r="CU1044" s="82"/>
      <c r="CV1044" s="82"/>
      <c r="CW1044" s="82"/>
      <c r="CX1044" s="82"/>
      <c r="CY1044" s="82"/>
      <c r="CZ1044" s="82"/>
      <c r="DA1044" s="82"/>
      <c r="DB1044" s="82"/>
      <c r="DC1044" s="82"/>
      <c r="DD1044" s="82"/>
      <c r="DE1044" s="82"/>
      <c r="DF1044" s="82"/>
      <c r="DG1044" s="82"/>
    </row>
    <row r="1045" spans="2:111" ht="12" customHeight="1">
      <c r="BC1045" s="82"/>
      <c r="BD1045" s="82"/>
      <c r="BE1045" s="82"/>
      <c r="BF1045" s="82"/>
      <c r="BG1045" s="82"/>
      <c r="BH1045" s="82"/>
      <c r="BI1045" s="82"/>
      <c r="BJ1045" s="82"/>
      <c r="BK1045" s="82"/>
      <c r="BL1045" s="82"/>
      <c r="BM1045" s="82"/>
      <c r="BN1045" s="82"/>
      <c r="BO1045" s="82"/>
      <c r="BP1045" s="82"/>
      <c r="BQ1045" s="82"/>
      <c r="BR1045" s="82"/>
      <c r="BS1045" s="82"/>
      <c r="BT1045" s="82"/>
      <c r="BU1045" s="82"/>
      <c r="BV1045" s="82"/>
      <c r="BW1045" s="82"/>
      <c r="BX1045" s="82"/>
      <c r="BY1045" s="82"/>
      <c r="BZ1045" s="82"/>
      <c r="CA1045" s="82"/>
      <c r="CB1045" s="82"/>
      <c r="CC1045" s="82"/>
      <c r="CD1045" s="82"/>
      <c r="CE1045" s="82"/>
      <c r="CF1045" s="82"/>
      <c r="CG1045" s="82"/>
      <c r="CH1045" s="82"/>
      <c r="CI1045" s="82"/>
      <c r="CJ1045" s="82"/>
      <c r="CK1045" s="82"/>
      <c r="CL1045" s="82"/>
      <c r="CM1045" s="82"/>
      <c r="CN1045" s="82"/>
      <c r="CO1045" s="82"/>
      <c r="CP1045" s="82"/>
      <c r="CQ1045" s="82"/>
      <c r="CR1045" s="82"/>
      <c r="CS1045" s="82"/>
      <c r="CT1045" s="82"/>
      <c r="CU1045" s="82"/>
      <c r="CV1045" s="82"/>
      <c r="CW1045" s="82"/>
      <c r="CX1045" s="82"/>
      <c r="CY1045" s="82"/>
      <c r="CZ1045" s="82"/>
      <c r="DA1045" s="82"/>
      <c r="DB1045" s="82"/>
      <c r="DC1045" s="82"/>
      <c r="DD1045" s="82"/>
      <c r="DE1045" s="82"/>
      <c r="DF1045" s="82"/>
      <c r="DG1045" s="82"/>
    </row>
    <row r="1046" spans="2:111" ht="4.5" customHeight="1">
      <c r="B1046" s="29"/>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29"/>
      <c r="AA1046" s="29"/>
      <c r="AB1046" s="29"/>
      <c r="AC1046" s="29"/>
      <c r="AD1046" s="29"/>
      <c r="AE1046" s="29"/>
      <c r="AF1046" s="29"/>
      <c r="AG1046" s="29"/>
      <c r="AH1046" s="29"/>
      <c r="AI1046" s="29"/>
      <c r="AJ1046" s="29"/>
      <c r="AK1046" s="29"/>
      <c r="AL1046" s="29"/>
      <c r="AM1046" s="29"/>
      <c r="AN1046" s="29"/>
      <c r="AO1046" s="29"/>
      <c r="AP1046" s="29"/>
      <c r="AQ1046" s="29"/>
      <c r="AR1046" s="29"/>
      <c r="AS1046" s="29"/>
      <c r="AT1046" s="29"/>
      <c r="AU1046" s="29"/>
      <c r="AV1046" s="29"/>
      <c r="AW1046" s="29"/>
      <c r="AX1046" s="29"/>
      <c r="AY1046" s="29"/>
      <c r="AZ1046" s="29"/>
      <c r="BA1046" s="29"/>
      <c r="BC1046" s="82"/>
      <c r="BD1046" s="82"/>
      <c r="BE1046" s="82"/>
      <c r="BF1046" s="82"/>
      <c r="BG1046" s="82"/>
      <c r="BH1046" s="82"/>
      <c r="BI1046" s="82"/>
      <c r="BJ1046" s="82"/>
      <c r="BK1046" s="82"/>
      <c r="BL1046" s="82"/>
      <c r="BM1046" s="82"/>
      <c r="BN1046" s="82"/>
      <c r="BO1046" s="82"/>
      <c r="BP1046" s="82"/>
      <c r="BQ1046" s="82"/>
      <c r="BR1046" s="82"/>
      <c r="BS1046" s="82"/>
      <c r="BT1046" s="82"/>
      <c r="BU1046" s="82"/>
      <c r="BV1046" s="82"/>
      <c r="BW1046" s="82"/>
      <c r="BX1046" s="82"/>
      <c r="BY1046" s="82"/>
      <c r="BZ1046" s="82"/>
      <c r="CA1046" s="82"/>
      <c r="CB1046" s="82"/>
      <c r="CC1046" s="82"/>
      <c r="CD1046" s="82"/>
      <c r="CE1046" s="82"/>
      <c r="CF1046" s="82"/>
      <c r="CG1046" s="82"/>
      <c r="CH1046" s="82"/>
      <c r="CI1046" s="82"/>
      <c r="CJ1046" s="82"/>
      <c r="CK1046" s="82"/>
      <c r="CL1046" s="82"/>
      <c r="CM1046" s="82"/>
      <c r="CN1046" s="82"/>
      <c r="CO1046" s="82"/>
      <c r="CP1046" s="82"/>
      <c r="CQ1046" s="82"/>
      <c r="CR1046" s="82"/>
      <c r="CS1046" s="82"/>
      <c r="CT1046" s="82"/>
      <c r="CU1046" s="82"/>
      <c r="CV1046" s="82"/>
      <c r="CW1046" s="82"/>
      <c r="CX1046" s="82"/>
      <c r="CY1046" s="82"/>
      <c r="CZ1046" s="82"/>
      <c r="DA1046" s="82"/>
      <c r="DB1046" s="82"/>
      <c r="DC1046" s="82"/>
      <c r="DD1046" s="82"/>
      <c r="DE1046" s="82"/>
      <c r="DF1046" s="82"/>
      <c r="DG1046" s="82"/>
    </row>
    <row r="1047" spans="2:111" ht="9" customHeight="1">
      <c r="B1047" s="232" t="str">
        <f>IF($U$997&gt;=3,"Etapa 4.3","")</f>
        <v>Etapa 4.3</v>
      </c>
      <c r="C1047" s="232"/>
      <c r="D1047" s="232"/>
      <c r="E1047" s="232"/>
      <c r="F1047" s="232"/>
      <c r="G1047" s="232"/>
      <c r="I1047" s="233" t="s">
        <v>525</v>
      </c>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c r="AF1047" s="233"/>
      <c r="AG1047" s="233"/>
      <c r="AH1047" s="233"/>
      <c r="AI1047" s="233"/>
      <c r="AJ1047" s="233"/>
      <c r="AK1047" s="233"/>
      <c r="AL1047" s="233"/>
      <c r="AM1047" s="233"/>
      <c r="AN1047" s="233"/>
      <c r="AO1047" s="233"/>
      <c r="AP1047" s="233"/>
      <c r="AQ1047" s="233"/>
      <c r="AS1047" s="234">
        <f>IF(SUM(AS1053:BA1068)=0,"",SUM(AS1053:BA1068))</f>
        <v>54312.62</v>
      </c>
      <c r="AT1047" s="234"/>
      <c r="AU1047" s="234"/>
      <c r="AV1047" s="234"/>
      <c r="AW1047" s="234"/>
      <c r="AX1047" s="234"/>
      <c r="AY1047" s="234"/>
      <c r="AZ1047" s="234"/>
      <c r="BA1047" s="234"/>
      <c r="BC1047" s="82"/>
      <c r="BD1047" s="82"/>
      <c r="BE1047" s="82"/>
      <c r="BF1047" s="82"/>
      <c r="BG1047" s="82"/>
      <c r="BH1047" s="82"/>
      <c r="BI1047" s="82"/>
      <c r="BJ1047" s="82"/>
      <c r="BK1047" s="82"/>
      <c r="BL1047" s="82"/>
      <c r="BM1047" s="82"/>
      <c r="BN1047" s="82"/>
      <c r="BO1047" s="82"/>
      <c r="BP1047" s="82"/>
      <c r="BQ1047" s="82"/>
      <c r="BR1047" s="82"/>
      <c r="BS1047" s="82"/>
      <c r="BT1047" s="82"/>
      <c r="BU1047" s="82"/>
      <c r="BV1047" s="82"/>
      <c r="BW1047" s="82"/>
      <c r="BX1047" s="82"/>
      <c r="BY1047" s="82"/>
      <c r="BZ1047" s="82"/>
      <c r="CA1047" s="82"/>
      <c r="CB1047" s="82"/>
      <c r="CC1047" s="82"/>
      <c r="CD1047" s="82"/>
      <c r="CE1047" s="82"/>
      <c r="CF1047" s="82"/>
      <c r="CG1047" s="82"/>
      <c r="CH1047" s="82"/>
      <c r="CI1047" s="82"/>
      <c r="CJ1047" s="82"/>
      <c r="CK1047" s="82"/>
      <c r="CL1047" s="82"/>
      <c r="CM1047" s="82"/>
      <c r="CN1047" s="82"/>
      <c r="CO1047" s="82"/>
      <c r="CP1047" s="82"/>
      <c r="CQ1047" s="82"/>
      <c r="CR1047" s="82"/>
      <c r="CS1047" s="82"/>
      <c r="CT1047" s="82"/>
      <c r="CU1047" s="82"/>
      <c r="CV1047" s="82"/>
      <c r="CW1047" s="82"/>
      <c r="CX1047" s="82"/>
      <c r="CY1047" s="82"/>
      <c r="CZ1047" s="82"/>
      <c r="DA1047" s="82"/>
      <c r="DB1047" s="82"/>
      <c r="DC1047" s="82"/>
      <c r="DD1047" s="82"/>
      <c r="DE1047" s="82"/>
      <c r="DF1047" s="82"/>
      <c r="DG1047" s="82"/>
    </row>
    <row r="1048" spans="2:111" ht="9" customHeight="1">
      <c r="B1048" s="232"/>
      <c r="C1048" s="232"/>
      <c r="D1048" s="232"/>
      <c r="E1048" s="232"/>
      <c r="F1048" s="232"/>
      <c r="G1048" s="232"/>
      <c r="I1048" s="233"/>
      <c r="J1048" s="233"/>
      <c r="K1048" s="233"/>
      <c r="L1048" s="233"/>
      <c r="M1048" s="233"/>
      <c r="N1048" s="233"/>
      <c r="O1048" s="233"/>
      <c r="P1048" s="233"/>
      <c r="Q1048" s="233"/>
      <c r="R1048" s="233"/>
      <c r="S1048" s="233"/>
      <c r="T1048" s="233"/>
      <c r="U1048" s="233"/>
      <c r="V1048" s="233"/>
      <c r="W1048" s="233"/>
      <c r="X1048" s="233"/>
      <c r="Y1048" s="233"/>
      <c r="Z1048" s="233"/>
      <c r="AA1048" s="233"/>
      <c r="AB1048" s="233"/>
      <c r="AC1048" s="233"/>
      <c r="AD1048" s="233"/>
      <c r="AE1048" s="233"/>
      <c r="AF1048" s="233"/>
      <c r="AG1048" s="233"/>
      <c r="AH1048" s="233"/>
      <c r="AI1048" s="233"/>
      <c r="AJ1048" s="233"/>
      <c r="AK1048" s="233"/>
      <c r="AL1048" s="233"/>
      <c r="AM1048" s="233"/>
      <c r="AN1048" s="233"/>
      <c r="AO1048" s="233"/>
      <c r="AP1048" s="233"/>
      <c r="AQ1048" s="233"/>
      <c r="AS1048" s="234"/>
      <c r="AT1048" s="234"/>
      <c r="AU1048" s="234"/>
      <c r="AV1048" s="234"/>
      <c r="AW1048" s="234"/>
      <c r="AX1048" s="234"/>
      <c r="AY1048" s="234"/>
      <c r="AZ1048" s="234"/>
      <c r="BA1048" s="234"/>
      <c r="BC1048" s="82"/>
      <c r="BD1048" s="82"/>
      <c r="BE1048" s="82"/>
      <c r="BF1048" s="82"/>
      <c r="BG1048" s="82"/>
      <c r="BH1048" s="82"/>
      <c r="BI1048" s="82"/>
      <c r="BJ1048" s="82"/>
      <c r="BK1048" s="82"/>
      <c r="BL1048" s="82"/>
      <c r="BM1048" s="82"/>
      <c r="BN1048" s="82"/>
      <c r="BO1048" s="82"/>
      <c r="BP1048" s="82"/>
      <c r="BQ1048" s="82"/>
      <c r="BR1048" s="82"/>
      <c r="BS1048" s="82"/>
      <c r="BT1048" s="82"/>
      <c r="BU1048" s="82"/>
      <c r="BV1048" s="82"/>
      <c r="BW1048" s="82"/>
      <c r="BX1048" s="82"/>
      <c r="BY1048" s="82"/>
      <c r="BZ1048" s="82"/>
      <c r="CA1048" s="82"/>
      <c r="CB1048" s="82"/>
      <c r="CC1048" s="82"/>
      <c r="CD1048" s="82"/>
      <c r="CE1048" s="82"/>
      <c r="CF1048" s="82"/>
      <c r="CG1048" s="82"/>
      <c r="CH1048" s="82"/>
      <c r="CI1048" s="82"/>
      <c r="CJ1048" s="82"/>
      <c r="CK1048" s="82"/>
      <c r="CL1048" s="82"/>
      <c r="CM1048" s="82"/>
      <c r="CN1048" s="82"/>
      <c r="CO1048" s="82"/>
      <c r="CP1048" s="82"/>
      <c r="CQ1048" s="82"/>
      <c r="CR1048" s="82"/>
      <c r="CS1048" s="82"/>
      <c r="CT1048" s="82"/>
      <c r="CU1048" s="82"/>
      <c r="CV1048" s="82"/>
      <c r="CW1048" s="82"/>
      <c r="CX1048" s="82"/>
      <c r="CY1048" s="82"/>
      <c r="CZ1048" s="82"/>
      <c r="DA1048" s="82"/>
      <c r="DB1048" s="82"/>
      <c r="DC1048" s="82"/>
      <c r="DD1048" s="82"/>
      <c r="DE1048" s="82"/>
      <c r="DF1048" s="82"/>
      <c r="DG1048" s="82"/>
    </row>
    <row r="1049" spans="2:111" ht="4.5" customHeight="1">
      <c r="BC1049" s="82"/>
      <c r="BD1049" s="82"/>
      <c r="BE1049" s="82"/>
      <c r="BF1049" s="82"/>
      <c r="BG1049" s="82"/>
      <c r="BH1049" s="82"/>
      <c r="BI1049" s="82"/>
      <c r="BJ1049" s="82"/>
      <c r="BK1049" s="82"/>
      <c r="BL1049" s="82"/>
      <c r="BM1049" s="82"/>
      <c r="BN1049" s="82"/>
      <c r="BO1049" s="82"/>
      <c r="BP1049" s="82"/>
      <c r="BQ1049" s="82"/>
      <c r="BR1049" s="82"/>
      <c r="BS1049" s="82"/>
      <c r="BT1049" s="82"/>
      <c r="BU1049" s="82"/>
      <c r="BV1049" s="82"/>
      <c r="BW1049" s="82"/>
      <c r="BX1049" s="82"/>
      <c r="BY1049" s="82"/>
      <c r="BZ1049" s="82"/>
      <c r="CA1049" s="82"/>
      <c r="CB1049" s="82"/>
      <c r="CC1049" s="82"/>
      <c r="CD1049" s="82"/>
      <c r="CE1049" s="82"/>
      <c r="CF1049" s="82"/>
      <c r="CG1049" s="82"/>
      <c r="CH1049" s="82"/>
      <c r="CI1049" s="82"/>
      <c r="CJ1049" s="82"/>
      <c r="CK1049" s="82"/>
      <c r="CL1049" s="82"/>
      <c r="CM1049" s="82"/>
      <c r="CN1049" s="82"/>
      <c r="CO1049" s="82"/>
      <c r="CP1049" s="82"/>
      <c r="CQ1049" s="82"/>
      <c r="CR1049" s="82"/>
      <c r="CS1049" s="82"/>
      <c r="CT1049" s="82"/>
      <c r="CU1049" s="82"/>
      <c r="CV1049" s="82"/>
      <c r="CW1049" s="82"/>
      <c r="CX1049" s="82"/>
      <c r="CY1049" s="82"/>
      <c r="CZ1049" s="82"/>
      <c r="DA1049" s="82"/>
      <c r="DB1049" s="82"/>
      <c r="DC1049" s="82"/>
      <c r="DD1049" s="82"/>
      <c r="DE1049" s="82"/>
      <c r="DF1049" s="82"/>
      <c r="DG1049" s="82"/>
    </row>
    <row r="1050" spans="2:111" ht="9" customHeight="1">
      <c r="I1050" s="229" t="str">
        <f>IF($U$997&gt;=3,"Início:","")</f>
        <v>Início:</v>
      </c>
      <c r="J1050" s="229"/>
      <c r="K1050" s="229"/>
      <c r="L1050" s="229"/>
      <c r="M1050" s="229"/>
      <c r="N1050" s="229"/>
      <c r="P1050" s="235">
        <v>43983</v>
      </c>
      <c r="Q1050" s="235"/>
      <c r="R1050" s="235"/>
      <c r="S1050" s="235"/>
      <c r="T1050" s="235"/>
      <c r="U1050" s="235"/>
      <c r="V1050" s="235"/>
      <c r="W1050" s="235"/>
      <c r="Y1050" s="229" t="str">
        <f>IF($U$997&gt;=3,"Término:","")</f>
        <v>Término:</v>
      </c>
      <c r="Z1050" s="229"/>
      <c r="AA1050" s="229"/>
      <c r="AB1050" s="229"/>
      <c r="AC1050" s="229"/>
      <c r="AD1050" s="229"/>
      <c r="AF1050" s="235">
        <v>44348</v>
      </c>
      <c r="AG1050" s="235"/>
      <c r="AH1050" s="235"/>
      <c r="AI1050" s="235"/>
      <c r="AJ1050" s="235"/>
      <c r="AK1050" s="235"/>
      <c r="AL1050" s="235"/>
      <c r="AM1050" s="235"/>
      <c r="AW1050" s="236" t="str">
        <f>IF($U$997&gt;=3,"Valor (R$):","")</f>
        <v>Valor (R$):</v>
      </c>
      <c r="AX1050" s="236"/>
      <c r="AY1050" s="236"/>
      <c r="AZ1050" s="236"/>
      <c r="BA1050" s="236"/>
      <c r="BC1050" s="82"/>
      <c r="BD1050" s="82"/>
      <c r="BE1050" s="82"/>
      <c r="BF1050" s="82"/>
      <c r="BG1050" s="82"/>
      <c r="BH1050" s="82"/>
      <c r="BI1050" s="82"/>
      <c r="BJ1050" s="82"/>
      <c r="BK1050" s="82"/>
      <c r="BL1050" s="82"/>
      <c r="BM1050" s="82"/>
      <c r="BN1050" s="82"/>
      <c r="BO1050" s="82"/>
      <c r="BP1050" s="82"/>
      <c r="BQ1050" s="82"/>
      <c r="BR1050" s="82"/>
      <c r="BS1050" s="82"/>
      <c r="BT1050" s="82"/>
      <c r="BU1050" s="82"/>
      <c r="BV1050" s="82"/>
      <c r="BW1050" s="82"/>
      <c r="BX1050" s="82"/>
      <c r="BY1050" s="82"/>
      <c r="BZ1050" s="82"/>
      <c r="CA1050" s="82"/>
      <c r="CB1050" s="82"/>
      <c r="CC1050" s="82"/>
      <c r="CD1050" s="82"/>
      <c r="CE1050" s="82"/>
      <c r="CF1050" s="82"/>
      <c r="CG1050" s="82"/>
      <c r="CH1050" s="82"/>
      <c r="CI1050" s="82"/>
      <c r="CJ1050" s="82"/>
      <c r="CK1050" s="82"/>
      <c r="CL1050" s="82"/>
      <c r="CM1050" s="82"/>
      <c r="CN1050" s="82"/>
      <c r="CO1050" s="82"/>
      <c r="CP1050" s="82"/>
      <c r="CQ1050" s="82"/>
      <c r="CR1050" s="82"/>
      <c r="CS1050" s="82"/>
      <c r="CT1050" s="82"/>
      <c r="CU1050" s="82"/>
      <c r="CV1050" s="82"/>
      <c r="CW1050" s="82"/>
      <c r="CX1050" s="82"/>
      <c r="CY1050" s="82"/>
      <c r="CZ1050" s="82"/>
      <c r="DA1050" s="82"/>
      <c r="DB1050" s="82"/>
      <c r="DC1050" s="82"/>
      <c r="DD1050" s="82"/>
      <c r="DE1050" s="82"/>
      <c r="DF1050" s="82"/>
      <c r="DG1050" s="82"/>
    </row>
    <row r="1051" spans="2:111" ht="9" customHeight="1">
      <c r="I1051" s="229"/>
      <c r="J1051" s="229"/>
      <c r="K1051" s="229"/>
      <c r="L1051" s="229"/>
      <c r="M1051" s="229"/>
      <c r="N1051" s="229"/>
      <c r="P1051" s="235"/>
      <c r="Q1051" s="235"/>
      <c r="R1051" s="235"/>
      <c r="S1051" s="235"/>
      <c r="T1051" s="235"/>
      <c r="U1051" s="235"/>
      <c r="V1051" s="235"/>
      <c r="W1051" s="235"/>
      <c r="Y1051" s="229"/>
      <c r="Z1051" s="229"/>
      <c r="AA1051" s="229"/>
      <c r="AB1051" s="229"/>
      <c r="AC1051" s="229"/>
      <c r="AD1051" s="229"/>
      <c r="AF1051" s="235"/>
      <c r="AG1051" s="235"/>
      <c r="AH1051" s="235"/>
      <c r="AI1051" s="235"/>
      <c r="AJ1051" s="235"/>
      <c r="AK1051" s="235"/>
      <c r="AL1051" s="235"/>
      <c r="AM1051" s="235"/>
      <c r="AW1051" s="236"/>
      <c r="AX1051" s="236"/>
      <c r="AY1051" s="236"/>
      <c r="AZ1051" s="236"/>
      <c r="BA1051" s="236"/>
      <c r="BC1051" s="82"/>
      <c r="BD1051" s="82"/>
      <c r="BE1051" s="82"/>
      <c r="BF1051" s="82"/>
      <c r="BG1051" s="82"/>
      <c r="BH1051" s="82"/>
      <c r="BI1051" s="82"/>
      <c r="BJ1051" s="82"/>
      <c r="BK1051" s="82"/>
      <c r="BL1051" s="82"/>
      <c r="BM1051" s="82"/>
      <c r="BN1051" s="82"/>
      <c r="BO1051" s="82"/>
      <c r="BP1051" s="82"/>
      <c r="BQ1051" s="82"/>
      <c r="BR1051" s="82"/>
      <c r="BS1051" s="82"/>
      <c r="BT1051" s="82"/>
      <c r="BU1051" s="82"/>
      <c r="BV1051" s="82"/>
      <c r="BW1051" s="82"/>
      <c r="BX1051" s="82"/>
      <c r="BY1051" s="82"/>
      <c r="BZ1051" s="82"/>
      <c r="CA1051" s="82"/>
      <c r="CB1051" s="82"/>
      <c r="CC1051" s="82"/>
      <c r="CD1051" s="82"/>
      <c r="CE1051" s="82"/>
      <c r="CF1051" s="82"/>
      <c r="CG1051" s="82"/>
      <c r="CH1051" s="82"/>
      <c r="CI1051" s="82"/>
      <c r="CJ1051" s="82"/>
      <c r="CK1051" s="82"/>
      <c r="CL1051" s="82"/>
      <c r="CM1051" s="82"/>
      <c r="CN1051" s="82"/>
      <c r="CO1051" s="82"/>
      <c r="CP1051" s="82"/>
      <c r="CQ1051" s="82"/>
      <c r="CR1051" s="82"/>
      <c r="CS1051" s="82"/>
      <c r="CT1051" s="82"/>
      <c r="CU1051" s="82"/>
      <c r="CV1051" s="82"/>
      <c r="CW1051" s="82"/>
      <c r="CX1051" s="82"/>
      <c r="CY1051" s="82"/>
      <c r="CZ1051" s="82"/>
      <c r="DA1051" s="82"/>
      <c r="DB1051" s="82"/>
      <c r="DC1051" s="82"/>
      <c r="DD1051" s="82"/>
      <c r="DE1051" s="82"/>
      <c r="DF1051" s="82"/>
      <c r="DG1051" s="82"/>
    </row>
    <row r="1052" spans="2:111" ht="4.5" customHeight="1">
      <c r="BC1052" s="82"/>
      <c r="BD1052" s="82"/>
      <c r="BE1052" s="82"/>
      <c r="BF1052" s="82"/>
      <c r="BG1052" s="82"/>
      <c r="BH1052" s="82"/>
      <c r="BI1052" s="82"/>
      <c r="BJ1052" s="82"/>
      <c r="BK1052" s="82"/>
      <c r="BL1052" s="82"/>
      <c r="BM1052" s="82"/>
      <c r="BN1052" s="82"/>
      <c r="BO1052" s="82"/>
      <c r="BP1052" s="82"/>
      <c r="BQ1052" s="82"/>
      <c r="BR1052" s="82"/>
      <c r="BS1052" s="82"/>
      <c r="BT1052" s="82"/>
      <c r="BU1052" s="82"/>
      <c r="BV1052" s="82"/>
      <c r="BW1052" s="82"/>
      <c r="BX1052" s="82"/>
      <c r="BY1052" s="82"/>
      <c r="BZ1052" s="82"/>
      <c r="CA1052" s="82"/>
      <c r="CB1052" s="82"/>
      <c r="CC1052" s="82"/>
      <c r="CD1052" s="82"/>
      <c r="CE1052" s="82"/>
      <c r="CF1052" s="82"/>
      <c r="CG1052" s="82"/>
      <c r="CH1052" s="82"/>
      <c r="CI1052" s="82"/>
      <c r="CJ1052" s="82"/>
      <c r="CK1052" s="82"/>
      <c r="CL1052" s="82"/>
      <c r="CM1052" s="82"/>
      <c r="CN1052" s="82"/>
      <c r="CO1052" s="82"/>
      <c r="CP1052" s="82"/>
      <c r="CQ1052" s="82"/>
      <c r="CR1052" s="82"/>
      <c r="CS1052" s="82"/>
      <c r="CT1052" s="82"/>
      <c r="CU1052" s="82"/>
      <c r="CV1052" s="82"/>
      <c r="CW1052" s="82"/>
      <c r="CX1052" s="82"/>
      <c r="CY1052" s="82"/>
      <c r="CZ1052" s="82"/>
      <c r="DA1052" s="82"/>
      <c r="DB1052" s="82"/>
      <c r="DC1052" s="82"/>
      <c r="DD1052" s="82"/>
      <c r="DE1052" s="82"/>
      <c r="DF1052" s="82"/>
      <c r="DG1052" s="82"/>
    </row>
    <row r="1053" spans="2:111" ht="9" customHeight="1">
      <c r="B1053" s="229" t="str">
        <f>IF($U$997&gt;=3,"Elementos de Despesa:","")</f>
        <v>Elementos de Despesa:</v>
      </c>
      <c r="C1053" s="229"/>
      <c r="D1053" s="229"/>
      <c r="E1053" s="229"/>
      <c r="F1053" s="229"/>
      <c r="G1053" s="229"/>
      <c r="H1053" s="229"/>
      <c r="I1053" s="229"/>
      <c r="J1053" s="229"/>
      <c r="K1053" s="229"/>
      <c r="L1053" s="229"/>
      <c r="M1053" s="229"/>
      <c r="N1053" s="229"/>
      <c r="P1053" s="230" t="s">
        <v>226</v>
      </c>
      <c r="Q1053" s="230"/>
      <c r="R1053" s="230"/>
      <c r="S1053" s="230"/>
      <c r="T1053" s="230"/>
      <c r="U1053" s="230"/>
      <c r="V1053" s="230"/>
      <c r="W1053" s="230"/>
      <c r="X1053" s="230"/>
      <c r="Y1053" s="230"/>
      <c r="Z1053" s="230"/>
      <c r="AA1053" s="230"/>
      <c r="AB1053" s="230"/>
      <c r="AC1053" s="230"/>
      <c r="AD1053" s="230"/>
      <c r="AE1053" s="230"/>
      <c r="AF1053" s="230"/>
      <c r="AG1053" s="230"/>
      <c r="AH1053" s="230"/>
      <c r="AI1053" s="230"/>
      <c r="AJ1053" s="230"/>
      <c r="AK1053" s="230"/>
      <c r="AL1053" s="230"/>
      <c r="AM1053" s="230"/>
      <c r="AN1053" s="230"/>
      <c r="AO1053" s="230"/>
      <c r="AP1053" s="230"/>
      <c r="AQ1053" s="230"/>
      <c r="AS1053" s="231">
        <v>1969.89</v>
      </c>
      <c r="AT1053" s="231"/>
      <c r="AU1053" s="231"/>
      <c r="AV1053" s="231"/>
      <c r="AW1053" s="231"/>
      <c r="AX1053" s="231"/>
      <c r="AY1053" s="231"/>
      <c r="AZ1053" s="231"/>
      <c r="BA1053" s="231"/>
      <c r="BC1053" s="82"/>
      <c r="BD1053" s="82"/>
      <c r="BE1053" s="82"/>
      <c r="BF1053" s="82"/>
      <c r="BG1053" s="82"/>
      <c r="BH1053" s="82"/>
      <c r="BI1053" s="82"/>
      <c r="BJ1053" s="82"/>
      <c r="BK1053" s="82"/>
      <c r="BL1053" s="82"/>
      <c r="BM1053" s="82"/>
      <c r="BN1053" s="82"/>
      <c r="BO1053" s="82"/>
      <c r="BP1053" s="82"/>
      <c r="BQ1053" s="82"/>
      <c r="BR1053" s="82"/>
      <c r="BS1053" s="82"/>
      <c r="BT1053" s="82"/>
      <c r="BU1053" s="82"/>
      <c r="BV1053" s="82"/>
      <c r="BW1053" s="82"/>
      <c r="BX1053" s="82"/>
      <c r="BY1053" s="82"/>
      <c r="BZ1053" s="82"/>
      <c r="CA1053" s="82"/>
      <c r="CB1053" s="82"/>
      <c r="CC1053" s="82"/>
      <c r="CD1053" s="82"/>
      <c r="CE1053" s="82"/>
      <c r="CF1053" s="82"/>
      <c r="CG1053" s="82"/>
      <c r="CH1053" s="82"/>
      <c r="CI1053" s="82"/>
      <c r="CJ1053" s="82"/>
      <c r="CK1053" s="82"/>
      <c r="CL1053" s="82"/>
      <c r="CM1053" s="82"/>
      <c r="CN1053" s="82"/>
      <c r="CO1053" s="82"/>
      <c r="CP1053" s="82"/>
      <c r="CQ1053" s="82"/>
      <c r="CR1053" s="82"/>
      <c r="CS1053" s="82"/>
      <c r="CT1053" s="82"/>
      <c r="CU1053" s="82"/>
      <c r="CV1053" s="82"/>
      <c r="CW1053" s="82"/>
      <c r="CX1053" s="82"/>
      <c r="CY1053" s="82"/>
      <c r="CZ1053" s="82"/>
      <c r="DA1053" s="82"/>
      <c r="DB1053" s="82"/>
      <c r="DC1053" s="82"/>
      <c r="DD1053" s="82"/>
      <c r="DE1053" s="82"/>
      <c r="DF1053" s="82"/>
      <c r="DG1053" s="82"/>
    </row>
    <row r="1054" spans="2:111" ht="9" customHeight="1">
      <c r="B1054" s="229"/>
      <c r="C1054" s="229"/>
      <c r="D1054" s="229"/>
      <c r="E1054" s="229"/>
      <c r="F1054" s="229"/>
      <c r="G1054" s="229"/>
      <c r="H1054" s="229"/>
      <c r="I1054" s="229"/>
      <c r="J1054" s="229"/>
      <c r="K1054" s="229"/>
      <c r="L1054" s="229"/>
      <c r="M1054" s="229"/>
      <c r="N1054" s="229"/>
      <c r="P1054" s="230"/>
      <c r="Q1054" s="230"/>
      <c r="R1054" s="230"/>
      <c r="S1054" s="230"/>
      <c r="T1054" s="230"/>
      <c r="U1054" s="230"/>
      <c r="V1054" s="230"/>
      <c r="W1054" s="230"/>
      <c r="X1054" s="230"/>
      <c r="Y1054" s="230"/>
      <c r="Z1054" s="230"/>
      <c r="AA1054" s="230"/>
      <c r="AB1054" s="230"/>
      <c r="AC1054" s="230"/>
      <c r="AD1054" s="230"/>
      <c r="AE1054" s="230"/>
      <c r="AF1054" s="230"/>
      <c r="AG1054" s="230"/>
      <c r="AH1054" s="230"/>
      <c r="AI1054" s="230"/>
      <c r="AJ1054" s="230"/>
      <c r="AK1054" s="230"/>
      <c r="AL1054" s="230"/>
      <c r="AM1054" s="230"/>
      <c r="AN1054" s="230"/>
      <c r="AO1054" s="230"/>
      <c r="AP1054" s="230"/>
      <c r="AQ1054" s="230"/>
      <c r="AS1054" s="231"/>
      <c r="AT1054" s="231"/>
      <c r="AU1054" s="231"/>
      <c r="AV1054" s="231"/>
      <c r="AW1054" s="231"/>
      <c r="AX1054" s="231"/>
      <c r="AY1054" s="231"/>
      <c r="AZ1054" s="231"/>
      <c r="BA1054" s="231"/>
      <c r="BC1054" s="82"/>
      <c r="BD1054" s="82"/>
      <c r="BE1054" s="82"/>
      <c r="BF1054" s="82"/>
      <c r="BG1054" s="82"/>
      <c r="BH1054" s="82"/>
      <c r="BI1054" s="82"/>
      <c r="BJ1054" s="82"/>
      <c r="BK1054" s="82"/>
      <c r="BL1054" s="82"/>
      <c r="BM1054" s="82"/>
      <c r="BN1054" s="82"/>
      <c r="BO1054" s="82"/>
      <c r="BP1054" s="82"/>
      <c r="BQ1054" s="82"/>
      <c r="BR1054" s="82"/>
      <c r="BS1054" s="82"/>
      <c r="BT1054" s="82"/>
      <c r="BU1054" s="82"/>
      <c r="BV1054" s="82"/>
      <c r="BW1054" s="82"/>
      <c r="BX1054" s="82"/>
      <c r="BY1054" s="82"/>
      <c r="BZ1054" s="82"/>
      <c r="CA1054" s="82"/>
      <c r="CB1054" s="82"/>
      <c r="CC1054" s="82"/>
      <c r="CD1054" s="82"/>
      <c r="CE1054" s="82"/>
      <c r="CF1054" s="82"/>
      <c r="CG1054" s="82"/>
      <c r="CH1054" s="82"/>
      <c r="CI1054" s="82"/>
      <c r="CJ1054" s="82"/>
      <c r="CK1054" s="82"/>
      <c r="CL1054" s="82"/>
      <c r="CM1054" s="82"/>
      <c r="CN1054" s="82"/>
      <c r="CO1054" s="82"/>
      <c r="CP1054" s="82"/>
      <c r="CQ1054" s="82"/>
      <c r="CR1054" s="82"/>
      <c r="CS1054" s="82"/>
      <c r="CT1054" s="82"/>
      <c r="CU1054" s="82"/>
      <c r="CV1054" s="82"/>
      <c r="CW1054" s="82"/>
      <c r="CX1054" s="82"/>
      <c r="CY1054" s="82"/>
      <c r="CZ1054" s="82"/>
      <c r="DA1054" s="82"/>
      <c r="DB1054" s="82"/>
      <c r="DC1054" s="82"/>
      <c r="DD1054" s="82"/>
      <c r="DE1054" s="82"/>
      <c r="DF1054" s="82"/>
      <c r="DG1054" s="82"/>
    </row>
    <row r="1055" spans="2:111" ht="9" customHeight="1">
      <c r="B1055" s="229"/>
      <c r="C1055" s="229"/>
      <c r="D1055" s="229"/>
      <c r="E1055" s="229"/>
      <c r="F1055" s="229"/>
      <c r="G1055" s="229"/>
      <c r="H1055" s="229"/>
      <c r="I1055" s="229"/>
      <c r="J1055" s="229"/>
      <c r="K1055" s="229"/>
      <c r="L1055" s="229"/>
      <c r="M1055" s="229"/>
      <c r="N1055" s="229"/>
      <c r="P1055" s="230" t="s">
        <v>226</v>
      </c>
      <c r="Q1055" s="230"/>
      <c r="R1055" s="230"/>
      <c r="S1055" s="230"/>
      <c r="T1055" s="230"/>
      <c r="U1055" s="230"/>
      <c r="V1055" s="230"/>
      <c r="W1055" s="230"/>
      <c r="X1055" s="230"/>
      <c r="Y1055" s="230"/>
      <c r="Z1055" s="230"/>
      <c r="AA1055" s="230"/>
      <c r="AB1055" s="230"/>
      <c r="AC1055" s="230"/>
      <c r="AD1055" s="230"/>
      <c r="AE1055" s="230"/>
      <c r="AF1055" s="230"/>
      <c r="AG1055" s="230"/>
      <c r="AH1055" s="230"/>
      <c r="AI1055" s="230"/>
      <c r="AJ1055" s="230"/>
      <c r="AK1055" s="230"/>
      <c r="AL1055" s="230"/>
      <c r="AM1055" s="230"/>
      <c r="AN1055" s="230"/>
      <c r="AO1055" s="230"/>
      <c r="AP1055" s="230"/>
      <c r="AQ1055" s="230"/>
      <c r="AS1055" s="231">
        <v>3411.68</v>
      </c>
      <c r="AT1055" s="231"/>
      <c r="AU1055" s="231"/>
      <c r="AV1055" s="231"/>
      <c r="AW1055" s="231"/>
      <c r="AX1055" s="231"/>
      <c r="AY1055" s="231"/>
      <c r="AZ1055" s="231"/>
      <c r="BA1055" s="231"/>
      <c r="BC1055" s="82"/>
      <c r="BD1055" s="82"/>
      <c r="BE1055" s="82"/>
      <c r="BF1055" s="82"/>
      <c r="BG1055" s="82"/>
      <c r="BH1055" s="82"/>
      <c r="BI1055" s="82"/>
      <c r="BJ1055" s="82"/>
      <c r="BK1055" s="82"/>
      <c r="BL1055" s="82"/>
      <c r="BM1055" s="82"/>
      <c r="BN1055" s="82"/>
      <c r="BO1055" s="82"/>
      <c r="BP1055" s="82"/>
      <c r="BQ1055" s="82"/>
      <c r="BR1055" s="82"/>
      <c r="BS1055" s="82"/>
      <c r="BT1055" s="82"/>
      <c r="BU1055" s="82"/>
      <c r="BV1055" s="82"/>
      <c r="BW1055" s="82"/>
      <c r="BX1055" s="82"/>
      <c r="BY1055" s="82"/>
      <c r="BZ1055" s="82"/>
      <c r="CA1055" s="82"/>
      <c r="CB1055" s="82"/>
      <c r="CC1055" s="82"/>
      <c r="CD1055" s="82"/>
      <c r="CE1055" s="82"/>
      <c r="CF1055" s="82"/>
      <c r="CG1055" s="82"/>
      <c r="CH1055" s="82"/>
      <c r="CI1055" s="82"/>
      <c r="CJ1055" s="82"/>
      <c r="CK1055" s="82"/>
      <c r="CL1055" s="82"/>
      <c r="CM1055" s="82"/>
      <c r="CN1055" s="82"/>
      <c r="CO1055" s="82"/>
      <c r="CP1055" s="82"/>
      <c r="CQ1055" s="82"/>
      <c r="CR1055" s="82"/>
      <c r="CS1055" s="82"/>
      <c r="CT1055" s="82"/>
      <c r="CU1055" s="82"/>
      <c r="CV1055" s="82"/>
      <c r="CW1055" s="82"/>
      <c r="CX1055" s="82"/>
      <c r="CY1055" s="82"/>
      <c r="CZ1055" s="82"/>
      <c r="DA1055" s="82"/>
      <c r="DB1055" s="82"/>
      <c r="DC1055" s="82"/>
      <c r="DD1055" s="82"/>
      <c r="DE1055" s="82"/>
      <c r="DF1055" s="82"/>
      <c r="DG1055" s="82"/>
    </row>
    <row r="1056" spans="2:111" ht="9" customHeight="1">
      <c r="B1056" s="229"/>
      <c r="C1056" s="229"/>
      <c r="D1056" s="229"/>
      <c r="E1056" s="229"/>
      <c r="F1056" s="229"/>
      <c r="G1056" s="229"/>
      <c r="H1056" s="229"/>
      <c r="I1056" s="229"/>
      <c r="J1056" s="229"/>
      <c r="K1056" s="229"/>
      <c r="L1056" s="229"/>
      <c r="M1056" s="229"/>
      <c r="N1056" s="229"/>
      <c r="P1056" s="230"/>
      <c r="Q1056" s="230"/>
      <c r="R1056" s="230"/>
      <c r="S1056" s="230"/>
      <c r="T1056" s="230"/>
      <c r="U1056" s="230"/>
      <c r="V1056" s="230"/>
      <c r="W1056" s="230"/>
      <c r="X1056" s="230"/>
      <c r="Y1056" s="230"/>
      <c r="Z1056" s="230"/>
      <c r="AA1056" s="230"/>
      <c r="AB1056" s="230"/>
      <c r="AC1056" s="230"/>
      <c r="AD1056" s="230"/>
      <c r="AE1056" s="230"/>
      <c r="AF1056" s="230"/>
      <c r="AG1056" s="230"/>
      <c r="AH1056" s="230"/>
      <c r="AI1056" s="230"/>
      <c r="AJ1056" s="230"/>
      <c r="AK1056" s="230"/>
      <c r="AL1056" s="230"/>
      <c r="AM1056" s="230"/>
      <c r="AN1056" s="230"/>
      <c r="AO1056" s="230"/>
      <c r="AP1056" s="230"/>
      <c r="AQ1056" s="230"/>
      <c r="AS1056" s="231"/>
      <c r="AT1056" s="231"/>
      <c r="AU1056" s="231"/>
      <c r="AV1056" s="231"/>
      <c r="AW1056" s="231"/>
      <c r="AX1056" s="231"/>
      <c r="AY1056" s="231"/>
      <c r="AZ1056" s="231"/>
      <c r="BA1056" s="231"/>
      <c r="BC1056" s="82"/>
      <c r="BD1056" s="82"/>
      <c r="BE1056" s="82"/>
      <c r="BF1056" s="82"/>
      <c r="BG1056" s="82"/>
      <c r="BH1056" s="82"/>
      <c r="BI1056" s="82"/>
      <c r="BJ1056" s="82"/>
      <c r="BK1056" s="82"/>
      <c r="BL1056" s="82"/>
      <c r="BM1056" s="82"/>
      <c r="BN1056" s="82"/>
      <c r="BO1056" s="82"/>
      <c r="BP1056" s="82"/>
      <c r="BQ1056" s="82"/>
      <c r="BR1056" s="82"/>
      <c r="BS1056" s="82"/>
      <c r="BT1056" s="82"/>
      <c r="BU1056" s="82"/>
      <c r="BV1056" s="82"/>
      <c r="BW1056" s="82"/>
      <c r="BX1056" s="82"/>
      <c r="BY1056" s="82"/>
      <c r="BZ1056" s="82"/>
      <c r="CA1056" s="82"/>
      <c r="CB1056" s="82"/>
      <c r="CC1056" s="82"/>
      <c r="CD1056" s="82"/>
      <c r="CE1056" s="82"/>
      <c r="CF1056" s="82"/>
      <c r="CG1056" s="82"/>
      <c r="CH1056" s="82"/>
      <c r="CI1056" s="82"/>
      <c r="CJ1056" s="82"/>
      <c r="CK1056" s="82"/>
      <c r="CL1056" s="82"/>
      <c r="CM1056" s="82"/>
      <c r="CN1056" s="82"/>
      <c r="CO1056" s="82"/>
      <c r="CP1056" s="82"/>
      <c r="CQ1056" s="82"/>
      <c r="CR1056" s="82"/>
      <c r="CS1056" s="82"/>
      <c r="CT1056" s="82"/>
      <c r="CU1056" s="82"/>
      <c r="CV1056" s="82"/>
      <c r="CW1056" s="82"/>
      <c r="CX1056" s="82"/>
      <c r="CY1056" s="82"/>
      <c r="CZ1056" s="82"/>
      <c r="DA1056" s="82"/>
      <c r="DB1056" s="82"/>
      <c r="DC1056" s="82"/>
      <c r="DD1056" s="82"/>
      <c r="DE1056" s="82"/>
      <c r="DF1056" s="82"/>
      <c r="DG1056" s="82"/>
    </row>
    <row r="1057" spans="2:111" ht="9" customHeight="1">
      <c r="B1057" s="229"/>
      <c r="C1057" s="229"/>
      <c r="D1057" s="229"/>
      <c r="E1057" s="229"/>
      <c r="F1057" s="229"/>
      <c r="G1057" s="229"/>
      <c r="H1057" s="229"/>
      <c r="I1057" s="229"/>
      <c r="J1057" s="229"/>
      <c r="K1057" s="229"/>
      <c r="L1057" s="229"/>
      <c r="M1057" s="229"/>
      <c r="N1057" s="229"/>
      <c r="P1057" s="230" t="s">
        <v>226</v>
      </c>
      <c r="Q1057" s="230"/>
      <c r="R1057" s="230"/>
      <c r="S1057" s="230"/>
      <c r="T1057" s="230"/>
      <c r="U1057" s="230"/>
      <c r="V1057" s="230"/>
      <c r="W1057" s="230"/>
      <c r="X1057" s="230"/>
      <c r="Y1057" s="230"/>
      <c r="Z1057" s="230"/>
      <c r="AA1057" s="230"/>
      <c r="AB1057" s="230"/>
      <c r="AC1057" s="230"/>
      <c r="AD1057" s="230"/>
      <c r="AE1057" s="230"/>
      <c r="AF1057" s="230"/>
      <c r="AG1057" s="230"/>
      <c r="AH1057" s="230"/>
      <c r="AI1057" s="230"/>
      <c r="AJ1057" s="230"/>
      <c r="AK1057" s="230"/>
      <c r="AL1057" s="230"/>
      <c r="AM1057" s="230"/>
      <c r="AN1057" s="230"/>
      <c r="AO1057" s="230"/>
      <c r="AP1057" s="230"/>
      <c r="AQ1057" s="230"/>
      <c r="AS1057" s="231">
        <v>25842.25</v>
      </c>
      <c r="AT1057" s="231"/>
      <c r="AU1057" s="231"/>
      <c r="AV1057" s="231"/>
      <c r="AW1057" s="231"/>
      <c r="AX1057" s="231"/>
      <c r="AY1057" s="231"/>
      <c r="AZ1057" s="231"/>
      <c r="BA1057" s="231"/>
      <c r="BC1057" s="82"/>
      <c r="BD1057" s="82"/>
      <c r="BE1057" s="82"/>
      <c r="BF1057" s="82"/>
      <c r="BG1057" s="82"/>
      <c r="BH1057" s="82"/>
      <c r="BI1057" s="82"/>
      <c r="BJ1057" s="82"/>
      <c r="BK1057" s="82"/>
      <c r="BL1057" s="82"/>
      <c r="BM1057" s="82"/>
      <c r="BN1057" s="82"/>
      <c r="BO1057" s="82"/>
      <c r="BP1057" s="82"/>
      <c r="BQ1057" s="82"/>
      <c r="BR1057" s="82"/>
      <c r="BS1057" s="82"/>
      <c r="BT1057" s="82"/>
      <c r="BU1057" s="82"/>
      <c r="BV1057" s="82"/>
      <c r="BW1057" s="82"/>
      <c r="BX1057" s="82"/>
      <c r="BY1057" s="82"/>
      <c r="BZ1057" s="82"/>
      <c r="CA1057" s="82"/>
      <c r="CB1057" s="82"/>
      <c r="CC1057" s="82"/>
      <c r="CD1057" s="82"/>
      <c r="CE1057" s="82"/>
      <c r="CF1057" s="82"/>
      <c r="CG1057" s="82"/>
      <c r="CH1057" s="82"/>
      <c r="CI1057" s="82"/>
      <c r="CJ1057" s="82"/>
      <c r="CK1057" s="82"/>
      <c r="CL1057" s="82"/>
      <c r="CM1057" s="82"/>
      <c r="CN1057" s="82"/>
      <c r="CO1057" s="82"/>
      <c r="CP1057" s="82"/>
      <c r="CQ1057" s="82"/>
      <c r="CR1057" s="82"/>
      <c r="CS1057" s="82"/>
      <c r="CT1057" s="82"/>
      <c r="CU1057" s="82"/>
      <c r="CV1057" s="82"/>
      <c r="CW1057" s="82"/>
      <c r="CX1057" s="82"/>
      <c r="CY1057" s="82"/>
      <c r="CZ1057" s="82"/>
      <c r="DA1057" s="82"/>
      <c r="DB1057" s="82"/>
      <c r="DC1057" s="82"/>
      <c r="DD1057" s="82"/>
      <c r="DE1057" s="82"/>
      <c r="DF1057" s="82"/>
      <c r="DG1057" s="82"/>
    </row>
    <row r="1058" spans="2:111" ht="9" customHeight="1">
      <c r="B1058" s="229"/>
      <c r="C1058" s="229"/>
      <c r="D1058" s="229"/>
      <c r="E1058" s="229"/>
      <c r="F1058" s="229"/>
      <c r="G1058" s="229"/>
      <c r="H1058" s="229"/>
      <c r="I1058" s="229"/>
      <c r="J1058" s="229"/>
      <c r="K1058" s="229"/>
      <c r="L1058" s="229"/>
      <c r="M1058" s="229"/>
      <c r="N1058" s="229"/>
      <c r="P1058" s="230"/>
      <c r="Q1058" s="230"/>
      <c r="R1058" s="230"/>
      <c r="S1058" s="230"/>
      <c r="T1058" s="230"/>
      <c r="U1058" s="230"/>
      <c r="V1058" s="230"/>
      <c r="W1058" s="230"/>
      <c r="X1058" s="230"/>
      <c r="Y1058" s="230"/>
      <c r="Z1058" s="230"/>
      <c r="AA1058" s="230"/>
      <c r="AB1058" s="230"/>
      <c r="AC1058" s="230"/>
      <c r="AD1058" s="230"/>
      <c r="AE1058" s="230"/>
      <c r="AF1058" s="230"/>
      <c r="AG1058" s="230"/>
      <c r="AH1058" s="230"/>
      <c r="AI1058" s="230"/>
      <c r="AJ1058" s="230"/>
      <c r="AK1058" s="230"/>
      <c r="AL1058" s="230"/>
      <c r="AM1058" s="230"/>
      <c r="AN1058" s="230"/>
      <c r="AO1058" s="230"/>
      <c r="AP1058" s="230"/>
      <c r="AQ1058" s="230"/>
      <c r="AS1058" s="231"/>
      <c r="AT1058" s="231"/>
      <c r="AU1058" s="231"/>
      <c r="AV1058" s="231"/>
      <c r="AW1058" s="231"/>
      <c r="AX1058" s="231"/>
      <c r="AY1058" s="231"/>
      <c r="AZ1058" s="231"/>
      <c r="BA1058" s="231"/>
      <c r="BC1058" s="82"/>
      <c r="BD1058" s="82"/>
      <c r="BE1058" s="82"/>
      <c r="BF1058" s="82"/>
      <c r="BG1058" s="82"/>
      <c r="BH1058" s="82"/>
      <c r="BI1058" s="82"/>
      <c r="BJ1058" s="82"/>
      <c r="BK1058" s="82"/>
      <c r="BL1058" s="82"/>
      <c r="BM1058" s="82"/>
      <c r="BN1058" s="82"/>
      <c r="BO1058" s="82"/>
      <c r="BP1058" s="82"/>
      <c r="BQ1058" s="82"/>
      <c r="BR1058" s="82"/>
      <c r="BS1058" s="82"/>
      <c r="BT1058" s="82"/>
      <c r="BU1058" s="82"/>
      <c r="BV1058" s="82"/>
      <c r="BW1058" s="82"/>
      <c r="BX1058" s="82"/>
      <c r="BY1058" s="82"/>
      <c r="BZ1058" s="82"/>
      <c r="CA1058" s="82"/>
      <c r="CB1058" s="82"/>
      <c r="CC1058" s="82"/>
      <c r="CD1058" s="82"/>
      <c r="CE1058" s="82"/>
      <c r="CF1058" s="82"/>
      <c r="CG1058" s="82"/>
      <c r="CH1058" s="82"/>
      <c r="CI1058" s="82"/>
      <c r="CJ1058" s="82"/>
      <c r="CK1058" s="82"/>
      <c r="CL1058" s="82"/>
      <c r="CM1058" s="82"/>
      <c r="CN1058" s="82"/>
      <c r="CO1058" s="82"/>
      <c r="CP1058" s="82"/>
      <c r="CQ1058" s="82"/>
      <c r="CR1058" s="82"/>
      <c r="CS1058" s="82"/>
      <c r="CT1058" s="82"/>
      <c r="CU1058" s="82"/>
      <c r="CV1058" s="82"/>
      <c r="CW1058" s="82"/>
      <c r="CX1058" s="82"/>
      <c r="CY1058" s="82"/>
      <c r="CZ1058" s="82"/>
      <c r="DA1058" s="82"/>
      <c r="DB1058" s="82"/>
      <c r="DC1058" s="82"/>
      <c r="DD1058" s="82"/>
      <c r="DE1058" s="82"/>
      <c r="DF1058" s="82"/>
      <c r="DG1058" s="82"/>
    </row>
    <row r="1059" spans="2:111" ht="9" customHeight="1">
      <c r="B1059" s="229"/>
      <c r="C1059" s="229"/>
      <c r="D1059" s="229"/>
      <c r="E1059" s="229"/>
      <c r="F1059" s="229"/>
      <c r="G1059" s="229"/>
      <c r="H1059" s="229"/>
      <c r="I1059" s="229"/>
      <c r="J1059" s="229"/>
      <c r="K1059" s="229"/>
      <c r="L1059" s="229"/>
      <c r="M1059" s="229"/>
      <c r="N1059" s="229"/>
      <c r="P1059" s="230" t="s">
        <v>226</v>
      </c>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230"/>
      <c r="AL1059" s="230"/>
      <c r="AM1059" s="230"/>
      <c r="AN1059" s="230"/>
      <c r="AO1059" s="230"/>
      <c r="AP1059" s="230"/>
      <c r="AQ1059" s="230"/>
      <c r="AS1059" s="231">
        <v>16791.400000000001</v>
      </c>
      <c r="AT1059" s="231"/>
      <c r="AU1059" s="231"/>
      <c r="AV1059" s="231"/>
      <c r="AW1059" s="231"/>
      <c r="AX1059" s="231"/>
      <c r="AY1059" s="231"/>
      <c r="AZ1059" s="231"/>
      <c r="BA1059" s="231"/>
      <c r="BC1059" s="82"/>
      <c r="BD1059" s="82"/>
      <c r="BE1059" s="82"/>
      <c r="BF1059" s="82"/>
      <c r="BG1059" s="82"/>
      <c r="BH1059" s="82"/>
      <c r="BI1059" s="82"/>
      <c r="BJ1059" s="82"/>
      <c r="BK1059" s="82"/>
      <c r="BL1059" s="82"/>
      <c r="BM1059" s="82"/>
      <c r="BN1059" s="82"/>
      <c r="BO1059" s="82"/>
      <c r="BP1059" s="82"/>
      <c r="BQ1059" s="82"/>
      <c r="BR1059" s="82"/>
      <c r="BS1059" s="82"/>
      <c r="BT1059" s="82"/>
      <c r="BU1059" s="82"/>
      <c r="BV1059" s="82"/>
      <c r="BW1059" s="82"/>
      <c r="BX1059" s="82"/>
      <c r="BY1059" s="82"/>
      <c r="BZ1059" s="82"/>
      <c r="CA1059" s="82"/>
      <c r="CB1059" s="82"/>
      <c r="CC1059" s="82"/>
      <c r="CD1059" s="82"/>
      <c r="CE1059" s="82"/>
      <c r="CF1059" s="82"/>
      <c r="CG1059" s="82"/>
      <c r="CH1059" s="82"/>
      <c r="CI1059" s="82"/>
      <c r="CJ1059" s="82"/>
      <c r="CK1059" s="82"/>
      <c r="CL1059" s="82"/>
      <c r="CM1059" s="82"/>
      <c r="CN1059" s="82"/>
      <c r="CO1059" s="82"/>
      <c r="CP1059" s="82"/>
      <c r="CQ1059" s="82"/>
      <c r="CR1059" s="82"/>
      <c r="CS1059" s="82"/>
      <c r="CT1059" s="82"/>
      <c r="CU1059" s="82"/>
      <c r="CV1059" s="82"/>
      <c r="CW1059" s="82"/>
      <c r="CX1059" s="82"/>
      <c r="CY1059" s="82"/>
      <c r="CZ1059" s="82"/>
      <c r="DA1059" s="82"/>
      <c r="DB1059" s="82"/>
      <c r="DC1059" s="82"/>
      <c r="DD1059" s="82"/>
      <c r="DE1059" s="82"/>
      <c r="DF1059" s="82"/>
      <c r="DG1059" s="82"/>
    </row>
    <row r="1060" spans="2:111" ht="9" customHeight="1">
      <c r="B1060" s="229"/>
      <c r="C1060" s="229"/>
      <c r="D1060" s="229"/>
      <c r="E1060" s="229"/>
      <c r="F1060" s="229"/>
      <c r="G1060" s="229"/>
      <c r="H1060" s="229"/>
      <c r="I1060" s="229"/>
      <c r="J1060" s="229"/>
      <c r="K1060" s="229"/>
      <c r="L1060" s="229"/>
      <c r="M1060" s="229"/>
      <c r="N1060" s="229"/>
      <c r="P1060" s="230"/>
      <c r="Q1060" s="230"/>
      <c r="R1060" s="230"/>
      <c r="S1060" s="230"/>
      <c r="T1060" s="230"/>
      <c r="U1060" s="230"/>
      <c r="V1060" s="230"/>
      <c r="W1060" s="230"/>
      <c r="X1060" s="230"/>
      <c r="Y1060" s="230"/>
      <c r="Z1060" s="230"/>
      <c r="AA1060" s="230"/>
      <c r="AB1060" s="230"/>
      <c r="AC1060" s="230"/>
      <c r="AD1060" s="230"/>
      <c r="AE1060" s="230"/>
      <c r="AF1060" s="230"/>
      <c r="AG1060" s="230"/>
      <c r="AH1060" s="230"/>
      <c r="AI1060" s="230"/>
      <c r="AJ1060" s="230"/>
      <c r="AK1060" s="230"/>
      <c r="AL1060" s="230"/>
      <c r="AM1060" s="230"/>
      <c r="AN1060" s="230"/>
      <c r="AO1060" s="230"/>
      <c r="AP1060" s="230"/>
      <c r="AQ1060" s="230"/>
      <c r="AS1060" s="231"/>
      <c r="AT1060" s="231"/>
      <c r="AU1060" s="231"/>
      <c r="AV1060" s="231"/>
      <c r="AW1060" s="231"/>
      <c r="AX1060" s="231"/>
      <c r="AY1060" s="231"/>
      <c r="AZ1060" s="231"/>
      <c r="BA1060" s="231"/>
      <c r="BC1060" s="82"/>
      <c r="BD1060" s="82"/>
      <c r="BE1060" s="82"/>
      <c r="BF1060" s="82"/>
      <c r="BG1060" s="82"/>
      <c r="BH1060" s="82"/>
      <c r="BI1060" s="82"/>
      <c r="BJ1060" s="82"/>
      <c r="BK1060" s="82"/>
      <c r="BL1060" s="82"/>
      <c r="BM1060" s="82"/>
      <c r="BN1060" s="82"/>
      <c r="BO1060" s="82"/>
      <c r="BP1060" s="82"/>
      <c r="BQ1060" s="82"/>
      <c r="BR1060" s="82"/>
      <c r="BS1060" s="82"/>
      <c r="BT1060" s="82"/>
      <c r="BU1060" s="82"/>
      <c r="BV1060" s="82"/>
      <c r="BW1060" s="82"/>
      <c r="BX1060" s="82"/>
      <c r="BY1060" s="82"/>
      <c r="BZ1060" s="82"/>
      <c r="CA1060" s="82"/>
      <c r="CB1060" s="82"/>
      <c r="CC1060" s="82"/>
      <c r="CD1060" s="82"/>
      <c r="CE1060" s="82"/>
      <c r="CF1060" s="82"/>
      <c r="CG1060" s="82"/>
      <c r="CH1060" s="82"/>
      <c r="CI1060" s="82"/>
      <c r="CJ1060" s="82"/>
      <c r="CK1060" s="82"/>
      <c r="CL1060" s="82"/>
      <c r="CM1060" s="82"/>
      <c r="CN1060" s="82"/>
      <c r="CO1060" s="82"/>
      <c r="CP1060" s="82"/>
      <c r="CQ1060" s="82"/>
      <c r="CR1060" s="82"/>
      <c r="CS1060" s="82"/>
      <c r="CT1060" s="82"/>
      <c r="CU1060" s="82"/>
      <c r="CV1060" s="82"/>
      <c r="CW1060" s="82"/>
      <c r="CX1060" s="82"/>
      <c r="CY1060" s="82"/>
      <c r="CZ1060" s="82"/>
      <c r="DA1060" s="82"/>
      <c r="DB1060" s="82"/>
      <c r="DC1060" s="82"/>
      <c r="DD1060" s="82"/>
      <c r="DE1060" s="82"/>
      <c r="DF1060" s="82"/>
      <c r="DG1060" s="82"/>
    </row>
    <row r="1061" spans="2:111" ht="9" customHeight="1">
      <c r="B1061" s="229"/>
      <c r="C1061" s="229"/>
      <c r="D1061" s="229"/>
      <c r="E1061" s="229"/>
      <c r="F1061" s="229"/>
      <c r="G1061" s="229"/>
      <c r="H1061" s="229"/>
      <c r="I1061" s="229"/>
      <c r="J1061" s="229"/>
      <c r="K1061" s="229"/>
      <c r="L1061" s="229"/>
      <c r="M1061" s="229"/>
      <c r="N1061" s="229"/>
      <c r="P1061" s="230" t="s">
        <v>226</v>
      </c>
      <c r="Q1061" s="230"/>
      <c r="R1061" s="230"/>
      <c r="S1061" s="230"/>
      <c r="T1061" s="230"/>
      <c r="U1061" s="230"/>
      <c r="V1061" s="230"/>
      <c r="W1061" s="230"/>
      <c r="X1061" s="230"/>
      <c r="Y1061" s="230"/>
      <c r="Z1061" s="230"/>
      <c r="AA1061" s="230"/>
      <c r="AB1061" s="230"/>
      <c r="AC1061" s="230"/>
      <c r="AD1061" s="230"/>
      <c r="AE1061" s="230"/>
      <c r="AF1061" s="230"/>
      <c r="AG1061" s="230"/>
      <c r="AH1061" s="230"/>
      <c r="AI1061" s="230"/>
      <c r="AJ1061" s="230"/>
      <c r="AK1061" s="230"/>
      <c r="AL1061" s="230"/>
      <c r="AM1061" s="230"/>
      <c r="AN1061" s="230"/>
      <c r="AO1061" s="230"/>
      <c r="AP1061" s="230"/>
      <c r="AQ1061" s="230"/>
      <c r="AS1061" s="231">
        <v>6297.4</v>
      </c>
      <c r="AT1061" s="231"/>
      <c r="AU1061" s="231"/>
      <c r="AV1061" s="231"/>
      <c r="AW1061" s="231"/>
      <c r="AX1061" s="231"/>
      <c r="AY1061" s="231"/>
      <c r="AZ1061" s="231"/>
      <c r="BA1061" s="231"/>
      <c r="BC1061" s="82"/>
      <c r="BD1061" s="82"/>
      <c r="BE1061" s="82"/>
      <c r="BF1061" s="82"/>
      <c r="BG1061" s="82"/>
      <c r="BH1061" s="82"/>
      <c r="BI1061" s="82"/>
      <c r="BJ1061" s="82"/>
      <c r="BK1061" s="82"/>
      <c r="BL1061" s="82"/>
      <c r="BM1061" s="82"/>
      <c r="BN1061" s="82"/>
      <c r="BO1061" s="82"/>
      <c r="BP1061" s="82"/>
      <c r="BQ1061" s="82"/>
      <c r="BR1061" s="82"/>
      <c r="BS1061" s="82"/>
      <c r="BT1061" s="82"/>
      <c r="BU1061" s="82"/>
      <c r="BV1061" s="82"/>
      <c r="BW1061" s="82"/>
      <c r="BX1061" s="82"/>
      <c r="BY1061" s="82"/>
      <c r="BZ1061" s="82"/>
      <c r="CA1061" s="82"/>
      <c r="CB1061" s="82"/>
      <c r="CC1061" s="82"/>
      <c r="CD1061" s="82"/>
      <c r="CE1061" s="82"/>
      <c r="CF1061" s="82"/>
      <c r="CG1061" s="82"/>
      <c r="CH1061" s="82"/>
      <c r="CI1061" s="82"/>
      <c r="CJ1061" s="82"/>
      <c r="CK1061" s="82"/>
      <c r="CL1061" s="82"/>
      <c r="CM1061" s="82"/>
      <c r="CN1061" s="82"/>
      <c r="CO1061" s="82"/>
      <c r="CP1061" s="82"/>
      <c r="CQ1061" s="82"/>
      <c r="CR1061" s="82"/>
      <c r="CS1061" s="82"/>
      <c r="CT1061" s="82"/>
      <c r="CU1061" s="82"/>
      <c r="CV1061" s="82"/>
      <c r="CW1061" s="82"/>
      <c r="CX1061" s="82"/>
      <c r="CY1061" s="82"/>
      <c r="CZ1061" s="82"/>
      <c r="DA1061" s="82"/>
      <c r="DB1061" s="82"/>
      <c r="DC1061" s="82"/>
      <c r="DD1061" s="82"/>
      <c r="DE1061" s="82"/>
      <c r="DF1061" s="82"/>
      <c r="DG1061" s="82"/>
    </row>
    <row r="1062" spans="2:111" ht="9" customHeight="1">
      <c r="B1062" s="229"/>
      <c r="C1062" s="229"/>
      <c r="D1062" s="229"/>
      <c r="E1062" s="229"/>
      <c r="F1062" s="229"/>
      <c r="G1062" s="229"/>
      <c r="H1062" s="229"/>
      <c r="I1062" s="229"/>
      <c r="J1062" s="229"/>
      <c r="K1062" s="229"/>
      <c r="L1062" s="229"/>
      <c r="M1062" s="229"/>
      <c r="N1062" s="229"/>
      <c r="P1062" s="230"/>
      <c r="Q1062" s="230"/>
      <c r="R1062" s="230"/>
      <c r="S1062" s="230"/>
      <c r="T1062" s="230"/>
      <c r="U1062" s="230"/>
      <c r="V1062" s="230"/>
      <c r="W1062" s="230"/>
      <c r="X1062" s="230"/>
      <c r="Y1062" s="230"/>
      <c r="Z1062" s="230"/>
      <c r="AA1062" s="230"/>
      <c r="AB1062" s="230"/>
      <c r="AC1062" s="230"/>
      <c r="AD1062" s="230"/>
      <c r="AE1062" s="230"/>
      <c r="AF1062" s="230"/>
      <c r="AG1062" s="230"/>
      <c r="AH1062" s="230"/>
      <c r="AI1062" s="230"/>
      <c r="AJ1062" s="230"/>
      <c r="AK1062" s="230"/>
      <c r="AL1062" s="230"/>
      <c r="AM1062" s="230"/>
      <c r="AN1062" s="230"/>
      <c r="AO1062" s="230"/>
      <c r="AP1062" s="230"/>
      <c r="AQ1062" s="230"/>
      <c r="AS1062" s="231"/>
      <c r="AT1062" s="231"/>
      <c r="AU1062" s="231"/>
      <c r="AV1062" s="231"/>
      <c r="AW1062" s="231"/>
      <c r="AX1062" s="231"/>
      <c r="AY1062" s="231"/>
      <c r="AZ1062" s="231"/>
      <c r="BA1062" s="231"/>
      <c r="BC1062" s="82"/>
      <c r="BD1062" s="82"/>
      <c r="BE1062" s="82"/>
      <c r="BF1062" s="82"/>
      <c r="BG1062" s="82"/>
      <c r="BH1062" s="82"/>
      <c r="BI1062" s="82"/>
      <c r="BJ1062" s="82"/>
      <c r="BK1062" s="82"/>
      <c r="BL1062" s="82"/>
      <c r="BM1062" s="82"/>
      <c r="BN1062" s="82"/>
      <c r="BO1062" s="82"/>
      <c r="BP1062" s="82"/>
      <c r="BQ1062" s="82"/>
      <c r="BR1062" s="82"/>
      <c r="BS1062" s="82"/>
      <c r="BT1062" s="82"/>
      <c r="BU1062" s="82"/>
      <c r="BV1062" s="82"/>
      <c r="BW1062" s="82"/>
      <c r="BX1062" s="82"/>
      <c r="BY1062" s="82"/>
      <c r="BZ1062" s="82"/>
      <c r="CA1062" s="82"/>
      <c r="CB1062" s="82"/>
      <c r="CC1062" s="82"/>
      <c r="CD1062" s="82"/>
      <c r="CE1062" s="82"/>
      <c r="CF1062" s="82"/>
      <c r="CG1062" s="82"/>
      <c r="CH1062" s="82"/>
      <c r="CI1062" s="82"/>
      <c r="CJ1062" s="82"/>
      <c r="CK1062" s="82"/>
      <c r="CL1062" s="82"/>
      <c r="CM1062" s="82"/>
      <c r="CN1062" s="82"/>
      <c r="CO1062" s="82"/>
      <c r="CP1062" s="82"/>
      <c r="CQ1062" s="82"/>
      <c r="CR1062" s="82"/>
      <c r="CS1062" s="82"/>
      <c r="CT1062" s="82"/>
      <c r="CU1062" s="82"/>
      <c r="CV1062" s="82"/>
      <c r="CW1062" s="82"/>
      <c r="CX1062" s="82"/>
      <c r="CY1062" s="82"/>
      <c r="CZ1062" s="82"/>
      <c r="DA1062" s="82"/>
      <c r="DB1062" s="82"/>
      <c r="DC1062" s="82"/>
      <c r="DD1062" s="82"/>
      <c r="DE1062" s="82"/>
      <c r="DF1062" s="82"/>
      <c r="DG1062" s="82"/>
    </row>
    <row r="1063" spans="2:111" ht="9" customHeight="1">
      <c r="B1063" s="229"/>
      <c r="C1063" s="229"/>
      <c r="D1063" s="229"/>
      <c r="E1063" s="229"/>
      <c r="F1063" s="229"/>
      <c r="G1063" s="229"/>
      <c r="H1063" s="229"/>
      <c r="I1063" s="229"/>
      <c r="J1063" s="229"/>
      <c r="K1063" s="229"/>
      <c r="L1063" s="229"/>
      <c r="M1063" s="229"/>
      <c r="N1063" s="229"/>
      <c r="P1063" s="230"/>
      <c r="Q1063" s="230"/>
      <c r="R1063" s="230"/>
      <c r="S1063" s="230"/>
      <c r="T1063" s="230"/>
      <c r="U1063" s="230"/>
      <c r="V1063" s="230"/>
      <c r="W1063" s="230"/>
      <c r="X1063" s="230"/>
      <c r="Y1063" s="230"/>
      <c r="Z1063" s="230"/>
      <c r="AA1063" s="230"/>
      <c r="AB1063" s="230"/>
      <c r="AC1063" s="230"/>
      <c r="AD1063" s="230"/>
      <c r="AE1063" s="230"/>
      <c r="AF1063" s="230"/>
      <c r="AG1063" s="230"/>
      <c r="AH1063" s="230"/>
      <c r="AI1063" s="230"/>
      <c r="AJ1063" s="230"/>
      <c r="AK1063" s="230"/>
      <c r="AL1063" s="230"/>
      <c r="AM1063" s="230"/>
      <c r="AN1063" s="230"/>
      <c r="AO1063" s="230"/>
      <c r="AP1063" s="230"/>
      <c r="AQ1063" s="230"/>
      <c r="AS1063" s="231"/>
      <c r="AT1063" s="231"/>
      <c r="AU1063" s="231"/>
      <c r="AV1063" s="231"/>
      <c r="AW1063" s="231"/>
      <c r="AX1063" s="231"/>
      <c r="AY1063" s="231"/>
      <c r="AZ1063" s="231"/>
      <c r="BA1063" s="231"/>
      <c r="BC1063" s="82"/>
      <c r="BD1063" s="82"/>
      <c r="BE1063" s="82"/>
      <c r="BF1063" s="82"/>
      <c r="BG1063" s="82"/>
      <c r="BH1063" s="82"/>
      <c r="BI1063" s="82"/>
      <c r="BJ1063" s="82"/>
      <c r="BK1063" s="82"/>
      <c r="BL1063" s="82"/>
      <c r="BM1063" s="82"/>
      <c r="BN1063" s="82"/>
      <c r="BO1063" s="82"/>
      <c r="BP1063" s="82"/>
      <c r="BQ1063" s="82"/>
      <c r="BR1063" s="82"/>
      <c r="BS1063" s="82"/>
      <c r="BT1063" s="82"/>
      <c r="BU1063" s="82"/>
      <c r="BV1063" s="82"/>
      <c r="BW1063" s="82"/>
      <c r="BX1063" s="82"/>
      <c r="BY1063" s="82"/>
      <c r="BZ1063" s="82"/>
      <c r="CA1063" s="82"/>
      <c r="CB1063" s="82"/>
      <c r="CC1063" s="82"/>
      <c r="CD1063" s="82"/>
      <c r="CE1063" s="82"/>
      <c r="CF1063" s="82"/>
      <c r="CG1063" s="82"/>
      <c r="CH1063" s="82"/>
      <c r="CI1063" s="82"/>
      <c r="CJ1063" s="82"/>
      <c r="CK1063" s="82"/>
      <c r="CL1063" s="82"/>
      <c r="CM1063" s="82"/>
      <c r="CN1063" s="82"/>
      <c r="CO1063" s="82"/>
      <c r="CP1063" s="82"/>
      <c r="CQ1063" s="82"/>
      <c r="CR1063" s="82"/>
      <c r="CS1063" s="82"/>
      <c r="CT1063" s="82"/>
      <c r="CU1063" s="82"/>
      <c r="CV1063" s="82"/>
      <c r="CW1063" s="82"/>
      <c r="CX1063" s="82"/>
      <c r="CY1063" s="82"/>
      <c r="CZ1063" s="82"/>
      <c r="DA1063" s="82"/>
      <c r="DB1063" s="82"/>
      <c r="DC1063" s="82"/>
      <c r="DD1063" s="82"/>
      <c r="DE1063" s="82"/>
      <c r="DF1063" s="82"/>
      <c r="DG1063" s="82"/>
    </row>
    <row r="1064" spans="2:111" ht="9" customHeight="1">
      <c r="B1064" s="229"/>
      <c r="C1064" s="229"/>
      <c r="D1064" s="229"/>
      <c r="E1064" s="229"/>
      <c r="F1064" s="229"/>
      <c r="G1064" s="229"/>
      <c r="H1064" s="229"/>
      <c r="I1064" s="229"/>
      <c r="J1064" s="229"/>
      <c r="K1064" s="229"/>
      <c r="L1064" s="229"/>
      <c r="M1064" s="229"/>
      <c r="N1064" s="229"/>
      <c r="P1064" s="230"/>
      <c r="Q1064" s="230"/>
      <c r="R1064" s="230"/>
      <c r="S1064" s="230"/>
      <c r="T1064" s="230"/>
      <c r="U1064" s="230"/>
      <c r="V1064" s="230"/>
      <c r="W1064" s="230"/>
      <c r="X1064" s="230"/>
      <c r="Y1064" s="230"/>
      <c r="Z1064" s="230"/>
      <c r="AA1064" s="230"/>
      <c r="AB1064" s="230"/>
      <c r="AC1064" s="230"/>
      <c r="AD1064" s="230"/>
      <c r="AE1064" s="230"/>
      <c r="AF1064" s="230"/>
      <c r="AG1064" s="230"/>
      <c r="AH1064" s="230"/>
      <c r="AI1064" s="230"/>
      <c r="AJ1064" s="230"/>
      <c r="AK1064" s="230"/>
      <c r="AL1064" s="230"/>
      <c r="AM1064" s="230"/>
      <c r="AN1064" s="230"/>
      <c r="AO1064" s="230"/>
      <c r="AP1064" s="230"/>
      <c r="AQ1064" s="230"/>
      <c r="AS1064" s="231"/>
      <c r="AT1064" s="231"/>
      <c r="AU1064" s="231"/>
      <c r="AV1064" s="231"/>
      <c r="AW1064" s="231"/>
      <c r="AX1064" s="231"/>
      <c r="AY1064" s="231"/>
      <c r="AZ1064" s="231"/>
      <c r="BA1064" s="231"/>
      <c r="BC1064" s="82"/>
      <c r="BD1064" s="82"/>
      <c r="BE1064" s="82"/>
      <c r="BF1064" s="82"/>
      <c r="BG1064" s="82"/>
      <c r="BH1064" s="82"/>
      <c r="BI1064" s="82"/>
      <c r="BJ1064" s="82"/>
      <c r="BK1064" s="82"/>
      <c r="BL1064" s="82"/>
      <c r="BM1064" s="82"/>
      <c r="BN1064" s="82"/>
      <c r="BO1064" s="82"/>
      <c r="BP1064" s="82"/>
      <c r="BQ1064" s="82"/>
      <c r="BR1064" s="82"/>
      <c r="BS1064" s="82"/>
      <c r="BT1064" s="82"/>
      <c r="BU1064" s="82"/>
      <c r="BV1064" s="82"/>
      <c r="BW1064" s="82"/>
      <c r="BX1064" s="82"/>
      <c r="BY1064" s="82"/>
      <c r="BZ1064" s="82"/>
      <c r="CA1064" s="82"/>
      <c r="CB1064" s="82"/>
      <c r="CC1064" s="82"/>
      <c r="CD1064" s="82"/>
      <c r="CE1064" s="82"/>
      <c r="CF1064" s="82"/>
      <c r="CG1064" s="82"/>
      <c r="CH1064" s="82"/>
      <c r="CI1064" s="82"/>
      <c r="CJ1064" s="82"/>
      <c r="CK1064" s="82"/>
      <c r="CL1064" s="82"/>
      <c r="CM1064" s="82"/>
      <c r="CN1064" s="82"/>
      <c r="CO1064" s="82"/>
      <c r="CP1064" s="82"/>
      <c r="CQ1064" s="82"/>
      <c r="CR1064" s="82"/>
      <c r="CS1064" s="82"/>
      <c r="CT1064" s="82"/>
      <c r="CU1064" s="82"/>
      <c r="CV1064" s="82"/>
      <c r="CW1064" s="82"/>
      <c r="CX1064" s="82"/>
      <c r="CY1064" s="82"/>
      <c r="CZ1064" s="82"/>
      <c r="DA1064" s="82"/>
      <c r="DB1064" s="82"/>
      <c r="DC1064" s="82"/>
      <c r="DD1064" s="82"/>
      <c r="DE1064" s="82"/>
      <c r="DF1064" s="82"/>
      <c r="DG1064" s="82"/>
    </row>
    <row r="1065" spans="2:111" ht="9" customHeight="1">
      <c r="B1065" s="229"/>
      <c r="C1065" s="229"/>
      <c r="D1065" s="229"/>
      <c r="E1065" s="229"/>
      <c r="F1065" s="229"/>
      <c r="G1065" s="229"/>
      <c r="H1065" s="229"/>
      <c r="I1065" s="229"/>
      <c r="J1065" s="229"/>
      <c r="K1065" s="229"/>
      <c r="L1065" s="229"/>
      <c r="M1065" s="229"/>
      <c r="N1065" s="229"/>
      <c r="P1065" s="230"/>
      <c r="Q1065" s="230"/>
      <c r="R1065" s="230"/>
      <c r="S1065" s="230"/>
      <c r="T1065" s="230"/>
      <c r="U1065" s="230"/>
      <c r="V1065" s="230"/>
      <c r="W1065" s="230"/>
      <c r="X1065" s="230"/>
      <c r="Y1065" s="230"/>
      <c r="Z1065" s="230"/>
      <c r="AA1065" s="230"/>
      <c r="AB1065" s="230"/>
      <c r="AC1065" s="230"/>
      <c r="AD1065" s="230"/>
      <c r="AE1065" s="230"/>
      <c r="AF1065" s="230"/>
      <c r="AG1065" s="230"/>
      <c r="AH1065" s="230"/>
      <c r="AI1065" s="230"/>
      <c r="AJ1065" s="230"/>
      <c r="AK1065" s="230"/>
      <c r="AL1065" s="230"/>
      <c r="AM1065" s="230"/>
      <c r="AN1065" s="230"/>
      <c r="AO1065" s="230"/>
      <c r="AP1065" s="230"/>
      <c r="AQ1065" s="230"/>
      <c r="AS1065" s="231"/>
      <c r="AT1065" s="231"/>
      <c r="AU1065" s="231"/>
      <c r="AV1065" s="231"/>
      <c r="AW1065" s="231"/>
      <c r="AX1065" s="231"/>
      <c r="AY1065" s="231"/>
      <c r="AZ1065" s="231"/>
      <c r="BA1065" s="231"/>
      <c r="BC1065" s="82"/>
      <c r="BD1065" s="82"/>
      <c r="BE1065" s="82"/>
      <c r="BF1065" s="82"/>
      <c r="BG1065" s="82"/>
      <c r="BH1065" s="82"/>
      <c r="BI1065" s="82"/>
      <c r="BJ1065" s="82"/>
      <c r="BK1065" s="82"/>
      <c r="BL1065" s="82"/>
      <c r="BM1065" s="82"/>
      <c r="BN1065" s="82"/>
      <c r="BO1065" s="82"/>
      <c r="BP1065" s="82"/>
      <c r="BQ1065" s="82"/>
      <c r="BR1065" s="82"/>
      <c r="BS1065" s="82"/>
      <c r="BT1065" s="82"/>
      <c r="BU1065" s="82"/>
      <c r="BV1065" s="82"/>
      <c r="BW1065" s="82"/>
      <c r="BX1065" s="82"/>
      <c r="BY1065" s="82"/>
      <c r="BZ1065" s="82"/>
      <c r="CA1065" s="82"/>
      <c r="CB1065" s="82"/>
      <c r="CC1065" s="82"/>
      <c r="CD1065" s="82"/>
      <c r="CE1065" s="82"/>
      <c r="CF1065" s="82"/>
      <c r="CG1065" s="82"/>
      <c r="CH1065" s="82"/>
      <c r="CI1065" s="82"/>
      <c r="CJ1065" s="82"/>
      <c r="CK1065" s="82"/>
      <c r="CL1065" s="82"/>
      <c r="CM1065" s="82"/>
      <c r="CN1065" s="82"/>
      <c r="CO1065" s="82"/>
      <c r="CP1065" s="82"/>
      <c r="CQ1065" s="82"/>
      <c r="CR1065" s="82"/>
      <c r="CS1065" s="82"/>
      <c r="CT1065" s="82"/>
      <c r="CU1065" s="82"/>
      <c r="CV1065" s="82"/>
      <c r="CW1065" s="82"/>
      <c r="CX1065" s="82"/>
      <c r="CY1065" s="82"/>
      <c r="CZ1065" s="82"/>
      <c r="DA1065" s="82"/>
      <c r="DB1065" s="82"/>
      <c r="DC1065" s="82"/>
      <c r="DD1065" s="82"/>
      <c r="DE1065" s="82"/>
      <c r="DF1065" s="82"/>
      <c r="DG1065" s="82"/>
    </row>
    <row r="1066" spans="2:111" ht="9" customHeight="1">
      <c r="B1066" s="229"/>
      <c r="C1066" s="229"/>
      <c r="D1066" s="229"/>
      <c r="E1066" s="229"/>
      <c r="F1066" s="229"/>
      <c r="G1066" s="229"/>
      <c r="H1066" s="229"/>
      <c r="I1066" s="229"/>
      <c r="J1066" s="229"/>
      <c r="K1066" s="229"/>
      <c r="L1066" s="229"/>
      <c r="M1066" s="229"/>
      <c r="N1066" s="229"/>
      <c r="P1066" s="230"/>
      <c r="Q1066" s="230"/>
      <c r="R1066" s="230"/>
      <c r="S1066" s="230"/>
      <c r="T1066" s="230"/>
      <c r="U1066" s="230"/>
      <c r="V1066" s="230"/>
      <c r="W1066" s="230"/>
      <c r="X1066" s="230"/>
      <c r="Y1066" s="230"/>
      <c r="Z1066" s="230"/>
      <c r="AA1066" s="230"/>
      <c r="AB1066" s="230"/>
      <c r="AC1066" s="230"/>
      <c r="AD1066" s="230"/>
      <c r="AE1066" s="230"/>
      <c r="AF1066" s="230"/>
      <c r="AG1066" s="230"/>
      <c r="AH1066" s="230"/>
      <c r="AI1066" s="230"/>
      <c r="AJ1066" s="230"/>
      <c r="AK1066" s="230"/>
      <c r="AL1066" s="230"/>
      <c r="AM1066" s="230"/>
      <c r="AN1066" s="230"/>
      <c r="AO1066" s="230"/>
      <c r="AP1066" s="230"/>
      <c r="AQ1066" s="230"/>
      <c r="AS1066" s="231"/>
      <c r="AT1066" s="231"/>
      <c r="AU1066" s="231"/>
      <c r="AV1066" s="231"/>
      <c r="AW1066" s="231"/>
      <c r="AX1066" s="231"/>
      <c r="AY1066" s="231"/>
      <c r="AZ1066" s="231"/>
      <c r="BA1066" s="231"/>
      <c r="BC1066" s="82"/>
      <c r="BD1066" s="82"/>
      <c r="BE1066" s="82"/>
      <c r="BF1066" s="82"/>
      <c r="BG1066" s="82"/>
      <c r="BH1066" s="82"/>
      <c r="BI1066" s="82"/>
      <c r="BJ1066" s="82"/>
      <c r="BK1066" s="82"/>
      <c r="BL1066" s="82"/>
      <c r="BM1066" s="82"/>
      <c r="BN1066" s="82"/>
      <c r="BO1066" s="82"/>
      <c r="BP1066" s="82"/>
      <c r="BQ1066" s="82"/>
      <c r="BR1066" s="82"/>
      <c r="BS1066" s="82"/>
      <c r="BT1066" s="82"/>
      <c r="BU1066" s="82"/>
      <c r="BV1066" s="82"/>
      <c r="BW1066" s="82"/>
      <c r="BX1066" s="82"/>
      <c r="BY1066" s="82"/>
      <c r="BZ1066" s="82"/>
      <c r="CA1066" s="82"/>
      <c r="CB1066" s="82"/>
      <c r="CC1066" s="82"/>
      <c r="CD1066" s="82"/>
      <c r="CE1066" s="82"/>
      <c r="CF1066" s="82"/>
      <c r="CG1066" s="82"/>
      <c r="CH1066" s="82"/>
      <c r="CI1066" s="82"/>
      <c r="CJ1066" s="82"/>
      <c r="CK1066" s="82"/>
      <c r="CL1066" s="82"/>
      <c r="CM1066" s="82"/>
      <c r="CN1066" s="82"/>
      <c r="CO1066" s="82"/>
      <c r="CP1066" s="82"/>
      <c r="CQ1066" s="82"/>
      <c r="CR1066" s="82"/>
      <c r="CS1066" s="82"/>
      <c r="CT1066" s="82"/>
      <c r="CU1066" s="82"/>
      <c r="CV1066" s="82"/>
      <c r="CW1066" s="82"/>
      <c r="CX1066" s="82"/>
      <c r="CY1066" s="82"/>
      <c r="CZ1066" s="82"/>
      <c r="DA1066" s="82"/>
      <c r="DB1066" s="82"/>
      <c r="DC1066" s="82"/>
      <c r="DD1066" s="82"/>
      <c r="DE1066" s="82"/>
      <c r="DF1066" s="82"/>
      <c r="DG1066" s="82"/>
    </row>
    <row r="1067" spans="2:111" ht="9" customHeight="1">
      <c r="B1067" s="229"/>
      <c r="C1067" s="229"/>
      <c r="D1067" s="229"/>
      <c r="E1067" s="229"/>
      <c r="F1067" s="229"/>
      <c r="G1067" s="229"/>
      <c r="H1067" s="229"/>
      <c r="I1067" s="229"/>
      <c r="J1067" s="229"/>
      <c r="K1067" s="229"/>
      <c r="L1067" s="229"/>
      <c r="M1067" s="229"/>
      <c r="N1067" s="229"/>
      <c r="P1067" s="230"/>
      <c r="Q1067" s="230"/>
      <c r="R1067" s="230"/>
      <c r="S1067" s="230"/>
      <c r="T1067" s="230"/>
      <c r="U1067" s="230"/>
      <c r="V1067" s="230"/>
      <c r="W1067" s="230"/>
      <c r="X1067" s="230"/>
      <c r="Y1067" s="230"/>
      <c r="Z1067" s="230"/>
      <c r="AA1067" s="230"/>
      <c r="AB1067" s="230"/>
      <c r="AC1067" s="230"/>
      <c r="AD1067" s="230"/>
      <c r="AE1067" s="230"/>
      <c r="AF1067" s="230"/>
      <c r="AG1067" s="230"/>
      <c r="AH1067" s="230"/>
      <c r="AI1067" s="230"/>
      <c r="AJ1067" s="230"/>
      <c r="AK1067" s="230"/>
      <c r="AL1067" s="230"/>
      <c r="AM1067" s="230"/>
      <c r="AN1067" s="230"/>
      <c r="AO1067" s="230"/>
      <c r="AP1067" s="230"/>
      <c r="AQ1067" s="230"/>
      <c r="AS1067" s="231"/>
      <c r="AT1067" s="231"/>
      <c r="AU1067" s="231"/>
      <c r="AV1067" s="231"/>
      <c r="AW1067" s="231"/>
      <c r="AX1067" s="231"/>
      <c r="AY1067" s="231"/>
      <c r="AZ1067" s="231"/>
      <c r="BA1067" s="231"/>
      <c r="BC1067" s="82"/>
      <c r="BD1067" s="82"/>
      <c r="BE1067" s="82"/>
      <c r="BF1067" s="82"/>
      <c r="BG1067" s="82"/>
      <c r="BH1067" s="82"/>
      <c r="BI1067" s="82"/>
      <c r="BJ1067" s="82"/>
      <c r="BK1067" s="82"/>
      <c r="BL1067" s="82"/>
      <c r="BM1067" s="82"/>
      <c r="BN1067" s="82"/>
      <c r="BO1067" s="82"/>
      <c r="BP1067" s="82"/>
      <c r="BQ1067" s="82"/>
      <c r="BR1067" s="82"/>
      <c r="BS1067" s="82"/>
      <c r="BT1067" s="82"/>
      <c r="BU1067" s="82"/>
      <c r="BV1067" s="82"/>
      <c r="BW1067" s="82"/>
      <c r="BX1067" s="82"/>
      <c r="BY1067" s="82"/>
      <c r="BZ1067" s="82"/>
      <c r="CA1067" s="82"/>
      <c r="CB1067" s="82"/>
      <c r="CC1067" s="82"/>
      <c r="CD1067" s="82"/>
      <c r="CE1067" s="82"/>
      <c r="CF1067" s="82"/>
      <c r="CG1067" s="82"/>
      <c r="CH1067" s="82"/>
      <c r="CI1067" s="82"/>
      <c r="CJ1067" s="82"/>
      <c r="CK1067" s="82"/>
      <c r="CL1067" s="82"/>
      <c r="CM1067" s="82"/>
      <c r="CN1067" s="82"/>
      <c r="CO1067" s="82"/>
      <c r="CP1067" s="82"/>
      <c r="CQ1067" s="82"/>
      <c r="CR1067" s="82"/>
      <c r="CS1067" s="82"/>
      <c r="CT1067" s="82"/>
      <c r="CU1067" s="82"/>
      <c r="CV1067" s="82"/>
      <c r="CW1067" s="82"/>
      <c r="CX1067" s="82"/>
      <c r="CY1067" s="82"/>
      <c r="CZ1067" s="82"/>
      <c r="DA1067" s="82"/>
      <c r="DB1067" s="82"/>
      <c r="DC1067" s="82"/>
      <c r="DD1067" s="82"/>
      <c r="DE1067" s="82"/>
      <c r="DF1067" s="82"/>
      <c r="DG1067" s="82"/>
    </row>
    <row r="1068" spans="2:111" ht="9" customHeight="1">
      <c r="B1068" s="229"/>
      <c r="C1068" s="229"/>
      <c r="D1068" s="229"/>
      <c r="E1068" s="229"/>
      <c r="F1068" s="229"/>
      <c r="G1068" s="229"/>
      <c r="H1068" s="229"/>
      <c r="I1068" s="229"/>
      <c r="J1068" s="229"/>
      <c r="K1068" s="229"/>
      <c r="L1068" s="229"/>
      <c r="M1068" s="229"/>
      <c r="N1068" s="229"/>
      <c r="P1068" s="230"/>
      <c r="Q1068" s="230"/>
      <c r="R1068" s="230"/>
      <c r="S1068" s="230"/>
      <c r="T1068" s="230"/>
      <c r="U1068" s="230"/>
      <c r="V1068" s="230"/>
      <c r="W1068" s="230"/>
      <c r="X1068" s="230"/>
      <c r="Y1068" s="230"/>
      <c r="Z1068" s="230"/>
      <c r="AA1068" s="230"/>
      <c r="AB1068" s="230"/>
      <c r="AC1068" s="230"/>
      <c r="AD1068" s="230"/>
      <c r="AE1068" s="230"/>
      <c r="AF1068" s="230"/>
      <c r="AG1068" s="230"/>
      <c r="AH1068" s="230"/>
      <c r="AI1068" s="230"/>
      <c r="AJ1068" s="230"/>
      <c r="AK1068" s="230"/>
      <c r="AL1068" s="230"/>
      <c r="AM1068" s="230"/>
      <c r="AN1068" s="230"/>
      <c r="AO1068" s="230"/>
      <c r="AP1068" s="230"/>
      <c r="AQ1068" s="230"/>
      <c r="AS1068" s="231"/>
      <c r="AT1068" s="231"/>
      <c r="AU1068" s="231"/>
      <c r="AV1068" s="231"/>
      <c r="AW1068" s="231"/>
      <c r="AX1068" s="231"/>
      <c r="AY1068" s="231"/>
      <c r="AZ1068" s="231"/>
      <c r="BA1068" s="231"/>
      <c r="BC1068" s="82"/>
      <c r="BD1068" s="82"/>
      <c r="BE1068" s="82"/>
      <c r="BF1068" s="82"/>
      <c r="BG1068" s="82"/>
      <c r="BH1068" s="82"/>
      <c r="BI1068" s="82"/>
      <c r="BJ1068" s="82"/>
      <c r="BK1068" s="82"/>
      <c r="BL1068" s="82"/>
      <c r="BM1068" s="82"/>
      <c r="BN1068" s="82"/>
      <c r="BO1068" s="82"/>
      <c r="BP1068" s="82"/>
      <c r="BQ1068" s="82"/>
      <c r="BR1068" s="82"/>
      <c r="BS1068" s="82"/>
      <c r="BT1068" s="82"/>
      <c r="BU1068" s="82"/>
      <c r="BV1068" s="82"/>
      <c r="BW1068" s="82"/>
      <c r="BX1068" s="82"/>
      <c r="BY1068" s="82"/>
      <c r="BZ1068" s="82"/>
      <c r="CA1068" s="82"/>
      <c r="CB1068" s="82"/>
      <c r="CC1068" s="82"/>
      <c r="CD1068" s="82"/>
      <c r="CE1068" s="82"/>
      <c r="CF1068" s="82"/>
      <c r="CG1068" s="82"/>
      <c r="CH1068" s="82"/>
      <c r="CI1068" s="82"/>
      <c r="CJ1068" s="82"/>
      <c r="CK1068" s="82"/>
      <c r="CL1068" s="82"/>
      <c r="CM1068" s="82"/>
      <c r="CN1068" s="82"/>
      <c r="CO1068" s="82"/>
      <c r="CP1068" s="82"/>
      <c r="CQ1068" s="82"/>
      <c r="CR1068" s="82"/>
      <c r="CS1068" s="82"/>
      <c r="CT1068" s="82"/>
      <c r="CU1068" s="82"/>
      <c r="CV1068" s="82"/>
      <c r="CW1068" s="82"/>
      <c r="CX1068" s="82"/>
      <c r="CY1068" s="82"/>
      <c r="CZ1068" s="82"/>
      <c r="DA1068" s="82"/>
      <c r="DB1068" s="82"/>
      <c r="DC1068" s="82"/>
      <c r="DD1068" s="82"/>
      <c r="DE1068" s="82"/>
      <c r="DF1068" s="82"/>
      <c r="DG1068" s="82"/>
    </row>
    <row r="1069" spans="2:111" ht="12" customHeight="1">
      <c r="BC1069" s="82"/>
      <c r="BD1069" s="82"/>
      <c r="BE1069" s="82"/>
      <c r="BF1069" s="82"/>
      <c r="BG1069" s="82"/>
      <c r="BH1069" s="82"/>
      <c r="BI1069" s="82"/>
      <c r="BJ1069" s="82"/>
      <c r="BK1069" s="82"/>
      <c r="BL1069" s="82"/>
      <c r="BM1069" s="82"/>
      <c r="BN1069" s="82"/>
      <c r="BO1069" s="82"/>
      <c r="BP1069" s="82"/>
      <c r="BQ1069" s="82"/>
      <c r="BR1069" s="82"/>
      <c r="BS1069" s="82"/>
      <c r="BT1069" s="82"/>
      <c r="BU1069" s="82"/>
      <c r="BV1069" s="82"/>
      <c r="BW1069" s="82"/>
      <c r="BX1069" s="82"/>
      <c r="BY1069" s="82"/>
      <c r="BZ1069" s="82"/>
      <c r="CA1069" s="82"/>
      <c r="CB1069" s="82"/>
      <c r="CC1069" s="82"/>
      <c r="CD1069" s="82"/>
      <c r="CE1069" s="82"/>
      <c r="CF1069" s="82"/>
      <c r="CG1069" s="82"/>
      <c r="CH1069" s="82"/>
      <c r="CI1069" s="82"/>
      <c r="CJ1069" s="82"/>
      <c r="CK1069" s="82"/>
      <c r="CL1069" s="82"/>
      <c r="CM1069" s="82"/>
      <c r="CN1069" s="82"/>
      <c r="CO1069" s="82"/>
      <c r="CP1069" s="82"/>
      <c r="CQ1069" s="82"/>
      <c r="CR1069" s="82"/>
      <c r="CS1069" s="82"/>
      <c r="CT1069" s="82"/>
      <c r="CU1069" s="82"/>
      <c r="CV1069" s="82"/>
      <c r="CW1069" s="82"/>
      <c r="CX1069" s="82"/>
      <c r="CY1069" s="82"/>
      <c r="CZ1069" s="82"/>
      <c r="DA1069" s="82"/>
      <c r="DB1069" s="82"/>
      <c r="DC1069" s="82"/>
      <c r="DD1069" s="82"/>
      <c r="DE1069" s="82"/>
      <c r="DF1069" s="82"/>
      <c r="DG1069" s="82"/>
    </row>
    <row r="1070" spans="2:111" ht="9" customHeight="1">
      <c r="B1070" s="232" t="str">
        <f>IF($U$997&gt;=4,"Etapa 4.4","")</f>
        <v/>
      </c>
      <c r="C1070" s="232"/>
      <c r="D1070" s="232"/>
      <c r="E1070" s="232"/>
      <c r="F1070" s="232"/>
      <c r="G1070" s="232"/>
      <c r="I1070" s="233"/>
      <c r="J1070" s="233"/>
      <c r="K1070" s="233"/>
      <c r="L1070" s="233"/>
      <c r="M1070" s="233"/>
      <c r="N1070" s="233"/>
      <c r="O1070" s="233"/>
      <c r="P1070" s="233"/>
      <c r="Q1070" s="233"/>
      <c r="R1070" s="233"/>
      <c r="S1070" s="233"/>
      <c r="T1070" s="233"/>
      <c r="U1070" s="233"/>
      <c r="V1070" s="233"/>
      <c r="W1070" s="233"/>
      <c r="X1070" s="233"/>
      <c r="Y1070" s="233"/>
      <c r="Z1070" s="233"/>
      <c r="AA1070" s="233"/>
      <c r="AB1070" s="233"/>
      <c r="AC1070" s="233"/>
      <c r="AD1070" s="233"/>
      <c r="AE1070" s="233"/>
      <c r="AF1070" s="233"/>
      <c r="AG1070" s="233"/>
      <c r="AH1070" s="233"/>
      <c r="AI1070" s="233"/>
      <c r="AJ1070" s="233"/>
      <c r="AK1070" s="233"/>
      <c r="AL1070" s="233"/>
      <c r="AM1070" s="233"/>
      <c r="AN1070" s="233"/>
      <c r="AO1070" s="233"/>
      <c r="AP1070" s="233"/>
      <c r="AQ1070" s="233"/>
      <c r="AS1070" s="234" t="str">
        <f>IF(SUM(AS1076:BA1091)=0,"",SUM(AS1076:BA1091))</f>
        <v/>
      </c>
      <c r="AT1070" s="234"/>
      <c r="AU1070" s="234"/>
      <c r="AV1070" s="234"/>
      <c r="AW1070" s="234"/>
      <c r="AX1070" s="234"/>
      <c r="AY1070" s="234"/>
      <c r="AZ1070" s="234"/>
      <c r="BA1070" s="234"/>
      <c r="BC1070" s="82"/>
      <c r="BD1070" s="82"/>
      <c r="BE1070" s="82"/>
      <c r="BF1070" s="82"/>
      <c r="BG1070" s="82"/>
      <c r="BH1070" s="82"/>
      <c r="BI1070" s="82"/>
      <c r="BJ1070" s="82"/>
      <c r="BK1070" s="82"/>
      <c r="BL1070" s="82"/>
      <c r="BM1070" s="82"/>
      <c r="BN1070" s="82"/>
      <c r="BO1070" s="82"/>
      <c r="BP1070" s="82"/>
      <c r="BQ1070" s="82"/>
      <c r="BR1070" s="82"/>
      <c r="BS1070" s="82"/>
      <c r="BT1070" s="82"/>
      <c r="BU1070" s="82"/>
      <c r="BV1070" s="82"/>
      <c r="BW1070" s="82"/>
      <c r="BX1070" s="82"/>
      <c r="BY1070" s="82"/>
      <c r="BZ1070" s="82"/>
      <c r="CA1070" s="82"/>
      <c r="CB1070" s="82"/>
      <c r="CC1070" s="82"/>
      <c r="CD1070" s="82"/>
      <c r="CE1070" s="82"/>
      <c r="CF1070" s="82"/>
      <c r="CG1070" s="82"/>
      <c r="CH1070" s="82"/>
      <c r="CI1070" s="82"/>
      <c r="CJ1070" s="82"/>
      <c r="CK1070" s="82"/>
      <c r="CL1070" s="82"/>
      <c r="CM1070" s="82"/>
      <c r="CN1070" s="82"/>
      <c r="CO1070" s="82"/>
      <c r="CP1070" s="82"/>
      <c r="CQ1070" s="82"/>
      <c r="CR1070" s="82"/>
      <c r="CS1070" s="82"/>
      <c r="CT1070" s="82"/>
      <c r="CU1070" s="82"/>
      <c r="CV1070" s="82"/>
      <c r="CW1070" s="82"/>
      <c r="CX1070" s="82"/>
      <c r="CY1070" s="82"/>
      <c r="CZ1070" s="82"/>
      <c r="DA1070" s="82"/>
      <c r="DB1070" s="82"/>
      <c r="DC1070" s="82"/>
      <c r="DD1070" s="82"/>
      <c r="DE1070" s="82"/>
      <c r="DF1070" s="82"/>
      <c r="DG1070" s="82"/>
    </row>
    <row r="1071" spans="2:111" ht="9" customHeight="1">
      <c r="B1071" s="232"/>
      <c r="C1071" s="232"/>
      <c r="D1071" s="232"/>
      <c r="E1071" s="232"/>
      <c r="F1071" s="232"/>
      <c r="G1071" s="232"/>
      <c r="I1071" s="233"/>
      <c r="J1071" s="233"/>
      <c r="K1071" s="233"/>
      <c r="L1071" s="233"/>
      <c r="M1071" s="233"/>
      <c r="N1071" s="233"/>
      <c r="O1071" s="233"/>
      <c r="P1071" s="233"/>
      <c r="Q1071" s="233"/>
      <c r="R1071" s="233"/>
      <c r="S1071" s="233"/>
      <c r="T1071" s="233"/>
      <c r="U1071" s="233"/>
      <c r="V1071" s="233"/>
      <c r="W1071" s="233"/>
      <c r="X1071" s="233"/>
      <c r="Y1071" s="233"/>
      <c r="Z1071" s="233"/>
      <c r="AA1071" s="233"/>
      <c r="AB1071" s="233"/>
      <c r="AC1071" s="233"/>
      <c r="AD1071" s="233"/>
      <c r="AE1071" s="233"/>
      <c r="AF1071" s="233"/>
      <c r="AG1071" s="233"/>
      <c r="AH1071" s="233"/>
      <c r="AI1071" s="233"/>
      <c r="AJ1071" s="233"/>
      <c r="AK1071" s="233"/>
      <c r="AL1071" s="233"/>
      <c r="AM1071" s="233"/>
      <c r="AN1071" s="233"/>
      <c r="AO1071" s="233"/>
      <c r="AP1071" s="233"/>
      <c r="AQ1071" s="233"/>
      <c r="AS1071" s="234"/>
      <c r="AT1071" s="234"/>
      <c r="AU1071" s="234"/>
      <c r="AV1071" s="234"/>
      <c r="AW1071" s="234"/>
      <c r="AX1071" s="234"/>
      <c r="AY1071" s="234"/>
      <c r="AZ1071" s="234"/>
      <c r="BA1071" s="234"/>
      <c r="BC1071" s="82"/>
      <c r="BD1071" s="82"/>
      <c r="BE1071" s="82"/>
      <c r="BF1071" s="82"/>
      <c r="BG1071" s="82"/>
      <c r="BH1071" s="82"/>
      <c r="BI1071" s="82"/>
      <c r="BJ1071" s="82"/>
      <c r="BK1071" s="82"/>
      <c r="BL1071" s="82"/>
      <c r="BM1071" s="82"/>
      <c r="BN1071" s="82"/>
      <c r="BO1071" s="82"/>
      <c r="BP1071" s="82"/>
      <c r="BQ1071" s="82"/>
      <c r="BR1071" s="82"/>
      <c r="BS1071" s="82"/>
      <c r="BT1071" s="82"/>
      <c r="BU1071" s="82"/>
      <c r="BV1071" s="82"/>
      <c r="BW1071" s="82"/>
      <c r="BX1071" s="82"/>
      <c r="BY1071" s="82"/>
      <c r="BZ1071" s="82"/>
      <c r="CA1071" s="82"/>
      <c r="CB1071" s="82"/>
      <c r="CC1071" s="82"/>
      <c r="CD1071" s="82"/>
      <c r="CE1071" s="82"/>
      <c r="CF1071" s="82"/>
      <c r="CG1071" s="82"/>
      <c r="CH1071" s="82"/>
      <c r="CI1071" s="82"/>
      <c r="CJ1071" s="82"/>
      <c r="CK1071" s="82"/>
      <c r="CL1071" s="82"/>
      <c r="CM1071" s="82"/>
      <c r="CN1071" s="82"/>
      <c r="CO1071" s="82"/>
      <c r="CP1071" s="82"/>
      <c r="CQ1071" s="82"/>
      <c r="CR1071" s="82"/>
      <c r="CS1071" s="82"/>
      <c r="CT1071" s="82"/>
      <c r="CU1071" s="82"/>
      <c r="CV1071" s="82"/>
      <c r="CW1071" s="82"/>
      <c r="CX1071" s="82"/>
      <c r="CY1071" s="82"/>
      <c r="CZ1071" s="82"/>
      <c r="DA1071" s="82"/>
      <c r="DB1071" s="82"/>
      <c r="DC1071" s="82"/>
      <c r="DD1071" s="82"/>
      <c r="DE1071" s="82"/>
      <c r="DF1071" s="82"/>
      <c r="DG1071" s="82"/>
    </row>
    <row r="1072" spans="2:111" ht="4.5" customHeight="1">
      <c r="BC1072" s="82"/>
      <c r="BD1072" s="82"/>
      <c r="BE1072" s="82"/>
      <c r="BF1072" s="82"/>
      <c r="BG1072" s="82"/>
      <c r="BH1072" s="82"/>
      <c r="BI1072" s="82"/>
      <c r="BJ1072" s="82"/>
      <c r="BK1072" s="82"/>
      <c r="BL1072" s="82"/>
      <c r="BM1072" s="82"/>
      <c r="BN1072" s="82"/>
      <c r="BO1072" s="82"/>
      <c r="BP1072" s="82"/>
      <c r="BQ1072" s="82"/>
      <c r="BR1072" s="82"/>
      <c r="BS1072" s="82"/>
      <c r="BT1072" s="82"/>
      <c r="BU1072" s="82"/>
      <c r="BV1072" s="82"/>
      <c r="BW1072" s="82"/>
      <c r="BX1072" s="82"/>
      <c r="BY1072" s="82"/>
      <c r="BZ1072" s="82"/>
      <c r="CA1072" s="82"/>
      <c r="CB1072" s="82"/>
      <c r="CC1072" s="82"/>
      <c r="CD1072" s="82"/>
      <c r="CE1072" s="82"/>
      <c r="CF1072" s="82"/>
      <c r="CG1072" s="82"/>
      <c r="CH1072" s="82"/>
      <c r="CI1072" s="82"/>
      <c r="CJ1072" s="82"/>
      <c r="CK1072" s="82"/>
      <c r="CL1072" s="82"/>
      <c r="CM1072" s="82"/>
      <c r="CN1072" s="82"/>
      <c r="CO1072" s="82"/>
      <c r="CP1072" s="82"/>
      <c r="CQ1072" s="82"/>
      <c r="CR1072" s="82"/>
      <c r="CS1072" s="82"/>
      <c r="CT1072" s="82"/>
      <c r="CU1072" s="82"/>
      <c r="CV1072" s="82"/>
      <c r="CW1072" s="82"/>
      <c r="CX1072" s="82"/>
      <c r="CY1072" s="82"/>
      <c r="CZ1072" s="82"/>
      <c r="DA1072" s="82"/>
      <c r="DB1072" s="82"/>
      <c r="DC1072" s="82"/>
      <c r="DD1072" s="82"/>
      <c r="DE1072" s="82"/>
      <c r="DF1072" s="82"/>
      <c r="DG1072" s="82"/>
    </row>
    <row r="1073" spans="2:111" ht="9" customHeight="1">
      <c r="I1073" s="229" t="str">
        <f>IF($U$997&gt;=4,"Início:","")</f>
        <v/>
      </c>
      <c r="J1073" s="229"/>
      <c r="K1073" s="229"/>
      <c r="L1073" s="229"/>
      <c r="M1073" s="229"/>
      <c r="N1073" s="229"/>
      <c r="P1073" s="235"/>
      <c r="Q1073" s="235"/>
      <c r="R1073" s="235"/>
      <c r="S1073" s="235"/>
      <c r="T1073" s="235"/>
      <c r="U1073" s="235"/>
      <c r="V1073" s="235"/>
      <c r="W1073" s="235"/>
      <c r="Y1073" s="229" t="str">
        <f>IF($U$997&gt;=4,"Término:","")</f>
        <v/>
      </c>
      <c r="Z1073" s="229"/>
      <c r="AA1073" s="229"/>
      <c r="AB1073" s="229"/>
      <c r="AC1073" s="229"/>
      <c r="AD1073" s="229"/>
      <c r="AF1073" s="235"/>
      <c r="AG1073" s="235"/>
      <c r="AH1073" s="235"/>
      <c r="AI1073" s="235"/>
      <c r="AJ1073" s="235"/>
      <c r="AK1073" s="235"/>
      <c r="AL1073" s="235"/>
      <c r="AM1073" s="235"/>
      <c r="AW1073" s="236" t="str">
        <f>IF($U$997&gt;=4,"Valor (R$):","")</f>
        <v/>
      </c>
      <c r="AX1073" s="236"/>
      <c r="AY1073" s="236"/>
      <c r="AZ1073" s="236"/>
      <c r="BA1073" s="236"/>
      <c r="BC1073" s="82"/>
      <c r="BD1073" s="82"/>
      <c r="BE1073" s="82"/>
      <c r="BF1073" s="82"/>
      <c r="BG1073" s="82"/>
      <c r="BH1073" s="82"/>
      <c r="BI1073" s="82"/>
      <c r="BJ1073" s="82"/>
      <c r="BK1073" s="82"/>
      <c r="BL1073" s="82"/>
      <c r="BM1073" s="82"/>
      <c r="BN1073" s="82"/>
      <c r="BO1073" s="82"/>
      <c r="BP1073" s="82"/>
      <c r="BQ1073" s="82"/>
      <c r="BR1073" s="82"/>
      <c r="BS1073" s="82"/>
      <c r="BT1073" s="82"/>
      <c r="BU1073" s="82"/>
      <c r="BV1073" s="82"/>
      <c r="BW1073" s="82"/>
      <c r="BX1073" s="82"/>
      <c r="BY1073" s="82"/>
      <c r="BZ1073" s="82"/>
      <c r="CA1073" s="82"/>
      <c r="CB1073" s="82"/>
      <c r="CC1073" s="82"/>
      <c r="CD1073" s="82"/>
      <c r="CE1073" s="82"/>
      <c r="CF1073" s="82"/>
      <c r="CG1073" s="82"/>
      <c r="CH1073" s="82"/>
      <c r="CI1073" s="82"/>
      <c r="CJ1073" s="82"/>
      <c r="CK1073" s="82"/>
      <c r="CL1073" s="82"/>
      <c r="CM1073" s="82"/>
      <c r="CN1073" s="82"/>
      <c r="CO1073" s="82"/>
      <c r="CP1073" s="82"/>
      <c r="CQ1073" s="82"/>
      <c r="CR1073" s="82"/>
      <c r="CS1073" s="82"/>
      <c r="CT1073" s="82"/>
      <c r="CU1073" s="82"/>
      <c r="CV1073" s="82"/>
      <c r="CW1073" s="82"/>
      <c r="CX1073" s="82"/>
      <c r="CY1073" s="82"/>
      <c r="CZ1073" s="82"/>
      <c r="DA1073" s="82"/>
      <c r="DB1073" s="82"/>
      <c r="DC1073" s="82"/>
      <c r="DD1073" s="82"/>
      <c r="DE1073" s="82"/>
      <c r="DF1073" s="82"/>
      <c r="DG1073" s="82"/>
    </row>
    <row r="1074" spans="2:111" ht="9" customHeight="1">
      <c r="I1074" s="229"/>
      <c r="J1074" s="229"/>
      <c r="K1074" s="229"/>
      <c r="L1074" s="229"/>
      <c r="M1074" s="229"/>
      <c r="N1074" s="229"/>
      <c r="P1074" s="235"/>
      <c r="Q1074" s="235"/>
      <c r="R1074" s="235"/>
      <c r="S1074" s="235"/>
      <c r="T1074" s="235"/>
      <c r="U1074" s="235"/>
      <c r="V1074" s="235"/>
      <c r="W1074" s="235"/>
      <c r="Y1074" s="229"/>
      <c r="Z1074" s="229"/>
      <c r="AA1074" s="229"/>
      <c r="AB1074" s="229"/>
      <c r="AC1074" s="229"/>
      <c r="AD1074" s="229"/>
      <c r="AF1074" s="235"/>
      <c r="AG1074" s="235"/>
      <c r="AH1074" s="235"/>
      <c r="AI1074" s="235"/>
      <c r="AJ1074" s="235"/>
      <c r="AK1074" s="235"/>
      <c r="AL1074" s="235"/>
      <c r="AM1074" s="235"/>
      <c r="AW1074" s="236"/>
      <c r="AX1074" s="236"/>
      <c r="AY1074" s="236"/>
      <c r="AZ1074" s="236"/>
      <c r="BA1074" s="236"/>
      <c r="BC1074" s="82"/>
      <c r="BD1074" s="82"/>
      <c r="BE1074" s="82"/>
      <c r="BF1074" s="82"/>
      <c r="BG1074" s="82"/>
      <c r="BH1074" s="82"/>
      <c r="BI1074" s="82"/>
      <c r="BJ1074" s="82"/>
      <c r="BK1074" s="82"/>
      <c r="BL1074" s="82"/>
      <c r="BM1074" s="82"/>
      <c r="BN1074" s="82"/>
      <c r="BO1074" s="82"/>
      <c r="BP1074" s="82"/>
      <c r="BQ1074" s="82"/>
      <c r="BR1074" s="82"/>
      <c r="BS1074" s="82"/>
      <c r="BT1074" s="82"/>
      <c r="BU1074" s="82"/>
      <c r="BV1074" s="82"/>
      <c r="BW1074" s="82"/>
      <c r="BX1074" s="82"/>
      <c r="BY1074" s="82"/>
      <c r="BZ1074" s="82"/>
      <c r="CA1074" s="82"/>
      <c r="CB1074" s="82"/>
      <c r="CC1074" s="82"/>
      <c r="CD1074" s="82"/>
      <c r="CE1074" s="82"/>
      <c r="CF1074" s="82"/>
      <c r="CG1074" s="82"/>
      <c r="CH1074" s="82"/>
      <c r="CI1074" s="82"/>
      <c r="CJ1074" s="82"/>
      <c r="CK1074" s="82"/>
      <c r="CL1074" s="82"/>
      <c r="CM1074" s="82"/>
      <c r="CN1074" s="82"/>
      <c r="CO1074" s="82"/>
      <c r="CP1074" s="82"/>
      <c r="CQ1074" s="82"/>
      <c r="CR1074" s="82"/>
      <c r="CS1074" s="82"/>
      <c r="CT1074" s="82"/>
      <c r="CU1074" s="82"/>
      <c r="CV1074" s="82"/>
      <c r="CW1074" s="82"/>
      <c r="CX1074" s="82"/>
      <c r="CY1074" s="82"/>
      <c r="CZ1074" s="82"/>
      <c r="DA1074" s="82"/>
      <c r="DB1074" s="82"/>
      <c r="DC1074" s="82"/>
      <c r="DD1074" s="82"/>
      <c r="DE1074" s="82"/>
      <c r="DF1074" s="82"/>
      <c r="DG1074" s="82"/>
    </row>
    <row r="1075" spans="2:111" ht="4.5" customHeight="1">
      <c r="BC1075" s="82"/>
      <c r="BD1075" s="82"/>
      <c r="BE1075" s="82"/>
      <c r="BF1075" s="82"/>
      <c r="BG1075" s="82"/>
      <c r="BH1075" s="82"/>
      <c r="BI1075" s="82"/>
      <c r="BJ1075" s="82"/>
      <c r="BK1075" s="82"/>
      <c r="BL1075" s="82"/>
      <c r="BM1075" s="82"/>
      <c r="BN1075" s="82"/>
      <c r="BO1075" s="82"/>
      <c r="BP1075" s="82"/>
      <c r="BQ1075" s="82"/>
      <c r="BR1075" s="82"/>
      <c r="BS1075" s="82"/>
      <c r="BT1075" s="82"/>
      <c r="BU1075" s="82"/>
      <c r="BV1075" s="82"/>
      <c r="BW1075" s="82"/>
      <c r="BX1075" s="82"/>
      <c r="BY1075" s="82"/>
      <c r="BZ1075" s="82"/>
      <c r="CA1075" s="82"/>
      <c r="CB1075" s="82"/>
      <c r="CC1075" s="82"/>
      <c r="CD1075" s="82"/>
      <c r="CE1075" s="82"/>
      <c r="CF1075" s="82"/>
      <c r="CG1075" s="82"/>
      <c r="CH1075" s="82"/>
      <c r="CI1075" s="82"/>
      <c r="CJ1075" s="82"/>
      <c r="CK1075" s="82"/>
      <c r="CL1075" s="82"/>
      <c r="CM1075" s="82"/>
      <c r="CN1075" s="82"/>
      <c r="CO1075" s="82"/>
      <c r="CP1075" s="82"/>
      <c r="CQ1075" s="82"/>
      <c r="CR1075" s="82"/>
      <c r="CS1075" s="82"/>
      <c r="CT1075" s="82"/>
      <c r="CU1075" s="82"/>
      <c r="CV1075" s="82"/>
      <c r="CW1075" s="82"/>
      <c r="CX1075" s="82"/>
      <c r="CY1075" s="82"/>
      <c r="CZ1075" s="82"/>
      <c r="DA1075" s="82"/>
      <c r="DB1075" s="82"/>
      <c r="DC1075" s="82"/>
      <c r="DD1075" s="82"/>
      <c r="DE1075" s="82"/>
      <c r="DF1075" s="82"/>
      <c r="DG1075" s="82"/>
    </row>
    <row r="1076" spans="2:111" ht="9" customHeight="1">
      <c r="B1076" s="229" t="str">
        <f>IF($U$997&gt;=4,"Elementos de Despesa:","")</f>
        <v/>
      </c>
      <c r="C1076" s="229"/>
      <c r="D1076" s="229"/>
      <c r="E1076" s="229"/>
      <c r="F1076" s="229"/>
      <c r="G1076" s="229"/>
      <c r="H1076" s="229"/>
      <c r="I1076" s="229"/>
      <c r="J1076" s="229"/>
      <c r="K1076" s="229"/>
      <c r="L1076" s="229"/>
      <c r="M1076" s="229"/>
      <c r="N1076" s="229"/>
      <c r="P1076" s="230"/>
      <c r="Q1076" s="230"/>
      <c r="R1076" s="230"/>
      <c r="S1076" s="230"/>
      <c r="T1076" s="230"/>
      <c r="U1076" s="230"/>
      <c r="V1076" s="230"/>
      <c r="W1076" s="230"/>
      <c r="X1076" s="230"/>
      <c r="Y1076" s="230"/>
      <c r="Z1076" s="230"/>
      <c r="AA1076" s="230"/>
      <c r="AB1076" s="230"/>
      <c r="AC1076" s="230"/>
      <c r="AD1076" s="230"/>
      <c r="AE1076" s="230"/>
      <c r="AF1076" s="230"/>
      <c r="AG1076" s="230"/>
      <c r="AH1076" s="230"/>
      <c r="AI1076" s="230"/>
      <c r="AJ1076" s="230"/>
      <c r="AK1076" s="230"/>
      <c r="AL1076" s="230"/>
      <c r="AM1076" s="230"/>
      <c r="AN1076" s="230"/>
      <c r="AO1076" s="230"/>
      <c r="AP1076" s="230"/>
      <c r="AQ1076" s="230"/>
      <c r="AS1076" s="231"/>
      <c r="AT1076" s="231"/>
      <c r="AU1076" s="231"/>
      <c r="AV1076" s="231"/>
      <c r="AW1076" s="231"/>
      <c r="AX1076" s="231"/>
      <c r="AY1076" s="231"/>
      <c r="AZ1076" s="231"/>
      <c r="BA1076" s="231"/>
      <c r="BC1076" s="82"/>
      <c r="BD1076" s="82"/>
      <c r="BE1076" s="82"/>
      <c r="BF1076" s="82"/>
      <c r="BG1076" s="82"/>
      <c r="BH1076" s="82"/>
      <c r="BI1076" s="82"/>
      <c r="BJ1076" s="82"/>
      <c r="BK1076" s="82"/>
      <c r="BL1076" s="82"/>
      <c r="BM1076" s="82"/>
      <c r="BN1076" s="82"/>
      <c r="BO1076" s="82"/>
      <c r="BP1076" s="82"/>
      <c r="BQ1076" s="82"/>
      <c r="BR1076" s="82"/>
      <c r="BS1076" s="82"/>
      <c r="BT1076" s="82"/>
      <c r="BU1076" s="82"/>
      <c r="BV1076" s="82"/>
      <c r="BW1076" s="82"/>
      <c r="BX1076" s="82"/>
      <c r="BY1076" s="82"/>
      <c r="BZ1076" s="82"/>
      <c r="CA1076" s="82"/>
      <c r="CB1076" s="82"/>
      <c r="CC1076" s="82"/>
      <c r="CD1076" s="82"/>
      <c r="CE1076" s="82"/>
      <c r="CF1076" s="82"/>
      <c r="CG1076" s="82"/>
      <c r="CH1076" s="82"/>
      <c r="CI1076" s="82"/>
      <c r="CJ1076" s="82"/>
      <c r="CK1076" s="82"/>
      <c r="CL1076" s="82"/>
      <c r="CM1076" s="82"/>
      <c r="CN1076" s="82"/>
      <c r="CO1076" s="82"/>
      <c r="CP1076" s="82"/>
      <c r="CQ1076" s="82"/>
      <c r="CR1076" s="82"/>
      <c r="CS1076" s="82"/>
      <c r="CT1076" s="82"/>
      <c r="CU1076" s="82"/>
      <c r="CV1076" s="82"/>
      <c r="CW1076" s="82"/>
      <c r="CX1076" s="82"/>
      <c r="CY1076" s="82"/>
      <c r="CZ1076" s="82"/>
      <c r="DA1076" s="82"/>
      <c r="DB1076" s="82"/>
      <c r="DC1076" s="82"/>
      <c r="DD1076" s="82"/>
      <c r="DE1076" s="82"/>
      <c r="DF1076" s="82"/>
      <c r="DG1076" s="82"/>
    </row>
    <row r="1077" spans="2:111" ht="9" customHeight="1">
      <c r="B1077" s="229"/>
      <c r="C1077" s="229"/>
      <c r="D1077" s="229"/>
      <c r="E1077" s="229"/>
      <c r="F1077" s="229"/>
      <c r="G1077" s="229"/>
      <c r="H1077" s="229"/>
      <c r="I1077" s="229"/>
      <c r="J1077" s="229"/>
      <c r="K1077" s="229"/>
      <c r="L1077" s="229"/>
      <c r="M1077" s="229"/>
      <c r="N1077" s="229"/>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0"/>
      <c r="AL1077" s="230"/>
      <c r="AM1077" s="230"/>
      <c r="AN1077" s="230"/>
      <c r="AO1077" s="230"/>
      <c r="AP1077" s="230"/>
      <c r="AQ1077" s="230"/>
      <c r="AS1077" s="231"/>
      <c r="AT1077" s="231"/>
      <c r="AU1077" s="231"/>
      <c r="AV1077" s="231"/>
      <c r="AW1077" s="231"/>
      <c r="AX1077" s="231"/>
      <c r="AY1077" s="231"/>
      <c r="AZ1077" s="231"/>
      <c r="BA1077" s="231"/>
      <c r="BC1077" s="82"/>
      <c r="BD1077" s="82"/>
      <c r="BE1077" s="82"/>
      <c r="BF1077" s="82"/>
      <c r="BG1077" s="82"/>
      <c r="BH1077" s="82"/>
      <c r="BI1077" s="82"/>
      <c r="BJ1077" s="82"/>
      <c r="BK1077" s="82"/>
      <c r="BL1077" s="82"/>
      <c r="BM1077" s="82"/>
      <c r="BN1077" s="82"/>
      <c r="BO1077" s="82"/>
      <c r="BP1077" s="82"/>
      <c r="BQ1077" s="82"/>
      <c r="BR1077" s="82"/>
      <c r="BS1077" s="82"/>
      <c r="BT1077" s="82"/>
      <c r="BU1077" s="82"/>
      <c r="BV1077" s="82"/>
      <c r="BW1077" s="82"/>
      <c r="BX1077" s="82"/>
      <c r="BY1077" s="82"/>
      <c r="BZ1077" s="82"/>
      <c r="CA1077" s="82"/>
      <c r="CB1077" s="82"/>
      <c r="CC1077" s="82"/>
      <c r="CD1077" s="82"/>
      <c r="CE1077" s="82"/>
      <c r="CF1077" s="82"/>
      <c r="CG1077" s="82"/>
      <c r="CH1077" s="82"/>
      <c r="CI1077" s="82"/>
      <c r="CJ1077" s="82"/>
      <c r="CK1077" s="82"/>
      <c r="CL1077" s="82"/>
      <c r="CM1077" s="82"/>
      <c r="CN1077" s="82"/>
      <c r="CO1077" s="82"/>
      <c r="CP1077" s="82"/>
      <c r="CQ1077" s="82"/>
      <c r="CR1077" s="82"/>
      <c r="CS1077" s="82"/>
      <c r="CT1077" s="82"/>
      <c r="CU1077" s="82"/>
      <c r="CV1077" s="82"/>
      <c r="CW1077" s="82"/>
      <c r="CX1077" s="82"/>
      <c r="CY1077" s="82"/>
      <c r="CZ1077" s="82"/>
      <c r="DA1077" s="82"/>
      <c r="DB1077" s="82"/>
      <c r="DC1077" s="82"/>
      <c r="DD1077" s="82"/>
      <c r="DE1077" s="82"/>
      <c r="DF1077" s="82"/>
      <c r="DG1077" s="82"/>
    </row>
    <row r="1078" spans="2:111" ht="9" customHeight="1">
      <c r="B1078" s="229"/>
      <c r="C1078" s="229"/>
      <c r="D1078" s="229"/>
      <c r="E1078" s="229"/>
      <c r="F1078" s="229"/>
      <c r="G1078" s="229"/>
      <c r="H1078" s="229"/>
      <c r="I1078" s="229"/>
      <c r="J1078" s="229"/>
      <c r="K1078" s="229"/>
      <c r="L1078" s="229"/>
      <c r="M1078" s="229"/>
      <c r="N1078" s="229"/>
      <c r="P1078" s="230"/>
      <c r="Q1078" s="230"/>
      <c r="R1078" s="230"/>
      <c r="S1078" s="230"/>
      <c r="T1078" s="230"/>
      <c r="U1078" s="230"/>
      <c r="V1078" s="230"/>
      <c r="W1078" s="230"/>
      <c r="X1078" s="230"/>
      <c r="Y1078" s="230"/>
      <c r="Z1078" s="230"/>
      <c r="AA1078" s="230"/>
      <c r="AB1078" s="230"/>
      <c r="AC1078" s="230"/>
      <c r="AD1078" s="230"/>
      <c r="AE1078" s="230"/>
      <c r="AF1078" s="230"/>
      <c r="AG1078" s="230"/>
      <c r="AH1078" s="230"/>
      <c r="AI1078" s="230"/>
      <c r="AJ1078" s="230"/>
      <c r="AK1078" s="230"/>
      <c r="AL1078" s="230"/>
      <c r="AM1078" s="230"/>
      <c r="AN1078" s="230"/>
      <c r="AO1078" s="230"/>
      <c r="AP1078" s="230"/>
      <c r="AQ1078" s="230"/>
      <c r="AS1078" s="231"/>
      <c r="AT1078" s="231"/>
      <c r="AU1078" s="231"/>
      <c r="AV1078" s="231"/>
      <c r="AW1078" s="231"/>
      <c r="AX1078" s="231"/>
      <c r="AY1078" s="231"/>
      <c r="AZ1078" s="231"/>
      <c r="BA1078" s="231"/>
      <c r="BC1078" s="82"/>
      <c r="BD1078" s="82"/>
      <c r="BE1078" s="82"/>
      <c r="BF1078" s="82"/>
      <c r="BG1078" s="82"/>
      <c r="BH1078" s="82"/>
      <c r="BI1078" s="82"/>
      <c r="BJ1078" s="82"/>
      <c r="BK1078" s="82"/>
      <c r="BL1078" s="82"/>
      <c r="BM1078" s="82"/>
      <c r="BN1078" s="82"/>
      <c r="BO1078" s="82"/>
      <c r="BP1078" s="82"/>
      <c r="BQ1078" s="82"/>
      <c r="BR1078" s="82"/>
      <c r="BS1078" s="82"/>
      <c r="BT1078" s="82"/>
      <c r="BU1078" s="82"/>
      <c r="BV1078" s="82"/>
      <c r="BW1078" s="82"/>
      <c r="BX1078" s="82"/>
      <c r="BY1078" s="82"/>
      <c r="BZ1078" s="82"/>
      <c r="CA1078" s="82"/>
      <c r="CB1078" s="82"/>
      <c r="CC1078" s="82"/>
      <c r="CD1078" s="82"/>
      <c r="CE1078" s="82"/>
      <c r="CF1078" s="82"/>
      <c r="CG1078" s="82"/>
      <c r="CH1078" s="82"/>
      <c r="CI1078" s="82"/>
      <c r="CJ1078" s="82"/>
      <c r="CK1078" s="82"/>
      <c r="CL1078" s="82"/>
      <c r="CM1078" s="82"/>
      <c r="CN1078" s="82"/>
      <c r="CO1078" s="82"/>
      <c r="CP1078" s="82"/>
      <c r="CQ1078" s="82"/>
      <c r="CR1078" s="82"/>
      <c r="CS1078" s="82"/>
      <c r="CT1078" s="82"/>
      <c r="CU1078" s="82"/>
      <c r="CV1078" s="82"/>
      <c r="CW1078" s="82"/>
      <c r="CX1078" s="82"/>
      <c r="CY1078" s="82"/>
      <c r="CZ1078" s="82"/>
      <c r="DA1078" s="82"/>
      <c r="DB1078" s="82"/>
      <c r="DC1078" s="82"/>
      <c r="DD1078" s="82"/>
      <c r="DE1078" s="82"/>
      <c r="DF1078" s="82"/>
      <c r="DG1078" s="82"/>
    </row>
    <row r="1079" spans="2:111" ht="9" customHeight="1">
      <c r="B1079" s="229"/>
      <c r="C1079" s="229"/>
      <c r="D1079" s="229"/>
      <c r="E1079" s="229"/>
      <c r="F1079" s="229"/>
      <c r="G1079" s="229"/>
      <c r="H1079" s="229"/>
      <c r="I1079" s="229"/>
      <c r="J1079" s="229"/>
      <c r="K1079" s="229"/>
      <c r="L1079" s="229"/>
      <c r="M1079" s="229"/>
      <c r="N1079" s="229"/>
      <c r="P1079" s="230"/>
      <c r="Q1079" s="230"/>
      <c r="R1079" s="230"/>
      <c r="S1079" s="230"/>
      <c r="T1079" s="230"/>
      <c r="U1079" s="230"/>
      <c r="V1079" s="230"/>
      <c r="W1079" s="230"/>
      <c r="X1079" s="230"/>
      <c r="Y1079" s="230"/>
      <c r="Z1079" s="230"/>
      <c r="AA1079" s="230"/>
      <c r="AB1079" s="230"/>
      <c r="AC1079" s="230"/>
      <c r="AD1079" s="230"/>
      <c r="AE1079" s="230"/>
      <c r="AF1079" s="230"/>
      <c r="AG1079" s="230"/>
      <c r="AH1079" s="230"/>
      <c r="AI1079" s="230"/>
      <c r="AJ1079" s="230"/>
      <c r="AK1079" s="230"/>
      <c r="AL1079" s="230"/>
      <c r="AM1079" s="230"/>
      <c r="AN1079" s="230"/>
      <c r="AO1079" s="230"/>
      <c r="AP1079" s="230"/>
      <c r="AQ1079" s="230"/>
      <c r="AS1079" s="231"/>
      <c r="AT1079" s="231"/>
      <c r="AU1079" s="231"/>
      <c r="AV1079" s="231"/>
      <c r="AW1079" s="231"/>
      <c r="AX1079" s="231"/>
      <c r="AY1079" s="231"/>
      <c r="AZ1079" s="231"/>
      <c r="BA1079" s="231"/>
      <c r="BC1079" s="82"/>
      <c r="BD1079" s="82"/>
      <c r="BE1079" s="82"/>
      <c r="BF1079" s="82"/>
      <c r="BG1079" s="82"/>
      <c r="BH1079" s="82"/>
      <c r="BI1079" s="82"/>
      <c r="BJ1079" s="82"/>
      <c r="BK1079" s="82"/>
      <c r="BL1079" s="82"/>
      <c r="BM1079" s="82"/>
      <c r="BN1079" s="82"/>
      <c r="BO1079" s="82"/>
      <c r="BP1079" s="82"/>
      <c r="BQ1079" s="82"/>
      <c r="BR1079" s="82"/>
      <c r="BS1079" s="82"/>
      <c r="BT1079" s="82"/>
      <c r="BU1079" s="82"/>
      <c r="BV1079" s="82"/>
      <c r="BW1079" s="82"/>
      <c r="BX1079" s="82"/>
      <c r="BY1079" s="82"/>
      <c r="BZ1079" s="82"/>
      <c r="CA1079" s="82"/>
      <c r="CB1079" s="82"/>
      <c r="CC1079" s="82"/>
      <c r="CD1079" s="82"/>
      <c r="CE1079" s="82"/>
      <c r="CF1079" s="82"/>
      <c r="CG1079" s="82"/>
      <c r="CH1079" s="82"/>
      <c r="CI1079" s="82"/>
      <c r="CJ1079" s="82"/>
      <c r="CK1079" s="82"/>
      <c r="CL1079" s="82"/>
      <c r="CM1079" s="82"/>
      <c r="CN1079" s="82"/>
      <c r="CO1079" s="82"/>
      <c r="CP1079" s="82"/>
      <c r="CQ1079" s="82"/>
      <c r="CR1079" s="82"/>
      <c r="CS1079" s="82"/>
      <c r="CT1079" s="82"/>
      <c r="CU1079" s="82"/>
      <c r="CV1079" s="82"/>
      <c r="CW1079" s="82"/>
      <c r="CX1079" s="82"/>
      <c r="CY1079" s="82"/>
      <c r="CZ1079" s="82"/>
      <c r="DA1079" s="82"/>
      <c r="DB1079" s="82"/>
      <c r="DC1079" s="82"/>
      <c r="DD1079" s="82"/>
      <c r="DE1079" s="82"/>
      <c r="DF1079" s="82"/>
      <c r="DG1079" s="82"/>
    </row>
    <row r="1080" spans="2:111" ht="9" customHeight="1">
      <c r="B1080" s="229"/>
      <c r="C1080" s="229"/>
      <c r="D1080" s="229"/>
      <c r="E1080" s="229"/>
      <c r="F1080" s="229"/>
      <c r="G1080" s="229"/>
      <c r="H1080" s="229"/>
      <c r="I1080" s="229"/>
      <c r="J1080" s="229"/>
      <c r="K1080" s="229"/>
      <c r="L1080" s="229"/>
      <c r="M1080" s="229"/>
      <c r="N1080" s="229"/>
      <c r="P1080" s="230"/>
      <c r="Q1080" s="230"/>
      <c r="R1080" s="230"/>
      <c r="S1080" s="230"/>
      <c r="T1080" s="230"/>
      <c r="U1080" s="230"/>
      <c r="V1080" s="230"/>
      <c r="W1080" s="230"/>
      <c r="X1080" s="230"/>
      <c r="Y1080" s="230"/>
      <c r="Z1080" s="230"/>
      <c r="AA1080" s="230"/>
      <c r="AB1080" s="230"/>
      <c r="AC1080" s="230"/>
      <c r="AD1080" s="230"/>
      <c r="AE1080" s="230"/>
      <c r="AF1080" s="230"/>
      <c r="AG1080" s="230"/>
      <c r="AH1080" s="230"/>
      <c r="AI1080" s="230"/>
      <c r="AJ1080" s="230"/>
      <c r="AK1080" s="230"/>
      <c r="AL1080" s="230"/>
      <c r="AM1080" s="230"/>
      <c r="AN1080" s="230"/>
      <c r="AO1080" s="230"/>
      <c r="AP1080" s="230"/>
      <c r="AQ1080" s="230"/>
      <c r="AS1080" s="231"/>
      <c r="AT1080" s="231"/>
      <c r="AU1080" s="231"/>
      <c r="AV1080" s="231"/>
      <c r="AW1080" s="231"/>
      <c r="AX1080" s="231"/>
      <c r="AY1080" s="231"/>
      <c r="AZ1080" s="231"/>
      <c r="BA1080" s="231"/>
      <c r="BC1080" s="82"/>
      <c r="BD1080" s="82"/>
      <c r="BE1080" s="82"/>
      <c r="BF1080" s="82"/>
      <c r="BG1080" s="82"/>
      <c r="BH1080" s="82"/>
      <c r="BI1080" s="82"/>
      <c r="BJ1080" s="82"/>
      <c r="BK1080" s="82"/>
      <c r="BL1080" s="82"/>
      <c r="BM1080" s="82"/>
      <c r="BN1080" s="82"/>
      <c r="BO1080" s="82"/>
      <c r="BP1080" s="82"/>
      <c r="BQ1080" s="82"/>
      <c r="BR1080" s="82"/>
      <c r="BS1080" s="82"/>
      <c r="BT1080" s="82"/>
      <c r="BU1080" s="82"/>
      <c r="BV1080" s="82"/>
      <c r="BW1080" s="82"/>
      <c r="BX1080" s="82"/>
      <c r="BY1080" s="82"/>
      <c r="BZ1080" s="82"/>
      <c r="CA1080" s="82"/>
      <c r="CB1080" s="82"/>
      <c r="CC1080" s="82"/>
      <c r="CD1080" s="82"/>
      <c r="CE1080" s="82"/>
      <c r="CF1080" s="82"/>
      <c r="CG1080" s="82"/>
      <c r="CH1080" s="82"/>
      <c r="CI1080" s="82"/>
      <c r="CJ1080" s="82"/>
      <c r="CK1080" s="82"/>
      <c r="CL1080" s="82"/>
      <c r="CM1080" s="82"/>
      <c r="CN1080" s="82"/>
      <c r="CO1080" s="82"/>
      <c r="CP1080" s="82"/>
      <c r="CQ1080" s="82"/>
      <c r="CR1080" s="82"/>
      <c r="CS1080" s="82"/>
      <c r="CT1080" s="82"/>
      <c r="CU1080" s="82"/>
      <c r="CV1080" s="82"/>
      <c r="CW1080" s="82"/>
      <c r="CX1080" s="82"/>
      <c r="CY1080" s="82"/>
      <c r="CZ1080" s="82"/>
      <c r="DA1080" s="82"/>
      <c r="DB1080" s="82"/>
      <c r="DC1080" s="82"/>
      <c r="DD1080" s="82"/>
      <c r="DE1080" s="82"/>
      <c r="DF1080" s="82"/>
      <c r="DG1080" s="82"/>
    </row>
    <row r="1081" spans="2:111" ht="9" customHeight="1">
      <c r="B1081" s="229"/>
      <c r="C1081" s="229"/>
      <c r="D1081" s="229"/>
      <c r="E1081" s="229"/>
      <c r="F1081" s="229"/>
      <c r="G1081" s="229"/>
      <c r="H1081" s="229"/>
      <c r="I1081" s="229"/>
      <c r="J1081" s="229"/>
      <c r="K1081" s="229"/>
      <c r="L1081" s="229"/>
      <c r="M1081" s="229"/>
      <c r="N1081" s="229"/>
      <c r="P1081" s="230"/>
      <c r="Q1081" s="230"/>
      <c r="R1081" s="230"/>
      <c r="S1081" s="230"/>
      <c r="T1081" s="230"/>
      <c r="U1081" s="230"/>
      <c r="V1081" s="230"/>
      <c r="W1081" s="230"/>
      <c r="X1081" s="230"/>
      <c r="Y1081" s="230"/>
      <c r="Z1081" s="230"/>
      <c r="AA1081" s="230"/>
      <c r="AB1081" s="230"/>
      <c r="AC1081" s="230"/>
      <c r="AD1081" s="230"/>
      <c r="AE1081" s="230"/>
      <c r="AF1081" s="230"/>
      <c r="AG1081" s="230"/>
      <c r="AH1081" s="230"/>
      <c r="AI1081" s="230"/>
      <c r="AJ1081" s="230"/>
      <c r="AK1081" s="230"/>
      <c r="AL1081" s="230"/>
      <c r="AM1081" s="230"/>
      <c r="AN1081" s="230"/>
      <c r="AO1081" s="230"/>
      <c r="AP1081" s="230"/>
      <c r="AQ1081" s="230"/>
      <c r="AS1081" s="231"/>
      <c r="AT1081" s="231"/>
      <c r="AU1081" s="231"/>
      <c r="AV1081" s="231"/>
      <c r="AW1081" s="231"/>
      <c r="AX1081" s="231"/>
      <c r="AY1081" s="231"/>
      <c r="AZ1081" s="231"/>
      <c r="BA1081" s="231"/>
      <c r="BC1081" s="82"/>
      <c r="BD1081" s="82"/>
      <c r="BE1081" s="82"/>
      <c r="BF1081" s="82"/>
      <c r="BG1081" s="82"/>
      <c r="BH1081" s="82"/>
      <c r="BI1081" s="82"/>
      <c r="BJ1081" s="82"/>
      <c r="BK1081" s="82"/>
      <c r="BL1081" s="82"/>
      <c r="BM1081" s="82"/>
      <c r="BN1081" s="82"/>
      <c r="BO1081" s="82"/>
      <c r="BP1081" s="82"/>
      <c r="BQ1081" s="82"/>
      <c r="BR1081" s="82"/>
      <c r="BS1081" s="82"/>
      <c r="BT1081" s="82"/>
      <c r="BU1081" s="82"/>
      <c r="BV1081" s="82"/>
      <c r="BW1081" s="82"/>
      <c r="BX1081" s="82"/>
      <c r="BY1081" s="82"/>
      <c r="BZ1081" s="82"/>
      <c r="CA1081" s="82"/>
      <c r="CB1081" s="82"/>
      <c r="CC1081" s="82"/>
      <c r="CD1081" s="82"/>
      <c r="CE1081" s="82"/>
      <c r="CF1081" s="82"/>
      <c r="CG1081" s="82"/>
      <c r="CH1081" s="82"/>
      <c r="CI1081" s="82"/>
      <c r="CJ1081" s="82"/>
      <c r="CK1081" s="82"/>
      <c r="CL1081" s="82"/>
      <c r="CM1081" s="82"/>
      <c r="CN1081" s="82"/>
      <c r="CO1081" s="82"/>
      <c r="CP1081" s="82"/>
      <c r="CQ1081" s="82"/>
      <c r="CR1081" s="82"/>
      <c r="CS1081" s="82"/>
      <c r="CT1081" s="82"/>
      <c r="CU1081" s="82"/>
      <c r="CV1081" s="82"/>
      <c r="CW1081" s="82"/>
      <c r="CX1081" s="82"/>
      <c r="CY1081" s="82"/>
      <c r="CZ1081" s="82"/>
      <c r="DA1081" s="82"/>
      <c r="DB1081" s="82"/>
      <c r="DC1081" s="82"/>
      <c r="DD1081" s="82"/>
      <c r="DE1081" s="82"/>
      <c r="DF1081" s="82"/>
      <c r="DG1081" s="82"/>
    </row>
    <row r="1082" spans="2:111" ht="9" customHeight="1">
      <c r="B1082" s="229"/>
      <c r="C1082" s="229"/>
      <c r="D1082" s="229"/>
      <c r="E1082" s="229"/>
      <c r="F1082" s="229"/>
      <c r="G1082" s="229"/>
      <c r="H1082" s="229"/>
      <c r="I1082" s="229"/>
      <c r="J1082" s="229"/>
      <c r="K1082" s="229"/>
      <c r="L1082" s="229"/>
      <c r="M1082" s="229"/>
      <c r="N1082" s="229"/>
      <c r="P1082" s="230"/>
      <c r="Q1082" s="230"/>
      <c r="R1082" s="230"/>
      <c r="S1082" s="230"/>
      <c r="T1082" s="230"/>
      <c r="U1082" s="230"/>
      <c r="V1082" s="230"/>
      <c r="W1082" s="230"/>
      <c r="X1082" s="230"/>
      <c r="Y1082" s="230"/>
      <c r="Z1082" s="230"/>
      <c r="AA1082" s="230"/>
      <c r="AB1082" s="230"/>
      <c r="AC1082" s="230"/>
      <c r="AD1082" s="230"/>
      <c r="AE1082" s="230"/>
      <c r="AF1082" s="230"/>
      <c r="AG1082" s="230"/>
      <c r="AH1082" s="230"/>
      <c r="AI1082" s="230"/>
      <c r="AJ1082" s="230"/>
      <c r="AK1082" s="230"/>
      <c r="AL1082" s="230"/>
      <c r="AM1082" s="230"/>
      <c r="AN1082" s="230"/>
      <c r="AO1082" s="230"/>
      <c r="AP1082" s="230"/>
      <c r="AQ1082" s="230"/>
      <c r="AS1082" s="231"/>
      <c r="AT1082" s="231"/>
      <c r="AU1082" s="231"/>
      <c r="AV1082" s="231"/>
      <c r="AW1082" s="231"/>
      <c r="AX1082" s="231"/>
      <c r="AY1082" s="231"/>
      <c r="AZ1082" s="231"/>
      <c r="BA1082" s="231"/>
      <c r="BC1082" s="82"/>
      <c r="BD1082" s="82"/>
      <c r="BE1082" s="82"/>
      <c r="BF1082" s="82"/>
      <c r="BG1082" s="82"/>
      <c r="BH1082" s="82"/>
      <c r="BI1082" s="82"/>
      <c r="BJ1082" s="82"/>
      <c r="BK1082" s="82"/>
      <c r="BL1082" s="82"/>
      <c r="BM1082" s="82"/>
      <c r="BN1082" s="82"/>
      <c r="BO1082" s="82"/>
      <c r="BP1082" s="82"/>
      <c r="BQ1082" s="82"/>
      <c r="BR1082" s="82"/>
      <c r="BS1082" s="82"/>
      <c r="BT1082" s="82"/>
      <c r="BU1082" s="82"/>
      <c r="BV1082" s="82"/>
      <c r="BW1082" s="82"/>
      <c r="BX1082" s="82"/>
      <c r="BY1082" s="82"/>
      <c r="BZ1082" s="82"/>
      <c r="CA1082" s="82"/>
      <c r="CB1082" s="82"/>
      <c r="CC1082" s="82"/>
      <c r="CD1082" s="82"/>
      <c r="CE1082" s="82"/>
      <c r="CF1082" s="82"/>
      <c r="CG1082" s="82"/>
      <c r="CH1082" s="82"/>
      <c r="CI1082" s="82"/>
      <c r="CJ1082" s="82"/>
      <c r="CK1082" s="82"/>
      <c r="CL1082" s="82"/>
      <c r="CM1082" s="82"/>
      <c r="CN1082" s="82"/>
      <c r="CO1082" s="82"/>
      <c r="CP1082" s="82"/>
      <c r="CQ1082" s="82"/>
      <c r="CR1082" s="82"/>
      <c r="CS1082" s="82"/>
      <c r="CT1082" s="82"/>
      <c r="CU1082" s="82"/>
      <c r="CV1082" s="82"/>
      <c r="CW1082" s="82"/>
      <c r="CX1082" s="82"/>
      <c r="CY1082" s="82"/>
      <c r="CZ1082" s="82"/>
      <c r="DA1082" s="82"/>
      <c r="DB1082" s="82"/>
      <c r="DC1082" s="82"/>
      <c r="DD1082" s="82"/>
      <c r="DE1082" s="82"/>
      <c r="DF1082" s="82"/>
      <c r="DG1082" s="82"/>
    </row>
    <row r="1083" spans="2:111" ht="9" customHeight="1">
      <c r="B1083" s="229"/>
      <c r="C1083" s="229"/>
      <c r="D1083" s="229"/>
      <c r="E1083" s="229"/>
      <c r="F1083" s="229"/>
      <c r="G1083" s="229"/>
      <c r="H1083" s="229"/>
      <c r="I1083" s="229"/>
      <c r="J1083" s="229"/>
      <c r="K1083" s="229"/>
      <c r="L1083" s="229"/>
      <c r="M1083" s="229"/>
      <c r="N1083" s="229"/>
      <c r="P1083" s="230"/>
      <c r="Q1083" s="230"/>
      <c r="R1083" s="230"/>
      <c r="S1083" s="230"/>
      <c r="T1083" s="230"/>
      <c r="U1083" s="230"/>
      <c r="V1083" s="230"/>
      <c r="W1083" s="230"/>
      <c r="X1083" s="230"/>
      <c r="Y1083" s="230"/>
      <c r="Z1083" s="230"/>
      <c r="AA1083" s="230"/>
      <c r="AB1083" s="230"/>
      <c r="AC1083" s="230"/>
      <c r="AD1083" s="230"/>
      <c r="AE1083" s="230"/>
      <c r="AF1083" s="230"/>
      <c r="AG1083" s="230"/>
      <c r="AH1083" s="230"/>
      <c r="AI1083" s="230"/>
      <c r="AJ1083" s="230"/>
      <c r="AK1083" s="230"/>
      <c r="AL1083" s="230"/>
      <c r="AM1083" s="230"/>
      <c r="AN1083" s="230"/>
      <c r="AO1083" s="230"/>
      <c r="AP1083" s="230"/>
      <c r="AQ1083" s="230"/>
      <c r="AS1083" s="231"/>
      <c r="AT1083" s="231"/>
      <c r="AU1083" s="231"/>
      <c r="AV1083" s="231"/>
      <c r="AW1083" s="231"/>
      <c r="AX1083" s="231"/>
      <c r="AY1083" s="231"/>
      <c r="AZ1083" s="231"/>
      <c r="BA1083" s="231"/>
      <c r="BC1083" s="82"/>
      <c r="BD1083" s="82"/>
      <c r="BE1083" s="82"/>
      <c r="BF1083" s="82"/>
      <c r="BG1083" s="82"/>
      <c r="BH1083" s="82"/>
      <c r="BI1083" s="82"/>
      <c r="BJ1083" s="82"/>
      <c r="BK1083" s="82"/>
      <c r="BL1083" s="82"/>
      <c r="BM1083" s="82"/>
      <c r="BN1083" s="82"/>
      <c r="BO1083" s="82"/>
      <c r="BP1083" s="82"/>
      <c r="BQ1083" s="82"/>
      <c r="BR1083" s="82"/>
      <c r="BS1083" s="82"/>
      <c r="BT1083" s="82"/>
      <c r="BU1083" s="82"/>
      <c r="BV1083" s="82"/>
      <c r="BW1083" s="82"/>
      <c r="BX1083" s="82"/>
      <c r="BY1083" s="82"/>
      <c r="BZ1083" s="82"/>
      <c r="CA1083" s="82"/>
      <c r="CB1083" s="82"/>
      <c r="CC1083" s="82"/>
      <c r="CD1083" s="82"/>
      <c r="CE1083" s="82"/>
      <c r="CF1083" s="82"/>
      <c r="CG1083" s="82"/>
      <c r="CH1083" s="82"/>
      <c r="CI1083" s="82"/>
      <c r="CJ1083" s="82"/>
      <c r="CK1083" s="82"/>
      <c r="CL1083" s="82"/>
      <c r="CM1083" s="82"/>
      <c r="CN1083" s="82"/>
      <c r="CO1083" s="82"/>
      <c r="CP1083" s="82"/>
      <c r="CQ1083" s="82"/>
      <c r="CR1083" s="82"/>
      <c r="CS1083" s="82"/>
      <c r="CT1083" s="82"/>
      <c r="CU1083" s="82"/>
      <c r="CV1083" s="82"/>
      <c r="CW1083" s="82"/>
      <c r="CX1083" s="82"/>
      <c r="CY1083" s="82"/>
      <c r="CZ1083" s="82"/>
      <c r="DA1083" s="82"/>
      <c r="DB1083" s="82"/>
      <c r="DC1083" s="82"/>
      <c r="DD1083" s="82"/>
      <c r="DE1083" s="82"/>
      <c r="DF1083" s="82"/>
      <c r="DG1083" s="82"/>
    </row>
    <row r="1084" spans="2:111" ht="9" customHeight="1">
      <c r="B1084" s="229"/>
      <c r="C1084" s="229"/>
      <c r="D1084" s="229"/>
      <c r="E1084" s="229"/>
      <c r="F1084" s="229"/>
      <c r="G1084" s="229"/>
      <c r="H1084" s="229"/>
      <c r="I1084" s="229"/>
      <c r="J1084" s="229"/>
      <c r="K1084" s="229"/>
      <c r="L1084" s="229"/>
      <c r="M1084" s="229"/>
      <c r="N1084" s="229"/>
      <c r="P1084" s="230"/>
      <c r="Q1084" s="230"/>
      <c r="R1084" s="230"/>
      <c r="S1084" s="230"/>
      <c r="T1084" s="230"/>
      <c r="U1084" s="230"/>
      <c r="V1084" s="230"/>
      <c r="W1084" s="230"/>
      <c r="X1084" s="230"/>
      <c r="Y1084" s="230"/>
      <c r="Z1084" s="230"/>
      <c r="AA1084" s="230"/>
      <c r="AB1084" s="230"/>
      <c r="AC1084" s="230"/>
      <c r="AD1084" s="230"/>
      <c r="AE1084" s="230"/>
      <c r="AF1084" s="230"/>
      <c r="AG1084" s="230"/>
      <c r="AH1084" s="230"/>
      <c r="AI1084" s="230"/>
      <c r="AJ1084" s="230"/>
      <c r="AK1084" s="230"/>
      <c r="AL1084" s="230"/>
      <c r="AM1084" s="230"/>
      <c r="AN1084" s="230"/>
      <c r="AO1084" s="230"/>
      <c r="AP1084" s="230"/>
      <c r="AQ1084" s="230"/>
      <c r="AS1084" s="231"/>
      <c r="AT1084" s="231"/>
      <c r="AU1084" s="231"/>
      <c r="AV1084" s="231"/>
      <c r="AW1084" s="231"/>
      <c r="AX1084" s="231"/>
      <c r="AY1084" s="231"/>
      <c r="AZ1084" s="231"/>
      <c r="BA1084" s="231"/>
      <c r="BC1084" s="82"/>
      <c r="BD1084" s="82"/>
      <c r="BE1084" s="82"/>
      <c r="BF1084" s="82"/>
      <c r="BG1084" s="82"/>
      <c r="BH1084" s="82"/>
      <c r="BI1084" s="82"/>
      <c r="BJ1084" s="82"/>
      <c r="BK1084" s="82"/>
      <c r="BL1084" s="82"/>
      <c r="BM1084" s="82"/>
      <c r="BN1084" s="82"/>
      <c r="BO1084" s="82"/>
      <c r="BP1084" s="82"/>
      <c r="BQ1084" s="82"/>
      <c r="BR1084" s="82"/>
      <c r="BS1084" s="82"/>
      <c r="BT1084" s="82"/>
      <c r="BU1084" s="82"/>
      <c r="BV1084" s="82"/>
      <c r="BW1084" s="82"/>
      <c r="BX1084" s="82"/>
      <c r="BY1084" s="82"/>
      <c r="BZ1084" s="82"/>
      <c r="CA1084" s="82"/>
      <c r="CB1084" s="82"/>
      <c r="CC1084" s="82"/>
      <c r="CD1084" s="82"/>
      <c r="CE1084" s="82"/>
      <c r="CF1084" s="82"/>
      <c r="CG1084" s="82"/>
      <c r="CH1084" s="82"/>
      <c r="CI1084" s="82"/>
      <c r="CJ1084" s="82"/>
      <c r="CK1084" s="82"/>
      <c r="CL1084" s="82"/>
      <c r="CM1084" s="82"/>
      <c r="CN1084" s="82"/>
      <c r="CO1084" s="82"/>
      <c r="CP1084" s="82"/>
      <c r="CQ1084" s="82"/>
      <c r="CR1084" s="82"/>
      <c r="CS1084" s="82"/>
      <c r="CT1084" s="82"/>
      <c r="CU1084" s="82"/>
      <c r="CV1084" s="82"/>
      <c r="CW1084" s="82"/>
      <c r="CX1084" s="82"/>
      <c r="CY1084" s="82"/>
      <c r="CZ1084" s="82"/>
      <c r="DA1084" s="82"/>
      <c r="DB1084" s="82"/>
      <c r="DC1084" s="82"/>
      <c r="DD1084" s="82"/>
      <c r="DE1084" s="82"/>
      <c r="DF1084" s="82"/>
      <c r="DG1084" s="82"/>
    </row>
    <row r="1085" spans="2:111" ht="9" customHeight="1">
      <c r="B1085" s="229"/>
      <c r="C1085" s="229"/>
      <c r="D1085" s="229"/>
      <c r="E1085" s="229"/>
      <c r="F1085" s="229"/>
      <c r="G1085" s="229"/>
      <c r="H1085" s="229"/>
      <c r="I1085" s="229"/>
      <c r="J1085" s="229"/>
      <c r="K1085" s="229"/>
      <c r="L1085" s="229"/>
      <c r="M1085" s="229"/>
      <c r="N1085" s="229"/>
      <c r="P1085" s="230"/>
      <c r="Q1085" s="230"/>
      <c r="R1085" s="230"/>
      <c r="S1085" s="230"/>
      <c r="T1085" s="230"/>
      <c r="U1085" s="230"/>
      <c r="V1085" s="230"/>
      <c r="W1085" s="230"/>
      <c r="X1085" s="230"/>
      <c r="Y1085" s="230"/>
      <c r="Z1085" s="230"/>
      <c r="AA1085" s="230"/>
      <c r="AB1085" s="230"/>
      <c r="AC1085" s="230"/>
      <c r="AD1085" s="230"/>
      <c r="AE1085" s="230"/>
      <c r="AF1085" s="230"/>
      <c r="AG1085" s="230"/>
      <c r="AH1085" s="230"/>
      <c r="AI1085" s="230"/>
      <c r="AJ1085" s="230"/>
      <c r="AK1085" s="230"/>
      <c r="AL1085" s="230"/>
      <c r="AM1085" s="230"/>
      <c r="AN1085" s="230"/>
      <c r="AO1085" s="230"/>
      <c r="AP1085" s="230"/>
      <c r="AQ1085" s="230"/>
      <c r="AS1085" s="231"/>
      <c r="AT1085" s="231"/>
      <c r="AU1085" s="231"/>
      <c r="AV1085" s="231"/>
      <c r="AW1085" s="231"/>
      <c r="AX1085" s="231"/>
      <c r="AY1085" s="231"/>
      <c r="AZ1085" s="231"/>
      <c r="BA1085" s="231"/>
      <c r="BC1085" s="82"/>
      <c r="BD1085" s="82"/>
      <c r="BE1085" s="82"/>
      <c r="BF1085" s="82"/>
      <c r="BG1085" s="82"/>
      <c r="BH1085" s="82"/>
      <c r="BI1085" s="82"/>
      <c r="BJ1085" s="82"/>
      <c r="BK1085" s="82"/>
      <c r="BL1085" s="82"/>
      <c r="BM1085" s="82"/>
      <c r="BN1085" s="82"/>
      <c r="BO1085" s="82"/>
      <c r="BP1085" s="82"/>
      <c r="BQ1085" s="82"/>
      <c r="BR1085" s="82"/>
      <c r="BS1085" s="82"/>
      <c r="BT1085" s="82"/>
      <c r="BU1085" s="82"/>
      <c r="BV1085" s="82"/>
      <c r="BW1085" s="82"/>
      <c r="BX1085" s="82"/>
      <c r="BY1085" s="82"/>
      <c r="BZ1085" s="82"/>
      <c r="CA1085" s="82"/>
      <c r="CB1085" s="82"/>
      <c r="CC1085" s="82"/>
      <c r="CD1085" s="82"/>
      <c r="CE1085" s="82"/>
      <c r="CF1085" s="82"/>
      <c r="CG1085" s="82"/>
      <c r="CH1085" s="82"/>
      <c r="CI1085" s="82"/>
      <c r="CJ1085" s="82"/>
      <c r="CK1085" s="82"/>
      <c r="CL1085" s="82"/>
      <c r="CM1085" s="82"/>
      <c r="CN1085" s="82"/>
      <c r="CO1085" s="82"/>
      <c r="CP1085" s="82"/>
      <c r="CQ1085" s="82"/>
      <c r="CR1085" s="82"/>
      <c r="CS1085" s="82"/>
      <c r="CT1085" s="82"/>
      <c r="CU1085" s="82"/>
      <c r="CV1085" s="82"/>
      <c r="CW1085" s="82"/>
      <c r="CX1085" s="82"/>
      <c r="CY1085" s="82"/>
      <c r="CZ1085" s="82"/>
      <c r="DA1085" s="82"/>
      <c r="DB1085" s="82"/>
      <c r="DC1085" s="82"/>
      <c r="DD1085" s="82"/>
      <c r="DE1085" s="82"/>
      <c r="DF1085" s="82"/>
      <c r="DG1085" s="82"/>
    </row>
    <row r="1086" spans="2:111" ht="9" customHeight="1">
      <c r="B1086" s="229"/>
      <c r="C1086" s="229"/>
      <c r="D1086" s="229"/>
      <c r="E1086" s="229"/>
      <c r="F1086" s="229"/>
      <c r="G1086" s="229"/>
      <c r="H1086" s="229"/>
      <c r="I1086" s="229"/>
      <c r="J1086" s="229"/>
      <c r="K1086" s="229"/>
      <c r="L1086" s="229"/>
      <c r="M1086" s="229"/>
      <c r="N1086" s="229"/>
      <c r="P1086" s="230"/>
      <c r="Q1086" s="230"/>
      <c r="R1086" s="230"/>
      <c r="S1086" s="230"/>
      <c r="T1086" s="230"/>
      <c r="U1086" s="230"/>
      <c r="V1086" s="230"/>
      <c r="W1086" s="230"/>
      <c r="X1086" s="230"/>
      <c r="Y1086" s="230"/>
      <c r="Z1086" s="230"/>
      <c r="AA1086" s="230"/>
      <c r="AB1086" s="230"/>
      <c r="AC1086" s="230"/>
      <c r="AD1086" s="230"/>
      <c r="AE1086" s="230"/>
      <c r="AF1086" s="230"/>
      <c r="AG1086" s="230"/>
      <c r="AH1086" s="230"/>
      <c r="AI1086" s="230"/>
      <c r="AJ1086" s="230"/>
      <c r="AK1086" s="230"/>
      <c r="AL1086" s="230"/>
      <c r="AM1086" s="230"/>
      <c r="AN1086" s="230"/>
      <c r="AO1086" s="230"/>
      <c r="AP1086" s="230"/>
      <c r="AQ1086" s="230"/>
      <c r="AS1086" s="231"/>
      <c r="AT1086" s="231"/>
      <c r="AU1086" s="231"/>
      <c r="AV1086" s="231"/>
      <c r="AW1086" s="231"/>
      <c r="AX1086" s="231"/>
      <c r="AY1086" s="231"/>
      <c r="AZ1086" s="231"/>
      <c r="BA1086" s="231"/>
      <c r="BC1086" s="82"/>
      <c r="BD1086" s="82"/>
      <c r="BE1086" s="82"/>
      <c r="BF1086" s="82"/>
      <c r="BG1086" s="82"/>
      <c r="BH1086" s="82"/>
      <c r="BI1086" s="82"/>
      <c r="BJ1086" s="82"/>
      <c r="BK1086" s="82"/>
      <c r="BL1086" s="82"/>
      <c r="BM1086" s="82"/>
      <c r="BN1086" s="82"/>
      <c r="BO1086" s="82"/>
      <c r="BP1086" s="82"/>
      <c r="BQ1086" s="82"/>
      <c r="BR1086" s="82"/>
      <c r="BS1086" s="82"/>
      <c r="BT1086" s="82"/>
      <c r="BU1086" s="82"/>
      <c r="BV1086" s="82"/>
      <c r="BW1086" s="82"/>
      <c r="BX1086" s="82"/>
      <c r="BY1086" s="82"/>
      <c r="BZ1086" s="82"/>
      <c r="CA1086" s="82"/>
      <c r="CB1086" s="82"/>
      <c r="CC1086" s="82"/>
      <c r="CD1086" s="82"/>
      <c r="CE1086" s="82"/>
      <c r="CF1086" s="82"/>
      <c r="CG1086" s="82"/>
      <c r="CH1086" s="82"/>
      <c r="CI1086" s="82"/>
      <c r="CJ1086" s="82"/>
      <c r="CK1086" s="82"/>
      <c r="CL1086" s="82"/>
      <c r="CM1086" s="82"/>
      <c r="CN1086" s="82"/>
      <c r="CO1086" s="82"/>
      <c r="CP1086" s="82"/>
      <c r="CQ1086" s="82"/>
      <c r="CR1086" s="82"/>
      <c r="CS1086" s="82"/>
      <c r="CT1086" s="82"/>
      <c r="CU1086" s="82"/>
      <c r="CV1086" s="82"/>
      <c r="CW1086" s="82"/>
      <c r="CX1086" s="82"/>
      <c r="CY1086" s="82"/>
      <c r="CZ1086" s="82"/>
      <c r="DA1086" s="82"/>
      <c r="DB1086" s="82"/>
      <c r="DC1086" s="82"/>
      <c r="DD1086" s="82"/>
      <c r="DE1086" s="82"/>
      <c r="DF1086" s="82"/>
      <c r="DG1086" s="82"/>
    </row>
    <row r="1087" spans="2:111" ht="9" customHeight="1">
      <c r="B1087" s="229"/>
      <c r="C1087" s="229"/>
      <c r="D1087" s="229"/>
      <c r="E1087" s="229"/>
      <c r="F1087" s="229"/>
      <c r="G1087" s="229"/>
      <c r="H1087" s="229"/>
      <c r="I1087" s="229"/>
      <c r="J1087" s="229"/>
      <c r="K1087" s="229"/>
      <c r="L1087" s="229"/>
      <c r="M1087" s="229"/>
      <c r="N1087" s="229"/>
      <c r="P1087" s="230"/>
      <c r="Q1087" s="230"/>
      <c r="R1087" s="230"/>
      <c r="S1087" s="230"/>
      <c r="T1087" s="230"/>
      <c r="U1087" s="230"/>
      <c r="V1087" s="230"/>
      <c r="W1087" s="230"/>
      <c r="X1087" s="230"/>
      <c r="Y1087" s="230"/>
      <c r="Z1087" s="230"/>
      <c r="AA1087" s="230"/>
      <c r="AB1087" s="230"/>
      <c r="AC1087" s="230"/>
      <c r="AD1087" s="230"/>
      <c r="AE1087" s="230"/>
      <c r="AF1087" s="230"/>
      <c r="AG1087" s="230"/>
      <c r="AH1087" s="230"/>
      <c r="AI1087" s="230"/>
      <c r="AJ1087" s="230"/>
      <c r="AK1087" s="230"/>
      <c r="AL1087" s="230"/>
      <c r="AM1087" s="230"/>
      <c r="AN1087" s="230"/>
      <c r="AO1087" s="230"/>
      <c r="AP1087" s="230"/>
      <c r="AQ1087" s="230"/>
      <c r="AS1087" s="231"/>
      <c r="AT1087" s="231"/>
      <c r="AU1087" s="231"/>
      <c r="AV1087" s="231"/>
      <c r="AW1087" s="231"/>
      <c r="AX1087" s="231"/>
      <c r="AY1087" s="231"/>
      <c r="AZ1087" s="231"/>
      <c r="BA1087" s="231"/>
      <c r="BC1087" s="82"/>
      <c r="BD1087" s="82"/>
      <c r="BE1087" s="82"/>
      <c r="BF1087" s="82"/>
      <c r="BG1087" s="82"/>
      <c r="BH1087" s="82"/>
      <c r="BI1087" s="82"/>
      <c r="BJ1087" s="82"/>
      <c r="BK1087" s="82"/>
      <c r="BL1087" s="82"/>
      <c r="BM1087" s="82"/>
      <c r="BN1087" s="82"/>
      <c r="BO1087" s="82"/>
      <c r="BP1087" s="82"/>
      <c r="BQ1087" s="82"/>
      <c r="BR1087" s="82"/>
      <c r="BS1087" s="82"/>
      <c r="BT1087" s="82"/>
      <c r="BU1087" s="82"/>
      <c r="BV1087" s="82"/>
      <c r="BW1087" s="82"/>
      <c r="BX1087" s="82"/>
      <c r="BY1087" s="82"/>
      <c r="BZ1087" s="82"/>
      <c r="CA1087" s="82"/>
      <c r="CB1087" s="82"/>
      <c r="CC1087" s="82"/>
      <c r="CD1087" s="82"/>
      <c r="CE1087" s="82"/>
      <c r="CF1087" s="82"/>
      <c r="CG1087" s="82"/>
      <c r="CH1087" s="82"/>
      <c r="CI1087" s="82"/>
      <c r="CJ1087" s="82"/>
      <c r="CK1087" s="82"/>
      <c r="CL1087" s="82"/>
      <c r="CM1087" s="82"/>
      <c r="CN1087" s="82"/>
      <c r="CO1087" s="82"/>
      <c r="CP1087" s="82"/>
      <c r="CQ1087" s="82"/>
      <c r="CR1087" s="82"/>
      <c r="CS1087" s="82"/>
      <c r="CT1087" s="82"/>
      <c r="CU1087" s="82"/>
      <c r="CV1087" s="82"/>
      <c r="CW1087" s="82"/>
      <c r="CX1087" s="82"/>
      <c r="CY1087" s="82"/>
      <c r="CZ1087" s="82"/>
      <c r="DA1087" s="82"/>
      <c r="DB1087" s="82"/>
      <c r="DC1087" s="82"/>
      <c r="DD1087" s="82"/>
      <c r="DE1087" s="82"/>
      <c r="DF1087" s="82"/>
      <c r="DG1087" s="82"/>
    </row>
    <row r="1088" spans="2:111" ht="9" customHeight="1">
      <c r="B1088" s="229"/>
      <c r="C1088" s="229"/>
      <c r="D1088" s="229"/>
      <c r="E1088" s="229"/>
      <c r="F1088" s="229"/>
      <c r="G1088" s="229"/>
      <c r="H1088" s="229"/>
      <c r="I1088" s="229"/>
      <c r="J1088" s="229"/>
      <c r="K1088" s="229"/>
      <c r="L1088" s="229"/>
      <c r="M1088" s="229"/>
      <c r="N1088" s="229"/>
      <c r="P1088" s="230"/>
      <c r="Q1088" s="230"/>
      <c r="R1088" s="230"/>
      <c r="S1088" s="230"/>
      <c r="T1088" s="230"/>
      <c r="U1088" s="230"/>
      <c r="V1088" s="230"/>
      <c r="W1088" s="230"/>
      <c r="X1088" s="230"/>
      <c r="Y1088" s="230"/>
      <c r="Z1088" s="230"/>
      <c r="AA1088" s="230"/>
      <c r="AB1088" s="230"/>
      <c r="AC1088" s="230"/>
      <c r="AD1088" s="230"/>
      <c r="AE1088" s="230"/>
      <c r="AF1088" s="230"/>
      <c r="AG1088" s="230"/>
      <c r="AH1088" s="230"/>
      <c r="AI1088" s="230"/>
      <c r="AJ1088" s="230"/>
      <c r="AK1088" s="230"/>
      <c r="AL1088" s="230"/>
      <c r="AM1088" s="230"/>
      <c r="AN1088" s="230"/>
      <c r="AO1088" s="230"/>
      <c r="AP1088" s="230"/>
      <c r="AQ1088" s="230"/>
      <c r="AS1088" s="231"/>
      <c r="AT1088" s="231"/>
      <c r="AU1088" s="231"/>
      <c r="AV1088" s="231"/>
      <c r="AW1088" s="231"/>
      <c r="AX1088" s="231"/>
      <c r="AY1088" s="231"/>
      <c r="AZ1088" s="231"/>
      <c r="BA1088" s="231"/>
      <c r="BC1088" s="82"/>
      <c r="BD1088" s="82"/>
      <c r="BE1088" s="82"/>
      <c r="BF1088" s="82"/>
      <c r="BG1088" s="82"/>
      <c r="BH1088" s="82"/>
      <c r="BI1088" s="82"/>
      <c r="BJ1088" s="82"/>
      <c r="BK1088" s="82"/>
      <c r="BL1088" s="82"/>
      <c r="BM1088" s="82"/>
      <c r="BN1088" s="82"/>
      <c r="BO1088" s="82"/>
      <c r="BP1088" s="82"/>
      <c r="BQ1088" s="82"/>
      <c r="BR1088" s="82"/>
      <c r="BS1088" s="82"/>
      <c r="BT1088" s="82"/>
      <c r="BU1088" s="82"/>
      <c r="BV1088" s="82"/>
      <c r="BW1088" s="82"/>
      <c r="BX1088" s="82"/>
      <c r="BY1088" s="82"/>
      <c r="BZ1088" s="82"/>
      <c r="CA1088" s="82"/>
      <c r="CB1088" s="82"/>
      <c r="CC1088" s="82"/>
      <c r="CD1088" s="82"/>
      <c r="CE1088" s="82"/>
      <c r="CF1088" s="82"/>
      <c r="CG1088" s="82"/>
      <c r="CH1088" s="82"/>
      <c r="CI1088" s="82"/>
      <c r="CJ1088" s="82"/>
      <c r="CK1088" s="82"/>
      <c r="CL1088" s="82"/>
      <c r="CM1088" s="82"/>
      <c r="CN1088" s="82"/>
      <c r="CO1088" s="82"/>
      <c r="CP1088" s="82"/>
      <c r="CQ1088" s="82"/>
      <c r="CR1088" s="82"/>
      <c r="CS1088" s="82"/>
      <c r="CT1088" s="82"/>
      <c r="CU1088" s="82"/>
      <c r="CV1088" s="82"/>
      <c r="CW1088" s="82"/>
      <c r="CX1088" s="82"/>
      <c r="CY1088" s="82"/>
      <c r="CZ1088" s="82"/>
      <c r="DA1088" s="82"/>
      <c r="DB1088" s="82"/>
      <c r="DC1088" s="82"/>
      <c r="DD1088" s="82"/>
      <c r="DE1088" s="82"/>
      <c r="DF1088" s="82"/>
      <c r="DG1088" s="82"/>
    </row>
    <row r="1089" spans="2:111" ht="9" customHeight="1">
      <c r="B1089" s="229"/>
      <c r="C1089" s="229"/>
      <c r="D1089" s="229"/>
      <c r="E1089" s="229"/>
      <c r="F1089" s="229"/>
      <c r="G1089" s="229"/>
      <c r="H1089" s="229"/>
      <c r="I1089" s="229"/>
      <c r="J1089" s="229"/>
      <c r="K1089" s="229"/>
      <c r="L1089" s="229"/>
      <c r="M1089" s="229"/>
      <c r="N1089" s="229"/>
      <c r="P1089" s="230"/>
      <c r="Q1089" s="230"/>
      <c r="R1089" s="230"/>
      <c r="S1089" s="230"/>
      <c r="T1089" s="230"/>
      <c r="U1089" s="230"/>
      <c r="V1089" s="230"/>
      <c r="W1089" s="230"/>
      <c r="X1089" s="230"/>
      <c r="Y1089" s="230"/>
      <c r="Z1089" s="230"/>
      <c r="AA1089" s="230"/>
      <c r="AB1089" s="230"/>
      <c r="AC1089" s="230"/>
      <c r="AD1089" s="230"/>
      <c r="AE1089" s="230"/>
      <c r="AF1089" s="230"/>
      <c r="AG1089" s="230"/>
      <c r="AH1089" s="230"/>
      <c r="AI1089" s="230"/>
      <c r="AJ1089" s="230"/>
      <c r="AK1089" s="230"/>
      <c r="AL1089" s="230"/>
      <c r="AM1089" s="230"/>
      <c r="AN1089" s="230"/>
      <c r="AO1089" s="230"/>
      <c r="AP1089" s="230"/>
      <c r="AQ1089" s="230"/>
      <c r="AS1089" s="231"/>
      <c r="AT1089" s="231"/>
      <c r="AU1089" s="231"/>
      <c r="AV1089" s="231"/>
      <c r="AW1089" s="231"/>
      <c r="AX1089" s="231"/>
      <c r="AY1089" s="231"/>
      <c r="AZ1089" s="231"/>
      <c r="BA1089" s="231"/>
      <c r="BC1089" s="82"/>
      <c r="BD1089" s="82"/>
      <c r="BE1089" s="82"/>
      <c r="BF1089" s="82"/>
      <c r="BG1089" s="82"/>
      <c r="BH1089" s="82"/>
      <c r="BI1089" s="82"/>
      <c r="BJ1089" s="82"/>
      <c r="BK1089" s="82"/>
      <c r="BL1089" s="82"/>
      <c r="BM1089" s="82"/>
      <c r="BN1089" s="82"/>
      <c r="BO1089" s="82"/>
      <c r="BP1089" s="82"/>
      <c r="BQ1089" s="82"/>
      <c r="BR1089" s="82"/>
      <c r="BS1089" s="82"/>
      <c r="BT1089" s="82"/>
      <c r="BU1089" s="82"/>
      <c r="BV1089" s="82"/>
      <c r="BW1089" s="82"/>
      <c r="BX1089" s="82"/>
      <c r="BY1089" s="82"/>
      <c r="BZ1089" s="82"/>
      <c r="CA1089" s="82"/>
      <c r="CB1089" s="82"/>
      <c r="CC1089" s="82"/>
      <c r="CD1089" s="82"/>
      <c r="CE1089" s="82"/>
      <c r="CF1089" s="82"/>
      <c r="CG1089" s="82"/>
      <c r="CH1089" s="82"/>
      <c r="CI1089" s="82"/>
      <c r="CJ1089" s="82"/>
      <c r="CK1089" s="82"/>
      <c r="CL1089" s="82"/>
      <c r="CM1089" s="82"/>
      <c r="CN1089" s="82"/>
      <c r="CO1089" s="82"/>
      <c r="CP1089" s="82"/>
      <c r="CQ1089" s="82"/>
      <c r="CR1089" s="82"/>
      <c r="CS1089" s="82"/>
      <c r="CT1089" s="82"/>
      <c r="CU1089" s="82"/>
      <c r="CV1089" s="82"/>
      <c r="CW1089" s="82"/>
      <c r="CX1089" s="82"/>
      <c r="CY1089" s="82"/>
      <c r="CZ1089" s="82"/>
      <c r="DA1089" s="82"/>
      <c r="DB1089" s="82"/>
      <c r="DC1089" s="82"/>
      <c r="DD1089" s="82"/>
      <c r="DE1089" s="82"/>
      <c r="DF1089" s="82"/>
      <c r="DG1089" s="82"/>
    </row>
    <row r="1090" spans="2:111" ht="9" customHeight="1">
      <c r="B1090" s="229"/>
      <c r="C1090" s="229"/>
      <c r="D1090" s="229"/>
      <c r="E1090" s="229"/>
      <c r="F1090" s="229"/>
      <c r="G1090" s="229"/>
      <c r="H1090" s="229"/>
      <c r="I1090" s="229"/>
      <c r="J1090" s="229"/>
      <c r="K1090" s="229"/>
      <c r="L1090" s="229"/>
      <c r="M1090" s="229"/>
      <c r="N1090" s="229"/>
      <c r="P1090" s="230"/>
      <c r="Q1090" s="230"/>
      <c r="R1090" s="230"/>
      <c r="S1090" s="230"/>
      <c r="T1090" s="230"/>
      <c r="U1090" s="230"/>
      <c r="V1090" s="230"/>
      <c r="W1090" s="230"/>
      <c r="X1090" s="230"/>
      <c r="Y1090" s="230"/>
      <c r="Z1090" s="230"/>
      <c r="AA1090" s="230"/>
      <c r="AB1090" s="230"/>
      <c r="AC1090" s="230"/>
      <c r="AD1090" s="230"/>
      <c r="AE1090" s="230"/>
      <c r="AF1090" s="230"/>
      <c r="AG1090" s="230"/>
      <c r="AH1090" s="230"/>
      <c r="AI1090" s="230"/>
      <c r="AJ1090" s="230"/>
      <c r="AK1090" s="230"/>
      <c r="AL1090" s="230"/>
      <c r="AM1090" s="230"/>
      <c r="AN1090" s="230"/>
      <c r="AO1090" s="230"/>
      <c r="AP1090" s="230"/>
      <c r="AQ1090" s="230"/>
      <c r="AS1090" s="231"/>
      <c r="AT1090" s="231"/>
      <c r="AU1090" s="231"/>
      <c r="AV1090" s="231"/>
      <c r="AW1090" s="231"/>
      <c r="AX1090" s="231"/>
      <c r="AY1090" s="231"/>
      <c r="AZ1090" s="231"/>
      <c r="BA1090" s="231"/>
      <c r="BC1090" s="82"/>
      <c r="BD1090" s="82"/>
      <c r="BE1090" s="82"/>
      <c r="BF1090" s="82"/>
      <c r="BG1090" s="82"/>
      <c r="BH1090" s="82"/>
      <c r="BI1090" s="82"/>
      <c r="BJ1090" s="82"/>
      <c r="BK1090" s="82"/>
      <c r="BL1090" s="82"/>
      <c r="BM1090" s="82"/>
      <c r="BN1090" s="82"/>
      <c r="BO1090" s="82"/>
      <c r="BP1090" s="82"/>
      <c r="BQ1090" s="82"/>
      <c r="BR1090" s="82"/>
      <c r="BS1090" s="82"/>
      <c r="BT1090" s="82"/>
      <c r="BU1090" s="82"/>
      <c r="BV1090" s="82"/>
      <c r="BW1090" s="82"/>
      <c r="BX1090" s="82"/>
      <c r="BY1090" s="82"/>
      <c r="BZ1090" s="82"/>
      <c r="CA1090" s="82"/>
      <c r="CB1090" s="82"/>
      <c r="CC1090" s="82"/>
      <c r="CD1090" s="82"/>
      <c r="CE1090" s="82"/>
      <c r="CF1090" s="82"/>
      <c r="CG1090" s="82"/>
      <c r="CH1090" s="82"/>
      <c r="CI1090" s="82"/>
      <c r="CJ1090" s="82"/>
      <c r="CK1090" s="82"/>
      <c r="CL1090" s="82"/>
      <c r="CM1090" s="82"/>
      <c r="CN1090" s="82"/>
      <c r="CO1090" s="82"/>
      <c r="CP1090" s="82"/>
      <c r="CQ1090" s="82"/>
      <c r="CR1090" s="82"/>
      <c r="CS1090" s="82"/>
      <c r="CT1090" s="82"/>
      <c r="CU1090" s="82"/>
      <c r="CV1090" s="82"/>
      <c r="CW1090" s="82"/>
      <c r="CX1090" s="82"/>
      <c r="CY1090" s="82"/>
      <c r="CZ1090" s="82"/>
      <c r="DA1090" s="82"/>
      <c r="DB1090" s="82"/>
      <c r="DC1090" s="82"/>
      <c r="DD1090" s="82"/>
      <c r="DE1090" s="82"/>
      <c r="DF1090" s="82"/>
      <c r="DG1090" s="82"/>
    </row>
    <row r="1091" spans="2:111" ht="9" customHeight="1">
      <c r="B1091" s="229"/>
      <c r="C1091" s="229"/>
      <c r="D1091" s="229"/>
      <c r="E1091" s="229"/>
      <c r="F1091" s="229"/>
      <c r="G1091" s="229"/>
      <c r="H1091" s="229"/>
      <c r="I1091" s="229"/>
      <c r="J1091" s="229"/>
      <c r="K1091" s="229"/>
      <c r="L1091" s="229"/>
      <c r="M1091" s="229"/>
      <c r="N1091" s="229"/>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0"/>
      <c r="AK1091" s="230"/>
      <c r="AL1091" s="230"/>
      <c r="AM1091" s="230"/>
      <c r="AN1091" s="230"/>
      <c r="AO1091" s="230"/>
      <c r="AP1091" s="230"/>
      <c r="AQ1091" s="230"/>
      <c r="AS1091" s="231"/>
      <c r="AT1091" s="231"/>
      <c r="AU1091" s="231"/>
      <c r="AV1091" s="231"/>
      <c r="AW1091" s="231"/>
      <c r="AX1091" s="231"/>
      <c r="AY1091" s="231"/>
      <c r="AZ1091" s="231"/>
      <c r="BA1091" s="231"/>
      <c r="BC1091" s="82"/>
      <c r="BD1091" s="82"/>
      <c r="BE1091" s="82"/>
      <c r="BF1091" s="82"/>
      <c r="BG1091" s="82"/>
      <c r="BH1091" s="82"/>
      <c r="BI1091" s="82"/>
      <c r="BJ1091" s="82"/>
      <c r="BK1091" s="82"/>
      <c r="BL1091" s="82"/>
      <c r="BM1091" s="82"/>
      <c r="BN1091" s="82"/>
      <c r="BO1091" s="82"/>
      <c r="BP1091" s="82"/>
      <c r="BQ1091" s="82"/>
      <c r="BR1091" s="82"/>
      <c r="BS1091" s="82"/>
      <c r="BT1091" s="82"/>
      <c r="BU1091" s="82"/>
      <c r="BV1091" s="82"/>
      <c r="BW1091" s="82"/>
      <c r="BX1091" s="82"/>
      <c r="BY1091" s="82"/>
      <c r="BZ1091" s="82"/>
      <c r="CA1091" s="82"/>
      <c r="CB1091" s="82"/>
      <c r="CC1091" s="82"/>
      <c r="CD1091" s="82"/>
      <c r="CE1091" s="82"/>
      <c r="CF1091" s="82"/>
      <c r="CG1091" s="82"/>
      <c r="CH1091" s="82"/>
      <c r="CI1091" s="82"/>
      <c r="CJ1091" s="82"/>
      <c r="CK1091" s="82"/>
      <c r="CL1091" s="82"/>
      <c r="CM1091" s="82"/>
      <c r="CN1091" s="82"/>
      <c r="CO1091" s="82"/>
      <c r="CP1091" s="82"/>
      <c r="CQ1091" s="82"/>
      <c r="CR1091" s="82"/>
      <c r="CS1091" s="82"/>
      <c r="CT1091" s="82"/>
      <c r="CU1091" s="82"/>
      <c r="CV1091" s="82"/>
      <c r="CW1091" s="82"/>
      <c r="CX1091" s="82"/>
      <c r="CY1091" s="82"/>
      <c r="CZ1091" s="82"/>
      <c r="DA1091" s="82"/>
      <c r="DB1091" s="82"/>
      <c r="DC1091" s="82"/>
      <c r="DD1091" s="82"/>
      <c r="DE1091" s="82"/>
      <c r="DF1091" s="82"/>
      <c r="DG1091" s="82"/>
    </row>
    <row r="1092" spans="2:111" ht="12" customHeight="1">
      <c r="P1092" s="45"/>
      <c r="Q1092" s="45"/>
      <c r="R1092" s="45"/>
      <c r="S1092" s="45"/>
      <c r="T1092" s="45"/>
      <c r="U1092" s="45"/>
      <c r="V1092" s="45"/>
      <c r="W1092" s="45"/>
      <c r="X1092" s="45"/>
      <c r="Y1092" s="45"/>
      <c r="Z1092" s="45"/>
      <c r="AA1092" s="45"/>
      <c r="AB1092" s="45"/>
      <c r="AC1092" s="45"/>
      <c r="AD1092" s="45"/>
      <c r="AE1092" s="45"/>
      <c r="AF1092" s="45"/>
      <c r="AG1092" s="45"/>
      <c r="AH1092" s="45"/>
      <c r="AI1092" s="45"/>
      <c r="AJ1092" s="45"/>
      <c r="AK1092" s="45"/>
      <c r="AL1092" s="45"/>
      <c r="AM1092" s="45"/>
      <c r="AN1092" s="45"/>
      <c r="AO1092" s="45"/>
      <c r="AP1092" s="45"/>
      <c r="AQ1092" s="45"/>
      <c r="BC1092" s="82"/>
      <c r="BD1092" s="82"/>
      <c r="BE1092" s="82"/>
      <c r="BF1092" s="82"/>
      <c r="BG1092" s="82"/>
      <c r="BH1092" s="82"/>
      <c r="BI1092" s="82"/>
      <c r="BJ1092" s="82"/>
      <c r="BK1092" s="82"/>
      <c r="BL1092" s="82"/>
      <c r="BM1092" s="82"/>
      <c r="BN1092" s="82"/>
      <c r="BO1092" s="82"/>
      <c r="BP1092" s="82"/>
      <c r="BQ1092" s="82"/>
      <c r="BR1092" s="82"/>
      <c r="BS1092" s="82"/>
      <c r="BT1092" s="82"/>
      <c r="BU1092" s="82"/>
      <c r="BV1092" s="82"/>
      <c r="BW1092" s="82"/>
      <c r="BX1092" s="82"/>
      <c r="BY1092" s="82"/>
      <c r="BZ1092" s="82"/>
      <c r="CA1092" s="82"/>
      <c r="CB1092" s="82"/>
      <c r="CC1092" s="82"/>
      <c r="CD1092" s="82"/>
      <c r="CE1092" s="82"/>
      <c r="CF1092" s="82"/>
      <c r="CG1092" s="82"/>
      <c r="CH1092" s="82"/>
      <c r="CI1092" s="82"/>
      <c r="CJ1092" s="82"/>
      <c r="CK1092" s="82"/>
      <c r="CL1092" s="82"/>
      <c r="CM1092" s="82"/>
      <c r="CN1092" s="82"/>
      <c r="CO1092" s="82"/>
      <c r="CP1092" s="82"/>
      <c r="CQ1092" s="82"/>
      <c r="CR1092" s="82"/>
      <c r="CS1092" s="82"/>
      <c r="CT1092" s="82"/>
      <c r="CU1092" s="82"/>
      <c r="CV1092" s="82"/>
      <c r="CW1092" s="82"/>
      <c r="CX1092" s="82"/>
      <c r="CY1092" s="82"/>
      <c r="CZ1092" s="82"/>
      <c r="DA1092" s="82"/>
      <c r="DB1092" s="82"/>
      <c r="DC1092" s="82"/>
      <c r="DD1092" s="82"/>
      <c r="DE1092" s="82"/>
      <c r="DF1092" s="82"/>
      <c r="DG1092" s="82"/>
    </row>
    <row r="1093" spans="2:111" ht="9" customHeight="1">
      <c r="B1093" s="232" t="str">
        <f>IF($U$997&gt;=5,"Etapa 4.5","")</f>
        <v/>
      </c>
      <c r="C1093" s="232"/>
      <c r="D1093" s="232"/>
      <c r="E1093" s="232"/>
      <c r="F1093" s="232"/>
      <c r="G1093" s="232"/>
      <c r="I1093" s="233"/>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233"/>
      <c r="AL1093" s="233"/>
      <c r="AM1093" s="233"/>
      <c r="AN1093" s="233"/>
      <c r="AO1093" s="233"/>
      <c r="AP1093" s="233"/>
      <c r="AQ1093" s="233"/>
      <c r="AS1093" s="234" t="str">
        <f>IF(SUM(AS1099:BA1114)=0,"",SUM(AS1099:BA1114))</f>
        <v/>
      </c>
      <c r="AT1093" s="234"/>
      <c r="AU1093" s="234"/>
      <c r="AV1093" s="234"/>
      <c r="AW1093" s="234"/>
      <c r="AX1093" s="234"/>
      <c r="AY1093" s="234"/>
      <c r="AZ1093" s="234"/>
      <c r="BA1093" s="234"/>
      <c r="BC1093" s="82"/>
      <c r="BD1093" s="82"/>
      <c r="BE1093" s="82"/>
      <c r="BF1093" s="82"/>
      <c r="BG1093" s="82"/>
      <c r="BH1093" s="82"/>
      <c r="BI1093" s="82"/>
      <c r="BJ1093" s="82"/>
      <c r="BK1093" s="82"/>
      <c r="BL1093" s="82"/>
      <c r="BM1093" s="82"/>
      <c r="BN1093" s="82"/>
      <c r="BO1093" s="82"/>
      <c r="BP1093" s="82"/>
      <c r="BQ1093" s="82"/>
      <c r="BR1093" s="82"/>
      <c r="BS1093" s="82"/>
      <c r="BT1093" s="82"/>
      <c r="BU1093" s="82"/>
      <c r="BV1093" s="82"/>
      <c r="BW1093" s="82"/>
      <c r="BX1093" s="82"/>
      <c r="BY1093" s="82"/>
      <c r="BZ1093" s="82"/>
      <c r="CA1093" s="82"/>
      <c r="CB1093" s="82"/>
      <c r="CC1093" s="82"/>
      <c r="CD1093" s="82"/>
      <c r="CE1093" s="82"/>
      <c r="CF1093" s="82"/>
      <c r="CG1093" s="82"/>
      <c r="CH1093" s="82"/>
      <c r="CI1093" s="82"/>
      <c r="CJ1093" s="82"/>
      <c r="CK1093" s="82"/>
      <c r="CL1093" s="82"/>
      <c r="CM1093" s="82"/>
      <c r="CN1093" s="82"/>
      <c r="CO1093" s="82"/>
      <c r="CP1093" s="82"/>
      <c r="CQ1093" s="82"/>
      <c r="CR1093" s="82"/>
      <c r="CS1093" s="82"/>
      <c r="CT1093" s="82"/>
      <c r="CU1093" s="82"/>
      <c r="CV1093" s="82"/>
      <c r="CW1093" s="82"/>
      <c r="CX1093" s="82"/>
      <c r="CY1093" s="82"/>
      <c r="CZ1093" s="82"/>
      <c r="DA1093" s="82"/>
      <c r="DB1093" s="82"/>
      <c r="DC1093" s="82"/>
      <c r="DD1093" s="82"/>
      <c r="DE1093" s="82"/>
      <c r="DF1093" s="82"/>
      <c r="DG1093" s="82"/>
    </row>
    <row r="1094" spans="2:111" ht="9" customHeight="1">
      <c r="B1094" s="232"/>
      <c r="C1094" s="232"/>
      <c r="D1094" s="232"/>
      <c r="E1094" s="232"/>
      <c r="F1094" s="232"/>
      <c r="G1094" s="232"/>
      <c r="I1094" s="233"/>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3"/>
      <c r="AK1094" s="233"/>
      <c r="AL1094" s="233"/>
      <c r="AM1094" s="233"/>
      <c r="AN1094" s="233"/>
      <c r="AO1094" s="233"/>
      <c r="AP1094" s="233"/>
      <c r="AQ1094" s="233"/>
      <c r="AS1094" s="234"/>
      <c r="AT1094" s="234"/>
      <c r="AU1094" s="234"/>
      <c r="AV1094" s="234"/>
      <c r="AW1094" s="234"/>
      <c r="AX1094" s="234"/>
      <c r="AY1094" s="234"/>
      <c r="AZ1094" s="234"/>
      <c r="BA1094" s="234"/>
      <c r="BC1094" s="82"/>
      <c r="BD1094" s="82"/>
      <c r="BE1094" s="82"/>
      <c r="BF1094" s="82"/>
      <c r="BG1094" s="82"/>
      <c r="BH1094" s="82"/>
      <c r="BI1094" s="82"/>
      <c r="BJ1094" s="82"/>
      <c r="BK1094" s="82"/>
      <c r="BL1094" s="82"/>
      <c r="BM1094" s="82"/>
      <c r="BN1094" s="82"/>
      <c r="BO1094" s="82"/>
      <c r="BP1094" s="82"/>
      <c r="BQ1094" s="82"/>
      <c r="BR1094" s="82"/>
      <c r="BS1094" s="82"/>
      <c r="BT1094" s="82"/>
      <c r="BU1094" s="82"/>
      <c r="BV1094" s="82"/>
      <c r="BW1094" s="82"/>
      <c r="BX1094" s="82"/>
      <c r="BY1094" s="82"/>
      <c r="BZ1094" s="82"/>
      <c r="CA1094" s="82"/>
      <c r="CB1094" s="82"/>
      <c r="CC1094" s="82"/>
      <c r="CD1094" s="82"/>
      <c r="CE1094" s="82"/>
      <c r="CF1094" s="82"/>
      <c r="CG1094" s="82"/>
      <c r="CH1094" s="82"/>
      <c r="CI1094" s="82"/>
      <c r="CJ1094" s="82"/>
      <c r="CK1094" s="82"/>
      <c r="CL1094" s="82"/>
      <c r="CM1094" s="82"/>
      <c r="CN1094" s="82"/>
      <c r="CO1094" s="82"/>
      <c r="CP1094" s="82"/>
      <c r="CQ1094" s="82"/>
      <c r="CR1094" s="82"/>
      <c r="CS1094" s="82"/>
      <c r="CT1094" s="82"/>
      <c r="CU1094" s="82"/>
      <c r="CV1094" s="82"/>
      <c r="CW1094" s="82"/>
      <c r="CX1094" s="82"/>
      <c r="CY1094" s="82"/>
      <c r="CZ1094" s="82"/>
      <c r="DA1094" s="82"/>
      <c r="DB1094" s="82"/>
      <c r="DC1094" s="82"/>
      <c r="DD1094" s="82"/>
      <c r="DE1094" s="82"/>
      <c r="DF1094" s="82"/>
      <c r="DG1094" s="82"/>
    </row>
    <row r="1095" spans="2:111" ht="4.5" customHeight="1">
      <c r="BC1095" s="82"/>
      <c r="BD1095" s="82"/>
      <c r="BE1095" s="82"/>
      <c r="BF1095" s="82"/>
      <c r="BG1095" s="82"/>
      <c r="BH1095" s="82"/>
      <c r="BI1095" s="82"/>
      <c r="BJ1095" s="82"/>
      <c r="BK1095" s="82"/>
      <c r="BL1095" s="82"/>
      <c r="BM1095" s="82"/>
      <c r="BN1095" s="82"/>
      <c r="BO1095" s="82"/>
      <c r="BP1095" s="82"/>
      <c r="BQ1095" s="82"/>
      <c r="BR1095" s="82"/>
      <c r="BS1095" s="82"/>
      <c r="BT1095" s="82"/>
      <c r="BU1095" s="82"/>
      <c r="BV1095" s="82"/>
      <c r="BW1095" s="82"/>
      <c r="BX1095" s="82"/>
      <c r="BY1095" s="82"/>
      <c r="BZ1095" s="82"/>
      <c r="CA1095" s="82"/>
      <c r="CB1095" s="82"/>
      <c r="CC1095" s="82"/>
      <c r="CD1095" s="82"/>
      <c r="CE1095" s="82"/>
      <c r="CF1095" s="82"/>
      <c r="CG1095" s="82"/>
      <c r="CH1095" s="82"/>
      <c r="CI1095" s="82"/>
      <c r="CJ1095" s="82"/>
      <c r="CK1095" s="82"/>
      <c r="CL1095" s="82"/>
      <c r="CM1095" s="82"/>
      <c r="CN1095" s="82"/>
      <c r="CO1095" s="82"/>
      <c r="CP1095" s="82"/>
      <c r="CQ1095" s="82"/>
      <c r="CR1095" s="82"/>
      <c r="CS1095" s="82"/>
      <c r="CT1095" s="82"/>
      <c r="CU1095" s="82"/>
      <c r="CV1095" s="82"/>
      <c r="CW1095" s="82"/>
      <c r="CX1095" s="82"/>
      <c r="CY1095" s="82"/>
      <c r="CZ1095" s="82"/>
      <c r="DA1095" s="82"/>
      <c r="DB1095" s="82"/>
      <c r="DC1095" s="82"/>
      <c r="DD1095" s="82"/>
      <c r="DE1095" s="82"/>
      <c r="DF1095" s="82"/>
      <c r="DG1095" s="82"/>
    </row>
    <row r="1096" spans="2:111" ht="9" customHeight="1">
      <c r="I1096" s="229" t="str">
        <f>IF($U$997&gt;=5,"Início:","")</f>
        <v/>
      </c>
      <c r="J1096" s="229"/>
      <c r="K1096" s="229"/>
      <c r="L1096" s="229"/>
      <c r="M1096" s="229"/>
      <c r="N1096" s="229"/>
      <c r="P1096" s="235"/>
      <c r="Q1096" s="235"/>
      <c r="R1096" s="235"/>
      <c r="S1096" s="235"/>
      <c r="T1096" s="235"/>
      <c r="U1096" s="235"/>
      <c r="V1096" s="235"/>
      <c r="W1096" s="235"/>
      <c r="Y1096" s="229" t="str">
        <f>IF($U$997&gt;=5,"Término:","")</f>
        <v/>
      </c>
      <c r="Z1096" s="229"/>
      <c r="AA1096" s="229"/>
      <c r="AB1096" s="229"/>
      <c r="AC1096" s="229"/>
      <c r="AD1096" s="229"/>
      <c r="AF1096" s="235"/>
      <c r="AG1096" s="235"/>
      <c r="AH1096" s="235"/>
      <c r="AI1096" s="235"/>
      <c r="AJ1096" s="235"/>
      <c r="AK1096" s="235"/>
      <c r="AL1096" s="235"/>
      <c r="AM1096" s="235"/>
      <c r="AW1096" s="236" t="str">
        <f>IF($U$997&gt;=5,"Valor (R$):","")</f>
        <v/>
      </c>
      <c r="AX1096" s="236"/>
      <c r="AY1096" s="236"/>
      <c r="AZ1096" s="236"/>
      <c r="BA1096" s="236"/>
      <c r="BC1096" s="82"/>
      <c r="BD1096" s="82"/>
      <c r="BE1096" s="82"/>
      <c r="BF1096" s="82"/>
      <c r="BG1096" s="82"/>
      <c r="BH1096" s="82"/>
      <c r="BI1096" s="82"/>
      <c r="BJ1096" s="82"/>
      <c r="BK1096" s="82"/>
      <c r="BL1096" s="82"/>
      <c r="BM1096" s="82"/>
      <c r="BN1096" s="82"/>
      <c r="BO1096" s="82"/>
      <c r="BP1096" s="82"/>
      <c r="BQ1096" s="82"/>
      <c r="BR1096" s="82"/>
      <c r="BS1096" s="82"/>
      <c r="BT1096" s="82"/>
      <c r="BU1096" s="82"/>
      <c r="BV1096" s="82"/>
      <c r="BW1096" s="82"/>
      <c r="BX1096" s="82"/>
      <c r="BY1096" s="82"/>
      <c r="BZ1096" s="82"/>
      <c r="CA1096" s="82"/>
      <c r="CB1096" s="82"/>
      <c r="CC1096" s="82"/>
      <c r="CD1096" s="82"/>
      <c r="CE1096" s="82"/>
      <c r="CF1096" s="82"/>
      <c r="CG1096" s="82"/>
      <c r="CH1096" s="82"/>
      <c r="CI1096" s="82"/>
      <c r="CJ1096" s="82"/>
      <c r="CK1096" s="82"/>
      <c r="CL1096" s="82"/>
      <c r="CM1096" s="82"/>
      <c r="CN1096" s="82"/>
      <c r="CO1096" s="82"/>
      <c r="CP1096" s="82"/>
      <c r="CQ1096" s="82"/>
      <c r="CR1096" s="82"/>
      <c r="CS1096" s="82"/>
      <c r="CT1096" s="82"/>
      <c r="CU1096" s="82"/>
      <c r="CV1096" s="82"/>
      <c r="CW1096" s="82"/>
      <c r="CX1096" s="82"/>
      <c r="CY1096" s="82"/>
      <c r="CZ1096" s="82"/>
      <c r="DA1096" s="82"/>
      <c r="DB1096" s="82"/>
      <c r="DC1096" s="82"/>
      <c r="DD1096" s="82"/>
      <c r="DE1096" s="82"/>
      <c r="DF1096" s="82"/>
      <c r="DG1096" s="82"/>
    </row>
    <row r="1097" spans="2:111" ht="9" customHeight="1">
      <c r="I1097" s="229"/>
      <c r="J1097" s="229"/>
      <c r="K1097" s="229"/>
      <c r="L1097" s="229"/>
      <c r="M1097" s="229"/>
      <c r="N1097" s="229"/>
      <c r="P1097" s="235"/>
      <c r="Q1097" s="235"/>
      <c r="R1097" s="235"/>
      <c r="S1097" s="235"/>
      <c r="T1097" s="235"/>
      <c r="U1097" s="235"/>
      <c r="V1097" s="235"/>
      <c r="W1097" s="235"/>
      <c r="Y1097" s="229"/>
      <c r="Z1097" s="229"/>
      <c r="AA1097" s="229"/>
      <c r="AB1097" s="229"/>
      <c r="AC1097" s="229"/>
      <c r="AD1097" s="229"/>
      <c r="AF1097" s="235"/>
      <c r="AG1097" s="235"/>
      <c r="AH1097" s="235"/>
      <c r="AI1097" s="235"/>
      <c r="AJ1097" s="235"/>
      <c r="AK1097" s="235"/>
      <c r="AL1097" s="235"/>
      <c r="AM1097" s="235"/>
      <c r="AW1097" s="236"/>
      <c r="AX1097" s="236"/>
      <c r="AY1097" s="236"/>
      <c r="AZ1097" s="236"/>
      <c r="BA1097" s="236"/>
      <c r="BC1097" s="82"/>
      <c r="BD1097" s="82"/>
      <c r="BE1097" s="82"/>
      <c r="BF1097" s="82"/>
      <c r="BG1097" s="82"/>
      <c r="BH1097" s="82"/>
      <c r="BI1097" s="82"/>
      <c r="BJ1097" s="82"/>
      <c r="BK1097" s="82"/>
      <c r="BL1097" s="82"/>
      <c r="BM1097" s="82"/>
      <c r="BN1097" s="82"/>
      <c r="BO1097" s="82"/>
      <c r="BP1097" s="82"/>
      <c r="BQ1097" s="82"/>
      <c r="BR1097" s="82"/>
      <c r="BS1097" s="82"/>
      <c r="BT1097" s="82"/>
      <c r="BU1097" s="82"/>
      <c r="BV1097" s="82"/>
      <c r="BW1097" s="82"/>
      <c r="BX1097" s="82"/>
      <c r="BY1097" s="82"/>
      <c r="BZ1097" s="82"/>
      <c r="CA1097" s="82"/>
      <c r="CB1097" s="82"/>
      <c r="CC1097" s="82"/>
      <c r="CD1097" s="82"/>
      <c r="CE1097" s="82"/>
      <c r="CF1097" s="82"/>
      <c r="CG1097" s="82"/>
      <c r="CH1097" s="82"/>
      <c r="CI1097" s="82"/>
      <c r="CJ1097" s="82"/>
      <c r="CK1097" s="82"/>
      <c r="CL1097" s="82"/>
      <c r="CM1097" s="82"/>
      <c r="CN1097" s="82"/>
      <c r="CO1097" s="82"/>
      <c r="CP1097" s="82"/>
      <c r="CQ1097" s="82"/>
      <c r="CR1097" s="82"/>
      <c r="CS1097" s="82"/>
      <c r="CT1097" s="82"/>
      <c r="CU1097" s="82"/>
      <c r="CV1097" s="82"/>
      <c r="CW1097" s="82"/>
      <c r="CX1097" s="82"/>
      <c r="CY1097" s="82"/>
      <c r="CZ1097" s="82"/>
      <c r="DA1097" s="82"/>
      <c r="DB1097" s="82"/>
      <c r="DC1097" s="82"/>
      <c r="DD1097" s="82"/>
      <c r="DE1097" s="82"/>
      <c r="DF1097" s="82"/>
      <c r="DG1097" s="82"/>
    </row>
    <row r="1098" spans="2:111" ht="4.5" customHeight="1">
      <c r="BC1098" s="82"/>
      <c r="BD1098" s="82"/>
      <c r="BE1098" s="82"/>
      <c r="BF1098" s="82"/>
      <c r="BG1098" s="82"/>
      <c r="BH1098" s="82"/>
      <c r="BI1098" s="82"/>
      <c r="BJ1098" s="82"/>
      <c r="BK1098" s="82"/>
      <c r="BL1098" s="82"/>
      <c r="BM1098" s="82"/>
      <c r="BN1098" s="82"/>
      <c r="BO1098" s="82"/>
      <c r="BP1098" s="82"/>
      <c r="BQ1098" s="82"/>
      <c r="BR1098" s="82"/>
      <c r="BS1098" s="82"/>
      <c r="BT1098" s="82"/>
      <c r="BU1098" s="82"/>
      <c r="BV1098" s="82"/>
      <c r="BW1098" s="82"/>
      <c r="BX1098" s="82"/>
      <c r="BY1098" s="82"/>
      <c r="BZ1098" s="82"/>
      <c r="CA1098" s="82"/>
      <c r="CB1098" s="82"/>
      <c r="CC1098" s="82"/>
      <c r="CD1098" s="82"/>
      <c r="CE1098" s="82"/>
      <c r="CF1098" s="82"/>
      <c r="CG1098" s="82"/>
      <c r="CH1098" s="82"/>
      <c r="CI1098" s="82"/>
      <c r="CJ1098" s="82"/>
      <c r="CK1098" s="82"/>
      <c r="CL1098" s="82"/>
      <c r="CM1098" s="82"/>
      <c r="CN1098" s="82"/>
      <c r="CO1098" s="82"/>
      <c r="CP1098" s="82"/>
      <c r="CQ1098" s="82"/>
      <c r="CR1098" s="82"/>
      <c r="CS1098" s="82"/>
      <c r="CT1098" s="82"/>
      <c r="CU1098" s="82"/>
      <c r="CV1098" s="82"/>
      <c r="CW1098" s="82"/>
      <c r="CX1098" s="82"/>
      <c r="CY1098" s="82"/>
      <c r="CZ1098" s="82"/>
      <c r="DA1098" s="82"/>
      <c r="DB1098" s="82"/>
      <c r="DC1098" s="82"/>
      <c r="DD1098" s="82"/>
      <c r="DE1098" s="82"/>
      <c r="DF1098" s="82"/>
      <c r="DG1098" s="82"/>
    </row>
    <row r="1099" spans="2:111" ht="9" customHeight="1">
      <c r="B1099" s="229" t="str">
        <f>IF($U$997&gt;=5,"Elementos de Despesa:","")</f>
        <v/>
      </c>
      <c r="C1099" s="229"/>
      <c r="D1099" s="229"/>
      <c r="E1099" s="229"/>
      <c r="F1099" s="229"/>
      <c r="G1099" s="229"/>
      <c r="H1099" s="229"/>
      <c r="I1099" s="229"/>
      <c r="J1099" s="229"/>
      <c r="K1099" s="229"/>
      <c r="L1099" s="229"/>
      <c r="M1099" s="229"/>
      <c r="N1099" s="229"/>
      <c r="P1099" s="230"/>
      <c r="Q1099" s="230"/>
      <c r="R1099" s="230"/>
      <c r="S1099" s="230"/>
      <c r="T1099" s="230"/>
      <c r="U1099" s="230"/>
      <c r="V1099" s="230"/>
      <c r="W1099" s="230"/>
      <c r="X1099" s="230"/>
      <c r="Y1099" s="230"/>
      <c r="Z1099" s="230"/>
      <c r="AA1099" s="230"/>
      <c r="AB1099" s="230"/>
      <c r="AC1099" s="230"/>
      <c r="AD1099" s="230"/>
      <c r="AE1099" s="230"/>
      <c r="AF1099" s="230"/>
      <c r="AG1099" s="230"/>
      <c r="AH1099" s="230"/>
      <c r="AI1099" s="230"/>
      <c r="AJ1099" s="230"/>
      <c r="AK1099" s="230"/>
      <c r="AL1099" s="230"/>
      <c r="AM1099" s="230"/>
      <c r="AN1099" s="230"/>
      <c r="AO1099" s="230"/>
      <c r="AP1099" s="230"/>
      <c r="AQ1099" s="230"/>
      <c r="AS1099" s="231"/>
      <c r="AT1099" s="231"/>
      <c r="AU1099" s="231"/>
      <c r="AV1099" s="231"/>
      <c r="AW1099" s="231"/>
      <c r="AX1099" s="231"/>
      <c r="AY1099" s="231"/>
      <c r="AZ1099" s="231"/>
      <c r="BA1099" s="231"/>
      <c r="BC1099" s="82"/>
      <c r="BD1099" s="82"/>
      <c r="BE1099" s="82"/>
      <c r="BF1099" s="82"/>
      <c r="BG1099" s="82"/>
      <c r="BH1099" s="82"/>
      <c r="BI1099" s="82"/>
      <c r="BJ1099" s="82"/>
      <c r="BK1099" s="82"/>
      <c r="BL1099" s="82"/>
      <c r="BM1099" s="82"/>
      <c r="BN1099" s="82"/>
      <c r="BO1099" s="82"/>
      <c r="BP1099" s="82"/>
      <c r="BQ1099" s="82"/>
      <c r="BR1099" s="82"/>
      <c r="BS1099" s="82"/>
      <c r="BT1099" s="82"/>
      <c r="BU1099" s="82"/>
      <c r="BV1099" s="82"/>
      <c r="BW1099" s="82"/>
      <c r="BX1099" s="82"/>
      <c r="BY1099" s="82"/>
      <c r="BZ1099" s="82"/>
      <c r="CA1099" s="82"/>
      <c r="CB1099" s="82"/>
      <c r="CC1099" s="82"/>
      <c r="CD1099" s="82"/>
      <c r="CE1099" s="82"/>
      <c r="CF1099" s="82"/>
      <c r="CG1099" s="82"/>
      <c r="CH1099" s="82"/>
      <c r="CI1099" s="82"/>
      <c r="CJ1099" s="82"/>
      <c r="CK1099" s="82"/>
      <c r="CL1099" s="82"/>
      <c r="CM1099" s="82"/>
      <c r="CN1099" s="82"/>
      <c r="CO1099" s="82"/>
      <c r="CP1099" s="82"/>
      <c r="CQ1099" s="82"/>
      <c r="CR1099" s="82"/>
      <c r="CS1099" s="82"/>
      <c r="CT1099" s="82"/>
      <c r="CU1099" s="82"/>
      <c r="CV1099" s="82"/>
      <c r="CW1099" s="82"/>
      <c r="CX1099" s="82"/>
      <c r="CY1099" s="82"/>
      <c r="CZ1099" s="82"/>
      <c r="DA1099" s="82"/>
      <c r="DB1099" s="82"/>
      <c r="DC1099" s="82"/>
      <c r="DD1099" s="82"/>
      <c r="DE1099" s="82"/>
      <c r="DF1099" s="82"/>
      <c r="DG1099" s="82"/>
    </row>
    <row r="1100" spans="2:111" ht="9" customHeight="1">
      <c r="B1100" s="229"/>
      <c r="C1100" s="229"/>
      <c r="D1100" s="229"/>
      <c r="E1100" s="229"/>
      <c r="F1100" s="229"/>
      <c r="G1100" s="229"/>
      <c r="H1100" s="229"/>
      <c r="I1100" s="229"/>
      <c r="J1100" s="229"/>
      <c r="K1100" s="229"/>
      <c r="L1100" s="229"/>
      <c r="M1100" s="229"/>
      <c r="N1100" s="229"/>
      <c r="P1100" s="230"/>
      <c r="Q1100" s="230"/>
      <c r="R1100" s="230"/>
      <c r="S1100" s="230"/>
      <c r="T1100" s="230"/>
      <c r="U1100" s="230"/>
      <c r="V1100" s="230"/>
      <c r="W1100" s="230"/>
      <c r="X1100" s="230"/>
      <c r="Y1100" s="230"/>
      <c r="Z1100" s="230"/>
      <c r="AA1100" s="230"/>
      <c r="AB1100" s="230"/>
      <c r="AC1100" s="230"/>
      <c r="AD1100" s="230"/>
      <c r="AE1100" s="230"/>
      <c r="AF1100" s="230"/>
      <c r="AG1100" s="230"/>
      <c r="AH1100" s="230"/>
      <c r="AI1100" s="230"/>
      <c r="AJ1100" s="230"/>
      <c r="AK1100" s="230"/>
      <c r="AL1100" s="230"/>
      <c r="AM1100" s="230"/>
      <c r="AN1100" s="230"/>
      <c r="AO1100" s="230"/>
      <c r="AP1100" s="230"/>
      <c r="AQ1100" s="230"/>
      <c r="AS1100" s="231"/>
      <c r="AT1100" s="231"/>
      <c r="AU1100" s="231"/>
      <c r="AV1100" s="231"/>
      <c r="AW1100" s="231"/>
      <c r="AX1100" s="231"/>
      <c r="AY1100" s="231"/>
      <c r="AZ1100" s="231"/>
      <c r="BA1100" s="231"/>
      <c r="BC1100" s="82"/>
      <c r="BD1100" s="82"/>
      <c r="BE1100" s="82"/>
      <c r="BF1100" s="82"/>
      <c r="BG1100" s="82"/>
      <c r="BH1100" s="82"/>
      <c r="BI1100" s="82"/>
      <c r="BJ1100" s="82"/>
      <c r="BK1100" s="82"/>
      <c r="BL1100" s="82"/>
      <c r="BM1100" s="82"/>
      <c r="BN1100" s="82"/>
      <c r="BO1100" s="82"/>
      <c r="BP1100" s="82"/>
      <c r="BQ1100" s="82"/>
      <c r="BR1100" s="82"/>
      <c r="BS1100" s="82"/>
      <c r="BT1100" s="82"/>
      <c r="BU1100" s="82"/>
      <c r="BV1100" s="82"/>
      <c r="BW1100" s="82"/>
      <c r="BX1100" s="82"/>
      <c r="BY1100" s="82"/>
      <c r="BZ1100" s="82"/>
      <c r="CA1100" s="82"/>
      <c r="CB1100" s="82"/>
      <c r="CC1100" s="82"/>
      <c r="CD1100" s="82"/>
      <c r="CE1100" s="82"/>
      <c r="CF1100" s="82"/>
      <c r="CG1100" s="82"/>
      <c r="CH1100" s="82"/>
      <c r="CI1100" s="82"/>
      <c r="CJ1100" s="82"/>
      <c r="CK1100" s="82"/>
      <c r="CL1100" s="82"/>
      <c r="CM1100" s="82"/>
      <c r="CN1100" s="82"/>
      <c r="CO1100" s="82"/>
      <c r="CP1100" s="82"/>
      <c r="CQ1100" s="82"/>
      <c r="CR1100" s="82"/>
      <c r="CS1100" s="82"/>
      <c r="CT1100" s="82"/>
      <c r="CU1100" s="82"/>
      <c r="CV1100" s="82"/>
      <c r="CW1100" s="82"/>
      <c r="CX1100" s="82"/>
      <c r="CY1100" s="82"/>
      <c r="CZ1100" s="82"/>
      <c r="DA1100" s="82"/>
      <c r="DB1100" s="82"/>
      <c r="DC1100" s="82"/>
      <c r="DD1100" s="82"/>
      <c r="DE1100" s="82"/>
      <c r="DF1100" s="82"/>
      <c r="DG1100" s="82"/>
    </row>
    <row r="1101" spans="2:111" ht="9" customHeight="1">
      <c r="B1101" s="229"/>
      <c r="C1101" s="229"/>
      <c r="D1101" s="229"/>
      <c r="E1101" s="229"/>
      <c r="F1101" s="229"/>
      <c r="G1101" s="229"/>
      <c r="H1101" s="229"/>
      <c r="I1101" s="229"/>
      <c r="J1101" s="229"/>
      <c r="K1101" s="229"/>
      <c r="L1101" s="229"/>
      <c r="M1101" s="229"/>
      <c r="N1101" s="229"/>
      <c r="P1101" s="230"/>
      <c r="Q1101" s="230"/>
      <c r="R1101" s="230"/>
      <c r="S1101" s="230"/>
      <c r="T1101" s="230"/>
      <c r="U1101" s="230"/>
      <c r="V1101" s="230"/>
      <c r="W1101" s="230"/>
      <c r="X1101" s="230"/>
      <c r="Y1101" s="230"/>
      <c r="Z1101" s="230"/>
      <c r="AA1101" s="230"/>
      <c r="AB1101" s="230"/>
      <c r="AC1101" s="230"/>
      <c r="AD1101" s="230"/>
      <c r="AE1101" s="230"/>
      <c r="AF1101" s="230"/>
      <c r="AG1101" s="230"/>
      <c r="AH1101" s="230"/>
      <c r="AI1101" s="230"/>
      <c r="AJ1101" s="230"/>
      <c r="AK1101" s="230"/>
      <c r="AL1101" s="230"/>
      <c r="AM1101" s="230"/>
      <c r="AN1101" s="230"/>
      <c r="AO1101" s="230"/>
      <c r="AP1101" s="230"/>
      <c r="AQ1101" s="230"/>
      <c r="AS1101" s="231"/>
      <c r="AT1101" s="231"/>
      <c r="AU1101" s="231"/>
      <c r="AV1101" s="231"/>
      <c r="AW1101" s="231"/>
      <c r="AX1101" s="231"/>
      <c r="AY1101" s="231"/>
      <c r="AZ1101" s="231"/>
      <c r="BA1101" s="231"/>
      <c r="BC1101" s="82"/>
      <c r="BD1101" s="82"/>
      <c r="BE1101" s="82"/>
      <c r="BF1101" s="82"/>
      <c r="BG1101" s="82"/>
      <c r="BH1101" s="82"/>
      <c r="BI1101" s="82"/>
      <c r="BJ1101" s="82"/>
      <c r="BK1101" s="82"/>
      <c r="BL1101" s="82"/>
      <c r="BM1101" s="82"/>
      <c r="BN1101" s="82"/>
      <c r="BO1101" s="82"/>
      <c r="BP1101" s="82"/>
      <c r="BQ1101" s="82"/>
      <c r="BR1101" s="82"/>
      <c r="BS1101" s="82"/>
      <c r="BT1101" s="82"/>
      <c r="BU1101" s="82"/>
      <c r="BV1101" s="82"/>
      <c r="BW1101" s="82"/>
      <c r="BX1101" s="82"/>
      <c r="BY1101" s="82"/>
      <c r="BZ1101" s="82"/>
      <c r="CA1101" s="82"/>
      <c r="CB1101" s="82"/>
      <c r="CC1101" s="82"/>
      <c r="CD1101" s="82"/>
      <c r="CE1101" s="82"/>
      <c r="CF1101" s="82"/>
      <c r="CG1101" s="82"/>
      <c r="CH1101" s="82"/>
      <c r="CI1101" s="82"/>
      <c r="CJ1101" s="82"/>
      <c r="CK1101" s="82"/>
      <c r="CL1101" s="82"/>
      <c r="CM1101" s="82"/>
      <c r="CN1101" s="82"/>
      <c r="CO1101" s="82"/>
      <c r="CP1101" s="82"/>
      <c r="CQ1101" s="82"/>
      <c r="CR1101" s="82"/>
      <c r="CS1101" s="82"/>
      <c r="CT1101" s="82"/>
      <c r="CU1101" s="82"/>
      <c r="CV1101" s="82"/>
      <c r="CW1101" s="82"/>
      <c r="CX1101" s="82"/>
      <c r="CY1101" s="82"/>
      <c r="CZ1101" s="82"/>
      <c r="DA1101" s="82"/>
      <c r="DB1101" s="82"/>
      <c r="DC1101" s="82"/>
      <c r="DD1101" s="82"/>
      <c r="DE1101" s="82"/>
      <c r="DF1101" s="82"/>
      <c r="DG1101" s="82"/>
    </row>
    <row r="1102" spans="2:111" ht="9" customHeight="1">
      <c r="B1102" s="229"/>
      <c r="C1102" s="229"/>
      <c r="D1102" s="229"/>
      <c r="E1102" s="229"/>
      <c r="F1102" s="229"/>
      <c r="G1102" s="229"/>
      <c r="H1102" s="229"/>
      <c r="I1102" s="229"/>
      <c r="J1102" s="229"/>
      <c r="K1102" s="229"/>
      <c r="L1102" s="229"/>
      <c r="M1102" s="229"/>
      <c r="N1102" s="229"/>
      <c r="P1102" s="230"/>
      <c r="Q1102" s="230"/>
      <c r="R1102" s="230"/>
      <c r="S1102" s="230"/>
      <c r="T1102" s="230"/>
      <c r="U1102" s="230"/>
      <c r="V1102" s="230"/>
      <c r="W1102" s="230"/>
      <c r="X1102" s="230"/>
      <c r="Y1102" s="230"/>
      <c r="Z1102" s="230"/>
      <c r="AA1102" s="230"/>
      <c r="AB1102" s="230"/>
      <c r="AC1102" s="230"/>
      <c r="AD1102" s="230"/>
      <c r="AE1102" s="230"/>
      <c r="AF1102" s="230"/>
      <c r="AG1102" s="230"/>
      <c r="AH1102" s="230"/>
      <c r="AI1102" s="230"/>
      <c r="AJ1102" s="230"/>
      <c r="AK1102" s="230"/>
      <c r="AL1102" s="230"/>
      <c r="AM1102" s="230"/>
      <c r="AN1102" s="230"/>
      <c r="AO1102" s="230"/>
      <c r="AP1102" s="230"/>
      <c r="AQ1102" s="230"/>
      <c r="AS1102" s="231"/>
      <c r="AT1102" s="231"/>
      <c r="AU1102" s="231"/>
      <c r="AV1102" s="231"/>
      <c r="AW1102" s="231"/>
      <c r="AX1102" s="231"/>
      <c r="AY1102" s="231"/>
      <c r="AZ1102" s="231"/>
      <c r="BA1102" s="231"/>
      <c r="BC1102" s="82"/>
      <c r="BD1102" s="82"/>
      <c r="BE1102" s="82"/>
      <c r="BF1102" s="82"/>
      <c r="BG1102" s="82"/>
      <c r="BH1102" s="82"/>
      <c r="BI1102" s="82"/>
      <c r="BJ1102" s="82"/>
      <c r="BK1102" s="82"/>
      <c r="BL1102" s="82"/>
      <c r="BM1102" s="82"/>
      <c r="BN1102" s="82"/>
      <c r="BO1102" s="82"/>
      <c r="BP1102" s="82"/>
      <c r="BQ1102" s="82"/>
      <c r="BR1102" s="82"/>
      <c r="BS1102" s="82"/>
      <c r="BT1102" s="82"/>
      <c r="BU1102" s="82"/>
      <c r="BV1102" s="82"/>
      <c r="BW1102" s="82"/>
      <c r="BX1102" s="82"/>
      <c r="BY1102" s="82"/>
      <c r="BZ1102" s="82"/>
      <c r="CA1102" s="82"/>
      <c r="CB1102" s="82"/>
      <c r="CC1102" s="82"/>
      <c r="CD1102" s="82"/>
      <c r="CE1102" s="82"/>
      <c r="CF1102" s="82"/>
      <c r="CG1102" s="82"/>
      <c r="CH1102" s="82"/>
      <c r="CI1102" s="82"/>
      <c r="CJ1102" s="82"/>
      <c r="CK1102" s="82"/>
      <c r="CL1102" s="82"/>
      <c r="CM1102" s="82"/>
      <c r="CN1102" s="82"/>
      <c r="CO1102" s="82"/>
      <c r="CP1102" s="82"/>
      <c r="CQ1102" s="82"/>
      <c r="CR1102" s="82"/>
      <c r="CS1102" s="82"/>
      <c r="CT1102" s="82"/>
      <c r="CU1102" s="82"/>
      <c r="CV1102" s="82"/>
      <c r="CW1102" s="82"/>
      <c r="CX1102" s="82"/>
      <c r="CY1102" s="82"/>
      <c r="CZ1102" s="82"/>
      <c r="DA1102" s="82"/>
      <c r="DB1102" s="82"/>
      <c r="DC1102" s="82"/>
      <c r="DD1102" s="82"/>
      <c r="DE1102" s="82"/>
      <c r="DF1102" s="82"/>
      <c r="DG1102" s="82"/>
    </row>
    <row r="1103" spans="2:111" ht="9" customHeight="1">
      <c r="B1103" s="229"/>
      <c r="C1103" s="229"/>
      <c r="D1103" s="229"/>
      <c r="E1103" s="229"/>
      <c r="F1103" s="229"/>
      <c r="G1103" s="229"/>
      <c r="H1103" s="229"/>
      <c r="I1103" s="229"/>
      <c r="J1103" s="229"/>
      <c r="K1103" s="229"/>
      <c r="L1103" s="229"/>
      <c r="M1103" s="229"/>
      <c r="N1103" s="229"/>
      <c r="P1103" s="230"/>
      <c r="Q1103" s="230"/>
      <c r="R1103" s="230"/>
      <c r="S1103" s="230"/>
      <c r="T1103" s="230"/>
      <c r="U1103" s="230"/>
      <c r="V1103" s="230"/>
      <c r="W1103" s="230"/>
      <c r="X1103" s="230"/>
      <c r="Y1103" s="230"/>
      <c r="Z1103" s="230"/>
      <c r="AA1103" s="230"/>
      <c r="AB1103" s="230"/>
      <c r="AC1103" s="230"/>
      <c r="AD1103" s="230"/>
      <c r="AE1103" s="230"/>
      <c r="AF1103" s="230"/>
      <c r="AG1103" s="230"/>
      <c r="AH1103" s="230"/>
      <c r="AI1103" s="230"/>
      <c r="AJ1103" s="230"/>
      <c r="AK1103" s="230"/>
      <c r="AL1103" s="230"/>
      <c r="AM1103" s="230"/>
      <c r="AN1103" s="230"/>
      <c r="AO1103" s="230"/>
      <c r="AP1103" s="230"/>
      <c r="AQ1103" s="230"/>
      <c r="AS1103" s="231"/>
      <c r="AT1103" s="231"/>
      <c r="AU1103" s="231"/>
      <c r="AV1103" s="231"/>
      <c r="AW1103" s="231"/>
      <c r="AX1103" s="231"/>
      <c r="AY1103" s="231"/>
      <c r="AZ1103" s="231"/>
      <c r="BA1103" s="231"/>
      <c r="BC1103" s="82"/>
      <c r="BD1103" s="82"/>
      <c r="BE1103" s="82"/>
      <c r="BF1103" s="82"/>
      <c r="BG1103" s="82"/>
      <c r="BH1103" s="82"/>
      <c r="BI1103" s="82"/>
      <c r="BJ1103" s="82"/>
      <c r="BK1103" s="82"/>
      <c r="BL1103" s="82"/>
      <c r="BM1103" s="82"/>
      <c r="BN1103" s="82"/>
      <c r="BO1103" s="82"/>
      <c r="BP1103" s="82"/>
      <c r="BQ1103" s="82"/>
      <c r="BR1103" s="82"/>
      <c r="BS1103" s="82"/>
      <c r="BT1103" s="82"/>
      <c r="BU1103" s="82"/>
      <c r="BV1103" s="82"/>
      <c r="BW1103" s="82"/>
      <c r="BX1103" s="82"/>
      <c r="BY1103" s="82"/>
      <c r="BZ1103" s="82"/>
      <c r="CA1103" s="82"/>
      <c r="CB1103" s="82"/>
      <c r="CC1103" s="82"/>
      <c r="CD1103" s="82"/>
      <c r="CE1103" s="82"/>
      <c r="CF1103" s="82"/>
      <c r="CG1103" s="82"/>
      <c r="CH1103" s="82"/>
      <c r="CI1103" s="82"/>
      <c r="CJ1103" s="82"/>
      <c r="CK1103" s="82"/>
      <c r="CL1103" s="82"/>
      <c r="CM1103" s="82"/>
      <c r="CN1103" s="82"/>
      <c r="CO1103" s="82"/>
      <c r="CP1103" s="82"/>
      <c r="CQ1103" s="82"/>
      <c r="CR1103" s="82"/>
      <c r="CS1103" s="82"/>
      <c r="CT1103" s="82"/>
      <c r="CU1103" s="82"/>
      <c r="CV1103" s="82"/>
      <c r="CW1103" s="82"/>
      <c r="CX1103" s="82"/>
      <c r="CY1103" s="82"/>
      <c r="CZ1103" s="82"/>
      <c r="DA1103" s="82"/>
      <c r="DB1103" s="82"/>
      <c r="DC1103" s="82"/>
      <c r="DD1103" s="82"/>
      <c r="DE1103" s="82"/>
      <c r="DF1103" s="82"/>
      <c r="DG1103" s="82"/>
    </row>
    <row r="1104" spans="2:111" ht="9" customHeight="1">
      <c r="B1104" s="229"/>
      <c r="C1104" s="229"/>
      <c r="D1104" s="229"/>
      <c r="E1104" s="229"/>
      <c r="F1104" s="229"/>
      <c r="G1104" s="229"/>
      <c r="H1104" s="229"/>
      <c r="I1104" s="229"/>
      <c r="J1104" s="229"/>
      <c r="K1104" s="229"/>
      <c r="L1104" s="229"/>
      <c r="M1104" s="229"/>
      <c r="N1104" s="229"/>
      <c r="P1104" s="230"/>
      <c r="Q1104" s="230"/>
      <c r="R1104" s="230"/>
      <c r="S1104" s="230"/>
      <c r="T1104" s="230"/>
      <c r="U1104" s="230"/>
      <c r="V1104" s="230"/>
      <c r="W1104" s="230"/>
      <c r="X1104" s="230"/>
      <c r="Y1104" s="230"/>
      <c r="Z1104" s="230"/>
      <c r="AA1104" s="230"/>
      <c r="AB1104" s="230"/>
      <c r="AC1104" s="230"/>
      <c r="AD1104" s="230"/>
      <c r="AE1104" s="230"/>
      <c r="AF1104" s="230"/>
      <c r="AG1104" s="230"/>
      <c r="AH1104" s="230"/>
      <c r="AI1104" s="230"/>
      <c r="AJ1104" s="230"/>
      <c r="AK1104" s="230"/>
      <c r="AL1104" s="230"/>
      <c r="AM1104" s="230"/>
      <c r="AN1104" s="230"/>
      <c r="AO1104" s="230"/>
      <c r="AP1104" s="230"/>
      <c r="AQ1104" s="230"/>
      <c r="AS1104" s="231"/>
      <c r="AT1104" s="231"/>
      <c r="AU1104" s="231"/>
      <c r="AV1104" s="231"/>
      <c r="AW1104" s="231"/>
      <c r="AX1104" s="231"/>
      <c r="AY1104" s="231"/>
      <c r="AZ1104" s="231"/>
      <c r="BA1104" s="231"/>
      <c r="BC1104" s="82"/>
      <c r="BD1104" s="82"/>
      <c r="BE1104" s="82"/>
      <c r="BF1104" s="82"/>
      <c r="BG1104" s="82"/>
      <c r="BH1104" s="82"/>
      <c r="BI1104" s="82"/>
      <c r="BJ1104" s="82"/>
      <c r="BK1104" s="82"/>
      <c r="BL1104" s="82"/>
      <c r="BM1104" s="82"/>
      <c r="BN1104" s="82"/>
      <c r="BO1104" s="82"/>
      <c r="BP1104" s="82"/>
      <c r="BQ1104" s="82"/>
      <c r="BR1104" s="82"/>
      <c r="BS1104" s="82"/>
      <c r="BT1104" s="82"/>
      <c r="BU1104" s="82"/>
      <c r="BV1104" s="82"/>
      <c r="BW1104" s="82"/>
      <c r="BX1104" s="82"/>
      <c r="BY1104" s="82"/>
      <c r="BZ1104" s="82"/>
      <c r="CA1104" s="82"/>
      <c r="CB1104" s="82"/>
      <c r="CC1104" s="82"/>
      <c r="CD1104" s="82"/>
      <c r="CE1104" s="82"/>
      <c r="CF1104" s="82"/>
      <c r="CG1104" s="82"/>
      <c r="CH1104" s="82"/>
      <c r="CI1104" s="82"/>
      <c r="CJ1104" s="82"/>
      <c r="CK1104" s="82"/>
      <c r="CL1104" s="82"/>
      <c r="CM1104" s="82"/>
      <c r="CN1104" s="82"/>
      <c r="CO1104" s="82"/>
      <c r="CP1104" s="82"/>
      <c r="CQ1104" s="82"/>
      <c r="CR1104" s="82"/>
      <c r="CS1104" s="82"/>
      <c r="CT1104" s="82"/>
      <c r="CU1104" s="82"/>
      <c r="CV1104" s="82"/>
      <c r="CW1104" s="82"/>
      <c r="CX1104" s="82"/>
      <c r="CY1104" s="82"/>
      <c r="CZ1104" s="82"/>
      <c r="DA1104" s="82"/>
      <c r="DB1104" s="82"/>
      <c r="DC1104" s="82"/>
      <c r="DD1104" s="82"/>
      <c r="DE1104" s="82"/>
      <c r="DF1104" s="82"/>
      <c r="DG1104" s="82"/>
    </row>
    <row r="1105" spans="2:111" ht="9" customHeight="1">
      <c r="B1105" s="229"/>
      <c r="C1105" s="229"/>
      <c r="D1105" s="229"/>
      <c r="E1105" s="229"/>
      <c r="F1105" s="229"/>
      <c r="G1105" s="229"/>
      <c r="H1105" s="229"/>
      <c r="I1105" s="229"/>
      <c r="J1105" s="229"/>
      <c r="K1105" s="229"/>
      <c r="L1105" s="229"/>
      <c r="M1105" s="229"/>
      <c r="N1105" s="229"/>
      <c r="P1105" s="230"/>
      <c r="Q1105" s="230"/>
      <c r="R1105" s="230"/>
      <c r="S1105" s="230"/>
      <c r="T1105" s="230"/>
      <c r="U1105" s="230"/>
      <c r="V1105" s="230"/>
      <c r="W1105" s="230"/>
      <c r="X1105" s="230"/>
      <c r="Y1105" s="230"/>
      <c r="Z1105" s="230"/>
      <c r="AA1105" s="230"/>
      <c r="AB1105" s="230"/>
      <c r="AC1105" s="230"/>
      <c r="AD1105" s="230"/>
      <c r="AE1105" s="230"/>
      <c r="AF1105" s="230"/>
      <c r="AG1105" s="230"/>
      <c r="AH1105" s="230"/>
      <c r="AI1105" s="230"/>
      <c r="AJ1105" s="230"/>
      <c r="AK1105" s="230"/>
      <c r="AL1105" s="230"/>
      <c r="AM1105" s="230"/>
      <c r="AN1105" s="230"/>
      <c r="AO1105" s="230"/>
      <c r="AP1105" s="230"/>
      <c r="AQ1105" s="230"/>
      <c r="AS1105" s="231"/>
      <c r="AT1105" s="231"/>
      <c r="AU1105" s="231"/>
      <c r="AV1105" s="231"/>
      <c r="AW1105" s="231"/>
      <c r="AX1105" s="231"/>
      <c r="AY1105" s="231"/>
      <c r="AZ1105" s="231"/>
      <c r="BA1105" s="231"/>
      <c r="BC1105" s="82"/>
      <c r="BD1105" s="82"/>
      <c r="BE1105" s="82"/>
      <c r="BF1105" s="82"/>
      <c r="BG1105" s="82"/>
      <c r="BH1105" s="82"/>
      <c r="BI1105" s="82"/>
      <c r="BJ1105" s="82"/>
      <c r="BK1105" s="82"/>
      <c r="BL1105" s="82"/>
      <c r="BM1105" s="82"/>
      <c r="BN1105" s="82"/>
      <c r="BO1105" s="82"/>
      <c r="BP1105" s="82"/>
      <c r="BQ1105" s="82"/>
      <c r="BR1105" s="82"/>
      <c r="BS1105" s="82"/>
      <c r="BT1105" s="82"/>
      <c r="BU1105" s="82"/>
      <c r="BV1105" s="82"/>
      <c r="BW1105" s="82"/>
      <c r="BX1105" s="82"/>
      <c r="BY1105" s="82"/>
      <c r="BZ1105" s="82"/>
      <c r="CA1105" s="82"/>
      <c r="CB1105" s="82"/>
      <c r="CC1105" s="82"/>
      <c r="CD1105" s="82"/>
      <c r="CE1105" s="82"/>
      <c r="CF1105" s="82"/>
      <c r="CG1105" s="82"/>
      <c r="CH1105" s="82"/>
      <c r="CI1105" s="82"/>
      <c r="CJ1105" s="82"/>
      <c r="CK1105" s="82"/>
      <c r="CL1105" s="82"/>
      <c r="CM1105" s="82"/>
      <c r="CN1105" s="82"/>
      <c r="CO1105" s="82"/>
      <c r="CP1105" s="82"/>
      <c r="CQ1105" s="82"/>
      <c r="CR1105" s="82"/>
      <c r="CS1105" s="82"/>
      <c r="CT1105" s="82"/>
      <c r="CU1105" s="82"/>
      <c r="CV1105" s="82"/>
      <c r="CW1105" s="82"/>
      <c r="CX1105" s="82"/>
      <c r="CY1105" s="82"/>
      <c r="CZ1105" s="82"/>
      <c r="DA1105" s="82"/>
      <c r="DB1105" s="82"/>
      <c r="DC1105" s="82"/>
      <c r="DD1105" s="82"/>
      <c r="DE1105" s="82"/>
      <c r="DF1105" s="82"/>
      <c r="DG1105" s="82"/>
    </row>
    <row r="1106" spans="2:111" ht="9" customHeight="1">
      <c r="B1106" s="229"/>
      <c r="C1106" s="229"/>
      <c r="D1106" s="229"/>
      <c r="E1106" s="229"/>
      <c r="F1106" s="229"/>
      <c r="G1106" s="229"/>
      <c r="H1106" s="229"/>
      <c r="I1106" s="229"/>
      <c r="J1106" s="229"/>
      <c r="K1106" s="229"/>
      <c r="L1106" s="229"/>
      <c r="M1106" s="229"/>
      <c r="N1106" s="229"/>
      <c r="P1106" s="230"/>
      <c r="Q1106" s="230"/>
      <c r="R1106" s="230"/>
      <c r="S1106" s="230"/>
      <c r="T1106" s="230"/>
      <c r="U1106" s="230"/>
      <c r="V1106" s="230"/>
      <c r="W1106" s="230"/>
      <c r="X1106" s="230"/>
      <c r="Y1106" s="230"/>
      <c r="Z1106" s="230"/>
      <c r="AA1106" s="230"/>
      <c r="AB1106" s="230"/>
      <c r="AC1106" s="230"/>
      <c r="AD1106" s="230"/>
      <c r="AE1106" s="230"/>
      <c r="AF1106" s="230"/>
      <c r="AG1106" s="230"/>
      <c r="AH1106" s="230"/>
      <c r="AI1106" s="230"/>
      <c r="AJ1106" s="230"/>
      <c r="AK1106" s="230"/>
      <c r="AL1106" s="230"/>
      <c r="AM1106" s="230"/>
      <c r="AN1106" s="230"/>
      <c r="AO1106" s="230"/>
      <c r="AP1106" s="230"/>
      <c r="AQ1106" s="230"/>
      <c r="AS1106" s="231"/>
      <c r="AT1106" s="231"/>
      <c r="AU1106" s="231"/>
      <c r="AV1106" s="231"/>
      <c r="AW1106" s="231"/>
      <c r="AX1106" s="231"/>
      <c r="AY1106" s="231"/>
      <c r="AZ1106" s="231"/>
      <c r="BA1106" s="231"/>
      <c r="BC1106" s="82"/>
      <c r="BD1106" s="82"/>
      <c r="BE1106" s="82"/>
      <c r="BF1106" s="82"/>
      <c r="BG1106" s="82"/>
      <c r="BH1106" s="82"/>
      <c r="BI1106" s="82"/>
      <c r="BJ1106" s="82"/>
      <c r="BK1106" s="82"/>
      <c r="BL1106" s="82"/>
      <c r="BM1106" s="82"/>
      <c r="BN1106" s="82"/>
      <c r="BO1106" s="82"/>
      <c r="BP1106" s="82"/>
      <c r="BQ1106" s="82"/>
      <c r="BR1106" s="82"/>
      <c r="BS1106" s="82"/>
      <c r="BT1106" s="82"/>
      <c r="BU1106" s="82"/>
      <c r="BV1106" s="82"/>
      <c r="BW1106" s="82"/>
      <c r="BX1106" s="82"/>
      <c r="BY1106" s="82"/>
      <c r="BZ1106" s="82"/>
      <c r="CA1106" s="82"/>
      <c r="CB1106" s="82"/>
      <c r="CC1106" s="82"/>
      <c r="CD1106" s="82"/>
      <c r="CE1106" s="82"/>
      <c r="CF1106" s="82"/>
      <c r="CG1106" s="82"/>
      <c r="CH1106" s="82"/>
      <c r="CI1106" s="82"/>
      <c r="CJ1106" s="82"/>
      <c r="CK1106" s="82"/>
      <c r="CL1106" s="82"/>
      <c r="CM1106" s="82"/>
      <c r="CN1106" s="82"/>
      <c r="CO1106" s="82"/>
      <c r="CP1106" s="82"/>
      <c r="CQ1106" s="82"/>
      <c r="CR1106" s="82"/>
      <c r="CS1106" s="82"/>
      <c r="CT1106" s="82"/>
      <c r="CU1106" s="82"/>
      <c r="CV1106" s="82"/>
      <c r="CW1106" s="82"/>
      <c r="CX1106" s="82"/>
      <c r="CY1106" s="82"/>
      <c r="CZ1106" s="82"/>
      <c r="DA1106" s="82"/>
      <c r="DB1106" s="82"/>
      <c r="DC1106" s="82"/>
      <c r="DD1106" s="82"/>
      <c r="DE1106" s="82"/>
      <c r="DF1106" s="82"/>
      <c r="DG1106" s="82"/>
    </row>
    <row r="1107" spans="2:111" ht="9" customHeight="1">
      <c r="B1107" s="229"/>
      <c r="C1107" s="229"/>
      <c r="D1107" s="229"/>
      <c r="E1107" s="229"/>
      <c r="F1107" s="229"/>
      <c r="G1107" s="229"/>
      <c r="H1107" s="229"/>
      <c r="I1107" s="229"/>
      <c r="J1107" s="229"/>
      <c r="K1107" s="229"/>
      <c r="L1107" s="229"/>
      <c r="M1107" s="229"/>
      <c r="N1107" s="229"/>
      <c r="P1107" s="230"/>
      <c r="Q1107" s="230"/>
      <c r="R1107" s="230"/>
      <c r="S1107" s="230"/>
      <c r="T1107" s="230"/>
      <c r="U1107" s="230"/>
      <c r="V1107" s="230"/>
      <c r="W1107" s="230"/>
      <c r="X1107" s="230"/>
      <c r="Y1107" s="230"/>
      <c r="Z1107" s="230"/>
      <c r="AA1107" s="230"/>
      <c r="AB1107" s="230"/>
      <c r="AC1107" s="230"/>
      <c r="AD1107" s="230"/>
      <c r="AE1107" s="230"/>
      <c r="AF1107" s="230"/>
      <c r="AG1107" s="230"/>
      <c r="AH1107" s="230"/>
      <c r="AI1107" s="230"/>
      <c r="AJ1107" s="230"/>
      <c r="AK1107" s="230"/>
      <c r="AL1107" s="230"/>
      <c r="AM1107" s="230"/>
      <c r="AN1107" s="230"/>
      <c r="AO1107" s="230"/>
      <c r="AP1107" s="230"/>
      <c r="AQ1107" s="230"/>
      <c r="AS1107" s="231"/>
      <c r="AT1107" s="231"/>
      <c r="AU1107" s="231"/>
      <c r="AV1107" s="231"/>
      <c r="AW1107" s="231"/>
      <c r="AX1107" s="231"/>
      <c r="AY1107" s="231"/>
      <c r="AZ1107" s="231"/>
      <c r="BA1107" s="231"/>
      <c r="BC1107" s="82"/>
      <c r="BD1107" s="82"/>
      <c r="BE1107" s="82"/>
      <c r="BF1107" s="82"/>
      <c r="BG1107" s="82"/>
      <c r="BH1107" s="82"/>
      <c r="BI1107" s="82"/>
      <c r="BJ1107" s="82"/>
      <c r="BK1107" s="82"/>
      <c r="BL1107" s="82"/>
      <c r="BM1107" s="82"/>
      <c r="BN1107" s="82"/>
      <c r="BO1107" s="82"/>
      <c r="BP1107" s="82"/>
      <c r="BQ1107" s="82"/>
      <c r="BR1107" s="82"/>
      <c r="BS1107" s="82"/>
      <c r="BT1107" s="82"/>
      <c r="BU1107" s="82"/>
      <c r="BV1107" s="82"/>
      <c r="BW1107" s="82"/>
      <c r="BX1107" s="82"/>
      <c r="BY1107" s="82"/>
      <c r="BZ1107" s="82"/>
      <c r="CA1107" s="82"/>
      <c r="CB1107" s="82"/>
      <c r="CC1107" s="82"/>
      <c r="CD1107" s="82"/>
      <c r="CE1107" s="82"/>
      <c r="CF1107" s="82"/>
      <c r="CG1107" s="82"/>
      <c r="CH1107" s="82"/>
      <c r="CI1107" s="82"/>
      <c r="CJ1107" s="82"/>
      <c r="CK1107" s="82"/>
      <c r="CL1107" s="82"/>
      <c r="CM1107" s="82"/>
      <c r="CN1107" s="82"/>
      <c r="CO1107" s="82"/>
      <c r="CP1107" s="82"/>
      <c r="CQ1107" s="82"/>
      <c r="CR1107" s="82"/>
      <c r="CS1107" s="82"/>
      <c r="CT1107" s="82"/>
      <c r="CU1107" s="82"/>
      <c r="CV1107" s="82"/>
      <c r="CW1107" s="82"/>
      <c r="CX1107" s="82"/>
      <c r="CY1107" s="82"/>
      <c r="CZ1107" s="82"/>
      <c r="DA1107" s="82"/>
      <c r="DB1107" s="82"/>
      <c r="DC1107" s="82"/>
      <c r="DD1107" s="82"/>
      <c r="DE1107" s="82"/>
      <c r="DF1107" s="82"/>
      <c r="DG1107" s="82"/>
    </row>
    <row r="1108" spans="2:111" ht="9" customHeight="1">
      <c r="B1108" s="229"/>
      <c r="C1108" s="229"/>
      <c r="D1108" s="229"/>
      <c r="E1108" s="229"/>
      <c r="F1108" s="229"/>
      <c r="G1108" s="229"/>
      <c r="H1108" s="229"/>
      <c r="I1108" s="229"/>
      <c r="J1108" s="229"/>
      <c r="K1108" s="229"/>
      <c r="L1108" s="229"/>
      <c r="M1108" s="229"/>
      <c r="N1108" s="229"/>
      <c r="P1108" s="230"/>
      <c r="Q1108" s="230"/>
      <c r="R1108" s="230"/>
      <c r="S1108" s="230"/>
      <c r="T1108" s="230"/>
      <c r="U1108" s="230"/>
      <c r="V1108" s="230"/>
      <c r="W1108" s="230"/>
      <c r="X1108" s="230"/>
      <c r="Y1108" s="230"/>
      <c r="Z1108" s="230"/>
      <c r="AA1108" s="230"/>
      <c r="AB1108" s="230"/>
      <c r="AC1108" s="230"/>
      <c r="AD1108" s="230"/>
      <c r="AE1108" s="230"/>
      <c r="AF1108" s="230"/>
      <c r="AG1108" s="230"/>
      <c r="AH1108" s="230"/>
      <c r="AI1108" s="230"/>
      <c r="AJ1108" s="230"/>
      <c r="AK1108" s="230"/>
      <c r="AL1108" s="230"/>
      <c r="AM1108" s="230"/>
      <c r="AN1108" s="230"/>
      <c r="AO1108" s="230"/>
      <c r="AP1108" s="230"/>
      <c r="AQ1108" s="230"/>
      <c r="AS1108" s="231"/>
      <c r="AT1108" s="231"/>
      <c r="AU1108" s="231"/>
      <c r="AV1108" s="231"/>
      <c r="AW1108" s="231"/>
      <c r="AX1108" s="231"/>
      <c r="AY1108" s="231"/>
      <c r="AZ1108" s="231"/>
      <c r="BA1108" s="231"/>
      <c r="BC1108" s="82"/>
      <c r="BD1108" s="82"/>
      <c r="BE1108" s="82"/>
      <c r="BF1108" s="82"/>
      <c r="BG1108" s="82"/>
      <c r="BH1108" s="82"/>
      <c r="BI1108" s="82"/>
      <c r="BJ1108" s="82"/>
      <c r="BK1108" s="82"/>
      <c r="BL1108" s="82"/>
      <c r="BM1108" s="82"/>
      <c r="BN1108" s="82"/>
      <c r="BO1108" s="82"/>
      <c r="BP1108" s="82"/>
      <c r="BQ1108" s="82"/>
      <c r="BR1108" s="82"/>
      <c r="BS1108" s="82"/>
      <c r="BT1108" s="82"/>
      <c r="BU1108" s="82"/>
      <c r="BV1108" s="82"/>
      <c r="BW1108" s="82"/>
      <c r="BX1108" s="82"/>
      <c r="BY1108" s="82"/>
      <c r="BZ1108" s="82"/>
      <c r="CA1108" s="82"/>
      <c r="CB1108" s="82"/>
      <c r="CC1108" s="82"/>
      <c r="CD1108" s="82"/>
      <c r="CE1108" s="82"/>
      <c r="CF1108" s="82"/>
      <c r="CG1108" s="82"/>
      <c r="CH1108" s="82"/>
      <c r="CI1108" s="82"/>
      <c r="CJ1108" s="82"/>
      <c r="CK1108" s="82"/>
      <c r="CL1108" s="82"/>
      <c r="CM1108" s="82"/>
      <c r="CN1108" s="82"/>
      <c r="CO1108" s="82"/>
      <c r="CP1108" s="82"/>
      <c r="CQ1108" s="82"/>
      <c r="CR1108" s="82"/>
      <c r="CS1108" s="82"/>
      <c r="CT1108" s="82"/>
      <c r="CU1108" s="82"/>
      <c r="CV1108" s="82"/>
      <c r="CW1108" s="82"/>
      <c r="CX1108" s="82"/>
      <c r="CY1108" s="82"/>
      <c r="CZ1108" s="82"/>
      <c r="DA1108" s="82"/>
      <c r="DB1108" s="82"/>
      <c r="DC1108" s="82"/>
      <c r="DD1108" s="82"/>
      <c r="DE1108" s="82"/>
      <c r="DF1108" s="82"/>
      <c r="DG1108" s="82"/>
    </row>
    <row r="1109" spans="2:111" ht="9" customHeight="1">
      <c r="B1109" s="229"/>
      <c r="C1109" s="229"/>
      <c r="D1109" s="229"/>
      <c r="E1109" s="229"/>
      <c r="F1109" s="229"/>
      <c r="G1109" s="229"/>
      <c r="H1109" s="229"/>
      <c r="I1109" s="229"/>
      <c r="J1109" s="229"/>
      <c r="K1109" s="229"/>
      <c r="L1109" s="229"/>
      <c r="M1109" s="229"/>
      <c r="N1109" s="229"/>
      <c r="P1109" s="230"/>
      <c r="Q1109" s="230"/>
      <c r="R1109" s="230"/>
      <c r="S1109" s="230"/>
      <c r="T1109" s="230"/>
      <c r="U1109" s="230"/>
      <c r="V1109" s="230"/>
      <c r="W1109" s="230"/>
      <c r="X1109" s="230"/>
      <c r="Y1109" s="230"/>
      <c r="Z1109" s="230"/>
      <c r="AA1109" s="230"/>
      <c r="AB1109" s="230"/>
      <c r="AC1109" s="230"/>
      <c r="AD1109" s="230"/>
      <c r="AE1109" s="230"/>
      <c r="AF1109" s="230"/>
      <c r="AG1109" s="230"/>
      <c r="AH1109" s="230"/>
      <c r="AI1109" s="230"/>
      <c r="AJ1109" s="230"/>
      <c r="AK1109" s="230"/>
      <c r="AL1109" s="230"/>
      <c r="AM1109" s="230"/>
      <c r="AN1109" s="230"/>
      <c r="AO1109" s="230"/>
      <c r="AP1109" s="230"/>
      <c r="AQ1109" s="230"/>
      <c r="AS1109" s="231"/>
      <c r="AT1109" s="231"/>
      <c r="AU1109" s="231"/>
      <c r="AV1109" s="231"/>
      <c r="AW1109" s="231"/>
      <c r="AX1109" s="231"/>
      <c r="AY1109" s="231"/>
      <c r="AZ1109" s="231"/>
      <c r="BA1109" s="231"/>
      <c r="BC1109" s="82"/>
      <c r="BD1109" s="82"/>
      <c r="BE1109" s="82"/>
      <c r="BF1109" s="82"/>
      <c r="BG1109" s="82"/>
      <c r="BH1109" s="82"/>
      <c r="BI1109" s="82"/>
      <c r="BJ1109" s="82"/>
      <c r="BK1109" s="82"/>
      <c r="BL1109" s="82"/>
      <c r="BM1109" s="82"/>
      <c r="BN1109" s="82"/>
      <c r="BO1109" s="82"/>
      <c r="BP1109" s="82"/>
      <c r="BQ1109" s="82"/>
      <c r="BR1109" s="82"/>
      <c r="BS1109" s="82"/>
      <c r="BT1109" s="82"/>
      <c r="BU1109" s="82"/>
      <c r="BV1109" s="82"/>
      <c r="BW1109" s="82"/>
      <c r="BX1109" s="82"/>
      <c r="BY1109" s="82"/>
      <c r="BZ1109" s="82"/>
      <c r="CA1109" s="82"/>
      <c r="CB1109" s="82"/>
      <c r="CC1109" s="82"/>
      <c r="CD1109" s="82"/>
      <c r="CE1109" s="82"/>
      <c r="CF1109" s="82"/>
      <c r="CG1109" s="82"/>
      <c r="CH1109" s="82"/>
      <c r="CI1109" s="82"/>
      <c r="CJ1109" s="82"/>
      <c r="CK1109" s="82"/>
      <c r="CL1109" s="82"/>
      <c r="CM1109" s="82"/>
      <c r="CN1109" s="82"/>
      <c r="CO1109" s="82"/>
      <c r="CP1109" s="82"/>
      <c r="CQ1109" s="82"/>
      <c r="CR1109" s="82"/>
      <c r="CS1109" s="82"/>
      <c r="CT1109" s="82"/>
      <c r="CU1109" s="82"/>
      <c r="CV1109" s="82"/>
      <c r="CW1109" s="82"/>
      <c r="CX1109" s="82"/>
      <c r="CY1109" s="82"/>
      <c r="CZ1109" s="82"/>
      <c r="DA1109" s="82"/>
      <c r="DB1109" s="82"/>
      <c r="DC1109" s="82"/>
      <c r="DD1109" s="82"/>
      <c r="DE1109" s="82"/>
      <c r="DF1109" s="82"/>
      <c r="DG1109" s="82"/>
    </row>
    <row r="1110" spans="2:111" ht="9" customHeight="1">
      <c r="B1110" s="229"/>
      <c r="C1110" s="229"/>
      <c r="D1110" s="229"/>
      <c r="E1110" s="229"/>
      <c r="F1110" s="229"/>
      <c r="G1110" s="229"/>
      <c r="H1110" s="229"/>
      <c r="I1110" s="229"/>
      <c r="J1110" s="229"/>
      <c r="K1110" s="229"/>
      <c r="L1110" s="229"/>
      <c r="M1110" s="229"/>
      <c r="N1110" s="229"/>
      <c r="P1110" s="230"/>
      <c r="Q1110" s="230"/>
      <c r="R1110" s="230"/>
      <c r="S1110" s="230"/>
      <c r="T1110" s="230"/>
      <c r="U1110" s="230"/>
      <c r="V1110" s="230"/>
      <c r="W1110" s="230"/>
      <c r="X1110" s="230"/>
      <c r="Y1110" s="230"/>
      <c r="Z1110" s="230"/>
      <c r="AA1110" s="230"/>
      <c r="AB1110" s="230"/>
      <c r="AC1110" s="230"/>
      <c r="AD1110" s="230"/>
      <c r="AE1110" s="230"/>
      <c r="AF1110" s="230"/>
      <c r="AG1110" s="230"/>
      <c r="AH1110" s="230"/>
      <c r="AI1110" s="230"/>
      <c r="AJ1110" s="230"/>
      <c r="AK1110" s="230"/>
      <c r="AL1110" s="230"/>
      <c r="AM1110" s="230"/>
      <c r="AN1110" s="230"/>
      <c r="AO1110" s="230"/>
      <c r="AP1110" s="230"/>
      <c r="AQ1110" s="230"/>
      <c r="AS1110" s="231"/>
      <c r="AT1110" s="231"/>
      <c r="AU1110" s="231"/>
      <c r="AV1110" s="231"/>
      <c r="AW1110" s="231"/>
      <c r="AX1110" s="231"/>
      <c r="AY1110" s="231"/>
      <c r="AZ1110" s="231"/>
      <c r="BA1110" s="231"/>
      <c r="BC1110" s="82"/>
      <c r="BD1110" s="82"/>
      <c r="BE1110" s="82"/>
      <c r="BF1110" s="82"/>
      <c r="BG1110" s="82"/>
      <c r="BH1110" s="82"/>
      <c r="BI1110" s="82"/>
      <c r="BJ1110" s="82"/>
      <c r="BK1110" s="82"/>
      <c r="BL1110" s="82"/>
      <c r="BM1110" s="82"/>
      <c r="BN1110" s="82"/>
      <c r="BO1110" s="82"/>
      <c r="BP1110" s="82"/>
      <c r="BQ1110" s="82"/>
      <c r="BR1110" s="82"/>
      <c r="BS1110" s="82"/>
      <c r="BT1110" s="82"/>
      <c r="BU1110" s="82"/>
      <c r="BV1110" s="82"/>
      <c r="BW1110" s="82"/>
      <c r="BX1110" s="82"/>
      <c r="BY1110" s="82"/>
      <c r="BZ1110" s="82"/>
      <c r="CA1110" s="82"/>
      <c r="CB1110" s="82"/>
      <c r="CC1110" s="82"/>
      <c r="CD1110" s="82"/>
      <c r="CE1110" s="82"/>
      <c r="CF1110" s="82"/>
      <c r="CG1110" s="82"/>
      <c r="CH1110" s="82"/>
      <c r="CI1110" s="82"/>
      <c r="CJ1110" s="82"/>
      <c r="CK1110" s="82"/>
      <c r="CL1110" s="82"/>
      <c r="CM1110" s="82"/>
      <c r="CN1110" s="82"/>
      <c r="CO1110" s="82"/>
      <c r="CP1110" s="82"/>
      <c r="CQ1110" s="82"/>
      <c r="CR1110" s="82"/>
      <c r="CS1110" s="82"/>
      <c r="CT1110" s="82"/>
      <c r="CU1110" s="82"/>
      <c r="CV1110" s="82"/>
      <c r="CW1110" s="82"/>
      <c r="CX1110" s="82"/>
      <c r="CY1110" s="82"/>
      <c r="CZ1110" s="82"/>
      <c r="DA1110" s="82"/>
      <c r="DB1110" s="82"/>
      <c r="DC1110" s="82"/>
      <c r="DD1110" s="82"/>
      <c r="DE1110" s="82"/>
      <c r="DF1110" s="82"/>
      <c r="DG1110" s="82"/>
    </row>
    <row r="1111" spans="2:111" ht="9" customHeight="1">
      <c r="B1111" s="229"/>
      <c r="C1111" s="229"/>
      <c r="D1111" s="229"/>
      <c r="E1111" s="229"/>
      <c r="F1111" s="229"/>
      <c r="G1111" s="229"/>
      <c r="H1111" s="229"/>
      <c r="I1111" s="229"/>
      <c r="J1111" s="229"/>
      <c r="K1111" s="229"/>
      <c r="L1111" s="229"/>
      <c r="M1111" s="229"/>
      <c r="N1111" s="229"/>
      <c r="P1111" s="230"/>
      <c r="Q1111" s="230"/>
      <c r="R1111" s="230"/>
      <c r="S1111" s="230"/>
      <c r="T1111" s="230"/>
      <c r="U1111" s="230"/>
      <c r="V1111" s="230"/>
      <c r="W1111" s="230"/>
      <c r="X1111" s="230"/>
      <c r="Y1111" s="230"/>
      <c r="Z1111" s="230"/>
      <c r="AA1111" s="230"/>
      <c r="AB1111" s="230"/>
      <c r="AC1111" s="230"/>
      <c r="AD1111" s="230"/>
      <c r="AE1111" s="230"/>
      <c r="AF1111" s="230"/>
      <c r="AG1111" s="230"/>
      <c r="AH1111" s="230"/>
      <c r="AI1111" s="230"/>
      <c r="AJ1111" s="230"/>
      <c r="AK1111" s="230"/>
      <c r="AL1111" s="230"/>
      <c r="AM1111" s="230"/>
      <c r="AN1111" s="230"/>
      <c r="AO1111" s="230"/>
      <c r="AP1111" s="230"/>
      <c r="AQ1111" s="230"/>
      <c r="AS1111" s="231"/>
      <c r="AT1111" s="231"/>
      <c r="AU1111" s="231"/>
      <c r="AV1111" s="231"/>
      <c r="AW1111" s="231"/>
      <c r="AX1111" s="231"/>
      <c r="AY1111" s="231"/>
      <c r="AZ1111" s="231"/>
      <c r="BA1111" s="231"/>
      <c r="BC1111" s="82"/>
      <c r="BD1111" s="82"/>
      <c r="BE1111" s="82"/>
      <c r="BF1111" s="82"/>
      <c r="BG1111" s="82"/>
      <c r="BH1111" s="82"/>
      <c r="BI1111" s="82"/>
      <c r="BJ1111" s="82"/>
      <c r="BK1111" s="82"/>
      <c r="BL1111" s="82"/>
      <c r="BM1111" s="82"/>
      <c r="BN1111" s="82"/>
      <c r="BO1111" s="82"/>
      <c r="BP1111" s="82"/>
      <c r="BQ1111" s="82"/>
      <c r="BR1111" s="82"/>
      <c r="BS1111" s="82"/>
      <c r="BT1111" s="82"/>
      <c r="BU1111" s="82"/>
      <c r="BV1111" s="82"/>
      <c r="BW1111" s="82"/>
      <c r="BX1111" s="82"/>
      <c r="BY1111" s="82"/>
      <c r="BZ1111" s="82"/>
      <c r="CA1111" s="82"/>
      <c r="CB1111" s="82"/>
      <c r="CC1111" s="82"/>
      <c r="CD1111" s="82"/>
      <c r="CE1111" s="82"/>
      <c r="CF1111" s="82"/>
      <c r="CG1111" s="82"/>
      <c r="CH1111" s="82"/>
      <c r="CI1111" s="82"/>
      <c r="CJ1111" s="82"/>
      <c r="CK1111" s="82"/>
      <c r="CL1111" s="82"/>
      <c r="CM1111" s="82"/>
      <c r="CN1111" s="82"/>
      <c r="CO1111" s="82"/>
      <c r="CP1111" s="82"/>
      <c r="CQ1111" s="82"/>
      <c r="CR1111" s="82"/>
      <c r="CS1111" s="82"/>
      <c r="CT1111" s="82"/>
      <c r="CU1111" s="82"/>
      <c r="CV1111" s="82"/>
      <c r="CW1111" s="82"/>
      <c r="CX1111" s="82"/>
      <c r="CY1111" s="82"/>
      <c r="CZ1111" s="82"/>
      <c r="DA1111" s="82"/>
      <c r="DB1111" s="82"/>
      <c r="DC1111" s="82"/>
      <c r="DD1111" s="82"/>
      <c r="DE1111" s="82"/>
      <c r="DF1111" s="82"/>
      <c r="DG1111" s="82"/>
    </row>
    <row r="1112" spans="2:111" ht="9" customHeight="1">
      <c r="B1112" s="229"/>
      <c r="C1112" s="229"/>
      <c r="D1112" s="229"/>
      <c r="E1112" s="229"/>
      <c r="F1112" s="229"/>
      <c r="G1112" s="229"/>
      <c r="H1112" s="229"/>
      <c r="I1112" s="229"/>
      <c r="J1112" s="229"/>
      <c r="K1112" s="229"/>
      <c r="L1112" s="229"/>
      <c r="M1112" s="229"/>
      <c r="N1112" s="229"/>
      <c r="P1112" s="230"/>
      <c r="Q1112" s="230"/>
      <c r="R1112" s="230"/>
      <c r="S1112" s="230"/>
      <c r="T1112" s="230"/>
      <c r="U1112" s="230"/>
      <c r="V1112" s="230"/>
      <c r="W1112" s="230"/>
      <c r="X1112" s="230"/>
      <c r="Y1112" s="230"/>
      <c r="Z1112" s="230"/>
      <c r="AA1112" s="230"/>
      <c r="AB1112" s="230"/>
      <c r="AC1112" s="230"/>
      <c r="AD1112" s="230"/>
      <c r="AE1112" s="230"/>
      <c r="AF1112" s="230"/>
      <c r="AG1112" s="230"/>
      <c r="AH1112" s="230"/>
      <c r="AI1112" s="230"/>
      <c r="AJ1112" s="230"/>
      <c r="AK1112" s="230"/>
      <c r="AL1112" s="230"/>
      <c r="AM1112" s="230"/>
      <c r="AN1112" s="230"/>
      <c r="AO1112" s="230"/>
      <c r="AP1112" s="230"/>
      <c r="AQ1112" s="230"/>
      <c r="AS1112" s="231"/>
      <c r="AT1112" s="231"/>
      <c r="AU1112" s="231"/>
      <c r="AV1112" s="231"/>
      <c r="AW1112" s="231"/>
      <c r="AX1112" s="231"/>
      <c r="AY1112" s="231"/>
      <c r="AZ1112" s="231"/>
      <c r="BA1112" s="231"/>
      <c r="BC1112" s="82"/>
      <c r="BD1112" s="82"/>
      <c r="BE1112" s="82"/>
      <c r="BF1112" s="82"/>
      <c r="BG1112" s="82"/>
      <c r="BH1112" s="82"/>
      <c r="BI1112" s="82"/>
      <c r="BJ1112" s="82"/>
      <c r="BK1112" s="82"/>
      <c r="BL1112" s="82"/>
      <c r="BM1112" s="82"/>
      <c r="BN1112" s="82"/>
      <c r="BO1112" s="82"/>
      <c r="BP1112" s="82"/>
      <c r="BQ1112" s="82"/>
      <c r="BR1112" s="82"/>
      <c r="BS1112" s="82"/>
      <c r="BT1112" s="82"/>
      <c r="BU1112" s="82"/>
      <c r="BV1112" s="82"/>
      <c r="BW1112" s="82"/>
      <c r="BX1112" s="82"/>
      <c r="BY1112" s="82"/>
      <c r="BZ1112" s="82"/>
      <c r="CA1112" s="82"/>
      <c r="CB1112" s="82"/>
      <c r="CC1112" s="82"/>
      <c r="CD1112" s="82"/>
      <c r="CE1112" s="82"/>
      <c r="CF1112" s="82"/>
      <c r="CG1112" s="82"/>
      <c r="CH1112" s="82"/>
      <c r="CI1112" s="82"/>
      <c r="CJ1112" s="82"/>
      <c r="CK1112" s="82"/>
      <c r="CL1112" s="82"/>
      <c r="CM1112" s="82"/>
      <c r="CN1112" s="82"/>
      <c r="CO1112" s="82"/>
      <c r="CP1112" s="82"/>
      <c r="CQ1112" s="82"/>
      <c r="CR1112" s="82"/>
      <c r="CS1112" s="82"/>
      <c r="CT1112" s="82"/>
      <c r="CU1112" s="82"/>
      <c r="CV1112" s="82"/>
      <c r="CW1112" s="82"/>
      <c r="CX1112" s="82"/>
      <c r="CY1112" s="82"/>
      <c r="CZ1112" s="82"/>
      <c r="DA1112" s="82"/>
      <c r="DB1112" s="82"/>
      <c r="DC1112" s="82"/>
      <c r="DD1112" s="82"/>
      <c r="DE1112" s="82"/>
      <c r="DF1112" s="82"/>
      <c r="DG1112" s="82"/>
    </row>
    <row r="1113" spans="2:111" ht="9" customHeight="1">
      <c r="B1113" s="229"/>
      <c r="C1113" s="229"/>
      <c r="D1113" s="229"/>
      <c r="E1113" s="229"/>
      <c r="F1113" s="229"/>
      <c r="G1113" s="229"/>
      <c r="H1113" s="229"/>
      <c r="I1113" s="229"/>
      <c r="J1113" s="229"/>
      <c r="K1113" s="229"/>
      <c r="L1113" s="229"/>
      <c r="M1113" s="229"/>
      <c r="N1113" s="229"/>
      <c r="P1113" s="230"/>
      <c r="Q1113" s="230"/>
      <c r="R1113" s="230"/>
      <c r="S1113" s="230"/>
      <c r="T1113" s="230"/>
      <c r="U1113" s="230"/>
      <c r="V1113" s="230"/>
      <c r="W1113" s="230"/>
      <c r="X1113" s="230"/>
      <c r="Y1113" s="230"/>
      <c r="Z1113" s="230"/>
      <c r="AA1113" s="230"/>
      <c r="AB1113" s="230"/>
      <c r="AC1113" s="230"/>
      <c r="AD1113" s="230"/>
      <c r="AE1113" s="230"/>
      <c r="AF1113" s="230"/>
      <c r="AG1113" s="230"/>
      <c r="AH1113" s="230"/>
      <c r="AI1113" s="230"/>
      <c r="AJ1113" s="230"/>
      <c r="AK1113" s="230"/>
      <c r="AL1113" s="230"/>
      <c r="AM1113" s="230"/>
      <c r="AN1113" s="230"/>
      <c r="AO1113" s="230"/>
      <c r="AP1113" s="230"/>
      <c r="AQ1113" s="230"/>
      <c r="AS1113" s="231"/>
      <c r="AT1113" s="231"/>
      <c r="AU1113" s="231"/>
      <c r="AV1113" s="231"/>
      <c r="AW1113" s="231"/>
      <c r="AX1113" s="231"/>
      <c r="AY1113" s="231"/>
      <c r="AZ1113" s="231"/>
      <c r="BA1113" s="231"/>
      <c r="BC1113" s="82"/>
      <c r="BD1113" s="82"/>
      <c r="BE1113" s="82"/>
      <c r="BF1113" s="82"/>
      <c r="BG1113" s="82"/>
      <c r="BH1113" s="82"/>
      <c r="BI1113" s="82"/>
      <c r="BJ1113" s="82"/>
      <c r="BK1113" s="82"/>
      <c r="BL1113" s="82"/>
      <c r="BM1113" s="82"/>
      <c r="BN1113" s="82"/>
      <c r="BO1113" s="82"/>
      <c r="BP1113" s="82"/>
      <c r="BQ1113" s="82"/>
      <c r="BR1113" s="82"/>
      <c r="BS1113" s="82"/>
      <c r="BT1113" s="82"/>
      <c r="BU1113" s="82"/>
      <c r="BV1113" s="82"/>
      <c r="BW1113" s="82"/>
      <c r="BX1113" s="82"/>
      <c r="BY1113" s="82"/>
      <c r="BZ1113" s="82"/>
      <c r="CA1113" s="82"/>
      <c r="CB1113" s="82"/>
      <c r="CC1113" s="82"/>
      <c r="CD1113" s="82"/>
      <c r="CE1113" s="82"/>
      <c r="CF1113" s="82"/>
      <c r="CG1113" s="82"/>
      <c r="CH1113" s="82"/>
      <c r="CI1113" s="82"/>
      <c r="CJ1113" s="82"/>
      <c r="CK1113" s="82"/>
      <c r="CL1113" s="82"/>
      <c r="CM1113" s="82"/>
      <c r="CN1113" s="82"/>
      <c r="CO1113" s="82"/>
      <c r="CP1113" s="82"/>
      <c r="CQ1113" s="82"/>
      <c r="CR1113" s="82"/>
      <c r="CS1113" s="82"/>
      <c r="CT1113" s="82"/>
      <c r="CU1113" s="82"/>
      <c r="CV1113" s="82"/>
      <c r="CW1113" s="82"/>
      <c r="CX1113" s="82"/>
      <c r="CY1113" s="82"/>
      <c r="CZ1113" s="82"/>
      <c r="DA1113" s="82"/>
      <c r="DB1113" s="82"/>
      <c r="DC1113" s="82"/>
      <c r="DD1113" s="82"/>
      <c r="DE1113" s="82"/>
      <c r="DF1113" s="82"/>
      <c r="DG1113" s="82"/>
    </row>
    <row r="1114" spans="2:111" ht="9" customHeight="1">
      <c r="B1114" s="229"/>
      <c r="C1114" s="229"/>
      <c r="D1114" s="229"/>
      <c r="E1114" s="229"/>
      <c r="F1114" s="229"/>
      <c r="G1114" s="229"/>
      <c r="H1114" s="229"/>
      <c r="I1114" s="229"/>
      <c r="J1114" s="229"/>
      <c r="K1114" s="229"/>
      <c r="L1114" s="229"/>
      <c r="M1114" s="229"/>
      <c r="N1114" s="229"/>
      <c r="P1114" s="230"/>
      <c r="Q1114" s="230"/>
      <c r="R1114" s="230"/>
      <c r="S1114" s="230"/>
      <c r="T1114" s="230"/>
      <c r="U1114" s="230"/>
      <c r="V1114" s="230"/>
      <c r="W1114" s="230"/>
      <c r="X1114" s="230"/>
      <c r="Y1114" s="230"/>
      <c r="Z1114" s="230"/>
      <c r="AA1114" s="230"/>
      <c r="AB1114" s="230"/>
      <c r="AC1114" s="230"/>
      <c r="AD1114" s="230"/>
      <c r="AE1114" s="230"/>
      <c r="AF1114" s="230"/>
      <c r="AG1114" s="230"/>
      <c r="AH1114" s="230"/>
      <c r="AI1114" s="230"/>
      <c r="AJ1114" s="230"/>
      <c r="AK1114" s="230"/>
      <c r="AL1114" s="230"/>
      <c r="AM1114" s="230"/>
      <c r="AN1114" s="230"/>
      <c r="AO1114" s="230"/>
      <c r="AP1114" s="230"/>
      <c r="AQ1114" s="230"/>
      <c r="AS1114" s="231"/>
      <c r="AT1114" s="231"/>
      <c r="AU1114" s="231"/>
      <c r="AV1114" s="231"/>
      <c r="AW1114" s="231"/>
      <c r="AX1114" s="231"/>
      <c r="AY1114" s="231"/>
      <c r="AZ1114" s="231"/>
      <c r="BA1114" s="231"/>
      <c r="BC1114" s="82"/>
      <c r="BD1114" s="82"/>
      <c r="BE1114" s="82"/>
      <c r="BF1114" s="82"/>
      <c r="BG1114" s="82"/>
      <c r="BH1114" s="82"/>
      <c r="BI1114" s="82"/>
      <c r="BJ1114" s="82"/>
      <c r="BK1114" s="82"/>
      <c r="BL1114" s="82"/>
      <c r="BM1114" s="82"/>
      <c r="BN1114" s="82"/>
      <c r="BO1114" s="82"/>
      <c r="BP1114" s="82"/>
      <c r="BQ1114" s="82"/>
      <c r="BR1114" s="82"/>
      <c r="BS1114" s="82"/>
      <c r="BT1114" s="82"/>
      <c r="BU1114" s="82"/>
      <c r="BV1114" s="82"/>
      <c r="BW1114" s="82"/>
      <c r="BX1114" s="82"/>
      <c r="BY1114" s="82"/>
      <c r="BZ1114" s="82"/>
      <c r="CA1114" s="82"/>
      <c r="CB1114" s="82"/>
      <c r="CC1114" s="82"/>
      <c r="CD1114" s="82"/>
      <c r="CE1114" s="82"/>
      <c r="CF1114" s="82"/>
      <c r="CG1114" s="82"/>
      <c r="CH1114" s="82"/>
      <c r="CI1114" s="82"/>
      <c r="CJ1114" s="82"/>
      <c r="CK1114" s="82"/>
      <c r="CL1114" s="82"/>
      <c r="CM1114" s="82"/>
      <c r="CN1114" s="82"/>
      <c r="CO1114" s="82"/>
      <c r="CP1114" s="82"/>
      <c r="CQ1114" s="82"/>
      <c r="CR1114" s="82"/>
      <c r="CS1114" s="82"/>
      <c r="CT1114" s="82"/>
      <c r="CU1114" s="82"/>
      <c r="CV1114" s="82"/>
      <c r="CW1114" s="82"/>
      <c r="CX1114" s="82"/>
      <c r="CY1114" s="82"/>
      <c r="CZ1114" s="82"/>
      <c r="DA1114" s="82"/>
      <c r="DB1114" s="82"/>
      <c r="DC1114" s="82"/>
      <c r="DD1114" s="82"/>
      <c r="DE1114" s="82"/>
      <c r="DF1114" s="82"/>
      <c r="DG1114" s="82"/>
    </row>
    <row r="1115" spans="2:111" ht="9" customHeight="1">
      <c r="B1115" s="23"/>
      <c r="C1115" s="23"/>
      <c r="D1115" s="23"/>
      <c r="E1115" s="23"/>
      <c r="F1115" s="23"/>
      <c r="G1115" s="23"/>
      <c r="H1115" s="23"/>
      <c r="I1115" s="23"/>
      <c r="J1115" s="23"/>
      <c r="K1115" s="23"/>
      <c r="L1115" s="23"/>
      <c r="BC1115" s="82"/>
      <c r="BD1115" s="82"/>
      <c r="BE1115" s="82"/>
      <c r="BF1115" s="82"/>
      <c r="BG1115" s="82"/>
      <c r="BH1115" s="82"/>
      <c r="BI1115" s="82"/>
      <c r="BJ1115" s="82"/>
      <c r="BK1115" s="82"/>
      <c r="BL1115" s="82"/>
      <c r="BM1115" s="82"/>
      <c r="BN1115" s="82"/>
      <c r="BO1115" s="82"/>
      <c r="BP1115" s="82"/>
      <c r="BQ1115" s="82"/>
      <c r="BR1115" s="82"/>
      <c r="BS1115" s="82"/>
      <c r="BT1115" s="82"/>
      <c r="BU1115" s="82"/>
      <c r="BV1115" s="82"/>
      <c r="BW1115" s="82"/>
      <c r="BX1115" s="82"/>
      <c r="BY1115" s="82"/>
      <c r="BZ1115" s="82"/>
      <c r="CA1115" s="82"/>
      <c r="CB1115" s="82"/>
      <c r="CC1115" s="82"/>
      <c r="CD1115" s="82"/>
      <c r="CE1115" s="82"/>
      <c r="CF1115" s="82"/>
      <c r="CG1115" s="82"/>
      <c r="CH1115" s="82"/>
      <c r="CI1115" s="82"/>
      <c r="CJ1115" s="82"/>
      <c r="CK1115" s="82"/>
      <c r="CL1115" s="82"/>
      <c r="CM1115" s="82"/>
      <c r="CN1115" s="82"/>
      <c r="CO1115" s="82"/>
      <c r="CP1115" s="82"/>
      <c r="CQ1115" s="82"/>
      <c r="CR1115" s="82"/>
      <c r="CS1115" s="82"/>
      <c r="CT1115" s="82"/>
      <c r="CU1115" s="82"/>
      <c r="CV1115" s="82"/>
      <c r="CW1115" s="82"/>
      <c r="CX1115" s="82"/>
      <c r="CY1115" s="82"/>
      <c r="CZ1115" s="82"/>
      <c r="DA1115" s="82"/>
      <c r="DB1115" s="82"/>
      <c r="DC1115" s="82"/>
      <c r="DD1115" s="82"/>
      <c r="DE1115" s="82"/>
      <c r="DF1115" s="82"/>
      <c r="DG1115" s="82"/>
    </row>
    <row r="1116" spans="2:111" ht="4.5" customHeight="1">
      <c r="B1116" s="29"/>
      <c r="C1116" s="29"/>
      <c r="D1116" s="29"/>
      <c r="E1116" s="29"/>
      <c r="F1116" s="29"/>
      <c r="G1116" s="29"/>
      <c r="H1116" s="29"/>
      <c r="I1116" s="29"/>
      <c r="J1116" s="29"/>
      <c r="K1116" s="29"/>
      <c r="L1116" s="29"/>
      <c r="M1116" s="29"/>
      <c r="N1116" s="29"/>
      <c r="O1116" s="29"/>
      <c r="P1116" s="29"/>
      <c r="Q1116" s="29"/>
      <c r="R1116" s="29"/>
      <c r="S1116" s="29"/>
      <c r="T1116" s="29"/>
      <c r="U1116" s="29"/>
      <c r="V1116" s="29"/>
      <c r="W1116" s="29"/>
      <c r="X1116" s="29"/>
      <c r="Y1116" s="29"/>
      <c r="Z1116" s="29"/>
      <c r="AA1116" s="29"/>
      <c r="AB1116" s="29"/>
      <c r="AC1116" s="29"/>
      <c r="AD1116" s="29"/>
      <c r="AE1116" s="29"/>
      <c r="AF1116" s="29"/>
      <c r="AG1116" s="29"/>
      <c r="AH1116" s="29"/>
      <c r="AI1116" s="29"/>
      <c r="AJ1116" s="29"/>
      <c r="AK1116" s="29"/>
      <c r="AL1116" s="29"/>
      <c r="AM1116" s="29"/>
      <c r="AN1116" s="29"/>
      <c r="AO1116" s="29"/>
      <c r="AP1116" s="29"/>
      <c r="AQ1116" s="29"/>
      <c r="AR1116" s="29"/>
      <c r="AS1116" s="29"/>
      <c r="AT1116" s="29"/>
      <c r="AU1116" s="29"/>
      <c r="AV1116" s="29"/>
      <c r="AW1116" s="29"/>
      <c r="AX1116" s="29"/>
      <c r="AY1116" s="29"/>
      <c r="AZ1116" s="29"/>
      <c r="BA1116" s="29"/>
      <c r="BC1116" s="82"/>
      <c r="BD1116" s="82"/>
      <c r="BE1116" s="82"/>
      <c r="BF1116" s="82"/>
      <c r="BG1116" s="82"/>
      <c r="BH1116" s="82"/>
      <c r="BI1116" s="82"/>
      <c r="BJ1116" s="82"/>
      <c r="BK1116" s="82"/>
      <c r="BL1116" s="82"/>
      <c r="BM1116" s="82"/>
      <c r="BN1116" s="82"/>
      <c r="BO1116" s="82"/>
      <c r="BP1116" s="82"/>
      <c r="BQ1116" s="82"/>
      <c r="BR1116" s="82"/>
      <c r="BS1116" s="82"/>
      <c r="BT1116" s="82"/>
      <c r="BU1116" s="82"/>
      <c r="BV1116" s="82"/>
      <c r="BW1116" s="82"/>
      <c r="BX1116" s="82"/>
      <c r="BY1116" s="82"/>
      <c r="BZ1116" s="82"/>
      <c r="CA1116" s="82"/>
      <c r="CB1116" s="82"/>
      <c r="CC1116" s="82"/>
      <c r="CD1116" s="82"/>
      <c r="CE1116" s="82"/>
      <c r="CF1116" s="82"/>
      <c r="CG1116" s="82"/>
      <c r="CH1116" s="82"/>
      <c r="CI1116" s="82"/>
      <c r="CJ1116" s="82"/>
      <c r="CK1116" s="82"/>
      <c r="CL1116" s="82"/>
      <c r="CM1116" s="82"/>
      <c r="CN1116" s="82"/>
      <c r="CO1116" s="82"/>
      <c r="CP1116" s="82"/>
      <c r="CQ1116" s="82"/>
      <c r="CR1116" s="82"/>
      <c r="CS1116" s="82"/>
      <c r="CT1116" s="82"/>
      <c r="CU1116" s="82"/>
      <c r="CV1116" s="82"/>
      <c r="CW1116" s="82"/>
      <c r="CX1116" s="82"/>
      <c r="CY1116" s="82"/>
      <c r="CZ1116" s="82"/>
      <c r="DA1116" s="82"/>
      <c r="DB1116" s="82"/>
      <c r="DC1116" s="82"/>
      <c r="DD1116" s="82"/>
      <c r="DE1116" s="82"/>
      <c r="DF1116" s="82"/>
      <c r="DG1116" s="82"/>
    </row>
    <row r="1117" spans="2:111" ht="9" customHeight="1">
      <c r="B1117" s="238" t="str">
        <f>IF($U$623&gt;=5,"Meta 5","")</f>
        <v>Meta 5</v>
      </c>
      <c r="C1117" s="238"/>
      <c r="D1117" s="238"/>
      <c r="E1117" s="238"/>
      <c r="F1117" s="238"/>
      <c r="G1117" s="238"/>
      <c r="I1117" s="241" t="s">
        <v>528</v>
      </c>
      <c r="J1117" s="241"/>
      <c r="K1117" s="241"/>
      <c r="L1117" s="241"/>
      <c r="M1117" s="241"/>
      <c r="N1117" s="241"/>
      <c r="O1117" s="241"/>
      <c r="P1117" s="241"/>
      <c r="Q1117" s="241"/>
      <c r="R1117" s="241"/>
      <c r="S1117" s="241"/>
      <c r="T1117" s="241"/>
      <c r="U1117" s="241"/>
      <c r="V1117" s="241"/>
      <c r="W1117" s="241"/>
      <c r="X1117" s="241"/>
      <c r="Y1117" s="241"/>
      <c r="Z1117" s="241"/>
      <c r="AA1117" s="241"/>
      <c r="AB1117" s="241"/>
      <c r="AC1117" s="241"/>
      <c r="AD1117" s="241"/>
      <c r="AE1117" s="241"/>
      <c r="AF1117" s="241"/>
      <c r="AG1117" s="241"/>
      <c r="AH1117" s="241"/>
      <c r="AI1117" s="241"/>
      <c r="AJ1117" s="241"/>
      <c r="AK1117" s="241"/>
      <c r="AL1117" s="241"/>
      <c r="AM1117" s="241"/>
      <c r="AN1117" s="241"/>
      <c r="AO1117" s="241"/>
      <c r="AP1117" s="241"/>
      <c r="AQ1117" s="241"/>
      <c r="AR1117" s="28"/>
      <c r="AS1117" s="234">
        <f>IF((SUM(AS1123,AS1146,AS1169,AS1193,AS1216))=0,"",(SUM(AS1123,AS1146,AS1169,AS1193,AS1216)))</f>
        <v>135055</v>
      </c>
      <c r="AT1117" s="234"/>
      <c r="AU1117" s="234"/>
      <c r="AV1117" s="234"/>
      <c r="AW1117" s="234"/>
      <c r="AX1117" s="234"/>
      <c r="AY1117" s="234"/>
      <c r="AZ1117" s="234"/>
      <c r="BA1117" s="234"/>
      <c r="BC1117" s="82"/>
      <c r="BD1117" s="82"/>
      <c r="BE1117" s="82"/>
      <c r="BF1117" s="82"/>
      <c r="BG1117" s="82"/>
      <c r="BH1117" s="82"/>
      <c r="BI1117" s="82"/>
      <c r="BJ1117" s="82"/>
      <c r="BK1117" s="82"/>
      <c r="BL1117" s="82"/>
      <c r="BM1117" s="82"/>
      <c r="BN1117" s="82"/>
      <c r="BO1117" s="82"/>
      <c r="BP1117" s="82"/>
      <c r="BQ1117" s="82"/>
      <c r="BR1117" s="82"/>
      <c r="BS1117" s="82"/>
      <c r="BT1117" s="82"/>
      <c r="BU1117" s="82"/>
      <c r="BV1117" s="82"/>
      <c r="BW1117" s="82"/>
      <c r="BX1117" s="82"/>
      <c r="BY1117" s="82"/>
      <c r="BZ1117" s="82"/>
      <c r="CA1117" s="82"/>
      <c r="CB1117" s="82"/>
      <c r="CC1117" s="82"/>
      <c r="CD1117" s="82"/>
      <c r="CE1117" s="82"/>
      <c r="CF1117" s="82"/>
      <c r="CG1117" s="82"/>
      <c r="CH1117" s="82"/>
      <c r="CI1117" s="82"/>
      <c r="CJ1117" s="82"/>
      <c r="CK1117" s="82"/>
      <c r="CL1117" s="82"/>
      <c r="CM1117" s="82"/>
      <c r="CN1117" s="82"/>
      <c r="CO1117" s="82"/>
      <c r="CP1117" s="82"/>
      <c r="CQ1117" s="82"/>
      <c r="CR1117" s="82"/>
      <c r="CS1117" s="82"/>
      <c r="CT1117" s="82"/>
      <c r="CU1117" s="82"/>
      <c r="CV1117" s="82"/>
      <c r="CW1117" s="82"/>
      <c r="CX1117" s="82"/>
      <c r="CY1117" s="82"/>
      <c r="CZ1117" s="82"/>
      <c r="DA1117" s="82"/>
      <c r="DB1117" s="82"/>
      <c r="DC1117" s="82"/>
      <c r="DD1117" s="82"/>
      <c r="DE1117" s="82"/>
      <c r="DF1117" s="82"/>
      <c r="DG1117" s="82"/>
    </row>
    <row r="1118" spans="2:111" ht="9" customHeight="1">
      <c r="B1118" s="238"/>
      <c r="C1118" s="238"/>
      <c r="D1118" s="238"/>
      <c r="E1118" s="238"/>
      <c r="F1118" s="238"/>
      <c r="G1118" s="238"/>
      <c r="I1118" s="241"/>
      <c r="J1118" s="241"/>
      <c r="K1118" s="241"/>
      <c r="L1118" s="241"/>
      <c r="M1118" s="241"/>
      <c r="N1118" s="241"/>
      <c r="O1118" s="241"/>
      <c r="P1118" s="241"/>
      <c r="Q1118" s="241"/>
      <c r="R1118" s="241"/>
      <c r="S1118" s="241"/>
      <c r="T1118" s="241"/>
      <c r="U1118" s="241"/>
      <c r="V1118" s="241"/>
      <c r="W1118" s="241"/>
      <c r="X1118" s="241"/>
      <c r="Y1118" s="241"/>
      <c r="Z1118" s="241"/>
      <c r="AA1118" s="241"/>
      <c r="AB1118" s="241"/>
      <c r="AC1118" s="241"/>
      <c r="AD1118" s="241"/>
      <c r="AE1118" s="241"/>
      <c r="AF1118" s="241"/>
      <c r="AG1118" s="241"/>
      <c r="AH1118" s="241"/>
      <c r="AI1118" s="241"/>
      <c r="AJ1118" s="241"/>
      <c r="AK1118" s="241"/>
      <c r="AL1118" s="241"/>
      <c r="AM1118" s="241"/>
      <c r="AN1118" s="241"/>
      <c r="AO1118" s="241"/>
      <c r="AP1118" s="241"/>
      <c r="AQ1118" s="241"/>
      <c r="AR1118" s="28"/>
      <c r="AS1118" s="234"/>
      <c r="AT1118" s="234"/>
      <c r="AU1118" s="234"/>
      <c r="AV1118" s="234"/>
      <c r="AW1118" s="234"/>
      <c r="AX1118" s="234"/>
      <c r="AY1118" s="234"/>
      <c r="AZ1118" s="234"/>
      <c r="BA1118" s="234"/>
      <c r="BC1118" s="82"/>
      <c r="BD1118" s="82"/>
      <c r="BE1118" s="82"/>
      <c r="BF1118" s="82"/>
      <c r="BG1118" s="82"/>
      <c r="BH1118" s="82"/>
      <c r="BI1118" s="82"/>
      <c r="BJ1118" s="82"/>
      <c r="BK1118" s="82"/>
      <c r="BL1118" s="82"/>
      <c r="BM1118" s="82"/>
      <c r="BN1118" s="82"/>
      <c r="BO1118" s="82"/>
      <c r="BP1118" s="82"/>
      <c r="BQ1118" s="82"/>
      <c r="BR1118" s="82"/>
      <c r="BS1118" s="82"/>
      <c r="BT1118" s="82"/>
      <c r="BU1118" s="82"/>
      <c r="BV1118" s="82"/>
      <c r="BW1118" s="82"/>
      <c r="BX1118" s="82"/>
      <c r="BY1118" s="82"/>
      <c r="BZ1118" s="82"/>
      <c r="CA1118" s="82"/>
      <c r="CB1118" s="82"/>
      <c r="CC1118" s="82"/>
      <c r="CD1118" s="82"/>
      <c r="CE1118" s="82"/>
      <c r="CF1118" s="82"/>
      <c r="CG1118" s="82"/>
      <c r="CH1118" s="82"/>
      <c r="CI1118" s="82"/>
      <c r="CJ1118" s="82"/>
      <c r="CK1118" s="82"/>
      <c r="CL1118" s="82"/>
      <c r="CM1118" s="82"/>
      <c r="CN1118" s="82"/>
      <c r="CO1118" s="82"/>
      <c r="CP1118" s="82"/>
      <c r="CQ1118" s="82"/>
      <c r="CR1118" s="82"/>
      <c r="CS1118" s="82"/>
      <c r="CT1118" s="82"/>
      <c r="CU1118" s="82"/>
      <c r="CV1118" s="82"/>
      <c r="CW1118" s="82"/>
      <c r="CX1118" s="82"/>
      <c r="CY1118" s="82"/>
      <c r="CZ1118" s="82"/>
      <c r="DA1118" s="82"/>
      <c r="DB1118" s="82"/>
      <c r="DC1118" s="82"/>
      <c r="DD1118" s="82"/>
      <c r="DE1118" s="82"/>
      <c r="DF1118" s="82"/>
      <c r="DG1118" s="82"/>
    </row>
    <row r="1119" spans="2:111" ht="4.5" customHeight="1">
      <c r="BC1119" s="82"/>
      <c r="BD1119" s="82"/>
      <c r="BE1119" s="82"/>
      <c r="BF1119" s="82"/>
      <c r="BG1119" s="82"/>
      <c r="BH1119" s="82"/>
      <c r="BI1119" s="82"/>
      <c r="BJ1119" s="82"/>
      <c r="BK1119" s="82"/>
      <c r="BL1119" s="82"/>
      <c r="BM1119" s="82"/>
      <c r="BN1119" s="82"/>
      <c r="BO1119" s="82"/>
      <c r="BP1119" s="82"/>
      <c r="BQ1119" s="82"/>
      <c r="BR1119" s="82"/>
      <c r="BS1119" s="82"/>
      <c r="BT1119" s="82"/>
      <c r="BU1119" s="82"/>
      <c r="BV1119" s="82"/>
      <c r="BW1119" s="82"/>
      <c r="BX1119" s="82"/>
      <c r="BY1119" s="82"/>
      <c r="BZ1119" s="82"/>
      <c r="CA1119" s="82"/>
      <c r="CB1119" s="82"/>
      <c r="CC1119" s="82"/>
      <c r="CD1119" s="82"/>
      <c r="CE1119" s="82"/>
      <c r="CF1119" s="82"/>
      <c r="CG1119" s="82"/>
      <c r="CH1119" s="82"/>
      <c r="CI1119" s="82"/>
      <c r="CJ1119" s="82"/>
      <c r="CK1119" s="82"/>
      <c r="CL1119" s="82"/>
      <c r="CM1119" s="82"/>
      <c r="CN1119" s="82"/>
      <c r="CO1119" s="82"/>
      <c r="CP1119" s="82"/>
      <c r="CQ1119" s="82"/>
      <c r="CR1119" s="82"/>
      <c r="CS1119" s="82"/>
      <c r="CT1119" s="82"/>
      <c r="CU1119" s="82"/>
      <c r="CV1119" s="82"/>
      <c r="CW1119" s="82"/>
      <c r="CX1119" s="82"/>
      <c r="CY1119" s="82"/>
      <c r="CZ1119" s="82"/>
      <c r="DA1119" s="82"/>
      <c r="DB1119" s="82"/>
      <c r="DC1119" s="82"/>
      <c r="DD1119" s="82"/>
      <c r="DE1119" s="82"/>
      <c r="DF1119" s="82"/>
      <c r="DG1119" s="82"/>
    </row>
    <row r="1120" spans="2:111" ht="9" customHeight="1">
      <c r="B1120" s="239" t="str">
        <f>IF($U$623&gt;=5,(CONCATENATE("Quantas etapas possui a ",B1117,"?")),"")</f>
        <v>Quantas etapas possui a Meta 5?</v>
      </c>
      <c r="C1120" s="239"/>
      <c r="D1120" s="239"/>
      <c r="E1120" s="239"/>
      <c r="F1120" s="239"/>
      <c r="G1120" s="239"/>
      <c r="H1120" s="239"/>
      <c r="I1120" s="239"/>
      <c r="J1120" s="239"/>
      <c r="K1120" s="239"/>
      <c r="L1120" s="239"/>
      <c r="M1120" s="239"/>
      <c r="N1120" s="239"/>
      <c r="O1120" s="239"/>
      <c r="P1120" s="239"/>
      <c r="Q1120" s="239"/>
      <c r="R1120" s="239"/>
      <c r="S1120" s="239"/>
      <c r="U1120" s="240">
        <v>2</v>
      </c>
      <c r="V1120" s="240"/>
      <c r="W1120" s="240"/>
      <c r="X1120" s="240"/>
      <c r="BC1120" s="82"/>
      <c r="BD1120" s="82"/>
      <c r="BE1120" s="82"/>
      <c r="BF1120" s="82"/>
      <c r="BG1120" s="82"/>
      <c r="BH1120" s="82"/>
      <c r="BI1120" s="82"/>
      <c r="BJ1120" s="82"/>
      <c r="BK1120" s="82"/>
      <c r="BL1120" s="82"/>
      <c r="BM1120" s="82"/>
      <c r="BN1120" s="82"/>
      <c r="BO1120" s="82"/>
      <c r="BP1120" s="82"/>
      <c r="BQ1120" s="82"/>
      <c r="BR1120" s="82"/>
      <c r="BS1120" s="82"/>
      <c r="BT1120" s="82"/>
      <c r="BU1120" s="82"/>
      <c r="BV1120" s="82"/>
      <c r="BW1120" s="82"/>
      <c r="BX1120" s="82"/>
      <c r="BY1120" s="82"/>
      <c r="BZ1120" s="82"/>
      <c r="CA1120" s="82"/>
      <c r="CB1120" s="82"/>
      <c r="CC1120" s="82"/>
      <c r="CD1120" s="82"/>
      <c r="CE1120" s="82"/>
      <c r="CF1120" s="82"/>
      <c r="CG1120" s="82"/>
      <c r="CH1120" s="82"/>
      <c r="CI1120" s="82"/>
      <c r="CJ1120" s="82"/>
      <c r="CK1120" s="82"/>
      <c r="CL1120" s="82"/>
      <c r="CM1120" s="82"/>
      <c r="CN1120" s="82"/>
      <c r="CO1120" s="82"/>
      <c r="CP1120" s="82"/>
      <c r="CQ1120" s="82"/>
      <c r="CR1120" s="82"/>
      <c r="CS1120" s="82"/>
      <c r="CT1120" s="82"/>
      <c r="CU1120" s="82"/>
      <c r="CV1120" s="82"/>
      <c r="CW1120" s="82"/>
      <c r="CX1120" s="82"/>
      <c r="CY1120" s="82"/>
      <c r="CZ1120" s="82"/>
      <c r="DA1120" s="82"/>
      <c r="DB1120" s="82"/>
      <c r="DC1120" s="82"/>
      <c r="DD1120" s="82"/>
      <c r="DE1120" s="82"/>
      <c r="DF1120" s="82"/>
      <c r="DG1120" s="82"/>
    </row>
    <row r="1121" spans="2:111" ht="9" customHeight="1">
      <c r="B1121" s="239"/>
      <c r="C1121" s="239"/>
      <c r="D1121" s="239"/>
      <c r="E1121" s="239"/>
      <c r="F1121" s="239"/>
      <c r="G1121" s="239"/>
      <c r="H1121" s="239"/>
      <c r="I1121" s="239"/>
      <c r="J1121" s="239"/>
      <c r="K1121" s="239"/>
      <c r="L1121" s="239"/>
      <c r="M1121" s="239"/>
      <c r="N1121" s="239"/>
      <c r="O1121" s="239"/>
      <c r="P1121" s="239"/>
      <c r="Q1121" s="239"/>
      <c r="R1121" s="239"/>
      <c r="S1121" s="239"/>
      <c r="U1121" s="240"/>
      <c r="V1121" s="240"/>
      <c r="W1121" s="240"/>
      <c r="X1121" s="240"/>
      <c r="BC1121" s="82"/>
      <c r="BD1121" s="82"/>
      <c r="BE1121" s="82"/>
      <c r="BF1121" s="82"/>
      <c r="BG1121" s="82"/>
      <c r="BH1121" s="82"/>
      <c r="BI1121" s="82"/>
      <c r="BJ1121" s="82"/>
      <c r="BK1121" s="82"/>
      <c r="BL1121" s="82"/>
      <c r="BM1121" s="82"/>
      <c r="BN1121" s="82"/>
      <c r="BO1121" s="82"/>
      <c r="BP1121" s="82"/>
      <c r="BQ1121" s="82"/>
      <c r="BR1121" s="82"/>
      <c r="BS1121" s="82"/>
      <c r="BT1121" s="82"/>
      <c r="BU1121" s="82"/>
      <c r="BV1121" s="82"/>
      <c r="BW1121" s="82"/>
      <c r="BX1121" s="82"/>
      <c r="BY1121" s="82"/>
      <c r="BZ1121" s="82"/>
      <c r="CA1121" s="82"/>
      <c r="CB1121" s="82"/>
      <c r="CC1121" s="82"/>
      <c r="CD1121" s="82"/>
      <c r="CE1121" s="82"/>
      <c r="CF1121" s="82"/>
      <c r="CG1121" s="82"/>
      <c r="CH1121" s="82"/>
      <c r="CI1121" s="82"/>
      <c r="CJ1121" s="82"/>
      <c r="CK1121" s="82"/>
      <c r="CL1121" s="82"/>
      <c r="CM1121" s="82"/>
      <c r="CN1121" s="82"/>
      <c r="CO1121" s="82"/>
      <c r="CP1121" s="82"/>
      <c r="CQ1121" s="82"/>
      <c r="CR1121" s="82"/>
      <c r="CS1121" s="82"/>
      <c r="CT1121" s="82"/>
      <c r="CU1121" s="82"/>
      <c r="CV1121" s="82"/>
      <c r="CW1121" s="82"/>
      <c r="CX1121" s="82"/>
      <c r="CY1121" s="82"/>
      <c r="CZ1121" s="82"/>
      <c r="DA1121" s="82"/>
      <c r="DB1121" s="82"/>
      <c r="DC1121" s="82"/>
      <c r="DD1121" s="82"/>
      <c r="DE1121" s="82"/>
      <c r="DF1121" s="82"/>
      <c r="DG1121" s="82"/>
    </row>
    <row r="1122" spans="2:111" ht="4.5" customHeight="1">
      <c r="BC1122" s="82"/>
      <c r="BD1122" s="82"/>
      <c r="BE1122" s="82"/>
      <c r="BF1122" s="82"/>
      <c r="BG1122" s="82"/>
      <c r="BH1122" s="82"/>
      <c r="BI1122" s="82"/>
      <c r="BJ1122" s="82"/>
      <c r="BK1122" s="82"/>
      <c r="BL1122" s="82"/>
      <c r="BM1122" s="82"/>
      <c r="BN1122" s="82"/>
      <c r="BO1122" s="82"/>
      <c r="BP1122" s="82"/>
      <c r="BQ1122" s="82"/>
      <c r="BR1122" s="82"/>
      <c r="BS1122" s="82"/>
      <c r="BT1122" s="82"/>
      <c r="BU1122" s="82"/>
      <c r="BV1122" s="82"/>
      <c r="BW1122" s="82"/>
      <c r="BX1122" s="82"/>
      <c r="BY1122" s="82"/>
      <c r="BZ1122" s="82"/>
      <c r="CA1122" s="82"/>
      <c r="CB1122" s="82"/>
      <c r="CC1122" s="82"/>
      <c r="CD1122" s="82"/>
      <c r="CE1122" s="82"/>
      <c r="CF1122" s="82"/>
      <c r="CG1122" s="82"/>
      <c r="CH1122" s="82"/>
      <c r="CI1122" s="82"/>
      <c r="CJ1122" s="82"/>
      <c r="CK1122" s="82"/>
      <c r="CL1122" s="82"/>
      <c r="CM1122" s="82"/>
      <c r="CN1122" s="82"/>
      <c r="CO1122" s="82"/>
      <c r="CP1122" s="82"/>
      <c r="CQ1122" s="82"/>
      <c r="CR1122" s="82"/>
      <c r="CS1122" s="82"/>
      <c r="CT1122" s="82"/>
      <c r="CU1122" s="82"/>
      <c r="CV1122" s="82"/>
      <c r="CW1122" s="82"/>
      <c r="CX1122" s="82"/>
      <c r="CY1122" s="82"/>
      <c r="CZ1122" s="82"/>
      <c r="DA1122" s="82"/>
      <c r="DB1122" s="82"/>
      <c r="DC1122" s="82"/>
      <c r="DD1122" s="82"/>
      <c r="DE1122" s="82"/>
      <c r="DF1122" s="82"/>
      <c r="DG1122" s="82"/>
    </row>
    <row r="1123" spans="2:111" ht="9" customHeight="1">
      <c r="B1123" s="232" t="str">
        <f>IF($U$1120&gt;=1,"Etapa 5.1","")</f>
        <v>Etapa 5.1</v>
      </c>
      <c r="C1123" s="232"/>
      <c r="D1123" s="232"/>
      <c r="E1123" s="232"/>
      <c r="F1123" s="232"/>
      <c r="G1123" s="232"/>
      <c r="I1123" s="233" t="s">
        <v>529</v>
      </c>
      <c r="J1123" s="233"/>
      <c r="K1123" s="233"/>
      <c r="L1123" s="233"/>
      <c r="M1123" s="233"/>
      <c r="N1123" s="233"/>
      <c r="O1123" s="233"/>
      <c r="P1123" s="233"/>
      <c r="Q1123" s="233"/>
      <c r="R1123" s="233"/>
      <c r="S1123" s="233"/>
      <c r="T1123" s="233"/>
      <c r="U1123" s="233"/>
      <c r="V1123" s="233"/>
      <c r="W1123" s="233"/>
      <c r="X1123" s="233"/>
      <c r="Y1123" s="233"/>
      <c r="Z1123" s="233"/>
      <c r="AA1123" s="233"/>
      <c r="AB1123" s="233"/>
      <c r="AC1123" s="233"/>
      <c r="AD1123" s="233"/>
      <c r="AE1123" s="233"/>
      <c r="AF1123" s="233"/>
      <c r="AG1123" s="233"/>
      <c r="AH1123" s="233"/>
      <c r="AI1123" s="233"/>
      <c r="AJ1123" s="233"/>
      <c r="AK1123" s="233"/>
      <c r="AL1123" s="233"/>
      <c r="AM1123" s="233"/>
      <c r="AN1123" s="233"/>
      <c r="AO1123" s="233"/>
      <c r="AP1123" s="233"/>
      <c r="AQ1123" s="233"/>
      <c r="AS1123" s="237">
        <f>IF(SUM(AS1129:BA1144)=0,"",SUM(AS1129:BA1144))</f>
        <v>86370</v>
      </c>
      <c r="AT1123" s="237"/>
      <c r="AU1123" s="237"/>
      <c r="AV1123" s="237"/>
      <c r="AW1123" s="237"/>
      <c r="AX1123" s="237"/>
      <c r="AY1123" s="237"/>
      <c r="AZ1123" s="237"/>
      <c r="BA1123" s="237"/>
      <c r="BC1123" s="82"/>
      <c r="BD1123" s="82"/>
      <c r="BE1123" s="82"/>
      <c r="BF1123" s="82"/>
      <c r="BG1123" s="82"/>
      <c r="BH1123" s="82"/>
      <c r="BI1123" s="82"/>
      <c r="BJ1123" s="82"/>
      <c r="BK1123" s="82"/>
      <c r="BL1123" s="82"/>
      <c r="BM1123" s="82"/>
      <c r="BN1123" s="82"/>
      <c r="BO1123" s="82"/>
      <c r="BP1123" s="82"/>
      <c r="BQ1123" s="82"/>
      <c r="BR1123" s="82"/>
      <c r="BS1123" s="82"/>
      <c r="BT1123" s="82"/>
      <c r="BU1123" s="82"/>
      <c r="BV1123" s="82"/>
      <c r="BW1123" s="82"/>
      <c r="BX1123" s="82"/>
      <c r="BY1123" s="82"/>
      <c r="BZ1123" s="82"/>
      <c r="CA1123" s="82"/>
      <c r="CB1123" s="82"/>
      <c r="CC1123" s="82"/>
      <c r="CD1123" s="82"/>
      <c r="CE1123" s="82"/>
      <c r="CF1123" s="82"/>
      <c r="CG1123" s="82"/>
      <c r="CH1123" s="82"/>
      <c r="CI1123" s="82"/>
      <c r="CJ1123" s="82"/>
      <c r="CK1123" s="82"/>
      <c r="CL1123" s="82"/>
      <c r="CM1123" s="82"/>
      <c r="CN1123" s="82"/>
      <c r="CO1123" s="82"/>
      <c r="CP1123" s="82"/>
      <c r="CQ1123" s="82"/>
      <c r="CR1123" s="82"/>
      <c r="CS1123" s="82"/>
      <c r="CT1123" s="82"/>
      <c r="CU1123" s="82"/>
      <c r="CV1123" s="82"/>
      <c r="CW1123" s="82"/>
      <c r="CX1123" s="82"/>
      <c r="CY1123" s="82"/>
      <c r="CZ1123" s="82"/>
      <c r="DA1123" s="82"/>
      <c r="DB1123" s="82"/>
      <c r="DC1123" s="82"/>
      <c r="DD1123" s="82"/>
      <c r="DE1123" s="82"/>
      <c r="DF1123" s="82"/>
      <c r="DG1123" s="82"/>
    </row>
    <row r="1124" spans="2:111" ht="9" customHeight="1">
      <c r="B1124" s="232"/>
      <c r="C1124" s="232"/>
      <c r="D1124" s="232"/>
      <c r="E1124" s="232"/>
      <c r="F1124" s="232"/>
      <c r="G1124" s="232"/>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33"/>
      <c r="AL1124" s="233"/>
      <c r="AM1124" s="233"/>
      <c r="AN1124" s="233"/>
      <c r="AO1124" s="233"/>
      <c r="AP1124" s="233"/>
      <c r="AQ1124" s="233"/>
      <c r="AS1124" s="237"/>
      <c r="AT1124" s="237"/>
      <c r="AU1124" s="237"/>
      <c r="AV1124" s="237"/>
      <c r="AW1124" s="237"/>
      <c r="AX1124" s="237"/>
      <c r="AY1124" s="237"/>
      <c r="AZ1124" s="237"/>
      <c r="BA1124" s="237"/>
      <c r="BC1124" s="82"/>
      <c r="BD1124" s="82"/>
      <c r="BE1124" s="82"/>
      <c r="BF1124" s="82"/>
      <c r="BG1124" s="82"/>
      <c r="BH1124" s="82"/>
      <c r="BI1124" s="82"/>
      <c r="BJ1124" s="82"/>
      <c r="BK1124" s="82"/>
      <c r="BL1124" s="82"/>
      <c r="BM1124" s="82"/>
      <c r="BN1124" s="82"/>
      <c r="BO1124" s="82"/>
      <c r="BP1124" s="82"/>
      <c r="BQ1124" s="82"/>
      <c r="BR1124" s="82"/>
      <c r="BS1124" s="82"/>
      <c r="BT1124" s="82"/>
      <c r="BU1124" s="82"/>
      <c r="BV1124" s="82"/>
      <c r="BW1124" s="82"/>
      <c r="BX1124" s="82"/>
      <c r="BY1124" s="82"/>
      <c r="BZ1124" s="82"/>
      <c r="CA1124" s="82"/>
      <c r="CB1124" s="82"/>
      <c r="CC1124" s="82"/>
      <c r="CD1124" s="82"/>
      <c r="CE1124" s="82"/>
      <c r="CF1124" s="82"/>
      <c r="CG1124" s="82"/>
      <c r="CH1124" s="82"/>
      <c r="CI1124" s="82"/>
      <c r="CJ1124" s="82"/>
      <c r="CK1124" s="82"/>
      <c r="CL1124" s="82"/>
      <c r="CM1124" s="82"/>
      <c r="CN1124" s="82"/>
      <c r="CO1124" s="82"/>
      <c r="CP1124" s="82"/>
      <c r="CQ1124" s="82"/>
      <c r="CR1124" s="82"/>
      <c r="CS1124" s="82"/>
      <c r="CT1124" s="82"/>
      <c r="CU1124" s="82"/>
      <c r="CV1124" s="82"/>
      <c r="CW1124" s="82"/>
      <c r="CX1124" s="82"/>
      <c r="CY1124" s="82"/>
      <c r="CZ1124" s="82"/>
      <c r="DA1124" s="82"/>
      <c r="DB1124" s="82"/>
      <c r="DC1124" s="82"/>
      <c r="DD1124" s="82"/>
      <c r="DE1124" s="82"/>
      <c r="DF1124" s="82"/>
      <c r="DG1124" s="82"/>
    </row>
    <row r="1125" spans="2:111" ht="4.5" customHeight="1">
      <c r="BC1125" s="82"/>
      <c r="BD1125" s="82"/>
      <c r="BE1125" s="82"/>
      <c r="BF1125" s="82"/>
      <c r="BG1125" s="82"/>
      <c r="BH1125" s="82"/>
      <c r="BI1125" s="82"/>
      <c r="BJ1125" s="82"/>
      <c r="BK1125" s="82"/>
      <c r="BL1125" s="82"/>
      <c r="BM1125" s="82"/>
      <c r="BN1125" s="82"/>
      <c r="BO1125" s="82"/>
      <c r="BP1125" s="82"/>
      <c r="BQ1125" s="82"/>
      <c r="BR1125" s="82"/>
      <c r="BS1125" s="82"/>
      <c r="BT1125" s="82"/>
      <c r="BU1125" s="82"/>
      <c r="BV1125" s="82"/>
      <c r="BW1125" s="82"/>
      <c r="BX1125" s="82"/>
      <c r="BY1125" s="82"/>
      <c r="BZ1125" s="82"/>
      <c r="CA1125" s="82"/>
      <c r="CB1125" s="82"/>
      <c r="CC1125" s="82"/>
      <c r="CD1125" s="82"/>
      <c r="CE1125" s="82"/>
      <c r="CF1125" s="82"/>
      <c r="CG1125" s="82"/>
      <c r="CH1125" s="82"/>
      <c r="CI1125" s="82"/>
      <c r="CJ1125" s="82"/>
      <c r="CK1125" s="82"/>
      <c r="CL1125" s="82"/>
      <c r="CM1125" s="82"/>
      <c r="CN1125" s="82"/>
      <c r="CO1125" s="82"/>
      <c r="CP1125" s="82"/>
      <c r="CQ1125" s="82"/>
      <c r="CR1125" s="82"/>
      <c r="CS1125" s="82"/>
      <c r="CT1125" s="82"/>
      <c r="CU1125" s="82"/>
      <c r="CV1125" s="82"/>
      <c r="CW1125" s="82"/>
      <c r="CX1125" s="82"/>
      <c r="CY1125" s="82"/>
      <c r="CZ1125" s="82"/>
      <c r="DA1125" s="82"/>
      <c r="DB1125" s="82"/>
      <c r="DC1125" s="82"/>
      <c r="DD1125" s="82"/>
      <c r="DE1125" s="82"/>
      <c r="DF1125" s="82"/>
      <c r="DG1125" s="82"/>
    </row>
    <row r="1126" spans="2:111" ht="9" customHeight="1">
      <c r="I1126" s="229" t="str">
        <f>IF($U$1120&gt;=1,"Início:","")</f>
        <v>Início:</v>
      </c>
      <c r="J1126" s="229"/>
      <c r="K1126" s="229"/>
      <c r="L1126" s="229"/>
      <c r="M1126" s="229"/>
      <c r="N1126" s="229"/>
      <c r="P1126" s="235">
        <v>44409</v>
      </c>
      <c r="Q1126" s="235"/>
      <c r="R1126" s="235"/>
      <c r="S1126" s="235"/>
      <c r="T1126" s="235"/>
      <c r="U1126" s="235"/>
      <c r="V1126" s="235"/>
      <c r="W1126" s="235"/>
      <c r="Y1126" s="229" t="str">
        <f>IF($U$1120&gt;=1,"Término:","")</f>
        <v>Término:</v>
      </c>
      <c r="Z1126" s="229"/>
      <c r="AA1126" s="229"/>
      <c r="AB1126" s="229"/>
      <c r="AC1126" s="229"/>
      <c r="AD1126" s="229"/>
      <c r="AF1126" s="235">
        <v>44652</v>
      </c>
      <c r="AG1126" s="235"/>
      <c r="AH1126" s="235"/>
      <c r="AI1126" s="235"/>
      <c r="AJ1126" s="235"/>
      <c r="AK1126" s="235"/>
      <c r="AL1126" s="235"/>
      <c r="AM1126" s="235"/>
      <c r="AW1126" s="236" t="str">
        <f>IF($U$1120&gt;=1,"Valor (R$):","")</f>
        <v>Valor (R$):</v>
      </c>
      <c r="AX1126" s="236"/>
      <c r="AY1126" s="236"/>
      <c r="AZ1126" s="236"/>
      <c r="BA1126" s="236"/>
      <c r="BC1126" s="82"/>
      <c r="BD1126" s="82"/>
      <c r="BE1126" s="82"/>
      <c r="BF1126" s="82"/>
      <c r="BG1126" s="82"/>
      <c r="BH1126" s="82"/>
      <c r="BI1126" s="82"/>
      <c r="BJ1126" s="82"/>
      <c r="BK1126" s="82"/>
      <c r="BL1126" s="82"/>
      <c r="BM1126" s="82"/>
      <c r="BN1126" s="82"/>
      <c r="BO1126" s="82"/>
      <c r="BP1126" s="82"/>
      <c r="BQ1126" s="82"/>
      <c r="BR1126" s="82"/>
      <c r="BS1126" s="82"/>
      <c r="BT1126" s="82"/>
      <c r="BU1126" s="82"/>
      <c r="BV1126" s="82"/>
      <c r="BW1126" s="82"/>
      <c r="BX1126" s="82"/>
      <c r="BY1126" s="82"/>
      <c r="BZ1126" s="82"/>
      <c r="CA1126" s="82"/>
      <c r="CB1126" s="82"/>
      <c r="CC1126" s="82"/>
      <c r="CD1126" s="82"/>
      <c r="CE1126" s="82"/>
      <c r="CF1126" s="82"/>
      <c r="CG1126" s="82"/>
      <c r="CH1126" s="82"/>
      <c r="CI1126" s="82"/>
      <c r="CJ1126" s="82"/>
      <c r="CK1126" s="82"/>
      <c r="CL1126" s="82"/>
      <c r="CM1126" s="82"/>
      <c r="CN1126" s="82"/>
      <c r="CO1126" s="82"/>
      <c r="CP1126" s="82"/>
      <c r="CQ1126" s="82"/>
      <c r="CR1126" s="82"/>
      <c r="CS1126" s="82"/>
      <c r="CT1126" s="82"/>
      <c r="CU1126" s="82"/>
      <c r="CV1126" s="82"/>
      <c r="CW1126" s="82"/>
      <c r="CX1126" s="82"/>
      <c r="CY1126" s="82"/>
      <c r="CZ1126" s="82"/>
      <c r="DA1126" s="82"/>
      <c r="DB1126" s="82"/>
      <c r="DC1126" s="82"/>
      <c r="DD1126" s="82"/>
      <c r="DE1126" s="82"/>
      <c r="DF1126" s="82"/>
      <c r="DG1126" s="82"/>
    </row>
    <row r="1127" spans="2:111" ht="9" customHeight="1">
      <c r="I1127" s="229"/>
      <c r="J1127" s="229"/>
      <c r="K1127" s="229"/>
      <c r="L1127" s="229"/>
      <c r="M1127" s="229"/>
      <c r="N1127" s="229"/>
      <c r="P1127" s="235"/>
      <c r="Q1127" s="235"/>
      <c r="R1127" s="235"/>
      <c r="S1127" s="235"/>
      <c r="T1127" s="235"/>
      <c r="U1127" s="235"/>
      <c r="V1127" s="235"/>
      <c r="W1127" s="235"/>
      <c r="Y1127" s="229"/>
      <c r="Z1127" s="229"/>
      <c r="AA1127" s="229"/>
      <c r="AB1127" s="229"/>
      <c r="AC1127" s="229"/>
      <c r="AD1127" s="229"/>
      <c r="AF1127" s="235"/>
      <c r="AG1127" s="235"/>
      <c r="AH1127" s="235"/>
      <c r="AI1127" s="235"/>
      <c r="AJ1127" s="235"/>
      <c r="AK1127" s="235"/>
      <c r="AL1127" s="235"/>
      <c r="AM1127" s="235"/>
      <c r="AW1127" s="236"/>
      <c r="AX1127" s="236"/>
      <c r="AY1127" s="236"/>
      <c r="AZ1127" s="236"/>
      <c r="BA1127" s="236"/>
      <c r="BC1127" s="82"/>
      <c r="BD1127" s="82"/>
      <c r="BE1127" s="82"/>
      <c r="BF1127" s="82"/>
      <c r="BG1127" s="82"/>
      <c r="BH1127" s="82"/>
      <c r="BI1127" s="82"/>
      <c r="BJ1127" s="82"/>
      <c r="BK1127" s="82"/>
      <c r="BL1127" s="82"/>
      <c r="BM1127" s="82"/>
      <c r="BN1127" s="82"/>
      <c r="BO1127" s="82"/>
      <c r="BP1127" s="82"/>
      <c r="BQ1127" s="82"/>
      <c r="BR1127" s="82"/>
      <c r="BS1127" s="82"/>
      <c r="BT1127" s="82"/>
      <c r="BU1127" s="82"/>
      <c r="BV1127" s="82"/>
      <c r="BW1127" s="82"/>
      <c r="BX1127" s="82"/>
      <c r="BY1127" s="82"/>
      <c r="BZ1127" s="82"/>
      <c r="CA1127" s="82"/>
      <c r="CB1127" s="82"/>
      <c r="CC1127" s="82"/>
      <c r="CD1127" s="82"/>
      <c r="CE1127" s="82"/>
      <c r="CF1127" s="82"/>
      <c r="CG1127" s="82"/>
      <c r="CH1127" s="82"/>
      <c r="CI1127" s="82"/>
      <c r="CJ1127" s="82"/>
      <c r="CK1127" s="82"/>
      <c r="CL1127" s="82"/>
      <c r="CM1127" s="82"/>
      <c r="CN1127" s="82"/>
      <c r="CO1127" s="82"/>
      <c r="CP1127" s="82"/>
      <c r="CQ1127" s="82"/>
      <c r="CR1127" s="82"/>
      <c r="CS1127" s="82"/>
      <c r="CT1127" s="82"/>
      <c r="CU1127" s="82"/>
      <c r="CV1127" s="82"/>
      <c r="CW1127" s="82"/>
      <c r="CX1127" s="82"/>
      <c r="CY1127" s="82"/>
      <c r="CZ1127" s="82"/>
      <c r="DA1127" s="82"/>
      <c r="DB1127" s="82"/>
      <c r="DC1127" s="82"/>
      <c r="DD1127" s="82"/>
      <c r="DE1127" s="82"/>
      <c r="DF1127" s="82"/>
      <c r="DG1127" s="82"/>
    </row>
    <row r="1128" spans="2:111" ht="4.5" customHeight="1">
      <c r="BC1128" s="82"/>
      <c r="BD1128" s="82"/>
      <c r="BE1128" s="82"/>
      <c r="BF1128" s="82"/>
      <c r="BG1128" s="82"/>
      <c r="BH1128" s="82"/>
      <c r="BI1128" s="82"/>
      <c r="BJ1128" s="82"/>
      <c r="BK1128" s="82"/>
      <c r="BL1128" s="82"/>
      <c r="BM1128" s="82"/>
      <c r="BN1128" s="82"/>
      <c r="BO1128" s="82"/>
      <c r="BP1128" s="82"/>
      <c r="BQ1128" s="82"/>
      <c r="BR1128" s="82"/>
      <c r="BS1128" s="82"/>
      <c r="BT1128" s="82"/>
      <c r="BU1128" s="82"/>
      <c r="BV1128" s="82"/>
      <c r="BW1128" s="82"/>
      <c r="BX1128" s="82"/>
      <c r="BY1128" s="82"/>
      <c r="BZ1128" s="82"/>
      <c r="CA1128" s="82"/>
      <c r="CB1128" s="82"/>
      <c r="CC1128" s="82"/>
      <c r="CD1128" s="82"/>
      <c r="CE1128" s="82"/>
      <c r="CF1128" s="82"/>
      <c r="CG1128" s="82"/>
      <c r="CH1128" s="82"/>
      <c r="CI1128" s="82"/>
      <c r="CJ1128" s="82"/>
      <c r="CK1128" s="82"/>
      <c r="CL1128" s="82"/>
      <c r="CM1128" s="82"/>
      <c r="CN1128" s="82"/>
      <c r="CO1128" s="82"/>
      <c r="CP1128" s="82"/>
      <c r="CQ1128" s="82"/>
      <c r="CR1128" s="82"/>
      <c r="CS1128" s="82"/>
      <c r="CT1128" s="82"/>
      <c r="CU1128" s="82"/>
      <c r="CV1128" s="82"/>
      <c r="CW1128" s="82"/>
      <c r="CX1128" s="82"/>
      <c r="CY1128" s="82"/>
      <c r="CZ1128" s="82"/>
      <c r="DA1128" s="82"/>
      <c r="DB1128" s="82"/>
      <c r="DC1128" s="82"/>
      <c r="DD1128" s="82"/>
      <c r="DE1128" s="82"/>
      <c r="DF1128" s="82"/>
      <c r="DG1128" s="82"/>
    </row>
    <row r="1129" spans="2:111" ht="9" customHeight="1">
      <c r="B1129" s="229" t="str">
        <f>IF($U$1120&gt;=1,"Elementos de Despesa:","")</f>
        <v>Elementos de Despesa:</v>
      </c>
      <c r="C1129" s="229"/>
      <c r="D1129" s="229"/>
      <c r="E1129" s="229"/>
      <c r="F1129" s="229"/>
      <c r="G1129" s="229"/>
      <c r="H1129" s="229"/>
      <c r="I1129" s="229"/>
      <c r="J1129" s="229"/>
      <c r="K1129" s="229"/>
      <c r="L1129" s="229"/>
      <c r="M1129" s="229"/>
      <c r="N1129" s="229"/>
      <c r="P1129" s="230" t="s">
        <v>215</v>
      </c>
      <c r="Q1129" s="230"/>
      <c r="R1129" s="230"/>
      <c r="S1129" s="230"/>
      <c r="T1129" s="230"/>
      <c r="U1129" s="230"/>
      <c r="V1129" s="230"/>
      <c r="W1129" s="230"/>
      <c r="X1129" s="230"/>
      <c r="Y1129" s="230"/>
      <c r="Z1129" s="230"/>
      <c r="AA1129" s="230"/>
      <c r="AB1129" s="230"/>
      <c r="AC1129" s="230"/>
      <c r="AD1129" s="230"/>
      <c r="AE1129" s="230"/>
      <c r="AF1129" s="230"/>
      <c r="AG1129" s="230"/>
      <c r="AH1129" s="230"/>
      <c r="AI1129" s="230"/>
      <c r="AJ1129" s="230"/>
      <c r="AK1129" s="230"/>
      <c r="AL1129" s="230"/>
      <c r="AM1129" s="230"/>
      <c r="AN1129" s="230"/>
      <c r="AO1129" s="230"/>
      <c r="AP1129" s="230"/>
      <c r="AQ1129" s="230"/>
      <c r="AS1129" s="231">
        <v>86370</v>
      </c>
      <c r="AT1129" s="231"/>
      <c r="AU1129" s="231"/>
      <c r="AV1129" s="231"/>
      <c r="AW1129" s="231"/>
      <c r="AX1129" s="231"/>
      <c r="AY1129" s="231"/>
      <c r="AZ1129" s="231"/>
      <c r="BA1129" s="231"/>
      <c r="BC1129" s="82"/>
      <c r="BD1129" s="82"/>
      <c r="BE1129" s="82"/>
      <c r="BF1129" s="82"/>
      <c r="BG1129" s="82"/>
      <c r="BH1129" s="82"/>
      <c r="BI1129" s="82"/>
      <c r="BJ1129" s="82"/>
      <c r="BK1129" s="82"/>
      <c r="BL1129" s="82"/>
      <c r="BM1129" s="82"/>
      <c r="BN1129" s="82"/>
      <c r="BO1129" s="82"/>
      <c r="BP1129" s="82"/>
      <c r="BQ1129" s="82"/>
      <c r="BR1129" s="82"/>
      <c r="BS1129" s="82"/>
      <c r="BT1129" s="82"/>
      <c r="BU1129" s="82"/>
      <c r="BV1129" s="82"/>
      <c r="BW1129" s="82"/>
      <c r="BX1129" s="82"/>
      <c r="BY1129" s="82"/>
      <c r="BZ1129" s="82"/>
      <c r="CA1129" s="82"/>
      <c r="CB1129" s="82"/>
      <c r="CC1129" s="82"/>
      <c r="CD1129" s="82"/>
      <c r="CE1129" s="82"/>
      <c r="CF1129" s="82"/>
      <c r="CG1129" s="82"/>
      <c r="CH1129" s="82"/>
      <c r="CI1129" s="82"/>
      <c r="CJ1129" s="82"/>
      <c r="CK1129" s="82"/>
      <c r="CL1129" s="82"/>
      <c r="CM1129" s="82"/>
      <c r="CN1129" s="82"/>
      <c r="CO1129" s="82"/>
      <c r="CP1129" s="82"/>
      <c r="CQ1129" s="82"/>
      <c r="CR1129" s="82"/>
      <c r="CS1129" s="82"/>
      <c r="CT1129" s="82"/>
      <c r="CU1129" s="82"/>
      <c r="CV1129" s="82"/>
      <c r="CW1129" s="82"/>
      <c r="CX1129" s="82"/>
      <c r="CY1129" s="82"/>
      <c r="CZ1129" s="82"/>
      <c r="DA1129" s="82"/>
      <c r="DB1129" s="82"/>
      <c r="DC1129" s="82"/>
      <c r="DD1129" s="82"/>
      <c r="DE1129" s="82"/>
      <c r="DF1129" s="82"/>
      <c r="DG1129" s="82"/>
    </row>
    <row r="1130" spans="2:111" ht="9" customHeight="1">
      <c r="B1130" s="229"/>
      <c r="C1130" s="229"/>
      <c r="D1130" s="229"/>
      <c r="E1130" s="229"/>
      <c r="F1130" s="229"/>
      <c r="G1130" s="229"/>
      <c r="H1130" s="229"/>
      <c r="I1130" s="229"/>
      <c r="J1130" s="229"/>
      <c r="K1130" s="229"/>
      <c r="L1130" s="229"/>
      <c r="M1130" s="229"/>
      <c r="N1130" s="229"/>
      <c r="P1130" s="230"/>
      <c r="Q1130" s="230"/>
      <c r="R1130" s="230"/>
      <c r="S1130" s="230"/>
      <c r="T1130" s="230"/>
      <c r="U1130" s="230"/>
      <c r="V1130" s="230"/>
      <c r="W1130" s="230"/>
      <c r="X1130" s="230"/>
      <c r="Y1130" s="230"/>
      <c r="Z1130" s="230"/>
      <c r="AA1130" s="230"/>
      <c r="AB1130" s="230"/>
      <c r="AC1130" s="230"/>
      <c r="AD1130" s="230"/>
      <c r="AE1130" s="230"/>
      <c r="AF1130" s="230"/>
      <c r="AG1130" s="230"/>
      <c r="AH1130" s="230"/>
      <c r="AI1130" s="230"/>
      <c r="AJ1130" s="230"/>
      <c r="AK1130" s="230"/>
      <c r="AL1130" s="230"/>
      <c r="AM1130" s="230"/>
      <c r="AN1130" s="230"/>
      <c r="AO1130" s="230"/>
      <c r="AP1130" s="230"/>
      <c r="AQ1130" s="230"/>
      <c r="AS1130" s="231"/>
      <c r="AT1130" s="231"/>
      <c r="AU1130" s="231"/>
      <c r="AV1130" s="231"/>
      <c r="AW1130" s="231"/>
      <c r="AX1130" s="231"/>
      <c r="AY1130" s="231"/>
      <c r="AZ1130" s="231"/>
      <c r="BA1130" s="231"/>
      <c r="BC1130" s="82"/>
      <c r="BD1130" s="82"/>
      <c r="BE1130" s="82"/>
      <c r="BF1130" s="82"/>
      <c r="BG1130" s="82"/>
      <c r="BH1130" s="82"/>
      <c r="BI1130" s="82"/>
      <c r="BJ1130" s="82"/>
      <c r="BK1130" s="82"/>
      <c r="BL1130" s="82"/>
      <c r="BM1130" s="82"/>
      <c r="BN1130" s="82"/>
      <c r="BO1130" s="82"/>
      <c r="BP1130" s="82"/>
      <c r="BQ1130" s="82"/>
      <c r="BR1130" s="82"/>
      <c r="BS1130" s="82"/>
      <c r="BT1130" s="82"/>
      <c r="BU1130" s="82"/>
      <c r="BV1130" s="82"/>
      <c r="BW1130" s="82"/>
      <c r="BX1130" s="82"/>
      <c r="BY1130" s="82"/>
      <c r="BZ1130" s="82"/>
      <c r="CA1130" s="82"/>
      <c r="CB1130" s="82"/>
      <c r="CC1130" s="82"/>
      <c r="CD1130" s="82"/>
      <c r="CE1130" s="82"/>
      <c r="CF1130" s="82"/>
      <c r="CG1130" s="82"/>
      <c r="CH1130" s="82"/>
      <c r="CI1130" s="82"/>
      <c r="CJ1130" s="82"/>
      <c r="CK1130" s="82"/>
      <c r="CL1130" s="82"/>
      <c r="CM1130" s="82"/>
      <c r="CN1130" s="82"/>
      <c r="CO1130" s="82"/>
      <c r="CP1130" s="82"/>
      <c r="CQ1130" s="82"/>
      <c r="CR1130" s="82"/>
      <c r="CS1130" s="82"/>
      <c r="CT1130" s="82"/>
      <c r="CU1130" s="82"/>
      <c r="CV1130" s="82"/>
      <c r="CW1130" s="82"/>
      <c r="CX1130" s="82"/>
      <c r="CY1130" s="82"/>
      <c r="CZ1130" s="82"/>
      <c r="DA1130" s="82"/>
      <c r="DB1130" s="82"/>
      <c r="DC1130" s="82"/>
      <c r="DD1130" s="82"/>
      <c r="DE1130" s="82"/>
      <c r="DF1130" s="82"/>
      <c r="DG1130" s="82"/>
    </row>
    <row r="1131" spans="2:111" ht="9" customHeight="1">
      <c r="B1131" s="229"/>
      <c r="C1131" s="229"/>
      <c r="D1131" s="229"/>
      <c r="E1131" s="229"/>
      <c r="F1131" s="229"/>
      <c r="G1131" s="229"/>
      <c r="H1131" s="229"/>
      <c r="I1131" s="229"/>
      <c r="J1131" s="229"/>
      <c r="K1131" s="229"/>
      <c r="L1131" s="229"/>
      <c r="M1131" s="229"/>
      <c r="N1131" s="229"/>
      <c r="P1131" s="230"/>
      <c r="Q1131" s="230"/>
      <c r="R1131" s="230"/>
      <c r="S1131" s="230"/>
      <c r="T1131" s="230"/>
      <c r="U1131" s="230"/>
      <c r="V1131" s="230"/>
      <c r="W1131" s="230"/>
      <c r="X1131" s="230"/>
      <c r="Y1131" s="230"/>
      <c r="Z1131" s="230"/>
      <c r="AA1131" s="230"/>
      <c r="AB1131" s="230"/>
      <c r="AC1131" s="230"/>
      <c r="AD1131" s="230"/>
      <c r="AE1131" s="230"/>
      <c r="AF1131" s="230"/>
      <c r="AG1131" s="230"/>
      <c r="AH1131" s="230"/>
      <c r="AI1131" s="230"/>
      <c r="AJ1131" s="230"/>
      <c r="AK1131" s="230"/>
      <c r="AL1131" s="230"/>
      <c r="AM1131" s="230"/>
      <c r="AN1131" s="230"/>
      <c r="AO1131" s="230"/>
      <c r="AP1131" s="230"/>
      <c r="AQ1131" s="230"/>
      <c r="AS1131" s="231"/>
      <c r="AT1131" s="231"/>
      <c r="AU1131" s="231"/>
      <c r="AV1131" s="231"/>
      <c r="AW1131" s="231"/>
      <c r="AX1131" s="231"/>
      <c r="AY1131" s="231"/>
      <c r="AZ1131" s="231"/>
      <c r="BA1131" s="231"/>
      <c r="BC1131" s="82"/>
      <c r="BD1131" s="82"/>
      <c r="BE1131" s="82"/>
      <c r="BF1131" s="82"/>
      <c r="BG1131" s="82"/>
      <c r="BH1131" s="82"/>
      <c r="BI1131" s="82"/>
      <c r="BJ1131" s="82"/>
      <c r="BK1131" s="82"/>
      <c r="BL1131" s="82"/>
      <c r="BM1131" s="82"/>
      <c r="BN1131" s="82"/>
      <c r="BO1131" s="82"/>
      <c r="BP1131" s="82"/>
      <c r="BQ1131" s="82"/>
      <c r="BR1131" s="82"/>
      <c r="BS1131" s="82"/>
      <c r="BT1131" s="82"/>
      <c r="BU1131" s="82"/>
      <c r="BV1131" s="82"/>
      <c r="BW1131" s="82"/>
      <c r="BX1131" s="82"/>
      <c r="BY1131" s="82"/>
      <c r="BZ1131" s="82"/>
      <c r="CA1131" s="82"/>
      <c r="CB1131" s="82"/>
      <c r="CC1131" s="82"/>
      <c r="CD1131" s="82"/>
      <c r="CE1131" s="82"/>
      <c r="CF1131" s="82"/>
      <c r="CG1131" s="82"/>
      <c r="CH1131" s="82"/>
      <c r="CI1131" s="82"/>
      <c r="CJ1131" s="82"/>
      <c r="CK1131" s="82"/>
      <c r="CL1131" s="82"/>
      <c r="CM1131" s="82"/>
      <c r="CN1131" s="82"/>
      <c r="CO1131" s="82"/>
      <c r="CP1131" s="82"/>
      <c r="CQ1131" s="82"/>
      <c r="CR1131" s="82"/>
      <c r="CS1131" s="82"/>
      <c r="CT1131" s="82"/>
      <c r="CU1131" s="82"/>
      <c r="CV1131" s="82"/>
      <c r="CW1131" s="82"/>
      <c r="CX1131" s="82"/>
      <c r="CY1131" s="82"/>
      <c r="CZ1131" s="82"/>
      <c r="DA1131" s="82"/>
      <c r="DB1131" s="82"/>
      <c r="DC1131" s="82"/>
      <c r="DD1131" s="82"/>
      <c r="DE1131" s="82"/>
      <c r="DF1131" s="82"/>
      <c r="DG1131" s="82"/>
    </row>
    <row r="1132" spans="2:111" ht="9" customHeight="1">
      <c r="B1132" s="229"/>
      <c r="C1132" s="229"/>
      <c r="D1132" s="229"/>
      <c r="E1132" s="229"/>
      <c r="F1132" s="229"/>
      <c r="G1132" s="229"/>
      <c r="H1132" s="229"/>
      <c r="I1132" s="229"/>
      <c r="J1132" s="229"/>
      <c r="K1132" s="229"/>
      <c r="L1132" s="229"/>
      <c r="M1132" s="229"/>
      <c r="N1132" s="229"/>
      <c r="P1132" s="230"/>
      <c r="Q1132" s="230"/>
      <c r="R1132" s="230"/>
      <c r="S1132" s="230"/>
      <c r="T1132" s="230"/>
      <c r="U1132" s="230"/>
      <c r="V1132" s="230"/>
      <c r="W1132" s="230"/>
      <c r="X1132" s="230"/>
      <c r="Y1132" s="230"/>
      <c r="Z1132" s="230"/>
      <c r="AA1132" s="230"/>
      <c r="AB1132" s="230"/>
      <c r="AC1132" s="230"/>
      <c r="AD1132" s="230"/>
      <c r="AE1132" s="230"/>
      <c r="AF1132" s="230"/>
      <c r="AG1132" s="230"/>
      <c r="AH1132" s="230"/>
      <c r="AI1132" s="230"/>
      <c r="AJ1132" s="230"/>
      <c r="AK1132" s="230"/>
      <c r="AL1132" s="230"/>
      <c r="AM1132" s="230"/>
      <c r="AN1132" s="230"/>
      <c r="AO1132" s="230"/>
      <c r="AP1132" s="230"/>
      <c r="AQ1132" s="230"/>
      <c r="AS1132" s="231"/>
      <c r="AT1132" s="231"/>
      <c r="AU1132" s="231"/>
      <c r="AV1132" s="231"/>
      <c r="AW1132" s="231"/>
      <c r="AX1132" s="231"/>
      <c r="AY1132" s="231"/>
      <c r="AZ1132" s="231"/>
      <c r="BA1132" s="231"/>
      <c r="BC1132" s="82"/>
      <c r="BD1132" s="82"/>
      <c r="BE1132" s="82"/>
      <c r="BF1132" s="82"/>
      <c r="BG1132" s="82"/>
      <c r="BH1132" s="82"/>
      <c r="BI1132" s="82"/>
      <c r="BJ1132" s="82"/>
      <c r="BK1132" s="82"/>
      <c r="BL1132" s="82"/>
      <c r="BM1132" s="82"/>
      <c r="BN1132" s="82"/>
      <c r="BO1132" s="82"/>
      <c r="BP1132" s="82"/>
      <c r="BQ1132" s="82"/>
      <c r="BR1132" s="82"/>
      <c r="BS1132" s="82"/>
      <c r="BT1132" s="82"/>
      <c r="BU1132" s="82"/>
      <c r="BV1132" s="82"/>
      <c r="BW1132" s="82"/>
      <c r="BX1132" s="82"/>
      <c r="BY1132" s="82"/>
      <c r="BZ1132" s="82"/>
      <c r="CA1132" s="82"/>
      <c r="CB1132" s="82"/>
      <c r="CC1132" s="82"/>
      <c r="CD1132" s="82"/>
      <c r="CE1132" s="82"/>
      <c r="CF1132" s="82"/>
      <c r="CG1132" s="82"/>
      <c r="CH1132" s="82"/>
      <c r="CI1132" s="82"/>
      <c r="CJ1132" s="82"/>
      <c r="CK1132" s="82"/>
      <c r="CL1132" s="82"/>
      <c r="CM1132" s="82"/>
      <c r="CN1132" s="82"/>
      <c r="CO1132" s="82"/>
      <c r="CP1132" s="82"/>
      <c r="CQ1132" s="82"/>
      <c r="CR1132" s="82"/>
      <c r="CS1132" s="82"/>
      <c r="CT1132" s="82"/>
      <c r="CU1132" s="82"/>
      <c r="CV1132" s="82"/>
      <c r="CW1132" s="82"/>
      <c r="CX1132" s="82"/>
      <c r="CY1132" s="82"/>
      <c r="CZ1132" s="82"/>
      <c r="DA1132" s="82"/>
      <c r="DB1132" s="82"/>
      <c r="DC1132" s="82"/>
      <c r="DD1132" s="82"/>
      <c r="DE1132" s="82"/>
      <c r="DF1132" s="82"/>
      <c r="DG1132" s="82"/>
    </row>
    <row r="1133" spans="2:111" ht="9" customHeight="1">
      <c r="B1133" s="229"/>
      <c r="C1133" s="229"/>
      <c r="D1133" s="229"/>
      <c r="E1133" s="229"/>
      <c r="F1133" s="229"/>
      <c r="G1133" s="229"/>
      <c r="H1133" s="229"/>
      <c r="I1133" s="229"/>
      <c r="J1133" s="229"/>
      <c r="K1133" s="229"/>
      <c r="L1133" s="229"/>
      <c r="M1133" s="229"/>
      <c r="N1133" s="229"/>
      <c r="P1133" s="230"/>
      <c r="Q1133" s="230"/>
      <c r="R1133" s="230"/>
      <c r="S1133" s="230"/>
      <c r="T1133" s="230"/>
      <c r="U1133" s="230"/>
      <c r="V1133" s="230"/>
      <c r="W1133" s="230"/>
      <c r="X1133" s="230"/>
      <c r="Y1133" s="230"/>
      <c r="Z1133" s="230"/>
      <c r="AA1133" s="230"/>
      <c r="AB1133" s="230"/>
      <c r="AC1133" s="230"/>
      <c r="AD1133" s="230"/>
      <c r="AE1133" s="230"/>
      <c r="AF1133" s="230"/>
      <c r="AG1133" s="230"/>
      <c r="AH1133" s="230"/>
      <c r="AI1133" s="230"/>
      <c r="AJ1133" s="230"/>
      <c r="AK1133" s="230"/>
      <c r="AL1133" s="230"/>
      <c r="AM1133" s="230"/>
      <c r="AN1133" s="230"/>
      <c r="AO1133" s="230"/>
      <c r="AP1133" s="230"/>
      <c r="AQ1133" s="230"/>
      <c r="AS1133" s="231"/>
      <c r="AT1133" s="231"/>
      <c r="AU1133" s="231"/>
      <c r="AV1133" s="231"/>
      <c r="AW1133" s="231"/>
      <c r="AX1133" s="231"/>
      <c r="AY1133" s="231"/>
      <c r="AZ1133" s="231"/>
      <c r="BA1133" s="231"/>
      <c r="BC1133" s="82"/>
      <c r="BD1133" s="82"/>
      <c r="BE1133" s="82"/>
      <c r="BF1133" s="82"/>
      <c r="BG1133" s="82"/>
      <c r="BH1133" s="82"/>
      <c r="BI1133" s="82"/>
      <c r="BJ1133" s="82"/>
      <c r="BK1133" s="82"/>
      <c r="BL1133" s="82"/>
      <c r="BM1133" s="82"/>
      <c r="BN1133" s="82"/>
      <c r="BO1133" s="82"/>
      <c r="BP1133" s="82"/>
      <c r="BQ1133" s="82"/>
      <c r="BR1133" s="82"/>
      <c r="BS1133" s="82"/>
      <c r="BT1133" s="82"/>
      <c r="BU1133" s="82"/>
      <c r="BV1133" s="82"/>
      <c r="BW1133" s="82"/>
      <c r="BX1133" s="82"/>
      <c r="BY1133" s="82"/>
      <c r="BZ1133" s="82"/>
      <c r="CA1133" s="82"/>
      <c r="CB1133" s="82"/>
      <c r="CC1133" s="82"/>
      <c r="CD1133" s="82"/>
      <c r="CE1133" s="82"/>
      <c r="CF1133" s="82"/>
      <c r="CG1133" s="82"/>
      <c r="CH1133" s="82"/>
      <c r="CI1133" s="82"/>
      <c r="CJ1133" s="82"/>
      <c r="CK1133" s="82"/>
      <c r="CL1133" s="82"/>
      <c r="CM1133" s="82"/>
      <c r="CN1133" s="82"/>
      <c r="CO1133" s="82"/>
      <c r="CP1133" s="82"/>
      <c r="CQ1133" s="82"/>
      <c r="CR1133" s="82"/>
      <c r="CS1133" s="82"/>
      <c r="CT1133" s="82"/>
      <c r="CU1133" s="82"/>
      <c r="CV1133" s="82"/>
      <c r="CW1133" s="82"/>
      <c r="CX1133" s="82"/>
      <c r="CY1133" s="82"/>
      <c r="CZ1133" s="82"/>
      <c r="DA1133" s="82"/>
      <c r="DB1133" s="82"/>
      <c r="DC1133" s="82"/>
      <c r="DD1133" s="82"/>
      <c r="DE1133" s="82"/>
      <c r="DF1133" s="82"/>
      <c r="DG1133" s="82"/>
    </row>
    <row r="1134" spans="2:111" ht="9" customHeight="1">
      <c r="B1134" s="229"/>
      <c r="C1134" s="229"/>
      <c r="D1134" s="229"/>
      <c r="E1134" s="229"/>
      <c r="F1134" s="229"/>
      <c r="G1134" s="229"/>
      <c r="H1134" s="229"/>
      <c r="I1134" s="229"/>
      <c r="J1134" s="229"/>
      <c r="K1134" s="229"/>
      <c r="L1134" s="229"/>
      <c r="M1134" s="229"/>
      <c r="N1134" s="229"/>
      <c r="P1134" s="230"/>
      <c r="Q1134" s="230"/>
      <c r="R1134" s="230"/>
      <c r="S1134" s="230"/>
      <c r="T1134" s="230"/>
      <c r="U1134" s="230"/>
      <c r="V1134" s="230"/>
      <c r="W1134" s="230"/>
      <c r="X1134" s="230"/>
      <c r="Y1134" s="230"/>
      <c r="Z1134" s="230"/>
      <c r="AA1134" s="230"/>
      <c r="AB1134" s="230"/>
      <c r="AC1134" s="230"/>
      <c r="AD1134" s="230"/>
      <c r="AE1134" s="230"/>
      <c r="AF1134" s="230"/>
      <c r="AG1134" s="230"/>
      <c r="AH1134" s="230"/>
      <c r="AI1134" s="230"/>
      <c r="AJ1134" s="230"/>
      <c r="AK1134" s="230"/>
      <c r="AL1134" s="230"/>
      <c r="AM1134" s="230"/>
      <c r="AN1134" s="230"/>
      <c r="AO1134" s="230"/>
      <c r="AP1134" s="230"/>
      <c r="AQ1134" s="230"/>
      <c r="AS1134" s="231"/>
      <c r="AT1134" s="231"/>
      <c r="AU1134" s="231"/>
      <c r="AV1134" s="231"/>
      <c r="AW1134" s="231"/>
      <c r="AX1134" s="231"/>
      <c r="AY1134" s="231"/>
      <c r="AZ1134" s="231"/>
      <c r="BA1134" s="231"/>
      <c r="BC1134" s="82"/>
      <c r="BD1134" s="82"/>
      <c r="BE1134" s="82"/>
      <c r="BF1134" s="82"/>
      <c r="BG1134" s="82"/>
      <c r="BH1134" s="82"/>
      <c r="BI1134" s="82"/>
      <c r="BJ1134" s="82"/>
      <c r="BK1134" s="82"/>
      <c r="BL1134" s="82"/>
      <c r="BM1134" s="82"/>
      <c r="BN1134" s="82"/>
      <c r="BO1134" s="82"/>
      <c r="BP1134" s="82"/>
      <c r="BQ1134" s="82"/>
      <c r="BR1134" s="82"/>
      <c r="BS1134" s="82"/>
      <c r="BT1134" s="82"/>
      <c r="BU1134" s="82"/>
      <c r="BV1134" s="82"/>
      <c r="BW1134" s="82"/>
      <c r="BX1134" s="82"/>
      <c r="BY1134" s="82"/>
      <c r="BZ1134" s="82"/>
      <c r="CA1134" s="82"/>
      <c r="CB1134" s="82"/>
      <c r="CC1134" s="82"/>
      <c r="CD1134" s="82"/>
      <c r="CE1134" s="82"/>
      <c r="CF1134" s="82"/>
      <c r="CG1134" s="82"/>
      <c r="CH1134" s="82"/>
      <c r="CI1134" s="82"/>
      <c r="CJ1134" s="82"/>
      <c r="CK1134" s="82"/>
      <c r="CL1134" s="82"/>
      <c r="CM1134" s="82"/>
      <c r="CN1134" s="82"/>
      <c r="CO1134" s="82"/>
      <c r="CP1134" s="82"/>
      <c r="CQ1134" s="82"/>
      <c r="CR1134" s="82"/>
      <c r="CS1134" s="82"/>
      <c r="CT1134" s="82"/>
      <c r="CU1134" s="82"/>
      <c r="CV1134" s="82"/>
      <c r="CW1134" s="82"/>
      <c r="CX1134" s="82"/>
      <c r="CY1134" s="82"/>
      <c r="CZ1134" s="82"/>
      <c r="DA1134" s="82"/>
      <c r="DB1134" s="82"/>
      <c r="DC1134" s="82"/>
      <c r="DD1134" s="82"/>
      <c r="DE1134" s="82"/>
      <c r="DF1134" s="82"/>
      <c r="DG1134" s="82"/>
    </row>
    <row r="1135" spans="2:111" ht="9" customHeight="1">
      <c r="B1135" s="229"/>
      <c r="C1135" s="229"/>
      <c r="D1135" s="229"/>
      <c r="E1135" s="229"/>
      <c r="F1135" s="229"/>
      <c r="G1135" s="229"/>
      <c r="H1135" s="229"/>
      <c r="I1135" s="229"/>
      <c r="J1135" s="229"/>
      <c r="K1135" s="229"/>
      <c r="L1135" s="229"/>
      <c r="M1135" s="229"/>
      <c r="N1135" s="229"/>
      <c r="P1135" s="230"/>
      <c r="Q1135" s="230"/>
      <c r="R1135" s="230"/>
      <c r="S1135" s="230"/>
      <c r="T1135" s="230"/>
      <c r="U1135" s="230"/>
      <c r="V1135" s="230"/>
      <c r="W1135" s="230"/>
      <c r="X1135" s="230"/>
      <c r="Y1135" s="230"/>
      <c r="Z1135" s="230"/>
      <c r="AA1135" s="230"/>
      <c r="AB1135" s="230"/>
      <c r="AC1135" s="230"/>
      <c r="AD1135" s="230"/>
      <c r="AE1135" s="230"/>
      <c r="AF1135" s="230"/>
      <c r="AG1135" s="230"/>
      <c r="AH1135" s="230"/>
      <c r="AI1135" s="230"/>
      <c r="AJ1135" s="230"/>
      <c r="AK1135" s="230"/>
      <c r="AL1135" s="230"/>
      <c r="AM1135" s="230"/>
      <c r="AN1135" s="230"/>
      <c r="AO1135" s="230"/>
      <c r="AP1135" s="230"/>
      <c r="AQ1135" s="230"/>
      <c r="AS1135" s="231"/>
      <c r="AT1135" s="231"/>
      <c r="AU1135" s="231"/>
      <c r="AV1135" s="231"/>
      <c r="AW1135" s="231"/>
      <c r="AX1135" s="231"/>
      <c r="AY1135" s="231"/>
      <c r="AZ1135" s="231"/>
      <c r="BA1135" s="231"/>
      <c r="BC1135" s="82"/>
      <c r="BD1135" s="82"/>
      <c r="BE1135" s="82"/>
      <c r="BF1135" s="82"/>
      <c r="BG1135" s="82"/>
      <c r="BH1135" s="82"/>
      <c r="BI1135" s="82"/>
      <c r="BJ1135" s="82"/>
      <c r="BK1135" s="82"/>
      <c r="BL1135" s="82"/>
      <c r="BM1135" s="82"/>
      <c r="BN1135" s="82"/>
      <c r="BO1135" s="82"/>
      <c r="BP1135" s="82"/>
      <c r="BQ1135" s="82"/>
      <c r="BR1135" s="82"/>
      <c r="BS1135" s="82"/>
      <c r="BT1135" s="82"/>
      <c r="BU1135" s="82"/>
      <c r="BV1135" s="82"/>
      <c r="BW1135" s="82"/>
      <c r="BX1135" s="82"/>
      <c r="BY1135" s="82"/>
      <c r="BZ1135" s="82"/>
      <c r="CA1135" s="82"/>
      <c r="CB1135" s="82"/>
      <c r="CC1135" s="82"/>
      <c r="CD1135" s="82"/>
      <c r="CE1135" s="82"/>
      <c r="CF1135" s="82"/>
      <c r="CG1135" s="82"/>
      <c r="CH1135" s="82"/>
      <c r="CI1135" s="82"/>
      <c r="CJ1135" s="82"/>
      <c r="CK1135" s="82"/>
      <c r="CL1135" s="82"/>
      <c r="CM1135" s="82"/>
      <c r="CN1135" s="82"/>
      <c r="CO1135" s="82"/>
      <c r="CP1135" s="82"/>
      <c r="CQ1135" s="82"/>
      <c r="CR1135" s="82"/>
      <c r="CS1135" s="82"/>
      <c r="CT1135" s="82"/>
      <c r="CU1135" s="82"/>
      <c r="CV1135" s="82"/>
      <c r="CW1135" s="82"/>
      <c r="CX1135" s="82"/>
      <c r="CY1135" s="82"/>
      <c r="CZ1135" s="82"/>
      <c r="DA1135" s="82"/>
      <c r="DB1135" s="82"/>
      <c r="DC1135" s="82"/>
      <c r="DD1135" s="82"/>
      <c r="DE1135" s="82"/>
      <c r="DF1135" s="82"/>
      <c r="DG1135" s="82"/>
    </row>
    <row r="1136" spans="2:111" ht="9" customHeight="1">
      <c r="B1136" s="229"/>
      <c r="C1136" s="229"/>
      <c r="D1136" s="229"/>
      <c r="E1136" s="229"/>
      <c r="F1136" s="229"/>
      <c r="G1136" s="229"/>
      <c r="H1136" s="229"/>
      <c r="I1136" s="229"/>
      <c r="J1136" s="229"/>
      <c r="K1136" s="229"/>
      <c r="L1136" s="229"/>
      <c r="M1136" s="229"/>
      <c r="N1136" s="229"/>
      <c r="P1136" s="230"/>
      <c r="Q1136" s="230"/>
      <c r="R1136" s="230"/>
      <c r="S1136" s="230"/>
      <c r="T1136" s="230"/>
      <c r="U1136" s="230"/>
      <c r="V1136" s="230"/>
      <c r="W1136" s="230"/>
      <c r="X1136" s="230"/>
      <c r="Y1136" s="230"/>
      <c r="Z1136" s="230"/>
      <c r="AA1136" s="230"/>
      <c r="AB1136" s="230"/>
      <c r="AC1136" s="230"/>
      <c r="AD1136" s="230"/>
      <c r="AE1136" s="230"/>
      <c r="AF1136" s="230"/>
      <c r="AG1136" s="230"/>
      <c r="AH1136" s="230"/>
      <c r="AI1136" s="230"/>
      <c r="AJ1136" s="230"/>
      <c r="AK1136" s="230"/>
      <c r="AL1136" s="230"/>
      <c r="AM1136" s="230"/>
      <c r="AN1136" s="230"/>
      <c r="AO1136" s="230"/>
      <c r="AP1136" s="230"/>
      <c r="AQ1136" s="230"/>
      <c r="AS1136" s="231"/>
      <c r="AT1136" s="231"/>
      <c r="AU1136" s="231"/>
      <c r="AV1136" s="231"/>
      <c r="AW1136" s="231"/>
      <c r="AX1136" s="231"/>
      <c r="AY1136" s="231"/>
      <c r="AZ1136" s="231"/>
      <c r="BA1136" s="231"/>
      <c r="BC1136" s="82"/>
      <c r="BD1136" s="82"/>
      <c r="BE1136" s="82"/>
      <c r="BF1136" s="82"/>
      <c r="BG1136" s="82"/>
      <c r="BH1136" s="82"/>
      <c r="BI1136" s="82"/>
      <c r="BJ1136" s="82"/>
      <c r="BK1136" s="82"/>
      <c r="BL1136" s="82"/>
      <c r="BM1136" s="82"/>
      <c r="BN1136" s="82"/>
      <c r="BO1136" s="82"/>
      <c r="BP1136" s="82"/>
      <c r="BQ1136" s="82"/>
      <c r="BR1136" s="82"/>
      <c r="BS1136" s="82"/>
      <c r="BT1136" s="82"/>
      <c r="BU1136" s="82"/>
      <c r="BV1136" s="82"/>
      <c r="BW1136" s="82"/>
      <c r="BX1136" s="82"/>
      <c r="BY1136" s="82"/>
      <c r="BZ1136" s="82"/>
      <c r="CA1136" s="82"/>
      <c r="CB1136" s="82"/>
      <c r="CC1136" s="82"/>
      <c r="CD1136" s="82"/>
      <c r="CE1136" s="82"/>
      <c r="CF1136" s="82"/>
      <c r="CG1136" s="82"/>
      <c r="CH1136" s="82"/>
      <c r="CI1136" s="82"/>
      <c r="CJ1136" s="82"/>
      <c r="CK1136" s="82"/>
      <c r="CL1136" s="82"/>
      <c r="CM1136" s="82"/>
      <c r="CN1136" s="82"/>
      <c r="CO1136" s="82"/>
      <c r="CP1136" s="82"/>
      <c r="CQ1136" s="82"/>
      <c r="CR1136" s="82"/>
      <c r="CS1136" s="82"/>
      <c r="CT1136" s="82"/>
      <c r="CU1136" s="82"/>
      <c r="CV1136" s="82"/>
      <c r="CW1136" s="82"/>
      <c r="CX1136" s="82"/>
      <c r="CY1136" s="82"/>
      <c r="CZ1136" s="82"/>
      <c r="DA1136" s="82"/>
      <c r="DB1136" s="82"/>
      <c r="DC1136" s="82"/>
      <c r="DD1136" s="82"/>
      <c r="DE1136" s="82"/>
      <c r="DF1136" s="82"/>
      <c r="DG1136" s="82"/>
    </row>
    <row r="1137" spans="2:111" ht="9" customHeight="1">
      <c r="B1137" s="229"/>
      <c r="C1137" s="229"/>
      <c r="D1137" s="229"/>
      <c r="E1137" s="229"/>
      <c r="F1137" s="229"/>
      <c r="G1137" s="229"/>
      <c r="H1137" s="229"/>
      <c r="I1137" s="229"/>
      <c r="J1137" s="229"/>
      <c r="K1137" s="229"/>
      <c r="L1137" s="229"/>
      <c r="M1137" s="229"/>
      <c r="N1137" s="229"/>
      <c r="P1137" s="230"/>
      <c r="Q1137" s="230"/>
      <c r="R1137" s="230"/>
      <c r="S1137" s="230"/>
      <c r="T1137" s="230"/>
      <c r="U1137" s="230"/>
      <c r="V1137" s="230"/>
      <c r="W1137" s="230"/>
      <c r="X1137" s="230"/>
      <c r="Y1137" s="230"/>
      <c r="Z1137" s="230"/>
      <c r="AA1137" s="230"/>
      <c r="AB1137" s="230"/>
      <c r="AC1137" s="230"/>
      <c r="AD1137" s="230"/>
      <c r="AE1137" s="230"/>
      <c r="AF1137" s="230"/>
      <c r="AG1137" s="230"/>
      <c r="AH1137" s="230"/>
      <c r="AI1137" s="230"/>
      <c r="AJ1137" s="230"/>
      <c r="AK1137" s="230"/>
      <c r="AL1137" s="230"/>
      <c r="AM1137" s="230"/>
      <c r="AN1137" s="230"/>
      <c r="AO1137" s="230"/>
      <c r="AP1137" s="230"/>
      <c r="AQ1137" s="230"/>
      <c r="AS1137" s="231"/>
      <c r="AT1137" s="231"/>
      <c r="AU1137" s="231"/>
      <c r="AV1137" s="231"/>
      <c r="AW1137" s="231"/>
      <c r="AX1137" s="231"/>
      <c r="AY1137" s="231"/>
      <c r="AZ1137" s="231"/>
      <c r="BA1137" s="231"/>
      <c r="BC1137" s="82"/>
      <c r="BD1137" s="82"/>
      <c r="BE1137" s="82"/>
      <c r="BF1137" s="82"/>
      <c r="BG1137" s="82"/>
      <c r="BH1137" s="82"/>
      <c r="BI1137" s="82"/>
      <c r="BJ1137" s="82"/>
      <c r="BK1137" s="82"/>
      <c r="BL1137" s="82"/>
      <c r="BM1137" s="82"/>
      <c r="BN1137" s="82"/>
      <c r="BO1137" s="82"/>
      <c r="BP1137" s="82"/>
      <c r="BQ1137" s="82"/>
      <c r="BR1137" s="82"/>
      <c r="BS1137" s="82"/>
      <c r="BT1137" s="82"/>
      <c r="BU1137" s="82"/>
      <c r="BV1137" s="82"/>
      <c r="BW1137" s="82"/>
      <c r="BX1137" s="82"/>
      <c r="BY1137" s="82"/>
      <c r="BZ1137" s="82"/>
      <c r="CA1137" s="82"/>
      <c r="CB1137" s="82"/>
      <c r="CC1137" s="82"/>
      <c r="CD1137" s="82"/>
      <c r="CE1137" s="82"/>
      <c r="CF1137" s="82"/>
      <c r="CG1137" s="82"/>
      <c r="CH1137" s="82"/>
      <c r="CI1137" s="82"/>
      <c r="CJ1137" s="82"/>
      <c r="CK1137" s="82"/>
      <c r="CL1137" s="82"/>
      <c r="CM1137" s="82"/>
      <c r="CN1137" s="82"/>
      <c r="CO1137" s="82"/>
      <c r="CP1137" s="82"/>
      <c r="CQ1137" s="82"/>
      <c r="CR1137" s="82"/>
      <c r="CS1137" s="82"/>
      <c r="CT1137" s="82"/>
      <c r="CU1137" s="82"/>
      <c r="CV1137" s="82"/>
      <c r="CW1137" s="82"/>
      <c r="CX1137" s="82"/>
      <c r="CY1137" s="82"/>
      <c r="CZ1137" s="82"/>
      <c r="DA1137" s="82"/>
      <c r="DB1137" s="82"/>
      <c r="DC1137" s="82"/>
      <c r="DD1137" s="82"/>
      <c r="DE1137" s="82"/>
      <c r="DF1137" s="82"/>
      <c r="DG1137" s="82"/>
    </row>
    <row r="1138" spans="2:111" ht="9" customHeight="1">
      <c r="B1138" s="229"/>
      <c r="C1138" s="229"/>
      <c r="D1138" s="229"/>
      <c r="E1138" s="229"/>
      <c r="F1138" s="229"/>
      <c r="G1138" s="229"/>
      <c r="H1138" s="229"/>
      <c r="I1138" s="229"/>
      <c r="J1138" s="229"/>
      <c r="K1138" s="229"/>
      <c r="L1138" s="229"/>
      <c r="M1138" s="229"/>
      <c r="N1138" s="229"/>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0"/>
      <c r="AK1138" s="230"/>
      <c r="AL1138" s="230"/>
      <c r="AM1138" s="230"/>
      <c r="AN1138" s="230"/>
      <c r="AO1138" s="230"/>
      <c r="AP1138" s="230"/>
      <c r="AQ1138" s="230"/>
      <c r="AS1138" s="231"/>
      <c r="AT1138" s="231"/>
      <c r="AU1138" s="231"/>
      <c r="AV1138" s="231"/>
      <c r="AW1138" s="231"/>
      <c r="AX1138" s="231"/>
      <c r="AY1138" s="231"/>
      <c r="AZ1138" s="231"/>
      <c r="BA1138" s="231"/>
      <c r="BC1138" s="82"/>
      <c r="BD1138" s="82"/>
      <c r="BE1138" s="82"/>
      <c r="BF1138" s="82"/>
      <c r="BG1138" s="82"/>
      <c r="BH1138" s="82"/>
      <c r="BI1138" s="82"/>
      <c r="BJ1138" s="82"/>
      <c r="BK1138" s="82"/>
      <c r="BL1138" s="82"/>
      <c r="BM1138" s="82"/>
      <c r="BN1138" s="82"/>
      <c r="BO1138" s="82"/>
      <c r="BP1138" s="82"/>
      <c r="BQ1138" s="82"/>
      <c r="BR1138" s="82"/>
      <c r="BS1138" s="82"/>
      <c r="BT1138" s="82"/>
      <c r="BU1138" s="82"/>
      <c r="BV1138" s="82"/>
      <c r="BW1138" s="82"/>
      <c r="BX1138" s="82"/>
      <c r="BY1138" s="82"/>
      <c r="BZ1138" s="82"/>
      <c r="CA1138" s="82"/>
      <c r="CB1138" s="82"/>
      <c r="CC1138" s="82"/>
      <c r="CD1138" s="82"/>
      <c r="CE1138" s="82"/>
      <c r="CF1138" s="82"/>
      <c r="CG1138" s="82"/>
      <c r="CH1138" s="82"/>
      <c r="CI1138" s="82"/>
      <c r="CJ1138" s="82"/>
      <c r="CK1138" s="82"/>
      <c r="CL1138" s="82"/>
      <c r="CM1138" s="82"/>
      <c r="CN1138" s="82"/>
      <c r="CO1138" s="82"/>
      <c r="CP1138" s="82"/>
      <c r="CQ1138" s="82"/>
      <c r="CR1138" s="82"/>
      <c r="CS1138" s="82"/>
      <c r="CT1138" s="82"/>
      <c r="CU1138" s="82"/>
      <c r="CV1138" s="82"/>
      <c r="CW1138" s="82"/>
      <c r="CX1138" s="82"/>
      <c r="CY1138" s="82"/>
      <c r="CZ1138" s="82"/>
      <c r="DA1138" s="82"/>
      <c r="DB1138" s="82"/>
      <c r="DC1138" s="82"/>
      <c r="DD1138" s="82"/>
      <c r="DE1138" s="82"/>
      <c r="DF1138" s="82"/>
      <c r="DG1138" s="82"/>
    </row>
    <row r="1139" spans="2:111" ht="9" customHeight="1">
      <c r="B1139" s="229"/>
      <c r="C1139" s="229"/>
      <c r="D1139" s="229"/>
      <c r="E1139" s="229"/>
      <c r="F1139" s="229"/>
      <c r="G1139" s="229"/>
      <c r="H1139" s="229"/>
      <c r="I1139" s="229"/>
      <c r="J1139" s="229"/>
      <c r="K1139" s="229"/>
      <c r="L1139" s="229"/>
      <c r="M1139" s="229"/>
      <c r="N1139" s="229"/>
      <c r="P1139" s="230"/>
      <c r="Q1139" s="230"/>
      <c r="R1139" s="230"/>
      <c r="S1139" s="230"/>
      <c r="T1139" s="230"/>
      <c r="U1139" s="230"/>
      <c r="V1139" s="230"/>
      <c r="W1139" s="230"/>
      <c r="X1139" s="230"/>
      <c r="Y1139" s="230"/>
      <c r="Z1139" s="230"/>
      <c r="AA1139" s="230"/>
      <c r="AB1139" s="230"/>
      <c r="AC1139" s="230"/>
      <c r="AD1139" s="230"/>
      <c r="AE1139" s="230"/>
      <c r="AF1139" s="230"/>
      <c r="AG1139" s="230"/>
      <c r="AH1139" s="230"/>
      <c r="AI1139" s="230"/>
      <c r="AJ1139" s="230"/>
      <c r="AK1139" s="230"/>
      <c r="AL1139" s="230"/>
      <c r="AM1139" s="230"/>
      <c r="AN1139" s="230"/>
      <c r="AO1139" s="230"/>
      <c r="AP1139" s="230"/>
      <c r="AQ1139" s="230"/>
      <c r="AS1139" s="231"/>
      <c r="AT1139" s="231"/>
      <c r="AU1139" s="231"/>
      <c r="AV1139" s="231"/>
      <c r="AW1139" s="231"/>
      <c r="AX1139" s="231"/>
      <c r="AY1139" s="231"/>
      <c r="AZ1139" s="231"/>
      <c r="BA1139" s="231"/>
      <c r="BC1139" s="82"/>
      <c r="BD1139" s="82"/>
      <c r="BE1139" s="82"/>
      <c r="BF1139" s="82"/>
      <c r="BG1139" s="82"/>
      <c r="BH1139" s="82"/>
      <c r="BI1139" s="82"/>
      <c r="BJ1139" s="82"/>
      <c r="BK1139" s="82"/>
      <c r="BL1139" s="82"/>
      <c r="BM1139" s="82"/>
      <c r="BN1139" s="82"/>
      <c r="BO1139" s="82"/>
      <c r="BP1139" s="82"/>
      <c r="BQ1139" s="82"/>
      <c r="BR1139" s="82"/>
      <c r="BS1139" s="82"/>
      <c r="BT1139" s="82"/>
      <c r="BU1139" s="82"/>
      <c r="BV1139" s="82"/>
      <c r="BW1139" s="82"/>
      <c r="BX1139" s="82"/>
      <c r="BY1139" s="82"/>
      <c r="BZ1139" s="82"/>
      <c r="CA1139" s="82"/>
      <c r="CB1139" s="82"/>
      <c r="CC1139" s="82"/>
      <c r="CD1139" s="82"/>
      <c r="CE1139" s="82"/>
      <c r="CF1139" s="82"/>
      <c r="CG1139" s="82"/>
      <c r="CH1139" s="82"/>
      <c r="CI1139" s="82"/>
      <c r="CJ1139" s="82"/>
      <c r="CK1139" s="82"/>
      <c r="CL1139" s="82"/>
      <c r="CM1139" s="82"/>
      <c r="CN1139" s="82"/>
      <c r="CO1139" s="82"/>
      <c r="CP1139" s="82"/>
      <c r="CQ1139" s="82"/>
      <c r="CR1139" s="82"/>
      <c r="CS1139" s="82"/>
      <c r="CT1139" s="82"/>
      <c r="CU1139" s="82"/>
      <c r="CV1139" s="82"/>
      <c r="CW1139" s="82"/>
      <c r="CX1139" s="82"/>
      <c r="CY1139" s="82"/>
      <c r="CZ1139" s="82"/>
      <c r="DA1139" s="82"/>
      <c r="DB1139" s="82"/>
      <c r="DC1139" s="82"/>
      <c r="DD1139" s="82"/>
      <c r="DE1139" s="82"/>
      <c r="DF1139" s="82"/>
      <c r="DG1139" s="82"/>
    </row>
    <row r="1140" spans="2:111" ht="9" customHeight="1">
      <c r="B1140" s="229"/>
      <c r="C1140" s="229"/>
      <c r="D1140" s="229"/>
      <c r="E1140" s="229"/>
      <c r="F1140" s="229"/>
      <c r="G1140" s="229"/>
      <c r="H1140" s="229"/>
      <c r="I1140" s="229"/>
      <c r="J1140" s="229"/>
      <c r="K1140" s="229"/>
      <c r="L1140" s="229"/>
      <c r="M1140" s="229"/>
      <c r="N1140" s="229"/>
      <c r="P1140" s="230"/>
      <c r="Q1140" s="230"/>
      <c r="R1140" s="230"/>
      <c r="S1140" s="230"/>
      <c r="T1140" s="230"/>
      <c r="U1140" s="230"/>
      <c r="V1140" s="230"/>
      <c r="W1140" s="230"/>
      <c r="X1140" s="230"/>
      <c r="Y1140" s="230"/>
      <c r="Z1140" s="230"/>
      <c r="AA1140" s="230"/>
      <c r="AB1140" s="230"/>
      <c r="AC1140" s="230"/>
      <c r="AD1140" s="230"/>
      <c r="AE1140" s="230"/>
      <c r="AF1140" s="230"/>
      <c r="AG1140" s="230"/>
      <c r="AH1140" s="230"/>
      <c r="AI1140" s="230"/>
      <c r="AJ1140" s="230"/>
      <c r="AK1140" s="230"/>
      <c r="AL1140" s="230"/>
      <c r="AM1140" s="230"/>
      <c r="AN1140" s="230"/>
      <c r="AO1140" s="230"/>
      <c r="AP1140" s="230"/>
      <c r="AQ1140" s="230"/>
      <c r="AS1140" s="231"/>
      <c r="AT1140" s="231"/>
      <c r="AU1140" s="231"/>
      <c r="AV1140" s="231"/>
      <c r="AW1140" s="231"/>
      <c r="AX1140" s="231"/>
      <c r="AY1140" s="231"/>
      <c r="AZ1140" s="231"/>
      <c r="BA1140" s="231"/>
      <c r="BC1140" s="82"/>
      <c r="BD1140" s="82"/>
      <c r="BE1140" s="82"/>
      <c r="BF1140" s="82"/>
      <c r="BG1140" s="82"/>
      <c r="BH1140" s="82"/>
      <c r="BI1140" s="82"/>
      <c r="BJ1140" s="82"/>
      <c r="BK1140" s="82"/>
      <c r="BL1140" s="82"/>
      <c r="BM1140" s="82"/>
      <c r="BN1140" s="82"/>
      <c r="BO1140" s="82"/>
      <c r="BP1140" s="82"/>
      <c r="BQ1140" s="82"/>
      <c r="BR1140" s="82"/>
      <c r="BS1140" s="82"/>
      <c r="BT1140" s="82"/>
      <c r="BU1140" s="82"/>
      <c r="BV1140" s="82"/>
      <c r="BW1140" s="82"/>
      <c r="BX1140" s="82"/>
      <c r="BY1140" s="82"/>
      <c r="BZ1140" s="82"/>
      <c r="CA1140" s="82"/>
      <c r="CB1140" s="82"/>
      <c r="CC1140" s="82"/>
      <c r="CD1140" s="82"/>
      <c r="CE1140" s="82"/>
      <c r="CF1140" s="82"/>
      <c r="CG1140" s="82"/>
      <c r="CH1140" s="82"/>
      <c r="CI1140" s="82"/>
      <c r="CJ1140" s="82"/>
      <c r="CK1140" s="82"/>
      <c r="CL1140" s="82"/>
      <c r="CM1140" s="82"/>
      <c r="CN1140" s="82"/>
      <c r="CO1140" s="82"/>
      <c r="CP1140" s="82"/>
      <c r="CQ1140" s="82"/>
      <c r="CR1140" s="82"/>
      <c r="CS1140" s="82"/>
      <c r="CT1140" s="82"/>
      <c r="CU1140" s="82"/>
      <c r="CV1140" s="82"/>
      <c r="CW1140" s="82"/>
      <c r="CX1140" s="82"/>
      <c r="CY1140" s="82"/>
      <c r="CZ1140" s="82"/>
      <c r="DA1140" s="82"/>
      <c r="DB1140" s="82"/>
      <c r="DC1140" s="82"/>
      <c r="DD1140" s="82"/>
      <c r="DE1140" s="82"/>
      <c r="DF1140" s="82"/>
      <c r="DG1140" s="82"/>
    </row>
    <row r="1141" spans="2:111" ht="9" customHeight="1">
      <c r="B1141" s="229"/>
      <c r="C1141" s="229"/>
      <c r="D1141" s="229"/>
      <c r="E1141" s="229"/>
      <c r="F1141" s="229"/>
      <c r="G1141" s="229"/>
      <c r="H1141" s="229"/>
      <c r="I1141" s="229"/>
      <c r="J1141" s="229"/>
      <c r="K1141" s="229"/>
      <c r="L1141" s="229"/>
      <c r="M1141" s="229"/>
      <c r="N1141" s="229"/>
      <c r="P1141" s="230"/>
      <c r="Q1141" s="230"/>
      <c r="R1141" s="230"/>
      <c r="S1141" s="230"/>
      <c r="T1141" s="230"/>
      <c r="U1141" s="230"/>
      <c r="V1141" s="230"/>
      <c r="W1141" s="230"/>
      <c r="X1141" s="230"/>
      <c r="Y1141" s="230"/>
      <c r="Z1141" s="230"/>
      <c r="AA1141" s="230"/>
      <c r="AB1141" s="230"/>
      <c r="AC1141" s="230"/>
      <c r="AD1141" s="230"/>
      <c r="AE1141" s="230"/>
      <c r="AF1141" s="230"/>
      <c r="AG1141" s="230"/>
      <c r="AH1141" s="230"/>
      <c r="AI1141" s="230"/>
      <c r="AJ1141" s="230"/>
      <c r="AK1141" s="230"/>
      <c r="AL1141" s="230"/>
      <c r="AM1141" s="230"/>
      <c r="AN1141" s="230"/>
      <c r="AO1141" s="230"/>
      <c r="AP1141" s="230"/>
      <c r="AQ1141" s="230"/>
      <c r="AS1141" s="231"/>
      <c r="AT1141" s="231"/>
      <c r="AU1141" s="231"/>
      <c r="AV1141" s="231"/>
      <c r="AW1141" s="231"/>
      <c r="AX1141" s="231"/>
      <c r="AY1141" s="231"/>
      <c r="AZ1141" s="231"/>
      <c r="BA1141" s="231"/>
      <c r="BC1141" s="82"/>
      <c r="BD1141" s="82"/>
      <c r="BE1141" s="82"/>
      <c r="BF1141" s="82"/>
      <c r="BG1141" s="82"/>
      <c r="BH1141" s="82"/>
      <c r="BI1141" s="82"/>
      <c r="BJ1141" s="82"/>
      <c r="BK1141" s="82"/>
      <c r="BL1141" s="82"/>
      <c r="BM1141" s="82"/>
      <c r="BN1141" s="82"/>
      <c r="BO1141" s="82"/>
      <c r="BP1141" s="82"/>
      <c r="BQ1141" s="82"/>
      <c r="BR1141" s="82"/>
      <c r="BS1141" s="82"/>
      <c r="BT1141" s="82"/>
      <c r="BU1141" s="82"/>
      <c r="BV1141" s="82"/>
      <c r="BW1141" s="82"/>
      <c r="BX1141" s="82"/>
      <c r="BY1141" s="82"/>
      <c r="BZ1141" s="82"/>
      <c r="CA1141" s="82"/>
      <c r="CB1141" s="82"/>
      <c r="CC1141" s="82"/>
      <c r="CD1141" s="82"/>
      <c r="CE1141" s="82"/>
      <c r="CF1141" s="82"/>
      <c r="CG1141" s="82"/>
      <c r="CH1141" s="82"/>
      <c r="CI1141" s="82"/>
      <c r="CJ1141" s="82"/>
      <c r="CK1141" s="82"/>
      <c r="CL1141" s="82"/>
      <c r="CM1141" s="82"/>
      <c r="CN1141" s="82"/>
      <c r="CO1141" s="82"/>
      <c r="CP1141" s="82"/>
      <c r="CQ1141" s="82"/>
      <c r="CR1141" s="82"/>
      <c r="CS1141" s="82"/>
      <c r="CT1141" s="82"/>
      <c r="CU1141" s="82"/>
      <c r="CV1141" s="82"/>
      <c r="CW1141" s="82"/>
      <c r="CX1141" s="82"/>
      <c r="CY1141" s="82"/>
      <c r="CZ1141" s="82"/>
      <c r="DA1141" s="82"/>
      <c r="DB1141" s="82"/>
      <c r="DC1141" s="82"/>
      <c r="DD1141" s="82"/>
      <c r="DE1141" s="82"/>
      <c r="DF1141" s="82"/>
      <c r="DG1141" s="82"/>
    </row>
    <row r="1142" spans="2:111" ht="9" customHeight="1">
      <c r="B1142" s="229"/>
      <c r="C1142" s="229"/>
      <c r="D1142" s="229"/>
      <c r="E1142" s="229"/>
      <c r="F1142" s="229"/>
      <c r="G1142" s="229"/>
      <c r="H1142" s="229"/>
      <c r="I1142" s="229"/>
      <c r="J1142" s="229"/>
      <c r="K1142" s="229"/>
      <c r="L1142" s="229"/>
      <c r="M1142" s="229"/>
      <c r="N1142" s="229"/>
      <c r="P1142" s="230"/>
      <c r="Q1142" s="230"/>
      <c r="R1142" s="230"/>
      <c r="S1142" s="230"/>
      <c r="T1142" s="230"/>
      <c r="U1142" s="230"/>
      <c r="V1142" s="230"/>
      <c r="W1142" s="230"/>
      <c r="X1142" s="230"/>
      <c r="Y1142" s="230"/>
      <c r="Z1142" s="230"/>
      <c r="AA1142" s="230"/>
      <c r="AB1142" s="230"/>
      <c r="AC1142" s="230"/>
      <c r="AD1142" s="230"/>
      <c r="AE1142" s="230"/>
      <c r="AF1142" s="230"/>
      <c r="AG1142" s="230"/>
      <c r="AH1142" s="230"/>
      <c r="AI1142" s="230"/>
      <c r="AJ1142" s="230"/>
      <c r="AK1142" s="230"/>
      <c r="AL1142" s="230"/>
      <c r="AM1142" s="230"/>
      <c r="AN1142" s="230"/>
      <c r="AO1142" s="230"/>
      <c r="AP1142" s="230"/>
      <c r="AQ1142" s="230"/>
      <c r="AS1142" s="231"/>
      <c r="AT1142" s="231"/>
      <c r="AU1142" s="231"/>
      <c r="AV1142" s="231"/>
      <c r="AW1142" s="231"/>
      <c r="AX1142" s="231"/>
      <c r="AY1142" s="231"/>
      <c r="AZ1142" s="231"/>
      <c r="BA1142" s="231"/>
      <c r="BC1142" s="82"/>
      <c r="BD1142" s="82"/>
      <c r="BE1142" s="82"/>
      <c r="BF1142" s="82"/>
      <c r="BG1142" s="82"/>
      <c r="BH1142" s="82"/>
      <c r="BI1142" s="82"/>
      <c r="BJ1142" s="82"/>
      <c r="BK1142" s="82"/>
      <c r="BL1142" s="82"/>
      <c r="BM1142" s="82"/>
      <c r="BN1142" s="82"/>
      <c r="BO1142" s="82"/>
      <c r="BP1142" s="82"/>
      <c r="BQ1142" s="82"/>
      <c r="BR1142" s="82"/>
      <c r="BS1142" s="82"/>
      <c r="BT1142" s="82"/>
      <c r="BU1142" s="82"/>
      <c r="BV1142" s="82"/>
      <c r="BW1142" s="82"/>
      <c r="BX1142" s="82"/>
      <c r="BY1142" s="82"/>
      <c r="BZ1142" s="82"/>
      <c r="CA1142" s="82"/>
      <c r="CB1142" s="82"/>
      <c r="CC1142" s="82"/>
      <c r="CD1142" s="82"/>
      <c r="CE1142" s="82"/>
      <c r="CF1142" s="82"/>
      <c r="CG1142" s="82"/>
      <c r="CH1142" s="82"/>
      <c r="CI1142" s="82"/>
      <c r="CJ1142" s="82"/>
      <c r="CK1142" s="82"/>
      <c r="CL1142" s="82"/>
      <c r="CM1142" s="82"/>
      <c r="CN1142" s="82"/>
      <c r="CO1142" s="82"/>
      <c r="CP1142" s="82"/>
      <c r="CQ1142" s="82"/>
      <c r="CR1142" s="82"/>
      <c r="CS1142" s="82"/>
      <c r="CT1142" s="82"/>
      <c r="CU1142" s="82"/>
      <c r="CV1142" s="82"/>
      <c r="CW1142" s="82"/>
      <c r="CX1142" s="82"/>
      <c r="CY1142" s="82"/>
      <c r="CZ1142" s="82"/>
      <c r="DA1142" s="82"/>
      <c r="DB1142" s="82"/>
      <c r="DC1142" s="82"/>
      <c r="DD1142" s="82"/>
      <c r="DE1142" s="82"/>
      <c r="DF1142" s="82"/>
      <c r="DG1142" s="82"/>
    </row>
    <row r="1143" spans="2:111" ht="9" customHeight="1">
      <c r="B1143" s="229"/>
      <c r="C1143" s="229"/>
      <c r="D1143" s="229"/>
      <c r="E1143" s="229"/>
      <c r="F1143" s="229"/>
      <c r="G1143" s="229"/>
      <c r="H1143" s="229"/>
      <c r="I1143" s="229"/>
      <c r="J1143" s="229"/>
      <c r="K1143" s="229"/>
      <c r="L1143" s="229"/>
      <c r="M1143" s="229"/>
      <c r="N1143" s="229"/>
      <c r="P1143" s="230"/>
      <c r="Q1143" s="230"/>
      <c r="R1143" s="230"/>
      <c r="S1143" s="230"/>
      <c r="T1143" s="230"/>
      <c r="U1143" s="230"/>
      <c r="V1143" s="230"/>
      <c r="W1143" s="230"/>
      <c r="X1143" s="230"/>
      <c r="Y1143" s="230"/>
      <c r="Z1143" s="230"/>
      <c r="AA1143" s="230"/>
      <c r="AB1143" s="230"/>
      <c r="AC1143" s="230"/>
      <c r="AD1143" s="230"/>
      <c r="AE1143" s="230"/>
      <c r="AF1143" s="230"/>
      <c r="AG1143" s="230"/>
      <c r="AH1143" s="230"/>
      <c r="AI1143" s="230"/>
      <c r="AJ1143" s="230"/>
      <c r="AK1143" s="230"/>
      <c r="AL1143" s="230"/>
      <c r="AM1143" s="230"/>
      <c r="AN1143" s="230"/>
      <c r="AO1143" s="230"/>
      <c r="AP1143" s="230"/>
      <c r="AQ1143" s="230"/>
      <c r="AS1143" s="231"/>
      <c r="AT1143" s="231"/>
      <c r="AU1143" s="231"/>
      <c r="AV1143" s="231"/>
      <c r="AW1143" s="231"/>
      <c r="AX1143" s="231"/>
      <c r="AY1143" s="231"/>
      <c r="AZ1143" s="231"/>
      <c r="BA1143" s="231"/>
      <c r="BC1143" s="82"/>
      <c r="BD1143" s="82"/>
      <c r="BE1143" s="82"/>
      <c r="BF1143" s="82"/>
      <c r="BG1143" s="82"/>
      <c r="BH1143" s="82"/>
      <c r="BI1143" s="82"/>
      <c r="BJ1143" s="82"/>
      <c r="BK1143" s="82"/>
      <c r="BL1143" s="82"/>
      <c r="BM1143" s="82"/>
      <c r="BN1143" s="82"/>
      <c r="BO1143" s="82"/>
      <c r="BP1143" s="82"/>
      <c r="BQ1143" s="82"/>
      <c r="BR1143" s="82"/>
      <c r="BS1143" s="82"/>
      <c r="BT1143" s="82"/>
      <c r="BU1143" s="82"/>
      <c r="BV1143" s="82"/>
      <c r="BW1143" s="82"/>
      <c r="BX1143" s="82"/>
      <c r="BY1143" s="82"/>
      <c r="BZ1143" s="82"/>
      <c r="CA1143" s="82"/>
      <c r="CB1143" s="82"/>
      <c r="CC1143" s="82"/>
      <c r="CD1143" s="82"/>
      <c r="CE1143" s="82"/>
      <c r="CF1143" s="82"/>
      <c r="CG1143" s="82"/>
      <c r="CH1143" s="82"/>
      <c r="CI1143" s="82"/>
      <c r="CJ1143" s="82"/>
      <c r="CK1143" s="82"/>
      <c r="CL1143" s="82"/>
      <c r="CM1143" s="82"/>
      <c r="CN1143" s="82"/>
      <c r="CO1143" s="82"/>
      <c r="CP1143" s="82"/>
      <c r="CQ1143" s="82"/>
      <c r="CR1143" s="82"/>
      <c r="CS1143" s="82"/>
      <c r="CT1143" s="82"/>
      <c r="CU1143" s="82"/>
      <c r="CV1143" s="82"/>
      <c r="CW1143" s="82"/>
      <c r="CX1143" s="82"/>
      <c r="CY1143" s="82"/>
      <c r="CZ1143" s="82"/>
      <c r="DA1143" s="82"/>
      <c r="DB1143" s="82"/>
      <c r="DC1143" s="82"/>
      <c r="DD1143" s="82"/>
      <c r="DE1143" s="82"/>
      <c r="DF1143" s="82"/>
      <c r="DG1143" s="82"/>
    </row>
    <row r="1144" spans="2:111" ht="9" customHeight="1">
      <c r="B1144" s="229"/>
      <c r="C1144" s="229"/>
      <c r="D1144" s="229"/>
      <c r="E1144" s="229"/>
      <c r="F1144" s="229"/>
      <c r="G1144" s="229"/>
      <c r="H1144" s="229"/>
      <c r="I1144" s="229"/>
      <c r="J1144" s="229"/>
      <c r="K1144" s="229"/>
      <c r="L1144" s="229"/>
      <c r="M1144" s="229"/>
      <c r="N1144" s="229"/>
      <c r="P1144" s="230"/>
      <c r="Q1144" s="230"/>
      <c r="R1144" s="230"/>
      <c r="S1144" s="230"/>
      <c r="T1144" s="230"/>
      <c r="U1144" s="230"/>
      <c r="V1144" s="230"/>
      <c r="W1144" s="230"/>
      <c r="X1144" s="230"/>
      <c r="Y1144" s="230"/>
      <c r="Z1144" s="230"/>
      <c r="AA1144" s="230"/>
      <c r="AB1144" s="230"/>
      <c r="AC1144" s="230"/>
      <c r="AD1144" s="230"/>
      <c r="AE1144" s="230"/>
      <c r="AF1144" s="230"/>
      <c r="AG1144" s="230"/>
      <c r="AH1144" s="230"/>
      <c r="AI1144" s="230"/>
      <c r="AJ1144" s="230"/>
      <c r="AK1144" s="230"/>
      <c r="AL1144" s="230"/>
      <c r="AM1144" s="230"/>
      <c r="AN1144" s="230"/>
      <c r="AO1144" s="230"/>
      <c r="AP1144" s="230"/>
      <c r="AQ1144" s="230"/>
      <c r="AS1144" s="231"/>
      <c r="AT1144" s="231"/>
      <c r="AU1144" s="231"/>
      <c r="AV1144" s="231"/>
      <c r="AW1144" s="231"/>
      <c r="AX1144" s="231"/>
      <c r="AY1144" s="231"/>
      <c r="AZ1144" s="231"/>
      <c r="BA1144" s="231"/>
      <c r="BC1144" s="82"/>
      <c r="BD1144" s="82"/>
      <c r="BE1144" s="82"/>
      <c r="BF1144" s="82"/>
      <c r="BG1144" s="82"/>
      <c r="BH1144" s="82"/>
      <c r="BI1144" s="82"/>
      <c r="BJ1144" s="82"/>
      <c r="BK1144" s="82"/>
      <c r="BL1144" s="82"/>
      <c r="BM1144" s="82"/>
      <c r="BN1144" s="82"/>
      <c r="BO1144" s="82"/>
      <c r="BP1144" s="82"/>
      <c r="BQ1144" s="82"/>
      <c r="BR1144" s="82"/>
      <c r="BS1144" s="82"/>
      <c r="BT1144" s="82"/>
      <c r="BU1144" s="82"/>
      <c r="BV1144" s="82"/>
      <c r="BW1144" s="82"/>
      <c r="BX1144" s="82"/>
      <c r="BY1144" s="82"/>
      <c r="BZ1144" s="82"/>
      <c r="CA1144" s="82"/>
      <c r="CB1144" s="82"/>
      <c r="CC1144" s="82"/>
      <c r="CD1144" s="82"/>
      <c r="CE1144" s="82"/>
      <c r="CF1144" s="82"/>
      <c r="CG1144" s="82"/>
      <c r="CH1144" s="82"/>
      <c r="CI1144" s="82"/>
      <c r="CJ1144" s="82"/>
      <c r="CK1144" s="82"/>
      <c r="CL1144" s="82"/>
      <c r="CM1144" s="82"/>
      <c r="CN1144" s="82"/>
      <c r="CO1144" s="82"/>
      <c r="CP1144" s="82"/>
      <c r="CQ1144" s="82"/>
      <c r="CR1144" s="82"/>
      <c r="CS1144" s="82"/>
      <c r="CT1144" s="82"/>
      <c r="CU1144" s="82"/>
      <c r="CV1144" s="82"/>
      <c r="CW1144" s="82"/>
      <c r="CX1144" s="82"/>
      <c r="CY1144" s="82"/>
      <c r="CZ1144" s="82"/>
      <c r="DA1144" s="82"/>
      <c r="DB1144" s="82"/>
      <c r="DC1144" s="82"/>
      <c r="DD1144" s="82"/>
      <c r="DE1144" s="82"/>
      <c r="DF1144" s="82"/>
      <c r="DG1144" s="82"/>
    </row>
    <row r="1145" spans="2:111" ht="12" customHeight="1">
      <c r="BC1145" s="82"/>
      <c r="BD1145" s="82"/>
      <c r="BE1145" s="82"/>
      <c r="BF1145" s="82"/>
      <c r="BG1145" s="82"/>
      <c r="BH1145" s="82"/>
      <c r="BI1145" s="82"/>
      <c r="BJ1145" s="82"/>
      <c r="BK1145" s="82"/>
      <c r="BL1145" s="82"/>
      <c r="BM1145" s="82"/>
      <c r="BN1145" s="82"/>
      <c r="BO1145" s="82"/>
      <c r="BP1145" s="82"/>
      <c r="BQ1145" s="82"/>
      <c r="BR1145" s="82"/>
      <c r="BS1145" s="82"/>
      <c r="BT1145" s="82"/>
      <c r="BU1145" s="82"/>
      <c r="BV1145" s="82"/>
      <c r="BW1145" s="82"/>
      <c r="BX1145" s="82"/>
      <c r="BY1145" s="82"/>
      <c r="BZ1145" s="82"/>
      <c r="CA1145" s="82"/>
      <c r="CB1145" s="82"/>
      <c r="CC1145" s="82"/>
      <c r="CD1145" s="82"/>
      <c r="CE1145" s="82"/>
      <c r="CF1145" s="82"/>
      <c r="CG1145" s="82"/>
      <c r="CH1145" s="82"/>
      <c r="CI1145" s="82"/>
      <c r="CJ1145" s="82"/>
      <c r="CK1145" s="82"/>
      <c r="CL1145" s="82"/>
      <c r="CM1145" s="82"/>
      <c r="CN1145" s="82"/>
      <c r="CO1145" s="82"/>
      <c r="CP1145" s="82"/>
      <c r="CQ1145" s="82"/>
      <c r="CR1145" s="82"/>
      <c r="CS1145" s="82"/>
      <c r="CT1145" s="82"/>
      <c r="CU1145" s="82"/>
      <c r="CV1145" s="82"/>
      <c r="CW1145" s="82"/>
      <c r="CX1145" s="82"/>
      <c r="CY1145" s="82"/>
      <c r="CZ1145" s="82"/>
      <c r="DA1145" s="82"/>
      <c r="DB1145" s="82"/>
      <c r="DC1145" s="82"/>
      <c r="DD1145" s="82"/>
      <c r="DE1145" s="82"/>
      <c r="DF1145" s="82"/>
      <c r="DG1145" s="82"/>
    </row>
    <row r="1146" spans="2:111" ht="9" customHeight="1">
      <c r="B1146" s="232" t="str">
        <f>IF($U$1120&gt;=2,"Etapa 5.2","")</f>
        <v>Etapa 5.2</v>
      </c>
      <c r="C1146" s="232"/>
      <c r="D1146" s="232"/>
      <c r="E1146" s="232"/>
      <c r="F1146" s="232"/>
      <c r="G1146" s="232"/>
      <c r="I1146" s="233" t="s">
        <v>530</v>
      </c>
      <c r="J1146" s="233"/>
      <c r="K1146" s="233"/>
      <c r="L1146" s="233"/>
      <c r="M1146" s="233"/>
      <c r="N1146" s="233"/>
      <c r="O1146" s="233"/>
      <c r="P1146" s="233"/>
      <c r="Q1146" s="233"/>
      <c r="R1146" s="233"/>
      <c r="S1146" s="233"/>
      <c r="T1146" s="233"/>
      <c r="U1146" s="233"/>
      <c r="V1146" s="233"/>
      <c r="W1146" s="233"/>
      <c r="X1146" s="233"/>
      <c r="Y1146" s="233"/>
      <c r="Z1146" s="233"/>
      <c r="AA1146" s="233"/>
      <c r="AB1146" s="233"/>
      <c r="AC1146" s="233"/>
      <c r="AD1146" s="233"/>
      <c r="AE1146" s="233"/>
      <c r="AF1146" s="233"/>
      <c r="AG1146" s="233"/>
      <c r="AH1146" s="233"/>
      <c r="AI1146" s="233"/>
      <c r="AJ1146" s="233"/>
      <c r="AK1146" s="233"/>
      <c r="AL1146" s="233"/>
      <c r="AM1146" s="233"/>
      <c r="AN1146" s="233"/>
      <c r="AO1146" s="233"/>
      <c r="AP1146" s="233"/>
      <c r="AQ1146" s="233"/>
      <c r="AS1146" s="234">
        <f>IF(SUM(AS1152:BA1167)=0,"",SUM(AS1152:BA1167))</f>
        <v>48685</v>
      </c>
      <c r="AT1146" s="234"/>
      <c r="AU1146" s="234"/>
      <c r="AV1146" s="234"/>
      <c r="AW1146" s="234"/>
      <c r="AX1146" s="234"/>
      <c r="AY1146" s="234"/>
      <c r="AZ1146" s="234"/>
      <c r="BA1146" s="234"/>
      <c r="BC1146" s="82"/>
      <c r="BD1146" s="82"/>
      <c r="BE1146" s="82"/>
      <c r="BF1146" s="82"/>
      <c r="BG1146" s="82"/>
      <c r="BH1146" s="82"/>
      <c r="BI1146" s="82"/>
      <c r="BJ1146" s="82"/>
      <c r="BK1146" s="82"/>
      <c r="BL1146" s="82"/>
      <c r="BM1146" s="82"/>
      <c r="BN1146" s="82"/>
      <c r="BO1146" s="82"/>
      <c r="BP1146" s="82"/>
      <c r="BQ1146" s="82"/>
      <c r="BR1146" s="82"/>
      <c r="BS1146" s="82"/>
      <c r="BT1146" s="82"/>
      <c r="BU1146" s="82"/>
      <c r="BV1146" s="82"/>
      <c r="BW1146" s="82"/>
      <c r="BX1146" s="82"/>
      <c r="BY1146" s="82"/>
      <c r="BZ1146" s="82"/>
      <c r="CA1146" s="82"/>
      <c r="CB1146" s="82"/>
      <c r="CC1146" s="82"/>
      <c r="CD1146" s="82"/>
      <c r="CE1146" s="82"/>
      <c r="CF1146" s="82"/>
      <c r="CG1146" s="82"/>
      <c r="CH1146" s="82"/>
      <c r="CI1146" s="82"/>
      <c r="CJ1146" s="82"/>
      <c r="CK1146" s="82"/>
      <c r="CL1146" s="82"/>
      <c r="CM1146" s="82"/>
      <c r="CN1146" s="82"/>
      <c r="CO1146" s="82"/>
      <c r="CP1146" s="82"/>
      <c r="CQ1146" s="82"/>
      <c r="CR1146" s="82"/>
      <c r="CS1146" s="82"/>
      <c r="CT1146" s="82"/>
      <c r="CU1146" s="82"/>
      <c r="CV1146" s="82"/>
      <c r="CW1146" s="82"/>
      <c r="CX1146" s="82"/>
      <c r="CY1146" s="82"/>
      <c r="CZ1146" s="82"/>
      <c r="DA1146" s="82"/>
      <c r="DB1146" s="82"/>
      <c r="DC1146" s="82"/>
      <c r="DD1146" s="82"/>
      <c r="DE1146" s="82"/>
      <c r="DF1146" s="82"/>
      <c r="DG1146" s="82"/>
    </row>
    <row r="1147" spans="2:111" ht="9" customHeight="1">
      <c r="B1147" s="232"/>
      <c r="C1147" s="232"/>
      <c r="D1147" s="232"/>
      <c r="E1147" s="232"/>
      <c r="F1147" s="232"/>
      <c r="G1147" s="232"/>
      <c r="I1147" s="233"/>
      <c r="J1147" s="233"/>
      <c r="K1147" s="233"/>
      <c r="L1147" s="233"/>
      <c r="M1147" s="233"/>
      <c r="N1147" s="233"/>
      <c r="O1147" s="233"/>
      <c r="P1147" s="233"/>
      <c r="Q1147" s="233"/>
      <c r="R1147" s="233"/>
      <c r="S1147" s="233"/>
      <c r="T1147" s="233"/>
      <c r="U1147" s="233"/>
      <c r="V1147" s="233"/>
      <c r="W1147" s="233"/>
      <c r="X1147" s="233"/>
      <c r="Y1147" s="233"/>
      <c r="Z1147" s="233"/>
      <c r="AA1147" s="233"/>
      <c r="AB1147" s="233"/>
      <c r="AC1147" s="233"/>
      <c r="AD1147" s="233"/>
      <c r="AE1147" s="233"/>
      <c r="AF1147" s="233"/>
      <c r="AG1147" s="233"/>
      <c r="AH1147" s="233"/>
      <c r="AI1147" s="233"/>
      <c r="AJ1147" s="233"/>
      <c r="AK1147" s="233"/>
      <c r="AL1147" s="233"/>
      <c r="AM1147" s="233"/>
      <c r="AN1147" s="233"/>
      <c r="AO1147" s="233"/>
      <c r="AP1147" s="233"/>
      <c r="AQ1147" s="233"/>
      <c r="AS1147" s="234"/>
      <c r="AT1147" s="234"/>
      <c r="AU1147" s="234"/>
      <c r="AV1147" s="234"/>
      <c r="AW1147" s="234"/>
      <c r="AX1147" s="234"/>
      <c r="AY1147" s="234"/>
      <c r="AZ1147" s="234"/>
      <c r="BA1147" s="234"/>
      <c r="BC1147" s="82"/>
      <c r="BD1147" s="82"/>
      <c r="BE1147" s="82"/>
      <c r="BF1147" s="82"/>
      <c r="BG1147" s="82"/>
      <c r="BH1147" s="82"/>
      <c r="BI1147" s="82"/>
      <c r="BJ1147" s="82"/>
      <c r="BK1147" s="82"/>
      <c r="BL1147" s="82"/>
      <c r="BM1147" s="82"/>
      <c r="BN1147" s="82"/>
      <c r="BO1147" s="82"/>
      <c r="BP1147" s="82"/>
      <c r="BQ1147" s="82"/>
      <c r="BR1147" s="82"/>
      <c r="BS1147" s="82"/>
      <c r="BT1147" s="82"/>
      <c r="BU1147" s="82"/>
      <c r="BV1147" s="82"/>
      <c r="BW1147" s="82"/>
      <c r="BX1147" s="82"/>
      <c r="BY1147" s="82"/>
      <c r="BZ1147" s="82"/>
      <c r="CA1147" s="82"/>
      <c r="CB1147" s="82"/>
      <c r="CC1147" s="82"/>
      <c r="CD1147" s="82"/>
      <c r="CE1147" s="82"/>
      <c r="CF1147" s="82"/>
      <c r="CG1147" s="82"/>
      <c r="CH1147" s="82"/>
      <c r="CI1147" s="82"/>
      <c r="CJ1147" s="82"/>
      <c r="CK1147" s="82"/>
      <c r="CL1147" s="82"/>
      <c r="CM1147" s="82"/>
      <c r="CN1147" s="82"/>
      <c r="CO1147" s="82"/>
      <c r="CP1147" s="82"/>
      <c r="CQ1147" s="82"/>
      <c r="CR1147" s="82"/>
      <c r="CS1147" s="82"/>
      <c r="CT1147" s="82"/>
      <c r="CU1147" s="82"/>
      <c r="CV1147" s="82"/>
      <c r="CW1147" s="82"/>
      <c r="CX1147" s="82"/>
      <c r="CY1147" s="82"/>
      <c r="CZ1147" s="82"/>
      <c r="DA1147" s="82"/>
      <c r="DB1147" s="82"/>
      <c r="DC1147" s="82"/>
      <c r="DD1147" s="82"/>
      <c r="DE1147" s="82"/>
      <c r="DF1147" s="82"/>
      <c r="DG1147" s="82"/>
    </row>
    <row r="1148" spans="2:111" ht="4.5" customHeight="1">
      <c r="BC1148" s="82"/>
      <c r="BD1148" s="82"/>
      <c r="BE1148" s="82"/>
      <c r="BF1148" s="82"/>
      <c r="BG1148" s="82"/>
      <c r="BH1148" s="82"/>
      <c r="BI1148" s="82"/>
      <c r="BJ1148" s="82"/>
      <c r="BK1148" s="82"/>
      <c r="BL1148" s="82"/>
      <c r="BM1148" s="82"/>
      <c r="BN1148" s="82"/>
      <c r="BO1148" s="82"/>
      <c r="BP1148" s="82"/>
      <c r="BQ1148" s="82"/>
      <c r="BR1148" s="82"/>
      <c r="BS1148" s="82"/>
      <c r="BT1148" s="82"/>
      <c r="BU1148" s="82"/>
      <c r="BV1148" s="82"/>
      <c r="BW1148" s="82"/>
      <c r="BX1148" s="82"/>
      <c r="BY1148" s="82"/>
      <c r="BZ1148" s="82"/>
      <c r="CA1148" s="82"/>
      <c r="CB1148" s="82"/>
      <c r="CC1148" s="82"/>
      <c r="CD1148" s="82"/>
      <c r="CE1148" s="82"/>
      <c r="CF1148" s="82"/>
      <c r="CG1148" s="82"/>
      <c r="CH1148" s="82"/>
      <c r="CI1148" s="82"/>
      <c r="CJ1148" s="82"/>
      <c r="CK1148" s="82"/>
      <c r="CL1148" s="82"/>
      <c r="CM1148" s="82"/>
      <c r="CN1148" s="82"/>
      <c r="CO1148" s="82"/>
      <c r="CP1148" s="82"/>
      <c r="CQ1148" s="82"/>
      <c r="CR1148" s="82"/>
      <c r="CS1148" s="82"/>
      <c r="CT1148" s="82"/>
      <c r="CU1148" s="82"/>
      <c r="CV1148" s="82"/>
      <c r="CW1148" s="82"/>
      <c r="CX1148" s="82"/>
      <c r="CY1148" s="82"/>
      <c r="CZ1148" s="82"/>
      <c r="DA1148" s="82"/>
      <c r="DB1148" s="82"/>
      <c r="DC1148" s="82"/>
      <c r="DD1148" s="82"/>
      <c r="DE1148" s="82"/>
      <c r="DF1148" s="82"/>
      <c r="DG1148" s="82"/>
    </row>
    <row r="1149" spans="2:111" ht="9" customHeight="1">
      <c r="I1149" s="229" t="str">
        <f>IF($U$1120&gt;=2,"Início:","")</f>
        <v>Início:</v>
      </c>
      <c r="J1149" s="229"/>
      <c r="K1149" s="229"/>
      <c r="L1149" s="229"/>
      <c r="M1149" s="229"/>
      <c r="N1149" s="229"/>
      <c r="P1149" s="235">
        <v>44805</v>
      </c>
      <c r="Q1149" s="235"/>
      <c r="R1149" s="235"/>
      <c r="S1149" s="235"/>
      <c r="T1149" s="235"/>
      <c r="U1149" s="235"/>
      <c r="V1149" s="235"/>
      <c r="W1149" s="235"/>
      <c r="Y1149" s="229" t="str">
        <f>IF($U$1120&gt;=2,"Término:","")</f>
        <v>Término:</v>
      </c>
      <c r="Z1149" s="229"/>
      <c r="AA1149" s="229"/>
      <c r="AB1149" s="229"/>
      <c r="AC1149" s="229"/>
      <c r="AD1149" s="229"/>
      <c r="AF1149" s="235">
        <v>44866</v>
      </c>
      <c r="AG1149" s="235"/>
      <c r="AH1149" s="235"/>
      <c r="AI1149" s="235"/>
      <c r="AJ1149" s="235"/>
      <c r="AK1149" s="235"/>
      <c r="AL1149" s="235"/>
      <c r="AM1149" s="235"/>
      <c r="AW1149" s="236" t="str">
        <f>IF($U$1120&gt;=2,"Valor (R$):","")</f>
        <v>Valor (R$):</v>
      </c>
      <c r="AX1149" s="236"/>
      <c r="AY1149" s="236"/>
      <c r="AZ1149" s="236"/>
      <c r="BA1149" s="236"/>
      <c r="BC1149" s="82"/>
      <c r="BD1149" s="82"/>
      <c r="BE1149" s="82"/>
      <c r="BF1149" s="82"/>
      <c r="BG1149" s="82"/>
      <c r="BH1149" s="82"/>
      <c r="BI1149" s="82"/>
      <c r="BJ1149" s="82"/>
      <c r="BK1149" s="82"/>
      <c r="BL1149" s="82"/>
      <c r="BM1149" s="82"/>
      <c r="BN1149" s="82"/>
      <c r="BO1149" s="82"/>
      <c r="BP1149" s="82"/>
      <c r="BQ1149" s="82"/>
      <c r="BR1149" s="82"/>
      <c r="BS1149" s="82"/>
      <c r="BT1149" s="82"/>
      <c r="BU1149" s="82"/>
      <c r="BV1149" s="82"/>
      <c r="BW1149" s="82"/>
      <c r="BX1149" s="82"/>
      <c r="BY1149" s="82"/>
      <c r="BZ1149" s="82"/>
      <c r="CA1149" s="82"/>
      <c r="CB1149" s="82"/>
      <c r="CC1149" s="82"/>
      <c r="CD1149" s="82"/>
      <c r="CE1149" s="82"/>
      <c r="CF1149" s="82"/>
      <c r="CG1149" s="82"/>
      <c r="CH1149" s="82"/>
      <c r="CI1149" s="82"/>
      <c r="CJ1149" s="82"/>
      <c r="CK1149" s="82"/>
      <c r="CL1149" s="82"/>
      <c r="CM1149" s="82"/>
      <c r="CN1149" s="82"/>
      <c r="CO1149" s="82"/>
      <c r="CP1149" s="82"/>
      <c r="CQ1149" s="82"/>
      <c r="CR1149" s="82"/>
      <c r="CS1149" s="82"/>
      <c r="CT1149" s="82"/>
      <c r="CU1149" s="82"/>
      <c r="CV1149" s="82"/>
      <c r="CW1149" s="82"/>
      <c r="CX1149" s="82"/>
      <c r="CY1149" s="82"/>
      <c r="CZ1149" s="82"/>
      <c r="DA1149" s="82"/>
      <c r="DB1149" s="82"/>
      <c r="DC1149" s="82"/>
      <c r="DD1149" s="82"/>
      <c r="DE1149" s="82"/>
      <c r="DF1149" s="82"/>
      <c r="DG1149" s="82"/>
    </row>
    <row r="1150" spans="2:111" ht="9" customHeight="1">
      <c r="I1150" s="229"/>
      <c r="J1150" s="229"/>
      <c r="K1150" s="229"/>
      <c r="L1150" s="229"/>
      <c r="M1150" s="229"/>
      <c r="N1150" s="229"/>
      <c r="P1150" s="235"/>
      <c r="Q1150" s="235"/>
      <c r="R1150" s="235"/>
      <c r="S1150" s="235"/>
      <c r="T1150" s="235"/>
      <c r="U1150" s="235"/>
      <c r="V1150" s="235"/>
      <c r="W1150" s="235"/>
      <c r="Y1150" s="229"/>
      <c r="Z1150" s="229"/>
      <c r="AA1150" s="229"/>
      <c r="AB1150" s="229"/>
      <c r="AC1150" s="229"/>
      <c r="AD1150" s="229"/>
      <c r="AF1150" s="235"/>
      <c r="AG1150" s="235"/>
      <c r="AH1150" s="235"/>
      <c r="AI1150" s="235"/>
      <c r="AJ1150" s="235"/>
      <c r="AK1150" s="235"/>
      <c r="AL1150" s="235"/>
      <c r="AM1150" s="235"/>
      <c r="AW1150" s="236"/>
      <c r="AX1150" s="236"/>
      <c r="AY1150" s="236"/>
      <c r="AZ1150" s="236"/>
      <c r="BA1150" s="236"/>
      <c r="BC1150" s="82"/>
      <c r="BD1150" s="82"/>
      <c r="BE1150" s="82"/>
      <c r="BF1150" s="82"/>
      <c r="BG1150" s="82"/>
      <c r="BH1150" s="82"/>
      <c r="BI1150" s="82"/>
      <c r="BJ1150" s="82"/>
      <c r="BK1150" s="82"/>
      <c r="BL1150" s="82"/>
      <c r="BM1150" s="82"/>
      <c r="BN1150" s="82"/>
      <c r="BO1150" s="82"/>
      <c r="BP1150" s="82"/>
      <c r="BQ1150" s="82"/>
      <c r="BR1150" s="82"/>
      <c r="BS1150" s="82"/>
      <c r="BT1150" s="82"/>
      <c r="BU1150" s="82"/>
      <c r="BV1150" s="82"/>
      <c r="BW1150" s="82"/>
      <c r="BX1150" s="82"/>
      <c r="BY1150" s="82"/>
      <c r="BZ1150" s="82"/>
      <c r="CA1150" s="82"/>
      <c r="CB1150" s="82"/>
      <c r="CC1150" s="82"/>
      <c r="CD1150" s="82"/>
      <c r="CE1150" s="82"/>
      <c r="CF1150" s="82"/>
      <c r="CG1150" s="82"/>
      <c r="CH1150" s="82"/>
      <c r="CI1150" s="82"/>
      <c r="CJ1150" s="82"/>
      <c r="CK1150" s="82"/>
      <c r="CL1150" s="82"/>
      <c r="CM1150" s="82"/>
      <c r="CN1150" s="82"/>
      <c r="CO1150" s="82"/>
      <c r="CP1150" s="82"/>
      <c r="CQ1150" s="82"/>
      <c r="CR1150" s="82"/>
      <c r="CS1150" s="82"/>
      <c r="CT1150" s="82"/>
      <c r="CU1150" s="82"/>
      <c r="CV1150" s="82"/>
      <c r="CW1150" s="82"/>
      <c r="CX1150" s="82"/>
      <c r="CY1150" s="82"/>
      <c r="CZ1150" s="82"/>
      <c r="DA1150" s="82"/>
      <c r="DB1150" s="82"/>
      <c r="DC1150" s="82"/>
      <c r="DD1150" s="82"/>
      <c r="DE1150" s="82"/>
      <c r="DF1150" s="82"/>
      <c r="DG1150" s="82"/>
    </row>
    <row r="1151" spans="2:111" ht="4.5" customHeight="1">
      <c r="BC1151" s="82"/>
      <c r="BD1151" s="82"/>
      <c r="BE1151" s="82"/>
      <c r="BF1151" s="82"/>
      <c r="BG1151" s="82"/>
      <c r="BH1151" s="82"/>
      <c r="BI1151" s="82"/>
      <c r="BJ1151" s="82"/>
      <c r="BK1151" s="82"/>
      <c r="BL1151" s="82"/>
      <c r="BM1151" s="82"/>
      <c r="BN1151" s="82"/>
      <c r="BO1151" s="82"/>
      <c r="BP1151" s="82"/>
      <c r="BQ1151" s="82"/>
      <c r="BR1151" s="82"/>
      <c r="BS1151" s="82"/>
      <c r="BT1151" s="82"/>
      <c r="BU1151" s="82"/>
      <c r="BV1151" s="82"/>
      <c r="BW1151" s="82"/>
      <c r="BX1151" s="82"/>
      <c r="BY1151" s="82"/>
      <c r="BZ1151" s="82"/>
      <c r="CA1151" s="82"/>
      <c r="CB1151" s="82"/>
      <c r="CC1151" s="82"/>
      <c r="CD1151" s="82"/>
      <c r="CE1151" s="82"/>
      <c r="CF1151" s="82"/>
      <c r="CG1151" s="82"/>
      <c r="CH1151" s="82"/>
      <c r="CI1151" s="82"/>
      <c r="CJ1151" s="82"/>
      <c r="CK1151" s="82"/>
      <c r="CL1151" s="82"/>
      <c r="CM1151" s="82"/>
      <c r="CN1151" s="82"/>
      <c r="CO1151" s="82"/>
      <c r="CP1151" s="82"/>
      <c r="CQ1151" s="82"/>
      <c r="CR1151" s="82"/>
      <c r="CS1151" s="82"/>
      <c r="CT1151" s="82"/>
      <c r="CU1151" s="82"/>
      <c r="CV1151" s="82"/>
      <c r="CW1151" s="82"/>
      <c r="CX1151" s="82"/>
      <c r="CY1151" s="82"/>
      <c r="CZ1151" s="82"/>
      <c r="DA1151" s="82"/>
      <c r="DB1151" s="82"/>
      <c r="DC1151" s="82"/>
      <c r="DD1151" s="82"/>
      <c r="DE1151" s="82"/>
      <c r="DF1151" s="82"/>
      <c r="DG1151" s="82"/>
    </row>
    <row r="1152" spans="2:111" ht="9" customHeight="1">
      <c r="B1152" s="229" t="str">
        <f>IF($U$1120&gt;=2,"Elementos de Despesa:","")</f>
        <v>Elementos de Despesa:</v>
      </c>
      <c r="C1152" s="229"/>
      <c r="D1152" s="229"/>
      <c r="E1152" s="229"/>
      <c r="F1152" s="229"/>
      <c r="G1152" s="229"/>
      <c r="H1152" s="229"/>
      <c r="I1152" s="229"/>
      <c r="J1152" s="229"/>
      <c r="K1152" s="229"/>
      <c r="L1152" s="229"/>
      <c r="M1152" s="229"/>
      <c r="N1152" s="229"/>
      <c r="P1152" s="230" t="s">
        <v>208</v>
      </c>
      <c r="Q1152" s="230"/>
      <c r="R1152" s="230"/>
      <c r="S1152" s="230"/>
      <c r="T1152" s="230"/>
      <c r="U1152" s="230"/>
      <c r="V1152" s="230"/>
      <c r="W1152" s="230"/>
      <c r="X1152" s="230"/>
      <c r="Y1152" s="230"/>
      <c r="Z1152" s="230"/>
      <c r="AA1152" s="230"/>
      <c r="AB1152" s="230"/>
      <c r="AC1152" s="230"/>
      <c r="AD1152" s="230"/>
      <c r="AE1152" s="230"/>
      <c r="AF1152" s="230"/>
      <c r="AG1152" s="230"/>
      <c r="AH1152" s="230"/>
      <c r="AI1152" s="230"/>
      <c r="AJ1152" s="230"/>
      <c r="AK1152" s="230"/>
      <c r="AL1152" s="230"/>
      <c r="AM1152" s="230"/>
      <c r="AN1152" s="230"/>
      <c r="AO1152" s="230"/>
      <c r="AP1152" s="230"/>
      <c r="AQ1152" s="230"/>
      <c r="AS1152" s="231">
        <v>25935</v>
      </c>
      <c r="AT1152" s="231"/>
      <c r="AU1152" s="231"/>
      <c r="AV1152" s="231"/>
      <c r="AW1152" s="231"/>
      <c r="AX1152" s="231"/>
      <c r="AY1152" s="231"/>
      <c r="AZ1152" s="231"/>
      <c r="BA1152" s="231"/>
      <c r="BC1152" s="82"/>
      <c r="BD1152" s="82"/>
      <c r="BE1152" s="82"/>
      <c r="BF1152" s="82"/>
      <c r="BG1152" s="82"/>
      <c r="BH1152" s="82"/>
      <c r="BI1152" s="82"/>
      <c r="BJ1152" s="82"/>
      <c r="BK1152" s="82"/>
      <c r="BL1152" s="82"/>
      <c r="BM1152" s="82"/>
      <c r="BN1152" s="82"/>
      <c r="BO1152" s="82"/>
      <c r="BP1152" s="82"/>
      <c r="BQ1152" s="82"/>
      <c r="BR1152" s="82"/>
      <c r="BS1152" s="82"/>
      <c r="BT1152" s="82"/>
      <c r="BU1152" s="82"/>
      <c r="BV1152" s="82"/>
      <c r="BW1152" s="82"/>
      <c r="BX1152" s="82"/>
      <c r="BY1152" s="82"/>
      <c r="BZ1152" s="82"/>
      <c r="CA1152" s="82"/>
      <c r="CB1152" s="82"/>
      <c r="CC1152" s="82"/>
      <c r="CD1152" s="82"/>
      <c r="CE1152" s="82"/>
      <c r="CF1152" s="82"/>
      <c r="CG1152" s="82"/>
      <c r="CH1152" s="82"/>
      <c r="CI1152" s="82"/>
      <c r="CJ1152" s="82"/>
      <c r="CK1152" s="82"/>
      <c r="CL1152" s="82"/>
      <c r="CM1152" s="82"/>
      <c r="CN1152" s="82"/>
      <c r="CO1152" s="82"/>
      <c r="CP1152" s="82"/>
      <c r="CQ1152" s="82"/>
      <c r="CR1152" s="82"/>
      <c r="CS1152" s="82"/>
      <c r="CT1152" s="82"/>
      <c r="CU1152" s="82"/>
      <c r="CV1152" s="82"/>
      <c r="CW1152" s="82"/>
      <c r="CX1152" s="82"/>
      <c r="CY1152" s="82"/>
      <c r="CZ1152" s="82"/>
      <c r="DA1152" s="82"/>
      <c r="DB1152" s="82"/>
      <c r="DC1152" s="82"/>
      <c r="DD1152" s="82"/>
      <c r="DE1152" s="82"/>
      <c r="DF1152" s="82"/>
      <c r="DG1152" s="82"/>
    </row>
    <row r="1153" spans="2:111" ht="9" customHeight="1">
      <c r="B1153" s="229"/>
      <c r="C1153" s="229"/>
      <c r="D1153" s="229"/>
      <c r="E1153" s="229"/>
      <c r="F1153" s="229"/>
      <c r="G1153" s="229"/>
      <c r="H1153" s="229"/>
      <c r="I1153" s="229"/>
      <c r="J1153" s="229"/>
      <c r="K1153" s="229"/>
      <c r="L1153" s="229"/>
      <c r="M1153" s="229"/>
      <c r="N1153" s="229"/>
      <c r="P1153" s="230"/>
      <c r="Q1153" s="230"/>
      <c r="R1153" s="230"/>
      <c r="S1153" s="230"/>
      <c r="T1153" s="230"/>
      <c r="U1153" s="230"/>
      <c r="V1153" s="230"/>
      <c r="W1153" s="230"/>
      <c r="X1153" s="230"/>
      <c r="Y1153" s="230"/>
      <c r="Z1153" s="230"/>
      <c r="AA1153" s="230"/>
      <c r="AB1153" s="230"/>
      <c r="AC1153" s="230"/>
      <c r="AD1153" s="230"/>
      <c r="AE1153" s="230"/>
      <c r="AF1153" s="230"/>
      <c r="AG1153" s="230"/>
      <c r="AH1153" s="230"/>
      <c r="AI1153" s="230"/>
      <c r="AJ1153" s="230"/>
      <c r="AK1153" s="230"/>
      <c r="AL1153" s="230"/>
      <c r="AM1153" s="230"/>
      <c r="AN1153" s="230"/>
      <c r="AO1153" s="230"/>
      <c r="AP1153" s="230"/>
      <c r="AQ1153" s="230"/>
      <c r="AS1153" s="231"/>
      <c r="AT1153" s="231"/>
      <c r="AU1153" s="231"/>
      <c r="AV1153" s="231"/>
      <c r="AW1153" s="231"/>
      <c r="AX1153" s="231"/>
      <c r="AY1153" s="231"/>
      <c r="AZ1153" s="231"/>
      <c r="BA1153" s="231"/>
      <c r="BC1153" s="82"/>
      <c r="BD1153" s="82"/>
      <c r="BE1153" s="82"/>
      <c r="BF1153" s="82"/>
      <c r="BG1153" s="82"/>
      <c r="BH1153" s="82"/>
      <c r="BI1153" s="82"/>
      <c r="BJ1153" s="82"/>
      <c r="BK1153" s="82"/>
      <c r="BL1153" s="82"/>
      <c r="BM1153" s="82"/>
      <c r="BN1153" s="82"/>
      <c r="BO1153" s="82"/>
      <c r="BP1153" s="82"/>
      <c r="BQ1153" s="82"/>
      <c r="BR1153" s="82"/>
      <c r="BS1153" s="82"/>
      <c r="BT1153" s="82"/>
      <c r="BU1153" s="82"/>
      <c r="BV1153" s="82"/>
      <c r="BW1153" s="82"/>
      <c r="BX1153" s="82"/>
      <c r="BY1153" s="82"/>
      <c r="BZ1153" s="82"/>
      <c r="CA1153" s="82"/>
      <c r="CB1153" s="82"/>
      <c r="CC1153" s="82"/>
      <c r="CD1153" s="82"/>
      <c r="CE1153" s="82"/>
      <c r="CF1153" s="82"/>
      <c r="CG1153" s="82"/>
      <c r="CH1153" s="82"/>
      <c r="CI1153" s="82"/>
      <c r="CJ1153" s="82"/>
      <c r="CK1153" s="82"/>
      <c r="CL1153" s="82"/>
      <c r="CM1153" s="82"/>
      <c r="CN1153" s="82"/>
      <c r="CO1153" s="82"/>
      <c r="CP1153" s="82"/>
      <c r="CQ1153" s="82"/>
      <c r="CR1153" s="82"/>
      <c r="CS1153" s="82"/>
      <c r="CT1153" s="82"/>
      <c r="CU1153" s="82"/>
      <c r="CV1153" s="82"/>
      <c r="CW1153" s="82"/>
      <c r="CX1153" s="82"/>
      <c r="CY1153" s="82"/>
      <c r="CZ1153" s="82"/>
      <c r="DA1153" s="82"/>
      <c r="DB1153" s="82"/>
      <c r="DC1153" s="82"/>
      <c r="DD1153" s="82"/>
      <c r="DE1153" s="82"/>
      <c r="DF1153" s="82"/>
      <c r="DG1153" s="82"/>
    </row>
    <row r="1154" spans="2:111" ht="9" customHeight="1">
      <c r="B1154" s="229"/>
      <c r="C1154" s="229"/>
      <c r="D1154" s="229"/>
      <c r="E1154" s="229"/>
      <c r="F1154" s="229"/>
      <c r="G1154" s="229"/>
      <c r="H1154" s="229"/>
      <c r="I1154" s="229"/>
      <c r="J1154" s="229"/>
      <c r="K1154" s="229"/>
      <c r="L1154" s="229"/>
      <c r="M1154" s="229"/>
      <c r="N1154" s="229"/>
      <c r="P1154" s="230" t="s">
        <v>216</v>
      </c>
      <c r="Q1154" s="230"/>
      <c r="R1154" s="230"/>
      <c r="S1154" s="230"/>
      <c r="T1154" s="230"/>
      <c r="U1154" s="230"/>
      <c r="V1154" s="230"/>
      <c r="W1154" s="230"/>
      <c r="X1154" s="230"/>
      <c r="Y1154" s="230"/>
      <c r="Z1154" s="230"/>
      <c r="AA1154" s="230"/>
      <c r="AB1154" s="230"/>
      <c r="AC1154" s="230"/>
      <c r="AD1154" s="230"/>
      <c r="AE1154" s="230"/>
      <c r="AF1154" s="230"/>
      <c r="AG1154" s="230"/>
      <c r="AH1154" s="230"/>
      <c r="AI1154" s="230"/>
      <c r="AJ1154" s="230"/>
      <c r="AK1154" s="230"/>
      <c r="AL1154" s="230"/>
      <c r="AM1154" s="230"/>
      <c r="AN1154" s="230"/>
      <c r="AO1154" s="230"/>
      <c r="AP1154" s="230"/>
      <c r="AQ1154" s="230"/>
      <c r="AS1154" s="231">
        <v>22750</v>
      </c>
      <c r="AT1154" s="231"/>
      <c r="AU1154" s="231"/>
      <c r="AV1154" s="231"/>
      <c r="AW1154" s="231"/>
      <c r="AX1154" s="231"/>
      <c r="AY1154" s="231"/>
      <c r="AZ1154" s="231"/>
      <c r="BA1154" s="231"/>
      <c r="BC1154" s="82"/>
      <c r="BD1154" s="82"/>
      <c r="BE1154" s="82"/>
      <c r="BF1154" s="82"/>
      <c r="BG1154" s="82"/>
      <c r="BH1154" s="82"/>
      <c r="BI1154" s="82"/>
      <c r="BJ1154" s="82"/>
      <c r="BK1154" s="82"/>
      <c r="BL1154" s="82"/>
      <c r="BM1154" s="82"/>
      <c r="BN1154" s="82"/>
      <c r="BO1154" s="82"/>
      <c r="BP1154" s="82"/>
      <c r="BQ1154" s="82"/>
      <c r="BR1154" s="82"/>
      <c r="BS1154" s="82"/>
      <c r="BT1154" s="82"/>
      <c r="BU1154" s="82"/>
      <c r="BV1154" s="82"/>
      <c r="BW1154" s="82"/>
      <c r="BX1154" s="82"/>
      <c r="BY1154" s="82"/>
      <c r="BZ1154" s="82"/>
      <c r="CA1154" s="82"/>
      <c r="CB1154" s="82"/>
      <c r="CC1154" s="82"/>
      <c r="CD1154" s="82"/>
      <c r="CE1154" s="82"/>
      <c r="CF1154" s="82"/>
      <c r="CG1154" s="82"/>
      <c r="CH1154" s="82"/>
      <c r="CI1154" s="82"/>
      <c r="CJ1154" s="82"/>
      <c r="CK1154" s="82"/>
      <c r="CL1154" s="82"/>
      <c r="CM1154" s="82"/>
      <c r="CN1154" s="82"/>
      <c r="CO1154" s="82"/>
      <c r="CP1154" s="82"/>
      <c r="CQ1154" s="82"/>
      <c r="CR1154" s="82"/>
      <c r="CS1154" s="82"/>
      <c r="CT1154" s="82"/>
      <c r="CU1154" s="82"/>
      <c r="CV1154" s="82"/>
      <c r="CW1154" s="82"/>
      <c r="CX1154" s="82"/>
      <c r="CY1154" s="82"/>
      <c r="CZ1154" s="82"/>
      <c r="DA1154" s="82"/>
      <c r="DB1154" s="82"/>
      <c r="DC1154" s="82"/>
      <c r="DD1154" s="82"/>
      <c r="DE1154" s="82"/>
      <c r="DF1154" s="82"/>
      <c r="DG1154" s="82"/>
    </row>
    <row r="1155" spans="2:111" ht="9" customHeight="1">
      <c r="B1155" s="229"/>
      <c r="C1155" s="229"/>
      <c r="D1155" s="229"/>
      <c r="E1155" s="229"/>
      <c r="F1155" s="229"/>
      <c r="G1155" s="229"/>
      <c r="H1155" s="229"/>
      <c r="I1155" s="229"/>
      <c r="J1155" s="229"/>
      <c r="K1155" s="229"/>
      <c r="L1155" s="229"/>
      <c r="M1155" s="229"/>
      <c r="N1155" s="229"/>
      <c r="P1155" s="230"/>
      <c r="Q1155" s="230"/>
      <c r="R1155" s="230"/>
      <c r="S1155" s="230"/>
      <c r="T1155" s="230"/>
      <c r="U1155" s="230"/>
      <c r="V1155" s="230"/>
      <c r="W1155" s="230"/>
      <c r="X1155" s="230"/>
      <c r="Y1155" s="230"/>
      <c r="Z1155" s="230"/>
      <c r="AA1155" s="230"/>
      <c r="AB1155" s="230"/>
      <c r="AC1155" s="230"/>
      <c r="AD1155" s="230"/>
      <c r="AE1155" s="230"/>
      <c r="AF1155" s="230"/>
      <c r="AG1155" s="230"/>
      <c r="AH1155" s="230"/>
      <c r="AI1155" s="230"/>
      <c r="AJ1155" s="230"/>
      <c r="AK1155" s="230"/>
      <c r="AL1155" s="230"/>
      <c r="AM1155" s="230"/>
      <c r="AN1155" s="230"/>
      <c r="AO1155" s="230"/>
      <c r="AP1155" s="230"/>
      <c r="AQ1155" s="230"/>
      <c r="AS1155" s="231"/>
      <c r="AT1155" s="231"/>
      <c r="AU1155" s="231"/>
      <c r="AV1155" s="231"/>
      <c r="AW1155" s="231"/>
      <c r="AX1155" s="231"/>
      <c r="AY1155" s="231"/>
      <c r="AZ1155" s="231"/>
      <c r="BA1155" s="231"/>
      <c r="BC1155" s="82"/>
      <c r="BD1155" s="82"/>
      <c r="BE1155" s="82"/>
      <c r="BF1155" s="82"/>
      <c r="BG1155" s="82"/>
      <c r="BH1155" s="82"/>
      <c r="BI1155" s="82"/>
      <c r="BJ1155" s="82"/>
      <c r="BK1155" s="82"/>
      <c r="BL1155" s="82"/>
      <c r="BM1155" s="82"/>
      <c r="BN1155" s="82"/>
      <c r="BO1155" s="82"/>
      <c r="BP1155" s="82"/>
      <c r="BQ1155" s="82"/>
      <c r="BR1155" s="82"/>
      <c r="BS1155" s="82"/>
      <c r="BT1155" s="82"/>
      <c r="BU1155" s="82"/>
      <c r="BV1155" s="82"/>
      <c r="BW1155" s="82"/>
      <c r="BX1155" s="82"/>
      <c r="BY1155" s="82"/>
      <c r="BZ1155" s="82"/>
      <c r="CA1155" s="82"/>
      <c r="CB1155" s="82"/>
      <c r="CC1155" s="82"/>
      <c r="CD1155" s="82"/>
      <c r="CE1155" s="82"/>
      <c r="CF1155" s="82"/>
      <c r="CG1155" s="82"/>
      <c r="CH1155" s="82"/>
      <c r="CI1155" s="82"/>
      <c r="CJ1155" s="82"/>
      <c r="CK1155" s="82"/>
      <c r="CL1155" s="82"/>
      <c r="CM1155" s="82"/>
      <c r="CN1155" s="82"/>
      <c r="CO1155" s="82"/>
      <c r="CP1155" s="82"/>
      <c r="CQ1155" s="82"/>
      <c r="CR1155" s="82"/>
      <c r="CS1155" s="82"/>
      <c r="CT1155" s="82"/>
      <c r="CU1155" s="82"/>
      <c r="CV1155" s="82"/>
      <c r="CW1155" s="82"/>
      <c r="CX1155" s="82"/>
      <c r="CY1155" s="82"/>
      <c r="CZ1155" s="82"/>
      <c r="DA1155" s="82"/>
      <c r="DB1155" s="82"/>
      <c r="DC1155" s="82"/>
      <c r="DD1155" s="82"/>
      <c r="DE1155" s="82"/>
      <c r="DF1155" s="82"/>
      <c r="DG1155" s="82"/>
    </row>
    <row r="1156" spans="2:111" ht="9" customHeight="1">
      <c r="B1156" s="229"/>
      <c r="C1156" s="229"/>
      <c r="D1156" s="229"/>
      <c r="E1156" s="229"/>
      <c r="F1156" s="229"/>
      <c r="G1156" s="229"/>
      <c r="H1156" s="229"/>
      <c r="I1156" s="229"/>
      <c r="J1156" s="229"/>
      <c r="K1156" s="229"/>
      <c r="L1156" s="229"/>
      <c r="M1156" s="229"/>
      <c r="N1156" s="229"/>
      <c r="P1156" s="230"/>
      <c r="Q1156" s="230"/>
      <c r="R1156" s="230"/>
      <c r="S1156" s="230"/>
      <c r="T1156" s="230"/>
      <c r="U1156" s="230"/>
      <c r="V1156" s="230"/>
      <c r="W1156" s="230"/>
      <c r="X1156" s="230"/>
      <c r="Y1156" s="230"/>
      <c r="Z1156" s="230"/>
      <c r="AA1156" s="230"/>
      <c r="AB1156" s="230"/>
      <c r="AC1156" s="230"/>
      <c r="AD1156" s="230"/>
      <c r="AE1156" s="230"/>
      <c r="AF1156" s="230"/>
      <c r="AG1156" s="230"/>
      <c r="AH1156" s="230"/>
      <c r="AI1156" s="230"/>
      <c r="AJ1156" s="230"/>
      <c r="AK1156" s="230"/>
      <c r="AL1156" s="230"/>
      <c r="AM1156" s="230"/>
      <c r="AN1156" s="230"/>
      <c r="AO1156" s="230"/>
      <c r="AP1156" s="230"/>
      <c r="AQ1156" s="230"/>
      <c r="AS1156" s="231"/>
      <c r="AT1156" s="231"/>
      <c r="AU1156" s="231"/>
      <c r="AV1156" s="231"/>
      <c r="AW1156" s="231"/>
      <c r="AX1156" s="231"/>
      <c r="AY1156" s="231"/>
      <c r="AZ1156" s="231"/>
      <c r="BA1156" s="231"/>
      <c r="BC1156" s="82"/>
      <c r="BD1156" s="82"/>
      <c r="BE1156" s="82"/>
      <c r="BF1156" s="82"/>
      <c r="BG1156" s="82"/>
      <c r="BH1156" s="82"/>
      <c r="BI1156" s="82"/>
      <c r="BJ1156" s="82"/>
      <c r="BK1156" s="82"/>
      <c r="BL1156" s="82"/>
      <c r="BM1156" s="82"/>
      <c r="BN1156" s="82"/>
      <c r="BO1156" s="82"/>
      <c r="BP1156" s="82"/>
      <c r="BQ1156" s="82"/>
      <c r="BR1156" s="82"/>
      <c r="BS1156" s="82"/>
      <c r="BT1156" s="82"/>
      <c r="BU1156" s="82"/>
      <c r="BV1156" s="82"/>
      <c r="BW1156" s="82"/>
      <c r="BX1156" s="82"/>
      <c r="BY1156" s="82"/>
      <c r="BZ1156" s="82"/>
      <c r="CA1156" s="82"/>
      <c r="CB1156" s="82"/>
      <c r="CC1156" s="82"/>
      <c r="CD1156" s="82"/>
      <c r="CE1156" s="82"/>
      <c r="CF1156" s="82"/>
      <c r="CG1156" s="82"/>
      <c r="CH1156" s="82"/>
      <c r="CI1156" s="82"/>
      <c r="CJ1156" s="82"/>
      <c r="CK1156" s="82"/>
      <c r="CL1156" s="82"/>
      <c r="CM1156" s="82"/>
      <c r="CN1156" s="82"/>
      <c r="CO1156" s="82"/>
      <c r="CP1156" s="82"/>
      <c r="CQ1156" s="82"/>
      <c r="CR1156" s="82"/>
      <c r="CS1156" s="82"/>
      <c r="CT1156" s="82"/>
      <c r="CU1156" s="82"/>
      <c r="CV1156" s="82"/>
      <c r="CW1156" s="82"/>
      <c r="CX1156" s="82"/>
      <c r="CY1156" s="82"/>
      <c r="CZ1156" s="82"/>
      <c r="DA1156" s="82"/>
      <c r="DB1156" s="82"/>
      <c r="DC1156" s="82"/>
      <c r="DD1156" s="82"/>
      <c r="DE1156" s="82"/>
      <c r="DF1156" s="82"/>
      <c r="DG1156" s="82"/>
    </row>
    <row r="1157" spans="2:111" ht="9" customHeight="1">
      <c r="B1157" s="229"/>
      <c r="C1157" s="229"/>
      <c r="D1157" s="229"/>
      <c r="E1157" s="229"/>
      <c r="F1157" s="229"/>
      <c r="G1157" s="229"/>
      <c r="H1157" s="229"/>
      <c r="I1157" s="229"/>
      <c r="J1157" s="229"/>
      <c r="K1157" s="229"/>
      <c r="L1157" s="229"/>
      <c r="M1157" s="229"/>
      <c r="N1157" s="229"/>
      <c r="P1157" s="230"/>
      <c r="Q1157" s="230"/>
      <c r="R1157" s="230"/>
      <c r="S1157" s="230"/>
      <c r="T1157" s="230"/>
      <c r="U1157" s="230"/>
      <c r="V1157" s="230"/>
      <c r="W1157" s="230"/>
      <c r="X1157" s="230"/>
      <c r="Y1157" s="230"/>
      <c r="Z1157" s="230"/>
      <c r="AA1157" s="230"/>
      <c r="AB1157" s="230"/>
      <c r="AC1157" s="230"/>
      <c r="AD1157" s="230"/>
      <c r="AE1157" s="230"/>
      <c r="AF1157" s="230"/>
      <c r="AG1157" s="230"/>
      <c r="AH1157" s="230"/>
      <c r="AI1157" s="230"/>
      <c r="AJ1157" s="230"/>
      <c r="AK1157" s="230"/>
      <c r="AL1157" s="230"/>
      <c r="AM1157" s="230"/>
      <c r="AN1157" s="230"/>
      <c r="AO1157" s="230"/>
      <c r="AP1157" s="230"/>
      <c r="AQ1157" s="230"/>
      <c r="AS1157" s="231"/>
      <c r="AT1157" s="231"/>
      <c r="AU1157" s="231"/>
      <c r="AV1157" s="231"/>
      <c r="AW1157" s="231"/>
      <c r="AX1157" s="231"/>
      <c r="AY1157" s="231"/>
      <c r="AZ1157" s="231"/>
      <c r="BA1157" s="231"/>
      <c r="BC1157" s="82"/>
      <c r="BD1157" s="82"/>
      <c r="BE1157" s="82"/>
      <c r="BF1157" s="82"/>
      <c r="BG1157" s="82"/>
      <c r="BH1157" s="82"/>
      <c r="BI1157" s="82"/>
      <c r="BJ1157" s="82"/>
      <c r="BK1157" s="82"/>
      <c r="BL1157" s="82"/>
      <c r="BM1157" s="82"/>
      <c r="BN1157" s="82"/>
      <c r="BO1157" s="82"/>
      <c r="BP1157" s="82"/>
      <c r="BQ1157" s="82"/>
      <c r="BR1157" s="82"/>
      <c r="BS1157" s="82"/>
      <c r="BT1157" s="82"/>
      <c r="BU1157" s="82"/>
      <c r="BV1157" s="82"/>
      <c r="BW1157" s="82"/>
      <c r="BX1157" s="82"/>
      <c r="BY1157" s="82"/>
      <c r="BZ1157" s="82"/>
      <c r="CA1157" s="82"/>
      <c r="CB1157" s="82"/>
      <c r="CC1157" s="82"/>
      <c r="CD1157" s="82"/>
      <c r="CE1157" s="82"/>
      <c r="CF1157" s="82"/>
      <c r="CG1157" s="82"/>
      <c r="CH1157" s="82"/>
      <c r="CI1157" s="82"/>
      <c r="CJ1157" s="82"/>
      <c r="CK1157" s="82"/>
      <c r="CL1157" s="82"/>
      <c r="CM1157" s="82"/>
      <c r="CN1157" s="82"/>
      <c r="CO1157" s="82"/>
      <c r="CP1157" s="82"/>
      <c r="CQ1157" s="82"/>
      <c r="CR1157" s="82"/>
      <c r="CS1157" s="82"/>
      <c r="CT1157" s="82"/>
      <c r="CU1157" s="82"/>
      <c r="CV1157" s="82"/>
      <c r="CW1157" s="82"/>
      <c r="CX1157" s="82"/>
      <c r="CY1157" s="82"/>
      <c r="CZ1157" s="82"/>
      <c r="DA1157" s="82"/>
      <c r="DB1157" s="82"/>
      <c r="DC1157" s="82"/>
      <c r="DD1157" s="82"/>
      <c r="DE1157" s="82"/>
      <c r="DF1157" s="82"/>
      <c r="DG1157" s="82"/>
    </row>
    <row r="1158" spans="2:111" ht="9" customHeight="1">
      <c r="B1158" s="229"/>
      <c r="C1158" s="229"/>
      <c r="D1158" s="229"/>
      <c r="E1158" s="229"/>
      <c r="F1158" s="229"/>
      <c r="G1158" s="229"/>
      <c r="H1158" s="229"/>
      <c r="I1158" s="229"/>
      <c r="J1158" s="229"/>
      <c r="K1158" s="229"/>
      <c r="L1158" s="229"/>
      <c r="M1158" s="229"/>
      <c r="N1158" s="229"/>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230"/>
      <c r="AL1158" s="230"/>
      <c r="AM1158" s="230"/>
      <c r="AN1158" s="230"/>
      <c r="AO1158" s="230"/>
      <c r="AP1158" s="230"/>
      <c r="AQ1158" s="230"/>
      <c r="AS1158" s="231"/>
      <c r="AT1158" s="231"/>
      <c r="AU1158" s="231"/>
      <c r="AV1158" s="231"/>
      <c r="AW1158" s="231"/>
      <c r="AX1158" s="231"/>
      <c r="AY1158" s="231"/>
      <c r="AZ1158" s="231"/>
      <c r="BA1158" s="231"/>
      <c r="BC1158" s="82"/>
      <c r="BD1158" s="82"/>
      <c r="BE1158" s="82"/>
      <c r="BF1158" s="82"/>
      <c r="BG1158" s="82"/>
      <c r="BH1158" s="82"/>
      <c r="BI1158" s="82"/>
      <c r="BJ1158" s="82"/>
      <c r="BK1158" s="82"/>
      <c r="BL1158" s="82"/>
      <c r="BM1158" s="82"/>
      <c r="BN1158" s="82"/>
      <c r="BO1158" s="82"/>
      <c r="BP1158" s="82"/>
      <c r="BQ1158" s="82"/>
      <c r="BR1158" s="82"/>
      <c r="BS1158" s="82"/>
      <c r="BT1158" s="82"/>
      <c r="BU1158" s="82"/>
      <c r="BV1158" s="82"/>
      <c r="BW1158" s="82"/>
      <c r="BX1158" s="82"/>
      <c r="BY1158" s="82"/>
      <c r="BZ1158" s="82"/>
      <c r="CA1158" s="82"/>
      <c r="CB1158" s="82"/>
      <c r="CC1158" s="82"/>
      <c r="CD1158" s="82"/>
      <c r="CE1158" s="82"/>
      <c r="CF1158" s="82"/>
      <c r="CG1158" s="82"/>
      <c r="CH1158" s="82"/>
      <c r="CI1158" s="82"/>
      <c r="CJ1158" s="82"/>
      <c r="CK1158" s="82"/>
      <c r="CL1158" s="82"/>
      <c r="CM1158" s="82"/>
      <c r="CN1158" s="82"/>
      <c r="CO1158" s="82"/>
      <c r="CP1158" s="82"/>
      <c r="CQ1158" s="82"/>
      <c r="CR1158" s="82"/>
      <c r="CS1158" s="82"/>
      <c r="CT1158" s="82"/>
      <c r="CU1158" s="82"/>
      <c r="CV1158" s="82"/>
      <c r="CW1158" s="82"/>
      <c r="CX1158" s="82"/>
      <c r="CY1158" s="82"/>
      <c r="CZ1158" s="82"/>
      <c r="DA1158" s="82"/>
      <c r="DB1158" s="82"/>
      <c r="DC1158" s="82"/>
      <c r="DD1158" s="82"/>
      <c r="DE1158" s="82"/>
      <c r="DF1158" s="82"/>
      <c r="DG1158" s="82"/>
    </row>
    <row r="1159" spans="2:111" ht="9" customHeight="1">
      <c r="B1159" s="229"/>
      <c r="C1159" s="229"/>
      <c r="D1159" s="229"/>
      <c r="E1159" s="229"/>
      <c r="F1159" s="229"/>
      <c r="G1159" s="229"/>
      <c r="H1159" s="229"/>
      <c r="I1159" s="229"/>
      <c r="J1159" s="229"/>
      <c r="K1159" s="229"/>
      <c r="L1159" s="229"/>
      <c r="M1159" s="229"/>
      <c r="N1159" s="229"/>
      <c r="P1159" s="230"/>
      <c r="Q1159" s="230"/>
      <c r="R1159" s="230"/>
      <c r="S1159" s="230"/>
      <c r="T1159" s="230"/>
      <c r="U1159" s="230"/>
      <c r="V1159" s="230"/>
      <c r="W1159" s="230"/>
      <c r="X1159" s="230"/>
      <c r="Y1159" s="230"/>
      <c r="Z1159" s="230"/>
      <c r="AA1159" s="230"/>
      <c r="AB1159" s="230"/>
      <c r="AC1159" s="230"/>
      <c r="AD1159" s="230"/>
      <c r="AE1159" s="230"/>
      <c r="AF1159" s="230"/>
      <c r="AG1159" s="230"/>
      <c r="AH1159" s="230"/>
      <c r="AI1159" s="230"/>
      <c r="AJ1159" s="230"/>
      <c r="AK1159" s="230"/>
      <c r="AL1159" s="230"/>
      <c r="AM1159" s="230"/>
      <c r="AN1159" s="230"/>
      <c r="AO1159" s="230"/>
      <c r="AP1159" s="230"/>
      <c r="AQ1159" s="230"/>
      <c r="AS1159" s="231"/>
      <c r="AT1159" s="231"/>
      <c r="AU1159" s="231"/>
      <c r="AV1159" s="231"/>
      <c r="AW1159" s="231"/>
      <c r="AX1159" s="231"/>
      <c r="AY1159" s="231"/>
      <c r="AZ1159" s="231"/>
      <c r="BA1159" s="231"/>
      <c r="BC1159" s="82"/>
      <c r="BD1159" s="82"/>
      <c r="BE1159" s="82"/>
      <c r="BF1159" s="82"/>
      <c r="BG1159" s="82"/>
      <c r="BH1159" s="82"/>
      <c r="BI1159" s="82"/>
      <c r="BJ1159" s="82"/>
      <c r="BK1159" s="82"/>
      <c r="BL1159" s="82"/>
      <c r="BM1159" s="82"/>
      <c r="BN1159" s="82"/>
      <c r="BO1159" s="82"/>
      <c r="BP1159" s="82"/>
      <c r="BQ1159" s="82"/>
      <c r="BR1159" s="82"/>
      <c r="BS1159" s="82"/>
      <c r="BT1159" s="82"/>
      <c r="BU1159" s="82"/>
      <c r="BV1159" s="82"/>
      <c r="BW1159" s="82"/>
      <c r="BX1159" s="82"/>
      <c r="BY1159" s="82"/>
      <c r="BZ1159" s="82"/>
      <c r="CA1159" s="82"/>
      <c r="CB1159" s="82"/>
      <c r="CC1159" s="82"/>
      <c r="CD1159" s="82"/>
      <c r="CE1159" s="82"/>
      <c r="CF1159" s="82"/>
      <c r="CG1159" s="82"/>
      <c r="CH1159" s="82"/>
      <c r="CI1159" s="82"/>
      <c r="CJ1159" s="82"/>
      <c r="CK1159" s="82"/>
      <c r="CL1159" s="82"/>
      <c r="CM1159" s="82"/>
      <c r="CN1159" s="82"/>
      <c r="CO1159" s="82"/>
      <c r="CP1159" s="82"/>
      <c r="CQ1159" s="82"/>
      <c r="CR1159" s="82"/>
      <c r="CS1159" s="82"/>
      <c r="CT1159" s="82"/>
      <c r="CU1159" s="82"/>
      <c r="CV1159" s="82"/>
      <c r="CW1159" s="82"/>
      <c r="CX1159" s="82"/>
      <c r="CY1159" s="82"/>
      <c r="CZ1159" s="82"/>
      <c r="DA1159" s="82"/>
      <c r="DB1159" s="82"/>
      <c r="DC1159" s="82"/>
      <c r="DD1159" s="82"/>
      <c r="DE1159" s="82"/>
      <c r="DF1159" s="82"/>
      <c r="DG1159" s="82"/>
    </row>
    <row r="1160" spans="2:111" ht="9" customHeight="1">
      <c r="B1160" s="229"/>
      <c r="C1160" s="229"/>
      <c r="D1160" s="229"/>
      <c r="E1160" s="229"/>
      <c r="F1160" s="229"/>
      <c r="G1160" s="229"/>
      <c r="H1160" s="229"/>
      <c r="I1160" s="229"/>
      <c r="J1160" s="229"/>
      <c r="K1160" s="229"/>
      <c r="L1160" s="229"/>
      <c r="M1160" s="229"/>
      <c r="N1160" s="229"/>
      <c r="P1160" s="230"/>
      <c r="Q1160" s="230"/>
      <c r="R1160" s="230"/>
      <c r="S1160" s="230"/>
      <c r="T1160" s="230"/>
      <c r="U1160" s="230"/>
      <c r="V1160" s="230"/>
      <c r="W1160" s="230"/>
      <c r="X1160" s="230"/>
      <c r="Y1160" s="230"/>
      <c r="Z1160" s="230"/>
      <c r="AA1160" s="230"/>
      <c r="AB1160" s="230"/>
      <c r="AC1160" s="230"/>
      <c r="AD1160" s="230"/>
      <c r="AE1160" s="230"/>
      <c r="AF1160" s="230"/>
      <c r="AG1160" s="230"/>
      <c r="AH1160" s="230"/>
      <c r="AI1160" s="230"/>
      <c r="AJ1160" s="230"/>
      <c r="AK1160" s="230"/>
      <c r="AL1160" s="230"/>
      <c r="AM1160" s="230"/>
      <c r="AN1160" s="230"/>
      <c r="AO1160" s="230"/>
      <c r="AP1160" s="230"/>
      <c r="AQ1160" s="230"/>
      <c r="AS1160" s="231"/>
      <c r="AT1160" s="231"/>
      <c r="AU1160" s="231"/>
      <c r="AV1160" s="231"/>
      <c r="AW1160" s="231"/>
      <c r="AX1160" s="231"/>
      <c r="AY1160" s="231"/>
      <c r="AZ1160" s="231"/>
      <c r="BA1160" s="231"/>
      <c r="BC1160" s="82"/>
      <c r="BD1160" s="82"/>
      <c r="BE1160" s="82"/>
      <c r="BF1160" s="82"/>
      <c r="BG1160" s="82"/>
      <c r="BH1160" s="82"/>
      <c r="BI1160" s="82"/>
      <c r="BJ1160" s="82"/>
      <c r="BK1160" s="82"/>
      <c r="BL1160" s="82"/>
      <c r="BM1160" s="82"/>
      <c r="BN1160" s="82"/>
      <c r="BO1160" s="82"/>
      <c r="BP1160" s="82"/>
      <c r="BQ1160" s="82"/>
      <c r="BR1160" s="82"/>
      <c r="BS1160" s="82"/>
      <c r="BT1160" s="82"/>
      <c r="BU1160" s="82"/>
      <c r="BV1160" s="82"/>
      <c r="BW1160" s="82"/>
      <c r="BX1160" s="82"/>
      <c r="BY1160" s="82"/>
      <c r="BZ1160" s="82"/>
      <c r="CA1160" s="82"/>
      <c r="CB1160" s="82"/>
      <c r="CC1160" s="82"/>
      <c r="CD1160" s="82"/>
      <c r="CE1160" s="82"/>
      <c r="CF1160" s="82"/>
      <c r="CG1160" s="82"/>
      <c r="CH1160" s="82"/>
      <c r="CI1160" s="82"/>
      <c r="CJ1160" s="82"/>
      <c r="CK1160" s="82"/>
      <c r="CL1160" s="82"/>
      <c r="CM1160" s="82"/>
      <c r="CN1160" s="82"/>
      <c r="CO1160" s="82"/>
      <c r="CP1160" s="82"/>
      <c r="CQ1160" s="82"/>
      <c r="CR1160" s="82"/>
      <c r="CS1160" s="82"/>
      <c r="CT1160" s="82"/>
      <c r="CU1160" s="82"/>
      <c r="CV1160" s="82"/>
      <c r="CW1160" s="82"/>
      <c r="CX1160" s="82"/>
      <c r="CY1160" s="82"/>
      <c r="CZ1160" s="82"/>
      <c r="DA1160" s="82"/>
      <c r="DB1160" s="82"/>
      <c r="DC1160" s="82"/>
      <c r="DD1160" s="82"/>
      <c r="DE1160" s="82"/>
      <c r="DF1160" s="82"/>
      <c r="DG1160" s="82"/>
    </row>
    <row r="1161" spans="2:111" ht="9" customHeight="1">
      <c r="B1161" s="229"/>
      <c r="C1161" s="229"/>
      <c r="D1161" s="229"/>
      <c r="E1161" s="229"/>
      <c r="F1161" s="229"/>
      <c r="G1161" s="229"/>
      <c r="H1161" s="229"/>
      <c r="I1161" s="229"/>
      <c r="J1161" s="229"/>
      <c r="K1161" s="229"/>
      <c r="L1161" s="229"/>
      <c r="M1161" s="229"/>
      <c r="N1161" s="229"/>
      <c r="P1161" s="230"/>
      <c r="Q1161" s="230"/>
      <c r="R1161" s="230"/>
      <c r="S1161" s="230"/>
      <c r="T1161" s="230"/>
      <c r="U1161" s="230"/>
      <c r="V1161" s="230"/>
      <c r="W1161" s="230"/>
      <c r="X1161" s="230"/>
      <c r="Y1161" s="230"/>
      <c r="Z1161" s="230"/>
      <c r="AA1161" s="230"/>
      <c r="AB1161" s="230"/>
      <c r="AC1161" s="230"/>
      <c r="AD1161" s="230"/>
      <c r="AE1161" s="230"/>
      <c r="AF1161" s="230"/>
      <c r="AG1161" s="230"/>
      <c r="AH1161" s="230"/>
      <c r="AI1161" s="230"/>
      <c r="AJ1161" s="230"/>
      <c r="AK1161" s="230"/>
      <c r="AL1161" s="230"/>
      <c r="AM1161" s="230"/>
      <c r="AN1161" s="230"/>
      <c r="AO1161" s="230"/>
      <c r="AP1161" s="230"/>
      <c r="AQ1161" s="230"/>
      <c r="AS1161" s="231"/>
      <c r="AT1161" s="231"/>
      <c r="AU1161" s="231"/>
      <c r="AV1161" s="231"/>
      <c r="AW1161" s="231"/>
      <c r="AX1161" s="231"/>
      <c r="AY1161" s="231"/>
      <c r="AZ1161" s="231"/>
      <c r="BA1161" s="231"/>
      <c r="BC1161" s="82"/>
      <c r="BD1161" s="82"/>
      <c r="BE1161" s="82"/>
      <c r="BF1161" s="82"/>
      <c r="BG1161" s="82"/>
      <c r="BH1161" s="82"/>
      <c r="BI1161" s="82"/>
      <c r="BJ1161" s="82"/>
      <c r="BK1161" s="82"/>
      <c r="BL1161" s="82"/>
      <c r="BM1161" s="82"/>
      <c r="BN1161" s="82"/>
      <c r="BO1161" s="82"/>
      <c r="BP1161" s="82"/>
      <c r="BQ1161" s="82"/>
      <c r="BR1161" s="82"/>
      <c r="BS1161" s="82"/>
      <c r="BT1161" s="82"/>
      <c r="BU1161" s="82"/>
      <c r="BV1161" s="82"/>
      <c r="BW1161" s="82"/>
      <c r="BX1161" s="82"/>
      <c r="BY1161" s="82"/>
      <c r="BZ1161" s="82"/>
      <c r="CA1161" s="82"/>
      <c r="CB1161" s="82"/>
      <c r="CC1161" s="82"/>
      <c r="CD1161" s="82"/>
      <c r="CE1161" s="82"/>
      <c r="CF1161" s="82"/>
      <c r="CG1161" s="82"/>
      <c r="CH1161" s="82"/>
      <c r="CI1161" s="82"/>
      <c r="CJ1161" s="82"/>
      <c r="CK1161" s="82"/>
      <c r="CL1161" s="82"/>
      <c r="CM1161" s="82"/>
      <c r="CN1161" s="82"/>
      <c r="CO1161" s="82"/>
      <c r="CP1161" s="82"/>
      <c r="CQ1161" s="82"/>
      <c r="CR1161" s="82"/>
      <c r="CS1161" s="82"/>
      <c r="CT1161" s="82"/>
      <c r="CU1161" s="82"/>
      <c r="CV1161" s="82"/>
      <c r="CW1161" s="82"/>
      <c r="CX1161" s="82"/>
      <c r="CY1161" s="82"/>
      <c r="CZ1161" s="82"/>
      <c r="DA1161" s="82"/>
      <c r="DB1161" s="82"/>
      <c r="DC1161" s="82"/>
      <c r="DD1161" s="82"/>
      <c r="DE1161" s="82"/>
      <c r="DF1161" s="82"/>
      <c r="DG1161" s="82"/>
    </row>
    <row r="1162" spans="2:111" ht="9" customHeight="1">
      <c r="B1162" s="229"/>
      <c r="C1162" s="229"/>
      <c r="D1162" s="229"/>
      <c r="E1162" s="229"/>
      <c r="F1162" s="229"/>
      <c r="G1162" s="229"/>
      <c r="H1162" s="229"/>
      <c r="I1162" s="229"/>
      <c r="J1162" s="229"/>
      <c r="K1162" s="229"/>
      <c r="L1162" s="229"/>
      <c r="M1162" s="229"/>
      <c r="N1162" s="229"/>
      <c r="P1162" s="230"/>
      <c r="Q1162" s="230"/>
      <c r="R1162" s="230"/>
      <c r="S1162" s="230"/>
      <c r="T1162" s="230"/>
      <c r="U1162" s="230"/>
      <c r="V1162" s="230"/>
      <c r="W1162" s="230"/>
      <c r="X1162" s="230"/>
      <c r="Y1162" s="230"/>
      <c r="Z1162" s="230"/>
      <c r="AA1162" s="230"/>
      <c r="AB1162" s="230"/>
      <c r="AC1162" s="230"/>
      <c r="AD1162" s="230"/>
      <c r="AE1162" s="230"/>
      <c r="AF1162" s="230"/>
      <c r="AG1162" s="230"/>
      <c r="AH1162" s="230"/>
      <c r="AI1162" s="230"/>
      <c r="AJ1162" s="230"/>
      <c r="AK1162" s="230"/>
      <c r="AL1162" s="230"/>
      <c r="AM1162" s="230"/>
      <c r="AN1162" s="230"/>
      <c r="AO1162" s="230"/>
      <c r="AP1162" s="230"/>
      <c r="AQ1162" s="230"/>
      <c r="AS1162" s="231"/>
      <c r="AT1162" s="231"/>
      <c r="AU1162" s="231"/>
      <c r="AV1162" s="231"/>
      <c r="AW1162" s="231"/>
      <c r="AX1162" s="231"/>
      <c r="AY1162" s="231"/>
      <c r="AZ1162" s="231"/>
      <c r="BA1162" s="231"/>
      <c r="BC1162" s="82"/>
      <c r="BD1162" s="82"/>
      <c r="BE1162" s="82"/>
      <c r="BF1162" s="82"/>
      <c r="BG1162" s="82"/>
      <c r="BH1162" s="82"/>
      <c r="BI1162" s="82"/>
      <c r="BJ1162" s="82"/>
      <c r="BK1162" s="82"/>
      <c r="BL1162" s="82"/>
      <c r="BM1162" s="82"/>
      <c r="BN1162" s="82"/>
      <c r="BO1162" s="82"/>
      <c r="BP1162" s="82"/>
      <c r="BQ1162" s="82"/>
      <c r="BR1162" s="82"/>
      <c r="BS1162" s="82"/>
      <c r="BT1162" s="82"/>
      <c r="BU1162" s="82"/>
      <c r="BV1162" s="82"/>
      <c r="BW1162" s="82"/>
      <c r="BX1162" s="82"/>
      <c r="BY1162" s="82"/>
      <c r="BZ1162" s="82"/>
      <c r="CA1162" s="82"/>
      <c r="CB1162" s="82"/>
      <c r="CC1162" s="82"/>
      <c r="CD1162" s="82"/>
      <c r="CE1162" s="82"/>
      <c r="CF1162" s="82"/>
      <c r="CG1162" s="82"/>
      <c r="CH1162" s="82"/>
      <c r="CI1162" s="82"/>
      <c r="CJ1162" s="82"/>
      <c r="CK1162" s="82"/>
      <c r="CL1162" s="82"/>
      <c r="CM1162" s="82"/>
      <c r="CN1162" s="82"/>
      <c r="CO1162" s="82"/>
      <c r="CP1162" s="82"/>
      <c r="CQ1162" s="82"/>
      <c r="CR1162" s="82"/>
      <c r="CS1162" s="82"/>
      <c r="CT1162" s="82"/>
      <c r="CU1162" s="82"/>
      <c r="CV1162" s="82"/>
      <c r="CW1162" s="82"/>
      <c r="CX1162" s="82"/>
      <c r="CY1162" s="82"/>
      <c r="CZ1162" s="82"/>
      <c r="DA1162" s="82"/>
      <c r="DB1162" s="82"/>
      <c r="DC1162" s="82"/>
      <c r="DD1162" s="82"/>
      <c r="DE1162" s="82"/>
      <c r="DF1162" s="82"/>
      <c r="DG1162" s="82"/>
    </row>
    <row r="1163" spans="2:111" ht="9" customHeight="1">
      <c r="B1163" s="229"/>
      <c r="C1163" s="229"/>
      <c r="D1163" s="229"/>
      <c r="E1163" s="229"/>
      <c r="F1163" s="229"/>
      <c r="G1163" s="229"/>
      <c r="H1163" s="229"/>
      <c r="I1163" s="229"/>
      <c r="J1163" s="229"/>
      <c r="K1163" s="229"/>
      <c r="L1163" s="229"/>
      <c r="M1163" s="229"/>
      <c r="N1163" s="229"/>
      <c r="P1163" s="230"/>
      <c r="Q1163" s="230"/>
      <c r="R1163" s="230"/>
      <c r="S1163" s="230"/>
      <c r="T1163" s="230"/>
      <c r="U1163" s="230"/>
      <c r="V1163" s="230"/>
      <c r="W1163" s="230"/>
      <c r="X1163" s="230"/>
      <c r="Y1163" s="230"/>
      <c r="Z1163" s="230"/>
      <c r="AA1163" s="230"/>
      <c r="AB1163" s="230"/>
      <c r="AC1163" s="230"/>
      <c r="AD1163" s="230"/>
      <c r="AE1163" s="230"/>
      <c r="AF1163" s="230"/>
      <c r="AG1163" s="230"/>
      <c r="AH1163" s="230"/>
      <c r="AI1163" s="230"/>
      <c r="AJ1163" s="230"/>
      <c r="AK1163" s="230"/>
      <c r="AL1163" s="230"/>
      <c r="AM1163" s="230"/>
      <c r="AN1163" s="230"/>
      <c r="AO1163" s="230"/>
      <c r="AP1163" s="230"/>
      <c r="AQ1163" s="230"/>
      <c r="AS1163" s="231"/>
      <c r="AT1163" s="231"/>
      <c r="AU1163" s="231"/>
      <c r="AV1163" s="231"/>
      <c r="AW1163" s="231"/>
      <c r="AX1163" s="231"/>
      <c r="AY1163" s="231"/>
      <c r="AZ1163" s="231"/>
      <c r="BA1163" s="231"/>
      <c r="BC1163" s="82"/>
      <c r="BD1163" s="82"/>
      <c r="BE1163" s="82"/>
      <c r="BF1163" s="82"/>
      <c r="BG1163" s="82"/>
      <c r="BH1163" s="82"/>
      <c r="BI1163" s="82"/>
      <c r="BJ1163" s="82"/>
      <c r="BK1163" s="82"/>
      <c r="BL1163" s="82"/>
      <c r="BM1163" s="82"/>
      <c r="BN1163" s="82"/>
      <c r="BO1163" s="82"/>
      <c r="BP1163" s="82"/>
      <c r="BQ1163" s="82"/>
      <c r="BR1163" s="82"/>
      <c r="BS1163" s="82"/>
      <c r="BT1163" s="82"/>
      <c r="BU1163" s="82"/>
      <c r="BV1163" s="82"/>
      <c r="BW1163" s="82"/>
      <c r="BX1163" s="82"/>
      <c r="BY1163" s="82"/>
      <c r="BZ1163" s="82"/>
      <c r="CA1163" s="82"/>
      <c r="CB1163" s="82"/>
      <c r="CC1163" s="82"/>
      <c r="CD1163" s="82"/>
      <c r="CE1163" s="82"/>
      <c r="CF1163" s="82"/>
      <c r="CG1163" s="82"/>
      <c r="CH1163" s="82"/>
      <c r="CI1163" s="82"/>
      <c r="CJ1163" s="82"/>
      <c r="CK1163" s="82"/>
      <c r="CL1163" s="82"/>
      <c r="CM1163" s="82"/>
      <c r="CN1163" s="82"/>
      <c r="CO1163" s="82"/>
      <c r="CP1163" s="82"/>
      <c r="CQ1163" s="82"/>
      <c r="CR1163" s="82"/>
      <c r="CS1163" s="82"/>
      <c r="CT1163" s="82"/>
      <c r="CU1163" s="82"/>
      <c r="CV1163" s="82"/>
      <c r="CW1163" s="82"/>
      <c r="CX1163" s="82"/>
      <c r="CY1163" s="82"/>
      <c r="CZ1163" s="82"/>
      <c r="DA1163" s="82"/>
      <c r="DB1163" s="82"/>
      <c r="DC1163" s="82"/>
      <c r="DD1163" s="82"/>
      <c r="DE1163" s="82"/>
      <c r="DF1163" s="82"/>
      <c r="DG1163" s="82"/>
    </row>
    <row r="1164" spans="2:111" ht="9" customHeight="1">
      <c r="B1164" s="229"/>
      <c r="C1164" s="229"/>
      <c r="D1164" s="229"/>
      <c r="E1164" s="229"/>
      <c r="F1164" s="229"/>
      <c r="G1164" s="229"/>
      <c r="H1164" s="229"/>
      <c r="I1164" s="229"/>
      <c r="J1164" s="229"/>
      <c r="K1164" s="229"/>
      <c r="L1164" s="229"/>
      <c r="M1164" s="229"/>
      <c r="N1164" s="229"/>
      <c r="P1164" s="230"/>
      <c r="Q1164" s="230"/>
      <c r="R1164" s="230"/>
      <c r="S1164" s="230"/>
      <c r="T1164" s="230"/>
      <c r="U1164" s="230"/>
      <c r="V1164" s="230"/>
      <c r="W1164" s="230"/>
      <c r="X1164" s="230"/>
      <c r="Y1164" s="230"/>
      <c r="Z1164" s="230"/>
      <c r="AA1164" s="230"/>
      <c r="AB1164" s="230"/>
      <c r="AC1164" s="230"/>
      <c r="AD1164" s="230"/>
      <c r="AE1164" s="230"/>
      <c r="AF1164" s="230"/>
      <c r="AG1164" s="230"/>
      <c r="AH1164" s="230"/>
      <c r="AI1164" s="230"/>
      <c r="AJ1164" s="230"/>
      <c r="AK1164" s="230"/>
      <c r="AL1164" s="230"/>
      <c r="AM1164" s="230"/>
      <c r="AN1164" s="230"/>
      <c r="AO1164" s="230"/>
      <c r="AP1164" s="230"/>
      <c r="AQ1164" s="230"/>
      <c r="AS1164" s="231"/>
      <c r="AT1164" s="231"/>
      <c r="AU1164" s="231"/>
      <c r="AV1164" s="231"/>
      <c r="AW1164" s="231"/>
      <c r="AX1164" s="231"/>
      <c r="AY1164" s="231"/>
      <c r="AZ1164" s="231"/>
      <c r="BA1164" s="231"/>
      <c r="BC1164" s="82"/>
      <c r="BD1164" s="82"/>
      <c r="BE1164" s="82"/>
      <c r="BF1164" s="82"/>
      <c r="BG1164" s="82"/>
      <c r="BH1164" s="82"/>
      <c r="BI1164" s="82"/>
      <c r="BJ1164" s="82"/>
      <c r="BK1164" s="82"/>
      <c r="BL1164" s="82"/>
      <c r="BM1164" s="82"/>
      <c r="BN1164" s="82"/>
      <c r="BO1164" s="82"/>
      <c r="BP1164" s="82"/>
      <c r="BQ1164" s="82"/>
      <c r="BR1164" s="82"/>
      <c r="BS1164" s="82"/>
      <c r="BT1164" s="82"/>
      <c r="BU1164" s="82"/>
      <c r="BV1164" s="82"/>
      <c r="BW1164" s="82"/>
      <c r="BX1164" s="82"/>
      <c r="BY1164" s="82"/>
      <c r="BZ1164" s="82"/>
      <c r="CA1164" s="82"/>
      <c r="CB1164" s="82"/>
      <c r="CC1164" s="82"/>
      <c r="CD1164" s="82"/>
      <c r="CE1164" s="82"/>
      <c r="CF1164" s="82"/>
      <c r="CG1164" s="82"/>
      <c r="CH1164" s="82"/>
      <c r="CI1164" s="82"/>
      <c r="CJ1164" s="82"/>
      <c r="CK1164" s="82"/>
      <c r="CL1164" s="82"/>
      <c r="CM1164" s="82"/>
      <c r="CN1164" s="82"/>
      <c r="CO1164" s="82"/>
      <c r="CP1164" s="82"/>
      <c r="CQ1164" s="82"/>
      <c r="CR1164" s="82"/>
      <c r="CS1164" s="82"/>
      <c r="CT1164" s="82"/>
      <c r="CU1164" s="82"/>
      <c r="CV1164" s="82"/>
      <c r="CW1164" s="82"/>
      <c r="CX1164" s="82"/>
      <c r="CY1164" s="82"/>
      <c r="CZ1164" s="82"/>
      <c r="DA1164" s="82"/>
      <c r="DB1164" s="82"/>
      <c r="DC1164" s="82"/>
      <c r="DD1164" s="82"/>
      <c r="DE1164" s="82"/>
      <c r="DF1164" s="82"/>
      <c r="DG1164" s="82"/>
    </row>
    <row r="1165" spans="2:111" ht="9" customHeight="1">
      <c r="B1165" s="229"/>
      <c r="C1165" s="229"/>
      <c r="D1165" s="229"/>
      <c r="E1165" s="229"/>
      <c r="F1165" s="229"/>
      <c r="G1165" s="229"/>
      <c r="H1165" s="229"/>
      <c r="I1165" s="229"/>
      <c r="J1165" s="229"/>
      <c r="K1165" s="229"/>
      <c r="L1165" s="229"/>
      <c r="M1165" s="229"/>
      <c r="N1165" s="229"/>
      <c r="P1165" s="230"/>
      <c r="Q1165" s="230"/>
      <c r="R1165" s="230"/>
      <c r="S1165" s="230"/>
      <c r="T1165" s="230"/>
      <c r="U1165" s="230"/>
      <c r="V1165" s="230"/>
      <c r="W1165" s="230"/>
      <c r="X1165" s="230"/>
      <c r="Y1165" s="230"/>
      <c r="Z1165" s="230"/>
      <c r="AA1165" s="230"/>
      <c r="AB1165" s="230"/>
      <c r="AC1165" s="230"/>
      <c r="AD1165" s="230"/>
      <c r="AE1165" s="230"/>
      <c r="AF1165" s="230"/>
      <c r="AG1165" s="230"/>
      <c r="AH1165" s="230"/>
      <c r="AI1165" s="230"/>
      <c r="AJ1165" s="230"/>
      <c r="AK1165" s="230"/>
      <c r="AL1165" s="230"/>
      <c r="AM1165" s="230"/>
      <c r="AN1165" s="230"/>
      <c r="AO1165" s="230"/>
      <c r="AP1165" s="230"/>
      <c r="AQ1165" s="230"/>
      <c r="AS1165" s="231"/>
      <c r="AT1165" s="231"/>
      <c r="AU1165" s="231"/>
      <c r="AV1165" s="231"/>
      <c r="AW1165" s="231"/>
      <c r="AX1165" s="231"/>
      <c r="AY1165" s="231"/>
      <c r="AZ1165" s="231"/>
      <c r="BA1165" s="231"/>
      <c r="BC1165" s="82"/>
      <c r="BD1165" s="82"/>
      <c r="BE1165" s="82"/>
      <c r="BF1165" s="82"/>
      <c r="BG1165" s="82"/>
      <c r="BH1165" s="82"/>
      <c r="BI1165" s="82"/>
      <c r="BJ1165" s="82"/>
      <c r="BK1165" s="82"/>
      <c r="BL1165" s="82"/>
      <c r="BM1165" s="82"/>
      <c r="BN1165" s="82"/>
      <c r="BO1165" s="82"/>
      <c r="BP1165" s="82"/>
      <c r="BQ1165" s="82"/>
      <c r="BR1165" s="82"/>
      <c r="BS1165" s="82"/>
      <c r="BT1165" s="82"/>
      <c r="BU1165" s="82"/>
      <c r="BV1165" s="82"/>
      <c r="BW1165" s="82"/>
      <c r="BX1165" s="82"/>
      <c r="BY1165" s="82"/>
      <c r="BZ1165" s="82"/>
      <c r="CA1165" s="82"/>
      <c r="CB1165" s="82"/>
      <c r="CC1165" s="82"/>
      <c r="CD1165" s="82"/>
      <c r="CE1165" s="82"/>
      <c r="CF1165" s="82"/>
      <c r="CG1165" s="82"/>
      <c r="CH1165" s="82"/>
      <c r="CI1165" s="82"/>
      <c r="CJ1165" s="82"/>
      <c r="CK1165" s="82"/>
      <c r="CL1165" s="82"/>
      <c r="CM1165" s="82"/>
      <c r="CN1165" s="82"/>
      <c r="CO1165" s="82"/>
      <c r="CP1165" s="82"/>
      <c r="CQ1165" s="82"/>
      <c r="CR1165" s="82"/>
      <c r="CS1165" s="82"/>
      <c r="CT1165" s="82"/>
      <c r="CU1165" s="82"/>
      <c r="CV1165" s="82"/>
      <c r="CW1165" s="82"/>
      <c r="CX1165" s="82"/>
      <c r="CY1165" s="82"/>
      <c r="CZ1165" s="82"/>
      <c r="DA1165" s="82"/>
      <c r="DB1165" s="82"/>
      <c r="DC1165" s="82"/>
      <c r="DD1165" s="82"/>
      <c r="DE1165" s="82"/>
      <c r="DF1165" s="82"/>
      <c r="DG1165" s="82"/>
    </row>
    <row r="1166" spans="2:111" ht="9" customHeight="1">
      <c r="B1166" s="229"/>
      <c r="C1166" s="229"/>
      <c r="D1166" s="229"/>
      <c r="E1166" s="229"/>
      <c r="F1166" s="229"/>
      <c r="G1166" s="229"/>
      <c r="H1166" s="229"/>
      <c r="I1166" s="229"/>
      <c r="J1166" s="229"/>
      <c r="K1166" s="229"/>
      <c r="L1166" s="229"/>
      <c r="M1166" s="229"/>
      <c r="N1166" s="229"/>
      <c r="P1166" s="230"/>
      <c r="Q1166" s="230"/>
      <c r="R1166" s="230"/>
      <c r="S1166" s="230"/>
      <c r="T1166" s="230"/>
      <c r="U1166" s="230"/>
      <c r="V1166" s="230"/>
      <c r="W1166" s="230"/>
      <c r="X1166" s="230"/>
      <c r="Y1166" s="230"/>
      <c r="Z1166" s="230"/>
      <c r="AA1166" s="230"/>
      <c r="AB1166" s="230"/>
      <c r="AC1166" s="230"/>
      <c r="AD1166" s="230"/>
      <c r="AE1166" s="230"/>
      <c r="AF1166" s="230"/>
      <c r="AG1166" s="230"/>
      <c r="AH1166" s="230"/>
      <c r="AI1166" s="230"/>
      <c r="AJ1166" s="230"/>
      <c r="AK1166" s="230"/>
      <c r="AL1166" s="230"/>
      <c r="AM1166" s="230"/>
      <c r="AN1166" s="230"/>
      <c r="AO1166" s="230"/>
      <c r="AP1166" s="230"/>
      <c r="AQ1166" s="230"/>
      <c r="AS1166" s="231"/>
      <c r="AT1166" s="231"/>
      <c r="AU1166" s="231"/>
      <c r="AV1166" s="231"/>
      <c r="AW1166" s="231"/>
      <c r="AX1166" s="231"/>
      <c r="AY1166" s="231"/>
      <c r="AZ1166" s="231"/>
      <c r="BA1166" s="231"/>
      <c r="BC1166" s="82"/>
      <c r="BD1166" s="82"/>
      <c r="BE1166" s="82"/>
      <c r="BF1166" s="82"/>
      <c r="BG1166" s="82"/>
      <c r="BH1166" s="82"/>
      <c r="BI1166" s="82"/>
      <c r="BJ1166" s="82"/>
      <c r="BK1166" s="82"/>
      <c r="BL1166" s="82"/>
      <c r="BM1166" s="82"/>
      <c r="BN1166" s="82"/>
      <c r="BO1166" s="82"/>
      <c r="BP1166" s="82"/>
      <c r="BQ1166" s="82"/>
      <c r="BR1166" s="82"/>
      <c r="BS1166" s="82"/>
      <c r="BT1166" s="82"/>
      <c r="BU1166" s="82"/>
      <c r="BV1166" s="82"/>
      <c r="BW1166" s="82"/>
      <c r="BX1166" s="82"/>
      <c r="BY1166" s="82"/>
      <c r="BZ1166" s="82"/>
      <c r="CA1166" s="82"/>
      <c r="CB1166" s="82"/>
      <c r="CC1166" s="82"/>
      <c r="CD1166" s="82"/>
      <c r="CE1166" s="82"/>
      <c r="CF1166" s="82"/>
      <c r="CG1166" s="82"/>
      <c r="CH1166" s="82"/>
      <c r="CI1166" s="82"/>
      <c r="CJ1166" s="82"/>
      <c r="CK1166" s="82"/>
      <c r="CL1166" s="82"/>
      <c r="CM1166" s="82"/>
      <c r="CN1166" s="82"/>
      <c r="CO1166" s="82"/>
      <c r="CP1166" s="82"/>
      <c r="CQ1166" s="82"/>
      <c r="CR1166" s="82"/>
      <c r="CS1166" s="82"/>
      <c r="CT1166" s="82"/>
      <c r="CU1166" s="82"/>
      <c r="CV1166" s="82"/>
      <c r="CW1166" s="82"/>
      <c r="CX1166" s="82"/>
      <c r="CY1166" s="82"/>
      <c r="CZ1166" s="82"/>
      <c r="DA1166" s="82"/>
      <c r="DB1166" s="82"/>
      <c r="DC1166" s="82"/>
      <c r="DD1166" s="82"/>
      <c r="DE1166" s="82"/>
      <c r="DF1166" s="82"/>
      <c r="DG1166" s="82"/>
    </row>
    <row r="1167" spans="2:111" ht="9" customHeight="1">
      <c r="B1167" s="229"/>
      <c r="C1167" s="229"/>
      <c r="D1167" s="229"/>
      <c r="E1167" s="229"/>
      <c r="F1167" s="229"/>
      <c r="G1167" s="229"/>
      <c r="H1167" s="229"/>
      <c r="I1167" s="229"/>
      <c r="J1167" s="229"/>
      <c r="K1167" s="229"/>
      <c r="L1167" s="229"/>
      <c r="M1167" s="229"/>
      <c r="N1167" s="229"/>
      <c r="P1167" s="230"/>
      <c r="Q1167" s="230"/>
      <c r="R1167" s="230"/>
      <c r="S1167" s="230"/>
      <c r="T1167" s="230"/>
      <c r="U1167" s="230"/>
      <c r="V1167" s="230"/>
      <c r="W1167" s="230"/>
      <c r="X1167" s="230"/>
      <c r="Y1167" s="230"/>
      <c r="Z1167" s="230"/>
      <c r="AA1167" s="230"/>
      <c r="AB1167" s="230"/>
      <c r="AC1167" s="230"/>
      <c r="AD1167" s="230"/>
      <c r="AE1167" s="230"/>
      <c r="AF1167" s="230"/>
      <c r="AG1167" s="230"/>
      <c r="AH1167" s="230"/>
      <c r="AI1167" s="230"/>
      <c r="AJ1167" s="230"/>
      <c r="AK1167" s="230"/>
      <c r="AL1167" s="230"/>
      <c r="AM1167" s="230"/>
      <c r="AN1167" s="230"/>
      <c r="AO1167" s="230"/>
      <c r="AP1167" s="230"/>
      <c r="AQ1167" s="230"/>
      <c r="AS1167" s="231"/>
      <c r="AT1167" s="231"/>
      <c r="AU1167" s="231"/>
      <c r="AV1167" s="231"/>
      <c r="AW1167" s="231"/>
      <c r="AX1167" s="231"/>
      <c r="AY1167" s="231"/>
      <c r="AZ1167" s="231"/>
      <c r="BA1167" s="231"/>
      <c r="BC1167" s="82"/>
      <c r="BD1167" s="82"/>
      <c r="BE1167" s="82"/>
      <c r="BF1167" s="82"/>
      <c r="BG1167" s="82"/>
      <c r="BH1167" s="82"/>
      <c r="BI1167" s="82"/>
      <c r="BJ1167" s="82"/>
      <c r="BK1167" s="82"/>
      <c r="BL1167" s="82"/>
      <c r="BM1167" s="82"/>
      <c r="BN1167" s="82"/>
      <c r="BO1167" s="82"/>
      <c r="BP1167" s="82"/>
      <c r="BQ1167" s="82"/>
      <c r="BR1167" s="82"/>
      <c r="BS1167" s="82"/>
      <c r="BT1167" s="82"/>
      <c r="BU1167" s="82"/>
      <c r="BV1167" s="82"/>
      <c r="BW1167" s="82"/>
      <c r="BX1167" s="82"/>
      <c r="BY1167" s="82"/>
      <c r="BZ1167" s="82"/>
      <c r="CA1167" s="82"/>
      <c r="CB1167" s="82"/>
      <c r="CC1167" s="82"/>
      <c r="CD1167" s="82"/>
      <c r="CE1167" s="82"/>
      <c r="CF1167" s="82"/>
      <c r="CG1167" s="82"/>
      <c r="CH1167" s="82"/>
      <c r="CI1167" s="82"/>
      <c r="CJ1167" s="82"/>
      <c r="CK1167" s="82"/>
      <c r="CL1167" s="82"/>
      <c r="CM1167" s="82"/>
      <c r="CN1167" s="82"/>
      <c r="CO1167" s="82"/>
      <c r="CP1167" s="82"/>
      <c r="CQ1167" s="82"/>
      <c r="CR1167" s="82"/>
      <c r="CS1167" s="82"/>
      <c r="CT1167" s="82"/>
      <c r="CU1167" s="82"/>
      <c r="CV1167" s="82"/>
      <c r="CW1167" s="82"/>
      <c r="CX1167" s="82"/>
      <c r="CY1167" s="82"/>
      <c r="CZ1167" s="82"/>
      <c r="DA1167" s="82"/>
      <c r="DB1167" s="82"/>
      <c r="DC1167" s="82"/>
      <c r="DD1167" s="82"/>
      <c r="DE1167" s="82"/>
      <c r="DF1167" s="82"/>
      <c r="DG1167" s="82"/>
    </row>
    <row r="1168" spans="2:111" ht="12" customHeight="1">
      <c r="BC1168" s="82"/>
      <c r="BD1168" s="82"/>
      <c r="BE1168" s="82"/>
      <c r="BF1168" s="82"/>
      <c r="BG1168" s="82"/>
      <c r="BH1168" s="82"/>
      <c r="BI1168" s="82"/>
      <c r="BJ1168" s="82"/>
      <c r="BK1168" s="82"/>
      <c r="BL1168" s="82"/>
      <c r="BM1168" s="82"/>
      <c r="BN1168" s="82"/>
      <c r="BO1168" s="82"/>
      <c r="BP1168" s="82"/>
      <c r="BQ1168" s="82"/>
      <c r="BR1168" s="82"/>
      <c r="BS1168" s="82"/>
      <c r="BT1168" s="82"/>
      <c r="BU1168" s="82"/>
      <c r="BV1168" s="82"/>
      <c r="BW1168" s="82"/>
      <c r="BX1168" s="82"/>
      <c r="BY1168" s="82"/>
      <c r="BZ1168" s="82"/>
      <c r="CA1168" s="82"/>
      <c r="CB1168" s="82"/>
      <c r="CC1168" s="82"/>
      <c r="CD1168" s="82"/>
      <c r="CE1168" s="82"/>
      <c r="CF1168" s="82"/>
      <c r="CG1168" s="82"/>
      <c r="CH1168" s="82"/>
      <c r="CI1168" s="82"/>
      <c r="CJ1168" s="82"/>
      <c r="CK1168" s="82"/>
      <c r="CL1168" s="82"/>
      <c r="CM1168" s="82"/>
      <c r="CN1168" s="82"/>
      <c r="CO1168" s="82"/>
      <c r="CP1168" s="82"/>
      <c r="CQ1168" s="82"/>
      <c r="CR1168" s="82"/>
      <c r="CS1168" s="82"/>
      <c r="CT1168" s="82"/>
      <c r="CU1168" s="82"/>
      <c r="CV1168" s="82"/>
      <c r="CW1168" s="82"/>
      <c r="CX1168" s="82"/>
      <c r="CY1168" s="82"/>
      <c r="CZ1168" s="82"/>
      <c r="DA1168" s="82"/>
      <c r="DB1168" s="82"/>
      <c r="DC1168" s="82"/>
      <c r="DD1168" s="82"/>
      <c r="DE1168" s="82"/>
      <c r="DF1168" s="82"/>
      <c r="DG1168" s="82"/>
    </row>
    <row r="1169" spans="2:111" ht="9" customHeight="1">
      <c r="B1169" s="232" t="str">
        <f>IF($U$1120&gt;=3,"Etapa 5.3","")</f>
        <v/>
      </c>
      <c r="C1169" s="232"/>
      <c r="D1169" s="232"/>
      <c r="E1169" s="232"/>
      <c r="F1169" s="232"/>
      <c r="G1169" s="232"/>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233"/>
      <c r="AJ1169" s="233"/>
      <c r="AK1169" s="233"/>
      <c r="AL1169" s="233"/>
      <c r="AM1169" s="233"/>
      <c r="AN1169" s="233"/>
      <c r="AO1169" s="233"/>
      <c r="AP1169" s="233"/>
      <c r="AQ1169" s="233"/>
      <c r="AS1169" s="234" t="str">
        <f>IF(SUM(AS1175:BA1190)=0,"",SUM(AS1175:BA1190))</f>
        <v/>
      </c>
      <c r="AT1169" s="234"/>
      <c r="AU1169" s="234"/>
      <c r="AV1169" s="234"/>
      <c r="AW1169" s="234"/>
      <c r="AX1169" s="234"/>
      <c r="AY1169" s="234"/>
      <c r="AZ1169" s="234"/>
      <c r="BA1169" s="234"/>
      <c r="BC1169" s="82"/>
      <c r="BD1169" s="82"/>
      <c r="BE1169" s="82"/>
      <c r="BF1169" s="82"/>
      <c r="BG1169" s="82"/>
      <c r="BH1169" s="82"/>
      <c r="BI1169" s="82"/>
      <c r="BJ1169" s="82"/>
      <c r="BK1169" s="82"/>
      <c r="BL1169" s="82"/>
      <c r="BM1169" s="82"/>
      <c r="BN1169" s="82"/>
      <c r="BO1169" s="82"/>
      <c r="BP1169" s="82"/>
      <c r="BQ1169" s="82"/>
      <c r="BR1169" s="82"/>
      <c r="BS1169" s="82"/>
      <c r="BT1169" s="82"/>
      <c r="BU1169" s="82"/>
      <c r="BV1169" s="82"/>
      <c r="BW1169" s="82"/>
      <c r="BX1169" s="82"/>
      <c r="BY1169" s="82"/>
      <c r="BZ1169" s="82"/>
      <c r="CA1169" s="82"/>
      <c r="CB1169" s="82"/>
      <c r="CC1169" s="82"/>
      <c r="CD1169" s="82"/>
      <c r="CE1169" s="82"/>
      <c r="CF1169" s="82"/>
      <c r="CG1169" s="82"/>
      <c r="CH1169" s="82"/>
      <c r="CI1169" s="82"/>
      <c r="CJ1169" s="82"/>
      <c r="CK1169" s="82"/>
      <c r="CL1169" s="82"/>
      <c r="CM1169" s="82"/>
      <c r="CN1169" s="82"/>
      <c r="CO1169" s="82"/>
      <c r="CP1169" s="82"/>
      <c r="CQ1169" s="82"/>
      <c r="CR1169" s="82"/>
      <c r="CS1169" s="82"/>
      <c r="CT1169" s="82"/>
      <c r="CU1169" s="82"/>
      <c r="CV1169" s="82"/>
      <c r="CW1169" s="82"/>
      <c r="CX1169" s="82"/>
      <c r="CY1169" s="82"/>
      <c r="CZ1169" s="82"/>
      <c r="DA1169" s="82"/>
      <c r="DB1169" s="82"/>
      <c r="DC1169" s="82"/>
      <c r="DD1169" s="82"/>
      <c r="DE1169" s="82"/>
      <c r="DF1169" s="82"/>
      <c r="DG1169" s="82"/>
    </row>
    <row r="1170" spans="2:111" ht="9" customHeight="1">
      <c r="B1170" s="232"/>
      <c r="C1170" s="232"/>
      <c r="D1170" s="232"/>
      <c r="E1170" s="232"/>
      <c r="F1170" s="232"/>
      <c r="G1170" s="232"/>
      <c r="I1170" s="233"/>
      <c r="J1170" s="233"/>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3"/>
      <c r="AN1170" s="233"/>
      <c r="AO1170" s="233"/>
      <c r="AP1170" s="233"/>
      <c r="AQ1170" s="233"/>
      <c r="AS1170" s="234"/>
      <c r="AT1170" s="234"/>
      <c r="AU1170" s="234"/>
      <c r="AV1170" s="234"/>
      <c r="AW1170" s="234"/>
      <c r="AX1170" s="234"/>
      <c r="AY1170" s="234"/>
      <c r="AZ1170" s="234"/>
      <c r="BA1170" s="234"/>
      <c r="BC1170" s="82"/>
      <c r="BD1170" s="82"/>
      <c r="BE1170" s="82"/>
      <c r="BF1170" s="82"/>
      <c r="BG1170" s="82"/>
      <c r="BH1170" s="82"/>
      <c r="BI1170" s="82"/>
      <c r="BJ1170" s="82"/>
      <c r="BK1170" s="82"/>
      <c r="BL1170" s="82"/>
      <c r="BM1170" s="82"/>
      <c r="BN1170" s="82"/>
      <c r="BO1170" s="82"/>
      <c r="BP1170" s="82"/>
      <c r="BQ1170" s="82"/>
      <c r="BR1170" s="82"/>
      <c r="BS1170" s="82"/>
      <c r="BT1170" s="82"/>
      <c r="BU1170" s="82"/>
      <c r="BV1170" s="82"/>
      <c r="BW1170" s="82"/>
      <c r="BX1170" s="82"/>
      <c r="BY1170" s="82"/>
      <c r="BZ1170" s="82"/>
      <c r="CA1170" s="82"/>
      <c r="CB1170" s="82"/>
      <c r="CC1170" s="82"/>
      <c r="CD1170" s="82"/>
      <c r="CE1170" s="82"/>
      <c r="CF1170" s="82"/>
      <c r="CG1170" s="82"/>
      <c r="CH1170" s="82"/>
      <c r="CI1170" s="82"/>
      <c r="CJ1170" s="82"/>
      <c r="CK1170" s="82"/>
      <c r="CL1170" s="82"/>
      <c r="CM1170" s="82"/>
      <c r="CN1170" s="82"/>
      <c r="CO1170" s="82"/>
      <c r="CP1170" s="82"/>
      <c r="CQ1170" s="82"/>
      <c r="CR1170" s="82"/>
      <c r="CS1170" s="82"/>
      <c r="CT1170" s="82"/>
      <c r="CU1170" s="82"/>
      <c r="CV1170" s="82"/>
      <c r="CW1170" s="82"/>
      <c r="CX1170" s="82"/>
      <c r="CY1170" s="82"/>
      <c r="CZ1170" s="82"/>
      <c r="DA1170" s="82"/>
      <c r="DB1170" s="82"/>
      <c r="DC1170" s="82"/>
      <c r="DD1170" s="82"/>
      <c r="DE1170" s="82"/>
      <c r="DF1170" s="82"/>
      <c r="DG1170" s="82"/>
    </row>
    <row r="1171" spans="2:111" ht="4.5" customHeight="1">
      <c r="BC1171" s="82"/>
      <c r="BD1171" s="82"/>
      <c r="BE1171" s="82"/>
      <c r="BF1171" s="82"/>
      <c r="BG1171" s="82"/>
      <c r="BH1171" s="82"/>
      <c r="BI1171" s="82"/>
      <c r="BJ1171" s="82"/>
      <c r="BK1171" s="82"/>
      <c r="BL1171" s="82"/>
      <c r="BM1171" s="82"/>
      <c r="BN1171" s="82"/>
      <c r="BO1171" s="82"/>
      <c r="BP1171" s="82"/>
      <c r="BQ1171" s="82"/>
      <c r="BR1171" s="82"/>
      <c r="BS1171" s="82"/>
      <c r="BT1171" s="82"/>
      <c r="BU1171" s="82"/>
      <c r="BV1171" s="82"/>
      <c r="BW1171" s="82"/>
      <c r="BX1171" s="82"/>
      <c r="BY1171" s="82"/>
      <c r="BZ1171" s="82"/>
      <c r="CA1171" s="82"/>
      <c r="CB1171" s="82"/>
      <c r="CC1171" s="82"/>
      <c r="CD1171" s="82"/>
      <c r="CE1171" s="82"/>
      <c r="CF1171" s="82"/>
      <c r="CG1171" s="82"/>
      <c r="CH1171" s="82"/>
      <c r="CI1171" s="82"/>
      <c r="CJ1171" s="82"/>
      <c r="CK1171" s="82"/>
      <c r="CL1171" s="82"/>
      <c r="CM1171" s="82"/>
      <c r="CN1171" s="82"/>
      <c r="CO1171" s="82"/>
      <c r="CP1171" s="82"/>
      <c r="CQ1171" s="82"/>
      <c r="CR1171" s="82"/>
      <c r="CS1171" s="82"/>
      <c r="CT1171" s="82"/>
      <c r="CU1171" s="82"/>
      <c r="CV1171" s="82"/>
      <c r="CW1171" s="82"/>
      <c r="CX1171" s="82"/>
      <c r="CY1171" s="82"/>
      <c r="CZ1171" s="82"/>
      <c r="DA1171" s="82"/>
      <c r="DB1171" s="82"/>
      <c r="DC1171" s="82"/>
      <c r="DD1171" s="82"/>
      <c r="DE1171" s="82"/>
      <c r="DF1171" s="82"/>
      <c r="DG1171" s="82"/>
    </row>
    <row r="1172" spans="2:111" ht="9" customHeight="1">
      <c r="I1172" s="229" t="str">
        <f>IF($U$1120&gt;=3,"Início:","")</f>
        <v/>
      </c>
      <c r="J1172" s="229"/>
      <c r="K1172" s="229"/>
      <c r="L1172" s="229"/>
      <c r="M1172" s="229"/>
      <c r="N1172" s="229"/>
      <c r="P1172" s="235"/>
      <c r="Q1172" s="235"/>
      <c r="R1172" s="235"/>
      <c r="S1172" s="235"/>
      <c r="T1172" s="235"/>
      <c r="U1172" s="235"/>
      <c r="V1172" s="235"/>
      <c r="W1172" s="235"/>
      <c r="Y1172" s="229" t="str">
        <f>IF($U$1120&gt;=3,"Término:","")</f>
        <v/>
      </c>
      <c r="Z1172" s="229"/>
      <c r="AA1172" s="229"/>
      <c r="AB1172" s="229"/>
      <c r="AC1172" s="229"/>
      <c r="AD1172" s="229"/>
      <c r="AF1172" s="235"/>
      <c r="AG1172" s="235"/>
      <c r="AH1172" s="235"/>
      <c r="AI1172" s="235"/>
      <c r="AJ1172" s="235"/>
      <c r="AK1172" s="235"/>
      <c r="AL1172" s="235"/>
      <c r="AM1172" s="235"/>
      <c r="AW1172" s="236" t="str">
        <f>IF($U$1120&gt;=3,"Valor (R$):","")</f>
        <v/>
      </c>
      <c r="AX1172" s="236"/>
      <c r="AY1172" s="236"/>
      <c r="AZ1172" s="236"/>
      <c r="BA1172" s="236"/>
      <c r="BC1172" s="82"/>
      <c r="BD1172" s="82"/>
      <c r="BE1172" s="82"/>
      <c r="BF1172" s="82"/>
      <c r="BG1172" s="82"/>
      <c r="BH1172" s="82"/>
      <c r="BI1172" s="82"/>
      <c r="BJ1172" s="82"/>
      <c r="BK1172" s="82"/>
      <c r="BL1172" s="82"/>
      <c r="BM1172" s="82"/>
      <c r="BN1172" s="82"/>
      <c r="BO1172" s="82"/>
      <c r="BP1172" s="82"/>
      <c r="BQ1172" s="82"/>
      <c r="BR1172" s="82"/>
      <c r="BS1172" s="82"/>
      <c r="BT1172" s="82"/>
      <c r="BU1172" s="82"/>
      <c r="BV1172" s="82"/>
      <c r="BW1172" s="82"/>
      <c r="BX1172" s="82"/>
      <c r="BY1172" s="82"/>
      <c r="BZ1172" s="82"/>
      <c r="CA1172" s="82"/>
      <c r="CB1172" s="82"/>
      <c r="CC1172" s="82"/>
      <c r="CD1172" s="82"/>
      <c r="CE1172" s="82"/>
      <c r="CF1172" s="82"/>
      <c r="CG1172" s="82"/>
      <c r="CH1172" s="82"/>
      <c r="CI1172" s="82"/>
      <c r="CJ1172" s="82"/>
      <c r="CK1172" s="82"/>
      <c r="CL1172" s="82"/>
      <c r="CM1172" s="82"/>
      <c r="CN1172" s="82"/>
      <c r="CO1172" s="82"/>
      <c r="CP1172" s="82"/>
      <c r="CQ1172" s="82"/>
      <c r="CR1172" s="82"/>
      <c r="CS1172" s="82"/>
      <c r="CT1172" s="82"/>
      <c r="CU1172" s="82"/>
      <c r="CV1172" s="82"/>
      <c r="CW1172" s="82"/>
      <c r="CX1172" s="82"/>
      <c r="CY1172" s="82"/>
      <c r="CZ1172" s="82"/>
      <c r="DA1172" s="82"/>
      <c r="DB1172" s="82"/>
      <c r="DC1172" s="82"/>
      <c r="DD1172" s="82"/>
      <c r="DE1172" s="82"/>
      <c r="DF1172" s="82"/>
      <c r="DG1172" s="82"/>
    </row>
    <row r="1173" spans="2:111" ht="9" customHeight="1">
      <c r="I1173" s="229"/>
      <c r="J1173" s="229"/>
      <c r="K1173" s="229"/>
      <c r="L1173" s="229"/>
      <c r="M1173" s="229"/>
      <c r="N1173" s="229"/>
      <c r="P1173" s="235"/>
      <c r="Q1173" s="235"/>
      <c r="R1173" s="235"/>
      <c r="S1173" s="235"/>
      <c r="T1173" s="235"/>
      <c r="U1173" s="235"/>
      <c r="V1173" s="235"/>
      <c r="W1173" s="235"/>
      <c r="Y1173" s="229"/>
      <c r="Z1173" s="229"/>
      <c r="AA1173" s="229"/>
      <c r="AB1173" s="229"/>
      <c r="AC1173" s="229"/>
      <c r="AD1173" s="229"/>
      <c r="AF1173" s="235"/>
      <c r="AG1173" s="235"/>
      <c r="AH1173" s="235"/>
      <c r="AI1173" s="235"/>
      <c r="AJ1173" s="235"/>
      <c r="AK1173" s="235"/>
      <c r="AL1173" s="235"/>
      <c r="AM1173" s="235"/>
      <c r="AW1173" s="236"/>
      <c r="AX1173" s="236"/>
      <c r="AY1173" s="236"/>
      <c r="AZ1173" s="236"/>
      <c r="BA1173" s="236"/>
      <c r="BC1173" s="82"/>
      <c r="BD1173" s="82"/>
      <c r="BE1173" s="82"/>
      <c r="BF1173" s="82"/>
      <c r="BG1173" s="82"/>
      <c r="BH1173" s="82"/>
      <c r="BI1173" s="82"/>
      <c r="BJ1173" s="82"/>
      <c r="BK1173" s="82"/>
      <c r="BL1173" s="82"/>
      <c r="BM1173" s="82"/>
      <c r="BN1173" s="82"/>
      <c r="BO1173" s="82"/>
      <c r="BP1173" s="82"/>
      <c r="BQ1173" s="82"/>
      <c r="BR1173" s="82"/>
      <c r="BS1173" s="82"/>
      <c r="BT1173" s="82"/>
      <c r="BU1173" s="82"/>
      <c r="BV1173" s="82"/>
      <c r="BW1173" s="82"/>
      <c r="BX1173" s="82"/>
      <c r="BY1173" s="82"/>
      <c r="BZ1173" s="82"/>
      <c r="CA1173" s="82"/>
      <c r="CB1173" s="82"/>
      <c r="CC1173" s="82"/>
      <c r="CD1173" s="82"/>
      <c r="CE1173" s="82"/>
      <c r="CF1173" s="82"/>
      <c r="CG1173" s="82"/>
      <c r="CH1173" s="82"/>
      <c r="CI1173" s="82"/>
      <c r="CJ1173" s="82"/>
      <c r="CK1173" s="82"/>
      <c r="CL1173" s="82"/>
      <c r="CM1173" s="82"/>
      <c r="CN1173" s="82"/>
      <c r="CO1173" s="82"/>
      <c r="CP1173" s="82"/>
      <c r="CQ1173" s="82"/>
      <c r="CR1173" s="82"/>
      <c r="CS1173" s="82"/>
      <c r="CT1173" s="82"/>
      <c r="CU1173" s="82"/>
      <c r="CV1173" s="82"/>
      <c r="CW1173" s="82"/>
      <c r="CX1173" s="82"/>
      <c r="CY1173" s="82"/>
      <c r="CZ1173" s="82"/>
      <c r="DA1173" s="82"/>
      <c r="DB1173" s="82"/>
      <c r="DC1173" s="82"/>
      <c r="DD1173" s="82"/>
      <c r="DE1173" s="82"/>
      <c r="DF1173" s="82"/>
      <c r="DG1173" s="82"/>
    </row>
    <row r="1174" spans="2:111" ht="4.5" customHeight="1">
      <c r="BC1174" s="82"/>
      <c r="BD1174" s="82"/>
      <c r="BE1174" s="82"/>
      <c r="BF1174" s="82"/>
      <c r="BG1174" s="82"/>
      <c r="BH1174" s="82"/>
      <c r="BI1174" s="82"/>
      <c r="BJ1174" s="82"/>
      <c r="BK1174" s="82"/>
      <c r="BL1174" s="82"/>
      <c r="BM1174" s="82"/>
      <c r="BN1174" s="82"/>
      <c r="BO1174" s="82"/>
      <c r="BP1174" s="82"/>
      <c r="BQ1174" s="82"/>
      <c r="BR1174" s="82"/>
      <c r="BS1174" s="82"/>
      <c r="BT1174" s="82"/>
      <c r="BU1174" s="82"/>
      <c r="BV1174" s="82"/>
      <c r="BW1174" s="82"/>
      <c r="BX1174" s="82"/>
      <c r="BY1174" s="82"/>
      <c r="BZ1174" s="82"/>
      <c r="CA1174" s="82"/>
      <c r="CB1174" s="82"/>
      <c r="CC1174" s="82"/>
      <c r="CD1174" s="82"/>
      <c r="CE1174" s="82"/>
      <c r="CF1174" s="82"/>
      <c r="CG1174" s="82"/>
      <c r="CH1174" s="82"/>
      <c r="CI1174" s="82"/>
      <c r="CJ1174" s="82"/>
      <c r="CK1174" s="82"/>
      <c r="CL1174" s="82"/>
      <c r="CM1174" s="82"/>
      <c r="CN1174" s="82"/>
      <c r="CO1174" s="82"/>
      <c r="CP1174" s="82"/>
      <c r="CQ1174" s="82"/>
      <c r="CR1174" s="82"/>
      <c r="CS1174" s="82"/>
      <c r="CT1174" s="82"/>
      <c r="CU1174" s="82"/>
      <c r="CV1174" s="82"/>
      <c r="CW1174" s="82"/>
      <c r="CX1174" s="82"/>
      <c r="CY1174" s="82"/>
      <c r="CZ1174" s="82"/>
      <c r="DA1174" s="82"/>
      <c r="DB1174" s="82"/>
      <c r="DC1174" s="82"/>
      <c r="DD1174" s="82"/>
      <c r="DE1174" s="82"/>
      <c r="DF1174" s="82"/>
      <c r="DG1174" s="82"/>
    </row>
    <row r="1175" spans="2:111" ht="9" customHeight="1">
      <c r="B1175" s="229" t="str">
        <f>IF($U$1120&gt;=3,"Elementos de Despesa:","")</f>
        <v/>
      </c>
      <c r="C1175" s="229"/>
      <c r="D1175" s="229"/>
      <c r="E1175" s="229"/>
      <c r="F1175" s="229"/>
      <c r="G1175" s="229"/>
      <c r="H1175" s="229"/>
      <c r="I1175" s="229"/>
      <c r="J1175" s="229"/>
      <c r="K1175" s="229"/>
      <c r="L1175" s="229"/>
      <c r="M1175" s="229"/>
      <c r="N1175" s="229"/>
      <c r="P1175" s="230"/>
      <c r="Q1175" s="230"/>
      <c r="R1175" s="230"/>
      <c r="S1175" s="230"/>
      <c r="T1175" s="230"/>
      <c r="U1175" s="230"/>
      <c r="V1175" s="230"/>
      <c r="W1175" s="230"/>
      <c r="X1175" s="230"/>
      <c r="Y1175" s="230"/>
      <c r="Z1175" s="230"/>
      <c r="AA1175" s="230"/>
      <c r="AB1175" s="230"/>
      <c r="AC1175" s="230"/>
      <c r="AD1175" s="230"/>
      <c r="AE1175" s="230"/>
      <c r="AF1175" s="230"/>
      <c r="AG1175" s="230"/>
      <c r="AH1175" s="230"/>
      <c r="AI1175" s="230"/>
      <c r="AJ1175" s="230"/>
      <c r="AK1175" s="230"/>
      <c r="AL1175" s="230"/>
      <c r="AM1175" s="230"/>
      <c r="AN1175" s="230"/>
      <c r="AO1175" s="230"/>
      <c r="AP1175" s="230"/>
      <c r="AQ1175" s="230"/>
      <c r="AS1175" s="231"/>
      <c r="AT1175" s="231"/>
      <c r="AU1175" s="231"/>
      <c r="AV1175" s="231"/>
      <c r="AW1175" s="231"/>
      <c r="AX1175" s="231"/>
      <c r="AY1175" s="231"/>
      <c r="AZ1175" s="231"/>
      <c r="BA1175" s="231"/>
      <c r="BC1175" s="82"/>
      <c r="BD1175" s="82"/>
      <c r="BE1175" s="82"/>
      <c r="BF1175" s="82"/>
      <c r="BG1175" s="82"/>
      <c r="BH1175" s="82"/>
      <c r="BI1175" s="82"/>
      <c r="BJ1175" s="82"/>
      <c r="BK1175" s="82"/>
      <c r="BL1175" s="82"/>
      <c r="BM1175" s="82"/>
      <c r="BN1175" s="82"/>
      <c r="BO1175" s="82"/>
      <c r="BP1175" s="82"/>
      <c r="BQ1175" s="82"/>
      <c r="BR1175" s="82"/>
      <c r="BS1175" s="82"/>
      <c r="BT1175" s="82"/>
      <c r="BU1175" s="82"/>
      <c r="BV1175" s="82"/>
      <c r="BW1175" s="82"/>
      <c r="BX1175" s="82"/>
      <c r="BY1175" s="82"/>
      <c r="BZ1175" s="82"/>
      <c r="CA1175" s="82"/>
      <c r="CB1175" s="82"/>
      <c r="CC1175" s="82"/>
      <c r="CD1175" s="82"/>
      <c r="CE1175" s="82"/>
      <c r="CF1175" s="82"/>
      <c r="CG1175" s="82"/>
      <c r="CH1175" s="82"/>
      <c r="CI1175" s="82"/>
      <c r="CJ1175" s="82"/>
      <c r="CK1175" s="82"/>
      <c r="CL1175" s="82"/>
      <c r="CM1175" s="82"/>
      <c r="CN1175" s="82"/>
      <c r="CO1175" s="82"/>
      <c r="CP1175" s="82"/>
      <c r="CQ1175" s="82"/>
      <c r="CR1175" s="82"/>
      <c r="CS1175" s="82"/>
      <c r="CT1175" s="82"/>
      <c r="CU1175" s="82"/>
      <c r="CV1175" s="82"/>
      <c r="CW1175" s="82"/>
      <c r="CX1175" s="82"/>
      <c r="CY1175" s="82"/>
      <c r="CZ1175" s="82"/>
      <c r="DA1175" s="82"/>
      <c r="DB1175" s="82"/>
      <c r="DC1175" s="82"/>
      <c r="DD1175" s="82"/>
      <c r="DE1175" s="82"/>
      <c r="DF1175" s="82"/>
      <c r="DG1175" s="82"/>
    </row>
    <row r="1176" spans="2:111" ht="9" customHeight="1">
      <c r="B1176" s="229"/>
      <c r="C1176" s="229"/>
      <c r="D1176" s="229"/>
      <c r="E1176" s="229"/>
      <c r="F1176" s="229"/>
      <c r="G1176" s="229"/>
      <c r="H1176" s="229"/>
      <c r="I1176" s="229"/>
      <c r="J1176" s="229"/>
      <c r="K1176" s="229"/>
      <c r="L1176" s="229"/>
      <c r="M1176" s="229"/>
      <c r="N1176" s="229"/>
      <c r="P1176" s="230"/>
      <c r="Q1176" s="230"/>
      <c r="R1176" s="230"/>
      <c r="S1176" s="230"/>
      <c r="T1176" s="230"/>
      <c r="U1176" s="230"/>
      <c r="V1176" s="230"/>
      <c r="W1176" s="230"/>
      <c r="X1176" s="230"/>
      <c r="Y1176" s="230"/>
      <c r="Z1176" s="230"/>
      <c r="AA1176" s="230"/>
      <c r="AB1176" s="230"/>
      <c r="AC1176" s="230"/>
      <c r="AD1176" s="230"/>
      <c r="AE1176" s="230"/>
      <c r="AF1176" s="230"/>
      <c r="AG1176" s="230"/>
      <c r="AH1176" s="230"/>
      <c r="AI1176" s="230"/>
      <c r="AJ1176" s="230"/>
      <c r="AK1176" s="230"/>
      <c r="AL1176" s="230"/>
      <c r="AM1176" s="230"/>
      <c r="AN1176" s="230"/>
      <c r="AO1176" s="230"/>
      <c r="AP1176" s="230"/>
      <c r="AQ1176" s="230"/>
      <c r="AS1176" s="231"/>
      <c r="AT1176" s="231"/>
      <c r="AU1176" s="231"/>
      <c r="AV1176" s="231"/>
      <c r="AW1176" s="231"/>
      <c r="AX1176" s="231"/>
      <c r="AY1176" s="231"/>
      <c r="AZ1176" s="231"/>
      <c r="BA1176" s="231"/>
      <c r="BC1176" s="82"/>
      <c r="BD1176" s="82"/>
      <c r="BE1176" s="82"/>
      <c r="BF1176" s="82"/>
      <c r="BG1176" s="82"/>
      <c r="BH1176" s="82"/>
      <c r="BI1176" s="82"/>
      <c r="BJ1176" s="82"/>
      <c r="BK1176" s="82"/>
      <c r="BL1176" s="82"/>
      <c r="BM1176" s="82"/>
      <c r="BN1176" s="82"/>
      <c r="BO1176" s="82"/>
      <c r="BP1176" s="82"/>
      <c r="BQ1176" s="82"/>
      <c r="BR1176" s="82"/>
      <c r="BS1176" s="82"/>
      <c r="BT1176" s="82"/>
      <c r="BU1176" s="82"/>
      <c r="BV1176" s="82"/>
      <c r="BW1176" s="82"/>
      <c r="BX1176" s="82"/>
      <c r="BY1176" s="82"/>
      <c r="BZ1176" s="82"/>
      <c r="CA1176" s="82"/>
      <c r="CB1176" s="82"/>
      <c r="CC1176" s="82"/>
      <c r="CD1176" s="82"/>
      <c r="CE1176" s="82"/>
      <c r="CF1176" s="82"/>
      <c r="CG1176" s="82"/>
      <c r="CH1176" s="82"/>
      <c r="CI1176" s="82"/>
      <c r="CJ1176" s="82"/>
      <c r="CK1176" s="82"/>
      <c r="CL1176" s="82"/>
      <c r="CM1176" s="82"/>
      <c r="CN1176" s="82"/>
      <c r="CO1176" s="82"/>
      <c r="CP1176" s="82"/>
      <c r="CQ1176" s="82"/>
      <c r="CR1176" s="82"/>
      <c r="CS1176" s="82"/>
      <c r="CT1176" s="82"/>
      <c r="CU1176" s="82"/>
      <c r="CV1176" s="82"/>
      <c r="CW1176" s="82"/>
      <c r="CX1176" s="82"/>
      <c r="CY1176" s="82"/>
      <c r="CZ1176" s="82"/>
      <c r="DA1176" s="82"/>
      <c r="DB1176" s="82"/>
      <c r="DC1176" s="82"/>
      <c r="DD1176" s="82"/>
      <c r="DE1176" s="82"/>
      <c r="DF1176" s="82"/>
      <c r="DG1176" s="82"/>
    </row>
    <row r="1177" spans="2:111" ht="9" customHeight="1">
      <c r="B1177" s="229"/>
      <c r="C1177" s="229"/>
      <c r="D1177" s="229"/>
      <c r="E1177" s="229"/>
      <c r="F1177" s="229"/>
      <c r="G1177" s="229"/>
      <c r="H1177" s="229"/>
      <c r="I1177" s="229"/>
      <c r="J1177" s="229"/>
      <c r="K1177" s="229"/>
      <c r="L1177" s="229"/>
      <c r="M1177" s="229"/>
      <c r="N1177" s="229"/>
      <c r="P1177" s="230"/>
      <c r="Q1177" s="230"/>
      <c r="R1177" s="230"/>
      <c r="S1177" s="230"/>
      <c r="T1177" s="230"/>
      <c r="U1177" s="230"/>
      <c r="V1177" s="230"/>
      <c r="W1177" s="230"/>
      <c r="X1177" s="230"/>
      <c r="Y1177" s="230"/>
      <c r="Z1177" s="230"/>
      <c r="AA1177" s="230"/>
      <c r="AB1177" s="230"/>
      <c r="AC1177" s="230"/>
      <c r="AD1177" s="230"/>
      <c r="AE1177" s="230"/>
      <c r="AF1177" s="230"/>
      <c r="AG1177" s="230"/>
      <c r="AH1177" s="230"/>
      <c r="AI1177" s="230"/>
      <c r="AJ1177" s="230"/>
      <c r="AK1177" s="230"/>
      <c r="AL1177" s="230"/>
      <c r="AM1177" s="230"/>
      <c r="AN1177" s="230"/>
      <c r="AO1177" s="230"/>
      <c r="AP1177" s="230"/>
      <c r="AQ1177" s="230"/>
      <c r="AS1177" s="231"/>
      <c r="AT1177" s="231"/>
      <c r="AU1177" s="231"/>
      <c r="AV1177" s="231"/>
      <c r="AW1177" s="231"/>
      <c r="AX1177" s="231"/>
      <c r="AY1177" s="231"/>
      <c r="AZ1177" s="231"/>
      <c r="BA1177" s="231"/>
      <c r="BC1177" s="82"/>
      <c r="BD1177" s="82"/>
      <c r="BE1177" s="82"/>
      <c r="BF1177" s="82"/>
      <c r="BG1177" s="82"/>
      <c r="BH1177" s="82"/>
      <c r="BI1177" s="82"/>
      <c r="BJ1177" s="82"/>
      <c r="BK1177" s="82"/>
      <c r="BL1177" s="82"/>
      <c r="BM1177" s="82"/>
      <c r="BN1177" s="82"/>
      <c r="BO1177" s="82"/>
      <c r="BP1177" s="82"/>
      <c r="BQ1177" s="82"/>
      <c r="BR1177" s="82"/>
      <c r="BS1177" s="82"/>
      <c r="BT1177" s="82"/>
      <c r="BU1177" s="82"/>
      <c r="BV1177" s="82"/>
      <c r="BW1177" s="82"/>
      <c r="BX1177" s="82"/>
      <c r="BY1177" s="82"/>
      <c r="BZ1177" s="82"/>
      <c r="CA1177" s="82"/>
      <c r="CB1177" s="82"/>
      <c r="CC1177" s="82"/>
      <c r="CD1177" s="82"/>
      <c r="CE1177" s="82"/>
      <c r="CF1177" s="82"/>
      <c r="CG1177" s="82"/>
      <c r="CH1177" s="82"/>
      <c r="CI1177" s="82"/>
      <c r="CJ1177" s="82"/>
      <c r="CK1177" s="82"/>
      <c r="CL1177" s="82"/>
      <c r="CM1177" s="82"/>
      <c r="CN1177" s="82"/>
      <c r="CO1177" s="82"/>
      <c r="CP1177" s="82"/>
      <c r="CQ1177" s="82"/>
      <c r="CR1177" s="82"/>
      <c r="CS1177" s="82"/>
      <c r="CT1177" s="82"/>
      <c r="CU1177" s="82"/>
      <c r="CV1177" s="82"/>
      <c r="CW1177" s="82"/>
      <c r="CX1177" s="82"/>
      <c r="CY1177" s="82"/>
      <c r="CZ1177" s="82"/>
      <c r="DA1177" s="82"/>
      <c r="DB1177" s="82"/>
      <c r="DC1177" s="82"/>
      <c r="DD1177" s="82"/>
      <c r="DE1177" s="82"/>
      <c r="DF1177" s="82"/>
      <c r="DG1177" s="82"/>
    </row>
    <row r="1178" spans="2:111" ht="9" customHeight="1">
      <c r="B1178" s="229"/>
      <c r="C1178" s="229"/>
      <c r="D1178" s="229"/>
      <c r="E1178" s="229"/>
      <c r="F1178" s="229"/>
      <c r="G1178" s="229"/>
      <c r="H1178" s="229"/>
      <c r="I1178" s="229"/>
      <c r="J1178" s="229"/>
      <c r="K1178" s="229"/>
      <c r="L1178" s="229"/>
      <c r="M1178" s="229"/>
      <c r="N1178" s="229"/>
      <c r="P1178" s="230"/>
      <c r="Q1178" s="230"/>
      <c r="R1178" s="230"/>
      <c r="S1178" s="230"/>
      <c r="T1178" s="230"/>
      <c r="U1178" s="230"/>
      <c r="V1178" s="230"/>
      <c r="W1178" s="230"/>
      <c r="X1178" s="230"/>
      <c r="Y1178" s="230"/>
      <c r="Z1178" s="230"/>
      <c r="AA1178" s="230"/>
      <c r="AB1178" s="230"/>
      <c r="AC1178" s="230"/>
      <c r="AD1178" s="230"/>
      <c r="AE1178" s="230"/>
      <c r="AF1178" s="230"/>
      <c r="AG1178" s="230"/>
      <c r="AH1178" s="230"/>
      <c r="AI1178" s="230"/>
      <c r="AJ1178" s="230"/>
      <c r="AK1178" s="230"/>
      <c r="AL1178" s="230"/>
      <c r="AM1178" s="230"/>
      <c r="AN1178" s="230"/>
      <c r="AO1178" s="230"/>
      <c r="AP1178" s="230"/>
      <c r="AQ1178" s="230"/>
      <c r="AS1178" s="231"/>
      <c r="AT1178" s="231"/>
      <c r="AU1178" s="231"/>
      <c r="AV1178" s="231"/>
      <c r="AW1178" s="231"/>
      <c r="AX1178" s="231"/>
      <c r="AY1178" s="231"/>
      <c r="AZ1178" s="231"/>
      <c r="BA1178" s="231"/>
      <c r="BC1178" s="82"/>
      <c r="BD1178" s="82"/>
      <c r="BE1178" s="82"/>
      <c r="BF1178" s="82"/>
      <c r="BG1178" s="82"/>
      <c r="BH1178" s="82"/>
      <c r="BI1178" s="82"/>
      <c r="BJ1178" s="82"/>
      <c r="BK1178" s="82"/>
      <c r="BL1178" s="82"/>
      <c r="BM1178" s="82"/>
      <c r="BN1178" s="82"/>
      <c r="BO1178" s="82"/>
      <c r="BP1178" s="82"/>
      <c r="BQ1178" s="82"/>
      <c r="BR1178" s="82"/>
      <c r="BS1178" s="82"/>
      <c r="BT1178" s="82"/>
      <c r="BU1178" s="82"/>
      <c r="BV1178" s="82"/>
      <c r="BW1178" s="82"/>
      <c r="BX1178" s="82"/>
      <c r="BY1178" s="82"/>
      <c r="BZ1178" s="82"/>
      <c r="CA1178" s="82"/>
      <c r="CB1178" s="82"/>
      <c r="CC1178" s="82"/>
      <c r="CD1178" s="82"/>
      <c r="CE1178" s="82"/>
      <c r="CF1178" s="82"/>
      <c r="CG1178" s="82"/>
      <c r="CH1178" s="82"/>
      <c r="CI1178" s="82"/>
      <c r="CJ1178" s="82"/>
      <c r="CK1178" s="82"/>
      <c r="CL1178" s="82"/>
      <c r="CM1178" s="82"/>
      <c r="CN1178" s="82"/>
      <c r="CO1178" s="82"/>
      <c r="CP1178" s="82"/>
      <c r="CQ1178" s="82"/>
      <c r="CR1178" s="82"/>
      <c r="CS1178" s="82"/>
      <c r="CT1178" s="82"/>
      <c r="CU1178" s="82"/>
      <c r="CV1178" s="82"/>
      <c r="CW1178" s="82"/>
      <c r="CX1178" s="82"/>
      <c r="CY1178" s="82"/>
      <c r="CZ1178" s="82"/>
      <c r="DA1178" s="82"/>
      <c r="DB1178" s="82"/>
      <c r="DC1178" s="82"/>
      <c r="DD1178" s="82"/>
      <c r="DE1178" s="82"/>
      <c r="DF1178" s="82"/>
      <c r="DG1178" s="82"/>
    </row>
    <row r="1179" spans="2:111" ht="9" customHeight="1">
      <c r="B1179" s="229"/>
      <c r="C1179" s="229"/>
      <c r="D1179" s="229"/>
      <c r="E1179" s="229"/>
      <c r="F1179" s="229"/>
      <c r="G1179" s="229"/>
      <c r="H1179" s="229"/>
      <c r="I1179" s="229"/>
      <c r="J1179" s="229"/>
      <c r="K1179" s="229"/>
      <c r="L1179" s="229"/>
      <c r="M1179" s="229"/>
      <c r="N1179" s="229"/>
      <c r="P1179" s="230"/>
      <c r="Q1179" s="230"/>
      <c r="R1179" s="230"/>
      <c r="S1179" s="230"/>
      <c r="T1179" s="230"/>
      <c r="U1179" s="230"/>
      <c r="V1179" s="230"/>
      <c r="W1179" s="230"/>
      <c r="X1179" s="230"/>
      <c r="Y1179" s="230"/>
      <c r="Z1179" s="230"/>
      <c r="AA1179" s="230"/>
      <c r="AB1179" s="230"/>
      <c r="AC1179" s="230"/>
      <c r="AD1179" s="230"/>
      <c r="AE1179" s="230"/>
      <c r="AF1179" s="230"/>
      <c r="AG1179" s="230"/>
      <c r="AH1179" s="230"/>
      <c r="AI1179" s="230"/>
      <c r="AJ1179" s="230"/>
      <c r="AK1179" s="230"/>
      <c r="AL1179" s="230"/>
      <c r="AM1179" s="230"/>
      <c r="AN1179" s="230"/>
      <c r="AO1179" s="230"/>
      <c r="AP1179" s="230"/>
      <c r="AQ1179" s="230"/>
      <c r="AS1179" s="231"/>
      <c r="AT1179" s="231"/>
      <c r="AU1179" s="231"/>
      <c r="AV1179" s="231"/>
      <c r="AW1179" s="231"/>
      <c r="AX1179" s="231"/>
      <c r="AY1179" s="231"/>
      <c r="AZ1179" s="231"/>
      <c r="BA1179" s="231"/>
      <c r="BC1179" s="82"/>
      <c r="BD1179" s="82"/>
      <c r="BE1179" s="82"/>
      <c r="BF1179" s="82"/>
      <c r="BG1179" s="82"/>
      <c r="BH1179" s="82"/>
      <c r="BI1179" s="82"/>
      <c r="BJ1179" s="82"/>
      <c r="BK1179" s="82"/>
      <c r="BL1179" s="82"/>
      <c r="BM1179" s="82"/>
      <c r="BN1179" s="82"/>
      <c r="BO1179" s="82"/>
      <c r="BP1179" s="82"/>
      <c r="BQ1179" s="82"/>
      <c r="BR1179" s="82"/>
      <c r="BS1179" s="82"/>
      <c r="BT1179" s="82"/>
      <c r="BU1179" s="82"/>
      <c r="BV1179" s="82"/>
      <c r="BW1179" s="82"/>
      <c r="BX1179" s="82"/>
      <c r="BY1179" s="82"/>
      <c r="BZ1179" s="82"/>
      <c r="CA1179" s="82"/>
      <c r="CB1179" s="82"/>
      <c r="CC1179" s="82"/>
      <c r="CD1179" s="82"/>
      <c r="CE1179" s="82"/>
      <c r="CF1179" s="82"/>
      <c r="CG1179" s="82"/>
      <c r="CH1179" s="82"/>
      <c r="CI1179" s="82"/>
      <c r="CJ1179" s="82"/>
      <c r="CK1179" s="82"/>
      <c r="CL1179" s="82"/>
      <c r="CM1179" s="82"/>
      <c r="CN1179" s="82"/>
      <c r="CO1179" s="82"/>
      <c r="CP1179" s="82"/>
      <c r="CQ1179" s="82"/>
      <c r="CR1179" s="82"/>
      <c r="CS1179" s="82"/>
      <c r="CT1179" s="82"/>
      <c r="CU1179" s="82"/>
      <c r="CV1179" s="82"/>
      <c r="CW1179" s="82"/>
      <c r="CX1179" s="82"/>
      <c r="CY1179" s="82"/>
      <c r="CZ1179" s="82"/>
      <c r="DA1179" s="82"/>
      <c r="DB1179" s="82"/>
      <c r="DC1179" s="82"/>
      <c r="DD1179" s="82"/>
      <c r="DE1179" s="82"/>
      <c r="DF1179" s="82"/>
      <c r="DG1179" s="82"/>
    </row>
    <row r="1180" spans="2:111" ht="9" customHeight="1">
      <c r="B1180" s="229"/>
      <c r="C1180" s="229"/>
      <c r="D1180" s="229"/>
      <c r="E1180" s="229"/>
      <c r="F1180" s="229"/>
      <c r="G1180" s="229"/>
      <c r="H1180" s="229"/>
      <c r="I1180" s="229"/>
      <c r="J1180" s="229"/>
      <c r="K1180" s="229"/>
      <c r="L1180" s="229"/>
      <c r="M1180" s="229"/>
      <c r="N1180" s="229"/>
      <c r="P1180" s="230"/>
      <c r="Q1180" s="230"/>
      <c r="R1180" s="230"/>
      <c r="S1180" s="230"/>
      <c r="T1180" s="230"/>
      <c r="U1180" s="230"/>
      <c r="V1180" s="230"/>
      <c r="W1180" s="230"/>
      <c r="X1180" s="230"/>
      <c r="Y1180" s="230"/>
      <c r="Z1180" s="230"/>
      <c r="AA1180" s="230"/>
      <c r="AB1180" s="230"/>
      <c r="AC1180" s="230"/>
      <c r="AD1180" s="230"/>
      <c r="AE1180" s="230"/>
      <c r="AF1180" s="230"/>
      <c r="AG1180" s="230"/>
      <c r="AH1180" s="230"/>
      <c r="AI1180" s="230"/>
      <c r="AJ1180" s="230"/>
      <c r="AK1180" s="230"/>
      <c r="AL1180" s="230"/>
      <c r="AM1180" s="230"/>
      <c r="AN1180" s="230"/>
      <c r="AO1180" s="230"/>
      <c r="AP1180" s="230"/>
      <c r="AQ1180" s="230"/>
      <c r="AS1180" s="231"/>
      <c r="AT1180" s="231"/>
      <c r="AU1180" s="231"/>
      <c r="AV1180" s="231"/>
      <c r="AW1180" s="231"/>
      <c r="AX1180" s="231"/>
      <c r="AY1180" s="231"/>
      <c r="AZ1180" s="231"/>
      <c r="BA1180" s="231"/>
      <c r="BC1180" s="82"/>
      <c r="BD1180" s="82"/>
      <c r="BE1180" s="82"/>
      <c r="BF1180" s="82"/>
      <c r="BG1180" s="82"/>
      <c r="BH1180" s="82"/>
      <c r="BI1180" s="82"/>
      <c r="BJ1180" s="82"/>
      <c r="BK1180" s="82"/>
      <c r="BL1180" s="82"/>
      <c r="BM1180" s="82"/>
      <c r="BN1180" s="82"/>
      <c r="BO1180" s="82"/>
      <c r="BP1180" s="82"/>
      <c r="BQ1180" s="82"/>
      <c r="BR1180" s="82"/>
      <c r="BS1180" s="82"/>
      <c r="BT1180" s="82"/>
      <c r="BU1180" s="82"/>
      <c r="BV1180" s="82"/>
      <c r="BW1180" s="82"/>
      <c r="BX1180" s="82"/>
      <c r="BY1180" s="82"/>
      <c r="BZ1180" s="82"/>
      <c r="CA1180" s="82"/>
      <c r="CB1180" s="82"/>
      <c r="CC1180" s="82"/>
      <c r="CD1180" s="82"/>
      <c r="CE1180" s="82"/>
      <c r="CF1180" s="82"/>
      <c r="CG1180" s="82"/>
      <c r="CH1180" s="82"/>
      <c r="CI1180" s="82"/>
      <c r="CJ1180" s="82"/>
      <c r="CK1180" s="82"/>
      <c r="CL1180" s="82"/>
      <c r="CM1180" s="82"/>
      <c r="CN1180" s="82"/>
      <c r="CO1180" s="82"/>
      <c r="CP1180" s="82"/>
      <c r="CQ1180" s="82"/>
      <c r="CR1180" s="82"/>
      <c r="CS1180" s="82"/>
      <c r="CT1180" s="82"/>
      <c r="CU1180" s="82"/>
      <c r="CV1180" s="82"/>
      <c r="CW1180" s="82"/>
      <c r="CX1180" s="82"/>
      <c r="CY1180" s="82"/>
      <c r="CZ1180" s="82"/>
      <c r="DA1180" s="82"/>
      <c r="DB1180" s="82"/>
      <c r="DC1180" s="82"/>
      <c r="DD1180" s="82"/>
      <c r="DE1180" s="82"/>
      <c r="DF1180" s="82"/>
      <c r="DG1180" s="82"/>
    </row>
    <row r="1181" spans="2:111" ht="9" customHeight="1">
      <c r="B1181" s="229"/>
      <c r="C1181" s="229"/>
      <c r="D1181" s="229"/>
      <c r="E1181" s="229"/>
      <c r="F1181" s="229"/>
      <c r="G1181" s="229"/>
      <c r="H1181" s="229"/>
      <c r="I1181" s="229"/>
      <c r="J1181" s="229"/>
      <c r="K1181" s="229"/>
      <c r="L1181" s="229"/>
      <c r="M1181" s="229"/>
      <c r="N1181" s="229"/>
      <c r="P1181" s="230"/>
      <c r="Q1181" s="230"/>
      <c r="R1181" s="230"/>
      <c r="S1181" s="230"/>
      <c r="T1181" s="230"/>
      <c r="U1181" s="230"/>
      <c r="V1181" s="230"/>
      <c r="W1181" s="230"/>
      <c r="X1181" s="230"/>
      <c r="Y1181" s="230"/>
      <c r="Z1181" s="230"/>
      <c r="AA1181" s="230"/>
      <c r="AB1181" s="230"/>
      <c r="AC1181" s="230"/>
      <c r="AD1181" s="230"/>
      <c r="AE1181" s="230"/>
      <c r="AF1181" s="230"/>
      <c r="AG1181" s="230"/>
      <c r="AH1181" s="230"/>
      <c r="AI1181" s="230"/>
      <c r="AJ1181" s="230"/>
      <c r="AK1181" s="230"/>
      <c r="AL1181" s="230"/>
      <c r="AM1181" s="230"/>
      <c r="AN1181" s="230"/>
      <c r="AO1181" s="230"/>
      <c r="AP1181" s="230"/>
      <c r="AQ1181" s="230"/>
      <c r="AS1181" s="231"/>
      <c r="AT1181" s="231"/>
      <c r="AU1181" s="231"/>
      <c r="AV1181" s="231"/>
      <c r="AW1181" s="231"/>
      <c r="AX1181" s="231"/>
      <c r="AY1181" s="231"/>
      <c r="AZ1181" s="231"/>
      <c r="BA1181" s="231"/>
      <c r="BC1181" s="82"/>
      <c r="BD1181" s="82"/>
      <c r="BE1181" s="82"/>
      <c r="BF1181" s="82"/>
      <c r="BG1181" s="82"/>
      <c r="BH1181" s="82"/>
      <c r="BI1181" s="82"/>
      <c r="BJ1181" s="82"/>
      <c r="BK1181" s="82"/>
      <c r="BL1181" s="82"/>
      <c r="BM1181" s="82"/>
      <c r="BN1181" s="82"/>
      <c r="BO1181" s="82"/>
      <c r="BP1181" s="82"/>
      <c r="BQ1181" s="82"/>
      <c r="BR1181" s="82"/>
      <c r="BS1181" s="82"/>
      <c r="BT1181" s="82"/>
      <c r="BU1181" s="82"/>
      <c r="BV1181" s="82"/>
      <c r="BW1181" s="82"/>
      <c r="BX1181" s="82"/>
      <c r="BY1181" s="82"/>
      <c r="BZ1181" s="82"/>
      <c r="CA1181" s="82"/>
      <c r="CB1181" s="82"/>
      <c r="CC1181" s="82"/>
      <c r="CD1181" s="82"/>
      <c r="CE1181" s="82"/>
      <c r="CF1181" s="82"/>
      <c r="CG1181" s="82"/>
      <c r="CH1181" s="82"/>
      <c r="CI1181" s="82"/>
      <c r="CJ1181" s="82"/>
      <c r="CK1181" s="82"/>
      <c r="CL1181" s="82"/>
      <c r="CM1181" s="82"/>
      <c r="CN1181" s="82"/>
      <c r="CO1181" s="82"/>
      <c r="CP1181" s="82"/>
      <c r="CQ1181" s="82"/>
      <c r="CR1181" s="82"/>
      <c r="CS1181" s="82"/>
      <c r="CT1181" s="82"/>
      <c r="CU1181" s="82"/>
      <c r="CV1181" s="82"/>
      <c r="CW1181" s="82"/>
      <c r="CX1181" s="82"/>
      <c r="CY1181" s="82"/>
      <c r="CZ1181" s="82"/>
      <c r="DA1181" s="82"/>
      <c r="DB1181" s="82"/>
      <c r="DC1181" s="82"/>
      <c r="DD1181" s="82"/>
      <c r="DE1181" s="82"/>
      <c r="DF1181" s="82"/>
      <c r="DG1181" s="82"/>
    </row>
    <row r="1182" spans="2:111" ht="9" customHeight="1">
      <c r="B1182" s="229"/>
      <c r="C1182" s="229"/>
      <c r="D1182" s="229"/>
      <c r="E1182" s="229"/>
      <c r="F1182" s="229"/>
      <c r="G1182" s="229"/>
      <c r="H1182" s="229"/>
      <c r="I1182" s="229"/>
      <c r="J1182" s="229"/>
      <c r="K1182" s="229"/>
      <c r="L1182" s="229"/>
      <c r="M1182" s="229"/>
      <c r="N1182" s="229"/>
      <c r="P1182" s="230"/>
      <c r="Q1182" s="230"/>
      <c r="R1182" s="230"/>
      <c r="S1182" s="230"/>
      <c r="T1182" s="230"/>
      <c r="U1182" s="230"/>
      <c r="V1182" s="230"/>
      <c r="W1182" s="230"/>
      <c r="X1182" s="230"/>
      <c r="Y1182" s="230"/>
      <c r="Z1182" s="230"/>
      <c r="AA1182" s="230"/>
      <c r="AB1182" s="230"/>
      <c r="AC1182" s="230"/>
      <c r="AD1182" s="230"/>
      <c r="AE1182" s="230"/>
      <c r="AF1182" s="230"/>
      <c r="AG1182" s="230"/>
      <c r="AH1182" s="230"/>
      <c r="AI1182" s="230"/>
      <c r="AJ1182" s="230"/>
      <c r="AK1182" s="230"/>
      <c r="AL1182" s="230"/>
      <c r="AM1182" s="230"/>
      <c r="AN1182" s="230"/>
      <c r="AO1182" s="230"/>
      <c r="AP1182" s="230"/>
      <c r="AQ1182" s="230"/>
      <c r="AS1182" s="231"/>
      <c r="AT1182" s="231"/>
      <c r="AU1182" s="231"/>
      <c r="AV1182" s="231"/>
      <c r="AW1182" s="231"/>
      <c r="AX1182" s="231"/>
      <c r="AY1182" s="231"/>
      <c r="AZ1182" s="231"/>
      <c r="BA1182" s="231"/>
      <c r="BC1182" s="82"/>
      <c r="BD1182" s="82"/>
      <c r="BE1182" s="82"/>
      <c r="BF1182" s="82"/>
      <c r="BG1182" s="82"/>
      <c r="BH1182" s="82"/>
      <c r="BI1182" s="82"/>
      <c r="BJ1182" s="82"/>
      <c r="BK1182" s="82"/>
      <c r="BL1182" s="82"/>
      <c r="BM1182" s="82"/>
      <c r="BN1182" s="82"/>
      <c r="BO1182" s="82"/>
      <c r="BP1182" s="82"/>
      <c r="BQ1182" s="82"/>
      <c r="BR1182" s="82"/>
      <c r="BS1182" s="82"/>
      <c r="BT1182" s="82"/>
      <c r="BU1182" s="82"/>
      <c r="BV1182" s="82"/>
      <c r="BW1182" s="82"/>
      <c r="BX1182" s="82"/>
      <c r="BY1182" s="82"/>
      <c r="BZ1182" s="82"/>
      <c r="CA1182" s="82"/>
      <c r="CB1182" s="82"/>
      <c r="CC1182" s="82"/>
      <c r="CD1182" s="82"/>
      <c r="CE1182" s="82"/>
      <c r="CF1182" s="82"/>
      <c r="CG1182" s="82"/>
      <c r="CH1182" s="82"/>
      <c r="CI1182" s="82"/>
      <c r="CJ1182" s="82"/>
      <c r="CK1182" s="82"/>
      <c r="CL1182" s="82"/>
      <c r="CM1182" s="82"/>
      <c r="CN1182" s="82"/>
      <c r="CO1182" s="82"/>
      <c r="CP1182" s="82"/>
      <c r="CQ1182" s="82"/>
      <c r="CR1182" s="82"/>
      <c r="CS1182" s="82"/>
      <c r="CT1182" s="82"/>
      <c r="CU1182" s="82"/>
      <c r="CV1182" s="82"/>
      <c r="CW1182" s="82"/>
      <c r="CX1182" s="82"/>
      <c r="CY1182" s="82"/>
      <c r="CZ1182" s="82"/>
      <c r="DA1182" s="82"/>
      <c r="DB1182" s="82"/>
      <c r="DC1182" s="82"/>
      <c r="DD1182" s="82"/>
      <c r="DE1182" s="82"/>
      <c r="DF1182" s="82"/>
      <c r="DG1182" s="82"/>
    </row>
    <row r="1183" spans="2:111" ht="9" customHeight="1">
      <c r="B1183" s="229"/>
      <c r="C1183" s="229"/>
      <c r="D1183" s="229"/>
      <c r="E1183" s="229"/>
      <c r="F1183" s="229"/>
      <c r="G1183" s="229"/>
      <c r="H1183" s="229"/>
      <c r="I1183" s="229"/>
      <c r="J1183" s="229"/>
      <c r="K1183" s="229"/>
      <c r="L1183" s="229"/>
      <c r="M1183" s="229"/>
      <c r="N1183" s="229"/>
      <c r="P1183" s="230"/>
      <c r="Q1183" s="230"/>
      <c r="R1183" s="230"/>
      <c r="S1183" s="230"/>
      <c r="T1183" s="230"/>
      <c r="U1183" s="230"/>
      <c r="V1183" s="230"/>
      <c r="W1183" s="230"/>
      <c r="X1183" s="230"/>
      <c r="Y1183" s="230"/>
      <c r="Z1183" s="230"/>
      <c r="AA1183" s="230"/>
      <c r="AB1183" s="230"/>
      <c r="AC1183" s="230"/>
      <c r="AD1183" s="230"/>
      <c r="AE1183" s="230"/>
      <c r="AF1183" s="230"/>
      <c r="AG1183" s="230"/>
      <c r="AH1183" s="230"/>
      <c r="AI1183" s="230"/>
      <c r="AJ1183" s="230"/>
      <c r="AK1183" s="230"/>
      <c r="AL1183" s="230"/>
      <c r="AM1183" s="230"/>
      <c r="AN1183" s="230"/>
      <c r="AO1183" s="230"/>
      <c r="AP1183" s="230"/>
      <c r="AQ1183" s="230"/>
      <c r="AS1183" s="231"/>
      <c r="AT1183" s="231"/>
      <c r="AU1183" s="231"/>
      <c r="AV1183" s="231"/>
      <c r="AW1183" s="231"/>
      <c r="AX1183" s="231"/>
      <c r="AY1183" s="231"/>
      <c r="AZ1183" s="231"/>
      <c r="BA1183" s="231"/>
      <c r="BC1183" s="82"/>
      <c r="BD1183" s="82"/>
      <c r="BE1183" s="82"/>
      <c r="BF1183" s="82"/>
      <c r="BG1183" s="82"/>
      <c r="BH1183" s="82"/>
      <c r="BI1183" s="82"/>
      <c r="BJ1183" s="82"/>
      <c r="BK1183" s="82"/>
      <c r="BL1183" s="82"/>
      <c r="BM1183" s="82"/>
      <c r="BN1183" s="82"/>
      <c r="BO1183" s="82"/>
      <c r="BP1183" s="82"/>
      <c r="BQ1183" s="82"/>
      <c r="BR1183" s="82"/>
      <c r="BS1183" s="82"/>
      <c r="BT1183" s="82"/>
      <c r="BU1183" s="82"/>
      <c r="BV1183" s="82"/>
      <c r="BW1183" s="82"/>
      <c r="BX1183" s="82"/>
      <c r="BY1183" s="82"/>
      <c r="BZ1183" s="82"/>
      <c r="CA1183" s="82"/>
      <c r="CB1183" s="82"/>
      <c r="CC1183" s="82"/>
      <c r="CD1183" s="82"/>
      <c r="CE1183" s="82"/>
      <c r="CF1183" s="82"/>
      <c r="CG1183" s="82"/>
      <c r="CH1183" s="82"/>
      <c r="CI1183" s="82"/>
      <c r="CJ1183" s="82"/>
      <c r="CK1183" s="82"/>
      <c r="CL1183" s="82"/>
      <c r="CM1183" s="82"/>
      <c r="CN1183" s="82"/>
      <c r="CO1183" s="82"/>
      <c r="CP1183" s="82"/>
      <c r="CQ1183" s="82"/>
      <c r="CR1183" s="82"/>
      <c r="CS1183" s="82"/>
      <c r="CT1183" s="82"/>
      <c r="CU1183" s="82"/>
      <c r="CV1183" s="82"/>
      <c r="CW1183" s="82"/>
      <c r="CX1183" s="82"/>
      <c r="CY1183" s="82"/>
      <c r="CZ1183" s="82"/>
      <c r="DA1183" s="82"/>
      <c r="DB1183" s="82"/>
      <c r="DC1183" s="82"/>
      <c r="DD1183" s="82"/>
      <c r="DE1183" s="82"/>
      <c r="DF1183" s="82"/>
      <c r="DG1183" s="82"/>
    </row>
    <row r="1184" spans="2:111" ht="9" customHeight="1">
      <c r="B1184" s="229"/>
      <c r="C1184" s="229"/>
      <c r="D1184" s="229"/>
      <c r="E1184" s="229"/>
      <c r="F1184" s="229"/>
      <c r="G1184" s="229"/>
      <c r="H1184" s="229"/>
      <c r="I1184" s="229"/>
      <c r="J1184" s="229"/>
      <c r="K1184" s="229"/>
      <c r="L1184" s="229"/>
      <c r="M1184" s="229"/>
      <c r="N1184" s="229"/>
      <c r="P1184" s="230"/>
      <c r="Q1184" s="230"/>
      <c r="R1184" s="230"/>
      <c r="S1184" s="230"/>
      <c r="T1184" s="230"/>
      <c r="U1184" s="230"/>
      <c r="V1184" s="230"/>
      <c r="W1184" s="230"/>
      <c r="X1184" s="230"/>
      <c r="Y1184" s="230"/>
      <c r="Z1184" s="230"/>
      <c r="AA1184" s="230"/>
      <c r="AB1184" s="230"/>
      <c r="AC1184" s="230"/>
      <c r="AD1184" s="230"/>
      <c r="AE1184" s="230"/>
      <c r="AF1184" s="230"/>
      <c r="AG1184" s="230"/>
      <c r="AH1184" s="230"/>
      <c r="AI1184" s="230"/>
      <c r="AJ1184" s="230"/>
      <c r="AK1184" s="230"/>
      <c r="AL1184" s="230"/>
      <c r="AM1184" s="230"/>
      <c r="AN1184" s="230"/>
      <c r="AO1184" s="230"/>
      <c r="AP1184" s="230"/>
      <c r="AQ1184" s="230"/>
      <c r="AS1184" s="231"/>
      <c r="AT1184" s="231"/>
      <c r="AU1184" s="231"/>
      <c r="AV1184" s="231"/>
      <c r="AW1184" s="231"/>
      <c r="AX1184" s="231"/>
      <c r="AY1184" s="231"/>
      <c r="AZ1184" s="231"/>
      <c r="BA1184" s="231"/>
      <c r="BC1184" s="82"/>
      <c r="BD1184" s="82"/>
      <c r="BE1184" s="82"/>
      <c r="BF1184" s="82"/>
      <c r="BG1184" s="82"/>
      <c r="BH1184" s="82"/>
      <c r="BI1184" s="82"/>
      <c r="BJ1184" s="82"/>
      <c r="BK1184" s="82"/>
      <c r="BL1184" s="82"/>
      <c r="BM1184" s="82"/>
      <c r="BN1184" s="82"/>
      <c r="BO1184" s="82"/>
      <c r="BP1184" s="82"/>
      <c r="BQ1184" s="82"/>
      <c r="BR1184" s="82"/>
      <c r="BS1184" s="82"/>
      <c r="BT1184" s="82"/>
      <c r="BU1184" s="82"/>
      <c r="BV1184" s="82"/>
      <c r="BW1184" s="82"/>
      <c r="BX1184" s="82"/>
      <c r="BY1184" s="82"/>
      <c r="BZ1184" s="82"/>
      <c r="CA1184" s="82"/>
      <c r="CB1184" s="82"/>
      <c r="CC1184" s="82"/>
      <c r="CD1184" s="82"/>
      <c r="CE1184" s="82"/>
      <c r="CF1184" s="82"/>
      <c r="CG1184" s="82"/>
      <c r="CH1184" s="82"/>
      <c r="CI1184" s="82"/>
      <c r="CJ1184" s="82"/>
      <c r="CK1184" s="82"/>
      <c r="CL1184" s="82"/>
      <c r="CM1184" s="82"/>
      <c r="CN1184" s="82"/>
      <c r="CO1184" s="82"/>
      <c r="CP1184" s="82"/>
      <c r="CQ1184" s="82"/>
      <c r="CR1184" s="82"/>
      <c r="CS1184" s="82"/>
      <c r="CT1184" s="82"/>
      <c r="CU1184" s="82"/>
      <c r="CV1184" s="82"/>
      <c r="CW1184" s="82"/>
      <c r="CX1184" s="82"/>
      <c r="CY1184" s="82"/>
      <c r="CZ1184" s="82"/>
      <c r="DA1184" s="82"/>
      <c r="DB1184" s="82"/>
      <c r="DC1184" s="82"/>
      <c r="DD1184" s="82"/>
      <c r="DE1184" s="82"/>
      <c r="DF1184" s="82"/>
      <c r="DG1184" s="82"/>
    </row>
    <row r="1185" spans="2:111" ht="9" customHeight="1">
      <c r="B1185" s="229"/>
      <c r="C1185" s="229"/>
      <c r="D1185" s="229"/>
      <c r="E1185" s="229"/>
      <c r="F1185" s="229"/>
      <c r="G1185" s="229"/>
      <c r="H1185" s="229"/>
      <c r="I1185" s="229"/>
      <c r="J1185" s="229"/>
      <c r="K1185" s="229"/>
      <c r="L1185" s="229"/>
      <c r="M1185" s="229"/>
      <c r="N1185" s="229"/>
      <c r="P1185" s="230"/>
      <c r="Q1185" s="230"/>
      <c r="R1185" s="230"/>
      <c r="S1185" s="230"/>
      <c r="T1185" s="230"/>
      <c r="U1185" s="230"/>
      <c r="V1185" s="230"/>
      <c r="W1185" s="230"/>
      <c r="X1185" s="230"/>
      <c r="Y1185" s="230"/>
      <c r="Z1185" s="230"/>
      <c r="AA1185" s="230"/>
      <c r="AB1185" s="230"/>
      <c r="AC1185" s="230"/>
      <c r="AD1185" s="230"/>
      <c r="AE1185" s="230"/>
      <c r="AF1185" s="230"/>
      <c r="AG1185" s="230"/>
      <c r="AH1185" s="230"/>
      <c r="AI1185" s="230"/>
      <c r="AJ1185" s="230"/>
      <c r="AK1185" s="230"/>
      <c r="AL1185" s="230"/>
      <c r="AM1185" s="230"/>
      <c r="AN1185" s="230"/>
      <c r="AO1185" s="230"/>
      <c r="AP1185" s="230"/>
      <c r="AQ1185" s="230"/>
      <c r="AS1185" s="231"/>
      <c r="AT1185" s="231"/>
      <c r="AU1185" s="231"/>
      <c r="AV1185" s="231"/>
      <c r="AW1185" s="231"/>
      <c r="AX1185" s="231"/>
      <c r="AY1185" s="231"/>
      <c r="AZ1185" s="231"/>
      <c r="BA1185" s="231"/>
      <c r="BC1185" s="82"/>
      <c r="BD1185" s="82"/>
      <c r="BE1185" s="82"/>
      <c r="BF1185" s="82"/>
      <c r="BG1185" s="82"/>
      <c r="BH1185" s="82"/>
      <c r="BI1185" s="82"/>
      <c r="BJ1185" s="82"/>
      <c r="BK1185" s="82"/>
      <c r="BL1185" s="82"/>
      <c r="BM1185" s="82"/>
      <c r="BN1185" s="82"/>
      <c r="BO1185" s="82"/>
      <c r="BP1185" s="82"/>
      <c r="BQ1185" s="82"/>
      <c r="BR1185" s="82"/>
      <c r="BS1185" s="82"/>
      <c r="BT1185" s="82"/>
      <c r="BU1185" s="82"/>
      <c r="BV1185" s="82"/>
      <c r="BW1185" s="82"/>
      <c r="BX1185" s="82"/>
      <c r="BY1185" s="82"/>
      <c r="BZ1185" s="82"/>
      <c r="CA1185" s="82"/>
      <c r="CB1185" s="82"/>
      <c r="CC1185" s="82"/>
      <c r="CD1185" s="82"/>
      <c r="CE1185" s="82"/>
      <c r="CF1185" s="82"/>
      <c r="CG1185" s="82"/>
      <c r="CH1185" s="82"/>
      <c r="CI1185" s="82"/>
      <c r="CJ1185" s="82"/>
      <c r="CK1185" s="82"/>
      <c r="CL1185" s="82"/>
      <c r="CM1185" s="82"/>
      <c r="CN1185" s="82"/>
      <c r="CO1185" s="82"/>
      <c r="CP1185" s="82"/>
      <c r="CQ1185" s="82"/>
      <c r="CR1185" s="82"/>
      <c r="CS1185" s="82"/>
      <c r="CT1185" s="82"/>
      <c r="CU1185" s="82"/>
      <c r="CV1185" s="82"/>
      <c r="CW1185" s="82"/>
      <c r="CX1185" s="82"/>
      <c r="CY1185" s="82"/>
      <c r="CZ1185" s="82"/>
      <c r="DA1185" s="82"/>
      <c r="DB1185" s="82"/>
      <c r="DC1185" s="82"/>
      <c r="DD1185" s="82"/>
      <c r="DE1185" s="82"/>
      <c r="DF1185" s="82"/>
      <c r="DG1185" s="82"/>
    </row>
    <row r="1186" spans="2:111" ht="9" customHeight="1">
      <c r="B1186" s="229"/>
      <c r="C1186" s="229"/>
      <c r="D1186" s="229"/>
      <c r="E1186" s="229"/>
      <c r="F1186" s="229"/>
      <c r="G1186" s="229"/>
      <c r="H1186" s="229"/>
      <c r="I1186" s="229"/>
      <c r="J1186" s="229"/>
      <c r="K1186" s="229"/>
      <c r="L1186" s="229"/>
      <c r="M1186" s="229"/>
      <c r="N1186" s="229"/>
      <c r="P1186" s="230"/>
      <c r="Q1186" s="230"/>
      <c r="R1186" s="230"/>
      <c r="S1186" s="230"/>
      <c r="T1186" s="230"/>
      <c r="U1186" s="230"/>
      <c r="V1186" s="230"/>
      <c r="W1186" s="230"/>
      <c r="X1186" s="230"/>
      <c r="Y1186" s="230"/>
      <c r="Z1186" s="230"/>
      <c r="AA1186" s="230"/>
      <c r="AB1186" s="230"/>
      <c r="AC1186" s="230"/>
      <c r="AD1186" s="230"/>
      <c r="AE1186" s="230"/>
      <c r="AF1186" s="230"/>
      <c r="AG1186" s="230"/>
      <c r="AH1186" s="230"/>
      <c r="AI1186" s="230"/>
      <c r="AJ1186" s="230"/>
      <c r="AK1186" s="230"/>
      <c r="AL1186" s="230"/>
      <c r="AM1186" s="230"/>
      <c r="AN1186" s="230"/>
      <c r="AO1186" s="230"/>
      <c r="AP1186" s="230"/>
      <c r="AQ1186" s="230"/>
      <c r="AS1186" s="231"/>
      <c r="AT1186" s="231"/>
      <c r="AU1186" s="231"/>
      <c r="AV1186" s="231"/>
      <c r="AW1186" s="231"/>
      <c r="AX1186" s="231"/>
      <c r="AY1186" s="231"/>
      <c r="AZ1186" s="231"/>
      <c r="BA1186" s="231"/>
      <c r="BC1186" s="82"/>
      <c r="BD1186" s="82"/>
      <c r="BE1186" s="82"/>
      <c r="BF1186" s="82"/>
      <c r="BG1186" s="82"/>
      <c r="BH1186" s="82"/>
      <c r="BI1186" s="82"/>
      <c r="BJ1186" s="82"/>
      <c r="BK1186" s="82"/>
      <c r="BL1186" s="82"/>
      <c r="BM1186" s="82"/>
      <c r="BN1186" s="82"/>
      <c r="BO1186" s="82"/>
      <c r="BP1186" s="82"/>
      <c r="BQ1186" s="82"/>
      <c r="BR1186" s="82"/>
      <c r="BS1186" s="82"/>
      <c r="BT1186" s="82"/>
      <c r="BU1186" s="82"/>
      <c r="BV1186" s="82"/>
      <c r="BW1186" s="82"/>
      <c r="BX1186" s="82"/>
      <c r="BY1186" s="82"/>
      <c r="BZ1186" s="82"/>
      <c r="CA1186" s="82"/>
      <c r="CB1186" s="82"/>
      <c r="CC1186" s="82"/>
      <c r="CD1186" s="82"/>
      <c r="CE1186" s="82"/>
      <c r="CF1186" s="82"/>
      <c r="CG1186" s="82"/>
      <c r="CH1186" s="82"/>
      <c r="CI1186" s="82"/>
      <c r="CJ1186" s="82"/>
      <c r="CK1186" s="82"/>
      <c r="CL1186" s="82"/>
      <c r="CM1186" s="82"/>
      <c r="CN1186" s="82"/>
      <c r="CO1186" s="82"/>
      <c r="CP1186" s="82"/>
      <c r="CQ1186" s="82"/>
      <c r="CR1186" s="82"/>
      <c r="CS1186" s="82"/>
      <c r="CT1186" s="82"/>
      <c r="CU1186" s="82"/>
      <c r="CV1186" s="82"/>
      <c r="CW1186" s="82"/>
      <c r="CX1186" s="82"/>
      <c r="CY1186" s="82"/>
      <c r="CZ1186" s="82"/>
      <c r="DA1186" s="82"/>
      <c r="DB1186" s="82"/>
      <c r="DC1186" s="82"/>
      <c r="DD1186" s="82"/>
      <c r="DE1186" s="82"/>
      <c r="DF1186" s="82"/>
      <c r="DG1186" s="82"/>
    </row>
    <row r="1187" spans="2:111" ht="9" customHeight="1">
      <c r="B1187" s="229"/>
      <c r="C1187" s="229"/>
      <c r="D1187" s="229"/>
      <c r="E1187" s="229"/>
      <c r="F1187" s="229"/>
      <c r="G1187" s="229"/>
      <c r="H1187" s="229"/>
      <c r="I1187" s="229"/>
      <c r="J1187" s="229"/>
      <c r="K1187" s="229"/>
      <c r="L1187" s="229"/>
      <c r="M1187" s="229"/>
      <c r="N1187" s="229"/>
      <c r="P1187" s="230"/>
      <c r="Q1187" s="230"/>
      <c r="R1187" s="230"/>
      <c r="S1187" s="230"/>
      <c r="T1187" s="230"/>
      <c r="U1187" s="230"/>
      <c r="V1187" s="230"/>
      <c r="W1187" s="230"/>
      <c r="X1187" s="230"/>
      <c r="Y1187" s="230"/>
      <c r="Z1187" s="230"/>
      <c r="AA1187" s="230"/>
      <c r="AB1187" s="230"/>
      <c r="AC1187" s="230"/>
      <c r="AD1187" s="230"/>
      <c r="AE1187" s="230"/>
      <c r="AF1187" s="230"/>
      <c r="AG1187" s="230"/>
      <c r="AH1187" s="230"/>
      <c r="AI1187" s="230"/>
      <c r="AJ1187" s="230"/>
      <c r="AK1187" s="230"/>
      <c r="AL1187" s="230"/>
      <c r="AM1187" s="230"/>
      <c r="AN1187" s="230"/>
      <c r="AO1187" s="230"/>
      <c r="AP1187" s="230"/>
      <c r="AQ1187" s="230"/>
      <c r="AS1187" s="231"/>
      <c r="AT1187" s="231"/>
      <c r="AU1187" s="231"/>
      <c r="AV1187" s="231"/>
      <c r="AW1187" s="231"/>
      <c r="AX1187" s="231"/>
      <c r="AY1187" s="231"/>
      <c r="AZ1187" s="231"/>
      <c r="BA1187" s="231"/>
      <c r="BC1187" s="82"/>
      <c r="BD1187" s="82"/>
      <c r="BE1187" s="82"/>
      <c r="BF1187" s="82"/>
      <c r="BG1187" s="82"/>
      <c r="BH1187" s="82"/>
      <c r="BI1187" s="82"/>
      <c r="BJ1187" s="82"/>
      <c r="BK1187" s="82"/>
      <c r="BL1187" s="82"/>
      <c r="BM1187" s="82"/>
      <c r="BN1187" s="82"/>
      <c r="BO1187" s="82"/>
      <c r="BP1187" s="82"/>
      <c r="BQ1187" s="82"/>
      <c r="BR1187" s="82"/>
      <c r="BS1187" s="82"/>
      <c r="BT1187" s="82"/>
      <c r="BU1187" s="82"/>
      <c r="BV1187" s="82"/>
      <c r="BW1187" s="82"/>
      <c r="BX1187" s="82"/>
      <c r="BY1187" s="82"/>
      <c r="BZ1187" s="82"/>
      <c r="CA1187" s="82"/>
      <c r="CB1187" s="82"/>
      <c r="CC1187" s="82"/>
      <c r="CD1187" s="82"/>
      <c r="CE1187" s="82"/>
      <c r="CF1187" s="82"/>
      <c r="CG1187" s="82"/>
      <c r="CH1187" s="82"/>
      <c r="CI1187" s="82"/>
      <c r="CJ1187" s="82"/>
      <c r="CK1187" s="82"/>
      <c r="CL1187" s="82"/>
      <c r="CM1187" s="82"/>
      <c r="CN1187" s="82"/>
      <c r="CO1187" s="82"/>
      <c r="CP1187" s="82"/>
      <c r="CQ1187" s="82"/>
      <c r="CR1187" s="82"/>
      <c r="CS1187" s="82"/>
      <c r="CT1187" s="82"/>
      <c r="CU1187" s="82"/>
      <c r="CV1187" s="82"/>
      <c r="CW1187" s="82"/>
      <c r="CX1187" s="82"/>
      <c r="CY1187" s="82"/>
      <c r="CZ1187" s="82"/>
      <c r="DA1187" s="82"/>
      <c r="DB1187" s="82"/>
      <c r="DC1187" s="82"/>
      <c r="DD1187" s="82"/>
      <c r="DE1187" s="82"/>
      <c r="DF1187" s="82"/>
      <c r="DG1187" s="82"/>
    </row>
    <row r="1188" spans="2:111" ht="9" customHeight="1">
      <c r="B1188" s="229"/>
      <c r="C1188" s="229"/>
      <c r="D1188" s="229"/>
      <c r="E1188" s="229"/>
      <c r="F1188" s="229"/>
      <c r="G1188" s="229"/>
      <c r="H1188" s="229"/>
      <c r="I1188" s="229"/>
      <c r="J1188" s="229"/>
      <c r="K1188" s="229"/>
      <c r="L1188" s="229"/>
      <c r="M1188" s="229"/>
      <c r="N1188" s="229"/>
      <c r="P1188" s="230"/>
      <c r="Q1188" s="230"/>
      <c r="R1188" s="230"/>
      <c r="S1188" s="230"/>
      <c r="T1188" s="230"/>
      <c r="U1188" s="230"/>
      <c r="V1188" s="230"/>
      <c r="W1188" s="230"/>
      <c r="X1188" s="230"/>
      <c r="Y1188" s="230"/>
      <c r="Z1188" s="230"/>
      <c r="AA1188" s="230"/>
      <c r="AB1188" s="230"/>
      <c r="AC1188" s="230"/>
      <c r="AD1188" s="230"/>
      <c r="AE1188" s="230"/>
      <c r="AF1188" s="230"/>
      <c r="AG1188" s="230"/>
      <c r="AH1188" s="230"/>
      <c r="AI1188" s="230"/>
      <c r="AJ1188" s="230"/>
      <c r="AK1188" s="230"/>
      <c r="AL1188" s="230"/>
      <c r="AM1188" s="230"/>
      <c r="AN1188" s="230"/>
      <c r="AO1188" s="230"/>
      <c r="AP1188" s="230"/>
      <c r="AQ1188" s="230"/>
      <c r="AS1188" s="231"/>
      <c r="AT1188" s="231"/>
      <c r="AU1188" s="231"/>
      <c r="AV1188" s="231"/>
      <c r="AW1188" s="231"/>
      <c r="AX1188" s="231"/>
      <c r="AY1188" s="231"/>
      <c r="AZ1188" s="231"/>
      <c r="BA1188" s="231"/>
      <c r="BC1188" s="82"/>
      <c r="BD1188" s="82"/>
      <c r="BE1188" s="82"/>
      <c r="BF1188" s="82"/>
      <c r="BG1188" s="82"/>
      <c r="BH1188" s="82"/>
      <c r="BI1188" s="82"/>
      <c r="BJ1188" s="82"/>
      <c r="BK1188" s="82"/>
      <c r="BL1188" s="82"/>
      <c r="BM1188" s="82"/>
      <c r="BN1188" s="82"/>
      <c r="BO1188" s="82"/>
      <c r="BP1188" s="82"/>
      <c r="BQ1188" s="82"/>
      <c r="BR1188" s="82"/>
      <c r="BS1188" s="82"/>
      <c r="BT1188" s="82"/>
      <c r="BU1188" s="82"/>
      <c r="BV1188" s="82"/>
      <c r="BW1188" s="82"/>
      <c r="BX1188" s="82"/>
      <c r="BY1188" s="82"/>
      <c r="BZ1188" s="82"/>
      <c r="CA1188" s="82"/>
      <c r="CB1188" s="82"/>
      <c r="CC1188" s="82"/>
      <c r="CD1188" s="82"/>
      <c r="CE1188" s="82"/>
      <c r="CF1188" s="82"/>
      <c r="CG1188" s="82"/>
      <c r="CH1188" s="82"/>
      <c r="CI1188" s="82"/>
      <c r="CJ1188" s="82"/>
      <c r="CK1188" s="82"/>
      <c r="CL1188" s="82"/>
      <c r="CM1188" s="82"/>
      <c r="CN1188" s="82"/>
      <c r="CO1188" s="82"/>
      <c r="CP1188" s="82"/>
      <c r="CQ1188" s="82"/>
      <c r="CR1188" s="82"/>
      <c r="CS1188" s="82"/>
      <c r="CT1188" s="82"/>
      <c r="CU1188" s="82"/>
      <c r="CV1188" s="82"/>
      <c r="CW1188" s="82"/>
      <c r="CX1188" s="82"/>
      <c r="CY1188" s="82"/>
      <c r="CZ1188" s="82"/>
      <c r="DA1188" s="82"/>
      <c r="DB1188" s="82"/>
      <c r="DC1188" s="82"/>
      <c r="DD1188" s="82"/>
      <c r="DE1188" s="82"/>
      <c r="DF1188" s="82"/>
      <c r="DG1188" s="82"/>
    </row>
    <row r="1189" spans="2:111" ht="9" customHeight="1">
      <c r="B1189" s="229"/>
      <c r="C1189" s="229"/>
      <c r="D1189" s="229"/>
      <c r="E1189" s="229"/>
      <c r="F1189" s="229"/>
      <c r="G1189" s="229"/>
      <c r="H1189" s="229"/>
      <c r="I1189" s="229"/>
      <c r="J1189" s="229"/>
      <c r="K1189" s="229"/>
      <c r="L1189" s="229"/>
      <c r="M1189" s="229"/>
      <c r="N1189" s="229"/>
      <c r="P1189" s="230"/>
      <c r="Q1189" s="230"/>
      <c r="R1189" s="230"/>
      <c r="S1189" s="230"/>
      <c r="T1189" s="230"/>
      <c r="U1189" s="230"/>
      <c r="V1189" s="230"/>
      <c r="W1189" s="230"/>
      <c r="X1189" s="230"/>
      <c r="Y1189" s="230"/>
      <c r="Z1189" s="230"/>
      <c r="AA1189" s="230"/>
      <c r="AB1189" s="230"/>
      <c r="AC1189" s="230"/>
      <c r="AD1189" s="230"/>
      <c r="AE1189" s="230"/>
      <c r="AF1189" s="230"/>
      <c r="AG1189" s="230"/>
      <c r="AH1189" s="230"/>
      <c r="AI1189" s="230"/>
      <c r="AJ1189" s="230"/>
      <c r="AK1189" s="230"/>
      <c r="AL1189" s="230"/>
      <c r="AM1189" s="230"/>
      <c r="AN1189" s="230"/>
      <c r="AO1189" s="230"/>
      <c r="AP1189" s="230"/>
      <c r="AQ1189" s="230"/>
      <c r="AS1189" s="231"/>
      <c r="AT1189" s="231"/>
      <c r="AU1189" s="231"/>
      <c r="AV1189" s="231"/>
      <c r="AW1189" s="231"/>
      <c r="AX1189" s="231"/>
      <c r="AY1189" s="231"/>
      <c r="AZ1189" s="231"/>
      <c r="BA1189" s="231"/>
      <c r="BC1189" s="82"/>
      <c r="BD1189" s="82"/>
      <c r="BE1189" s="82"/>
      <c r="BF1189" s="82"/>
      <c r="BG1189" s="82"/>
      <c r="BH1189" s="82"/>
      <c r="BI1189" s="82"/>
      <c r="BJ1189" s="82"/>
      <c r="BK1189" s="82"/>
      <c r="BL1189" s="82"/>
      <c r="BM1189" s="82"/>
      <c r="BN1189" s="82"/>
      <c r="BO1189" s="82"/>
      <c r="BP1189" s="82"/>
      <c r="BQ1189" s="82"/>
      <c r="BR1189" s="82"/>
      <c r="BS1189" s="82"/>
      <c r="BT1189" s="82"/>
      <c r="BU1189" s="82"/>
      <c r="BV1189" s="82"/>
      <c r="BW1189" s="82"/>
      <c r="BX1189" s="82"/>
      <c r="BY1189" s="82"/>
      <c r="BZ1189" s="82"/>
      <c r="CA1189" s="82"/>
      <c r="CB1189" s="82"/>
      <c r="CC1189" s="82"/>
      <c r="CD1189" s="82"/>
      <c r="CE1189" s="82"/>
      <c r="CF1189" s="82"/>
      <c r="CG1189" s="82"/>
      <c r="CH1189" s="82"/>
      <c r="CI1189" s="82"/>
      <c r="CJ1189" s="82"/>
      <c r="CK1189" s="82"/>
      <c r="CL1189" s="82"/>
      <c r="CM1189" s="82"/>
      <c r="CN1189" s="82"/>
      <c r="CO1189" s="82"/>
      <c r="CP1189" s="82"/>
      <c r="CQ1189" s="82"/>
      <c r="CR1189" s="82"/>
      <c r="CS1189" s="82"/>
      <c r="CT1189" s="82"/>
      <c r="CU1189" s="82"/>
      <c r="CV1189" s="82"/>
      <c r="CW1189" s="82"/>
      <c r="CX1189" s="82"/>
      <c r="CY1189" s="82"/>
      <c r="CZ1189" s="82"/>
      <c r="DA1189" s="82"/>
      <c r="DB1189" s="82"/>
      <c r="DC1189" s="82"/>
      <c r="DD1189" s="82"/>
      <c r="DE1189" s="82"/>
      <c r="DF1189" s="82"/>
      <c r="DG1189" s="82"/>
    </row>
    <row r="1190" spans="2:111" ht="9" customHeight="1">
      <c r="B1190" s="229"/>
      <c r="C1190" s="229"/>
      <c r="D1190" s="229"/>
      <c r="E1190" s="229"/>
      <c r="F1190" s="229"/>
      <c r="G1190" s="229"/>
      <c r="H1190" s="229"/>
      <c r="I1190" s="229"/>
      <c r="J1190" s="229"/>
      <c r="K1190" s="229"/>
      <c r="L1190" s="229"/>
      <c r="M1190" s="229"/>
      <c r="N1190" s="229"/>
      <c r="P1190" s="230"/>
      <c r="Q1190" s="230"/>
      <c r="R1190" s="230"/>
      <c r="S1190" s="230"/>
      <c r="T1190" s="230"/>
      <c r="U1190" s="230"/>
      <c r="V1190" s="230"/>
      <c r="W1190" s="230"/>
      <c r="X1190" s="230"/>
      <c r="Y1190" s="230"/>
      <c r="Z1190" s="230"/>
      <c r="AA1190" s="230"/>
      <c r="AB1190" s="230"/>
      <c r="AC1190" s="230"/>
      <c r="AD1190" s="230"/>
      <c r="AE1190" s="230"/>
      <c r="AF1190" s="230"/>
      <c r="AG1190" s="230"/>
      <c r="AH1190" s="230"/>
      <c r="AI1190" s="230"/>
      <c r="AJ1190" s="230"/>
      <c r="AK1190" s="230"/>
      <c r="AL1190" s="230"/>
      <c r="AM1190" s="230"/>
      <c r="AN1190" s="230"/>
      <c r="AO1190" s="230"/>
      <c r="AP1190" s="230"/>
      <c r="AQ1190" s="230"/>
      <c r="AS1190" s="231"/>
      <c r="AT1190" s="231"/>
      <c r="AU1190" s="231"/>
      <c r="AV1190" s="231"/>
      <c r="AW1190" s="231"/>
      <c r="AX1190" s="231"/>
      <c r="AY1190" s="231"/>
      <c r="AZ1190" s="231"/>
      <c r="BA1190" s="231"/>
      <c r="BC1190" s="82"/>
      <c r="BD1190" s="82"/>
      <c r="BE1190" s="82"/>
      <c r="BF1190" s="82"/>
      <c r="BG1190" s="82"/>
      <c r="BH1190" s="82"/>
      <c r="BI1190" s="82"/>
      <c r="BJ1190" s="82"/>
      <c r="BK1190" s="82"/>
      <c r="BL1190" s="82"/>
      <c r="BM1190" s="82"/>
      <c r="BN1190" s="82"/>
      <c r="BO1190" s="82"/>
      <c r="BP1190" s="82"/>
      <c r="BQ1190" s="82"/>
      <c r="BR1190" s="82"/>
      <c r="BS1190" s="82"/>
      <c r="BT1190" s="82"/>
      <c r="BU1190" s="82"/>
      <c r="BV1190" s="82"/>
      <c r="BW1190" s="82"/>
      <c r="BX1190" s="82"/>
      <c r="BY1190" s="82"/>
      <c r="BZ1190" s="82"/>
      <c r="CA1190" s="82"/>
      <c r="CB1190" s="82"/>
      <c r="CC1190" s="82"/>
      <c r="CD1190" s="82"/>
      <c r="CE1190" s="82"/>
      <c r="CF1190" s="82"/>
      <c r="CG1190" s="82"/>
      <c r="CH1190" s="82"/>
      <c r="CI1190" s="82"/>
      <c r="CJ1190" s="82"/>
      <c r="CK1190" s="82"/>
      <c r="CL1190" s="82"/>
      <c r="CM1190" s="82"/>
      <c r="CN1190" s="82"/>
      <c r="CO1190" s="82"/>
      <c r="CP1190" s="82"/>
      <c r="CQ1190" s="82"/>
      <c r="CR1190" s="82"/>
      <c r="CS1190" s="82"/>
      <c r="CT1190" s="82"/>
      <c r="CU1190" s="82"/>
      <c r="CV1190" s="82"/>
      <c r="CW1190" s="82"/>
      <c r="CX1190" s="82"/>
      <c r="CY1190" s="82"/>
      <c r="CZ1190" s="82"/>
      <c r="DA1190" s="82"/>
      <c r="DB1190" s="82"/>
      <c r="DC1190" s="82"/>
      <c r="DD1190" s="82"/>
      <c r="DE1190" s="82"/>
      <c r="DF1190" s="82"/>
      <c r="DG1190" s="82"/>
    </row>
    <row r="1191" spans="2:111" ht="12" customHeight="1">
      <c r="BC1191" s="82"/>
      <c r="BD1191" s="82"/>
      <c r="BE1191" s="82"/>
      <c r="BF1191" s="82"/>
      <c r="BG1191" s="82"/>
      <c r="BH1191" s="82"/>
      <c r="BI1191" s="82"/>
      <c r="BJ1191" s="82"/>
      <c r="BK1191" s="82"/>
      <c r="BL1191" s="82"/>
      <c r="BM1191" s="82"/>
      <c r="BN1191" s="82"/>
      <c r="BO1191" s="82"/>
      <c r="BP1191" s="82"/>
      <c r="BQ1191" s="82"/>
      <c r="BR1191" s="82"/>
      <c r="BS1191" s="82"/>
      <c r="BT1191" s="82"/>
      <c r="BU1191" s="82"/>
      <c r="BV1191" s="82"/>
      <c r="BW1191" s="82"/>
      <c r="BX1191" s="82"/>
      <c r="BY1191" s="82"/>
      <c r="BZ1191" s="82"/>
      <c r="CA1191" s="82"/>
      <c r="CB1191" s="82"/>
      <c r="CC1191" s="82"/>
      <c r="CD1191" s="82"/>
      <c r="CE1191" s="82"/>
      <c r="CF1191" s="82"/>
      <c r="CG1191" s="82"/>
      <c r="CH1191" s="82"/>
      <c r="CI1191" s="82"/>
      <c r="CJ1191" s="82"/>
      <c r="CK1191" s="82"/>
      <c r="CL1191" s="82"/>
      <c r="CM1191" s="82"/>
      <c r="CN1191" s="82"/>
      <c r="CO1191" s="82"/>
      <c r="CP1191" s="82"/>
      <c r="CQ1191" s="82"/>
      <c r="CR1191" s="82"/>
      <c r="CS1191" s="82"/>
      <c r="CT1191" s="82"/>
      <c r="CU1191" s="82"/>
      <c r="CV1191" s="82"/>
      <c r="CW1191" s="82"/>
      <c r="CX1191" s="82"/>
      <c r="CY1191" s="82"/>
      <c r="CZ1191" s="82"/>
      <c r="DA1191" s="82"/>
      <c r="DB1191" s="82"/>
      <c r="DC1191" s="82"/>
      <c r="DD1191" s="82"/>
      <c r="DE1191" s="82"/>
      <c r="DF1191" s="82"/>
      <c r="DG1191" s="82"/>
    </row>
    <row r="1192" spans="2:111" ht="4.5" customHeight="1">
      <c r="B1192" s="29"/>
      <c r="C1192" s="29"/>
      <c r="D1192" s="29"/>
      <c r="E1192" s="29"/>
      <c r="F1192" s="29"/>
      <c r="G1192" s="29"/>
      <c r="H1192" s="29"/>
      <c r="I1192" s="29"/>
      <c r="J1192" s="29"/>
      <c r="K1192" s="29"/>
      <c r="L1192" s="29"/>
      <c r="M1192" s="29"/>
      <c r="N1192" s="29"/>
      <c r="O1192" s="29"/>
      <c r="P1192" s="29"/>
      <c r="Q1192" s="29"/>
      <c r="R1192" s="29"/>
      <c r="S1192" s="29"/>
      <c r="T1192" s="29"/>
      <c r="U1192" s="29"/>
      <c r="V1192" s="29"/>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C1192" s="82"/>
      <c r="BD1192" s="82"/>
      <c r="BE1192" s="82"/>
      <c r="BF1192" s="82"/>
      <c r="BG1192" s="82"/>
      <c r="BH1192" s="82"/>
      <c r="BI1192" s="82"/>
      <c r="BJ1192" s="82"/>
      <c r="BK1192" s="82"/>
      <c r="BL1192" s="82"/>
      <c r="BM1192" s="82"/>
      <c r="BN1192" s="82"/>
      <c r="BO1192" s="82"/>
      <c r="BP1192" s="82"/>
      <c r="BQ1192" s="82"/>
      <c r="BR1192" s="82"/>
      <c r="BS1192" s="82"/>
      <c r="BT1192" s="82"/>
      <c r="BU1192" s="82"/>
      <c r="BV1192" s="82"/>
      <c r="BW1192" s="82"/>
      <c r="BX1192" s="82"/>
      <c r="BY1192" s="82"/>
      <c r="BZ1192" s="82"/>
      <c r="CA1192" s="82"/>
      <c r="CB1192" s="82"/>
      <c r="CC1192" s="82"/>
      <c r="CD1192" s="82"/>
      <c r="CE1192" s="82"/>
      <c r="CF1192" s="82"/>
      <c r="CG1192" s="82"/>
      <c r="CH1192" s="82"/>
      <c r="CI1192" s="82"/>
      <c r="CJ1192" s="82"/>
      <c r="CK1192" s="82"/>
      <c r="CL1192" s="82"/>
      <c r="CM1192" s="82"/>
      <c r="CN1192" s="82"/>
      <c r="CO1192" s="82"/>
      <c r="CP1192" s="82"/>
      <c r="CQ1192" s="82"/>
      <c r="CR1192" s="82"/>
      <c r="CS1192" s="82"/>
      <c r="CT1192" s="82"/>
      <c r="CU1192" s="82"/>
      <c r="CV1192" s="82"/>
      <c r="CW1192" s="82"/>
      <c r="CX1192" s="82"/>
      <c r="CY1192" s="82"/>
      <c r="CZ1192" s="82"/>
      <c r="DA1192" s="82"/>
      <c r="DB1192" s="82"/>
      <c r="DC1192" s="82"/>
      <c r="DD1192" s="82"/>
      <c r="DE1192" s="82"/>
      <c r="DF1192" s="82"/>
      <c r="DG1192" s="82"/>
    </row>
    <row r="1193" spans="2:111" ht="9" customHeight="1">
      <c r="B1193" s="232" t="str">
        <f>IF($U$1120&gt;=4,"Etapa 5.4","")</f>
        <v/>
      </c>
      <c r="C1193" s="232"/>
      <c r="D1193" s="232"/>
      <c r="E1193" s="232"/>
      <c r="F1193" s="232"/>
      <c r="G1193" s="232"/>
      <c r="I1193" s="233"/>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AN1193" s="233"/>
      <c r="AO1193" s="233"/>
      <c r="AP1193" s="233"/>
      <c r="AQ1193" s="233"/>
      <c r="AS1193" s="234" t="str">
        <f>IF(SUM(AS1199:BA1214)=0,"",SUM(AS1199:BA1214))</f>
        <v/>
      </c>
      <c r="AT1193" s="234"/>
      <c r="AU1193" s="234"/>
      <c r="AV1193" s="234"/>
      <c r="AW1193" s="234"/>
      <c r="AX1193" s="234"/>
      <c r="AY1193" s="234"/>
      <c r="AZ1193" s="234"/>
      <c r="BA1193" s="234"/>
      <c r="BC1193" s="82"/>
      <c r="BD1193" s="82"/>
      <c r="BE1193" s="82"/>
      <c r="BF1193" s="82"/>
      <c r="BG1193" s="82"/>
      <c r="BH1193" s="82"/>
      <c r="BI1193" s="82"/>
      <c r="BJ1193" s="82"/>
      <c r="BK1193" s="82"/>
      <c r="BL1193" s="82"/>
      <c r="BM1193" s="82"/>
      <c r="BN1193" s="82"/>
      <c r="BO1193" s="82"/>
      <c r="BP1193" s="82"/>
      <c r="BQ1193" s="82"/>
      <c r="BR1193" s="82"/>
      <c r="BS1193" s="82"/>
      <c r="BT1193" s="82"/>
      <c r="BU1193" s="82"/>
      <c r="BV1193" s="82"/>
      <c r="BW1193" s="82"/>
      <c r="BX1193" s="82"/>
      <c r="BY1193" s="82"/>
      <c r="BZ1193" s="82"/>
      <c r="CA1193" s="82"/>
      <c r="CB1193" s="82"/>
      <c r="CC1193" s="82"/>
      <c r="CD1193" s="82"/>
      <c r="CE1193" s="82"/>
      <c r="CF1193" s="82"/>
      <c r="CG1193" s="82"/>
      <c r="CH1193" s="82"/>
      <c r="CI1193" s="82"/>
      <c r="CJ1193" s="82"/>
      <c r="CK1193" s="82"/>
      <c r="CL1193" s="82"/>
      <c r="CM1193" s="82"/>
      <c r="CN1193" s="82"/>
      <c r="CO1193" s="82"/>
      <c r="CP1193" s="82"/>
      <c r="CQ1193" s="82"/>
      <c r="CR1193" s="82"/>
      <c r="CS1193" s="82"/>
      <c r="CT1193" s="82"/>
      <c r="CU1193" s="82"/>
      <c r="CV1193" s="82"/>
      <c r="CW1193" s="82"/>
      <c r="CX1193" s="82"/>
      <c r="CY1193" s="82"/>
      <c r="CZ1193" s="82"/>
      <c r="DA1193" s="82"/>
      <c r="DB1193" s="82"/>
      <c r="DC1193" s="82"/>
      <c r="DD1193" s="82"/>
      <c r="DE1193" s="82"/>
      <c r="DF1193" s="82"/>
      <c r="DG1193" s="82"/>
    </row>
    <row r="1194" spans="2:111" ht="9" customHeight="1">
      <c r="B1194" s="232"/>
      <c r="C1194" s="232"/>
      <c r="D1194" s="232"/>
      <c r="E1194" s="232"/>
      <c r="F1194" s="232"/>
      <c r="G1194" s="232"/>
      <c r="I1194" s="233"/>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3"/>
      <c r="AK1194" s="233"/>
      <c r="AL1194" s="233"/>
      <c r="AM1194" s="233"/>
      <c r="AN1194" s="233"/>
      <c r="AO1194" s="233"/>
      <c r="AP1194" s="233"/>
      <c r="AQ1194" s="233"/>
      <c r="AS1194" s="234"/>
      <c r="AT1194" s="234"/>
      <c r="AU1194" s="234"/>
      <c r="AV1194" s="234"/>
      <c r="AW1194" s="234"/>
      <c r="AX1194" s="234"/>
      <c r="AY1194" s="234"/>
      <c r="AZ1194" s="234"/>
      <c r="BA1194" s="234"/>
      <c r="BC1194" s="82"/>
      <c r="BD1194" s="82"/>
      <c r="BE1194" s="82"/>
      <c r="BF1194" s="82"/>
      <c r="BG1194" s="82"/>
      <c r="BH1194" s="82"/>
      <c r="BI1194" s="82"/>
      <c r="BJ1194" s="82"/>
      <c r="BK1194" s="82"/>
      <c r="BL1194" s="82"/>
      <c r="BM1194" s="82"/>
      <c r="BN1194" s="82"/>
      <c r="BO1194" s="82"/>
      <c r="BP1194" s="82"/>
      <c r="BQ1194" s="82"/>
      <c r="BR1194" s="82"/>
      <c r="BS1194" s="82"/>
      <c r="BT1194" s="82"/>
      <c r="BU1194" s="82"/>
      <c r="BV1194" s="82"/>
      <c r="BW1194" s="82"/>
      <c r="BX1194" s="82"/>
      <c r="BY1194" s="82"/>
      <c r="BZ1194" s="82"/>
      <c r="CA1194" s="82"/>
      <c r="CB1194" s="82"/>
      <c r="CC1194" s="82"/>
      <c r="CD1194" s="82"/>
      <c r="CE1194" s="82"/>
      <c r="CF1194" s="82"/>
      <c r="CG1194" s="82"/>
      <c r="CH1194" s="82"/>
      <c r="CI1194" s="82"/>
      <c r="CJ1194" s="82"/>
      <c r="CK1194" s="82"/>
      <c r="CL1194" s="82"/>
      <c r="CM1194" s="82"/>
      <c r="CN1194" s="82"/>
      <c r="CO1194" s="82"/>
      <c r="CP1194" s="82"/>
      <c r="CQ1194" s="82"/>
      <c r="CR1194" s="82"/>
      <c r="CS1194" s="82"/>
      <c r="CT1194" s="82"/>
      <c r="CU1194" s="82"/>
      <c r="CV1194" s="82"/>
      <c r="CW1194" s="82"/>
      <c r="CX1194" s="82"/>
      <c r="CY1194" s="82"/>
      <c r="CZ1194" s="82"/>
      <c r="DA1194" s="82"/>
      <c r="DB1194" s="82"/>
      <c r="DC1194" s="82"/>
      <c r="DD1194" s="82"/>
      <c r="DE1194" s="82"/>
      <c r="DF1194" s="82"/>
      <c r="DG1194" s="82"/>
    </row>
    <row r="1195" spans="2:111" ht="4.5" customHeight="1">
      <c r="BC1195" s="82"/>
      <c r="BD1195" s="82"/>
      <c r="BE1195" s="82"/>
      <c r="BF1195" s="82"/>
      <c r="BG1195" s="82"/>
      <c r="BH1195" s="82"/>
      <c r="BI1195" s="82"/>
      <c r="BJ1195" s="82"/>
      <c r="BK1195" s="82"/>
      <c r="BL1195" s="82"/>
      <c r="BM1195" s="82"/>
      <c r="BN1195" s="82"/>
      <c r="BO1195" s="82"/>
      <c r="BP1195" s="82"/>
      <c r="BQ1195" s="82"/>
      <c r="BR1195" s="82"/>
      <c r="BS1195" s="82"/>
      <c r="BT1195" s="82"/>
      <c r="BU1195" s="82"/>
      <c r="BV1195" s="82"/>
      <c r="BW1195" s="82"/>
      <c r="BX1195" s="82"/>
      <c r="BY1195" s="82"/>
      <c r="BZ1195" s="82"/>
      <c r="CA1195" s="82"/>
      <c r="CB1195" s="82"/>
      <c r="CC1195" s="82"/>
      <c r="CD1195" s="82"/>
      <c r="CE1195" s="82"/>
      <c r="CF1195" s="82"/>
      <c r="CG1195" s="82"/>
      <c r="CH1195" s="82"/>
      <c r="CI1195" s="82"/>
      <c r="CJ1195" s="82"/>
      <c r="CK1195" s="82"/>
      <c r="CL1195" s="82"/>
      <c r="CM1195" s="82"/>
      <c r="CN1195" s="82"/>
      <c r="CO1195" s="82"/>
      <c r="CP1195" s="82"/>
      <c r="CQ1195" s="82"/>
      <c r="CR1195" s="82"/>
      <c r="CS1195" s="82"/>
      <c r="CT1195" s="82"/>
      <c r="CU1195" s="82"/>
      <c r="CV1195" s="82"/>
      <c r="CW1195" s="82"/>
      <c r="CX1195" s="82"/>
      <c r="CY1195" s="82"/>
      <c r="CZ1195" s="82"/>
      <c r="DA1195" s="82"/>
      <c r="DB1195" s="82"/>
      <c r="DC1195" s="82"/>
      <c r="DD1195" s="82"/>
      <c r="DE1195" s="82"/>
      <c r="DF1195" s="82"/>
      <c r="DG1195" s="82"/>
    </row>
    <row r="1196" spans="2:111" ht="9" customHeight="1">
      <c r="I1196" s="229" t="str">
        <f>IF($U$1120&gt;=4,"Início:","")</f>
        <v/>
      </c>
      <c r="J1196" s="229"/>
      <c r="K1196" s="229"/>
      <c r="L1196" s="229"/>
      <c r="M1196" s="229"/>
      <c r="N1196" s="229"/>
      <c r="P1196" s="235"/>
      <c r="Q1196" s="235"/>
      <c r="R1196" s="235"/>
      <c r="S1196" s="235"/>
      <c r="T1196" s="235"/>
      <c r="U1196" s="235"/>
      <c r="V1196" s="235"/>
      <c r="W1196" s="235"/>
      <c r="Y1196" s="229" t="str">
        <f>IF($U$1120&gt;=4,"Término:","")</f>
        <v/>
      </c>
      <c r="Z1196" s="229"/>
      <c r="AA1196" s="229"/>
      <c r="AB1196" s="229"/>
      <c r="AC1196" s="229"/>
      <c r="AD1196" s="229"/>
      <c r="AF1196" s="235"/>
      <c r="AG1196" s="235"/>
      <c r="AH1196" s="235"/>
      <c r="AI1196" s="235"/>
      <c r="AJ1196" s="235"/>
      <c r="AK1196" s="235"/>
      <c r="AL1196" s="235"/>
      <c r="AM1196" s="235"/>
      <c r="AW1196" s="236" t="str">
        <f>IF($U$1120&gt;=4,"Valor (R$):","")</f>
        <v/>
      </c>
      <c r="AX1196" s="236"/>
      <c r="AY1196" s="236"/>
      <c r="AZ1196" s="236"/>
      <c r="BA1196" s="236"/>
      <c r="BC1196" s="82"/>
      <c r="BD1196" s="82"/>
      <c r="BE1196" s="82"/>
      <c r="BF1196" s="82"/>
      <c r="BG1196" s="82"/>
      <c r="BH1196" s="82"/>
      <c r="BI1196" s="82"/>
      <c r="BJ1196" s="82"/>
      <c r="BK1196" s="82"/>
      <c r="BL1196" s="82"/>
      <c r="BM1196" s="82"/>
      <c r="BN1196" s="82"/>
      <c r="BO1196" s="82"/>
      <c r="BP1196" s="82"/>
      <c r="BQ1196" s="82"/>
      <c r="BR1196" s="82"/>
      <c r="BS1196" s="82"/>
      <c r="BT1196" s="82"/>
      <c r="BU1196" s="82"/>
      <c r="BV1196" s="82"/>
      <c r="BW1196" s="82"/>
      <c r="BX1196" s="82"/>
      <c r="BY1196" s="82"/>
      <c r="BZ1196" s="82"/>
      <c r="CA1196" s="82"/>
      <c r="CB1196" s="82"/>
      <c r="CC1196" s="82"/>
      <c r="CD1196" s="82"/>
      <c r="CE1196" s="82"/>
      <c r="CF1196" s="82"/>
      <c r="CG1196" s="82"/>
      <c r="CH1196" s="82"/>
      <c r="CI1196" s="82"/>
      <c r="CJ1196" s="82"/>
      <c r="CK1196" s="82"/>
      <c r="CL1196" s="82"/>
      <c r="CM1196" s="82"/>
      <c r="CN1196" s="82"/>
      <c r="CO1196" s="82"/>
      <c r="CP1196" s="82"/>
      <c r="CQ1196" s="82"/>
      <c r="CR1196" s="82"/>
      <c r="CS1196" s="82"/>
      <c r="CT1196" s="82"/>
      <c r="CU1196" s="82"/>
      <c r="CV1196" s="82"/>
      <c r="CW1196" s="82"/>
      <c r="CX1196" s="82"/>
      <c r="CY1196" s="82"/>
      <c r="CZ1196" s="82"/>
      <c r="DA1196" s="82"/>
      <c r="DB1196" s="82"/>
      <c r="DC1196" s="82"/>
      <c r="DD1196" s="82"/>
      <c r="DE1196" s="82"/>
      <c r="DF1196" s="82"/>
      <c r="DG1196" s="82"/>
    </row>
    <row r="1197" spans="2:111" ht="9" customHeight="1">
      <c r="I1197" s="229"/>
      <c r="J1197" s="229"/>
      <c r="K1197" s="229"/>
      <c r="L1197" s="229"/>
      <c r="M1197" s="229"/>
      <c r="N1197" s="229"/>
      <c r="P1197" s="235"/>
      <c r="Q1197" s="235"/>
      <c r="R1197" s="235"/>
      <c r="S1197" s="235"/>
      <c r="T1197" s="235"/>
      <c r="U1197" s="235"/>
      <c r="V1197" s="235"/>
      <c r="W1197" s="235"/>
      <c r="Y1197" s="229"/>
      <c r="Z1197" s="229"/>
      <c r="AA1197" s="229"/>
      <c r="AB1197" s="229"/>
      <c r="AC1197" s="229"/>
      <c r="AD1197" s="229"/>
      <c r="AF1197" s="235"/>
      <c r="AG1197" s="235"/>
      <c r="AH1197" s="235"/>
      <c r="AI1197" s="235"/>
      <c r="AJ1197" s="235"/>
      <c r="AK1197" s="235"/>
      <c r="AL1197" s="235"/>
      <c r="AM1197" s="235"/>
      <c r="AW1197" s="236"/>
      <c r="AX1197" s="236"/>
      <c r="AY1197" s="236"/>
      <c r="AZ1197" s="236"/>
      <c r="BA1197" s="236"/>
      <c r="BC1197" s="82"/>
      <c r="BD1197" s="82"/>
      <c r="BE1197" s="82"/>
      <c r="BF1197" s="82"/>
      <c r="BG1197" s="82"/>
      <c r="BH1197" s="82"/>
      <c r="BI1197" s="82"/>
      <c r="BJ1197" s="82"/>
      <c r="BK1197" s="82"/>
      <c r="BL1197" s="82"/>
      <c r="BM1197" s="82"/>
      <c r="BN1197" s="82"/>
      <c r="BO1197" s="82"/>
      <c r="BP1197" s="82"/>
      <c r="BQ1197" s="82"/>
      <c r="BR1197" s="82"/>
      <c r="BS1197" s="82"/>
      <c r="BT1197" s="82"/>
      <c r="BU1197" s="82"/>
      <c r="BV1197" s="82"/>
      <c r="BW1197" s="82"/>
      <c r="BX1197" s="82"/>
      <c r="BY1197" s="82"/>
      <c r="BZ1197" s="82"/>
      <c r="CA1197" s="82"/>
      <c r="CB1197" s="82"/>
      <c r="CC1197" s="82"/>
      <c r="CD1197" s="82"/>
      <c r="CE1197" s="82"/>
      <c r="CF1197" s="82"/>
      <c r="CG1197" s="82"/>
      <c r="CH1197" s="82"/>
      <c r="CI1197" s="82"/>
      <c r="CJ1197" s="82"/>
      <c r="CK1197" s="82"/>
      <c r="CL1197" s="82"/>
      <c r="CM1197" s="82"/>
      <c r="CN1197" s="82"/>
      <c r="CO1197" s="82"/>
      <c r="CP1197" s="82"/>
      <c r="CQ1197" s="82"/>
      <c r="CR1197" s="82"/>
      <c r="CS1197" s="82"/>
      <c r="CT1197" s="82"/>
      <c r="CU1197" s="82"/>
      <c r="CV1197" s="82"/>
      <c r="CW1197" s="82"/>
      <c r="CX1197" s="82"/>
      <c r="CY1197" s="82"/>
      <c r="CZ1197" s="82"/>
      <c r="DA1197" s="82"/>
      <c r="DB1197" s="82"/>
      <c r="DC1197" s="82"/>
      <c r="DD1197" s="82"/>
      <c r="DE1197" s="82"/>
      <c r="DF1197" s="82"/>
      <c r="DG1197" s="82"/>
    </row>
    <row r="1198" spans="2:111" ht="4.5" customHeight="1">
      <c r="BC1198" s="82"/>
      <c r="BD1198" s="82"/>
      <c r="BE1198" s="82"/>
      <c r="BF1198" s="82"/>
      <c r="BG1198" s="82"/>
      <c r="BH1198" s="82"/>
      <c r="BI1198" s="82"/>
      <c r="BJ1198" s="82"/>
      <c r="BK1198" s="82"/>
      <c r="BL1198" s="82"/>
      <c r="BM1198" s="82"/>
      <c r="BN1198" s="82"/>
      <c r="BO1198" s="82"/>
      <c r="BP1198" s="82"/>
      <c r="BQ1198" s="82"/>
      <c r="BR1198" s="82"/>
      <c r="BS1198" s="82"/>
      <c r="BT1198" s="82"/>
      <c r="BU1198" s="82"/>
      <c r="BV1198" s="82"/>
      <c r="BW1198" s="82"/>
      <c r="BX1198" s="82"/>
      <c r="BY1198" s="82"/>
      <c r="BZ1198" s="82"/>
      <c r="CA1198" s="82"/>
      <c r="CB1198" s="82"/>
      <c r="CC1198" s="82"/>
      <c r="CD1198" s="82"/>
      <c r="CE1198" s="82"/>
      <c r="CF1198" s="82"/>
      <c r="CG1198" s="82"/>
      <c r="CH1198" s="82"/>
      <c r="CI1198" s="82"/>
      <c r="CJ1198" s="82"/>
      <c r="CK1198" s="82"/>
      <c r="CL1198" s="82"/>
      <c r="CM1198" s="82"/>
      <c r="CN1198" s="82"/>
      <c r="CO1198" s="82"/>
      <c r="CP1198" s="82"/>
      <c r="CQ1198" s="82"/>
      <c r="CR1198" s="82"/>
      <c r="CS1198" s="82"/>
      <c r="CT1198" s="82"/>
      <c r="CU1198" s="82"/>
      <c r="CV1198" s="82"/>
      <c r="CW1198" s="82"/>
      <c r="CX1198" s="82"/>
      <c r="CY1198" s="82"/>
      <c r="CZ1198" s="82"/>
      <c r="DA1198" s="82"/>
      <c r="DB1198" s="82"/>
      <c r="DC1198" s="82"/>
      <c r="DD1198" s="82"/>
      <c r="DE1198" s="82"/>
      <c r="DF1198" s="82"/>
      <c r="DG1198" s="82"/>
    </row>
    <row r="1199" spans="2:111" ht="9" customHeight="1">
      <c r="B1199" s="229" t="str">
        <f>IF($U$1120&gt;=4,"Elementos de Despesa:","")</f>
        <v/>
      </c>
      <c r="C1199" s="229"/>
      <c r="D1199" s="229"/>
      <c r="E1199" s="229"/>
      <c r="F1199" s="229"/>
      <c r="G1199" s="229"/>
      <c r="H1199" s="229"/>
      <c r="I1199" s="229"/>
      <c r="J1199" s="229"/>
      <c r="K1199" s="229"/>
      <c r="L1199" s="229"/>
      <c r="M1199" s="229"/>
      <c r="N1199" s="229"/>
      <c r="P1199" s="230"/>
      <c r="Q1199" s="230"/>
      <c r="R1199" s="230"/>
      <c r="S1199" s="230"/>
      <c r="T1199" s="230"/>
      <c r="U1199" s="230"/>
      <c r="V1199" s="230"/>
      <c r="W1199" s="230"/>
      <c r="X1199" s="230"/>
      <c r="Y1199" s="230"/>
      <c r="Z1199" s="230"/>
      <c r="AA1199" s="230"/>
      <c r="AB1199" s="230"/>
      <c r="AC1199" s="230"/>
      <c r="AD1199" s="230"/>
      <c r="AE1199" s="230"/>
      <c r="AF1199" s="230"/>
      <c r="AG1199" s="230"/>
      <c r="AH1199" s="230"/>
      <c r="AI1199" s="230"/>
      <c r="AJ1199" s="230"/>
      <c r="AK1199" s="230"/>
      <c r="AL1199" s="230"/>
      <c r="AM1199" s="230"/>
      <c r="AN1199" s="230"/>
      <c r="AO1199" s="230"/>
      <c r="AP1199" s="230"/>
      <c r="AQ1199" s="230"/>
      <c r="AS1199" s="231"/>
      <c r="AT1199" s="231"/>
      <c r="AU1199" s="231"/>
      <c r="AV1199" s="231"/>
      <c r="AW1199" s="231"/>
      <c r="AX1199" s="231"/>
      <c r="AY1199" s="231"/>
      <c r="AZ1199" s="231"/>
      <c r="BA1199" s="231"/>
      <c r="BC1199" s="82"/>
      <c r="BD1199" s="82"/>
      <c r="BE1199" s="82"/>
      <c r="BF1199" s="82"/>
      <c r="BG1199" s="82"/>
      <c r="BH1199" s="82"/>
      <c r="BI1199" s="82"/>
      <c r="BJ1199" s="82"/>
      <c r="BK1199" s="82"/>
      <c r="BL1199" s="82"/>
      <c r="BM1199" s="82"/>
      <c r="BN1199" s="82"/>
      <c r="BO1199" s="82"/>
      <c r="BP1199" s="82"/>
      <c r="BQ1199" s="82"/>
      <c r="BR1199" s="82"/>
      <c r="BS1199" s="82"/>
      <c r="BT1199" s="82"/>
      <c r="BU1199" s="82"/>
      <c r="BV1199" s="82"/>
      <c r="BW1199" s="82"/>
      <c r="BX1199" s="82"/>
      <c r="BY1199" s="82"/>
      <c r="BZ1199" s="82"/>
      <c r="CA1199" s="82"/>
      <c r="CB1199" s="82"/>
      <c r="CC1199" s="82"/>
      <c r="CD1199" s="82"/>
      <c r="CE1199" s="82"/>
      <c r="CF1199" s="82"/>
      <c r="CG1199" s="82"/>
      <c r="CH1199" s="82"/>
      <c r="CI1199" s="82"/>
      <c r="CJ1199" s="82"/>
      <c r="CK1199" s="82"/>
      <c r="CL1199" s="82"/>
      <c r="CM1199" s="82"/>
      <c r="CN1199" s="82"/>
      <c r="CO1199" s="82"/>
      <c r="CP1199" s="82"/>
      <c r="CQ1199" s="82"/>
      <c r="CR1199" s="82"/>
      <c r="CS1199" s="82"/>
      <c r="CT1199" s="82"/>
      <c r="CU1199" s="82"/>
      <c r="CV1199" s="82"/>
      <c r="CW1199" s="82"/>
      <c r="CX1199" s="82"/>
      <c r="CY1199" s="82"/>
      <c r="CZ1199" s="82"/>
      <c r="DA1199" s="82"/>
      <c r="DB1199" s="82"/>
      <c r="DC1199" s="82"/>
      <c r="DD1199" s="82"/>
      <c r="DE1199" s="82"/>
      <c r="DF1199" s="82"/>
      <c r="DG1199" s="82"/>
    </row>
    <row r="1200" spans="2:111" ht="9" customHeight="1">
      <c r="B1200" s="229"/>
      <c r="C1200" s="229"/>
      <c r="D1200" s="229"/>
      <c r="E1200" s="229"/>
      <c r="F1200" s="229"/>
      <c r="G1200" s="229"/>
      <c r="H1200" s="229"/>
      <c r="I1200" s="229"/>
      <c r="J1200" s="229"/>
      <c r="K1200" s="229"/>
      <c r="L1200" s="229"/>
      <c r="M1200" s="229"/>
      <c r="N1200" s="229"/>
      <c r="P1200" s="230"/>
      <c r="Q1200" s="230"/>
      <c r="R1200" s="230"/>
      <c r="S1200" s="230"/>
      <c r="T1200" s="230"/>
      <c r="U1200" s="230"/>
      <c r="V1200" s="230"/>
      <c r="W1200" s="230"/>
      <c r="X1200" s="230"/>
      <c r="Y1200" s="230"/>
      <c r="Z1200" s="230"/>
      <c r="AA1200" s="230"/>
      <c r="AB1200" s="230"/>
      <c r="AC1200" s="230"/>
      <c r="AD1200" s="230"/>
      <c r="AE1200" s="230"/>
      <c r="AF1200" s="230"/>
      <c r="AG1200" s="230"/>
      <c r="AH1200" s="230"/>
      <c r="AI1200" s="230"/>
      <c r="AJ1200" s="230"/>
      <c r="AK1200" s="230"/>
      <c r="AL1200" s="230"/>
      <c r="AM1200" s="230"/>
      <c r="AN1200" s="230"/>
      <c r="AO1200" s="230"/>
      <c r="AP1200" s="230"/>
      <c r="AQ1200" s="230"/>
      <c r="AS1200" s="231"/>
      <c r="AT1200" s="231"/>
      <c r="AU1200" s="231"/>
      <c r="AV1200" s="231"/>
      <c r="AW1200" s="231"/>
      <c r="AX1200" s="231"/>
      <c r="AY1200" s="231"/>
      <c r="AZ1200" s="231"/>
      <c r="BA1200" s="231"/>
      <c r="BC1200" s="82"/>
      <c r="BD1200" s="82"/>
      <c r="BE1200" s="82"/>
      <c r="BF1200" s="82"/>
      <c r="BG1200" s="82"/>
      <c r="BH1200" s="82"/>
      <c r="BI1200" s="82"/>
      <c r="BJ1200" s="82"/>
      <c r="BK1200" s="82"/>
      <c r="BL1200" s="82"/>
      <c r="BM1200" s="82"/>
      <c r="BN1200" s="82"/>
      <c r="BO1200" s="82"/>
      <c r="BP1200" s="82"/>
      <c r="BQ1200" s="82"/>
      <c r="BR1200" s="82"/>
      <c r="BS1200" s="82"/>
      <c r="BT1200" s="82"/>
      <c r="BU1200" s="82"/>
      <c r="BV1200" s="82"/>
      <c r="BW1200" s="82"/>
      <c r="BX1200" s="82"/>
      <c r="BY1200" s="82"/>
      <c r="BZ1200" s="82"/>
      <c r="CA1200" s="82"/>
      <c r="CB1200" s="82"/>
      <c r="CC1200" s="82"/>
      <c r="CD1200" s="82"/>
      <c r="CE1200" s="82"/>
      <c r="CF1200" s="82"/>
      <c r="CG1200" s="82"/>
      <c r="CH1200" s="82"/>
      <c r="CI1200" s="82"/>
      <c r="CJ1200" s="82"/>
      <c r="CK1200" s="82"/>
      <c r="CL1200" s="82"/>
      <c r="CM1200" s="82"/>
      <c r="CN1200" s="82"/>
      <c r="CO1200" s="82"/>
      <c r="CP1200" s="82"/>
      <c r="CQ1200" s="82"/>
      <c r="CR1200" s="82"/>
      <c r="CS1200" s="82"/>
      <c r="CT1200" s="82"/>
      <c r="CU1200" s="82"/>
      <c r="CV1200" s="82"/>
      <c r="CW1200" s="82"/>
      <c r="CX1200" s="82"/>
      <c r="CY1200" s="82"/>
      <c r="CZ1200" s="82"/>
      <c r="DA1200" s="82"/>
      <c r="DB1200" s="82"/>
      <c r="DC1200" s="82"/>
      <c r="DD1200" s="82"/>
      <c r="DE1200" s="82"/>
      <c r="DF1200" s="82"/>
      <c r="DG1200" s="82"/>
    </row>
    <row r="1201" spans="2:111" ht="9" customHeight="1">
      <c r="B1201" s="229"/>
      <c r="C1201" s="229"/>
      <c r="D1201" s="229"/>
      <c r="E1201" s="229"/>
      <c r="F1201" s="229"/>
      <c r="G1201" s="229"/>
      <c r="H1201" s="229"/>
      <c r="I1201" s="229"/>
      <c r="J1201" s="229"/>
      <c r="K1201" s="229"/>
      <c r="L1201" s="229"/>
      <c r="M1201" s="229"/>
      <c r="N1201" s="229"/>
      <c r="P1201" s="230"/>
      <c r="Q1201" s="230"/>
      <c r="R1201" s="230"/>
      <c r="S1201" s="230"/>
      <c r="T1201" s="230"/>
      <c r="U1201" s="230"/>
      <c r="V1201" s="230"/>
      <c r="W1201" s="230"/>
      <c r="X1201" s="230"/>
      <c r="Y1201" s="230"/>
      <c r="Z1201" s="230"/>
      <c r="AA1201" s="230"/>
      <c r="AB1201" s="230"/>
      <c r="AC1201" s="230"/>
      <c r="AD1201" s="230"/>
      <c r="AE1201" s="230"/>
      <c r="AF1201" s="230"/>
      <c r="AG1201" s="230"/>
      <c r="AH1201" s="230"/>
      <c r="AI1201" s="230"/>
      <c r="AJ1201" s="230"/>
      <c r="AK1201" s="230"/>
      <c r="AL1201" s="230"/>
      <c r="AM1201" s="230"/>
      <c r="AN1201" s="230"/>
      <c r="AO1201" s="230"/>
      <c r="AP1201" s="230"/>
      <c r="AQ1201" s="230"/>
      <c r="AS1201" s="231"/>
      <c r="AT1201" s="231"/>
      <c r="AU1201" s="231"/>
      <c r="AV1201" s="231"/>
      <c r="AW1201" s="231"/>
      <c r="AX1201" s="231"/>
      <c r="AY1201" s="231"/>
      <c r="AZ1201" s="231"/>
      <c r="BA1201" s="231"/>
      <c r="BC1201" s="82"/>
      <c r="BD1201" s="82"/>
      <c r="BE1201" s="82"/>
      <c r="BF1201" s="82"/>
      <c r="BG1201" s="82"/>
      <c r="BH1201" s="82"/>
      <c r="BI1201" s="82"/>
      <c r="BJ1201" s="82"/>
      <c r="BK1201" s="82"/>
      <c r="BL1201" s="82"/>
      <c r="BM1201" s="82"/>
      <c r="BN1201" s="82"/>
      <c r="BO1201" s="82"/>
      <c r="BP1201" s="82"/>
      <c r="BQ1201" s="82"/>
      <c r="BR1201" s="82"/>
      <c r="BS1201" s="82"/>
      <c r="BT1201" s="82"/>
      <c r="BU1201" s="82"/>
      <c r="BV1201" s="82"/>
      <c r="BW1201" s="82"/>
      <c r="BX1201" s="82"/>
      <c r="BY1201" s="82"/>
      <c r="BZ1201" s="82"/>
      <c r="CA1201" s="82"/>
      <c r="CB1201" s="82"/>
      <c r="CC1201" s="82"/>
      <c r="CD1201" s="82"/>
      <c r="CE1201" s="82"/>
      <c r="CF1201" s="82"/>
      <c r="CG1201" s="82"/>
      <c r="CH1201" s="82"/>
      <c r="CI1201" s="82"/>
      <c r="CJ1201" s="82"/>
      <c r="CK1201" s="82"/>
      <c r="CL1201" s="82"/>
      <c r="CM1201" s="82"/>
      <c r="CN1201" s="82"/>
      <c r="CO1201" s="82"/>
      <c r="CP1201" s="82"/>
      <c r="CQ1201" s="82"/>
      <c r="CR1201" s="82"/>
      <c r="CS1201" s="82"/>
      <c r="CT1201" s="82"/>
      <c r="CU1201" s="82"/>
      <c r="CV1201" s="82"/>
      <c r="CW1201" s="82"/>
      <c r="CX1201" s="82"/>
      <c r="CY1201" s="82"/>
      <c r="CZ1201" s="82"/>
      <c r="DA1201" s="82"/>
      <c r="DB1201" s="82"/>
      <c r="DC1201" s="82"/>
      <c r="DD1201" s="82"/>
      <c r="DE1201" s="82"/>
      <c r="DF1201" s="82"/>
      <c r="DG1201" s="82"/>
    </row>
    <row r="1202" spans="2:111" ht="9" customHeight="1">
      <c r="B1202" s="229"/>
      <c r="C1202" s="229"/>
      <c r="D1202" s="229"/>
      <c r="E1202" s="229"/>
      <c r="F1202" s="229"/>
      <c r="G1202" s="229"/>
      <c r="H1202" s="229"/>
      <c r="I1202" s="229"/>
      <c r="J1202" s="229"/>
      <c r="K1202" s="229"/>
      <c r="L1202" s="229"/>
      <c r="M1202" s="229"/>
      <c r="N1202" s="229"/>
      <c r="P1202" s="230"/>
      <c r="Q1202" s="230"/>
      <c r="R1202" s="230"/>
      <c r="S1202" s="230"/>
      <c r="T1202" s="230"/>
      <c r="U1202" s="230"/>
      <c r="V1202" s="230"/>
      <c r="W1202" s="230"/>
      <c r="X1202" s="230"/>
      <c r="Y1202" s="230"/>
      <c r="Z1202" s="230"/>
      <c r="AA1202" s="230"/>
      <c r="AB1202" s="230"/>
      <c r="AC1202" s="230"/>
      <c r="AD1202" s="230"/>
      <c r="AE1202" s="230"/>
      <c r="AF1202" s="230"/>
      <c r="AG1202" s="230"/>
      <c r="AH1202" s="230"/>
      <c r="AI1202" s="230"/>
      <c r="AJ1202" s="230"/>
      <c r="AK1202" s="230"/>
      <c r="AL1202" s="230"/>
      <c r="AM1202" s="230"/>
      <c r="AN1202" s="230"/>
      <c r="AO1202" s="230"/>
      <c r="AP1202" s="230"/>
      <c r="AQ1202" s="230"/>
      <c r="AS1202" s="231"/>
      <c r="AT1202" s="231"/>
      <c r="AU1202" s="231"/>
      <c r="AV1202" s="231"/>
      <c r="AW1202" s="231"/>
      <c r="AX1202" s="231"/>
      <c r="AY1202" s="231"/>
      <c r="AZ1202" s="231"/>
      <c r="BA1202" s="231"/>
      <c r="BC1202" s="82"/>
      <c r="BD1202" s="82"/>
      <c r="BE1202" s="82"/>
      <c r="BF1202" s="82"/>
      <c r="BG1202" s="82"/>
      <c r="BH1202" s="82"/>
      <c r="BI1202" s="82"/>
      <c r="BJ1202" s="82"/>
      <c r="BK1202" s="82"/>
      <c r="BL1202" s="82"/>
      <c r="BM1202" s="82"/>
      <c r="BN1202" s="82"/>
      <c r="BO1202" s="82"/>
      <c r="BP1202" s="82"/>
      <c r="BQ1202" s="82"/>
      <c r="BR1202" s="82"/>
      <c r="BS1202" s="82"/>
      <c r="BT1202" s="82"/>
      <c r="BU1202" s="82"/>
      <c r="BV1202" s="82"/>
      <c r="BW1202" s="82"/>
      <c r="BX1202" s="82"/>
      <c r="BY1202" s="82"/>
      <c r="BZ1202" s="82"/>
      <c r="CA1202" s="82"/>
      <c r="CB1202" s="82"/>
      <c r="CC1202" s="82"/>
      <c r="CD1202" s="82"/>
      <c r="CE1202" s="82"/>
      <c r="CF1202" s="82"/>
      <c r="CG1202" s="82"/>
      <c r="CH1202" s="82"/>
      <c r="CI1202" s="82"/>
      <c r="CJ1202" s="82"/>
      <c r="CK1202" s="82"/>
      <c r="CL1202" s="82"/>
      <c r="CM1202" s="82"/>
      <c r="CN1202" s="82"/>
      <c r="CO1202" s="82"/>
      <c r="CP1202" s="82"/>
      <c r="CQ1202" s="82"/>
      <c r="CR1202" s="82"/>
      <c r="CS1202" s="82"/>
      <c r="CT1202" s="82"/>
      <c r="CU1202" s="82"/>
      <c r="CV1202" s="82"/>
      <c r="CW1202" s="82"/>
      <c r="CX1202" s="82"/>
      <c r="CY1202" s="82"/>
      <c r="CZ1202" s="82"/>
      <c r="DA1202" s="82"/>
      <c r="DB1202" s="82"/>
      <c r="DC1202" s="82"/>
      <c r="DD1202" s="82"/>
      <c r="DE1202" s="82"/>
      <c r="DF1202" s="82"/>
      <c r="DG1202" s="82"/>
    </row>
    <row r="1203" spans="2:111" ht="9" customHeight="1">
      <c r="B1203" s="229"/>
      <c r="C1203" s="229"/>
      <c r="D1203" s="229"/>
      <c r="E1203" s="229"/>
      <c r="F1203" s="229"/>
      <c r="G1203" s="229"/>
      <c r="H1203" s="229"/>
      <c r="I1203" s="229"/>
      <c r="J1203" s="229"/>
      <c r="K1203" s="229"/>
      <c r="L1203" s="229"/>
      <c r="M1203" s="229"/>
      <c r="N1203" s="229"/>
      <c r="P1203" s="230"/>
      <c r="Q1203" s="230"/>
      <c r="R1203" s="230"/>
      <c r="S1203" s="230"/>
      <c r="T1203" s="230"/>
      <c r="U1203" s="230"/>
      <c r="V1203" s="230"/>
      <c r="W1203" s="230"/>
      <c r="X1203" s="230"/>
      <c r="Y1203" s="230"/>
      <c r="Z1203" s="230"/>
      <c r="AA1203" s="230"/>
      <c r="AB1203" s="230"/>
      <c r="AC1203" s="230"/>
      <c r="AD1203" s="230"/>
      <c r="AE1203" s="230"/>
      <c r="AF1203" s="230"/>
      <c r="AG1203" s="230"/>
      <c r="AH1203" s="230"/>
      <c r="AI1203" s="230"/>
      <c r="AJ1203" s="230"/>
      <c r="AK1203" s="230"/>
      <c r="AL1203" s="230"/>
      <c r="AM1203" s="230"/>
      <c r="AN1203" s="230"/>
      <c r="AO1203" s="230"/>
      <c r="AP1203" s="230"/>
      <c r="AQ1203" s="230"/>
      <c r="AS1203" s="231"/>
      <c r="AT1203" s="231"/>
      <c r="AU1203" s="231"/>
      <c r="AV1203" s="231"/>
      <c r="AW1203" s="231"/>
      <c r="AX1203" s="231"/>
      <c r="AY1203" s="231"/>
      <c r="AZ1203" s="231"/>
      <c r="BA1203" s="231"/>
      <c r="BC1203" s="82"/>
      <c r="BD1203" s="82"/>
      <c r="BE1203" s="82"/>
      <c r="BF1203" s="82"/>
      <c r="BG1203" s="82"/>
      <c r="BH1203" s="82"/>
      <c r="BI1203" s="82"/>
      <c r="BJ1203" s="82"/>
      <c r="BK1203" s="82"/>
      <c r="BL1203" s="82"/>
      <c r="BM1203" s="82"/>
      <c r="BN1203" s="82"/>
      <c r="BO1203" s="82"/>
      <c r="BP1203" s="82"/>
      <c r="BQ1203" s="82"/>
      <c r="BR1203" s="82"/>
      <c r="BS1203" s="82"/>
      <c r="BT1203" s="82"/>
      <c r="BU1203" s="82"/>
      <c r="BV1203" s="82"/>
      <c r="BW1203" s="82"/>
      <c r="BX1203" s="82"/>
      <c r="BY1203" s="82"/>
      <c r="BZ1203" s="82"/>
      <c r="CA1203" s="82"/>
      <c r="CB1203" s="82"/>
      <c r="CC1203" s="82"/>
      <c r="CD1203" s="82"/>
      <c r="CE1203" s="82"/>
      <c r="CF1203" s="82"/>
      <c r="CG1203" s="82"/>
      <c r="CH1203" s="82"/>
      <c r="CI1203" s="82"/>
      <c r="CJ1203" s="82"/>
      <c r="CK1203" s="82"/>
      <c r="CL1203" s="82"/>
      <c r="CM1203" s="82"/>
      <c r="CN1203" s="82"/>
      <c r="CO1203" s="82"/>
      <c r="CP1203" s="82"/>
      <c r="CQ1203" s="82"/>
      <c r="CR1203" s="82"/>
      <c r="CS1203" s="82"/>
      <c r="CT1203" s="82"/>
      <c r="CU1203" s="82"/>
      <c r="CV1203" s="82"/>
      <c r="CW1203" s="82"/>
      <c r="CX1203" s="82"/>
      <c r="CY1203" s="82"/>
      <c r="CZ1203" s="82"/>
      <c r="DA1203" s="82"/>
      <c r="DB1203" s="82"/>
      <c r="DC1203" s="82"/>
      <c r="DD1203" s="82"/>
      <c r="DE1203" s="82"/>
      <c r="DF1203" s="82"/>
      <c r="DG1203" s="82"/>
    </row>
    <row r="1204" spans="2:111" ht="9" customHeight="1">
      <c r="B1204" s="229"/>
      <c r="C1204" s="229"/>
      <c r="D1204" s="229"/>
      <c r="E1204" s="229"/>
      <c r="F1204" s="229"/>
      <c r="G1204" s="229"/>
      <c r="H1204" s="229"/>
      <c r="I1204" s="229"/>
      <c r="J1204" s="229"/>
      <c r="K1204" s="229"/>
      <c r="L1204" s="229"/>
      <c r="M1204" s="229"/>
      <c r="N1204" s="229"/>
      <c r="P1204" s="230"/>
      <c r="Q1204" s="230"/>
      <c r="R1204" s="230"/>
      <c r="S1204" s="230"/>
      <c r="T1204" s="230"/>
      <c r="U1204" s="230"/>
      <c r="V1204" s="230"/>
      <c r="W1204" s="230"/>
      <c r="X1204" s="230"/>
      <c r="Y1204" s="230"/>
      <c r="Z1204" s="230"/>
      <c r="AA1204" s="230"/>
      <c r="AB1204" s="230"/>
      <c r="AC1204" s="230"/>
      <c r="AD1204" s="230"/>
      <c r="AE1204" s="230"/>
      <c r="AF1204" s="230"/>
      <c r="AG1204" s="230"/>
      <c r="AH1204" s="230"/>
      <c r="AI1204" s="230"/>
      <c r="AJ1204" s="230"/>
      <c r="AK1204" s="230"/>
      <c r="AL1204" s="230"/>
      <c r="AM1204" s="230"/>
      <c r="AN1204" s="230"/>
      <c r="AO1204" s="230"/>
      <c r="AP1204" s="230"/>
      <c r="AQ1204" s="230"/>
      <c r="AS1204" s="231"/>
      <c r="AT1204" s="231"/>
      <c r="AU1204" s="231"/>
      <c r="AV1204" s="231"/>
      <c r="AW1204" s="231"/>
      <c r="AX1204" s="231"/>
      <c r="AY1204" s="231"/>
      <c r="AZ1204" s="231"/>
      <c r="BA1204" s="231"/>
      <c r="BC1204" s="82"/>
      <c r="BD1204" s="82"/>
      <c r="BE1204" s="82"/>
      <c r="BF1204" s="82"/>
      <c r="BG1204" s="82"/>
      <c r="BH1204" s="82"/>
      <c r="BI1204" s="82"/>
      <c r="BJ1204" s="82"/>
      <c r="BK1204" s="82"/>
      <c r="BL1204" s="82"/>
      <c r="BM1204" s="82"/>
      <c r="BN1204" s="82"/>
      <c r="BO1204" s="82"/>
      <c r="BP1204" s="82"/>
      <c r="BQ1204" s="82"/>
      <c r="BR1204" s="82"/>
      <c r="BS1204" s="82"/>
      <c r="BT1204" s="82"/>
      <c r="BU1204" s="82"/>
      <c r="BV1204" s="82"/>
      <c r="BW1204" s="82"/>
      <c r="BX1204" s="82"/>
      <c r="BY1204" s="82"/>
      <c r="BZ1204" s="82"/>
      <c r="CA1204" s="82"/>
      <c r="CB1204" s="82"/>
      <c r="CC1204" s="82"/>
      <c r="CD1204" s="82"/>
      <c r="CE1204" s="82"/>
      <c r="CF1204" s="82"/>
      <c r="CG1204" s="82"/>
      <c r="CH1204" s="82"/>
      <c r="CI1204" s="82"/>
      <c r="CJ1204" s="82"/>
      <c r="CK1204" s="82"/>
      <c r="CL1204" s="82"/>
      <c r="CM1204" s="82"/>
      <c r="CN1204" s="82"/>
      <c r="CO1204" s="82"/>
      <c r="CP1204" s="82"/>
      <c r="CQ1204" s="82"/>
      <c r="CR1204" s="82"/>
      <c r="CS1204" s="82"/>
      <c r="CT1204" s="82"/>
      <c r="CU1204" s="82"/>
      <c r="CV1204" s="82"/>
      <c r="CW1204" s="82"/>
      <c r="CX1204" s="82"/>
      <c r="CY1204" s="82"/>
      <c r="CZ1204" s="82"/>
      <c r="DA1204" s="82"/>
      <c r="DB1204" s="82"/>
      <c r="DC1204" s="82"/>
      <c r="DD1204" s="82"/>
      <c r="DE1204" s="82"/>
      <c r="DF1204" s="82"/>
      <c r="DG1204" s="82"/>
    </row>
    <row r="1205" spans="2:111" ht="9" customHeight="1">
      <c r="B1205" s="229"/>
      <c r="C1205" s="229"/>
      <c r="D1205" s="229"/>
      <c r="E1205" s="229"/>
      <c r="F1205" s="229"/>
      <c r="G1205" s="229"/>
      <c r="H1205" s="229"/>
      <c r="I1205" s="229"/>
      <c r="J1205" s="229"/>
      <c r="K1205" s="229"/>
      <c r="L1205" s="229"/>
      <c r="M1205" s="229"/>
      <c r="N1205" s="229"/>
      <c r="P1205" s="230"/>
      <c r="Q1205" s="230"/>
      <c r="R1205" s="230"/>
      <c r="S1205" s="230"/>
      <c r="T1205" s="230"/>
      <c r="U1205" s="230"/>
      <c r="V1205" s="230"/>
      <c r="W1205" s="230"/>
      <c r="X1205" s="230"/>
      <c r="Y1205" s="230"/>
      <c r="Z1205" s="230"/>
      <c r="AA1205" s="230"/>
      <c r="AB1205" s="230"/>
      <c r="AC1205" s="230"/>
      <c r="AD1205" s="230"/>
      <c r="AE1205" s="230"/>
      <c r="AF1205" s="230"/>
      <c r="AG1205" s="230"/>
      <c r="AH1205" s="230"/>
      <c r="AI1205" s="230"/>
      <c r="AJ1205" s="230"/>
      <c r="AK1205" s="230"/>
      <c r="AL1205" s="230"/>
      <c r="AM1205" s="230"/>
      <c r="AN1205" s="230"/>
      <c r="AO1205" s="230"/>
      <c r="AP1205" s="230"/>
      <c r="AQ1205" s="230"/>
      <c r="AS1205" s="231"/>
      <c r="AT1205" s="231"/>
      <c r="AU1205" s="231"/>
      <c r="AV1205" s="231"/>
      <c r="AW1205" s="231"/>
      <c r="AX1205" s="231"/>
      <c r="AY1205" s="231"/>
      <c r="AZ1205" s="231"/>
      <c r="BA1205" s="231"/>
      <c r="BC1205" s="82"/>
      <c r="BD1205" s="82"/>
      <c r="BE1205" s="82"/>
      <c r="BF1205" s="82"/>
      <c r="BG1205" s="82"/>
      <c r="BH1205" s="82"/>
      <c r="BI1205" s="82"/>
      <c r="BJ1205" s="82"/>
      <c r="BK1205" s="82"/>
      <c r="BL1205" s="82"/>
      <c r="BM1205" s="82"/>
      <c r="BN1205" s="82"/>
      <c r="BO1205" s="82"/>
      <c r="BP1205" s="82"/>
      <c r="BQ1205" s="82"/>
      <c r="BR1205" s="82"/>
      <c r="BS1205" s="82"/>
      <c r="BT1205" s="82"/>
      <c r="BU1205" s="82"/>
      <c r="BV1205" s="82"/>
      <c r="BW1205" s="82"/>
      <c r="BX1205" s="82"/>
      <c r="BY1205" s="82"/>
      <c r="BZ1205" s="82"/>
      <c r="CA1205" s="82"/>
      <c r="CB1205" s="82"/>
      <c r="CC1205" s="82"/>
      <c r="CD1205" s="82"/>
      <c r="CE1205" s="82"/>
      <c r="CF1205" s="82"/>
      <c r="CG1205" s="82"/>
      <c r="CH1205" s="82"/>
      <c r="CI1205" s="82"/>
      <c r="CJ1205" s="82"/>
      <c r="CK1205" s="82"/>
      <c r="CL1205" s="82"/>
      <c r="CM1205" s="82"/>
      <c r="CN1205" s="82"/>
      <c r="CO1205" s="82"/>
      <c r="CP1205" s="82"/>
      <c r="CQ1205" s="82"/>
      <c r="CR1205" s="82"/>
      <c r="CS1205" s="82"/>
      <c r="CT1205" s="82"/>
      <c r="CU1205" s="82"/>
      <c r="CV1205" s="82"/>
      <c r="CW1205" s="82"/>
      <c r="CX1205" s="82"/>
      <c r="CY1205" s="82"/>
      <c r="CZ1205" s="82"/>
      <c r="DA1205" s="82"/>
      <c r="DB1205" s="82"/>
      <c r="DC1205" s="82"/>
      <c r="DD1205" s="82"/>
      <c r="DE1205" s="82"/>
      <c r="DF1205" s="82"/>
      <c r="DG1205" s="82"/>
    </row>
    <row r="1206" spans="2:111" ht="9" customHeight="1">
      <c r="B1206" s="229"/>
      <c r="C1206" s="229"/>
      <c r="D1206" s="229"/>
      <c r="E1206" s="229"/>
      <c r="F1206" s="229"/>
      <c r="G1206" s="229"/>
      <c r="H1206" s="229"/>
      <c r="I1206" s="229"/>
      <c r="J1206" s="229"/>
      <c r="K1206" s="229"/>
      <c r="L1206" s="229"/>
      <c r="M1206" s="229"/>
      <c r="N1206" s="229"/>
      <c r="P1206" s="230"/>
      <c r="Q1206" s="230"/>
      <c r="R1206" s="230"/>
      <c r="S1206" s="230"/>
      <c r="T1206" s="230"/>
      <c r="U1206" s="230"/>
      <c r="V1206" s="230"/>
      <c r="W1206" s="230"/>
      <c r="X1206" s="230"/>
      <c r="Y1206" s="230"/>
      <c r="Z1206" s="230"/>
      <c r="AA1206" s="230"/>
      <c r="AB1206" s="230"/>
      <c r="AC1206" s="230"/>
      <c r="AD1206" s="230"/>
      <c r="AE1206" s="230"/>
      <c r="AF1206" s="230"/>
      <c r="AG1206" s="230"/>
      <c r="AH1206" s="230"/>
      <c r="AI1206" s="230"/>
      <c r="AJ1206" s="230"/>
      <c r="AK1206" s="230"/>
      <c r="AL1206" s="230"/>
      <c r="AM1206" s="230"/>
      <c r="AN1206" s="230"/>
      <c r="AO1206" s="230"/>
      <c r="AP1206" s="230"/>
      <c r="AQ1206" s="230"/>
      <c r="AS1206" s="231"/>
      <c r="AT1206" s="231"/>
      <c r="AU1206" s="231"/>
      <c r="AV1206" s="231"/>
      <c r="AW1206" s="231"/>
      <c r="AX1206" s="231"/>
      <c r="AY1206" s="231"/>
      <c r="AZ1206" s="231"/>
      <c r="BA1206" s="231"/>
      <c r="BC1206" s="82"/>
      <c r="BD1206" s="82"/>
      <c r="BE1206" s="82"/>
      <c r="BF1206" s="82"/>
      <c r="BG1206" s="82"/>
      <c r="BH1206" s="82"/>
      <c r="BI1206" s="82"/>
      <c r="BJ1206" s="82"/>
      <c r="BK1206" s="82"/>
      <c r="BL1206" s="82"/>
      <c r="BM1206" s="82"/>
      <c r="BN1206" s="82"/>
      <c r="BO1206" s="82"/>
      <c r="BP1206" s="82"/>
      <c r="BQ1206" s="82"/>
      <c r="BR1206" s="82"/>
      <c r="BS1206" s="82"/>
      <c r="BT1206" s="82"/>
      <c r="BU1206" s="82"/>
      <c r="BV1206" s="82"/>
      <c r="BW1206" s="82"/>
      <c r="BX1206" s="82"/>
      <c r="BY1206" s="82"/>
      <c r="BZ1206" s="82"/>
      <c r="CA1206" s="82"/>
      <c r="CB1206" s="82"/>
      <c r="CC1206" s="82"/>
      <c r="CD1206" s="82"/>
      <c r="CE1206" s="82"/>
      <c r="CF1206" s="82"/>
      <c r="CG1206" s="82"/>
      <c r="CH1206" s="82"/>
      <c r="CI1206" s="82"/>
      <c r="CJ1206" s="82"/>
      <c r="CK1206" s="82"/>
      <c r="CL1206" s="82"/>
      <c r="CM1206" s="82"/>
      <c r="CN1206" s="82"/>
      <c r="CO1206" s="82"/>
      <c r="CP1206" s="82"/>
      <c r="CQ1206" s="82"/>
      <c r="CR1206" s="82"/>
      <c r="CS1206" s="82"/>
      <c r="CT1206" s="82"/>
      <c r="CU1206" s="82"/>
      <c r="CV1206" s="82"/>
      <c r="CW1206" s="82"/>
      <c r="CX1206" s="82"/>
      <c r="CY1206" s="82"/>
      <c r="CZ1206" s="82"/>
      <c r="DA1206" s="82"/>
      <c r="DB1206" s="82"/>
      <c r="DC1206" s="82"/>
      <c r="DD1206" s="82"/>
      <c r="DE1206" s="82"/>
      <c r="DF1206" s="82"/>
      <c r="DG1206" s="82"/>
    </row>
    <row r="1207" spans="2:111" ht="9" customHeight="1">
      <c r="B1207" s="229"/>
      <c r="C1207" s="229"/>
      <c r="D1207" s="229"/>
      <c r="E1207" s="229"/>
      <c r="F1207" s="229"/>
      <c r="G1207" s="229"/>
      <c r="H1207" s="229"/>
      <c r="I1207" s="229"/>
      <c r="J1207" s="229"/>
      <c r="K1207" s="229"/>
      <c r="L1207" s="229"/>
      <c r="M1207" s="229"/>
      <c r="N1207" s="229"/>
      <c r="P1207" s="230"/>
      <c r="Q1207" s="230"/>
      <c r="R1207" s="230"/>
      <c r="S1207" s="230"/>
      <c r="T1207" s="230"/>
      <c r="U1207" s="230"/>
      <c r="V1207" s="230"/>
      <c r="W1207" s="230"/>
      <c r="X1207" s="230"/>
      <c r="Y1207" s="230"/>
      <c r="Z1207" s="230"/>
      <c r="AA1207" s="230"/>
      <c r="AB1207" s="230"/>
      <c r="AC1207" s="230"/>
      <c r="AD1207" s="230"/>
      <c r="AE1207" s="230"/>
      <c r="AF1207" s="230"/>
      <c r="AG1207" s="230"/>
      <c r="AH1207" s="230"/>
      <c r="AI1207" s="230"/>
      <c r="AJ1207" s="230"/>
      <c r="AK1207" s="230"/>
      <c r="AL1207" s="230"/>
      <c r="AM1207" s="230"/>
      <c r="AN1207" s="230"/>
      <c r="AO1207" s="230"/>
      <c r="AP1207" s="230"/>
      <c r="AQ1207" s="230"/>
      <c r="AS1207" s="231"/>
      <c r="AT1207" s="231"/>
      <c r="AU1207" s="231"/>
      <c r="AV1207" s="231"/>
      <c r="AW1207" s="231"/>
      <c r="AX1207" s="231"/>
      <c r="AY1207" s="231"/>
      <c r="AZ1207" s="231"/>
      <c r="BA1207" s="231"/>
      <c r="BC1207" s="82"/>
      <c r="BD1207" s="82"/>
      <c r="BE1207" s="82"/>
      <c r="BF1207" s="82"/>
      <c r="BG1207" s="82"/>
      <c r="BH1207" s="82"/>
      <c r="BI1207" s="82"/>
      <c r="BJ1207" s="82"/>
      <c r="BK1207" s="82"/>
      <c r="BL1207" s="82"/>
      <c r="BM1207" s="82"/>
      <c r="BN1207" s="82"/>
      <c r="BO1207" s="82"/>
      <c r="BP1207" s="82"/>
      <c r="BQ1207" s="82"/>
      <c r="BR1207" s="82"/>
      <c r="BS1207" s="82"/>
      <c r="BT1207" s="82"/>
      <c r="BU1207" s="82"/>
      <c r="BV1207" s="82"/>
      <c r="BW1207" s="82"/>
      <c r="BX1207" s="82"/>
      <c r="BY1207" s="82"/>
      <c r="BZ1207" s="82"/>
      <c r="CA1207" s="82"/>
      <c r="CB1207" s="82"/>
      <c r="CC1207" s="82"/>
      <c r="CD1207" s="82"/>
      <c r="CE1207" s="82"/>
      <c r="CF1207" s="82"/>
      <c r="CG1207" s="82"/>
      <c r="CH1207" s="82"/>
      <c r="CI1207" s="82"/>
      <c r="CJ1207" s="82"/>
      <c r="CK1207" s="82"/>
      <c r="CL1207" s="82"/>
      <c r="CM1207" s="82"/>
      <c r="CN1207" s="82"/>
      <c r="CO1207" s="82"/>
      <c r="CP1207" s="82"/>
      <c r="CQ1207" s="82"/>
      <c r="CR1207" s="82"/>
      <c r="CS1207" s="82"/>
      <c r="CT1207" s="82"/>
      <c r="CU1207" s="82"/>
      <c r="CV1207" s="82"/>
      <c r="CW1207" s="82"/>
      <c r="CX1207" s="82"/>
      <c r="CY1207" s="82"/>
      <c r="CZ1207" s="82"/>
      <c r="DA1207" s="82"/>
      <c r="DB1207" s="82"/>
      <c r="DC1207" s="82"/>
      <c r="DD1207" s="82"/>
      <c r="DE1207" s="82"/>
      <c r="DF1207" s="82"/>
      <c r="DG1207" s="82"/>
    </row>
    <row r="1208" spans="2:111" ht="9" customHeight="1">
      <c r="B1208" s="229"/>
      <c r="C1208" s="229"/>
      <c r="D1208" s="229"/>
      <c r="E1208" s="229"/>
      <c r="F1208" s="229"/>
      <c r="G1208" s="229"/>
      <c r="H1208" s="229"/>
      <c r="I1208" s="229"/>
      <c r="J1208" s="229"/>
      <c r="K1208" s="229"/>
      <c r="L1208" s="229"/>
      <c r="M1208" s="229"/>
      <c r="N1208" s="229"/>
      <c r="P1208" s="230"/>
      <c r="Q1208" s="230"/>
      <c r="R1208" s="230"/>
      <c r="S1208" s="230"/>
      <c r="T1208" s="230"/>
      <c r="U1208" s="230"/>
      <c r="V1208" s="230"/>
      <c r="W1208" s="230"/>
      <c r="X1208" s="230"/>
      <c r="Y1208" s="230"/>
      <c r="Z1208" s="230"/>
      <c r="AA1208" s="230"/>
      <c r="AB1208" s="230"/>
      <c r="AC1208" s="230"/>
      <c r="AD1208" s="230"/>
      <c r="AE1208" s="230"/>
      <c r="AF1208" s="230"/>
      <c r="AG1208" s="230"/>
      <c r="AH1208" s="230"/>
      <c r="AI1208" s="230"/>
      <c r="AJ1208" s="230"/>
      <c r="AK1208" s="230"/>
      <c r="AL1208" s="230"/>
      <c r="AM1208" s="230"/>
      <c r="AN1208" s="230"/>
      <c r="AO1208" s="230"/>
      <c r="AP1208" s="230"/>
      <c r="AQ1208" s="230"/>
      <c r="AS1208" s="231"/>
      <c r="AT1208" s="231"/>
      <c r="AU1208" s="231"/>
      <c r="AV1208" s="231"/>
      <c r="AW1208" s="231"/>
      <c r="AX1208" s="231"/>
      <c r="AY1208" s="231"/>
      <c r="AZ1208" s="231"/>
      <c r="BA1208" s="231"/>
      <c r="BC1208" s="82"/>
      <c r="BD1208" s="82"/>
      <c r="BE1208" s="82"/>
      <c r="BF1208" s="82"/>
      <c r="BG1208" s="82"/>
      <c r="BH1208" s="82"/>
      <c r="BI1208" s="82"/>
      <c r="BJ1208" s="82"/>
      <c r="BK1208" s="82"/>
      <c r="BL1208" s="82"/>
      <c r="BM1208" s="82"/>
      <c r="BN1208" s="82"/>
      <c r="BO1208" s="82"/>
      <c r="BP1208" s="82"/>
      <c r="BQ1208" s="82"/>
      <c r="BR1208" s="82"/>
      <c r="BS1208" s="82"/>
      <c r="BT1208" s="82"/>
      <c r="BU1208" s="82"/>
      <c r="BV1208" s="82"/>
      <c r="BW1208" s="82"/>
      <c r="BX1208" s="82"/>
      <c r="BY1208" s="82"/>
      <c r="BZ1208" s="82"/>
      <c r="CA1208" s="82"/>
      <c r="CB1208" s="82"/>
      <c r="CC1208" s="82"/>
      <c r="CD1208" s="82"/>
      <c r="CE1208" s="82"/>
      <c r="CF1208" s="82"/>
      <c r="CG1208" s="82"/>
      <c r="CH1208" s="82"/>
      <c r="CI1208" s="82"/>
      <c r="CJ1208" s="82"/>
      <c r="CK1208" s="82"/>
      <c r="CL1208" s="82"/>
      <c r="CM1208" s="82"/>
      <c r="CN1208" s="82"/>
      <c r="CO1208" s="82"/>
      <c r="CP1208" s="82"/>
      <c r="CQ1208" s="82"/>
      <c r="CR1208" s="82"/>
      <c r="CS1208" s="82"/>
      <c r="CT1208" s="82"/>
      <c r="CU1208" s="82"/>
      <c r="CV1208" s="82"/>
      <c r="CW1208" s="82"/>
      <c r="CX1208" s="82"/>
      <c r="CY1208" s="82"/>
      <c r="CZ1208" s="82"/>
      <c r="DA1208" s="82"/>
      <c r="DB1208" s="82"/>
      <c r="DC1208" s="82"/>
      <c r="DD1208" s="82"/>
      <c r="DE1208" s="82"/>
      <c r="DF1208" s="82"/>
      <c r="DG1208" s="82"/>
    </row>
    <row r="1209" spans="2:111" ht="9" customHeight="1">
      <c r="B1209" s="229"/>
      <c r="C1209" s="229"/>
      <c r="D1209" s="229"/>
      <c r="E1209" s="229"/>
      <c r="F1209" s="229"/>
      <c r="G1209" s="229"/>
      <c r="H1209" s="229"/>
      <c r="I1209" s="229"/>
      <c r="J1209" s="229"/>
      <c r="K1209" s="229"/>
      <c r="L1209" s="229"/>
      <c r="M1209" s="229"/>
      <c r="N1209" s="229"/>
      <c r="P1209" s="230"/>
      <c r="Q1209" s="230"/>
      <c r="R1209" s="230"/>
      <c r="S1209" s="230"/>
      <c r="T1209" s="230"/>
      <c r="U1209" s="230"/>
      <c r="V1209" s="230"/>
      <c r="W1209" s="230"/>
      <c r="X1209" s="230"/>
      <c r="Y1209" s="230"/>
      <c r="Z1209" s="230"/>
      <c r="AA1209" s="230"/>
      <c r="AB1209" s="230"/>
      <c r="AC1209" s="230"/>
      <c r="AD1209" s="230"/>
      <c r="AE1209" s="230"/>
      <c r="AF1209" s="230"/>
      <c r="AG1209" s="230"/>
      <c r="AH1209" s="230"/>
      <c r="AI1209" s="230"/>
      <c r="AJ1209" s="230"/>
      <c r="AK1209" s="230"/>
      <c r="AL1209" s="230"/>
      <c r="AM1209" s="230"/>
      <c r="AN1209" s="230"/>
      <c r="AO1209" s="230"/>
      <c r="AP1209" s="230"/>
      <c r="AQ1209" s="230"/>
      <c r="AS1209" s="231"/>
      <c r="AT1209" s="231"/>
      <c r="AU1209" s="231"/>
      <c r="AV1209" s="231"/>
      <c r="AW1209" s="231"/>
      <c r="AX1209" s="231"/>
      <c r="AY1209" s="231"/>
      <c r="AZ1209" s="231"/>
      <c r="BA1209" s="231"/>
      <c r="BC1209" s="82"/>
      <c r="BD1209" s="82"/>
      <c r="BE1209" s="82"/>
      <c r="BF1209" s="82"/>
      <c r="BG1209" s="82"/>
      <c r="BH1209" s="82"/>
      <c r="BI1209" s="82"/>
      <c r="BJ1209" s="82"/>
      <c r="BK1209" s="82"/>
      <c r="BL1209" s="82"/>
      <c r="BM1209" s="82"/>
      <c r="BN1209" s="82"/>
      <c r="BO1209" s="82"/>
      <c r="BP1209" s="82"/>
      <c r="BQ1209" s="82"/>
      <c r="BR1209" s="82"/>
      <c r="BS1209" s="82"/>
      <c r="BT1209" s="82"/>
      <c r="BU1209" s="82"/>
      <c r="BV1209" s="82"/>
      <c r="BW1209" s="82"/>
      <c r="BX1209" s="82"/>
      <c r="BY1209" s="82"/>
      <c r="BZ1209" s="82"/>
      <c r="CA1209" s="82"/>
      <c r="CB1209" s="82"/>
      <c r="CC1209" s="82"/>
      <c r="CD1209" s="82"/>
      <c r="CE1209" s="82"/>
      <c r="CF1209" s="82"/>
      <c r="CG1209" s="82"/>
      <c r="CH1209" s="82"/>
      <c r="CI1209" s="82"/>
      <c r="CJ1209" s="82"/>
      <c r="CK1209" s="82"/>
      <c r="CL1209" s="82"/>
      <c r="CM1209" s="82"/>
      <c r="CN1209" s="82"/>
      <c r="CO1209" s="82"/>
      <c r="CP1209" s="82"/>
      <c r="CQ1209" s="82"/>
      <c r="CR1209" s="82"/>
      <c r="CS1209" s="82"/>
      <c r="CT1209" s="82"/>
      <c r="CU1209" s="82"/>
      <c r="CV1209" s="82"/>
      <c r="CW1209" s="82"/>
      <c r="CX1209" s="82"/>
      <c r="CY1209" s="82"/>
      <c r="CZ1209" s="82"/>
      <c r="DA1209" s="82"/>
      <c r="DB1209" s="82"/>
      <c r="DC1209" s="82"/>
      <c r="DD1209" s="82"/>
      <c r="DE1209" s="82"/>
      <c r="DF1209" s="82"/>
      <c r="DG1209" s="82"/>
    </row>
    <row r="1210" spans="2:111" ht="9" customHeight="1">
      <c r="B1210" s="229"/>
      <c r="C1210" s="229"/>
      <c r="D1210" s="229"/>
      <c r="E1210" s="229"/>
      <c r="F1210" s="229"/>
      <c r="G1210" s="229"/>
      <c r="H1210" s="229"/>
      <c r="I1210" s="229"/>
      <c r="J1210" s="229"/>
      <c r="K1210" s="229"/>
      <c r="L1210" s="229"/>
      <c r="M1210" s="229"/>
      <c r="N1210" s="229"/>
      <c r="P1210" s="230"/>
      <c r="Q1210" s="230"/>
      <c r="R1210" s="230"/>
      <c r="S1210" s="230"/>
      <c r="T1210" s="230"/>
      <c r="U1210" s="230"/>
      <c r="V1210" s="230"/>
      <c r="W1210" s="230"/>
      <c r="X1210" s="230"/>
      <c r="Y1210" s="230"/>
      <c r="Z1210" s="230"/>
      <c r="AA1210" s="230"/>
      <c r="AB1210" s="230"/>
      <c r="AC1210" s="230"/>
      <c r="AD1210" s="230"/>
      <c r="AE1210" s="230"/>
      <c r="AF1210" s="230"/>
      <c r="AG1210" s="230"/>
      <c r="AH1210" s="230"/>
      <c r="AI1210" s="230"/>
      <c r="AJ1210" s="230"/>
      <c r="AK1210" s="230"/>
      <c r="AL1210" s="230"/>
      <c r="AM1210" s="230"/>
      <c r="AN1210" s="230"/>
      <c r="AO1210" s="230"/>
      <c r="AP1210" s="230"/>
      <c r="AQ1210" s="230"/>
      <c r="AS1210" s="231"/>
      <c r="AT1210" s="231"/>
      <c r="AU1210" s="231"/>
      <c r="AV1210" s="231"/>
      <c r="AW1210" s="231"/>
      <c r="AX1210" s="231"/>
      <c r="AY1210" s="231"/>
      <c r="AZ1210" s="231"/>
      <c r="BA1210" s="231"/>
      <c r="BC1210" s="82"/>
      <c r="BD1210" s="82"/>
      <c r="BE1210" s="82"/>
      <c r="BF1210" s="82"/>
      <c r="BG1210" s="82"/>
      <c r="BH1210" s="82"/>
      <c r="BI1210" s="82"/>
      <c r="BJ1210" s="82"/>
      <c r="BK1210" s="82"/>
      <c r="BL1210" s="82"/>
      <c r="BM1210" s="82"/>
      <c r="BN1210" s="82"/>
      <c r="BO1210" s="82"/>
      <c r="BP1210" s="82"/>
      <c r="BQ1210" s="82"/>
      <c r="BR1210" s="82"/>
      <c r="BS1210" s="82"/>
      <c r="BT1210" s="82"/>
      <c r="BU1210" s="82"/>
      <c r="BV1210" s="82"/>
      <c r="BW1210" s="82"/>
      <c r="BX1210" s="82"/>
      <c r="BY1210" s="82"/>
      <c r="BZ1210" s="82"/>
      <c r="CA1210" s="82"/>
      <c r="CB1210" s="82"/>
      <c r="CC1210" s="82"/>
      <c r="CD1210" s="82"/>
      <c r="CE1210" s="82"/>
      <c r="CF1210" s="82"/>
      <c r="CG1210" s="82"/>
      <c r="CH1210" s="82"/>
      <c r="CI1210" s="82"/>
      <c r="CJ1210" s="82"/>
      <c r="CK1210" s="82"/>
      <c r="CL1210" s="82"/>
      <c r="CM1210" s="82"/>
      <c r="CN1210" s="82"/>
      <c r="CO1210" s="82"/>
      <c r="CP1210" s="82"/>
      <c r="CQ1210" s="82"/>
      <c r="CR1210" s="82"/>
      <c r="CS1210" s="82"/>
      <c r="CT1210" s="82"/>
      <c r="CU1210" s="82"/>
      <c r="CV1210" s="82"/>
      <c r="CW1210" s="82"/>
      <c r="CX1210" s="82"/>
      <c r="CY1210" s="82"/>
      <c r="CZ1210" s="82"/>
      <c r="DA1210" s="82"/>
      <c r="DB1210" s="82"/>
      <c r="DC1210" s="82"/>
      <c r="DD1210" s="82"/>
      <c r="DE1210" s="82"/>
      <c r="DF1210" s="82"/>
      <c r="DG1210" s="82"/>
    </row>
    <row r="1211" spans="2:111" ht="9" customHeight="1">
      <c r="B1211" s="229"/>
      <c r="C1211" s="229"/>
      <c r="D1211" s="229"/>
      <c r="E1211" s="229"/>
      <c r="F1211" s="229"/>
      <c r="G1211" s="229"/>
      <c r="H1211" s="229"/>
      <c r="I1211" s="229"/>
      <c r="J1211" s="229"/>
      <c r="K1211" s="229"/>
      <c r="L1211" s="229"/>
      <c r="M1211" s="229"/>
      <c r="N1211" s="229"/>
      <c r="P1211" s="230"/>
      <c r="Q1211" s="230"/>
      <c r="R1211" s="230"/>
      <c r="S1211" s="230"/>
      <c r="T1211" s="230"/>
      <c r="U1211" s="230"/>
      <c r="V1211" s="230"/>
      <c r="W1211" s="230"/>
      <c r="X1211" s="230"/>
      <c r="Y1211" s="230"/>
      <c r="Z1211" s="230"/>
      <c r="AA1211" s="230"/>
      <c r="AB1211" s="230"/>
      <c r="AC1211" s="230"/>
      <c r="AD1211" s="230"/>
      <c r="AE1211" s="230"/>
      <c r="AF1211" s="230"/>
      <c r="AG1211" s="230"/>
      <c r="AH1211" s="230"/>
      <c r="AI1211" s="230"/>
      <c r="AJ1211" s="230"/>
      <c r="AK1211" s="230"/>
      <c r="AL1211" s="230"/>
      <c r="AM1211" s="230"/>
      <c r="AN1211" s="230"/>
      <c r="AO1211" s="230"/>
      <c r="AP1211" s="230"/>
      <c r="AQ1211" s="230"/>
      <c r="AS1211" s="231"/>
      <c r="AT1211" s="231"/>
      <c r="AU1211" s="231"/>
      <c r="AV1211" s="231"/>
      <c r="AW1211" s="231"/>
      <c r="AX1211" s="231"/>
      <c r="AY1211" s="231"/>
      <c r="AZ1211" s="231"/>
      <c r="BA1211" s="231"/>
      <c r="BC1211" s="82"/>
      <c r="BD1211" s="82"/>
      <c r="BE1211" s="82"/>
      <c r="BF1211" s="82"/>
      <c r="BG1211" s="82"/>
      <c r="BH1211" s="82"/>
      <c r="BI1211" s="82"/>
      <c r="BJ1211" s="82"/>
      <c r="BK1211" s="82"/>
      <c r="BL1211" s="82"/>
      <c r="BM1211" s="82"/>
      <c r="BN1211" s="82"/>
      <c r="BO1211" s="82"/>
      <c r="BP1211" s="82"/>
      <c r="BQ1211" s="82"/>
      <c r="BR1211" s="82"/>
      <c r="BS1211" s="82"/>
      <c r="BT1211" s="82"/>
      <c r="BU1211" s="82"/>
      <c r="BV1211" s="82"/>
      <c r="BW1211" s="82"/>
      <c r="BX1211" s="82"/>
      <c r="BY1211" s="82"/>
      <c r="BZ1211" s="82"/>
      <c r="CA1211" s="82"/>
      <c r="CB1211" s="82"/>
      <c r="CC1211" s="82"/>
      <c r="CD1211" s="82"/>
      <c r="CE1211" s="82"/>
      <c r="CF1211" s="82"/>
      <c r="CG1211" s="82"/>
      <c r="CH1211" s="82"/>
      <c r="CI1211" s="82"/>
      <c r="CJ1211" s="82"/>
      <c r="CK1211" s="82"/>
      <c r="CL1211" s="82"/>
      <c r="CM1211" s="82"/>
      <c r="CN1211" s="82"/>
      <c r="CO1211" s="82"/>
      <c r="CP1211" s="82"/>
      <c r="CQ1211" s="82"/>
      <c r="CR1211" s="82"/>
      <c r="CS1211" s="82"/>
      <c r="CT1211" s="82"/>
      <c r="CU1211" s="82"/>
      <c r="CV1211" s="82"/>
      <c r="CW1211" s="82"/>
      <c r="CX1211" s="82"/>
      <c r="CY1211" s="82"/>
      <c r="CZ1211" s="82"/>
      <c r="DA1211" s="82"/>
      <c r="DB1211" s="82"/>
      <c r="DC1211" s="82"/>
      <c r="DD1211" s="82"/>
      <c r="DE1211" s="82"/>
      <c r="DF1211" s="82"/>
      <c r="DG1211" s="82"/>
    </row>
    <row r="1212" spans="2:111" ht="9" customHeight="1">
      <c r="B1212" s="229"/>
      <c r="C1212" s="229"/>
      <c r="D1212" s="229"/>
      <c r="E1212" s="229"/>
      <c r="F1212" s="229"/>
      <c r="G1212" s="229"/>
      <c r="H1212" s="229"/>
      <c r="I1212" s="229"/>
      <c r="J1212" s="229"/>
      <c r="K1212" s="229"/>
      <c r="L1212" s="229"/>
      <c r="M1212" s="229"/>
      <c r="N1212" s="229"/>
      <c r="P1212" s="230"/>
      <c r="Q1212" s="230"/>
      <c r="R1212" s="230"/>
      <c r="S1212" s="230"/>
      <c r="T1212" s="230"/>
      <c r="U1212" s="230"/>
      <c r="V1212" s="230"/>
      <c r="W1212" s="230"/>
      <c r="X1212" s="230"/>
      <c r="Y1212" s="230"/>
      <c r="Z1212" s="230"/>
      <c r="AA1212" s="230"/>
      <c r="AB1212" s="230"/>
      <c r="AC1212" s="230"/>
      <c r="AD1212" s="230"/>
      <c r="AE1212" s="230"/>
      <c r="AF1212" s="230"/>
      <c r="AG1212" s="230"/>
      <c r="AH1212" s="230"/>
      <c r="AI1212" s="230"/>
      <c r="AJ1212" s="230"/>
      <c r="AK1212" s="230"/>
      <c r="AL1212" s="230"/>
      <c r="AM1212" s="230"/>
      <c r="AN1212" s="230"/>
      <c r="AO1212" s="230"/>
      <c r="AP1212" s="230"/>
      <c r="AQ1212" s="230"/>
      <c r="AS1212" s="231"/>
      <c r="AT1212" s="231"/>
      <c r="AU1212" s="231"/>
      <c r="AV1212" s="231"/>
      <c r="AW1212" s="231"/>
      <c r="AX1212" s="231"/>
      <c r="AY1212" s="231"/>
      <c r="AZ1212" s="231"/>
      <c r="BA1212" s="231"/>
      <c r="BC1212" s="82"/>
      <c r="BD1212" s="82"/>
      <c r="BE1212" s="82"/>
      <c r="BF1212" s="82"/>
      <c r="BG1212" s="82"/>
      <c r="BH1212" s="82"/>
      <c r="BI1212" s="82"/>
      <c r="BJ1212" s="82"/>
      <c r="BK1212" s="82"/>
      <c r="BL1212" s="82"/>
      <c r="BM1212" s="82"/>
      <c r="BN1212" s="82"/>
      <c r="BO1212" s="82"/>
      <c r="BP1212" s="82"/>
      <c r="BQ1212" s="82"/>
      <c r="BR1212" s="82"/>
      <c r="BS1212" s="82"/>
      <c r="BT1212" s="82"/>
      <c r="BU1212" s="82"/>
      <c r="BV1212" s="82"/>
      <c r="BW1212" s="82"/>
      <c r="BX1212" s="82"/>
      <c r="BY1212" s="82"/>
      <c r="BZ1212" s="82"/>
      <c r="CA1212" s="82"/>
      <c r="CB1212" s="82"/>
      <c r="CC1212" s="82"/>
      <c r="CD1212" s="82"/>
      <c r="CE1212" s="82"/>
      <c r="CF1212" s="82"/>
      <c r="CG1212" s="82"/>
      <c r="CH1212" s="82"/>
      <c r="CI1212" s="82"/>
      <c r="CJ1212" s="82"/>
      <c r="CK1212" s="82"/>
      <c r="CL1212" s="82"/>
      <c r="CM1212" s="82"/>
      <c r="CN1212" s="82"/>
      <c r="CO1212" s="82"/>
      <c r="CP1212" s="82"/>
      <c r="CQ1212" s="82"/>
      <c r="CR1212" s="82"/>
      <c r="CS1212" s="82"/>
      <c r="CT1212" s="82"/>
      <c r="CU1212" s="82"/>
      <c r="CV1212" s="82"/>
      <c r="CW1212" s="82"/>
      <c r="CX1212" s="82"/>
      <c r="CY1212" s="82"/>
      <c r="CZ1212" s="82"/>
      <c r="DA1212" s="82"/>
      <c r="DB1212" s="82"/>
      <c r="DC1212" s="82"/>
      <c r="DD1212" s="82"/>
      <c r="DE1212" s="82"/>
      <c r="DF1212" s="82"/>
      <c r="DG1212" s="82"/>
    </row>
    <row r="1213" spans="2:111" ht="9" customHeight="1">
      <c r="B1213" s="229"/>
      <c r="C1213" s="229"/>
      <c r="D1213" s="229"/>
      <c r="E1213" s="229"/>
      <c r="F1213" s="229"/>
      <c r="G1213" s="229"/>
      <c r="H1213" s="229"/>
      <c r="I1213" s="229"/>
      <c r="J1213" s="229"/>
      <c r="K1213" s="229"/>
      <c r="L1213" s="229"/>
      <c r="M1213" s="229"/>
      <c r="N1213" s="229"/>
      <c r="P1213" s="230"/>
      <c r="Q1213" s="230"/>
      <c r="R1213" s="230"/>
      <c r="S1213" s="230"/>
      <c r="T1213" s="230"/>
      <c r="U1213" s="230"/>
      <c r="V1213" s="230"/>
      <c r="W1213" s="230"/>
      <c r="X1213" s="230"/>
      <c r="Y1213" s="230"/>
      <c r="Z1213" s="230"/>
      <c r="AA1213" s="230"/>
      <c r="AB1213" s="230"/>
      <c r="AC1213" s="230"/>
      <c r="AD1213" s="230"/>
      <c r="AE1213" s="230"/>
      <c r="AF1213" s="230"/>
      <c r="AG1213" s="230"/>
      <c r="AH1213" s="230"/>
      <c r="AI1213" s="230"/>
      <c r="AJ1213" s="230"/>
      <c r="AK1213" s="230"/>
      <c r="AL1213" s="230"/>
      <c r="AM1213" s="230"/>
      <c r="AN1213" s="230"/>
      <c r="AO1213" s="230"/>
      <c r="AP1213" s="230"/>
      <c r="AQ1213" s="230"/>
      <c r="AS1213" s="231"/>
      <c r="AT1213" s="231"/>
      <c r="AU1213" s="231"/>
      <c r="AV1213" s="231"/>
      <c r="AW1213" s="231"/>
      <c r="AX1213" s="231"/>
      <c r="AY1213" s="231"/>
      <c r="AZ1213" s="231"/>
      <c r="BA1213" s="231"/>
      <c r="BC1213" s="82"/>
      <c r="BD1213" s="82"/>
      <c r="BE1213" s="82"/>
      <c r="BF1213" s="82"/>
      <c r="BG1213" s="82"/>
      <c r="BH1213" s="82"/>
      <c r="BI1213" s="82"/>
      <c r="BJ1213" s="82"/>
      <c r="BK1213" s="82"/>
      <c r="BL1213" s="82"/>
      <c r="BM1213" s="82"/>
      <c r="BN1213" s="82"/>
      <c r="BO1213" s="82"/>
      <c r="BP1213" s="82"/>
      <c r="BQ1213" s="82"/>
      <c r="BR1213" s="82"/>
      <c r="BS1213" s="82"/>
      <c r="BT1213" s="82"/>
      <c r="BU1213" s="82"/>
      <c r="BV1213" s="82"/>
      <c r="BW1213" s="82"/>
      <c r="BX1213" s="82"/>
      <c r="BY1213" s="82"/>
      <c r="BZ1213" s="82"/>
      <c r="CA1213" s="82"/>
      <c r="CB1213" s="82"/>
      <c r="CC1213" s="82"/>
      <c r="CD1213" s="82"/>
      <c r="CE1213" s="82"/>
      <c r="CF1213" s="82"/>
      <c r="CG1213" s="82"/>
      <c r="CH1213" s="82"/>
      <c r="CI1213" s="82"/>
      <c r="CJ1213" s="82"/>
      <c r="CK1213" s="82"/>
      <c r="CL1213" s="82"/>
      <c r="CM1213" s="82"/>
      <c r="CN1213" s="82"/>
      <c r="CO1213" s="82"/>
      <c r="CP1213" s="82"/>
      <c r="CQ1213" s="82"/>
      <c r="CR1213" s="82"/>
      <c r="CS1213" s="82"/>
      <c r="CT1213" s="82"/>
      <c r="CU1213" s="82"/>
      <c r="CV1213" s="82"/>
      <c r="CW1213" s="82"/>
      <c r="CX1213" s="82"/>
      <c r="CY1213" s="82"/>
      <c r="CZ1213" s="82"/>
      <c r="DA1213" s="82"/>
      <c r="DB1213" s="82"/>
      <c r="DC1213" s="82"/>
      <c r="DD1213" s="82"/>
      <c r="DE1213" s="82"/>
      <c r="DF1213" s="82"/>
      <c r="DG1213" s="82"/>
    </row>
    <row r="1214" spans="2:111" ht="9" customHeight="1">
      <c r="B1214" s="229"/>
      <c r="C1214" s="229"/>
      <c r="D1214" s="229"/>
      <c r="E1214" s="229"/>
      <c r="F1214" s="229"/>
      <c r="G1214" s="229"/>
      <c r="H1214" s="229"/>
      <c r="I1214" s="229"/>
      <c r="J1214" s="229"/>
      <c r="K1214" s="229"/>
      <c r="L1214" s="229"/>
      <c r="M1214" s="229"/>
      <c r="N1214" s="229"/>
      <c r="P1214" s="230"/>
      <c r="Q1214" s="230"/>
      <c r="R1214" s="230"/>
      <c r="S1214" s="230"/>
      <c r="T1214" s="230"/>
      <c r="U1214" s="230"/>
      <c r="V1214" s="230"/>
      <c r="W1214" s="230"/>
      <c r="X1214" s="230"/>
      <c r="Y1214" s="230"/>
      <c r="Z1214" s="230"/>
      <c r="AA1214" s="230"/>
      <c r="AB1214" s="230"/>
      <c r="AC1214" s="230"/>
      <c r="AD1214" s="230"/>
      <c r="AE1214" s="230"/>
      <c r="AF1214" s="230"/>
      <c r="AG1214" s="230"/>
      <c r="AH1214" s="230"/>
      <c r="AI1214" s="230"/>
      <c r="AJ1214" s="230"/>
      <c r="AK1214" s="230"/>
      <c r="AL1214" s="230"/>
      <c r="AM1214" s="230"/>
      <c r="AN1214" s="230"/>
      <c r="AO1214" s="230"/>
      <c r="AP1214" s="230"/>
      <c r="AQ1214" s="230"/>
      <c r="AS1214" s="231"/>
      <c r="AT1214" s="231"/>
      <c r="AU1214" s="231"/>
      <c r="AV1214" s="231"/>
      <c r="AW1214" s="231"/>
      <c r="AX1214" s="231"/>
      <c r="AY1214" s="231"/>
      <c r="AZ1214" s="231"/>
      <c r="BA1214" s="231"/>
      <c r="BC1214" s="82"/>
      <c r="BD1214" s="82"/>
      <c r="BE1214" s="82"/>
      <c r="BF1214" s="82"/>
      <c r="BG1214" s="82"/>
      <c r="BH1214" s="82"/>
      <c r="BI1214" s="82"/>
      <c r="BJ1214" s="82"/>
      <c r="BK1214" s="82"/>
      <c r="BL1214" s="82"/>
      <c r="BM1214" s="82"/>
      <c r="BN1214" s="82"/>
      <c r="BO1214" s="82"/>
      <c r="BP1214" s="82"/>
      <c r="BQ1214" s="82"/>
      <c r="BR1214" s="82"/>
      <c r="BS1214" s="82"/>
      <c r="BT1214" s="82"/>
      <c r="BU1214" s="82"/>
      <c r="BV1214" s="82"/>
      <c r="BW1214" s="82"/>
      <c r="BX1214" s="82"/>
      <c r="BY1214" s="82"/>
      <c r="BZ1214" s="82"/>
      <c r="CA1214" s="82"/>
      <c r="CB1214" s="82"/>
      <c r="CC1214" s="82"/>
      <c r="CD1214" s="82"/>
      <c r="CE1214" s="82"/>
      <c r="CF1214" s="82"/>
      <c r="CG1214" s="82"/>
      <c r="CH1214" s="82"/>
      <c r="CI1214" s="82"/>
      <c r="CJ1214" s="82"/>
      <c r="CK1214" s="82"/>
      <c r="CL1214" s="82"/>
      <c r="CM1214" s="82"/>
      <c r="CN1214" s="82"/>
      <c r="CO1214" s="82"/>
      <c r="CP1214" s="82"/>
      <c r="CQ1214" s="82"/>
      <c r="CR1214" s="82"/>
      <c r="CS1214" s="82"/>
      <c r="CT1214" s="82"/>
      <c r="CU1214" s="82"/>
      <c r="CV1214" s="82"/>
      <c r="CW1214" s="82"/>
      <c r="CX1214" s="82"/>
      <c r="CY1214" s="82"/>
      <c r="CZ1214" s="82"/>
      <c r="DA1214" s="82"/>
      <c r="DB1214" s="82"/>
      <c r="DC1214" s="82"/>
      <c r="DD1214" s="82"/>
      <c r="DE1214" s="82"/>
      <c r="DF1214" s="82"/>
      <c r="DG1214" s="82"/>
    </row>
    <row r="1215" spans="2:111" ht="12" customHeight="1">
      <c r="BC1215" s="82"/>
      <c r="BD1215" s="82"/>
      <c r="BE1215" s="82"/>
      <c r="BF1215" s="82"/>
      <c r="BG1215" s="82"/>
      <c r="BH1215" s="82"/>
      <c r="BI1215" s="82"/>
      <c r="BJ1215" s="82"/>
      <c r="BK1215" s="82"/>
      <c r="BL1215" s="82"/>
      <c r="BM1215" s="82"/>
      <c r="BN1215" s="82"/>
      <c r="BO1215" s="82"/>
      <c r="BP1215" s="82"/>
      <c r="BQ1215" s="82"/>
      <c r="BR1215" s="82"/>
      <c r="BS1215" s="82"/>
      <c r="BT1215" s="82"/>
      <c r="BU1215" s="82"/>
      <c r="BV1215" s="82"/>
      <c r="BW1215" s="82"/>
      <c r="BX1215" s="82"/>
      <c r="BY1215" s="82"/>
      <c r="BZ1215" s="82"/>
      <c r="CA1215" s="82"/>
      <c r="CB1215" s="82"/>
      <c r="CC1215" s="82"/>
      <c r="CD1215" s="82"/>
      <c r="CE1215" s="82"/>
      <c r="CF1215" s="82"/>
      <c r="CG1215" s="82"/>
      <c r="CH1215" s="82"/>
      <c r="CI1215" s="82"/>
      <c r="CJ1215" s="82"/>
      <c r="CK1215" s="82"/>
      <c r="CL1215" s="82"/>
      <c r="CM1215" s="82"/>
      <c r="CN1215" s="82"/>
      <c r="CO1215" s="82"/>
      <c r="CP1215" s="82"/>
      <c r="CQ1215" s="82"/>
      <c r="CR1215" s="82"/>
      <c r="CS1215" s="82"/>
      <c r="CT1215" s="82"/>
      <c r="CU1215" s="82"/>
      <c r="CV1215" s="82"/>
      <c r="CW1215" s="82"/>
      <c r="CX1215" s="82"/>
      <c r="CY1215" s="82"/>
      <c r="CZ1215" s="82"/>
      <c r="DA1215" s="82"/>
      <c r="DB1215" s="82"/>
      <c r="DC1215" s="82"/>
      <c r="DD1215" s="82"/>
      <c r="DE1215" s="82"/>
      <c r="DF1215" s="82"/>
      <c r="DG1215" s="82"/>
    </row>
    <row r="1216" spans="2:111" ht="9" customHeight="1">
      <c r="B1216" s="232" t="str">
        <f>IF($U$1120&gt;=5,"Etapa 5.5","")</f>
        <v/>
      </c>
      <c r="C1216" s="232"/>
      <c r="D1216" s="232"/>
      <c r="E1216" s="232"/>
      <c r="F1216" s="232"/>
      <c r="G1216" s="232"/>
      <c r="I1216" s="233"/>
      <c r="J1216" s="233"/>
      <c r="K1216" s="233"/>
      <c r="L1216" s="233"/>
      <c r="M1216" s="233"/>
      <c r="N1216" s="233"/>
      <c r="O1216" s="233"/>
      <c r="P1216" s="233"/>
      <c r="Q1216" s="233"/>
      <c r="R1216" s="233"/>
      <c r="S1216" s="233"/>
      <c r="T1216" s="233"/>
      <c r="U1216" s="233"/>
      <c r="V1216" s="233"/>
      <c r="W1216" s="233"/>
      <c r="X1216" s="233"/>
      <c r="Y1216" s="233"/>
      <c r="Z1216" s="233"/>
      <c r="AA1216" s="233"/>
      <c r="AB1216" s="233"/>
      <c r="AC1216" s="233"/>
      <c r="AD1216" s="233"/>
      <c r="AE1216" s="233"/>
      <c r="AF1216" s="233"/>
      <c r="AG1216" s="233"/>
      <c r="AH1216" s="233"/>
      <c r="AI1216" s="233"/>
      <c r="AJ1216" s="233"/>
      <c r="AK1216" s="233"/>
      <c r="AL1216" s="233"/>
      <c r="AM1216" s="233"/>
      <c r="AN1216" s="233"/>
      <c r="AO1216" s="233"/>
      <c r="AP1216" s="233"/>
      <c r="AQ1216" s="233"/>
      <c r="AS1216" s="234" t="str">
        <f>IF(SUM(AS1222:BA1237)=0,"",SUM(AS1222:BA1237))</f>
        <v/>
      </c>
      <c r="AT1216" s="234"/>
      <c r="AU1216" s="234"/>
      <c r="AV1216" s="234"/>
      <c r="AW1216" s="234"/>
      <c r="AX1216" s="234"/>
      <c r="AY1216" s="234"/>
      <c r="AZ1216" s="234"/>
      <c r="BA1216" s="234"/>
      <c r="BC1216" s="82"/>
      <c r="BD1216" s="82"/>
      <c r="BE1216" s="82"/>
      <c r="BF1216" s="82"/>
      <c r="BG1216" s="82"/>
      <c r="BH1216" s="82"/>
      <c r="BI1216" s="82"/>
      <c r="BJ1216" s="82"/>
      <c r="BK1216" s="82"/>
      <c r="BL1216" s="82"/>
      <c r="BM1216" s="82"/>
      <c r="BN1216" s="82"/>
      <c r="BO1216" s="82"/>
      <c r="BP1216" s="82"/>
      <c r="BQ1216" s="82"/>
      <c r="BR1216" s="82"/>
      <c r="BS1216" s="82"/>
      <c r="BT1216" s="82"/>
      <c r="BU1216" s="82"/>
      <c r="BV1216" s="82"/>
      <c r="BW1216" s="82"/>
      <c r="BX1216" s="82"/>
      <c r="BY1216" s="82"/>
      <c r="BZ1216" s="82"/>
      <c r="CA1216" s="82"/>
      <c r="CB1216" s="82"/>
      <c r="CC1216" s="82"/>
      <c r="CD1216" s="82"/>
      <c r="CE1216" s="82"/>
      <c r="CF1216" s="82"/>
      <c r="CG1216" s="82"/>
      <c r="CH1216" s="82"/>
      <c r="CI1216" s="82"/>
      <c r="CJ1216" s="82"/>
      <c r="CK1216" s="82"/>
      <c r="CL1216" s="82"/>
      <c r="CM1216" s="82"/>
      <c r="CN1216" s="82"/>
      <c r="CO1216" s="82"/>
      <c r="CP1216" s="82"/>
      <c r="CQ1216" s="82"/>
      <c r="CR1216" s="82"/>
      <c r="CS1216" s="82"/>
      <c r="CT1216" s="82"/>
      <c r="CU1216" s="82"/>
      <c r="CV1216" s="82"/>
      <c r="CW1216" s="82"/>
      <c r="CX1216" s="82"/>
      <c r="CY1216" s="82"/>
      <c r="CZ1216" s="82"/>
      <c r="DA1216" s="82"/>
      <c r="DB1216" s="82"/>
      <c r="DC1216" s="82"/>
      <c r="DD1216" s="82"/>
      <c r="DE1216" s="82"/>
      <c r="DF1216" s="82"/>
      <c r="DG1216" s="82"/>
    </row>
    <row r="1217" spans="2:111" ht="9" customHeight="1">
      <c r="B1217" s="232"/>
      <c r="C1217" s="232"/>
      <c r="D1217" s="232"/>
      <c r="E1217" s="232"/>
      <c r="F1217" s="232"/>
      <c r="G1217" s="232"/>
      <c r="I1217" s="233"/>
      <c r="J1217" s="233"/>
      <c r="K1217" s="233"/>
      <c r="L1217" s="233"/>
      <c r="M1217" s="233"/>
      <c r="N1217" s="233"/>
      <c r="O1217" s="233"/>
      <c r="P1217" s="233"/>
      <c r="Q1217" s="233"/>
      <c r="R1217" s="233"/>
      <c r="S1217" s="233"/>
      <c r="T1217" s="233"/>
      <c r="U1217" s="233"/>
      <c r="V1217" s="233"/>
      <c r="W1217" s="233"/>
      <c r="X1217" s="233"/>
      <c r="Y1217" s="233"/>
      <c r="Z1217" s="233"/>
      <c r="AA1217" s="233"/>
      <c r="AB1217" s="233"/>
      <c r="AC1217" s="233"/>
      <c r="AD1217" s="233"/>
      <c r="AE1217" s="233"/>
      <c r="AF1217" s="233"/>
      <c r="AG1217" s="233"/>
      <c r="AH1217" s="233"/>
      <c r="AI1217" s="233"/>
      <c r="AJ1217" s="233"/>
      <c r="AK1217" s="233"/>
      <c r="AL1217" s="233"/>
      <c r="AM1217" s="233"/>
      <c r="AN1217" s="233"/>
      <c r="AO1217" s="233"/>
      <c r="AP1217" s="233"/>
      <c r="AQ1217" s="233"/>
      <c r="AS1217" s="234"/>
      <c r="AT1217" s="234"/>
      <c r="AU1217" s="234"/>
      <c r="AV1217" s="234"/>
      <c r="AW1217" s="234"/>
      <c r="AX1217" s="234"/>
      <c r="AY1217" s="234"/>
      <c r="AZ1217" s="234"/>
      <c r="BA1217" s="234"/>
      <c r="BC1217" s="82"/>
      <c r="BD1217" s="82"/>
      <c r="BE1217" s="82"/>
      <c r="BF1217" s="82"/>
      <c r="BG1217" s="82"/>
      <c r="BH1217" s="82"/>
      <c r="BI1217" s="82"/>
      <c r="BJ1217" s="82"/>
      <c r="BK1217" s="82"/>
      <c r="BL1217" s="82"/>
      <c r="BM1217" s="82"/>
      <c r="BN1217" s="82"/>
      <c r="BO1217" s="82"/>
      <c r="BP1217" s="82"/>
      <c r="BQ1217" s="82"/>
      <c r="BR1217" s="82"/>
      <c r="BS1217" s="82"/>
      <c r="BT1217" s="82"/>
      <c r="BU1217" s="82"/>
      <c r="BV1217" s="82"/>
      <c r="BW1217" s="82"/>
      <c r="BX1217" s="82"/>
      <c r="BY1217" s="82"/>
      <c r="BZ1217" s="82"/>
      <c r="CA1217" s="82"/>
      <c r="CB1217" s="82"/>
      <c r="CC1217" s="82"/>
      <c r="CD1217" s="82"/>
      <c r="CE1217" s="82"/>
      <c r="CF1217" s="82"/>
      <c r="CG1217" s="82"/>
      <c r="CH1217" s="82"/>
      <c r="CI1217" s="82"/>
      <c r="CJ1217" s="82"/>
      <c r="CK1217" s="82"/>
      <c r="CL1217" s="82"/>
      <c r="CM1217" s="82"/>
      <c r="CN1217" s="82"/>
      <c r="CO1217" s="82"/>
      <c r="CP1217" s="82"/>
      <c r="CQ1217" s="82"/>
      <c r="CR1217" s="82"/>
      <c r="CS1217" s="82"/>
      <c r="CT1217" s="82"/>
      <c r="CU1217" s="82"/>
      <c r="CV1217" s="82"/>
      <c r="CW1217" s="82"/>
      <c r="CX1217" s="82"/>
      <c r="CY1217" s="82"/>
      <c r="CZ1217" s="82"/>
      <c r="DA1217" s="82"/>
      <c r="DB1217" s="82"/>
      <c r="DC1217" s="82"/>
      <c r="DD1217" s="82"/>
      <c r="DE1217" s="82"/>
      <c r="DF1217" s="82"/>
      <c r="DG1217" s="82"/>
    </row>
    <row r="1218" spans="2:111" ht="4.5" customHeight="1">
      <c r="BC1218" s="82"/>
      <c r="BD1218" s="82"/>
      <c r="BE1218" s="82"/>
      <c r="BF1218" s="82"/>
      <c r="BG1218" s="82"/>
      <c r="BH1218" s="82"/>
      <c r="BI1218" s="82"/>
      <c r="BJ1218" s="82"/>
      <c r="BK1218" s="82"/>
      <c r="BL1218" s="82"/>
      <c r="BM1218" s="82"/>
      <c r="BN1218" s="82"/>
      <c r="BO1218" s="82"/>
      <c r="BP1218" s="82"/>
      <c r="BQ1218" s="82"/>
      <c r="BR1218" s="82"/>
      <c r="BS1218" s="82"/>
      <c r="BT1218" s="82"/>
      <c r="BU1218" s="82"/>
      <c r="BV1218" s="82"/>
      <c r="BW1218" s="82"/>
      <c r="BX1218" s="82"/>
      <c r="BY1218" s="82"/>
      <c r="BZ1218" s="82"/>
      <c r="CA1218" s="82"/>
      <c r="CB1218" s="82"/>
      <c r="CC1218" s="82"/>
      <c r="CD1218" s="82"/>
      <c r="CE1218" s="82"/>
      <c r="CF1218" s="82"/>
      <c r="CG1218" s="82"/>
      <c r="CH1218" s="82"/>
      <c r="CI1218" s="82"/>
      <c r="CJ1218" s="82"/>
      <c r="CK1218" s="82"/>
      <c r="CL1218" s="82"/>
      <c r="CM1218" s="82"/>
      <c r="CN1218" s="82"/>
      <c r="CO1218" s="82"/>
      <c r="CP1218" s="82"/>
      <c r="CQ1218" s="82"/>
      <c r="CR1218" s="82"/>
      <c r="CS1218" s="82"/>
      <c r="CT1218" s="82"/>
      <c r="CU1218" s="82"/>
      <c r="CV1218" s="82"/>
      <c r="CW1218" s="82"/>
      <c r="CX1218" s="82"/>
      <c r="CY1218" s="82"/>
      <c r="CZ1218" s="82"/>
      <c r="DA1218" s="82"/>
      <c r="DB1218" s="82"/>
      <c r="DC1218" s="82"/>
      <c r="DD1218" s="82"/>
      <c r="DE1218" s="82"/>
      <c r="DF1218" s="82"/>
      <c r="DG1218" s="82"/>
    </row>
    <row r="1219" spans="2:111" ht="9" customHeight="1">
      <c r="I1219" s="229" t="str">
        <f>IF($U$1120&gt;=5,"Início:","")</f>
        <v/>
      </c>
      <c r="J1219" s="229"/>
      <c r="K1219" s="229"/>
      <c r="L1219" s="229"/>
      <c r="M1219" s="229"/>
      <c r="N1219" s="229"/>
      <c r="P1219" s="235"/>
      <c r="Q1219" s="235"/>
      <c r="R1219" s="235"/>
      <c r="S1219" s="235"/>
      <c r="T1219" s="235"/>
      <c r="U1219" s="235"/>
      <c r="V1219" s="235"/>
      <c r="W1219" s="235"/>
      <c r="Y1219" s="229" t="str">
        <f>IF($U$1120&gt;=5,"Término:","")</f>
        <v/>
      </c>
      <c r="Z1219" s="229"/>
      <c r="AA1219" s="229"/>
      <c r="AB1219" s="229"/>
      <c r="AC1219" s="229"/>
      <c r="AD1219" s="229"/>
      <c r="AF1219" s="235"/>
      <c r="AG1219" s="235"/>
      <c r="AH1219" s="235"/>
      <c r="AI1219" s="235"/>
      <c r="AJ1219" s="235"/>
      <c r="AK1219" s="235"/>
      <c r="AL1219" s="235"/>
      <c r="AM1219" s="235"/>
      <c r="AW1219" s="236" t="str">
        <f>IF($U$1120&gt;=5,"Valor (R$):","")</f>
        <v/>
      </c>
      <c r="AX1219" s="236"/>
      <c r="AY1219" s="236"/>
      <c r="AZ1219" s="236"/>
      <c r="BA1219" s="236"/>
      <c r="BC1219" s="82"/>
      <c r="BD1219" s="82"/>
      <c r="BE1219" s="82"/>
      <c r="BF1219" s="82"/>
      <c r="BG1219" s="82"/>
      <c r="BH1219" s="82"/>
      <c r="BI1219" s="82"/>
      <c r="BJ1219" s="82"/>
      <c r="BK1219" s="82"/>
      <c r="BL1219" s="82"/>
      <c r="BM1219" s="82"/>
      <c r="BN1219" s="82"/>
      <c r="BO1219" s="82"/>
      <c r="BP1219" s="82"/>
      <c r="BQ1219" s="82"/>
      <c r="BR1219" s="82"/>
      <c r="BS1219" s="82"/>
      <c r="BT1219" s="82"/>
      <c r="BU1219" s="82"/>
      <c r="BV1219" s="82"/>
      <c r="BW1219" s="82"/>
      <c r="BX1219" s="82"/>
      <c r="BY1219" s="82"/>
      <c r="BZ1219" s="82"/>
      <c r="CA1219" s="82"/>
      <c r="CB1219" s="82"/>
      <c r="CC1219" s="82"/>
      <c r="CD1219" s="82"/>
      <c r="CE1219" s="82"/>
      <c r="CF1219" s="82"/>
      <c r="CG1219" s="82"/>
      <c r="CH1219" s="82"/>
      <c r="CI1219" s="82"/>
      <c r="CJ1219" s="82"/>
      <c r="CK1219" s="82"/>
      <c r="CL1219" s="82"/>
      <c r="CM1219" s="82"/>
      <c r="CN1219" s="82"/>
      <c r="CO1219" s="82"/>
      <c r="CP1219" s="82"/>
      <c r="CQ1219" s="82"/>
      <c r="CR1219" s="82"/>
      <c r="CS1219" s="82"/>
      <c r="CT1219" s="82"/>
      <c r="CU1219" s="82"/>
      <c r="CV1219" s="82"/>
      <c r="CW1219" s="82"/>
      <c r="CX1219" s="82"/>
      <c r="CY1219" s="82"/>
      <c r="CZ1219" s="82"/>
      <c r="DA1219" s="82"/>
      <c r="DB1219" s="82"/>
      <c r="DC1219" s="82"/>
      <c r="DD1219" s="82"/>
      <c r="DE1219" s="82"/>
      <c r="DF1219" s="82"/>
      <c r="DG1219" s="82"/>
    </row>
    <row r="1220" spans="2:111" ht="9" customHeight="1">
      <c r="I1220" s="229"/>
      <c r="J1220" s="229"/>
      <c r="K1220" s="229"/>
      <c r="L1220" s="229"/>
      <c r="M1220" s="229"/>
      <c r="N1220" s="229"/>
      <c r="P1220" s="235"/>
      <c r="Q1220" s="235"/>
      <c r="R1220" s="235"/>
      <c r="S1220" s="235"/>
      <c r="T1220" s="235"/>
      <c r="U1220" s="235"/>
      <c r="V1220" s="235"/>
      <c r="W1220" s="235"/>
      <c r="Y1220" s="229"/>
      <c r="Z1220" s="229"/>
      <c r="AA1220" s="229"/>
      <c r="AB1220" s="229"/>
      <c r="AC1220" s="229"/>
      <c r="AD1220" s="229"/>
      <c r="AF1220" s="235"/>
      <c r="AG1220" s="235"/>
      <c r="AH1220" s="235"/>
      <c r="AI1220" s="235"/>
      <c r="AJ1220" s="235"/>
      <c r="AK1220" s="235"/>
      <c r="AL1220" s="235"/>
      <c r="AM1220" s="235"/>
      <c r="AW1220" s="236"/>
      <c r="AX1220" s="236"/>
      <c r="AY1220" s="236"/>
      <c r="AZ1220" s="236"/>
      <c r="BA1220" s="236"/>
      <c r="BC1220" s="82"/>
      <c r="BD1220" s="82"/>
      <c r="BE1220" s="82"/>
      <c r="BF1220" s="82"/>
      <c r="BG1220" s="82"/>
      <c r="BH1220" s="82"/>
      <c r="BI1220" s="82"/>
      <c r="BJ1220" s="82"/>
      <c r="BK1220" s="82"/>
      <c r="BL1220" s="82"/>
      <c r="BM1220" s="82"/>
      <c r="BN1220" s="82"/>
      <c r="BO1220" s="82"/>
      <c r="BP1220" s="82"/>
      <c r="BQ1220" s="82"/>
      <c r="BR1220" s="82"/>
      <c r="BS1220" s="82"/>
      <c r="BT1220" s="82"/>
      <c r="BU1220" s="82"/>
      <c r="BV1220" s="82"/>
      <c r="BW1220" s="82"/>
      <c r="BX1220" s="82"/>
      <c r="BY1220" s="82"/>
      <c r="BZ1220" s="82"/>
      <c r="CA1220" s="82"/>
      <c r="CB1220" s="82"/>
      <c r="CC1220" s="82"/>
      <c r="CD1220" s="82"/>
      <c r="CE1220" s="82"/>
      <c r="CF1220" s="82"/>
      <c r="CG1220" s="82"/>
      <c r="CH1220" s="82"/>
      <c r="CI1220" s="82"/>
      <c r="CJ1220" s="82"/>
      <c r="CK1220" s="82"/>
      <c r="CL1220" s="82"/>
      <c r="CM1220" s="82"/>
      <c r="CN1220" s="82"/>
      <c r="CO1220" s="82"/>
      <c r="CP1220" s="82"/>
      <c r="CQ1220" s="82"/>
      <c r="CR1220" s="82"/>
      <c r="CS1220" s="82"/>
      <c r="CT1220" s="82"/>
      <c r="CU1220" s="82"/>
      <c r="CV1220" s="82"/>
      <c r="CW1220" s="82"/>
      <c r="CX1220" s="82"/>
      <c r="CY1220" s="82"/>
      <c r="CZ1220" s="82"/>
      <c r="DA1220" s="82"/>
      <c r="DB1220" s="82"/>
      <c r="DC1220" s="82"/>
      <c r="DD1220" s="82"/>
      <c r="DE1220" s="82"/>
      <c r="DF1220" s="82"/>
      <c r="DG1220" s="82"/>
    </row>
    <row r="1221" spans="2:111" ht="4.5" customHeight="1">
      <c r="BC1221" s="82"/>
      <c r="BD1221" s="82"/>
      <c r="BE1221" s="82"/>
      <c r="BF1221" s="82"/>
      <c r="BG1221" s="82"/>
      <c r="BH1221" s="82"/>
      <c r="BI1221" s="82"/>
      <c r="BJ1221" s="82"/>
      <c r="BK1221" s="82"/>
      <c r="BL1221" s="82"/>
      <c r="BM1221" s="82"/>
      <c r="BN1221" s="82"/>
      <c r="BO1221" s="82"/>
      <c r="BP1221" s="82"/>
      <c r="BQ1221" s="82"/>
      <c r="BR1221" s="82"/>
      <c r="BS1221" s="82"/>
      <c r="BT1221" s="82"/>
      <c r="BU1221" s="82"/>
      <c r="BV1221" s="82"/>
      <c r="BW1221" s="82"/>
      <c r="BX1221" s="82"/>
      <c r="BY1221" s="82"/>
      <c r="BZ1221" s="82"/>
      <c r="CA1221" s="82"/>
      <c r="CB1221" s="82"/>
      <c r="CC1221" s="82"/>
      <c r="CD1221" s="82"/>
      <c r="CE1221" s="82"/>
      <c r="CF1221" s="82"/>
      <c r="CG1221" s="82"/>
      <c r="CH1221" s="82"/>
      <c r="CI1221" s="82"/>
      <c r="CJ1221" s="82"/>
      <c r="CK1221" s="82"/>
      <c r="CL1221" s="82"/>
      <c r="CM1221" s="82"/>
      <c r="CN1221" s="82"/>
      <c r="CO1221" s="82"/>
      <c r="CP1221" s="82"/>
      <c r="CQ1221" s="82"/>
      <c r="CR1221" s="82"/>
      <c r="CS1221" s="82"/>
      <c r="CT1221" s="82"/>
      <c r="CU1221" s="82"/>
      <c r="CV1221" s="82"/>
      <c r="CW1221" s="82"/>
      <c r="CX1221" s="82"/>
      <c r="CY1221" s="82"/>
      <c r="CZ1221" s="82"/>
      <c r="DA1221" s="82"/>
      <c r="DB1221" s="82"/>
      <c r="DC1221" s="82"/>
      <c r="DD1221" s="82"/>
      <c r="DE1221" s="82"/>
      <c r="DF1221" s="82"/>
      <c r="DG1221" s="82"/>
    </row>
    <row r="1222" spans="2:111" ht="9" customHeight="1">
      <c r="B1222" s="229" t="str">
        <f>IF($U$1120&gt;=5,"Elementos de Despesa:","")</f>
        <v/>
      </c>
      <c r="C1222" s="229"/>
      <c r="D1222" s="229"/>
      <c r="E1222" s="229"/>
      <c r="F1222" s="229"/>
      <c r="G1222" s="229"/>
      <c r="H1222" s="229"/>
      <c r="I1222" s="229"/>
      <c r="J1222" s="229"/>
      <c r="K1222" s="229"/>
      <c r="L1222" s="229"/>
      <c r="M1222" s="229"/>
      <c r="N1222" s="229"/>
      <c r="P1222" s="230"/>
      <c r="Q1222" s="230"/>
      <c r="R1222" s="230"/>
      <c r="S1222" s="230"/>
      <c r="T1222" s="230"/>
      <c r="U1222" s="230"/>
      <c r="V1222" s="230"/>
      <c r="W1222" s="230"/>
      <c r="X1222" s="230"/>
      <c r="Y1222" s="230"/>
      <c r="Z1222" s="230"/>
      <c r="AA1222" s="230"/>
      <c r="AB1222" s="230"/>
      <c r="AC1222" s="230"/>
      <c r="AD1222" s="230"/>
      <c r="AE1222" s="230"/>
      <c r="AF1222" s="230"/>
      <c r="AG1222" s="230"/>
      <c r="AH1222" s="230"/>
      <c r="AI1222" s="230"/>
      <c r="AJ1222" s="230"/>
      <c r="AK1222" s="230"/>
      <c r="AL1222" s="230"/>
      <c r="AM1222" s="230"/>
      <c r="AN1222" s="230"/>
      <c r="AO1222" s="230"/>
      <c r="AP1222" s="230"/>
      <c r="AQ1222" s="230"/>
      <c r="AS1222" s="231"/>
      <c r="AT1222" s="231"/>
      <c r="AU1222" s="231"/>
      <c r="AV1222" s="231"/>
      <c r="AW1222" s="231"/>
      <c r="AX1222" s="231"/>
      <c r="AY1222" s="231"/>
      <c r="AZ1222" s="231"/>
      <c r="BA1222" s="231"/>
      <c r="BC1222" s="82"/>
      <c r="BD1222" s="82"/>
      <c r="BE1222" s="82"/>
      <c r="BF1222" s="82"/>
      <c r="BG1222" s="82"/>
      <c r="BH1222" s="82"/>
      <c r="BI1222" s="82"/>
      <c r="BJ1222" s="82"/>
      <c r="BK1222" s="82"/>
      <c r="BL1222" s="82"/>
      <c r="BM1222" s="82"/>
      <c r="BN1222" s="82"/>
      <c r="BO1222" s="82"/>
      <c r="BP1222" s="82"/>
      <c r="BQ1222" s="82"/>
      <c r="BR1222" s="82"/>
      <c r="BS1222" s="82"/>
      <c r="BT1222" s="82"/>
      <c r="BU1222" s="82"/>
      <c r="BV1222" s="82"/>
      <c r="BW1222" s="82"/>
      <c r="BX1222" s="82"/>
      <c r="BY1222" s="82"/>
      <c r="BZ1222" s="82"/>
      <c r="CA1222" s="82"/>
      <c r="CB1222" s="82"/>
      <c r="CC1222" s="82"/>
      <c r="CD1222" s="82"/>
      <c r="CE1222" s="82"/>
      <c r="CF1222" s="82"/>
      <c r="CG1222" s="82"/>
      <c r="CH1222" s="82"/>
      <c r="CI1222" s="82"/>
      <c r="CJ1222" s="82"/>
      <c r="CK1222" s="82"/>
      <c r="CL1222" s="82"/>
      <c r="CM1222" s="82"/>
      <c r="CN1222" s="82"/>
      <c r="CO1222" s="82"/>
      <c r="CP1222" s="82"/>
      <c r="CQ1222" s="82"/>
      <c r="CR1222" s="82"/>
      <c r="CS1222" s="82"/>
      <c r="CT1222" s="82"/>
      <c r="CU1222" s="82"/>
      <c r="CV1222" s="82"/>
      <c r="CW1222" s="82"/>
      <c r="CX1222" s="82"/>
      <c r="CY1222" s="82"/>
      <c r="CZ1222" s="82"/>
      <c r="DA1222" s="82"/>
      <c r="DB1222" s="82"/>
      <c r="DC1222" s="82"/>
      <c r="DD1222" s="82"/>
      <c r="DE1222" s="82"/>
      <c r="DF1222" s="82"/>
      <c r="DG1222" s="82"/>
    </row>
    <row r="1223" spans="2:111" ht="9" customHeight="1">
      <c r="B1223" s="229"/>
      <c r="C1223" s="229"/>
      <c r="D1223" s="229"/>
      <c r="E1223" s="229"/>
      <c r="F1223" s="229"/>
      <c r="G1223" s="229"/>
      <c r="H1223" s="229"/>
      <c r="I1223" s="229"/>
      <c r="J1223" s="229"/>
      <c r="K1223" s="229"/>
      <c r="L1223" s="229"/>
      <c r="M1223" s="229"/>
      <c r="N1223" s="229"/>
      <c r="P1223" s="230"/>
      <c r="Q1223" s="230"/>
      <c r="R1223" s="230"/>
      <c r="S1223" s="230"/>
      <c r="T1223" s="230"/>
      <c r="U1223" s="230"/>
      <c r="V1223" s="230"/>
      <c r="W1223" s="230"/>
      <c r="X1223" s="230"/>
      <c r="Y1223" s="230"/>
      <c r="Z1223" s="230"/>
      <c r="AA1223" s="230"/>
      <c r="AB1223" s="230"/>
      <c r="AC1223" s="230"/>
      <c r="AD1223" s="230"/>
      <c r="AE1223" s="230"/>
      <c r="AF1223" s="230"/>
      <c r="AG1223" s="230"/>
      <c r="AH1223" s="230"/>
      <c r="AI1223" s="230"/>
      <c r="AJ1223" s="230"/>
      <c r="AK1223" s="230"/>
      <c r="AL1223" s="230"/>
      <c r="AM1223" s="230"/>
      <c r="AN1223" s="230"/>
      <c r="AO1223" s="230"/>
      <c r="AP1223" s="230"/>
      <c r="AQ1223" s="230"/>
      <c r="AS1223" s="231"/>
      <c r="AT1223" s="231"/>
      <c r="AU1223" s="231"/>
      <c r="AV1223" s="231"/>
      <c r="AW1223" s="231"/>
      <c r="AX1223" s="231"/>
      <c r="AY1223" s="231"/>
      <c r="AZ1223" s="231"/>
      <c r="BA1223" s="231"/>
      <c r="BC1223" s="82"/>
      <c r="BD1223" s="82"/>
      <c r="BE1223" s="82"/>
      <c r="BF1223" s="82"/>
      <c r="BG1223" s="82"/>
      <c r="BH1223" s="82"/>
      <c r="BI1223" s="82"/>
      <c r="BJ1223" s="82"/>
      <c r="BK1223" s="82"/>
      <c r="BL1223" s="82"/>
      <c r="BM1223" s="82"/>
      <c r="BN1223" s="82"/>
      <c r="BO1223" s="82"/>
      <c r="BP1223" s="82"/>
      <c r="BQ1223" s="82"/>
      <c r="BR1223" s="82"/>
      <c r="BS1223" s="82"/>
      <c r="BT1223" s="82"/>
      <c r="BU1223" s="82"/>
      <c r="BV1223" s="82"/>
      <c r="BW1223" s="82"/>
      <c r="BX1223" s="82"/>
      <c r="BY1223" s="82"/>
      <c r="BZ1223" s="82"/>
      <c r="CA1223" s="82"/>
      <c r="CB1223" s="82"/>
      <c r="CC1223" s="82"/>
      <c r="CD1223" s="82"/>
      <c r="CE1223" s="82"/>
      <c r="CF1223" s="82"/>
      <c r="CG1223" s="82"/>
      <c r="CH1223" s="82"/>
      <c r="CI1223" s="82"/>
      <c r="CJ1223" s="82"/>
      <c r="CK1223" s="82"/>
      <c r="CL1223" s="82"/>
      <c r="CM1223" s="82"/>
      <c r="CN1223" s="82"/>
      <c r="CO1223" s="82"/>
      <c r="CP1223" s="82"/>
      <c r="CQ1223" s="82"/>
      <c r="CR1223" s="82"/>
      <c r="CS1223" s="82"/>
      <c r="CT1223" s="82"/>
      <c r="CU1223" s="82"/>
      <c r="CV1223" s="82"/>
      <c r="CW1223" s="82"/>
      <c r="CX1223" s="82"/>
      <c r="CY1223" s="82"/>
      <c r="CZ1223" s="82"/>
      <c r="DA1223" s="82"/>
      <c r="DB1223" s="82"/>
      <c r="DC1223" s="82"/>
      <c r="DD1223" s="82"/>
      <c r="DE1223" s="82"/>
      <c r="DF1223" s="82"/>
      <c r="DG1223" s="82"/>
    </row>
    <row r="1224" spans="2:111" ht="9" customHeight="1">
      <c r="B1224" s="229"/>
      <c r="C1224" s="229"/>
      <c r="D1224" s="229"/>
      <c r="E1224" s="229"/>
      <c r="F1224" s="229"/>
      <c r="G1224" s="229"/>
      <c r="H1224" s="229"/>
      <c r="I1224" s="229"/>
      <c r="J1224" s="229"/>
      <c r="K1224" s="229"/>
      <c r="L1224" s="229"/>
      <c r="M1224" s="229"/>
      <c r="N1224" s="229"/>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230"/>
      <c r="AL1224" s="230"/>
      <c r="AM1224" s="230"/>
      <c r="AN1224" s="230"/>
      <c r="AO1224" s="230"/>
      <c r="AP1224" s="230"/>
      <c r="AQ1224" s="230"/>
      <c r="AS1224" s="231"/>
      <c r="AT1224" s="231"/>
      <c r="AU1224" s="231"/>
      <c r="AV1224" s="231"/>
      <c r="AW1224" s="231"/>
      <c r="AX1224" s="231"/>
      <c r="AY1224" s="231"/>
      <c r="AZ1224" s="231"/>
      <c r="BA1224" s="231"/>
      <c r="BC1224" s="82"/>
      <c r="BD1224" s="82"/>
      <c r="BE1224" s="82"/>
      <c r="BF1224" s="82"/>
      <c r="BG1224" s="82"/>
      <c r="BH1224" s="82"/>
      <c r="BI1224" s="82"/>
      <c r="BJ1224" s="82"/>
      <c r="BK1224" s="82"/>
      <c r="BL1224" s="82"/>
      <c r="BM1224" s="82"/>
      <c r="BN1224" s="82"/>
      <c r="BO1224" s="82"/>
      <c r="BP1224" s="82"/>
      <c r="BQ1224" s="82"/>
      <c r="BR1224" s="82"/>
      <c r="BS1224" s="82"/>
      <c r="BT1224" s="82"/>
      <c r="BU1224" s="82"/>
      <c r="BV1224" s="82"/>
      <c r="BW1224" s="82"/>
      <c r="BX1224" s="82"/>
      <c r="BY1224" s="82"/>
      <c r="BZ1224" s="82"/>
      <c r="CA1224" s="82"/>
      <c r="CB1224" s="82"/>
      <c r="CC1224" s="82"/>
      <c r="CD1224" s="82"/>
      <c r="CE1224" s="82"/>
      <c r="CF1224" s="82"/>
      <c r="CG1224" s="82"/>
      <c r="CH1224" s="82"/>
      <c r="CI1224" s="82"/>
      <c r="CJ1224" s="82"/>
      <c r="CK1224" s="82"/>
      <c r="CL1224" s="82"/>
      <c r="CM1224" s="82"/>
      <c r="CN1224" s="82"/>
      <c r="CO1224" s="82"/>
      <c r="CP1224" s="82"/>
      <c r="CQ1224" s="82"/>
      <c r="CR1224" s="82"/>
      <c r="CS1224" s="82"/>
      <c r="CT1224" s="82"/>
      <c r="CU1224" s="82"/>
      <c r="CV1224" s="82"/>
      <c r="CW1224" s="82"/>
      <c r="CX1224" s="82"/>
      <c r="CY1224" s="82"/>
      <c r="CZ1224" s="82"/>
      <c r="DA1224" s="82"/>
      <c r="DB1224" s="82"/>
      <c r="DC1224" s="82"/>
      <c r="DD1224" s="82"/>
      <c r="DE1224" s="82"/>
      <c r="DF1224" s="82"/>
      <c r="DG1224" s="82"/>
    </row>
    <row r="1225" spans="2:111" ht="9" customHeight="1">
      <c r="B1225" s="229"/>
      <c r="C1225" s="229"/>
      <c r="D1225" s="229"/>
      <c r="E1225" s="229"/>
      <c r="F1225" s="229"/>
      <c r="G1225" s="229"/>
      <c r="H1225" s="229"/>
      <c r="I1225" s="229"/>
      <c r="J1225" s="229"/>
      <c r="K1225" s="229"/>
      <c r="L1225" s="229"/>
      <c r="M1225" s="229"/>
      <c r="N1225" s="229"/>
      <c r="P1225" s="230"/>
      <c r="Q1225" s="230"/>
      <c r="R1225" s="230"/>
      <c r="S1225" s="230"/>
      <c r="T1225" s="230"/>
      <c r="U1225" s="230"/>
      <c r="V1225" s="230"/>
      <c r="W1225" s="230"/>
      <c r="X1225" s="230"/>
      <c r="Y1225" s="230"/>
      <c r="Z1225" s="230"/>
      <c r="AA1225" s="230"/>
      <c r="AB1225" s="230"/>
      <c r="AC1225" s="230"/>
      <c r="AD1225" s="230"/>
      <c r="AE1225" s="230"/>
      <c r="AF1225" s="230"/>
      <c r="AG1225" s="230"/>
      <c r="AH1225" s="230"/>
      <c r="AI1225" s="230"/>
      <c r="AJ1225" s="230"/>
      <c r="AK1225" s="230"/>
      <c r="AL1225" s="230"/>
      <c r="AM1225" s="230"/>
      <c r="AN1225" s="230"/>
      <c r="AO1225" s="230"/>
      <c r="AP1225" s="230"/>
      <c r="AQ1225" s="230"/>
      <c r="AS1225" s="231"/>
      <c r="AT1225" s="231"/>
      <c r="AU1225" s="231"/>
      <c r="AV1225" s="231"/>
      <c r="AW1225" s="231"/>
      <c r="AX1225" s="231"/>
      <c r="AY1225" s="231"/>
      <c r="AZ1225" s="231"/>
      <c r="BA1225" s="231"/>
      <c r="BC1225" s="82"/>
      <c r="BD1225" s="82"/>
      <c r="BE1225" s="82"/>
      <c r="BF1225" s="82"/>
      <c r="BG1225" s="82"/>
      <c r="BH1225" s="82"/>
      <c r="BI1225" s="82"/>
      <c r="BJ1225" s="82"/>
      <c r="BK1225" s="82"/>
      <c r="BL1225" s="82"/>
      <c r="BM1225" s="82"/>
      <c r="BN1225" s="82"/>
      <c r="BO1225" s="82"/>
      <c r="BP1225" s="82"/>
      <c r="BQ1225" s="82"/>
      <c r="BR1225" s="82"/>
      <c r="BS1225" s="82"/>
      <c r="BT1225" s="82"/>
      <c r="BU1225" s="82"/>
      <c r="BV1225" s="82"/>
      <c r="BW1225" s="82"/>
      <c r="BX1225" s="82"/>
      <c r="BY1225" s="82"/>
      <c r="BZ1225" s="82"/>
      <c r="CA1225" s="82"/>
      <c r="CB1225" s="82"/>
      <c r="CC1225" s="82"/>
      <c r="CD1225" s="82"/>
      <c r="CE1225" s="82"/>
      <c r="CF1225" s="82"/>
      <c r="CG1225" s="82"/>
      <c r="CH1225" s="82"/>
      <c r="CI1225" s="82"/>
      <c r="CJ1225" s="82"/>
      <c r="CK1225" s="82"/>
      <c r="CL1225" s="82"/>
      <c r="CM1225" s="82"/>
      <c r="CN1225" s="82"/>
      <c r="CO1225" s="82"/>
      <c r="CP1225" s="82"/>
      <c r="CQ1225" s="82"/>
      <c r="CR1225" s="82"/>
      <c r="CS1225" s="82"/>
      <c r="CT1225" s="82"/>
      <c r="CU1225" s="82"/>
      <c r="CV1225" s="82"/>
      <c r="CW1225" s="82"/>
      <c r="CX1225" s="82"/>
      <c r="CY1225" s="82"/>
      <c r="CZ1225" s="82"/>
      <c r="DA1225" s="82"/>
      <c r="DB1225" s="82"/>
      <c r="DC1225" s="82"/>
      <c r="DD1225" s="82"/>
      <c r="DE1225" s="82"/>
      <c r="DF1225" s="82"/>
      <c r="DG1225" s="82"/>
    </row>
    <row r="1226" spans="2:111" ht="9" customHeight="1">
      <c r="B1226" s="229"/>
      <c r="C1226" s="229"/>
      <c r="D1226" s="229"/>
      <c r="E1226" s="229"/>
      <c r="F1226" s="229"/>
      <c r="G1226" s="229"/>
      <c r="H1226" s="229"/>
      <c r="I1226" s="229"/>
      <c r="J1226" s="229"/>
      <c r="K1226" s="229"/>
      <c r="L1226" s="229"/>
      <c r="M1226" s="229"/>
      <c r="N1226" s="229"/>
      <c r="P1226" s="230"/>
      <c r="Q1226" s="230"/>
      <c r="R1226" s="230"/>
      <c r="S1226" s="230"/>
      <c r="T1226" s="230"/>
      <c r="U1226" s="230"/>
      <c r="V1226" s="230"/>
      <c r="W1226" s="230"/>
      <c r="X1226" s="230"/>
      <c r="Y1226" s="230"/>
      <c r="Z1226" s="230"/>
      <c r="AA1226" s="230"/>
      <c r="AB1226" s="230"/>
      <c r="AC1226" s="230"/>
      <c r="AD1226" s="230"/>
      <c r="AE1226" s="230"/>
      <c r="AF1226" s="230"/>
      <c r="AG1226" s="230"/>
      <c r="AH1226" s="230"/>
      <c r="AI1226" s="230"/>
      <c r="AJ1226" s="230"/>
      <c r="AK1226" s="230"/>
      <c r="AL1226" s="230"/>
      <c r="AM1226" s="230"/>
      <c r="AN1226" s="230"/>
      <c r="AO1226" s="230"/>
      <c r="AP1226" s="230"/>
      <c r="AQ1226" s="230"/>
      <c r="AS1226" s="231"/>
      <c r="AT1226" s="231"/>
      <c r="AU1226" s="231"/>
      <c r="AV1226" s="231"/>
      <c r="AW1226" s="231"/>
      <c r="AX1226" s="231"/>
      <c r="AY1226" s="231"/>
      <c r="AZ1226" s="231"/>
      <c r="BA1226" s="231"/>
      <c r="BC1226" s="82"/>
      <c r="BD1226" s="82"/>
      <c r="BE1226" s="82"/>
      <c r="BF1226" s="82"/>
      <c r="BG1226" s="82"/>
      <c r="BH1226" s="82"/>
      <c r="BI1226" s="82"/>
      <c r="BJ1226" s="82"/>
      <c r="BK1226" s="82"/>
      <c r="BL1226" s="82"/>
      <c r="BM1226" s="82"/>
      <c r="BN1226" s="82"/>
      <c r="BO1226" s="82"/>
      <c r="BP1226" s="82"/>
      <c r="BQ1226" s="82"/>
      <c r="BR1226" s="82"/>
      <c r="BS1226" s="82"/>
      <c r="BT1226" s="82"/>
      <c r="BU1226" s="82"/>
      <c r="BV1226" s="82"/>
      <c r="BW1226" s="82"/>
      <c r="BX1226" s="82"/>
      <c r="BY1226" s="82"/>
      <c r="BZ1226" s="82"/>
      <c r="CA1226" s="82"/>
      <c r="CB1226" s="82"/>
      <c r="CC1226" s="82"/>
      <c r="CD1226" s="82"/>
      <c r="CE1226" s="82"/>
      <c r="CF1226" s="82"/>
      <c r="CG1226" s="82"/>
      <c r="CH1226" s="82"/>
      <c r="CI1226" s="82"/>
      <c r="CJ1226" s="82"/>
      <c r="CK1226" s="82"/>
      <c r="CL1226" s="82"/>
      <c r="CM1226" s="82"/>
      <c r="CN1226" s="82"/>
      <c r="CO1226" s="82"/>
      <c r="CP1226" s="82"/>
      <c r="CQ1226" s="82"/>
      <c r="CR1226" s="82"/>
      <c r="CS1226" s="82"/>
      <c r="CT1226" s="82"/>
      <c r="CU1226" s="82"/>
      <c r="CV1226" s="82"/>
      <c r="CW1226" s="82"/>
      <c r="CX1226" s="82"/>
      <c r="CY1226" s="82"/>
      <c r="CZ1226" s="82"/>
      <c r="DA1226" s="82"/>
      <c r="DB1226" s="82"/>
      <c r="DC1226" s="82"/>
      <c r="DD1226" s="82"/>
      <c r="DE1226" s="82"/>
      <c r="DF1226" s="82"/>
      <c r="DG1226" s="82"/>
    </row>
    <row r="1227" spans="2:111" ht="9" customHeight="1">
      <c r="B1227" s="229"/>
      <c r="C1227" s="229"/>
      <c r="D1227" s="229"/>
      <c r="E1227" s="229"/>
      <c r="F1227" s="229"/>
      <c r="G1227" s="229"/>
      <c r="H1227" s="229"/>
      <c r="I1227" s="229"/>
      <c r="J1227" s="229"/>
      <c r="K1227" s="229"/>
      <c r="L1227" s="229"/>
      <c r="M1227" s="229"/>
      <c r="N1227" s="229"/>
      <c r="P1227" s="230"/>
      <c r="Q1227" s="230"/>
      <c r="R1227" s="230"/>
      <c r="S1227" s="230"/>
      <c r="T1227" s="230"/>
      <c r="U1227" s="230"/>
      <c r="V1227" s="230"/>
      <c r="W1227" s="230"/>
      <c r="X1227" s="230"/>
      <c r="Y1227" s="230"/>
      <c r="Z1227" s="230"/>
      <c r="AA1227" s="230"/>
      <c r="AB1227" s="230"/>
      <c r="AC1227" s="230"/>
      <c r="AD1227" s="230"/>
      <c r="AE1227" s="230"/>
      <c r="AF1227" s="230"/>
      <c r="AG1227" s="230"/>
      <c r="AH1227" s="230"/>
      <c r="AI1227" s="230"/>
      <c r="AJ1227" s="230"/>
      <c r="AK1227" s="230"/>
      <c r="AL1227" s="230"/>
      <c r="AM1227" s="230"/>
      <c r="AN1227" s="230"/>
      <c r="AO1227" s="230"/>
      <c r="AP1227" s="230"/>
      <c r="AQ1227" s="230"/>
      <c r="AS1227" s="231"/>
      <c r="AT1227" s="231"/>
      <c r="AU1227" s="231"/>
      <c r="AV1227" s="231"/>
      <c r="AW1227" s="231"/>
      <c r="AX1227" s="231"/>
      <c r="AY1227" s="231"/>
      <c r="AZ1227" s="231"/>
      <c r="BA1227" s="231"/>
      <c r="BC1227" s="82"/>
      <c r="BD1227" s="82"/>
      <c r="BE1227" s="82"/>
      <c r="BF1227" s="82"/>
      <c r="BG1227" s="82"/>
      <c r="BH1227" s="82"/>
      <c r="BI1227" s="82"/>
      <c r="BJ1227" s="82"/>
      <c r="BK1227" s="82"/>
      <c r="BL1227" s="82"/>
      <c r="BM1227" s="82"/>
      <c r="BN1227" s="82"/>
      <c r="BO1227" s="82"/>
      <c r="BP1227" s="82"/>
      <c r="BQ1227" s="82"/>
      <c r="BR1227" s="82"/>
      <c r="BS1227" s="82"/>
      <c r="BT1227" s="82"/>
      <c r="BU1227" s="82"/>
      <c r="BV1227" s="82"/>
      <c r="BW1227" s="82"/>
      <c r="BX1227" s="82"/>
      <c r="BY1227" s="82"/>
      <c r="BZ1227" s="82"/>
      <c r="CA1227" s="82"/>
      <c r="CB1227" s="82"/>
      <c r="CC1227" s="82"/>
      <c r="CD1227" s="82"/>
      <c r="CE1227" s="82"/>
      <c r="CF1227" s="82"/>
      <c r="CG1227" s="82"/>
      <c r="CH1227" s="82"/>
      <c r="CI1227" s="82"/>
      <c r="CJ1227" s="82"/>
      <c r="CK1227" s="82"/>
      <c r="CL1227" s="82"/>
      <c r="CM1227" s="82"/>
      <c r="CN1227" s="82"/>
      <c r="CO1227" s="82"/>
      <c r="CP1227" s="82"/>
      <c r="CQ1227" s="82"/>
      <c r="CR1227" s="82"/>
      <c r="CS1227" s="82"/>
      <c r="CT1227" s="82"/>
      <c r="CU1227" s="82"/>
      <c r="CV1227" s="82"/>
      <c r="CW1227" s="82"/>
      <c r="CX1227" s="82"/>
      <c r="CY1227" s="82"/>
      <c r="CZ1227" s="82"/>
      <c r="DA1227" s="82"/>
      <c r="DB1227" s="82"/>
      <c r="DC1227" s="82"/>
      <c r="DD1227" s="82"/>
      <c r="DE1227" s="82"/>
      <c r="DF1227" s="82"/>
      <c r="DG1227" s="82"/>
    </row>
    <row r="1228" spans="2:111" ht="9" customHeight="1">
      <c r="B1228" s="229"/>
      <c r="C1228" s="229"/>
      <c r="D1228" s="229"/>
      <c r="E1228" s="229"/>
      <c r="F1228" s="229"/>
      <c r="G1228" s="229"/>
      <c r="H1228" s="229"/>
      <c r="I1228" s="229"/>
      <c r="J1228" s="229"/>
      <c r="K1228" s="229"/>
      <c r="L1228" s="229"/>
      <c r="M1228" s="229"/>
      <c r="N1228" s="229"/>
      <c r="P1228" s="230"/>
      <c r="Q1228" s="230"/>
      <c r="R1228" s="230"/>
      <c r="S1228" s="230"/>
      <c r="T1228" s="230"/>
      <c r="U1228" s="230"/>
      <c r="V1228" s="230"/>
      <c r="W1228" s="230"/>
      <c r="X1228" s="230"/>
      <c r="Y1228" s="230"/>
      <c r="Z1228" s="230"/>
      <c r="AA1228" s="230"/>
      <c r="AB1228" s="230"/>
      <c r="AC1228" s="230"/>
      <c r="AD1228" s="230"/>
      <c r="AE1228" s="230"/>
      <c r="AF1228" s="230"/>
      <c r="AG1228" s="230"/>
      <c r="AH1228" s="230"/>
      <c r="AI1228" s="230"/>
      <c r="AJ1228" s="230"/>
      <c r="AK1228" s="230"/>
      <c r="AL1228" s="230"/>
      <c r="AM1228" s="230"/>
      <c r="AN1228" s="230"/>
      <c r="AO1228" s="230"/>
      <c r="AP1228" s="230"/>
      <c r="AQ1228" s="230"/>
      <c r="AS1228" s="231"/>
      <c r="AT1228" s="231"/>
      <c r="AU1228" s="231"/>
      <c r="AV1228" s="231"/>
      <c r="AW1228" s="231"/>
      <c r="AX1228" s="231"/>
      <c r="AY1228" s="231"/>
      <c r="AZ1228" s="231"/>
      <c r="BA1228" s="231"/>
      <c r="BC1228" s="82"/>
      <c r="BD1228" s="82"/>
      <c r="BE1228" s="82"/>
      <c r="BF1228" s="82"/>
      <c r="BG1228" s="82"/>
      <c r="BH1228" s="82"/>
      <c r="BI1228" s="82"/>
      <c r="BJ1228" s="82"/>
      <c r="BK1228" s="82"/>
      <c r="BL1228" s="82"/>
      <c r="BM1228" s="82"/>
      <c r="BN1228" s="82"/>
      <c r="BO1228" s="82"/>
      <c r="BP1228" s="82"/>
      <c r="BQ1228" s="82"/>
      <c r="BR1228" s="82"/>
      <c r="BS1228" s="82"/>
      <c r="BT1228" s="82"/>
      <c r="BU1228" s="82"/>
      <c r="BV1228" s="82"/>
      <c r="BW1228" s="82"/>
      <c r="BX1228" s="82"/>
      <c r="BY1228" s="82"/>
      <c r="BZ1228" s="82"/>
      <c r="CA1228" s="82"/>
      <c r="CB1228" s="82"/>
      <c r="CC1228" s="82"/>
      <c r="CD1228" s="82"/>
      <c r="CE1228" s="82"/>
      <c r="CF1228" s="82"/>
      <c r="CG1228" s="82"/>
      <c r="CH1228" s="82"/>
      <c r="CI1228" s="82"/>
      <c r="CJ1228" s="82"/>
      <c r="CK1228" s="82"/>
      <c r="CL1228" s="82"/>
      <c r="CM1228" s="82"/>
      <c r="CN1228" s="82"/>
      <c r="CO1228" s="82"/>
      <c r="CP1228" s="82"/>
      <c r="CQ1228" s="82"/>
      <c r="CR1228" s="82"/>
      <c r="CS1228" s="82"/>
      <c r="CT1228" s="82"/>
      <c r="CU1228" s="82"/>
      <c r="CV1228" s="82"/>
      <c r="CW1228" s="82"/>
      <c r="CX1228" s="82"/>
      <c r="CY1228" s="82"/>
      <c r="CZ1228" s="82"/>
      <c r="DA1228" s="82"/>
      <c r="DB1228" s="82"/>
      <c r="DC1228" s="82"/>
      <c r="DD1228" s="82"/>
      <c r="DE1228" s="82"/>
      <c r="DF1228" s="82"/>
      <c r="DG1228" s="82"/>
    </row>
    <row r="1229" spans="2:111" ht="9" customHeight="1">
      <c r="B1229" s="229"/>
      <c r="C1229" s="229"/>
      <c r="D1229" s="229"/>
      <c r="E1229" s="229"/>
      <c r="F1229" s="229"/>
      <c r="G1229" s="229"/>
      <c r="H1229" s="229"/>
      <c r="I1229" s="229"/>
      <c r="J1229" s="229"/>
      <c r="K1229" s="229"/>
      <c r="L1229" s="229"/>
      <c r="M1229" s="229"/>
      <c r="N1229" s="229"/>
      <c r="P1229" s="230"/>
      <c r="Q1229" s="230"/>
      <c r="R1229" s="230"/>
      <c r="S1229" s="230"/>
      <c r="T1229" s="230"/>
      <c r="U1229" s="230"/>
      <c r="V1229" s="230"/>
      <c r="W1229" s="230"/>
      <c r="X1229" s="230"/>
      <c r="Y1229" s="230"/>
      <c r="Z1229" s="230"/>
      <c r="AA1229" s="230"/>
      <c r="AB1229" s="230"/>
      <c r="AC1229" s="230"/>
      <c r="AD1229" s="230"/>
      <c r="AE1229" s="230"/>
      <c r="AF1229" s="230"/>
      <c r="AG1229" s="230"/>
      <c r="AH1229" s="230"/>
      <c r="AI1229" s="230"/>
      <c r="AJ1229" s="230"/>
      <c r="AK1229" s="230"/>
      <c r="AL1229" s="230"/>
      <c r="AM1229" s="230"/>
      <c r="AN1229" s="230"/>
      <c r="AO1229" s="230"/>
      <c r="AP1229" s="230"/>
      <c r="AQ1229" s="230"/>
      <c r="AS1229" s="231"/>
      <c r="AT1229" s="231"/>
      <c r="AU1229" s="231"/>
      <c r="AV1229" s="231"/>
      <c r="AW1229" s="231"/>
      <c r="AX1229" s="231"/>
      <c r="AY1229" s="231"/>
      <c r="AZ1229" s="231"/>
      <c r="BA1229" s="231"/>
      <c r="BC1229" s="82"/>
      <c r="BD1229" s="82"/>
      <c r="BE1229" s="82"/>
      <c r="BF1229" s="82"/>
      <c r="BG1229" s="82"/>
      <c r="BH1229" s="82"/>
      <c r="BI1229" s="82"/>
      <c r="BJ1229" s="82"/>
      <c r="BK1229" s="82"/>
      <c r="BL1229" s="82"/>
      <c r="BM1229" s="82"/>
      <c r="BN1229" s="82"/>
      <c r="BO1229" s="82"/>
      <c r="BP1229" s="82"/>
      <c r="BQ1229" s="82"/>
      <c r="BR1229" s="82"/>
      <c r="BS1229" s="82"/>
      <c r="BT1229" s="82"/>
      <c r="BU1229" s="82"/>
      <c r="BV1229" s="82"/>
      <c r="BW1229" s="82"/>
      <c r="BX1229" s="82"/>
      <c r="BY1229" s="82"/>
      <c r="BZ1229" s="82"/>
      <c r="CA1229" s="82"/>
      <c r="CB1229" s="82"/>
      <c r="CC1229" s="82"/>
      <c r="CD1229" s="82"/>
      <c r="CE1229" s="82"/>
      <c r="CF1229" s="82"/>
      <c r="CG1229" s="82"/>
      <c r="CH1229" s="82"/>
      <c r="CI1229" s="82"/>
      <c r="CJ1229" s="82"/>
      <c r="CK1229" s="82"/>
      <c r="CL1229" s="82"/>
      <c r="CM1229" s="82"/>
      <c r="CN1229" s="82"/>
      <c r="CO1229" s="82"/>
      <c r="CP1229" s="82"/>
      <c r="CQ1229" s="82"/>
      <c r="CR1229" s="82"/>
      <c r="CS1229" s="82"/>
      <c r="CT1229" s="82"/>
      <c r="CU1229" s="82"/>
      <c r="CV1229" s="82"/>
      <c r="CW1229" s="82"/>
      <c r="CX1229" s="82"/>
      <c r="CY1229" s="82"/>
      <c r="CZ1229" s="82"/>
      <c r="DA1229" s="82"/>
      <c r="DB1229" s="82"/>
      <c r="DC1229" s="82"/>
      <c r="DD1229" s="82"/>
      <c r="DE1229" s="82"/>
      <c r="DF1229" s="82"/>
      <c r="DG1229" s="82"/>
    </row>
    <row r="1230" spans="2:111" ht="9" customHeight="1">
      <c r="B1230" s="229"/>
      <c r="C1230" s="229"/>
      <c r="D1230" s="229"/>
      <c r="E1230" s="229"/>
      <c r="F1230" s="229"/>
      <c r="G1230" s="229"/>
      <c r="H1230" s="229"/>
      <c r="I1230" s="229"/>
      <c r="J1230" s="229"/>
      <c r="K1230" s="229"/>
      <c r="L1230" s="229"/>
      <c r="M1230" s="229"/>
      <c r="N1230" s="229"/>
      <c r="P1230" s="230"/>
      <c r="Q1230" s="230"/>
      <c r="R1230" s="230"/>
      <c r="S1230" s="230"/>
      <c r="T1230" s="230"/>
      <c r="U1230" s="230"/>
      <c r="V1230" s="230"/>
      <c r="W1230" s="230"/>
      <c r="X1230" s="230"/>
      <c r="Y1230" s="230"/>
      <c r="Z1230" s="230"/>
      <c r="AA1230" s="230"/>
      <c r="AB1230" s="230"/>
      <c r="AC1230" s="230"/>
      <c r="AD1230" s="230"/>
      <c r="AE1230" s="230"/>
      <c r="AF1230" s="230"/>
      <c r="AG1230" s="230"/>
      <c r="AH1230" s="230"/>
      <c r="AI1230" s="230"/>
      <c r="AJ1230" s="230"/>
      <c r="AK1230" s="230"/>
      <c r="AL1230" s="230"/>
      <c r="AM1230" s="230"/>
      <c r="AN1230" s="230"/>
      <c r="AO1230" s="230"/>
      <c r="AP1230" s="230"/>
      <c r="AQ1230" s="230"/>
      <c r="AS1230" s="231"/>
      <c r="AT1230" s="231"/>
      <c r="AU1230" s="231"/>
      <c r="AV1230" s="231"/>
      <c r="AW1230" s="231"/>
      <c r="AX1230" s="231"/>
      <c r="AY1230" s="231"/>
      <c r="AZ1230" s="231"/>
      <c r="BA1230" s="231"/>
      <c r="BC1230" s="82"/>
      <c r="BD1230" s="82"/>
      <c r="BE1230" s="82"/>
      <c r="BF1230" s="82"/>
      <c r="BG1230" s="82"/>
      <c r="BH1230" s="82"/>
      <c r="BI1230" s="82"/>
      <c r="BJ1230" s="82"/>
      <c r="BK1230" s="82"/>
      <c r="BL1230" s="82"/>
      <c r="BM1230" s="82"/>
      <c r="BN1230" s="82"/>
      <c r="BO1230" s="82"/>
      <c r="BP1230" s="82"/>
      <c r="BQ1230" s="82"/>
      <c r="BR1230" s="82"/>
      <c r="BS1230" s="82"/>
      <c r="BT1230" s="82"/>
      <c r="BU1230" s="82"/>
      <c r="BV1230" s="82"/>
      <c r="BW1230" s="82"/>
      <c r="BX1230" s="82"/>
      <c r="BY1230" s="82"/>
      <c r="BZ1230" s="82"/>
      <c r="CA1230" s="82"/>
      <c r="CB1230" s="82"/>
      <c r="CC1230" s="82"/>
      <c r="CD1230" s="82"/>
      <c r="CE1230" s="82"/>
      <c r="CF1230" s="82"/>
      <c r="CG1230" s="82"/>
      <c r="CH1230" s="82"/>
      <c r="CI1230" s="82"/>
      <c r="CJ1230" s="82"/>
      <c r="CK1230" s="82"/>
      <c r="CL1230" s="82"/>
      <c r="CM1230" s="82"/>
      <c r="CN1230" s="82"/>
      <c r="CO1230" s="82"/>
      <c r="CP1230" s="82"/>
      <c r="CQ1230" s="82"/>
      <c r="CR1230" s="82"/>
      <c r="CS1230" s="82"/>
      <c r="CT1230" s="82"/>
      <c r="CU1230" s="82"/>
      <c r="CV1230" s="82"/>
      <c r="CW1230" s="82"/>
      <c r="CX1230" s="82"/>
      <c r="CY1230" s="82"/>
      <c r="CZ1230" s="82"/>
      <c r="DA1230" s="82"/>
      <c r="DB1230" s="82"/>
      <c r="DC1230" s="82"/>
      <c r="DD1230" s="82"/>
      <c r="DE1230" s="82"/>
      <c r="DF1230" s="82"/>
      <c r="DG1230" s="82"/>
    </row>
    <row r="1231" spans="2:111" ht="9" customHeight="1">
      <c r="B1231" s="229"/>
      <c r="C1231" s="229"/>
      <c r="D1231" s="229"/>
      <c r="E1231" s="229"/>
      <c r="F1231" s="229"/>
      <c r="G1231" s="229"/>
      <c r="H1231" s="229"/>
      <c r="I1231" s="229"/>
      <c r="J1231" s="229"/>
      <c r="K1231" s="229"/>
      <c r="L1231" s="229"/>
      <c r="M1231" s="229"/>
      <c r="N1231" s="229"/>
      <c r="P1231" s="230"/>
      <c r="Q1231" s="230"/>
      <c r="R1231" s="230"/>
      <c r="S1231" s="230"/>
      <c r="T1231" s="230"/>
      <c r="U1231" s="230"/>
      <c r="V1231" s="230"/>
      <c r="W1231" s="230"/>
      <c r="X1231" s="230"/>
      <c r="Y1231" s="230"/>
      <c r="Z1231" s="230"/>
      <c r="AA1231" s="230"/>
      <c r="AB1231" s="230"/>
      <c r="AC1231" s="230"/>
      <c r="AD1231" s="230"/>
      <c r="AE1231" s="230"/>
      <c r="AF1231" s="230"/>
      <c r="AG1231" s="230"/>
      <c r="AH1231" s="230"/>
      <c r="AI1231" s="230"/>
      <c r="AJ1231" s="230"/>
      <c r="AK1231" s="230"/>
      <c r="AL1231" s="230"/>
      <c r="AM1231" s="230"/>
      <c r="AN1231" s="230"/>
      <c r="AO1231" s="230"/>
      <c r="AP1231" s="230"/>
      <c r="AQ1231" s="230"/>
      <c r="AS1231" s="231"/>
      <c r="AT1231" s="231"/>
      <c r="AU1231" s="231"/>
      <c r="AV1231" s="231"/>
      <c r="AW1231" s="231"/>
      <c r="AX1231" s="231"/>
      <c r="AY1231" s="231"/>
      <c r="AZ1231" s="231"/>
      <c r="BA1231" s="231"/>
      <c r="BC1231" s="82"/>
      <c r="BD1231" s="82"/>
      <c r="BE1231" s="82"/>
      <c r="BF1231" s="82"/>
      <c r="BG1231" s="82"/>
      <c r="BH1231" s="82"/>
      <c r="BI1231" s="82"/>
      <c r="BJ1231" s="82"/>
      <c r="BK1231" s="82"/>
      <c r="BL1231" s="82"/>
      <c r="BM1231" s="82"/>
      <c r="BN1231" s="82"/>
      <c r="BO1231" s="82"/>
      <c r="BP1231" s="82"/>
      <c r="BQ1231" s="82"/>
      <c r="BR1231" s="82"/>
      <c r="BS1231" s="82"/>
      <c r="BT1231" s="82"/>
      <c r="BU1231" s="82"/>
      <c r="BV1231" s="82"/>
      <c r="BW1231" s="82"/>
      <c r="BX1231" s="82"/>
      <c r="BY1231" s="82"/>
      <c r="BZ1231" s="82"/>
      <c r="CA1231" s="82"/>
      <c r="CB1231" s="82"/>
      <c r="CC1231" s="82"/>
      <c r="CD1231" s="82"/>
      <c r="CE1231" s="82"/>
      <c r="CF1231" s="82"/>
      <c r="CG1231" s="82"/>
      <c r="CH1231" s="82"/>
      <c r="CI1231" s="82"/>
      <c r="CJ1231" s="82"/>
      <c r="CK1231" s="82"/>
      <c r="CL1231" s="82"/>
      <c r="CM1231" s="82"/>
      <c r="CN1231" s="82"/>
      <c r="CO1231" s="82"/>
      <c r="CP1231" s="82"/>
      <c r="CQ1231" s="82"/>
      <c r="CR1231" s="82"/>
      <c r="CS1231" s="82"/>
      <c r="CT1231" s="82"/>
      <c r="CU1231" s="82"/>
      <c r="CV1231" s="82"/>
      <c r="CW1231" s="82"/>
      <c r="CX1231" s="82"/>
      <c r="CY1231" s="82"/>
      <c r="CZ1231" s="82"/>
      <c r="DA1231" s="82"/>
      <c r="DB1231" s="82"/>
      <c r="DC1231" s="82"/>
      <c r="DD1231" s="82"/>
      <c r="DE1231" s="82"/>
      <c r="DF1231" s="82"/>
      <c r="DG1231" s="82"/>
    </row>
    <row r="1232" spans="2:111" ht="9" customHeight="1">
      <c r="B1232" s="229"/>
      <c r="C1232" s="229"/>
      <c r="D1232" s="229"/>
      <c r="E1232" s="229"/>
      <c r="F1232" s="229"/>
      <c r="G1232" s="229"/>
      <c r="H1232" s="229"/>
      <c r="I1232" s="229"/>
      <c r="J1232" s="229"/>
      <c r="K1232" s="229"/>
      <c r="L1232" s="229"/>
      <c r="M1232" s="229"/>
      <c r="N1232" s="229"/>
      <c r="P1232" s="230"/>
      <c r="Q1232" s="230"/>
      <c r="R1232" s="230"/>
      <c r="S1232" s="230"/>
      <c r="T1232" s="230"/>
      <c r="U1232" s="230"/>
      <c r="V1232" s="230"/>
      <c r="W1232" s="230"/>
      <c r="X1232" s="230"/>
      <c r="Y1232" s="230"/>
      <c r="Z1232" s="230"/>
      <c r="AA1232" s="230"/>
      <c r="AB1232" s="230"/>
      <c r="AC1232" s="230"/>
      <c r="AD1232" s="230"/>
      <c r="AE1232" s="230"/>
      <c r="AF1232" s="230"/>
      <c r="AG1232" s="230"/>
      <c r="AH1232" s="230"/>
      <c r="AI1232" s="230"/>
      <c r="AJ1232" s="230"/>
      <c r="AK1232" s="230"/>
      <c r="AL1232" s="230"/>
      <c r="AM1232" s="230"/>
      <c r="AN1232" s="230"/>
      <c r="AO1232" s="230"/>
      <c r="AP1232" s="230"/>
      <c r="AQ1232" s="230"/>
      <c r="AS1232" s="231"/>
      <c r="AT1232" s="231"/>
      <c r="AU1232" s="231"/>
      <c r="AV1232" s="231"/>
      <c r="AW1232" s="231"/>
      <c r="AX1232" s="231"/>
      <c r="AY1232" s="231"/>
      <c r="AZ1232" s="231"/>
      <c r="BA1232" s="231"/>
      <c r="BC1232" s="82"/>
      <c r="BD1232" s="82"/>
      <c r="BE1232" s="82"/>
      <c r="BF1232" s="82"/>
      <c r="BG1232" s="82"/>
      <c r="BH1232" s="82"/>
      <c r="BI1232" s="82"/>
      <c r="BJ1232" s="82"/>
      <c r="BK1232" s="82"/>
      <c r="BL1232" s="82"/>
      <c r="BM1232" s="82"/>
      <c r="BN1232" s="82"/>
      <c r="BO1232" s="82"/>
      <c r="BP1232" s="82"/>
      <c r="BQ1232" s="82"/>
      <c r="BR1232" s="82"/>
      <c r="BS1232" s="82"/>
      <c r="BT1232" s="82"/>
      <c r="BU1232" s="82"/>
      <c r="BV1232" s="82"/>
      <c r="BW1232" s="82"/>
      <c r="BX1232" s="82"/>
      <c r="BY1232" s="82"/>
      <c r="BZ1232" s="82"/>
      <c r="CA1232" s="82"/>
      <c r="CB1232" s="82"/>
      <c r="CC1232" s="82"/>
      <c r="CD1232" s="82"/>
      <c r="CE1232" s="82"/>
      <c r="CF1232" s="82"/>
      <c r="CG1232" s="82"/>
      <c r="CH1232" s="82"/>
      <c r="CI1232" s="82"/>
      <c r="CJ1232" s="82"/>
      <c r="CK1232" s="82"/>
      <c r="CL1232" s="82"/>
      <c r="CM1232" s="82"/>
      <c r="CN1232" s="82"/>
      <c r="CO1232" s="82"/>
      <c r="CP1232" s="82"/>
      <c r="CQ1232" s="82"/>
      <c r="CR1232" s="82"/>
      <c r="CS1232" s="82"/>
      <c r="CT1232" s="82"/>
      <c r="CU1232" s="82"/>
      <c r="CV1232" s="82"/>
      <c r="CW1232" s="82"/>
      <c r="CX1232" s="82"/>
      <c r="CY1232" s="82"/>
      <c r="CZ1232" s="82"/>
      <c r="DA1232" s="82"/>
      <c r="DB1232" s="82"/>
      <c r="DC1232" s="82"/>
      <c r="DD1232" s="82"/>
      <c r="DE1232" s="82"/>
      <c r="DF1232" s="82"/>
      <c r="DG1232" s="82"/>
    </row>
    <row r="1233" spans="2:111" ht="9" customHeight="1">
      <c r="B1233" s="229"/>
      <c r="C1233" s="229"/>
      <c r="D1233" s="229"/>
      <c r="E1233" s="229"/>
      <c r="F1233" s="229"/>
      <c r="G1233" s="229"/>
      <c r="H1233" s="229"/>
      <c r="I1233" s="229"/>
      <c r="J1233" s="229"/>
      <c r="K1233" s="229"/>
      <c r="L1233" s="229"/>
      <c r="M1233" s="229"/>
      <c r="N1233" s="229"/>
      <c r="P1233" s="230"/>
      <c r="Q1233" s="230"/>
      <c r="R1233" s="230"/>
      <c r="S1233" s="230"/>
      <c r="T1233" s="230"/>
      <c r="U1233" s="230"/>
      <c r="V1233" s="230"/>
      <c r="W1233" s="230"/>
      <c r="X1233" s="230"/>
      <c r="Y1233" s="230"/>
      <c r="Z1233" s="230"/>
      <c r="AA1233" s="230"/>
      <c r="AB1233" s="230"/>
      <c r="AC1233" s="230"/>
      <c r="AD1233" s="230"/>
      <c r="AE1233" s="230"/>
      <c r="AF1233" s="230"/>
      <c r="AG1233" s="230"/>
      <c r="AH1233" s="230"/>
      <c r="AI1233" s="230"/>
      <c r="AJ1233" s="230"/>
      <c r="AK1233" s="230"/>
      <c r="AL1233" s="230"/>
      <c r="AM1233" s="230"/>
      <c r="AN1233" s="230"/>
      <c r="AO1233" s="230"/>
      <c r="AP1233" s="230"/>
      <c r="AQ1233" s="230"/>
      <c r="AS1233" s="231"/>
      <c r="AT1233" s="231"/>
      <c r="AU1233" s="231"/>
      <c r="AV1233" s="231"/>
      <c r="AW1233" s="231"/>
      <c r="AX1233" s="231"/>
      <c r="AY1233" s="231"/>
      <c r="AZ1233" s="231"/>
      <c r="BA1233" s="231"/>
      <c r="BC1233" s="82"/>
      <c r="BD1233" s="82"/>
      <c r="BE1233" s="82"/>
      <c r="BF1233" s="82"/>
      <c r="BG1233" s="82"/>
      <c r="BH1233" s="82"/>
      <c r="BI1233" s="82"/>
      <c r="BJ1233" s="82"/>
      <c r="BK1233" s="82"/>
      <c r="BL1233" s="82"/>
      <c r="BM1233" s="82"/>
      <c r="BN1233" s="82"/>
      <c r="BO1233" s="82"/>
      <c r="BP1233" s="82"/>
      <c r="BQ1233" s="82"/>
      <c r="BR1233" s="82"/>
      <c r="BS1233" s="82"/>
      <c r="BT1233" s="82"/>
      <c r="BU1233" s="82"/>
      <c r="BV1233" s="82"/>
      <c r="BW1233" s="82"/>
      <c r="BX1233" s="82"/>
      <c r="BY1233" s="82"/>
      <c r="BZ1233" s="82"/>
      <c r="CA1233" s="82"/>
      <c r="CB1233" s="82"/>
      <c r="CC1233" s="82"/>
      <c r="CD1233" s="82"/>
      <c r="CE1233" s="82"/>
      <c r="CF1233" s="82"/>
      <c r="CG1233" s="82"/>
      <c r="CH1233" s="82"/>
      <c r="CI1233" s="82"/>
      <c r="CJ1233" s="82"/>
      <c r="CK1233" s="82"/>
      <c r="CL1233" s="82"/>
      <c r="CM1233" s="82"/>
      <c r="CN1233" s="82"/>
      <c r="CO1233" s="82"/>
      <c r="CP1233" s="82"/>
      <c r="CQ1233" s="82"/>
      <c r="CR1233" s="82"/>
      <c r="CS1233" s="82"/>
      <c r="CT1233" s="82"/>
      <c r="CU1233" s="82"/>
      <c r="CV1233" s="82"/>
      <c r="CW1233" s="82"/>
      <c r="CX1233" s="82"/>
      <c r="CY1233" s="82"/>
      <c r="CZ1233" s="82"/>
      <c r="DA1233" s="82"/>
      <c r="DB1233" s="82"/>
      <c r="DC1233" s="82"/>
      <c r="DD1233" s="82"/>
      <c r="DE1233" s="82"/>
      <c r="DF1233" s="82"/>
      <c r="DG1233" s="82"/>
    </row>
    <row r="1234" spans="2:111" ht="9" customHeight="1">
      <c r="B1234" s="229"/>
      <c r="C1234" s="229"/>
      <c r="D1234" s="229"/>
      <c r="E1234" s="229"/>
      <c r="F1234" s="229"/>
      <c r="G1234" s="229"/>
      <c r="H1234" s="229"/>
      <c r="I1234" s="229"/>
      <c r="J1234" s="229"/>
      <c r="K1234" s="229"/>
      <c r="L1234" s="229"/>
      <c r="M1234" s="229"/>
      <c r="N1234" s="229"/>
      <c r="P1234" s="230"/>
      <c r="Q1234" s="230"/>
      <c r="R1234" s="230"/>
      <c r="S1234" s="230"/>
      <c r="T1234" s="230"/>
      <c r="U1234" s="230"/>
      <c r="V1234" s="230"/>
      <c r="W1234" s="230"/>
      <c r="X1234" s="230"/>
      <c r="Y1234" s="230"/>
      <c r="Z1234" s="230"/>
      <c r="AA1234" s="230"/>
      <c r="AB1234" s="230"/>
      <c r="AC1234" s="230"/>
      <c r="AD1234" s="230"/>
      <c r="AE1234" s="230"/>
      <c r="AF1234" s="230"/>
      <c r="AG1234" s="230"/>
      <c r="AH1234" s="230"/>
      <c r="AI1234" s="230"/>
      <c r="AJ1234" s="230"/>
      <c r="AK1234" s="230"/>
      <c r="AL1234" s="230"/>
      <c r="AM1234" s="230"/>
      <c r="AN1234" s="230"/>
      <c r="AO1234" s="230"/>
      <c r="AP1234" s="230"/>
      <c r="AQ1234" s="230"/>
      <c r="AS1234" s="231"/>
      <c r="AT1234" s="231"/>
      <c r="AU1234" s="231"/>
      <c r="AV1234" s="231"/>
      <c r="AW1234" s="231"/>
      <c r="AX1234" s="231"/>
      <c r="AY1234" s="231"/>
      <c r="AZ1234" s="231"/>
      <c r="BA1234" s="231"/>
      <c r="BC1234" s="82"/>
      <c r="BD1234" s="82"/>
      <c r="BE1234" s="82"/>
      <c r="BF1234" s="82"/>
      <c r="BG1234" s="82"/>
      <c r="BH1234" s="82"/>
      <c r="BI1234" s="82"/>
      <c r="BJ1234" s="82"/>
      <c r="BK1234" s="82"/>
      <c r="BL1234" s="82"/>
      <c r="BM1234" s="82"/>
      <c r="BN1234" s="82"/>
      <c r="BO1234" s="82"/>
      <c r="BP1234" s="82"/>
      <c r="BQ1234" s="82"/>
      <c r="BR1234" s="82"/>
      <c r="BS1234" s="82"/>
      <c r="BT1234" s="82"/>
      <c r="BU1234" s="82"/>
      <c r="BV1234" s="82"/>
      <c r="BW1234" s="82"/>
      <c r="BX1234" s="82"/>
      <c r="BY1234" s="82"/>
      <c r="BZ1234" s="82"/>
      <c r="CA1234" s="82"/>
      <c r="CB1234" s="82"/>
      <c r="CC1234" s="82"/>
      <c r="CD1234" s="82"/>
      <c r="CE1234" s="82"/>
      <c r="CF1234" s="82"/>
      <c r="CG1234" s="82"/>
      <c r="CH1234" s="82"/>
      <c r="CI1234" s="82"/>
      <c r="CJ1234" s="82"/>
      <c r="CK1234" s="82"/>
      <c r="CL1234" s="82"/>
      <c r="CM1234" s="82"/>
      <c r="CN1234" s="82"/>
      <c r="CO1234" s="82"/>
      <c r="CP1234" s="82"/>
      <c r="CQ1234" s="82"/>
      <c r="CR1234" s="82"/>
      <c r="CS1234" s="82"/>
      <c r="CT1234" s="82"/>
      <c r="CU1234" s="82"/>
      <c r="CV1234" s="82"/>
      <c r="CW1234" s="82"/>
      <c r="CX1234" s="82"/>
      <c r="CY1234" s="82"/>
      <c r="CZ1234" s="82"/>
      <c r="DA1234" s="82"/>
      <c r="DB1234" s="82"/>
      <c r="DC1234" s="82"/>
      <c r="DD1234" s="82"/>
      <c r="DE1234" s="82"/>
      <c r="DF1234" s="82"/>
      <c r="DG1234" s="82"/>
    </row>
    <row r="1235" spans="2:111" ht="9" customHeight="1">
      <c r="B1235" s="229"/>
      <c r="C1235" s="229"/>
      <c r="D1235" s="229"/>
      <c r="E1235" s="229"/>
      <c r="F1235" s="229"/>
      <c r="G1235" s="229"/>
      <c r="H1235" s="229"/>
      <c r="I1235" s="229"/>
      <c r="J1235" s="229"/>
      <c r="K1235" s="229"/>
      <c r="L1235" s="229"/>
      <c r="M1235" s="229"/>
      <c r="N1235" s="229"/>
      <c r="P1235" s="230"/>
      <c r="Q1235" s="230"/>
      <c r="R1235" s="230"/>
      <c r="S1235" s="230"/>
      <c r="T1235" s="230"/>
      <c r="U1235" s="230"/>
      <c r="V1235" s="230"/>
      <c r="W1235" s="230"/>
      <c r="X1235" s="230"/>
      <c r="Y1235" s="230"/>
      <c r="Z1235" s="230"/>
      <c r="AA1235" s="230"/>
      <c r="AB1235" s="230"/>
      <c r="AC1235" s="230"/>
      <c r="AD1235" s="230"/>
      <c r="AE1235" s="230"/>
      <c r="AF1235" s="230"/>
      <c r="AG1235" s="230"/>
      <c r="AH1235" s="230"/>
      <c r="AI1235" s="230"/>
      <c r="AJ1235" s="230"/>
      <c r="AK1235" s="230"/>
      <c r="AL1235" s="230"/>
      <c r="AM1235" s="230"/>
      <c r="AN1235" s="230"/>
      <c r="AO1235" s="230"/>
      <c r="AP1235" s="230"/>
      <c r="AQ1235" s="230"/>
      <c r="AS1235" s="231"/>
      <c r="AT1235" s="231"/>
      <c r="AU1235" s="231"/>
      <c r="AV1235" s="231"/>
      <c r="AW1235" s="231"/>
      <c r="AX1235" s="231"/>
      <c r="AY1235" s="231"/>
      <c r="AZ1235" s="231"/>
      <c r="BA1235" s="231"/>
      <c r="BC1235" s="82"/>
      <c r="BD1235" s="82"/>
      <c r="BE1235" s="82"/>
      <c r="BF1235" s="82"/>
      <c r="BG1235" s="82"/>
      <c r="BH1235" s="82"/>
      <c r="BI1235" s="82"/>
      <c r="BJ1235" s="82"/>
      <c r="BK1235" s="82"/>
      <c r="BL1235" s="82"/>
      <c r="BM1235" s="82"/>
      <c r="BN1235" s="82"/>
      <c r="BO1235" s="82"/>
      <c r="BP1235" s="82"/>
      <c r="BQ1235" s="82"/>
      <c r="BR1235" s="82"/>
      <c r="BS1235" s="82"/>
      <c r="BT1235" s="82"/>
      <c r="BU1235" s="82"/>
      <c r="BV1235" s="82"/>
      <c r="BW1235" s="82"/>
      <c r="BX1235" s="82"/>
      <c r="BY1235" s="82"/>
      <c r="BZ1235" s="82"/>
      <c r="CA1235" s="82"/>
      <c r="CB1235" s="82"/>
      <c r="CC1235" s="82"/>
      <c r="CD1235" s="82"/>
      <c r="CE1235" s="82"/>
      <c r="CF1235" s="82"/>
      <c r="CG1235" s="82"/>
      <c r="CH1235" s="82"/>
      <c r="CI1235" s="82"/>
      <c r="CJ1235" s="82"/>
      <c r="CK1235" s="82"/>
      <c r="CL1235" s="82"/>
      <c r="CM1235" s="82"/>
      <c r="CN1235" s="82"/>
      <c r="CO1235" s="82"/>
      <c r="CP1235" s="82"/>
      <c r="CQ1235" s="82"/>
      <c r="CR1235" s="82"/>
      <c r="CS1235" s="82"/>
      <c r="CT1235" s="82"/>
      <c r="CU1235" s="82"/>
      <c r="CV1235" s="82"/>
      <c r="CW1235" s="82"/>
      <c r="CX1235" s="82"/>
      <c r="CY1235" s="82"/>
      <c r="CZ1235" s="82"/>
      <c r="DA1235" s="82"/>
      <c r="DB1235" s="82"/>
      <c r="DC1235" s="82"/>
      <c r="DD1235" s="82"/>
      <c r="DE1235" s="82"/>
      <c r="DF1235" s="82"/>
      <c r="DG1235" s="82"/>
    </row>
    <row r="1236" spans="2:111" ht="9" customHeight="1">
      <c r="B1236" s="229"/>
      <c r="C1236" s="229"/>
      <c r="D1236" s="229"/>
      <c r="E1236" s="229"/>
      <c r="F1236" s="229"/>
      <c r="G1236" s="229"/>
      <c r="H1236" s="229"/>
      <c r="I1236" s="229"/>
      <c r="J1236" s="229"/>
      <c r="K1236" s="229"/>
      <c r="L1236" s="229"/>
      <c r="M1236" s="229"/>
      <c r="N1236" s="229"/>
      <c r="P1236" s="230"/>
      <c r="Q1236" s="230"/>
      <c r="R1236" s="230"/>
      <c r="S1236" s="230"/>
      <c r="T1236" s="230"/>
      <c r="U1236" s="230"/>
      <c r="V1236" s="230"/>
      <c r="W1236" s="230"/>
      <c r="X1236" s="230"/>
      <c r="Y1236" s="230"/>
      <c r="Z1236" s="230"/>
      <c r="AA1236" s="230"/>
      <c r="AB1236" s="230"/>
      <c r="AC1236" s="230"/>
      <c r="AD1236" s="230"/>
      <c r="AE1236" s="230"/>
      <c r="AF1236" s="230"/>
      <c r="AG1236" s="230"/>
      <c r="AH1236" s="230"/>
      <c r="AI1236" s="230"/>
      <c r="AJ1236" s="230"/>
      <c r="AK1236" s="230"/>
      <c r="AL1236" s="230"/>
      <c r="AM1236" s="230"/>
      <c r="AN1236" s="230"/>
      <c r="AO1236" s="230"/>
      <c r="AP1236" s="230"/>
      <c r="AQ1236" s="230"/>
      <c r="AS1236" s="231"/>
      <c r="AT1236" s="231"/>
      <c r="AU1236" s="231"/>
      <c r="AV1236" s="231"/>
      <c r="AW1236" s="231"/>
      <c r="AX1236" s="231"/>
      <c r="AY1236" s="231"/>
      <c r="AZ1236" s="231"/>
      <c r="BA1236" s="231"/>
      <c r="BC1236" s="82"/>
      <c r="BD1236" s="82"/>
      <c r="BE1236" s="82"/>
      <c r="BF1236" s="82"/>
      <c r="BG1236" s="82"/>
      <c r="BH1236" s="82"/>
      <c r="BI1236" s="82"/>
      <c r="BJ1236" s="82"/>
      <c r="BK1236" s="82"/>
      <c r="BL1236" s="82"/>
      <c r="BM1236" s="82"/>
      <c r="BN1236" s="82"/>
      <c r="BO1236" s="82"/>
      <c r="BP1236" s="82"/>
      <c r="BQ1236" s="82"/>
      <c r="BR1236" s="82"/>
      <c r="BS1236" s="82"/>
      <c r="BT1236" s="82"/>
      <c r="BU1236" s="82"/>
      <c r="BV1236" s="82"/>
      <c r="BW1236" s="82"/>
      <c r="BX1236" s="82"/>
      <c r="BY1236" s="82"/>
      <c r="BZ1236" s="82"/>
      <c r="CA1236" s="82"/>
      <c r="CB1236" s="82"/>
      <c r="CC1236" s="82"/>
      <c r="CD1236" s="82"/>
      <c r="CE1236" s="82"/>
      <c r="CF1236" s="82"/>
      <c r="CG1236" s="82"/>
      <c r="CH1236" s="82"/>
      <c r="CI1236" s="82"/>
      <c r="CJ1236" s="82"/>
      <c r="CK1236" s="82"/>
      <c r="CL1236" s="82"/>
      <c r="CM1236" s="82"/>
      <c r="CN1236" s="82"/>
      <c r="CO1236" s="82"/>
      <c r="CP1236" s="82"/>
      <c r="CQ1236" s="82"/>
      <c r="CR1236" s="82"/>
      <c r="CS1236" s="82"/>
      <c r="CT1236" s="82"/>
      <c r="CU1236" s="82"/>
      <c r="CV1236" s="82"/>
      <c r="CW1236" s="82"/>
      <c r="CX1236" s="82"/>
      <c r="CY1236" s="82"/>
      <c r="CZ1236" s="82"/>
      <c r="DA1236" s="82"/>
      <c r="DB1236" s="82"/>
      <c r="DC1236" s="82"/>
      <c r="DD1236" s="82"/>
      <c r="DE1236" s="82"/>
      <c r="DF1236" s="82"/>
      <c r="DG1236" s="82"/>
    </row>
    <row r="1237" spans="2:111" ht="9" customHeight="1">
      <c r="B1237" s="229"/>
      <c r="C1237" s="229"/>
      <c r="D1237" s="229"/>
      <c r="E1237" s="229"/>
      <c r="F1237" s="229"/>
      <c r="G1237" s="229"/>
      <c r="H1237" s="229"/>
      <c r="I1237" s="229"/>
      <c r="J1237" s="229"/>
      <c r="K1237" s="229"/>
      <c r="L1237" s="229"/>
      <c r="M1237" s="229"/>
      <c r="N1237" s="229"/>
      <c r="P1237" s="230"/>
      <c r="Q1237" s="230"/>
      <c r="R1237" s="230"/>
      <c r="S1237" s="230"/>
      <c r="T1237" s="230"/>
      <c r="U1237" s="230"/>
      <c r="V1237" s="230"/>
      <c r="W1237" s="230"/>
      <c r="X1237" s="230"/>
      <c r="Y1237" s="230"/>
      <c r="Z1237" s="230"/>
      <c r="AA1237" s="230"/>
      <c r="AB1237" s="230"/>
      <c r="AC1237" s="230"/>
      <c r="AD1237" s="230"/>
      <c r="AE1237" s="230"/>
      <c r="AF1237" s="230"/>
      <c r="AG1237" s="230"/>
      <c r="AH1237" s="230"/>
      <c r="AI1237" s="230"/>
      <c r="AJ1237" s="230"/>
      <c r="AK1237" s="230"/>
      <c r="AL1237" s="230"/>
      <c r="AM1237" s="230"/>
      <c r="AN1237" s="230"/>
      <c r="AO1237" s="230"/>
      <c r="AP1237" s="230"/>
      <c r="AQ1237" s="230"/>
      <c r="AS1237" s="231"/>
      <c r="AT1237" s="231"/>
      <c r="AU1237" s="231"/>
      <c r="AV1237" s="231"/>
      <c r="AW1237" s="231"/>
      <c r="AX1237" s="231"/>
      <c r="AY1237" s="231"/>
      <c r="AZ1237" s="231"/>
      <c r="BA1237" s="231"/>
      <c r="BC1237" s="82"/>
      <c r="BD1237" s="82"/>
      <c r="BE1237" s="82"/>
      <c r="BF1237" s="82"/>
      <c r="BG1237" s="82"/>
      <c r="BH1237" s="82"/>
      <c r="BI1237" s="82"/>
      <c r="BJ1237" s="82"/>
      <c r="BK1237" s="82"/>
      <c r="BL1237" s="82"/>
      <c r="BM1237" s="82"/>
      <c r="BN1237" s="82"/>
      <c r="BO1237" s="82"/>
      <c r="BP1237" s="82"/>
      <c r="BQ1237" s="82"/>
      <c r="BR1237" s="82"/>
      <c r="BS1237" s="82"/>
      <c r="BT1237" s="82"/>
      <c r="BU1237" s="82"/>
      <c r="BV1237" s="82"/>
      <c r="BW1237" s="82"/>
      <c r="BX1237" s="82"/>
      <c r="BY1237" s="82"/>
      <c r="BZ1237" s="82"/>
      <c r="CA1237" s="82"/>
      <c r="CB1237" s="82"/>
      <c r="CC1237" s="82"/>
      <c r="CD1237" s="82"/>
      <c r="CE1237" s="82"/>
      <c r="CF1237" s="82"/>
      <c r="CG1237" s="82"/>
      <c r="CH1237" s="82"/>
      <c r="CI1237" s="82"/>
      <c r="CJ1237" s="82"/>
      <c r="CK1237" s="82"/>
      <c r="CL1237" s="82"/>
      <c r="CM1237" s="82"/>
      <c r="CN1237" s="82"/>
      <c r="CO1237" s="82"/>
      <c r="CP1237" s="82"/>
      <c r="CQ1237" s="82"/>
      <c r="CR1237" s="82"/>
      <c r="CS1237" s="82"/>
      <c r="CT1237" s="82"/>
      <c r="CU1237" s="82"/>
      <c r="CV1237" s="82"/>
      <c r="CW1237" s="82"/>
      <c r="CX1237" s="82"/>
      <c r="CY1237" s="82"/>
      <c r="CZ1237" s="82"/>
      <c r="DA1237" s="82"/>
      <c r="DB1237" s="82"/>
      <c r="DC1237" s="82"/>
      <c r="DD1237" s="82"/>
      <c r="DE1237" s="82"/>
      <c r="DF1237" s="82"/>
      <c r="DG1237" s="82"/>
    </row>
    <row r="1238" spans="2:111" ht="9" customHeight="1">
      <c r="BC1238" s="82"/>
      <c r="BD1238" s="82"/>
      <c r="BE1238" s="82"/>
      <c r="BF1238" s="82"/>
      <c r="BG1238" s="82"/>
      <c r="BH1238" s="82"/>
      <c r="BI1238" s="82"/>
      <c r="BJ1238" s="82"/>
      <c r="BK1238" s="82"/>
      <c r="BL1238" s="82"/>
      <c r="BM1238" s="82"/>
      <c r="BN1238" s="82"/>
      <c r="BO1238" s="82"/>
      <c r="BP1238" s="82"/>
      <c r="BQ1238" s="82"/>
      <c r="BR1238" s="82"/>
      <c r="BS1238" s="82"/>
      <c r="BT1238" s="82"/>
      <c r="BU1238" s="82"/>
      <c r="BV1238" s="82"/>
      <c r="BW1238" s="82"/>
      <c r="BX1238" s="82"/>
      <c r="BY1238" s="82"/>
      <c r="BZ1238" s="82"/>
      <c r="CA1238" s="82"/>
      <c r="CB1238" s="82"/>
      <c r="CC1238" s="82"/>
      <c r="CD1238" s="82"/>
      <c r="CE1238" s="82"/>
      <c r="CF1238" s="82"/>
      <c r="CG1238" s="82"/>
      <c r="CH1238" s="82"/>
      <c r="CI1238" s="82"/>
      <c r="CJ1238" s="82"/>
      <c r="CK1238" s="82"/>
      <c r="CL1238" s="82"/>
      <c r="CM1238" s="82"/>
      <c r="CN1238" s="82"/>
      <c r="CO1238" s="82"/>
      <c r="CP1238" s="82"/>
      <c r="CQ1238" s="82"/>
      <c r="CR1238" s="82"/>
      <c r="CS1238" s="82"/>
      <c r="CT1238" s="82"/>
      <c r="CU1238" s="82"/>
      <c r="CV1238" s="82"/>
      <c r="CW1238" s="82"/>
      <c r="CX1238" s="82"/>
      <c r="CY1238" s="82"/>
      <c r="CZ1238" s="82"/>
      <c r="DA1238" s="82"/>
      <c r="DB1238" s="82"/>
      <c r="DC1238" s="82"/>
      <c r="DD1238" s="82"/>
      <c r="DE1238" s="82"/>
      <c r="DF1238" s="82"/>
      <c r="DG1238" s="82"/>
    </row>
    <row r="1239" spans="2:111" ht="9" customHeight="1">
      <c r="BC1239" s="82"/>
      <c r="BD1239" s="82"/>
      <c r="BE1239" s="82"/>
      <c r="BF1239" s="82"/>
      <c r="BG1239" s="82"/>
      <c r="BH1239" s="82"/>
      <c r="BI1239" s="82"/>
      <c r="BJ1239" s="82"/>
      <c r="BK1239" s="82"/>
      <c r="BL1239" s="82"/>
      <c r="BM1239" s="82"/>
      <c r="BN1239" s="82"/>
      <c r="BO1239" s="82"/>
      <c r="BP1239" s="82"/>
      <c r="BQ1239" s="82"/>
      <c r="BR1239" s="82"/>
      <c r="BS1239" s="82"/>
      <c r="BT1239" s="82"/>
      <c r="BU1239" s="82"/>
      <c r="BV1239" s="82"/>
      <c r="BW1239" s="82"/>
      <c r="BX1239" s="82"/>
      <c r="BY1239" s="82"/>
      <c r="BZ1239" s="82"/>
      <c r="CA1239" s="82"/>
      <c r="CB1239" s="82"/>
      <c r="CC1239" s="82"/>
      <c r="CD1239" s="82"/>
      <c r="CE1239" s="82"/>
      <c r="CF1239" s="82"/>
      <c r="CG1239" s="82"/>
      <c r="CH1239" s="82"/>
      <c r="CI1239" s="82"/>
      <c r="CJ1239" s="82"/>
      <c r="CK1239" s="82"/>
      <c r="CL1239" s="82"/>
      <c r="CM1239" s="82"/>
      <c r="CN1239" s="82"/>
      <c r="CO1239" s="82"/>
      <c r="CP1239" s="82"/>
      <c r="CQ1239" s="82"/>
      <c r="CR1239" s="82"/>
      <c r="CS1239" s="82"/>
      <c r="CT1239" s="82"/>
      <c r="CU1239" s="82"/>
      <c r="CV1239" s="82"/>
      <c r="CW1239" s="82"/>
      <c r="CX1239" s="82"/>
      <c r="CY1239" s="82"/>
      <c r="CZ1239" s="82"/>
      <c r="DA1239" s="82"/>
      <c r="DB1239" s="82"/>
      <c r="DC1239" s="82"/>
      <c r="DD1239" s="82"/>
      <c r="DE1239" s="82"/>
      <c r="DF1239" s="82"/>
      <c r="DG1239" s="82"/>
    </row>
    <row r="1240" spans="2:111" ht="9" customHeight="1">
      <c r="BC1240" s="82"/>
      <c r="BD1240" s="82"/>
      <c r="BE1240" s="82"/>
      <c r="BF1240" s="82"/>
      <c r="BG1240" s="82"/>
      <c r="BH1240" s="82"/>
      <c r="BI1240" s="82"/>
      <c r="BJ1240" s="82"/>
      <c r="BK1240" s="82"/>
      <c r="BL1240" s="82"/>
      <c r="BM1240" s="82"/>
      <c r="BN1240" s="82"/>
      <c r="BO1240" s="82"/>
      <c r="BP1240" s="82"/>
      <c r="BQ1240" s="82"/>
      <c r="BR1240" s="82"/>
      <c r="BS1240" s="82"/>
      <c r="BT1240" s="82"/>
      <c r="BU1240" s="82"/>
      <c r="BV1240" s="82"/>
      <c r="BW1240" s="82"/>
      <c r="BX1240" s="82"/>
      <c r="BY1240" s="82"/>
      <c r="BZ1240" s="82"/>
      <c r="CA1240" s="82"/>
      <c r="CB1240" s="82"/>
      <c r="CC1240" s="82"/>
      <c r="CD1240" s="82"/>
      <c r="CE1240" s="82"/>
      <c r="CF1240" s="82"/>
      <c r="CG1240" s="82"/>
      <c r="CH1240" s="82"/>
      <c r="CI1240" s="82"/>
      <c r="CJ1240" s="82"/>
      <c r="CK1240" s="82"/>
      <c r="CL1240" s="82"/>
      <c r="CM1240" s="82"/>
      <c r="CN1240" s="82"/>
      <c r="CO1240" s="82"/>
      <c r="CP1240" s="82"/>
      <c r="CQ1240" s="82"/>
      <c r="CR1240" s="82"/>
      <c r="CS1240" s="82"/>
      <c r="CT1240" s="82"/>
      <c r="CU1240" s="82"/>
      <c r="CV1240" s="82"/>
      <c r="CW1240" s="82"/>
      <c r="CX1240" s="82"/>
      <c r="CY1240" s="82"/>
      <c r="CZ1240" s="82"/>
      <c r="DA1240" s="82"/>
      <c r="DB1240" s="82"/>
      <c r="DC1240" s="82"/>
      <c r="DD1240" s="82"/>
      <c r="DE1240" s="82"/>
      <c r="DF1240" s="82"/>
      <c r="DG1240" s="82"/>
    </row>
    <row r="1241" spans="2:111" ht="9" customHeight="1">
      <c r="BC1241" s="82"/>
      <c r="BD1241" s="82"/>
      <c r="BE1241" s="82"/>
      <c r="BF1241" s="82"/>
      <c r="BG1241" s="82"/>
      <c r="BH1241" s="82"/>
      <c r="BI1241" s="82"/>
      <c r="BJ1241" s="82"/>
      <c r="BK1241" s="82"/>
      <c r="BL1241" s="82"/>
      <c r="BM1241" s="82"/>
      <c r="BN1241" s="82"/>
      <c r="BO1241" s="82"/>
      <c r="BP1241" s="82"/>
      <c r="BQ1241" s="82"/>
      <c r="BR1241" s="82"/>
      <c r="BS1241" s="82"/>
      <c r="BT1241" s="82"/>
      <c r="BU1241" s="82"/>
      <c r="BV1241" s="82"/>
      <c r="BW1241" s="82"/>
      <c r="BX1241" s="82"/>
      <c r="BY1241" s="82"/>
      <c r="BZ1241" s="82"/>
      <c r="CA1241" s="82"/>
      <c r="CB1241" s="82"/>
      <c r="CC1241" s="82"/>
      <c r="CD1241" s="82"/>
      <c r="CE1241" s="82"/>
      <c r="CF1241" s="82"/>
      <c r="CG1241" s="82"/>
      <c r="CH1241" s="82"/>
      <c r="CI1241" s="82"/>
      <c r="CJ1241" s="82"/>
      <c r="CK1241" s="82"/>
      <c r="CL1241" s="82"/>
      <c r="CM1241" s="82"/>
      <c r="CN1241" s="82"/>
      <c r="CO1241" s="82"/>
      <c r="CP1241" s="82"/>
      <c r="CQ1241" s="82"/>
      <c r="CR1241" s="82"/>
      <c r="CS1241" s="82"/>
      <c r="CT1241" s="82"/>
      <c r="CU1241" s="82"/>
      <c r="CV1241" s="82"/>
      <c r="CW1241" s="82"/>
      <c r="CX1241" s="82"/>
      <c r="CY1241" s="82"/>
      <c r="CZ1241" s="82"/>
      <c r="DA1241" s="82"/>
      <c r="DB1241" s="82"/>
      <c r="DC1241" s="82"/>
      <c r="DD1241" s="82"/>
      <c r="DE1241" s="82"/>
      <c r="DF1241" s="82"/>
      <c r="DG1241" s="82"/>
    </row>
    <row r="1242" spans="2:111" ht="9" customHeight="1">
      <c r="BC1242" s="82"/>
      <c r="BD1242" s="82"/>
      <c r="BE1242" s="82"/>
      <c r="BF1242" s="82"/>
      <c r="BG1242" s="82"/>
      <c r="BH1242" s="82"/>
      <c r="BI1242" s="82"/>
      <c r="BJ1242" s="82"/>
      <c r="BK1242" s="82"/>
      <c r="BL1242" s="82"/>
      <c r="BM1242" s="82"/>
      <c r="BN1242" s="82"/>
      <c r="BO1242" s="82"/>
      <c r="BP1242" s="82"/>
      <c r="BQ1242" s="82"/>
      <c r="BR1242" s="82"/>
      <c r="BS1242" s="82"/>
      <c r="BT1242" s="82"/>
      <c r="BU1242" s="82"/>
      <c r="BV1242" s="82"/>
      <c r="BW1242" s="82"/>
      <c r="BX1242" s="82"/>
      <c r="BY1242" s="82"/>
      <c r="BZ1242" s="82"/>
      <c r="CA1242" s="82"/>
      <c r="CB1242" s="82"/>
      <c r="CC1242" s="82"/>
      <c r="CD1242" s="82"/>
      <c r="CE1242" s="82"/>
      <c r="CF1242" s="82"/>
      <c r="CG1242" s="82"/>
      <c r="CH1242" s="82"/>
      <c r="CI1242" s="82"/>
      <c r="CJ1242" s="82"/>
      <c r="CK1242" s="82"/>
      <c r="CL1242" s="82"/>
      <c r="CM1242" s="82"/>
      <c r="CN1242" s="82"/>
      <c r="CO1242" s="82"/>
      <c r="CP1242" s="82"/>
      <c r="CQ1242" s="82"/>
      <c r="CR1242" s="82"/>
      <c r="CS1242" s="82"/>
      <c r="CT1242" s="82"/>
      <c r="CU1242" s="82"/>
      <c r="CV1242" s="82"/>
      <c r="CW1242" s="82"/>
      <c r="CX1242" s="82"/>
      <c r="CY1242" s="82"/>
      <c r="CZ1242" s="82"/>
      <c r="DA1242" s="82"/>
      <c r="DB1242" s="82"/>
      <c r="DC1242" s="82"/>
      <c r="DD1242" s="82"/>
      <c r="DE1242" s="82"/>
      <c r="DF1242" s="82"/>
      <c r="DG1242" s="82"/>
    </row>
    <row r="1243" spans="2:111" ht="9" customHeight="1">
      <c r="BC1243" s="82"/>
      <c r="BD1243" s="82"/>
      <c r="BE1243" s="82"/>
      <c r="BF1243" s="82"/>
      <c r="BG1243" s="82"/>
      <c r="BH1243" s="82"/>
      <c r="BI1243" s="82"/>
      <c r="BJ1243" s="82"/>
      <c r="BK1243" s="82"/>
      <c r="BL1243" s="82"/>
      <c r="BM1243" s="82"/>
      <c r="BN1243" s="82"/>
      <c r="BO1243" s="82"/>
      <c r="BP1243" s="82"/>
      <c r="BQ1243" s="82"/>
      <c r="BR1243" s="82"/>
      <c r="BS1243" s="82"/>
      <c r="BT1243" s="82"/>
      <c r="BU1243" s="82"/>
      <c r="BV1243" s="82"/>
      <c r="BW1243" s="82"/>
      <c r="BX1243" s="82"/>
      <c r="BY1243" s="82"/>
      <c r="BZ1243" s="82"/>
      <c r="CA1243" s="82"/>
      <c r="CB1243" s="82"/>
      <c r="CC1243" s="82"/>
      <c r="CD1243" s="82"/>
      <c r="CE1243" s="82"/>
      <c r="CF1243" s="82"/>
      <c r="CG1243" s="82"/>
      <c r="CH1243" s="82"/>
      <c r="CI1243" s="82"/>
      <c r="CJ1243" s="82"/>
      <c r="CK1243" s="82"/>
      <c r="CL1243" s="82"/>
      <c r="CM1243" s="82"/>
      <c r="CN1243" s="82"/>
      <c r="CO1243" s="82"/>
      <c r="CP1243" s="82"/>
      <c r="CQ1243" s="82"/>
      <c r="CR1243" s="82"/>
      <c r="CS1243" s="82"/>
      <c r="CT1243" s="82"/>
      <c r="CU1243" s="82"/>
      <c r="CV1243" s="82"/>
      <c r="CW1243" s="82"/>
      <c r="CX1243" s="82"/>
      <c r="CY1243" s="82"/>
      <c r="CZ1243" s="82"/>
      <c r="DA1243" s="82"/>
      <c r="DB1243" s="82"/>
      <c r="DC1243" s="82"/>
      <c r="DD1243" s="82"/>
      <c r="DE1243" s="82"/>
      <c r="DF1243" s="82"/>
      <c r="DG1243" s="82"/>
    </row>
    <row r="1244" spans="2:111" ht="9" customHeight="1">
      <c r="BC1244" s="82"/>
      <c r="BD1244" s="82"/>
      <c r="BE1244" s="82"/>
      <c r="BF1244" s="82"/>
      <c r="BG1244" s="82"/>
      <c r="BH1244" s="82"/>
      <c r="BI1244" s="82"/>
      <c r="BJ1244" s="82"/>
      <c r="BK1244" s="82"/>
      <c r="BL1244" s="82"/>
      <c r="BM1244" s="82"/>
      <c r="BN1244" s="82"/>
      <c r="BO1244" s="82"/>
      <c r="BP1244" s="82"/>
      <c r="BQ1244" s="82"/>
      <c r="BR1244" s="82"/>
      <c r="BS1244" s="82"/>
      <c r="BT1244" s="82"/>
      <c r="BU1244" s="82"/>
      <c r="BV1244" s="82"/>
      <c r="BW1244" s="82"/>
      <c r="BX1244" s="82"/>
      <c r="BY1244" s="82"/>
      <c r="BZ1244" s="82"/>
      <c r="CA1244" s="82"/>
      <c r="CB1244" s="82"/>
      <c r="CC1244" s="82"/>
      <c r="CD1244" s="82"/>
      <c r="CE1244" s="82"/>
      <c r="CF1244" s="82"/>
      <c r="CG1244" s="82"/>
      <c r="CH1244" s="82"/>
      <c r="CI1244" s="82"/>
      <c r="CJ1244" s="82"/>
      <c r="CK1244" s="82"/>
      <c r="CL1244" s="82"/>
      <c r="CM1244" s="82"/>
      <c r="CN1244" s="82"/>
      <c r="CO1244" s="82"/>
      <c r="CP1244" s="82"/>
      <c r="CQ1244" s="82"/>
      <c r="CR1244" s="82"/>
      <c r="CS1244" s="82"/>
      <c r="CT1244" s="82"/>
      <c r="CU1244" s="82"/>
      <c r="CV1244" s="82"/>
      <c r="CW1244" s="82"/>
      <c r="CX1244" s="82"/>
      <c r="CY1244" s="82"/>
      <c r="CZ1244" s="82"/>
      <c r="DA1244" s="82"/>
      <c r="DB1244" s="82"/>
      <c r="DC1244" s="82"/>
      <c r="DD1244" s="82"/>
      <c r="DE1244" s="82"/>
      <c r="DF1244" s="82"/>
      <c r="DG1244" s="82"/>
    </row>
    <row r="1245" spans="2:111" ht="9" customHeight="1">
      <c r="BC1245" s="82"/>
      <c r="BD1245" s="82"/>
      <c r="BE1245" s="82"/>
      <c r="BF1245" s="82"/>
      <c r="BG1245" s="82"/>
      <c r="BH1245" s="82"/>
      <c r="BI1245" s="82"/>
      <c r="BJ1245" s="82"/>
      <c r="BK1245" s="82"/>
      <c r="BL1245" s="82"/>
      <c r="BM1245" s="82"/>
      <c r="BN1245" s="82"/>
      <c r="BO1245" s="82"/>
      <c r="BP1245" s="82"/>
      <c r="BQ1245" s="82"/>
      <c r="BR1245" s="82"/>
      <c r="BS1245" s="82"/>
      <c r="BT1245" s="82"/>
      <c r="BU1245" s="82"/>
      <c r="BV1245" s="82"/>
      <c r="BW1245" s="82"/>
      <c r="BX1245" s="82"/>
      <c r="BY1245" s="82"/>
      <c r="BZ1245" s="82"/>
      <c r="CA1245" s="82"/>
      <c r="CB1245" s="82"/>
      <c r="CC1245" s="82"/>
      <c r="CD1245" s="82"/>
      <c r="CE1245" s="82"/>
      <c r="CF1245" s="82"/>
      <c r="CG1245" s="82"/>
      <c r="CH1245" s="82"/>
      <c r="CI1245" s="82"/>
      <c r="CJ1245" s="82"/>
      <c r="CK1245" s="82"/>
      <c r="CL1245" s="82"/>
      <c r="CM1245" s="82"/>
      <c r="CN1245" s="82"/>
      <c r="CO1245" s="82"/>
      <c r="CP1245" s="82"/>
      <c r="CQ1245" s="82"/>
      <c r="CR1245" s="82"/>
      <c r="CS1245" s="82"/>
      <c r="CT1245" s="82"/>
      <c r="CU1245" s="82"/>
      <c r="CV1245" s="82"/>
      <c r="CW1245" s="82"/>
      <c r="CX1245" s="82"/>
      <c r="CY1245" s="82"/>
      <c r="CZ1245" s="82"/>
      <c r="DA1245" s="82"/>
      <c r="DB1245" s="82"/>
      <c r="DC1245" s="82"/>
      <c r="DD1245" s="82"/>
      <c r="DE1245" s="82"/>
      <c r="DF1245" s="82"/>
      <c r="DG1245" s="82"/>
    </row>
    <row r="1246" spans="2:111" ht="9" customHeight="1">
      <c r="BC1246" s="82"/>
      <c r="BD1246" s="82"/>
      <c r="BE1246" s="82"/>
      <c r="BF1246" s="82"/>
      <c r="BG1246" s="82"/>
      <c r="BH1246" s="82"/>
      <c r="BI1246" s="82"/>
      <c r="BJ1246" s="82"/>
      <c r="BK1246" s="82"/>
      <c r="BL1246" s="82"/>
      <c r="BM1246" s="82"/>
      <c r="BN1246" s="82"/>
      <c r="BO1246" s="82"/>
      <c r="BP1246" s="82"/>
      <c r="BQ1246" s="82"/>
      <c r="BR1246" s="82"/>
      <c r="BS1246" s="82"/>
      <c r="BT1246" s="82"/>
      <c r="BU1246" s="82"/>
      <c r="BV1246" s="82"/>
      <c r="BW1246" s="82"/>
      <c r="BX1246" s="82"/>
      <c r="BY1246" s="82"/>
      <c r="BZ1246" s="82"/>
      <c r="CA1246" s="82"/>
      <c r="CB1246" s="82"/>
      <c r="CC1246" s="82"/>
      <c r="CD1246" s="82"/>
      <c r="CE1246" s="82"/>
      <c r="CF1246" s="82"/>
      <c r="CG1246" s="82"/>
      <c r="CH1246" s="82"/>
      <c r="CI1246" s="82"/>
      <c r="CJ1246" s="82"/>
      <c r="CK1246" s="82"/>
      <c r="CL1246" s="82"/>
      <c r="CM1246" s="82"/>
      <c r="CN1246" s="82"/>
      <c r="CO1246" s="82"/>
      <c r="CP1246" s="82"/>
      <c r="CQ1246" s="82"/>
      <c r="CR1246" s="82"/>
      <c r="CS1246" s="82"/>
      <c r="CT1246" s="82"/>
      <c r="CU1246" s="82"/>
      <c r="CV1246" s="82"/>
      <c r="CW1246" s="82"/>
      <c r="CX1246" s="82"/>
      <c r="CY1246" s="82"/>
      <c r="CZ1246" s="82"/>
      <c r="DA1246" s="82"/>
      <c r="DB1246" s="82"/>
      <c r="DC1246" s="82"/>
      <c r="DD1246" s="82"/>
      <c r="DE1246" s="82"/>
      <c r="DF1246" s="82"/>
      <c r="DG1246" s="82"/>
    </row>
    <row r="1247" spans="2:111" ht="9" customHeight="1">
      <c r="BC1247" s="82"/>
      <c r="BD1247" s="82"/>
      <c r="BE1247" s="82"/>
      <c r="BF1247" s="82"/>
      <c r="BG1247" s="82"/>
      <c r="BH1247" s="82"/>
      <c r="BI1247" s="82"/>
      <c r="BJ1247" s="82"/>
      <c r="BK1247" s="82"/>
      <c r="BL1247" s="82"/>
      <c r="BM1247" s="82"/>
      <c r="BN1247" s="82"/>
      <c r="BO1247" s="82"/>
      <c r="BP1247" s="82"/>
      <c r="BQ1247" s="82"/>
      <c r="BR1247" s="82"/>
      <c r="BS1247" s="82"/>
      <c r="BT1247" s="82"/>
      <c r="BU1247" s="82"/>
      <c r="BV1247" s="82"/>
      <c r="BW1247" s="82"/>
      <c r="BX1247" s="82"/>
      <c r="BY1247" s="82"/>
      <c r="BZ1247" s="82"/>
      <c r="CA1247" s="82"/>
      <c r="CB1247" s="82"/>
      <c r="CC1247" s="82"/>
      <c r="CD1247" s="82"/>
      <c r="CE1247" s="82"/>
      <c r="CF1247" s="82"/>
      <c r="CG1247" s="82"/>
      <c r="CH1247" s="82"/>
      <c r="CI1247" s="82"/>
      <c r="CJ1247" s="82"/>
      <c r="CK1247" s="82"/>
      <c r="CL1247" s="82"/>
      <c r="CM1247" s="82"/>
      <c r="CN1247" s="82"/>
      <c r="CO1247" s="82"/>
      <c r="CP1247" s="82"/>
      <c r="CQ1247" s="82"/>
      <c r="CR1247" s="82"/>
      <c r="CS1247" s="82"/>
      <c r="CT1247" s="82"/>
      <c r="CU1247" s="82"/>
      <c r="CV1247" s="82"/>
      <c r="CW1247" s="82"/>
      <c r="CX1247" s="82"/>
      <c r="CY1247" s="82"/>
      <c r="CZ1247" s="82"/>
      <c r="DA1247" s="82"/>
      <c r="DB1247" s="82"/>
      <c r="DC1247" s="82"/>
      <c r="DD1247" s="82"/>
      <c r="DE1247" s="82"/>
      <c r="DF1247" s="82"/>
      <c r="DG1247" s="82"/>
    </row>
    <row r="1248" spans="2:111" ht="9" customHeight="1">
      <c r="BC1248" s="82"/>
      <c r="BD1248" s="82"/>
      <c r="BE1248" s="82"/>
      <c r="BF1248" s="82"/>
      <c r="BG1248" s="82"/>
      <c r="BH1248" s="82"/>
      <c r="BI1248" s="82"/>
      <c r="BJ1248" s="82"/>
      <c r="BK1248" s="82"/>
      <c r="BL1248" s="82"/>
      <c r="BM1248" s="82"/>
      <c r="BN1248" s="82"/>
      <c r="BO1248" s="82"/>
      <c r="BP1248" s="82"/>
      <c r="BQ1248" s="82"/>
      <c r="BR1248" s="82"/>
      <c r="BS1248" s="82"/>
      <c r="BT1248" s="82"/>
      <c r="BU1248" s="82"/>
      <c r="BV1248" s="82"/>
      <c r="BW1248" s="82"/>
      <c r="BX1248" s="82"/>
      <c r="BY1248" s="82"/>
      <c r="BZ1248" s="82"/>
      <c r="CA1248" s="82"/>
      <c r="CB1248" s="82"/>
      <c r="CC1248" s="82"/>
      <c r="CD1248" s="82"/>
      <c r="CE1248" s="82"/>
      <c r="CF1248" s="82"/>
      <c r="CG1248" s="82"/>
      <c r="CH1248" s="82"/>
      <c r="CI1248" s="82"/>
      <c r="CJ1248" s="82"/>
      <c r="CK1248" s="82"/>
      <c r="CL1248" s="82"/>
      <c r="CM1248" s="82"/>
      <c r="CN1248" s="82"/>
      <c r="CO1248" s="82"/>
      <c r="CP1248" s="82"/>
      <c r="CQ1248" s="82"/>
      <c r="CR1248" s="82"/>
      <c r="CS1248" s="82"/>
      <c r="CT1248" s="82"/>
      <c r="CU1248" s="82"/>
      <c r="CV1248" s="82"/>
      <c r="CW1248" s="82"/>
      <c r="CX1248" s="82"/>
      <c r="CY1248" s="82"/>
      <c r="CZ1248" s="82"/>
      <c r="DA1248" s="82"/>
      <c r="DB1248" s="82"/>
      <c r="DC1248" s="82"/>
      <c r="DD1248" s="82"/>
      <c r="DE1248" s="82"/>
      <c r="DF1248" s="82"/>
      <c r="DG1248" s="82"/>
    </row>
    <row r="1249" spans="55:111" ht="9" customHeight="1">
      <c r="BC1249" s="82"/>
      <c r="BD1249" s="82"/>
      <c r="BE1249" s="82"/>
      <c r="BF1249" s="82"/>
      <c r="BG1249" s="82"/>
      <c r="BH1249" s="82"/>
      <c r="BI1249" s="82"/>
      <c r="BJ1249" s="82"/>
      <c r="BK1249" s="82"/>
      <c r="BL1249" s="82"/>
      <c r="BM1249" s="82"/>
      <c r="BN1249" s="82"/>
      <c r="BO1249" s="82"/>
      <c r="BP1249" s="82"/>
      <c r="BQ1249" s="82"/>
      <c r="BR1249" s="82"/>
      <c r="BS1249" s="82"/>
      <c r="BT1249" s="82"/>
      <c r="BU1249" s="82"/>
      <c r="BV1249" s="82"/>
      <c r="BW1249" s="82"/>
      <c r="BX1249" s="82"/>
      <c r="BY1249" s="82"/>
      <c r="BZ1249" s="82"/>
      <c r="CA1249" s="82"/>
      <c r="CB1249" s="82"/>
      <c r="CC1249" s="82"/>
      <c r="CD1249" s="82"/>
      <c r="CE1249" s="82"/>
      <c r="CF1249" s="82"/>
      <c r="CG1249" s="82"/>
      <c r="CH1249" s="82"/>
      <c r="CI1249" s="82"/>
      <c r="CJ1249" s="82"/>
      <c r="CK1249" s="82"/>
      <c r="CL1249" s="82"/>
      <c r="CM1249" s="82"/>
      <c r="CN1249" s="82"/>
      <c r="CO1249" s="82"/>
      <c r="CP1249" s="82"/>
      <c r="CQ1249" s="82"/>
      <c r="CR1249" s="82"/>
      <c r="CS1249" s="82"/>
      <c r="CT1249" s="82"/>
      <c r="CU1249" s="82"/>
      <c r="CV1249" s="82"/>
      <c r="CW1249" s="82"/>
      <c r="CX1249" s="82"/>
      <c r="CY1249" s="82"/>
      <c r="CZ1249" s="82"/>
      <c r="DA1249" s="82"/>
      <c r="DB1249" s="82"/>
      <c r="DC1249" s="82"/>
      <c r="DD1249" s="82"/>
      <c r="DE1249" s="82"/>
      <c r="DF1249" s="82"/>
      <c r="DG1249" s="82"/>
    </row>
    <row r="1250" spans="55:111" ht="9" customHeight="1">
      <c r="BC1250" s="82"/>
      <c r="BD1250" s="82"/>
      <c r="BE1250" s="82"/>
      <c r="BF1250" s="82"/>
      <c r="BG1250" s="82"/>
      <c r="BH1250" s="82"/>
      <c r="BI1250" s="82"/>
      <c r="BJ1250" s="82"/>
      <c r="BK1250" s="82"/>
      <c r="BL1250" s="82"/>
      <c r="BM1250" s="82"/>
      <c r="BN1250" s="82"/>
      <c r="BO1250" s="82"/>
      <c r="BP1250" s="82"/>
      <c r="BQ1250" s="82"/>
      <c r="BR1250" s="82"/>
      <c r="BS1250" s="82"/>
      <c r="BT1250" s="82"/>
      <c r="BU1250" s="82"/>
      <c r="BV1250" s="82"/>
      <c r="BW1250" s="82"/>
      <c r="BX1250" s="82"/>
      <c r="BY1250" s="82"/>
      <c r="BZ1250" s="82"/>
      <c r="CA1250" s="82"/>
      <c r="CB1250" s="82"/>
      <c r="CC1250" s="82"/>
      <c r="CD1250" s="82"/>
      <c r="CE1250" s="82"/>
      <c r="CF1250" s="82"/>
      <c r="CG1250" s="82"/>
      <c r="CH1250" s="82"/>
      <c r="CI1250" s="82"/>
      <c r="CJ1250" s="82"/>
      <c r="CK1250" s="82"/>
      <c r="CL1250" s="82"/>
      <c r="CM1250" s="82"/>
      <c r="CN1250" s="82"/>
      <c r="CO1250" s="82"/>
      <c r="CP1250" s="82"/>
      <c r="CQ1250" s="82"/>
      <c r="CR1250" s="82"/>
      <c r="CS1250" s="82"/>
      <c r="CT1250" s="82"/>
      <c r="CU1250" s="82"/>
      <c r="CV1250" s="82"/>
      <c r="CW1250" s="82"/>
      <c r="CX1250" s="82"/>
      <c r="CY1250" s="82"/>
      <c r="CZ1250" s="82"/>
      <c r="DA1250" s="82"/>
      <c r="DB1250" s="82"/>
      <c r="DC1250" s="82"/>
      <c r="DD1250" s="82"/>
      <c r="DE1250" s="82"/>
      <c r="DF1250" s="82"/>
      <c r="DG1250" s="82"/>
    </row>
    <row r="1251" spans="55:111" ht="9" customHeight="1">
      <c r="BC1251" s="82"/>
      <c r="BD1251" s="82"/>
      <c r="BE1251" s="82"/>
      <c r="BF1251" s="82"/>
      <c r="BG1251" s="82"/>
      <c r="BH1251" s="82"/>
      <c r="BI1251" s="82"/>
      <c r="BJ1251" s="82"/>
      <c r="BK1251" s="82"/>
      <c r="BL1251" s="82"/>
      <c r="BM1251" s="82"/>
      <c r="BN1251" s="82"/>
      <c r="BO1251" s="82"/>
      <c r="BP1251" s="82"/>
      <c r="BQ1251" s="82"/>
      <c r="BR1251" s="82"/>
      <c r="BS1251" s="82"/>
      <c r="BT1251" s="82"/>
      <c r="BU1251" s="82"/>
      <c r="BV1251" s="82"/>
      <c r="BW1251" s="82"/>
      <c r="BX1251" s="82"/>
      <c r="BY1251" s="82"/>
      <c r="BZ1251" s="82"/>
      <c r="CA1251" s="82"/>
      <c r="CB1251" s="82"/>
      <c r="CC1251" s="82"/>
      <c r="CD1251" s="82"/>
      <c r="CE1251" s="82"/>
      <c r="CF1251" s="82"/>
      <c r="CG1251" s="82"/>
      <c r="CH1251" s="82"/>
      <c r="CI1251" s="82"/>
      <c r="CJ1251" s="82"/>
      <c r="CK1251" s="82"/>
      <c r="CL1251" s="82"/>
      <c r="CM1251" s="82"/>
      <c r="CN1251" s="82"/>
      <c r="CO1251" s="82"/>
      <c r="CP1251" s="82"/>
      <c r="CQ1251" s="82"/>
      <c r="CR1251" s="82"/>
      <c r="CS1251" s="82"/>
      <c r="CT1251" s="82"/>
      <c r="CU1251" s="82"/>
      <c r="CV1251" s="82"/>
      <c r="CW1251" s="82"/>
      <c r="CX1251" s="82"/>
      <c r="CY1251" s="82"/>
      <c r="CZ1251" s="82"/>
      <c r="DA1251" s="82"/>
      <c r="DB1251" s="82"/>
      <c r="DC1251" s="82"/>
      <c r="DD1251" s="82"/>
      <c r="DE1251" s="82"/>
      <c r="DF1251" s="82"/>
      <c r="DG1251" s="82"/>
    </row>
    <row r="1252" spans="55:111" ht="9" customHeight="1">
      <c r="BC1252" s="82"/>
      <c r="BD1252" s="82"/>
      <c r="BE1252" s="82"/>
      <c r="BF1252" s="82"/>
      <c r="BG1252" s="82"/>
      <c r="BH1252" s="82"/>
      <c r="BI1252" s="82"/>
      <c r="BJ1252" s="82"/>
      <c r="BK1252" s="82"/>
      <c r="BL1252" s="82"/>
      <c r="BM1252" s="82"/>
      <c r="BN1252" s="82"/>
      <c r="BO1252" s="82"/>
      <c r="BP1252" s="82"/>
      <c r="BQ1252" s="82"/>
      <c r="BR1252" s="82"/>
      <c r="BS1252" s="82"/>
      <c r="BT1252" s="82"/>
      <c r="BU1252" s="82"/>
      <c r="BV1252" s="82"/>
      <c r="BW1252" s="82"/>
      <c r="BX1252" s="82"/>
      <c r="BY1252" s="82"/>
      <c r="BZ1252" s="82"/>
      <c r="CA1252" s="82"/>
      <c r="CB1252" s="82"/>
      <c r="CC1252" s="82"/>
      <c r="CD1252" s="82"/>
      <c r="CE1252" s="82"/>
      <c r="CF1252" s="82"/>
      <c r="CG1252" s="82"/>
      <c r="CH1252" s="82"/>
      <c r="CI1252" s="82"/>
      <c r="CJ1252" s="82"/>
      <c r="CK1252" s="82"/>
      <c r="CL1252" s="82"/>
      <c r="CM1252" s="82"/>
      <c r="CN1252" s="82"/>
      <c r="CO1252" s="82"/>
      <c r="CP1252" s="82"/>
      <c r="CQ1252" s="82"/>
      <c r="CR1252" s="82"/>
      <c r="CS1252" s="82"/>
      <c r="CT1252" s="82"/>
      <c r="CU1252" s="82"/>
      <c r="CV1252" s="82"/>
      <c r="CW1252" s="82"/>
      <c r="CX1252" s="82"/>
      <c r="CY1252" s="82"/>
      <c r="CZ1252" s="82"/>
      <c r="DA1252" s="82"/>
      <c r="DB1252" s="82"/>
      <c r="DC1252" s="82"/>
      <c r="DD1252" s="82"/>
      <c r="DE1252" s="82"/>
      <c r="DF1252" s="82"/>
      <c r="DG1252" s="82"/>
    </row>
    <row r="1253" spans="55:111" ht="9" customHeight="1">
      <c r="BC1253" s="82"/>
      <c r="BD1253" s="82"/>
      <c r="BE1253" s="82"/>
      <c r="BF1253" s="82"/>
      <c r="BG1253" s="82"/>
      <c r="BH1253" s="82"/>
      <c r="BI1253" s="82"/>
      <c r="BJ1253" s="82"/>
      <c r="BK1253" s="82"/>
      <c r="BL1253" s="82"/>
      <c r="BM1253" s="82"/>
      <c r="BN1253" s="82"/>
      <c r="BO1253" s="82"/>
      <c r="BP1253" s="82"/>
      <c r="BQ1253" s="82"/>
      <c r="BR1253" s="82"/>
      <c r="BS1253" s="82"/>
      <c r="BT1253" s="82"/>
      <c r="BU1253" s="82"/>
      <c r="BV1253" s="82"/>
      <c r="BW1253" s="82"/>
      <c r="BX1253" s="82"/>
      <c r="BY1253" s="82"/>
      <c r="BZ1253" s="82"/>
      <c r="CA1253" s="82"/>
      <c r="CB1253" s="82"/>
      <c r="CC1253" s="82"/>
      <c r="CD1253" s="82"/>
      <c r="CE1253" s="82"/>
      <c r="CF1253" s="82"/>
      <c r="CG1253" s="82"/>
      <c r="CH1253" s="82"/>
      <c r="CI1253" s="82"/>
      <c r="CJ1253" s="82"/>
      <c r="CK1253" s="82"/>
      <c r="CL1253" s="82"/>
      <c r="CM1253" s="82"/>
      <c r="CN1253" s="82"/>
      <c r="CO1253" s="82"/>
      <c r="CP1253" s="82"/>
      <c r="CQ1253" s="82"/>
      <c r="CR1253" s="82"/>
      <c r="CS1253" s="82"/>
      <c r="CT1253" s="82"/>
      <c r="CU1253" s="82"/>
      <c r="CV1253" s="82"/>
      <c r="CW1253" s="82"/>
      <c r="CX1253" s="82"/>
      <c r="CY1253" s="82"/>
      <c r="CZ1253" s="82"/>
      <c r="DA1253" s="82"/>
      <c r="DB1253" s="82"/>
      <c r="DC1253" s="82"/>
      <c r="DD1253" s="82"/>
      <c r="DE1253" s="82"/>
      <c r="DF1253" s="82"/>
      <c r="DG1253" s="82"/>
    </row>
    <row r="1254" spans="55:111" ht="9" customHeight="1">
      <c r="BC1254" s="82"/>
      <c r="BD1254" s="82"/>
      <c r="BE1254" s="82"/>
      <c r="BF1254" s="82"/>
      <c r="BG1254" s="82"/>
      <c r="BH1254" s="82"/>
      <c r="BI1254" s="82"/>
      <c r="BJ1254" s="82"/>
      <c r="BK1254" s="82"/>
      <c r="BL1254" s="82"/>
      <c r="BM1254" s="82"/>
      <c r="BN1254" s="82"/>
      <c r="BO1254" s="82"/>
      <c r="BP1254" s="82"/>
      <c r="BQ1254" s="82"/>
      <c r="BR1254" s="82"/>
      <c r="BS1254" s="82"/>
      <c r="BT1254" s="82"/>
      <c r="BU1254" s="82"/>
      <c r="BV1254" s="82"/>
      <c r="BW1254" s="82"/>
      <c r="BX1254" s="82"/>
      <c r="BY1254" s="82"/>
      <c r="BZ1254" s="82"/>
      <c r="CA1254" s="82"/>
      <c r="CB1254" s="82"/>
      <c r="CC1254" s="82"/>
      <c r="CD1254" s="82"/>
      <c r="CE1254" s="82"/>
      <c r="CF1254" s="82"/>
      <c r="CG1254" s="82"/>
      <c r="CH1254" s="82"/>
      <c r="CI1254" s="82"/>
      <c r="CJ1254" s="82"/>
      <c r="CK1254" s="82"/>
      <c r="CL1254" s="82"/>
      <c r="CM1254" s="82"/>
      <c r="CN1254" s="82"/>
      <c r="CO1254" s="82"/>
      <c r="CP1254" s="82"/>
      <c r="CQ1254" s="82"/>
      <c r="CR1254" s="82"/>
      <c r="CS1254" s="82"/>
      <c r="CT1254" s="82"/>
      <c r="CU1254" s="82"/>
      <c r="CV1254" s="82"/>
      <c r="CW1254" s="82"/>
      <c r="CX1254" s="82"/>
      <c r="CY1254" s="82"/>
      <c r="CZ1254" s="82"/>
      <c r="DA1254" s="82"/>
      <c r="DB1254" s="82"/>
      <c r="DC1254" s="82"/>
      <c r="DD1254" s="82"/>
      <c r="DE1254" s="82"/>
      <c r="DF1254" s="82"/>
      <c r="DG1254" s="82"/>
    </row>
    <row r="1255" spans="55:111" ht="9" customHeight="1">
      <c r="BC1255" s="82"/>
      <c r="BD1255" s="82"/>
      <c r="BE1255" s="82"/>
      <c r="BF1255" s="82"/>
      <c r="BG1255" s="82"/>
      <c r="BH1255" s="82"/>
      <c r="BI1255" s="82"/>
      <c r="BJ1255" s="82"/>
      <c r="BK1255" s="82"/>
      <c r="BL1255" s="82"/>
      <c r="BM1255" s="82"/>
      <c r="BN1255" s="82"/>
      <c r="BO1255" s="82"/>
      <c r="BP1255" s="82"/>
      <c r="BQ1255" s="82"/>
      <c r="BR1255" s="82"/>
      <c r="BS1255" s="82"/>
      <c r="BT1255" s="82"/>
      <c r="BU1255" s="82"/>
      <c r="BV1255" s="82"/>
      <c r="BW1255" s="82"/>
      <c r="BX1255" s="82"/>
      <c r="BY1255" s="82"/>
      <c r="BZ1255" s="82"/>
      <c r="CA1255" s="82"/>
      <c r="CB1255" s="82"/>
      <c r="CC1255" s="82"/>
      <c r="CD1255" s="82"/>
      <c r="CE1255" s="82"/>
      <c r="CF1255" s="82"/>
      <c r="CG1255" s="82"/>
      <c r="CH1255" s="82"/>
      <c r="CI1255" s="82"/>
      <c r="CJ1255" s="82"/>
      <c r="CK1255" s="82"/>
      <c r="CL1255" s="82"/>
      <c r="CM1255" s="82"/>
      <c r="CN1255" s="82"/>
      <c r="CO1255" s="82"/>
      <c r="CP1255" s="82"/>
      <c r="CQ1255" s="82"/>
      <c r="CR1255" s="82"/>
      <c r="CS1255" s="82"/>
      <c r="CT1255" s="82"/>
      <c r="CU1255" s="82"/>
      <c r="CV1255" s="82"/>
      <c r="CW1255" s="82"/>
      <c r="CX1255" s="82"/>
      <c r="CY1255" s="82"/>
      <c r="CZ1255" s="82"/>
      <c r="DA1255" s="82"/>
      <c r="DB1255" s="82"/>
      <c r="DC1255" s="82"/>
      <c r="DD1255" s="82"/>
      <c r="DE1255" s="82"/>
      <c r="DF1255" s="82"/>
      <c r="DG1255" s="82"/>
    </row>
    <row r="1256" spans="55:111" ht="9" customHeight="1">
      <c r="BC1256" s="82"/>
      <c r="BD1256" s="82"/>
      <c r="BE1256" s="82"/>
      <c r="BF1256" s="82"/>
      <c r="BG1256" s="82"/>
      <c r="BH1256" s="82"/>
      <c r="BI1256" s="82"/>
      <c r="BJ1256" s="82"/>
      <c r="BK1256" s="82"/>
      <c r="BL1256" s="82"/>
      <c r="BM1256" s="82"/>
      <c r="BN1256" s="82"/>
      <c r="BO1256" s="82"/>
      <c r="BP1256" s="82"/>
      <c r="BQ1256" s="82"/>
      <c r="BR1256" s="82"/>
      <c r="BS1256" s="82"/>
      <c r="BT1256" s="82"/>
      <c r="BU1256" s="82"/>
      <c r="BV1256" s="82"/>
      <c r="BW1256" s="82"/>
      <c r="BX1256" s="82"/>
      <c r="BY1256" s="82"/>
      <c r="BZ1256" s="82"/>
      <c r="CA1256" s="82"/>
      <c r="CB1256" s="82"/>
      <c r="CC1256" s="82"/>
      <c r="CD1256" s="82"/>
      <c r="CE1256" s="82"/>
      <c r="CF1256" s="82"/>
      <c r="CG1256" s="82"/>
      <c r="CH1256" s="82"/>
      <c r="CI1256" s="82"/>
      <c r="CJ1256" s="82"/>
      <c r="CK1256" s="82"/>
      <c r="CL1256" s="82"/>
      <c r="CM1256" s="82"/>
      <c r="CN1256" s="82"/>
      <c r="CO1256" s="82"/>
      <c r="CP1256" s="82"/>
      <c r="CQ1256" s="82"/>
      <c r="CR1256" s="82"/>
      <c r="CS1256" s="82"/>
      <c r="CT1256" s="82"/>
      <c r="CU1256" s="82"/>
      <c r="CV1256" s="82"/>
      <c r="CW1256" s="82"/>
      <c r="CX1256" s="82"/>
      <c r="CY1256" s="82"/>
      <c r="CZ1256" s="82"/>
      <c r="DA1256" s="82"/>
      <c r="DB1256" s="82"/>
      <c r="DC1256" s="82"/>
      <c r="DD1256" s="82"/>
      <c r="DE1256" s="82"/>
      <c r="DF1256" s="82"/>
      <c r="DG1256" s="82"/>
    </row>
    <row r="1257" spans="55:111" ht="9" customHeight="1">
      <c r="BC1257" s="82"/>
      <c r="BD1257" s="82"/>
      <c r="BE1257" s="82"/>
      <c r="BF1257" s="82"/>
      <c r="BG1257" s="82"/>
      <c r="BH1257" s="82"/>
      <c r="BI1257" s="82"/>
      <c r="BJ1257" s="82"/>
      <c r="BK1257" s="82"/>
      <c r="BL1257" s="82"/>
      <c r="BM1257" s="82"/>
      <c r="BN1257" s="82"/>
      <c r="BO1257" s="82"/>
      <c r="BP1257" s="82"/>
      <c r="BQ1257" s="82"/>
      <c r="BR1257" s="82"/>
      <c r="BS1257" s="82"/>
      <c r="BT1257" s="82"/>
      <c r="BU1257" s="82"/>
      <c r="BV1257" s="82"/>
      <c r="BW1257" s="82"/>
      <c r="BX1257" s="82"/>
      <c r="BY1257" s="82"/>
      <c r="BZ1257" s="82"/>
      <c r="CA1257" s="82"/>
      <c r="CB1257" s="82"/>
      <c r="CC1257" s="82"/>
      <c r="CD1257" s="82"/>
      <c r="CE1257" s="82"/>
      <c r="CF1257" s="82"/>
      <c r="CG1257" s="82"/>
      <c r="CH1257" s="82"/>
      <c r="CI1257" s="82"/>
      <c r="CJ1257" s="82"/>
      <c r="CK1257" s="82"/>
      <c r="CL1257" s="82"/>
      <c r="CM1257" s="82"/>
      <c r="CN1257" s="82"/>
      <c r="CO1257" s="82"/>
      <c r="CP1257" s="82"/>
      <c r="CQ1257" s="82"/>
      <c r="CR1257" s="82"/>
      <c r="CS1257" s="82"/>
      <c r="CT1257" s="82"/>
      <c r="CU1257" s="82"/>
      <c r="CV1257" s="82"/>
      <c r="CW1257" s="82"/>
      <c r="CX1257" s="82"/>
      <c r="CY1257" s="82"/>
      <c r="CZ1257" s="82"/>
      <c r="DA1257" s="82"/>
      <c r="DB1257" s="82"/>
      <c r="DC1257" s="82"/>
      <c r="DD1257" s="82"/>
      <c r="DE1257" s="82"/>
      <c r="DF1257" s="82"/>
      <c r="DG1257" s="82"/>
    </row>
    <row r="1258" spans="55:111" ht="9" customHeight="1">
      <c r="BC1258" s="82"/>
      <c r="BD1258" s="82"/>
      <c r="BE1258" s="82"/>
      <c r="BF1258" s="82"/>
      <c r="BG1258" s="82"/>
      <c r="BH1258" s="82"/>
      <c r="BI1258" s="82"/>
      <c r="BJ1258" s="82"/>
      <c r="BK1258" s="82"/>
      <c r="BL1258" s="82"/>
      <c r="BM1258" s="82"/>
      <c r="BN1258" s="82"/>
      <c r="BO1258" s="82"/>
      <c r="BP1258" s="82"/>
      <c r="BQ1258" s="82"/>
      <c r="BR1258" s="82"/>
      <c r="BS1258" s="82"/>
      <c r="BT1258" s="82"/>
      <c r="BU1258" s="82"/>
      <c r="BV1258" s="82"/>
      <c r="BW1258" s="82"/>
      <c r="BX1258" s="82"/>
      <c r="BY1258" s="82"/>
      <c r="BZ1258" s="82"/>
      <c r="CA1258" s="82"/>
      <c r="CB1258" s="82"/>
      <c r="CC1258" s="82"/>
      <c r="CD1258" s="82"/>
      <c r="CE1258" s="82"/>
      <c r="CF1258" s="82"/>
      <c r="CG1258" s="82"/>
      <c r="CH1258" s="82"/>
      <c r="CI1258" s="82"/>
      <c r="CJ1258" s="82"/>
      <c r="CK1258" s="82"/>
      <c r="CL1258" s="82"/>
      <c r="CM1258" s="82"/>
      <c r="CN1258" s="82"/>
      <c r="CO1258" s="82"/>
      <c r="CP1258" s="82"/>
      <c r="CQ1258" s="82"/>
      <c r="CR1258" s="82"/>
      <c r="CS1258" s="82"/>
      <c r="CT1258" s="82"/>
      <c r="CU1258" s="82"/>
      <c r="CV1258" s="82"/>
      <c r="CW1258" s="82"/>
      <c r="CX1258" s="82"/>
      <c r="CY1258" s="82"/>
      <c r="CZ1258" s="82"/>
      <c r="DA1258" s="82"/>
      <c r="DB1258" s="82"/>
      <c r="DC1258" s="82"/>
      <c r="DD1258" s="82"/>
      <c r="DE1258" s="82"/>
      <c r="DF1258" s="82"/>
      <c r="DG1258" s="82"/>
    </row>
    <row r="1259" spans="55:111" ht="9" customHeight="1">
      <c r="BC1259" s="82"/>
      <c r="BD1259" s="82"/>
      <c r="BE1259" s="82"/>
      <c r="BF1259" s="82"/>
      <c r="BG1259" s="82"/>
      <c r="BH1259" s="82"/>
      <c r="BI1259" s="82"/>
      <c r="BJ1259" s="82"/>
      <c r="BK1259" s="82"/>
      <c r="BL1259" s="82"/>
      <c r="BM1259" s="82"/>
      <c r="BN1259" s="82"/>
      <c r="BO1259" s="82"/>
      <c r="BP1259" s="82"/>
      <c r="BQ1259" s="82"/>
      <c r="BR1259" s="82"/>
      <c r="BS1259" s="82"/>
      <c r="BT1259" s="82"/>
      <c r="BU1259" s="82"/>
      <c r="BV1259" s="82"/>
      <c r="BW1259" s="82"/>
      <c r="BX1259" s="82"/>
      <c r="BY1259" s="82"/>
      <c r="BZ1259" s="82"/>
      <c r="CA1259" s="82"/>
      <c r="CB1259" s="82"/>
      <c r="CC1259" s="82"/>
      <c r="CD1259" s="82"/>
      <c r="CE1259" s="82"/>
      <c r="CF1259" s="82"/>
      <c r="CG1259" s="82"/>
      <c r="CH1259" s="82"/>
      <c r="CI1259" s="82"/>
      <c r="CJ1259" s="82"/>
      <c r="CK1259" s="82"/>
      <c r="CL1259" s="82"/>
      <c r="CM1259" s="82"/>
      <c r="CN1259" s="82"/>
      <c r="CO1259" s="82"/>
      <c r="CP1259" s="82"/>
      <c r="CQ1259" s="82"/>
      <c r="CR1259" s="82"/>
      <c r="CS1259" s="82"/>
      <c r="CT1259" s="82"/>
      <c r="CU1259" s="82"/>
      <c r="CV1259" s="82"/>
      <c r="CW1259" s="82"/>
      <c r="CX1259" s="82"/>
      <c r="CY1259" s="82"/>
      <c r="CZ1259" s="82"/>
      <c r="DA1259" s="82"/>
      <c r="DB1259" s="82"/>
      <c r="DC1259" s="82"/>
      <c r="DD1259" s="82"/>
      <c r="DE1259" s="82"/>
      <c r="DF1259" s="82"/>
      <c r="DG1259" s="82"/>
    </row>
    <row r="1260" spans="55:111" ht="9" customHeight="1">
      <c r="BC1260" s="82"/>
      <c r="BD1260" s="82"/>
      <c r="BE1260" s="82"/>
      <c r="BF1260" s="82"/>
      <c r="BG1260" s="82"/>
      <c r="BH1260" s="82"/>
      <c r="BI1260" s="82"/>
      <c r="BJ1260" s="82"/>
      <c r="BK1260" s="82"/>
      <c r="BL1260" s="82"/>
      <c r="BM1260" s="82"/>
      <c r="BN1260" s="82"/>
      <c r="BO1260" s="82"/>
      <c r="BP1260" s="82"/>
      <c r="BQ1260" s="82"/>
      <c r="BR1260" s="82"/>
      <c r="BS1260" s="82"/>
      <c r="BT1260" s="82"/>
      <c r="BU1260" s="82"/>
      <c r="BV1260" s="82"/>
      <c r="BW1260" s="82"/>
      <c r="BX1260" s="82"/>
      <c r="BY1260" s="82"/>
      <c r="BZ1260" s="82"/>
      <c r="CA1260" s="82"/>
      <c r="CB1260" s="82"/>
      <c r="CC1260" s="82"/>
      <c r="CD1260" s="82"/>
      <c r="CE1260" s="82"/>
      <c r="CF1260" s="82"/>
      <c r="CG1260" s="82"/>
      <c r="CH1260" s="82"/>
      <c r="CI1260" s="82"/>
      <c r="CJ1260" s="82"/>
      <c r="CK1260" s="82"/>
      <c r="CL1260" s="82"/>
      <c r="CM1260" s="82"/>
      <c r="CN1260" s="82"/>
      <c r="CO1260" s="82"/>
      <c r="CP1260" s="82"/>
      <c r="CQ1260" s="82"/>
      <c r="CR1260" s="82"/>
      <c r="CS1260" s="82"/>
      <c r="CT1260" s="82"/>
      <c r="CU1260" s="82"/>
      <c r="CV1260" s="82"/>
      <c r="CW1260" s="82"/>
      <c r="CX1260" s="82"/>
      <c r="CY1260" s="82"/>
      <c r="CZ1260" s="82"/>
      <c r="DA1260" s="82"/>
      <c r="DB1260" s="82"/>
      <c r="DC1260" s="82"/>
      <c r="DD1260" s="82"/>
      <c r="DE1260" s="82"/>
      <c r="DF1260" s="82"/>
      <c r="DG1260" s="82"/>
    </row>
    <row r="1261" spans="55:111" ht="9" customHeight="1">
      <c r="BC1261" s="82"/>
      <c r="BD1261" s="82"/>
      <c r="BE1261" s="82"/>
      <c r="BF1261" s="82"/>
      <c r="BG1261" s="82"/>
      <c r="BH1261" s="82"/>
      <c r="BI1261" s="82"/>
      <c r="BJ1261" s="82"/>
      <c r="BK1261" s="82"/>
      <c r="BL1261" s="82"/>
      <c r="BM1261" s="82"/>
      <c r="BN1261" s="82"/>
      <c r="BO1261" s="82"/>
      <c r="BP1261" s="82"/>
      <c r="BQ1261" s="82"/>
      <c r="BR1261" s="82"/>
      <c r="BS1261" s="82"/>
      <c r="BT1261" s="82"/>
      <c r="BU1261" s="82"/>
      <c r="BV1261" s="82"/>
      <c r="BW1261" s="82"/>
      <c r="BX1261" s="82"/>
      <c r="BY1261" s="82"/>
      <c r="BZ1261" s="82"/>
      <c r="CA1261" s="82"/>
      <c r="CB1261" s="82"/>
      <c r="CC1261" s="82"/>
      <c r="CD1261" s="82"/>
      <c r="CE1261" s="82"/>
      <c r="CF1261" s="82"/>
      <c r="CG1261" s="82"/>
      <c r="CH1261" s="82"/>
      <c r="CI1261" s="82"/>
      <c r="CJ1261" s="82"/>
      <c r="CK1261" s="82"/>
      <c r="CL1261" s="82"/>
      <c r="CM1261" s="82"/>
      <c r="CN1261" s="82"/>
      <c r="CO1261" s="82"/>
      <c r="CP1261" s="82"/>
      <c r="CQ1261" s="82"/>
      <c r="CR1261" s="82"/>
      <c r="CS1261" s="82"/>
      <c r="CT1261" s="82"/>
      <c r="CU1261" s="82"/>
      <c r="CV1261" s="82"/>
      <c r="CW1261" s="82"/>
      <c r="CX1261" s="82"/>
      <c r="CY1261" s="82"/>
      <c r="CZ1261" s="82"/>
      <c r="DA1261" s="82"/>
      <c r="DB1261" s="82"/>
      <c r="DC1261" s="82"/>
      <c r="DD1261" s="82"/>
      <c r="DE1261" s="82"/>
      <c r="DF1261" s="82"/>
      <c r="DG1261" s="82"/>
    </row>
    <row r="1262" spans="55:111" ht="9" customHeight="1">
      <c r="BC1262" s="82"/>
      <c r="BD1262" s="82"/>
      <c r="BE1262" s="82"/>
      <c r="BF1262" s="82"/>
      <c r="BG1262" s="82"/>
      <c r="BH1262" s="82"/>
      <c r="BI1262" s="82"/>
      <c r="BJ1262" s="82"/>
      <c r="BK1262" s="82"/>
      <c r="BL1262" s="82"/>
      <c r="BM1262" s="82"/>
      <c r="BN1262" s="82"/>
      <c r="BO1262" s="82"/>
      <c r="BP1262" s="82"/>
      <c r="BQ1262" s="82"/>
      <c r="BR1262" s="82"/>
      <c r="BS1262" s="82"/>
      <c r="BT1262" s="82"/>
      <c r="BU1262" s="82"/>
      <c r="BV1262" s="82"/>
      <c r="BW1262" s="82"/>
      <c r="BX1262" s="82"/>
      <c r="BY1262" s="82"/>
      <c r="BZ1262" s="82"/>
      <c r="CA1262" s="82"/>
      <c r="CB1262" s="82"/>
      <c r="CC1262" s="82"/>
      <c r="CD1262" s="82"/>
      <c r="CE1262" s="82"/>
      <c r="CF1262" s="82"/>
      <c r="CG1262" s="82"/>
      <c r="CH1262" s="82"/>
      <c r="CI1262" s="82"/>
      <c r="CJ1262" s="82"/>
      <c r="CK1262" s="82"/>
      <c r="CL1262" s="82"/>
      <c r="CM1262" s="82"/>
      <c r="CN1262" s="82"/>
      <c r="CO1262" s="82"/>
      <c r="CP1262" s="82"/>
      <c r="CQ1262" s="82"/>
      <c r="CR1262" s="82"/>
      <c r="CS1262" s="82"/>
      <c r="CT1262" s="82"/>
      <c r="CU1262" s="82"/>
      <c r="CV1262" s="82"/>
      <c r="CW1262" s="82"/>
      <c r="CX1262" s="82"/>
      <c r="CY1262" s="82"/>
      <c r="CZ1262" s="82"/>
      <c r="DA1262" s="82"/>
      <c r="DB1262" s="82"/>
      <c r="DC1262" s="82"/>
      <c r="DD1262" s="82"/>
      <c r="DE1262" s="82"/>
      <c r="DF1262" s="82"/>
      <c r="DG1262" s="82"/>
    </row>
    <row r="1263" spans="55:111" ht="9" customHeight="1">
      <c r="BC1263" s="82"/>
      <c r="BD1263" s="82"/>
      <c r="BE1263" s="82"/>
      <c r="BF1263" s="82"/>
      <c r="BG1263" s="82"/>
      <c r="BH1263" s="82"/>
      <c r="BI1263" s="82"/>
      <c r="BJ1263" s="82"/>
      <c r="BK1263" s="82"/>
      <c r="BL1263" s="82"/>
      <c r="BM1263" s="82"/>
      <c r="BN1263" s="82"/>
      <c r="BO1263" s="82"/>
      <c r="BP1263" s="82"/>
      <c r="BQ1263" s="82"/>
      <c r="BR1263" s="82"/>
      <c r="BS1263" s="82"/>
      <c r="BT1263" s="82"/>
      <c r="BU1263" s="82"/>
      <c r="BV1263" s="82"/>
      <c r="BW1263" s="82"/>
      <c r="BX1263" s="82"/>
      <c r="BY1263" s="82"/>
      <c r="BZ1263" s="82"/>
      <c r="CA1263" s="82"/>
      <c r="CB1263" s="82"/>
      <c r="CC1263" s="82"/>
      <c r="CD1263" s="82"/>
      <c r="CE1263" s="82"/>
      <c r="CF1263" s="82"/>
      <c r="CG1263" s="82"/>
      <c r="CH1263" s="82"/>
      <c r="CI1263" s="82"/>
      <c r="CJ1263" s="82"/>
      <c r="CK1263" s="82"/>
      <c r="CL1263" s="82"/>
      <c r="CM1263" s="82"/>
      <c r="CN1263" s="82"/>
      <c r="CO1263" s="82"/>
      <c r="CP1263" s="82"/>
      <c r="CQ1263" s="82"/>
      <c r="CR1263" s="82"/>
      <c r="CS1263" s="82"/>
      <c r="CT1263" s="82"/>
      <c r="CU1263" s="82"/>
      <c r="CV1263" s="82"/>
      <c r="CW1263" s="82"/>
      <c r="CX1263" s="82"/>
      <c r="CY1263" s="82"/>
      <c r="CZ1263" s="82"/>
      <c r="DA1263" s="82"/>
      <c r="DB1263" s="82"/>
      <c r="DC1263" s="82"/>
      <c r="DD1263" s="82"/>
      <c r="DE1263" s="82"/>
      <c r="DF1263" s="82"/>
      <c r="DG1263" s="82"/>
    </row>
    <row r="1264" spans="55:111" ht="9" customHeight="1">
      <c r="BC1264" s="82"/>
      <c r="BD1264" s="82"/>
      <c r="BE1264" s="82"/>
      <c r="BF1264" s="82"/>
      <c r="BG1264" s="82"/>
      <c r="BH1264" s="82"/>
      <c r="BI1264" s="82"/>
      <c r="BJ1264" s="82"/>
      <c r="BK1264" s="82"/>
      <c r="BL1264" s="82"/>
      <c r="BM1264" s="82"/>
      <c r="BN1264" s="82"/>
      <c r="BO1264" s="82"/>
      <c r="BP1264" s="82"/>
      <c r="BQ1264" s="82"/>
      <c r="BR1264" s="82"/>
      <c r="BS1264" s="82"/>
      <c r="BT1264" s="82"/>
      <c r="BU1264" s="82"/>
      <c r="BV1264" s="82"/>
      <c r="BW1264" s="82"/>
      <c r="BX1264" s="82"/>
      <c r="BY1264" s="82"/>
      <c r="BZ1264" s="82"/>
      <c r="CA1264" s="82"/>
      <c r="CB1264" s="82"/>
      <c r="CC1264" s="82"/>
      <c r="CD1264" s="82"/>
      <c r="CE1264" s="82"/>
      <c r="CF1264" s="82"/>
      <c r="CG1264" s="82"/>
      <c r="CH1264" s="82"/>
      <c r="CI1264" s="82"/>
      <c r="CJ1264" s="82"/>
      <c r="CK1264" s="82"/>
      <c r="CL1264" s="82"/>
      <c r="CM1264" s="82"/>
      <c r="CN1264" s="82"/>
      <c r="CO1264" s="82"/>
      <c r="CP1264" s="82"/>
      <c r="CQ1264" s="82"/>
      <c r="CR1264" s="82"/>
      <c r="CS1264" s="82"/>
      <c r="CT1264" s="82"/>
      <c r="CU1264" s="82"/>
      <c r="CV1264" s="82"/>
      <c r="CW1264" s="82"/>
      <c r="CX1264" s="82"/>
      <c r="CY1264" s="82"/>
      <c r="CZ1264" s="82"/>
      <c r="DA1264" s="82"/>
      <c r="DB1264" s="82"/>
      <c r="DC1264" s="82"/>
      <c r="DD1264" s="82"/>
      <c r="DE1264" s="82"/>
      <c r="DF1264" s="82"/>
      <c r="DG1264" s="82"/>
    </row>
    <row r="1265" spans="9:111" ht="9" customHeight="1">
      <c r="BC1265" s="82"/>
      <c r="BD1265" s="82"/>
      <c r="BE1265" s="82"/>
      <c r="BF1265" s="82"/>
      <c r="BG1265" s="82"/>
      <c r="BH1265" s="82"/>
      <c r="BI1265" s="82"/>
      <c r="BJ1265" s="82"/>
      <c r="BK1265" s="82"/>
      <c r="BL1265" s="82"/>
      <c r="BM1265" s="82"/>
      <c r="BN1265" s="82"/>
      <c r="BO1265" s="82"/>
      <c r="BP1265" s="82"/>
      <c r="BQ1265" s="82"/>
      <c r="BR1265" s="82"/>
      <c r="BS1265" s="82"/>
      <c r="BT1265" s="82"/>
      <c r="BU1265" s="82"/>
      <c r="BV1265" s="82"/>
      <c r="BW1265" s="82"/>
      <c r="BX1265" s="82"/>
      <c r="BY1265" s="82"/>
      <c r="BZ1265" s="82"/>
      <c r="CA1265" s="82"/>
      <c r="CB1265" s="82"/>
      <c r="CC1265" s="82"/>
      <c r="CD1265" s="82"/>
      <c r="CE1265" s="82"/>
      <c r="CF1265" s="82"/>
      <c r="CG1265" s="82"/>
      <c r="CH1265" s="82"/>
      <c r="CI1265" s="82"/>
      <c r="CJ1265" s="82"/>
      <c r="CK1265" s="82"/>
      <c r="CL1265" s="82"/>
      <c r="CM1265" s="82"/>
      <c r="CN1265" s="82"/>
      <c r="CO1265" s="82"/>
      <c r="CP1265" s="82"/>
      <c r="CQ1265" s="82"/>
      <c r="CR1265" s="82"/>
      <c r="CS1265" s="82"/>
      <c r="CT1265" s="82"/>
      <c r="CU1265" s="82"/>
      <c r="CV1265" s="82"/>
      <c r="CW1265" s="82"/>
      <c r="CX1265" s="82"/>
      <c r="CY1265" s="82"/>
      <c r="CZ1265" s="82"/>
      <c r="DA1265" s="82"/>
      <c r="DB1265" s="82"/>
      <c r="DC1265" s="82"/>
      <c r="DD1265" s="82"/>
      <c r="DE1265" s="82"/>
      <c r="DF1265" s="82"/>
      <c r="DG1265" s="82"/>
    </row>
    <row r="1266" spans="9:111" ht="9" customHeight="1">
      <c r="BC1266" s="82"/>
      <c r="BD1266" s="82"/>
      <c r="BE1266" s="82"/>
      <c r="BF1266" s="82"/>
      <c r="BG1266" s="82"/>
      <c r="BH1266" s="82"/>
      <c r="BI1266" s="82"/>
      <c r="BJ1266" s="82"/>
      <c r="BK1266" s="82"/>
      <c r="BL1266" s="82"/>
      <c r="BM1266" s="82"/>
      <c r="BN1266" s="82"/>
      <c r="BO1266" s="82"/>
      <c r="BP1266" s="82"/>
      <c r="BQ1266" s="82"/>
      <c r="BR1266" s="82"/>
      <c r="BS1266" s="82"/>
      <c r="BT1266" s="82"/>
      <c r="BU1266" s="82"/>
      <c r="BV1266" s="82"/>
      <c r="BW1266" s="82"/>
      <c r="BX1266" s="82"/>
      <c r="BY1266" s="82"/>
      <c r="BZ1266" s="82"/>
      <c r="CA1266" s="82"/>
      <c r="CB1266" s="82"/>
      <c r="CC1266" s="82"/>
      <c r="CD1266" s="82"/>
      <c r="CE1266" s="82"/>
      <c r="CF1266" s="82"/>
      <c r="CG1266" s="82"/>
      <c r="CH1266" s="82"/>
      <c r="CI1266" s="82"/>
      <c r="CJ1266" s="82"/>
      <c r="CK1266" s="82"/>
      <c r="CL1266" s="82"/>
      <c r="CM1266" s="82"/>
      <c r="CN1266" s="82"/>
      <c r="CO1266" s="82"/>
      <c r="CP1266" s="82"/>
      <c r="CQ1266" s="82"/>
      <c r="CR1266" s="82"/>
      <c r="CS1266" s="82"/>
      <c r="CT1266" s="82"/>
      <c r="CU1266" s="82"/>
      <c r="CV1266" s="82"/>
      <c r="CW1266" s="82"/>
      <c r="CX1266" s="82"/>
      <c r="CY1266" s="82"/>
      <c r="CZ1266" s="82"/>
      <c r="DA1266" s="82"/>
      <c r="DB1266" s="82"/>
      <c r="DC1266" s="82"/>
      <c r="DD1266" s="82"/>
      <c r="DE1266" s="82"/>
      <c r="DF1266" s="82"/>
      <c r="DG1266" s="82"/>
    </row>
    <row r="1267" spans="9:111" ht="9" customHeight="1">
      <c r="BC1267" s="82"/>
      <c r="BD1267" s="82"/>
      <c r="BE1267" s="82"/>
      <c r="BF1267" s="82"/>
      <c r="BG1267" s="82"/>
      <c r="BH1267" s="82"/>
      <c r="BI1267" s="82"/>
      <c r="BJ1267" s="82"/>
      <c r="BK1267" s="82"/>
      <c r="BL1267" s="82"/>
      <c r="BM1267" s="82"/>
      <c r="BN1267" s="82"/>
      <c r="BO1267" s="82"/>
      <c r="BP1267" s="82"/>
      <c r="BQ1267" s="82"/>
      <c r="BR1267" s="82"/>
      <c r="BS1267" s="82"/>
      <c r="BT1267" s="82"/>
      <c r="BU1267" s="82"/>
      <c r="BV1267" s="82"/>
      <c r="BW1267" s="82"/>
      <c r="BX1267" s="82"/>
      <c r="BY1267" s="82"/>
      <c r="BZ1267" s="82"/>
      <c r="CA1267" s="82"/>
      <c r="CB1267" s="82"/>
      <c r="CC1267" s="82"/>
      <c r="CD1267" s="82"/>
      <c r="CE1267" s="82"/>
      <c r="CF1267" s="82"/>
      <c r="CG1267" s="82"/>
      <c r="CH1267" s="82"/>
      <c r="CI1267" s="82"/>
      <c r="CJ1267" s="82"/>
      <c r="CK1267" s="82"/>
      <c r="CL1267" s="82"/>
      <c r="CM1267" s="82"/>
      <c r="CN1267" s="82"/>
      <c r="CO1267" s="82"/>
      <c r="CP1267" s="82"/>
      <c r="CQ1267" s="82"/>
      <c r="CR1267" s="82"/>
      <c r="CS1267" s="82"/>
      <c r="CT1267" s="82"/>
      <c r="CU1267" s="82"/>
      <c r="CV1267" s="82"/>
      <c r="CW1267" s="82"/>
      <c r="CX1267" s="82"/>
      <c r="CY1267" s="82"/>
      <c r="CZ1267" s="82"/>
      <c r="DA1267" s="82"/>
      <c r="DB1267" s="82"/>
      <c r="DC1267" s="82"/>
      <c r="DD1267" s="82"/>
      <c r="DE1267" s="82"/>
      <c r="DF1267" s="82"/>
      <c r="DG1267" s="82"/>
    </row>
    <row r="1268" spans="9:111" ht="9" customHeight="1">
      <c r="BC1268" s="82"/>
      <c r="BD1268" s="82"/>
      <c r="BE1268" s="82"/>
      <c r="BF1268" s="82"/>
      <c r="BG1268" s="82"/>
      <c r="BH1268" s="82"/>
      <c r="BI1268" s="82"/>
      <c r="BJ1268" s="82"/>
      <c r="BK1268" s="82"/>
      <c r="BL1268" s="82"/>
      <c r="BM1268" s="82"/>
      <c r="BN1268" s="82"/>
      <c r="BO1268" s="82"/>
      <c r="BP1268" s="82"/>
      <c r="BQ1268" s="82"/>
      <c r="BR1268" s="82"/>
      <c r="BS1268" s="82"/>
      <c r="BT1268" s="82"/>
      <c r="BU1268" s="82"/>
      <c r="BV1268" s="82"/>
      <c r="BW1268" s="82"/>
      <c r="BX1268" s="82"/>
      <c r="BY1268" s="82"/>
      <c r="BZ1268" s="82"/>
      <c r="CA1268" s="82"/>
      <c r="CB1268" s="82"/>
      <c r="CC1268" s="82"/>
      <c r="CD1268" s="82"/>
      <c r="CE1268" s="82"/>
      <c r="CF1268" s="82"/>
      <c r="CG1268" s="82"/>
      <c r="CH1268" s="82"/>
      <c r="CI1268" s="82"/>
      <c r="CJ1268" s="82"/>
      <c r="CK1268" s="82"/>
      <c r="CL1268" s="82"/>
      <c r="CM1268" s="82"/>
      <c r="CN1268" s="82"/>
      <c r="CO1268" s="82"/>
      <c r="CP1268" s="82"/>
      <c r="CQ1268" s="82"/>
      <c r="CR1268" s="82"/>
      <c r="CS1268" s="82"/>
      <c r="CT1268" s="82"/>
      <c r="CU1268" s="82"/>
      <c r="CV1268" s="82"/>
      <c r="CW1268" s="82"/>
      <c r="CX1268" s="82"/>
      <c r="CY1268" s="82"/>
      <c r="CZ1268" s="82"/>
      <c r="DA1268" s="82"/>
      <c r="DB1268" s="82"/>
      <c r="DC1268" s="82"/>
      <c r="DD1268" s="82"/>
      <c r="DE1268" s="82"/>
      <c r="DF1268" s="82"/>
      <c r="DG1268" s="82"/>
    </row>
    <row r="1269" spans="9:111" ht="9" customHeight="1">
      <c r="BC1269" s="82"/>
      <c r="BD1269" s="82"/>
      <c r="BE1269" s="82"/>
      <c r="BF1269" s="82"/>
      <c r="BG1269" s="82"/>
      <c r="BH1269" s="82"/>
      <c r="BI1269" s="82"/>
      <c r="BJ1269" s="82"/>
      <c r="BK1269" s="82"/>
      <c r="BL1269" s="82"/>
      <c r="BM1269" s="82"/>
      <c r="BN1269" s="82"/>
      <c r="BO1269" s="82"/>
      <c r="BP1269" s="82"/>
      <c r="BQ1269" s="82"/>
      <c r="BR1269" s="82"/>
      <c r="BS1269" s="82"/>
      <c r="BT1269" s="82"/>
      <c r="BU1269" s="82"/>
      <c r="BV1269" s="82"/>
      <c r="BW1269" s="82"/>
      <c r="BX1269" s="82"/>
      <c r="BY1269" s="82"/>
      <c r="BZ1269" s="82"/>
      <c r="CA1269" s="82"/>
      <c r="CB1269" s="82"/>
      <c r="CC1269" s="82"/>
      <c r="CD1269" s="82"/>
      <c r="CE1269" s="82"/>
      <c r="CF1269" s="82"/>
      <c r="CG1269" s="82"/>
      <c r="CH1269" s="82"/>
      <c r="CI1269" s="82"/>
      <c r="CJ1269" s="82"/>
      <c r="CK1269" s="82"/>
      <c r="CL1269" s="82"/>
      <c r="CM1269" s="82"/>
      <c r="CN1269" s="82"/>
      <c r="CO1269" s="82"/>
      <c r="CP1269" s="82"/>
      <c r="CQ1269" s="82"/>
      <c r="CR1269" s="82"/>
      <c r="CS1269" s="82"/>
      <c r="CT1269" s="82"/>
      <c r="CU1269" s="82"/>
      <c r="CV1269" s="82"/>
      <c r="CW1269" s="82"/>
      <c r="CX1269" s="82"/>
      <c r="CY1269" s="82"/>
      <c r="CZ1269" s="82"/>
      <c r="DA1269" s="82"/>
      <c r="DB1269" s="82"/>
      <c r="DC1269" s="82"/>
      <c r="DD1269" s="82"/>
      <c r="DE1269" s="82"/>
      <c r="DF1269" s="82"/>
      <c r="DG1269" s="82"/>
    </row>
    <row r="1270" spans="9:111" ht="9" customHeight="1">
      <c r="BC1270" s="82"/>
      <c r="BD1270" s="82"/>
      <c r="BE1270" s="82"/>
      <c r="BF1270" s="82"/>
      <c r="BG1270" s="82"/>
      <c r="BH1270" s="82"/>
      <c r="BI1270" s="82"/>
      <c r="BJ1270" s="82"/>
      <c r="BK1270" s="82"/>
      <c r="BL1270" s="82"/>
      <c r="BM1270" s="82"/>
      <c r="BN1270" s="82"/>
      <c r="BO1270" s="82"/>
      <c r="BP1270" s="82"/>
      <c r="BQ1270" s="82"/>
      <c r="BR1270" s="82"/>
      <c r="BS1270" s="82"/>
      <c r="BT1270" s="82"/>
      <c r="BU1270" s="82"/>
      <c r="BV1270" s="82"/>
      <c r="BW1270" s="82"/>
      <c r="BX1270" s="82"/>
      <c r="BY1270" s="82"/>
      <c r="BZ1270" s="82"/>
      <c r="CA1270" s="82"/>
      <c r="CB1270" s="82"/>
      <c r="CC1270" s="82"/>
      <c r="CD1270" s="82"/>
      <c r="CE1270" s="82"/>
      <c r="CF1270" s="82"/>
      <c r="CG1270" s="82"/>
      <c r="CH1270" s="82"/>
      <c r="CI1270" s="82"/>
      <c r="CJ1270" s="82"/>
      <c r="CK1270" s="82"/>
      <c r="CL1270" s="82"/>
      <c r="CM1270" s="82"/>
      <c r="CN1270" s="82"/>
      <c r="CO1270" s="82"/>
      <c r="CP1270" s="82"/>
      <c r="CQ1270" s="82"/>
      <c r="CR1270" s="82"/>
      <c r="CS1270" s="82"/>
      <c r="CT1270" s="82"/>
      <c r="CU1270" s="82"/>
      <c r="CV1270" s="82"/>
      <c r="CW1270" s="82"/>
      <c r="CX1270" s="82"/>
      <c r="CY1270" s="82"/>
      <c r="CZ1270" s="82"/>
      <c r="DA1270" s="82"/>
      <c r="DB1270" s="82"/>
      <c r="DC1270" s="82"/>
      <c r="DD1270" s="82"/>
      <c r="DE1270" s="82"/>
      <c r="DF1270" s="82"/>
      <c r="DG1270" s="82"/>
    </row>
    <row r="1271" spans="9:111" ht="9" customHeight="1">
      <c r="BC1271" s="82"/>
      <c r="BD1271" s="82"/>
      <c r="BE1271" s="82"/>
      <c r="BF1271" s="82"/>
      <c r="BG1271" s="82"/>
      <c r="BH1271" s="82"/>
      <c r="BI1271" s="82"/>
      <c r="BJ1271" s="82"/>
      <c r="BK1271" s="82"/>
      <c r="BL1271" s="82"/>
      <c r="BM1271" s="82"/>
      <c r="BN1271" s="82"/>
      <c r="BO1271" s="82"/>
      <c r="BP1271" s="82"/>
      <c r="BQ1271" s="82"/>
      <c r="BR1271" s="82"/>
      <c r="BS1271" s="82"/>
      <c r="BT1271" s="82"/>
      <c r="BU1271" s="82"/>
      <c r="BV1271" s="82"/>
      <c r="BW1271" s="82"/>
      <c r="BX1271" s="82"/>
      <c r="BY1271" s="82"/>
      <c r="BZ1271" s="82"/>
      <c r="CA1271" s="82"/>
      <c r="CB1271" s="82"/>
      <c r="CC1271" s="82"/>
      <c r="CD1271" s="82"/>
      <c r="CE1271" s="82"/>
      <c r="CF1271" s="82"/>
      <c r="CG1271" s="82"/>
      <c r="CH1271" s="82"/>
      <c r="CI1271" s="82"/>
      <c r="CJ1271" s="82"/>
      <c r="CK1271" s="82"/>
      <c r="CL1271" s="82"/>
      <c r="CM1271" s="82"/>
      <c r="CN1271" s="82"/>
      <c r="CO1271" s="82"/>
      <c r="CP1271" s="82"/>
      <c r="CQ1271" s="82"/>
      <c r="CR1271" s="82"/>
      <c r="CS1271" s="82"/>
      <c r="CT1271" s="82"/>
      <c r="CU1271" s="82"/>
      <c r="CV1271" s="82"/>
      <c r="CW1271" s="82"/>
      <c r="CX1271" s="82"/>
      <c r="CY1271" s="82"/>
      <c r="CZ1271" s="82"/>
      <c r="DA1271" s="82"/>
      <c r="DB1271" s="82"/>
      <c r="DC1271" s="82"/>
      <c r="DD1271" s="82"/>
      <c r="DE1271" s="82"/>
      <c r="DF1271" s="82"/>
      <c r="DG1271" s="82"/>
    </row>
    <row r="1272" spans="9:111" ht="9" customHeight="1">
      <c r="BC1272" s="82"/>
      <c r="BD1272" s="82"/>
      <c r="BE1272" s="82"/>
      <c r="BF1272" s="82"/>
      <c r="BG1272" s="82"/>
      <c r="BH1272" s="82"/>
      <c r="BI1272" s="82"/>
      <c r="BJ1272" s="82"/>
      <c r="BK1272" s="82"/>
      <c r="BL1272" s="82"/>
      <c r="BM1272" s="82"/>
      <c r="BN1272" s="82"/>
      <c r="BO1272" s="82"/>
      <c r="BP1272" s="82"/>
      <c r="BQ1272" s="82"/>
      <c r="BR1272" s="82"/>
      <c r="BS1272" s="82"/>
      <c r="BT1272" s="82"/>
      <c r="BU1272" s="82"/>
      <c r="BV1272" s="82"/>
      <c r="BW1272" s="82"/>
      <c r="BX1272" s="82"/>
      <c r="BY1272" s="82"/>
      <c r="BZ1272" s="82"/>
      <c r="CA1272" s="82"/>
      <c r="CB1272" s="82"/>
      <c r="CC1272" s="82"/>
      <c r="CD1272" s="82"/>
      <c r="CE1272" s="82"/>
      <c r="CF1272" s="82"/>
      <c r="CG1272" s="82"/>
      <c r="CH1272" s="82"/>
      <c r="CI1272" s="82"/>
      <c r="CJ1272" s="82"/>
      <c r="CK1272" s="82"/>
      <c r="CL1272" s="82"/>
      <c r="CM1272" s="82"/>
      <c r="CN1272" s="82"/>
      <c r="CO1272" s="82"/>
      <c r="CP1272" s="82"/>
      <c r="CQ1272" s="82"/>
      <c r="CR1272" s="82"/>
      <c r="CS1272" s="82"/>
      <c r="CT1272" s="82"/>
      <c r="CU1272" s="82"/>
      <c r="CV1272" s="82"/>
      <c r="CW1272" s="82"/>
      <c r="CX1272" s="82"/>
      <c r="CY1272" s="82"/>
      <c r="CZ1272" s="82"/>
      <c r="DA1272" s="82"/>
      <c r="DB1272" s="82"/>
      <c r="DC1272" s="82"/>
      <c r="DD1272" s="82"/>
      <c r="DE1272" s="82"/>
      <c r="DF1272" s="82"/>
      <c r="DG1272" s="82"/>
    </row>
    <row r="1273" spans="9:111" ht="9" customHeight="1">
      <c r="BC1273" s="82"/>
      <c r="BD1273" s="82"/>
      <c r="BE1273" s="82"/>
      <c r="BF1273" s="82"/>
      <c r="BG1273" s="82"/>
      <c r="BH1273" s="82"/>
      <c r="BI1273" s="82"/>
      <c r="BJ1273" s="82"/>
      <c r="BK1273" s="82"/>
      <c r="BL1273" s="82"/>
      <c r="BM1273" s="82"/>
      <c r="BN1273" s="82"/>
      <c r="BO1273" s="82"/>
      <c r="BP1273" s="82"/>
      <c r="BQ1273" s="82"/>
      <c r="BR1273" s="82"/>
      <c r="BS1273" s="82"/>
      <c r="BT1273" s="82"/>
      <c r="BU1273" s="82"/>
      <c r="BV1273" s="82"/>
      <c r="BW1273" s="82"/>
      <c r="BX1273" s="82"/>
      <c r="BY1273" s="82"/>
      <c r="BZ1273" s="82"/>
      <c r="CA1273" s="82"/>
      <c r="CB1273" s="82"/>
      <c r="CC1273" s="82"/>
      <c r="CD1273" s="82"/>
      <c r="CE1273" s="82"/>
      <c r="CF1273" s="82"/>
      <c r="CG1273" s="82"/>
      <c r="CH1273" s="82"/>
      <c r="CI1273" s="82"/>
      <c r="CJ1273" s="82"/>
      <c r="CK1273" s="82"/>
      <c r="CL1273" s="82"/>
      <c r="CM1273" s="82"/>
      <c r="CN1273" s="82"/>
      <c r="CO1273" s="82"/>
      <c r="CP1273" s="82"/>
      <c r="CQ1273" s="82"/>
      <c r="CR1273" s="82"/>
      <c r="CS1273" s="82"/>
      <c r="CT1273" s="82"/>
      <c r="CU1273" s="82"/>
      <c r="CV1273" s="82"/>
      <c r="CW1273" s="82"/>
      <c r="CX1273" s="82"/>
      <c r="CY1273" s="82"/>
      <c r="CZ1273" s="82"/>
      <c r="DA1273" s="82"/>
      <c r="DB1273" s="82"/>
      <c r="DC1273" s="82"/>
      <c r="DD1273" s="82"/>
      <c r="DE1273" s="82"/>
      <c r="DF1273" s="82"/>
      <c r="DG1273" s="82"/>
    </row>
    <row r="1274" spans="9:111" ht="9" customHeight="1">
      <c r="BC1274" s="82"/>
      <c r="BD1274" s="82"/>
      <c r="BE1274" s="82"/>
      <c r="BF1274" s="82"/>
      <c r="BG1274" s="82"/>
      <c r="BH1274" s="82"/>
      <c r="BI1274" s="82"/>
      <c r="BJ1274" s="82"/>
      <c r="BK1274" s="82"/>
      <c r="BL1274" s="82"/>
      <c r="BM1274" s="82"/>
      <c r="BN1274" s="82"/>
      <c r="BO1274" s="82"/>
      <c r="BP1274" s="82"/>
      <c r="BQ1274" s="82"/>
      <c r="BR1274" s="82"/>
      <c r="BS1274" s="82"/>
      <c r="BT1274" s="82"/>
      <c r="BU1274" s="82"/>
      <c r="BV1274" s="82"/>
      <c r="BW1274" s="82"/>
      <c r="BX1274" s="82"/>
      <c r="BY1274" s="82"/>
      <c r="BZ1274" s="82"/>
      <c r="CA1274" s="82"/>
      <c r="CB1274" s="82"/>
      <c r="CC1274" s="82"/>
      <c r="CD1274" s="82"/>
      <c r="CE1274" s="82"/>
      <c r="CF1274" s="82"/>
      <c r="CG1274" s="82"/>
      <c r="CH1274" s="82"/>
      <c r="CI1274" s="82"/>
      <c r="CJ1274" s="82"/>
      <c r="CK1274" s="82"/>
      <c r="CL1274" s="82"/>
      <c r="CM1274" s="82"/>
      <c r="CN1274" s="82"/>
      <c r="CO1274" s="82"/>
      <c r="CP1274" s="82"/>
      <c r="CQ1274" s="82"/>
      <c r="CR1274" s="82"/>
      <c r="CS1274" s="82"/>
      <c r="CT1274" s="82"/>
      <c r="CU1274" s="82"/>
      <c r="CV1274" s="82"/>
      <c r="CW1274" s="82"/>
      <c r="CX1274" s="82"/>
      <c r="CY1274" s="82"/>
      <c r="CZ1274" s="82"/>
      <c r="DA1274" s="82"/>
      <c r="DB1274" s="82"/>
      <c r="DC1274" s="82"/>
      <c r="DD1274" s="82"/>
      <c r="DE1274" s="82"/>
      <c r="DF1274" s="82"/>
      <c r="DG1274" s="82"/>
    </row>
    <row r="1275" spans="9:111" ht="9" customHeight="1">
      <c r="BC1275" s="82"/>
      <c r="BD1275" s="82"/>
      <c r="BE1275" s="82"/>
      <c r="BF1275" s="82"/>
      <c r="BG1275" s="82"/>
      <c r="BH1275" s="82"/>
      <c r="BI1275" s="82"/>
      <c r="BJ1275" s="82"/>
      <c r="BK1275" s="82"/>
      <c r="BL1275" s="82"/>
      <c r="BM1275" s="82"/>
      <c r="BN1275" s="82"/>
      <c r="BO1275" s="82"/>
      <c r="BP1275" s="82"/>
      <c r="BQ1275" s="82"/>
      <c r="BR1275" s="82"/>
      <c r="BS1275" s="82"/>
      <c r="BT1275" s="82"/>
      <c r="BU1275" s="82"/>
      <c r="BV1275" s="82"/>
      <c r="BW1275" s="82"/>
      <c r="BX1275" s="82"/>
      <c r="BY1275" s="82"/>
      <c r="BZ1275" s="82"/>
      <c r="CA1275" s="82"/>
      <c r="CB1275" s="82"/>
      <c r="CC1275" s="82"/>
      <c r="CD1275" s="82"/>
      <c r="CE1275" s="82"/>
      <c r="CF1275" s="82"/>
      <c r="CG1275" s="82"/>
      <c r="CH1275" s="82"/>
      <c r="CI1275" s="82"/>
      <c r="CJ1275" s="82"/>
      <c r="CK1275" s="82"/>
      <c r="CL1275" s="82"/>
      <c r="CM1275" s="82"/>
      <c r="CN1275" s="82"/>
      <c r="CO1275" s="82"/>
      <c r="CP1275" s="82"/>
      <c r="CQ1275" s="82"/>
      <c r="CR1275" s="82"/>
      <c r="CS1275" s="82"/>
      <c r="CT1275" s="82"/>
      <c r="CU1275" s="82"/>
      <c r="CV1275" s="82"/>
      <c r="CW1275" s="82"/>
      <c r="CX1275" s="82"/>
      <c r="CY1275" s="82"/>
      <c r="CZ1275" s="82"/>
      <c r="DA1275" s="82"/>
      <c r="DB1275" s="82"/>
      <c r="DC1275" s="82"/>
      <c r="DD1275" s="82"/>
      <c r="DE1275" s="82"/>
      <c r="DF1275" s="82"/>
      <c r="DG1275" s="82"/>
    </row>
    <row r="1276" spans="9:111" ht="9" customHeight="1">
      <c r="BC1276" s="82"/>
      <c r="BD1276" s="82"/>
      <c r="BE1276" s="82"/>
      <c r="BF1276" s="82"/>
      <c r="BG1276" s="82"/>
      <c r="BH1276" s="82"/>
      <c r="BI1276" s="82"/>
      <c r="BJ1276" s="82"/>
      <c r="BK1276" s="82"/>
      <c r="BL1276" s="82"/>
      <c r="BM1276" s="82"/>
      <c r="BN1276" s="82"/>
      <c r="BO1276" s="82"/>
      <c r="BP1276" s="82"/>
      <c r="BQ1276" s="82"/>
      <c r="BR1276" s="82"/>
      <c r="BS1276" s="82"/>
      <c r="BT1276" s="82"/>
      <c r="BU1276" s="82"/>
      <c r="BV1276" s="82"/>
      <c r="BW1276" s="82"/>
      <c r="BX1276" s="82"/>
      <c r="BY1276" s="82"/>
      <c r="BZ1276" s="82"/>
      <c r="CA1276" s="82"/>
      <c r="CB1276" s="82"/>
      <c r="CC1276" s="82"/>
      <c r="CD1276" s="82"/>
      <c r="CE1276" s="82"/>
      <c r="CF1276" s="82"/>
      <c r="CG1276" s="82"/>
      <c r="CH1276" s="82"/>
      <c r="CI1276" s="82"/>
      <c r="CJ1276" s="82"/>
      <c r="CK1276" s="82"/>
      <c r="CL1276" s="82"/>
      <c r="CM1276" s="82"/>
      <c r="CN1276" s="82"/>
      <c r="CO1276" s="82"/>
      <c r="CP1276" s="82"/>
      <c r="CQ1276" s="82"/>
      <c r="CR1276" s="82"/>
      <c r="CS1276" s="82"/>
      <c r="CT1276" s="82"/>
      <c r="CU1276" s="82"/>
      <c r="CV1276" s="82"/>
      <c r="CW1276" s="82"/>
      <c r="CX1276" s="82"/>
      <c r="CY1276" s="82"/>
      <c r="CZ1276" s="82"/>
      <c r="DA1276" s="82"/>
      <c r="DB1276" s="82"/>
      <c r="DC1276" s="82"/>
      <c r="DD1276" s="82"/>
      <c r="DE1276" s="82"/>
      <c r="DF1276" s="82"/>
      <c r="DG1276" s="82"/>
    </row>
    <row r="1277" spans="9:111" ht="9" customHeight="1">
      <c r="BC1277" s="82"/>
      <c r="BD1277" s="82"/>
      <c r="BE1277" s="82"/>
      <c r="BF1277" s="82"/>
      <c r="BG1277" s="82"/>
      <c r="BH1277" s="82"/>
      <c r="BI1277" s="82"/>
      <c r="BJ1277" s="82"/>
      <c r="BK1277" s="82"/>
      <c r="BL1277" s="82"/>
      <c r="BM1277" s="82"/>
      <c r="BN1277" s="82"/>
      <c r="BO1277" s="82"/>
      <c r="BP1277" s="82"/>
      <c r="BQ1277" s="82"/>
      <c r="BR1277" s="82"/>
      <c r="BS1277" s="82"/>
      <c r="BT1277" s="82"/>
      <c r="BU1277" s="82"/>
      <c r="BV1277" s="82"/>
      <c r="BW1277" s="82"/>
      <c r="BX1277" s="82"/>
      <c r="BY1277" s="82"/>
      <c r="BZ1277" s="82"/>
      <c r="CA1277" s="82"/>
      <c r="CB1277" s="82"/>
      <c r="CC1277" s="82"/>
      <c r="CD1277" s="82"/>
      <c r="CE1277" s="82"/>
      <c r="CF1277" s="82"/>
      <c r="CG1277" s="82"/>
      <c r="CH1277" s="82"/>
      <c r="CI1277" s="82"/>
      <c r="CJ1277" s="82"/>
      <c r="CK1277" s="82"/>
      <c r="CL1277" s="82"/>
      <c r="CM1277" s="82"/>
      <c r="CN1277" s="82"/>
      <c r="CO1277" s="82"/>
      <c r="CP1277" s="82"/>
      <c r="CQ1277" s="82"/>
      <c r="CR1277" s="82"/>
      <c r="CS1277" s="82"/>
      <c r="CT1277" s="82"/>
      <c r="CU1277" s="82"/>
      <c r="CV1277" s="82"/>
      <c r="CW1277" s="82"/>
      <c r="CX1277" s="82"/>
      <c r="CY1277" s="82"/>
      <c r="CZ1277" s="82"/>
      <c r="DA1277" s="82"/>
      <c r="DB1277" s="82"/>
      <c r="DC1277" s="82"/>
      <c r="DD1277" s="82"/>
      <c r="DE1277" s="82"/>
      <c r="DF1277" s="82"/>
      <c r="DG1277" s="82"/>
    </row>
    <row r="1278" spans="9:111" ht="9" hidden="1" customHeight="1"/>
    <row r="1279" spans="9:111" ht="9" hidden="1" customHeight="1"/>
    <row r="1280" spans="9:111" ht="9" hidden="1" customHeight="1">
      <c r="I1280" s="44" t="e">
        <f>#REF!</f>
        <v>#REF!</v>
      </c>
      <c r="J1280" s="44"/>
      <c r="K1280" s="44"/>
      <c r="L1280" s="44"/>
    </row>
    <row r="1281" ht="9" hidden="1" customHeight="1"/>
    <row r="1282" ht="9" hidden="1" customHeight="1"/>
    <row r="1283" ht="9" hidden="1" customHeight="1"/>
    <row r="1284" ht="9" hidden="1" customHeight="1"/>
    <row r="1285" ht="9" hidden="1" customHeight="1"/>
    <row r="1286" ht="9" hidden="1" customHeight="1"/>
    <row r="1287" ht="9" hidden="1" customHeight="1"/>
    <row r="1288" ht="9" hidden="1" customHeight="1"/>
    <row r="1289" ht="9" hidden="1" customHeight="1"/>
    <row r="1290" ht="9" hidden="1" customHeight="1"/>
    <row r="1291" ht="9" hidden="1" customHeight="1"/>
    <row r="1292" ht="9" hidden="1" customHeight="1"/>
    <row r="1293" ht="9" hidden="1" customHeight="1"/>
    <row r="1294" ht="9" hidden="1" customHeight="1"/>
    <row r="1295" ht="9" hidden="1" customHeight="1"/>
    <row r="1296" ht="9" hidden="1" customHeight="1"/>
    <row r="1297" ht="9" hidden="1" customHeight="1"/>
    <row r="1298" ht="9" hidden="1" customHeight="1"/>
    <row r="1299" ht="9" hidden="1" customHeight="1"/>
    <row r="1300" ht="9" hidden="1" customHeight="1"/>
    <row r="1301" ht="9" hidden="1" customHeight="1"/>
    <row r="1302" ht="9" hidden="1" customHeight="1"/>
    <row r="1303" ht="9" hidden="1" customHeight="1"/>
    <row r="1304" ht="9" hidden="1" customHeight="1"/>
    <row r="1305" ht="9" hidden="1" customHeight="1"/>
    <row r="1306" ht="9" hidden="1" customHeight="1"/>
    <row r="1307" ht="9" hidden="1" customHeight="1"/>
    <row r="1308" ht="9" hidden="1" customHeight="1"/>
    <row r="1309" ht="9" hidden="1" customHeight="1"/>
    <row r="1310" ht="9" hidden="1" customHeight="1"/>
    <row r="1311" ht="9" hidden="1" customHeight="1"/>
    <row r="1312" ht="9" hidden="1" customHeight="1"/>
    <row r="1313" ht="9" hidden="1" customHeight="1"/>
    <row r="1314" ht="9" hidden="1" customHeight="1"/>
    <row r="1315" ht="9" hidden="1" customHeight="1"/>
    <row r="1316" ht="9" hidden="1" customHeight="1"/>
    <row r="1317" ht="9" hidden="1" customHeight="1"/>
    <row r="1318" ht="9" hidden="1" customHeight="1"/>
    <row r="1319" ht="9" hidden="1" customHeight="1"/>
    <row r="1320" ht="9" hidden="1" customHeight="1"/>
    <row r="1321" ht="9" hidden="1" customHeight="1"/>
    <row r="1322" ht="9" hidden="1" customHeight="1"/>
    <row r="1323" ht="9" hidden="1" customHeight="1"/>
    <row r="1324" ht="9" hidden="1" customHeight="1"/>
    <row r="1325" ht="9" hidden="1" customHeight="1"/>
    <row r="1326" ht="9" hidden="1" customHeight="1"/>
    <row r="1327" ht="9" hidden="1" customHeight="1"/>
    <row r="1328" ht="9" hidden="1" customHeight="1"/>
    <row r="1329" ht="9" hidden="1" customHeight="1"/>
    <row r="1330" ht="9" hidden="1" customHeight="1"/>
    <row r="1331" ht="9" hidden="1" customHeight="1"/>
    <row r="1332" ht="9" hidden="1" customHeight="1"/>
    <row r="1333" ht="9" hidden="1" customHeight="1"/>
    <row r="1334" ht="9" hidden="1" customHeight="1"/>
    <row r="1335" ht="9" hidden="1" customHeight="1"/>
    <row r="1336" ht="9" hidden="1" customHeight="1"/>
    <row r="1337" ht="9" hidden="1" customHeight="1"/>
    <row r="1338" ht="9" hidden="1" customHeight="1"/>
    <row r="1339" ht="9" hidden="1" customHeight="1"/>
    <row r="1340" ht="9" hidden="1" customHeight="1"/>
    <row r="1341" ht="9" hidden="1" customHeight="1"/>
    <row r="1342" ht="9" hidden="1" customHeight="1"/>
    <row r="1343" ht="9" hidden="1" customHeight="1"/>
    <row r="1344" ht="9" hidden="1" customHeight="1"/>
    <row r="1345" ht="9" hidden="1" customHeight="1"/>
    <row r="1346" ht="9" hidden="1" customHeight="1"/>
    <row r="1347" ht="9" hidden="1" customHeight="1"/>
    <row r="1348" ht="9" hidden="1" customHeight="1"/>
    <row r="1349" ht="9" hidden="1" customHeight="1"/>
    <row r="1350" ht="9" hidden="1" customHeight="1"/>
    <row r="1351" ht="9" hidden="1" customHeight="1"/>
    <row r="1352" ht="9" hidden="1" customHeight="1"/>
    <row r="1353" ht="9" hidden="1" customHeight="1"/>
    <row r="1354" ht="9" hidden="1" customHeight="1"/>
    <row r="1355" ht="9" hidden="1" customHeight="1"/>
    <row r="1356" ht="9" hidden="1" customHeight="1"/>
    <row r="1357" ht="9" hidden="1" customHeight="1"/>
    <row r="1358" ht="9" hidden="1" customHeight="1"/>
    <row r="1359" ht="9" hidden="1" customHeight="1"/>
    <row r="1360" ht="9" hidden="1" customHeight="1"/>
    <row r="1361" ht="9" hidden="1" customHeight="1"/>
    <row r="1362" ht="9" hidden="1" customHeight="1"/>
    <row r="1363" ht="9" hidden="1" customHeight="1"/>
    <row r="1364" ht="9" hidden="1" customHeight="1"/>
    <row r="1365" ht="9" hidden="1" customHeight="1"/>
    <row r="1366" ht="9" hidden="1" customHeight="1"/>
    <row r="1367" ht="9" hidden="1" customHeight="1"/>
    <row r="1368" ht="9" hidden="1" customHeight="1"/>
    <row r="1369" ht="9" hidden="1" customHeight="1"/>
    <row r="1370" ht="9" hidden="1" customHeight="1"/>
    <row r="1371" ht="9" hidden="1" customHeight="1"/>
    <row r="1372" ht="9" hidden="1" customHeight="1"/>
    <row r="1373" ht="9" hidden="1" customHeight="1"/>
    <row r="1374" ht="9" hidden="1" customHeight="1"/>
    <row r="1375" ht="9" hidden="1" customHeight="1"/>
    <row r="1376" ht="9" hidden="1" customHeight="1"/>
    <row r="1377" ht="9" hidden="1" customHeight="1"/>
    <row r="1378" ht="9" hidden="1" customHeight="1"/>
    <row r="1379" ht="9" hidden="1" customHeight="1"/>
    <row r="1380" ht="9" hidden="1" customHeight="1"/>
    <row r="1381" ht="9" hidden="1" customHeight="1"/>
    <row r="1382" ht="9" hidden="1" customHeight="1"/>
    <row r="1383" ht="9" hidden="1" customHeight="1"/>
    <row r="1384" ht="9" hidden="1" customHeight="1"/>
    <row r="1385" ht="9" hidden="1" customHeight="1"/>
    <row r="1386" ht="9" hidden="1" customHeight="1"/>
    <row r="1387" ht="9" hidden="1" customHeight="1"/>
    <row r="1388" ht="9" hidden="1" customHeight="1"/>
    <row r="1389" ht="9" hidden="1" customHeight="1"/>
    <row r="1390" ht="9" hidden="1" customHeight="1"/>
    <row r="1391" ht="9" hidden="1" customHeight="1"/>
    <row r="1392" ht="9" hidden="1" customHeight="1"/>
    <row r="1393" ht="9" hidden="1" customHeight="1"/>
    <row r="1394" ht="9" hidden="1" customHeight="1"/>
    <row r="1395" ht="9" hidden="1" customHeight="1"/>
    <row r="1396" ht="9" hidden="1" customHeight="1"/>
    <row r="1397" ht="9" hidden="1" customHeight="1"/>
    <row r="1398" ht="9" hidden="1" customHeight="1"/>
    <row r="1399" ht="9" hidden="1" customHeight="1"/>
    <row r="1400" ht="9" hidden="1" customHeight="1"/>
    <row r="1401" ht="9" hidden="1" customHeight="1"/>
    <row r="1402" ht="9" hidden="1" customHeight="1"/>
    <row r="1403" ht="9" hidden="1" customHeight="1"/>
    <row r="1404" ht="9" hidden="1" customHeight="1"/>
    <row r="1405" ht="9" hidden="1" customHeight="1"/>
    <row r="1406" ht="9" hidden="1" customHeight="1"/>
    <row r="1407" ht="9" hidden="1" customHeight="1"/>
    <row r="1408" ht="9" hidden="1" customHeight="1"/>
    <row r="1409" ht="9" hidden="1" customHeight="1"/>
    <row r="1410" ht="9" hidden="1" customHeight="1"/>
    <row r="1411" ht="9" hidden="1" customHeight="1"/>
    <row r="1412" ht="9" hidden="1" customHeight="1"/>
    <row r="1413" ht="9" hidden="1" customHeight="1"/>
    <row r="1414" ht="9" hidden="1" customHeight="1"/>
    <row r="1415" ht="9" hidden="1" customHeight="1"/>
    <row r="1416" ht="9" hidden="1" customHeight="1"/>
    <row r="1417" ht="9" hidden="1" customHeight="1"/>
    <row r="1418" ht="9" hidden="1" customHeight="1"/>
    <row r="1419" ht="9" hidden="1" customHeight="1"/>
    <row r="1420" ht="9" hidden="1" customHeight="1"/>
    <row r="1421" ht="9" hidden="1" customHeight="1"/>
    <row r="1422" ht="9" hidden="1" customHeight="1"/>
    <row r="1423" ht="9" hidden="1" customHeight="1"/>
    <row r="1424" ht="9" hidden="1" customHeight="1"/>
    <row r="1425" ht="9" hidden="1" customHeight="1"/>
    <row r="1426" ht="9" hidden="1" customHeight="1"/>
    <row r="1427" ht="9" hidden="1" customHeight="1"/>
    <row r="1428" ht="9" hidden="1" customHeight="1"/>
    <row r="1429" ht="9" hidden="1" customHeight="1"/>
    <row r="1430" ht="9" hidden="1" customHeight="1"/>
    <row r="1431" ht="9" hidden="1" customHeight="1"/>
    <row r="1432" ht="9" hidden="1" customHeight="1"/>
    <row r="1433" ht="9" hidden="1" customHeight="1"/>
    <row r="1434" ht="9" hidden="1" customHeight="1"/>
    <row r="1435" ht="9" hidden="1" customHeight="1"/>
    <row r="1436" ht="9" hidden="1" customHeight="1"/>
    <row r="1437" ht="9" hidden="1" customHeight="1"/>
    <row r="1438" ht="9" hidden="1" customHeight="1"/>
    <row r="1439" ht="9" hidden="1" customHeight="1"/>
    <row r="1440" ht="9" hidden="1" customHeight="1"/>
    <row r="1441" ht="9" hidden="1" customHeight="1"/>
    <row r="1442" ht="9" hidden="1" customHeight="1"/>
    <row r="1443" ht="9" hidden="1" customHeight="1"/>
    <row r="1444" ht="9" hidden="1" customHeight="1"/>
    <row r="1445" ht="9" hidden="1" customHeight="1"/>
    <row r="1446" ht="9" hidden="1" customHeight="1"/>
    <row r="1447" ht="9" hidden="1" customHeight="1"/>
    <row r="1448" ht="9" hidden="1" customHeight="1"/>
    <row r="1449" ht="9" hidden="1" customHeight="1"/>
    <row r="1450" ht="9" hidden="1" customHeight="1"/>
    <row r="1451" ht="9" hidden="1" customHeight="1"/>
    <row r="1452" ht="9" hidden="1" customHeight="1"/>
    <row r="1453" ht="9" hidden="1" customHeight="1"/>
    <row r="1454" ht="9" hidden="1" customHeight="1"/>
    <row r="1455" ht="9" hidden="1" customHeight="1"/>
    <row r="1456" ht="9" hidden="1" customHeight="1"/>
    <row r="1457" ht="9" hidden="1" customHeight="1"/>
    <row r="1458" ht="9" hidden="1" customHeight="1"/>
    <row r="1459" ht="9" hidden="1" customHeight="1"/>
    <row r="1460" ht="9" hidden="1" customHeight="1"/>
    <row r="1461" ht="9" hidden="1" customHeight="1"/>
    <row r="1462" ht="9" hidden="1" customHeight="1"/>
    <row r="1463" ht="9" hidden="1" customHeight="1"/>
    <row r="1464" ht="9" hidden="1" customHeight="1"/>
    <row r="1465" ht="9" hidden="1" customHeight="1"/>
    <row r="1466" ht="9" hidden="1" customHeight="1"/>
    <row r="1467" ht="9" hidden="1" customHeight="1"/>
    <row r="1468" ht="9" hidden="1" customHeight="1"/>
    <row r="1469" ht="9" hidden="1" customHeight="1"/>
    <row r="1470" ht="9" hidden="1" customHeight="1"/>
    <row r="1471" ht="9" hidden="1" customHeight="1"/>
    <row r="1472" ht="9" hidden="1" customHeight="1"/>
    <row r="1473" ht="9" hidden="1" customHeight="1"/>
    <row r="1474" ht="9" hidden="1" customHeight="1"/>
    <row r="1475" ht="9" hidden="1" customHeight="1"/>
    <row r="1476" ht="9" hidden="1" customHeight="1"/>
    <row r="1477" ht="9" hidden="1" customHeight="1"/>
    <row r="1478" ht="9" hidden="1" customHeight="1"/>
    <row r="1479" ht="9" hidden="1" customHeight="1"/>
    <row r="1480" ht="9" hidden="1" customHeight="1"/>
    <row r="1481" ht="9" hidden="1" customHeight="1"/>
    <row r="1482" ht="9" hidden="1" customHeight="1"/>
    <row r="1483" ht="9" hidden="1" customHeight="1"/>
    <row r="1484" ht="9" hidden="1" customHeight="1"/>
    <row r="1485" ht="9" hidden="1" customHeight="1"/>
    <row r="1486" ht="9" hidden="1" customHeight="1"/>
    <row r="1487" ht="9" hidden="1" customHeight="1"/>
    <row r="1488" ht="9" hidden="1" customHeight="1"/>
    <row r="1489" ht="9" hidden="1" customHeight="1"/>
    <row r="1490" ht="9" hidden="1" customHeight="1"/>
    <row r="1491" ht="9" hidden="1" customHeight="1"/>
    <row r="1492" ht="9" hidden="1" customHeight="1"/>
    <row r="1493" ht="9" hidden="1" customHeight="1"/>
    <row r="1494" ht="9" hidden="1" customHeight="1"/>
    <row r="1495" ht="9" hidden="1" customHeight="1"/>
    <row r="1496" ht="9" hidden="1" customHeight="1"/>
    <row r="1497" ht="9" hidden="1" customHeight="1"/>
    <row r="1498" ht="9" hidden="1" customHeight="1"/>
    <row r="1499" ht="9" hidden="1" customHeight="1"/>
    <row r="1500" ht="9" hidden="1" customHeight="1"/>
    <row r="1501" ht="9" hidden="1" customHeight="1"/>
    <row r="1502" ht="9" hidden="1" customHeight="1"/>
    <row r="1503" ht="9" hidden="1" customHeight="1"/>
    <row r="1504" ht="9" hidden="1" customHeight="1"/>
    <row r="1505" ht="9" hidden="1" customHeight="1"/>
    <row r="1506" ht="9" hidden="1" customHeight="1"/>
    <row r="1507" ht="9" hidden="1" customHeight="1"/>
    <row r="1508" ht="9" hidden="1" customHeight="1"/>
    <row r="1509" ht="9" hidden="1" customHeight="1"/>
    <row r="1510" ht="9" hidden="1" customHeight="1"/>
    <row r="1511" ht="9" hidden="1" customHeight="1"/>
    <row r="1512" ht="9" hidden="1" customHeight="1"/>
    <row r="1513" ht="9" hidden="1" customHeight="1"/>
    <row r="1514" ht="9" hidden="1" customHeight="1"/>
    <row r="1515" ht="9" hidden="1" customHeight="1"/>
    <row r="1516" ht="9" hidden="1" customHeight="1"/>
    <row r="1517" ht="9" hidden="1" customHeight="1"/>
    <row r="1518" ht="9" hidden="1" customHeight="1"/>
    <row r="1519" ht="9" hidden="1" customHeight="1"/>
    <row r="1520" ht="9" hidden="1" customHeight="1"/>
    <row r="1521" ht="9" hidden="1" customHeight="1"/>
    <row r="1522" ht="9" hidden="1" customHeight="1"/>
    <row r="1523" ht="9" hidden="1" customHeight="1"/>
    <row r="1524" ht="9" hidden="1" customHeight="1"/>
    <row r="1525" ht="9" hidden="1" customHeight="1"/>
    <row r="1526" ht="9" hidden="1" customHeight="1"/>
    <row r="1527" ht="9" hidden="1" customHeight="1"/>
    <row r="1528" ht="9" hidden="1" customHeight="1"/>
    <row r="1529" ht="9" hidden="1" customHeight="1"/>
    <row r="1530" ht="9" hidden="1" customHeight="1"/>
    <row r="1531" ht="9" hidden="1" customHeight="1"/>
    <row r="1532" ht="9" hidden="1" customHeight="1"/>
    <row r="1533" ht="9" hidden="1" customHeight="1"/>
    <row r="1534" ht="9" hidden="1" customHeight="1"/>
    <row r="1535" ht="9" hidden="1" customHeight="1"/>
    <row r="1536" ht="9" hidden="1" customHeight="1"/>
    <row r="1537" ht="9" hidden="1" customHeight="1"/>
    <row r="1538" ht="9" hidden="1" customHeight="1"/>
    <row r="1539" ht="9" hidden="1" customHeight="1"/>
    <row r="1540" ht="9" hidden="1" customHeight="1"/>
    <row r="1541" ht="9" hidden="1" customHeight="1"/>
    <row r="1542" ht="9" hidden="1" customHeight="1"/>
    <row r="1543" ht="9" hidden="1" customHeight="1"/>
    <row r="1544" ht="9" hidden="1" customHeight="1"/>
    <row r="1545" ht="9" hidden="1" customHeight="1"/>
    <row r="1546" ht="9" hidden="1" customHeight="1"/>
    <row r="1547" ht="9" hidden="1" customHeight="1"/>
    <row r="1548" ht="9" hidden="1" customHeight="1"/>
    <row r="1549" ht="9" hidden="1" customHeight="1"/>
    <row r="1550" ht="9" hidden="1" customHeight="1"/>
    <row r="1551" ht="9" hidden="1" customHeight="1"/>
    <row r="1552" ht="9" hidden="1" customHeight="1"/>
    <row r="1553" ht="9" hidden="1" customHeight="1"/>
    <row r="1554" ht="9" hidden="1" customHeight="1"/>
    <row r="1555" ht="9" hidden="1" customHeight="1"/>
    <row r="1556" ht="9" hidden="1" customHeight="1"/>
    <row r="1557" ht="9" hidden="1" customHeight="1"/>
    <row r="1558" ht="9" hidden="1" customHeight="1"/>
    <row r="1559" ht="9" hidden="1" customHeight="1"/>
    <row r="1560" ht="9" hidden="1" customHeight="1"/>
    <row r="1561" ht="9" hidden="1" customHeight="1"/>
    <row r="1562" ht="9" hidden="1" customHeight="1"/>
    <row r="1563" ht="9" hidden="1" customHeight="1"/>
    <row r="1564" ht="9" hidden="1" customHeight="1"/>
    <row r="1565" ht="9" hidden="1" customHeight="1"/>
    <row r="1566" ht="9" hidden="1" customHeight="1"/>
    <row r="1567" ht="9" hidden="1" customHeight="1"/>
    <row r="1568" ht="9" hidden="1" customHeight="1"/>
    <row r="1569" ht="9" hidden="1" customHeight="1"/>
    <row r="1570" ht="9" hidden="1" customHeight="1"/>
    <row r="1571" ht="9" hidden="1" customHeight="1"/>
    <row r="1572" ht="9" hidden="1" customHeight="1"/>
    <row r="1573" ht="9" hidden="1" customHeight="1"/>
    <row r="1574" ht="9" hidden="1" customHeight="1"/>
    <row r="1575" ht="9" hidden="1" customHeight="1"/>
    <row r="1576" ht="9" hidden="1" customHeight="1"/>
    <row r="1577" ht="9" hidden="1" customHeight="1"/>
    <row r="1578" ht="9" hidden="1" customHeight="1"/>
    <row r="1579" ht="9" hidden="1" customHeight="1"/>
    <row r="1580" ht="9" hidden="1" customHeight="1"/>
    <row r="1581" ht="9" hidden="1" customHeight="1"/>
    <row r="1582" ht="9" hidden="1" customHeight="1"/>
    <row r="1583" ht="9" hidden="1" customHeight="1"/>
    <row r="1584" ht="9" hidden="1" customHeight="1"/>
    <row r="1585" ht="9" hidden="1" customHeight="1"/>
    <row r="1586" ht="9" hidden="1" customHeight="1"/>
    <row r="1587" ht="9" hidden="1" customHeight="1"/>
    <row r="1588" ht="9" hidden="1" customHeight="1"/>
    <row r="1589" ht="9" hidden="1" customHeight="1"/>
    <row r="1590" ht="9" hidden="1" customHeight="1"/>
    <row r="1591" ht="9" hidden="1" customHeight="1"/>
    <row r="1592" ht="9" hidden="1" customHeight="1"/>
    <row r="1593" ht="9" hidden="1" customHeight="1"/>
    <row r="1594" ht="9" hidden="1" customHeight="1"/>
    <row r="1595" ht="9" hidden="1" customHeight="1"/>
    <row r="1596" ht="9" hidden="1" customHeight="1"/>
    <row r="1597" ht="9" hidden="1" customHeight="1"/>
    <row r="1598" ht="9" hidden="1" customHeight="1"/>
    <row r="1599" ht="9" hidden="1" customHeight="1"/>
    <row r="1600" ht="9" hidden="1" customHeight="1"/>
    <row r="1601" ht="9" hidden="1" customHeight="1"/>
    <row r="1602" ht="9" hidden="1" customHeight="1"/>
    <row r="1603" ht="9" hidden="1" customHeight="1"/>
    <row r="1604" ht="9" hidden="1" customHeight="1"/>
    <row r="1605" ht="9" hidden="1" customHeight="1"/>
    <row r="1606" ht="9" hidden="1" customHeight="1"/>
    <row r="1607" ht="9" hidden="1" customHeight="1"/>
    <row r="1608" ht="9" hidden="1" customHeight="1"/>
    <row r="1609" ht="9" hidden="1" customHeight="1"/>
    <row r="1610" ht="9" hidden="1" customHeight="1"/>
    <row r="1611" ht="9" hidden="1" customHeight="1"/>
    <row r="1612" ht="9" hidden="1" customHeight="1"/>
    <row r="1613" ht="9" hidden="1" customHeight="1"/>
    <row r="1614" ht="9" hidden="1" customHeight="1"/>
    <row r="1615" ht="9" hidden="1" customHeight="1"/>
    <row r="1616" ht="9" hidden="1" customHeight="1"/>
    <row r="1617" ht="9" hidden="1" customHeight="1"/>
    <row r="1618" ht="9" hidden="1" customHeight="1"/>
    <row r="1619" ht="9" hidden="1" customHeight="1"/>
    <row r="1620" ht="9" hidden="1" customHeight="1"/>
    <row r="1621" ht="9" hidden="1" customHeight="1"/>
    <row r="1622" ht="9" hidden="1" customHeight="1"/>
    <row r="1623" ht="9" hidden="1" customHeight="1"/>
    <row r="1624" ht="9" hidden="1" customHeight="1"/>
    <row r="1625" ht="9" hidden="1" customHeight="1"/>
    <row r="1626" ht="9" hidden="1" customHeight="1"/>
    <row r="1627" ht="9" hidden="1" customHeight="1"/>
    <row r="1628" ht="9" hidden="1" customHeight="1"/>
    <row r="1629" ht="9" hidden="1" customHeight="1"/>
    <row r="1630" ht="9" hidden="1" customHeight="1"/>
    <row r="1631" ht="9" hidden="1" customHeight="1"/>
    <row r="1632" ht="9" hidden="1" customHeight="1"/>
    <row r="1633" ht="9" hidden="1" customHeight="1"/>
    <row r="1634" ht="9" hidden="1" customHeight="1"/>
    <row r="1635" ht="9" hidden="1" customHeight="1"/>
    <row r="1636" ht="9" hidden="1" customHeight="1"/>
    <row r="1637" ht="9" hidden="1" customHeight="1"/>
    <row r="1638" ht="9" hidden="1" customHeight="1"/>
    <row r="1639" ht="9" hidden="1" customHeight="1"/>
    <row r="1640" ht="9" hidden="1" customHeight="1"/>
    <row r="1641" ht="9" hidden="1" customHeight="1"/>
    <row r="1642" ht="9" hidden="1" customHeight="1"/>
    <row r="1643" ht="9" hidden="1" customHeight="1"/>
    <row r="1644" ht="9" hidden="1" customHeight="1"/>
    <row r="1645" ht="9" hidden="1" customHeight="1"/>
    <row r="1646" ht="9" hidden="1" customHeight="1"/>
    <row r="1647" ht="9" hidden="1" customHeight="1"/>
    <row r="1648" ht="9" hidden="1" customHeight="1"/>
    <row r="1649" ht="9" hidden="1" customHeight="1"/>
    <row r="1650" ht="9" hidden="1" customHeight="1"/>
    <row r="1651" ht="9" hidden="1" customHeight="1"/>
    <row r="1652" ht="9" hidden="1" customHeight="1"/>
    <row r="1653" ht="9" hidden="1" customHeight="1"/>
    <row r="1654" ht="9" hidden="1" customHeight="1"/>
    <row r="1655" ht="9" hidden="1" customHeight="1"/>
    <row r="1656" ht="9" hidden="1" customHeight="1"/>
    <row r="1657" ht="9" hidden="1" customHeight="1"/>
    <row r="1658" ht="9" hidden="1" customHeight="1"/>
    <row r="1659" ht="9" hidden="1" customHeight="1"/>
    <row r="1660" ht="9" hidden="1" customHeight="1"/>
    <row r="1661" ht="9" hidden="1" customHeight="1"/>
    <row r="1662" ht="9" hidden="1" customHeight="1"/>
    <row r="1663" ht="9" hidden="1" customHeight="1"/>
    <row r="1664" ht="9" hidden="1" customHeight="1"/>
    <row r="1665" ht="9" hidden="1" customHeight="1"/>
    <row r="1666" ht="9" hidden="1" customHeight="1"/>
    <row r="1667" ht="9" hidden="1" customHeight="1"/>
    <row r="1668" ht="9" hidden="1" customHeight="1"/>
    <row r="1669" ht="9" hidden="1" customHeight="1"/>
    <row r="1670" ht="9" hidden="1" customHeight="1"/>
    <row r="1671" ht="9" hidden="1" customHeight="1"/>
    <row r="1672" ht="9" hidden="1" customHeight="1"/>
    <row r="1673" ht="9" hidden="1" customHeight="1"/>
    <row r="1674" ht="9" hidden="1" customHeight="1"/>
    <row r="1675" ht="9" hidden="1" customHeight="1"/>
    <row r="1676" ht="9" hidden="1" customHeight="1"/>
    <row r="1677" ht="9" hidden="1" customHeight="1"/>
    <row r="1678" ht="9" hidden="1" customHeight="1"/>
    <row r="1679" ht="9" hidden="1" customHeight="1"/>
    <row r="1680" ht="9" hidden="1" customHeight="1"/>
    <row r="1681" ht="9" hidden="1" customHeight="1"/>
    <row r="1682" ht="9" hidden="1" customHeight="1"/>
    <row r="1683" ht="9" hidden="1" customHeight="1"/>
    <row r="1684" ht="9" hidden="1" customHeight="1"/>
    <row r="1685" ht="9" hidden="1" customHeight="1"/>
    <row r="1686" ht="9" hidden="1" customHeight="1"/>
    <row r="1687" ht="9" hidden="1" customHeight="1"/>
    <row r="1688" ht="9" hidden="1" customHeight="1"/>
    <row r="1689" ht="9" hidden="1" customHeight="1"/>
    <row r="1690" ht="9" hidden="1" customHeight="1"/>
    <row r="1691" ht="9" hidden="1" customHeight="1"/>
    <row r="1692" ht="9" hidden="1" customHeight="1"/>
    <row r="1693" ht="9" hidden="1" customHeight="1"/>
    <row r="1694" ht="9" hidden="1" customHeight="1"/>
    <row r="1695" ht="9" hidden="1" customHeight="1"/>
    <row r="1696" ht="9" hidden="1" customHeight="1"/>
    <row r="1697" ht="9" hidden="1" customHeight="1"/>
    <row r="1698" ht="9" hidden="1" customHeight="1"/>
    <row r="1699" ht="9" hidden="1" customHeight="1"/>
    <row r="1700" ht="9" hidden="1" customHeight="1"/>
    <row r="1701" ht="9" hidden="1" customHeight="1"/>
    <row r="1702" ht="9" hidden="1" customHeight="1"/>
    <row r="1703" ht="9" hidden="1" customHeight="1"/>
    <row r="1704" ht="9" hidden="1" customHeight="1"/>
    <row r="1705" ht="9" hidden="1" customHeight="1"/>
    <row r="1706" ht="9" hidden="1" customHeight="1"/>
    <row r="1707" ht="9" hidden="1" customHeight="1"/>
    <row r="1708" ht="9" hidden="1" customHeight="1"/>
    <row r="1709" ht="9" hidden="1" customHeight="1"/>
    <row r="1710" ht="9" hidden="1" customHeight="1"/>
    <row r="1711" ht="9" hidden="1" customHeight="1"/>
    <row r="1712" ht="9" hidden="1" customHeight="1"/>
    <row r="1713" ht="9" hidden="1" customHeight="1"/>
    <row r="1714" ht="9" hidden="1" customHeight="1"/>
    <row r="1715" ht="9" hidden="1" customHeight="1"/>
    <row r="1716" ht="9" hidden="1" customHeight="1"/>
    <row r="1717" ht="9" hidden="1" customHeight="1"/>
    <row r="1718" ht="9" hidden="1" customHeight="1"/>
    <row r="1719" ht="9" hidden="1" customHeight="1"/>
    <row r="1720" ht="9" hidden="1" customHeight="1"/>
    <row r="1721" ht="9" hidden="1" customHeight="1"/>
    <row r="1722" ht="9" hidden="1" customHeight="1"/>
    <row r="1723" ht="9" hidden="1" customHeight="1"/>
    <row r="1724" ht="9" hidden="1" customHeight="1"/>
    <row r="1725" ht="9" hidden="1" customHeight="1"/>
    <row r="1726" ht="9" hidden="1" customHeight="1"/>
    <row r="1727" ht="9" hidden="1" customHeight="1"/>
    <row r="1728" ht="9" hidden="1" customHeight="1"/>
    <row r="1729" ht="9" hidden="1" customHeight="1"/>
    <row r="1730" ht="9" hidden="1" customHeight="1"/>
    <row r="1731" ht="9" hidden="1" customHeight="1"/>
    <row r="1732" ht="9" hidden="1" customHeight="1"/>
    <row r="1733" ht="9" hidden="1" customHeight="1"/>
    <row r="1734" ht="9" hidden="1" customHeight="1"/>
    <row r="1735" ht="9" hidden="1" customHeight="1"/>
    <row r="1736" ht="9" hidden="1" customHeight="1"/>
    <row r="1737" ht="9" hidden="1" customHeight="1"/>
    <row r="1738" ht="9" hidden="1" customHeight="1"/>
    <row r="1739" ht="9" hidden="1" customHeight="1"/>
    <row r="1740" ht="9" hidden="1" customHeight="1"/>
    <row r="1741" ht="9" hidden="1" customHeight="1"/>
    <row r="1742" ht="9" hidden="1" customHeight="1"/>
    <row r="1743" ht="9" hidden="1" customHeight="1"/>
    <row r="1744" ht="9" hidden="1" customHeight="1"/>
    <row r="1745" ht="9" hidden="1" customHeight="1"/>
    <row r="1746" ht="9" hidden="1" customHeight="1"/>
    <row r="1747" ht="9" hidden="1" customHeight="1"/>
    <row r="1748" ht="9" hidden="1" customHeight="1"/>
    <row r="1749" ht="9" hidden="1" customHeight="1"/>
    <row r="1750" ht="9" hidden="1" customHeight="1"/>
    <row r="1751" ht="9" hidden="1" customHeight="1"/>
    <row r="1752" ht="9" hidden="1" customHeight="1"/>
    <row r="1753" ht="9" hidden="1" customHeight="1"/>
    <row r="1754" ht="9" hidden="1" customHeight="1"/>
    <row r="1755" ht="9" hidden="1" customHeight="1"/>
    <row r="1756" ht="9" hidden="1" customHeight="1"/>
    <row r="1757" ht="9" hidden="1" customHeight="1"/>
    <row r="1758" ht="9" hidden="1" customHeight="1"/>
    <row r="1759" ht="9" hidden="1" customHeight="1"/>
    <row r="1760" ht="9" hidden="1" customHeight="1"/>
    <row r="1761" ht="9" hidden="1" customHeight="1"/>
    <row r="1762" ht="9" hidden="1" customHeight="1"/>
    <row r="1763" ht="9" hidden="1" customHeight="1"/>
    <row r="1764" ht="9" hidden="1" customHeight="1"/>
    <row r="1765" ht="9" hidden="1" customHeight="1"/>
    <row r="1766" ht="9" hidden="1" customHeight="1"/>
    <row r="1767" ht="9" hidden="1" customHeight="1"/>
    <row r="1768" ht="9" hidden="1" customHeight="1"/>
    <row r="1769" ht="9" hidden="1" customHeight="1"/>
    <row r="1770" ht="9" hidden="1" customHeight="1"/>
    <row r="1771" ht="9" hidden="1" customHeight="1"/>
    <row r="1772" ht="9" hidden="1" customHeight="1"/>
    <row r="1773" ht="9" hidden="1" customHeight="1"/>
    <row r="1774" ht="9" hidden="1" customHeight="1"/>
    <row r="1775" ht="9" hidden="1" customHeight="1"/>
    <row r="1776" ht="9" hidden="1" customHeight="1"/>
    <row r="1777" ht="9" hidden="1" customHeight="1"/>
    <row r="1778" ht="9" hidden="1" customHeight="1"/>
    <row r="1779" ht="9" hidden="1" customHeight="1"/>
    <row r="1780" ht="9" hidden="1" customHeight="1"/>
    <row r="1781" ht="9" hidden="1" customHeight="1"/>
    <row r="1782" ht="9" hidden="1" customHeight="1"/>
    <row r="1783" ht="9" hidden="1" customHeight="1"/>
    <row r="1784" ht="9" hidden="1" customHeight="1"/>
    <row r="1785" ht="9" hidden="1" customHeight="1"/>
    <row r="1786" ht="9" hidden="1" customHeight="1"/>
    <row r="1787" ht="9" hidden="1" customHeight="1"/>
    <row r="1788" ht="9" hidden="1" customHeight="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sheetData>
  <sheetProtection algorithmName="SHA-512" hashValue="JzF8YBBCOlk1ZhrRjajVsLYvhzX19iOC3GlWwUwW4XtAqhWQtto1BvVfAZp6EET3JhXFeitPLrwm3DH8VjxItw==" saltValue="1UKmEopUHGjB0Mfx1uzXlw==" spinCount="100000" sheet="1" objects="1" scenarios="1"/>
  <mergeCells count="1017">
    <mergeCell ref="BH535:DF541"/>
    <mergeCell ref="BH544:DF550"/>
    <mergeCell ref="BH578:DF584"/>
    <mergeCell ref="U623:X623"/>
    <mergeCell ref="B623:S623"/>
    <mergeCell ref="Z623:BA623"/>
    <mergeCell ref="Z624:BA624"/>
    <mergeCell ref="BH638:DF645"/>
    <mergeCell ref="BH646:DF656"/>
    <mergeCell ref="BH661:CC662"/>
    <mergeCell ref="BH664:DE666"/>
    <mergeCell ref="BF664:BG665"/>
    <mergeCell ref="BF668:BG669"/>
    <mergeCell ref="BH668:DE673"/>
    <mergeCell ref="BF675:BG676"/>
    <mergeCell ref="BH675:DE682"/>
    <mergeCell ref="BF684:BG685"/>
    <mergeCell ref="BH684:DE704"/>
    <mergeCell ref="B640:N641"/>
    <mergeCell ref="P640:AQ641"/>
    <mergeCell ref="AS640:BA641"/>
    <mergeCell ref="B612:BA621"/>
    <mergeCell ref="B609:BA610"/>
    <mergeCell ref="B605:BA607"/>
    <mergeCell ref="P658:W659"/>
    <mergeCell ref="Y658:AD659"/>
    <mergeCell ref="AF658:AM659"/>
    <mergeCell ref="B661:N662"/>
    <mergeCell ref="P661:AQ662"/>
    <mergeCell ref="AS661:BA662"/>
    <mergeCell ref="I632:AQ633"/>
    <mergeCell ref="AS632:BA633"/>
    <mergeCell ref="BH706:DF710"/>
    <mergeCell ref="BH6:DF10"/>
    <mergeCell ref="BH205:DF211"/>
    <mergeCell ref="BH626:DF629"/>
    <mergeCell ref="BH632:DF635"/>
    <mergeCell ref="BF706:BG707"/>
    <mergeCell ref="BH212:DF223"/>
    <mergeCell ref="BH269:DF274"/>
    <mergeCell ref="BH194:DF199"/>
    <mergeCell ref="BH526:DF531"/>
    <mergeCell ref="BH553:DF558"/>
    <mergeCell ref="BH562:DF567"/>
    <mergeCell ref="BH360:DF366"/>
    <mergeCell ref="BH388:DF397"/>
    <mergeCell ref="BH609:DF619"/>
    <mergeCell ref="BH189:DF192"/>
    <mergeCell ref="B88:M89"/>
    <mergeCell ref="O88:BA89"/>
    <mergeCell ref="B183:BA184"/>
    <mergeCell ref="B186:BA187"/>
    <mergeCell ref="B553:M556"/>
    <mergeCell ref="O553:BA560"/>
    <mergeCell ref="B269:M270"/>
    <mergeCell ref="F327:BA333"/>
    <mergeCell ref="F335:BA343"/>
    <mergeCell ref="F345:BA350"/>
    <mergeCell ref="B388:M389"/>
    <mergeCell ref="O388:BA434"/>
    <mergeCell ref="O442:BA518"/>
    <mergeCell ref="O544:BA551"/>
    <mergeCell ref="B544:M547"/>
    <mergeCell ref="B437:BA439"/>
    <mergeCell ref="B179:BA181"/>
    <mergeCell ref="B272:D273"/>
    <mergeCell ref="B282:D283"/>
    <mergeCell ref="B297:D298"/>
    <mergeCell ref="F322:BA325"/>
    <mergeCell ref="O360:BA386"/>
    <mergeCell ref="B353:BA355"/>
    <mergeCell ref="O201:Q202"/>
    <mergeCell ref="F272:BA280"/>
    <mergeCell ref="F282:BA295"/>
    <mergeCell ref="F297:BA304"/>
    <mergeCell ref="F306:BA314"/>
    <mergeCell ref="BH442:DF452"/>
    <mergeCell ref="F316:BA320"/>
    <mergeCell ref="O269:BA270"/>
    <mergeCell ref="B345:D346"/>
    <mergeCell ref="B306:D307"/>
    <mergeCell ref="C205:M206"/>
    <mergeCell ref="S205:X206"/>
    <mergeCell ref="O205:R206"/>
    <mergeCell ref="Y201:AA202"/>
    <mergeCell ref="AI201:AK202"/>
    <mergeCell ref="AS201:AU202"/>
    <mergeCell ref="AB201:AG203"/>
    <mergeCell ref="C208:M209"/>
    <mergeCell ref="O208:V209"/>
    <mergeCell ref="X208:AH209"/>
    <mergeCell ref="AJ208:AQ209"/>
    <mergeCell ref="B316:D317"/>
    <mergeCell ref="B322:D323"/>
    <mergeCell ref="B327:D328"/>
    <mergeCell ref="B335:D336"/>
    <mergeCell ref="B49:BA50"/>
    <mergeCell ref="O58:AA59"/>
    <mergeCell ref="C58:M59"/>
    <mergeCell ref="AC58:AM59"/>
    <mergeCell ref="AO58:BA59"/>
    <mergeCell ref="C61:M62"/>
    <mergeCell ref="O61:AA62"/>
    <mergeCell ref="AC61:AM62"/>
    <mergeCell ref="AO61:BA62"/>
    <mergeCell ref="B64:M65"/>
    <mergeCell ref="O64:BA65"/>
    <mergeCell ref="B67:M68"/>
    <mergeCell ref="O67:BA68"/>
    <mergeCell ref="B194:M195"/>
    <mergeCell ref="B189:M190"/>
    <mergeCell ref="B265:BA267"/>
    <mergeCell ref="C201:M202"/>
    <mergeCell ref="B70:BA71"/>
    <mergeCell ref="B73:M74"/>
    <mergeCell ref="O73:BA74"/>
    <mergeCell ref="C79:M80"/>
    <mergeCell ref="O79:AA80"/>
    <mergeCell ref="AC79:AM80"/>
    <mergeCell ref="AO79:BA80"/>
    <mergeCell ref="C82:M83"/>
    <mergeCell ref="O82:AA83"/>
    <mergeCell ref="AC82:AM83"/>
    <mergeCell ref="AO82:BA83"/>
    <mergeCell ref="B85:M86"/>
    <mergeCell ref="O85:BA86"/>
    <mergeCell ref="B55:M56"/>
    <mergeCell ref="O55:BA56"/>
    <mergeCell ref="B6:BA7"/>
    <mergeCell ref="B17:M18"/>
    <mergeCell ref="O17:AA18"/>
    <mergeCell ref="AC17:AN18"/>
    <mergeCell ref="AP17:BA18"/>
    <mergeCell ref="B12:M13"/>
    <mergeCell ref="O28:AB29"/>
    <mergeCell ref="B31:M32"/>
    <mergeCell ref="O31:BA32"/>
    <mergeCell ref="B34:M35"/>
    <mergeCell ref="O34:BA35"/>
    <mergeCell ref="B37:U38"/>
    <mergeCell ref="AH28:AJ29"/>
    <mergeCell ref="AD28:AF29"/>
    <mergeCell ref="AL28:AN29"/>
    <mergeCell ref="W37:Y38"/>
    <mergeCell ref="B46:U47"/>
    <mergeCell ref="W43:AJ44"/>
    <mergeCell ref="W46:AJ47"/>
    <mergeCell ref="AL43:AY44"/>
    <mergeCell ref="AL46:AY47"/>
    <mergeCell ref="B76:M77"/>
    <mergeCell ref="O76:BA77"/>
    <mergeCell ref="C212:M213"/>
    <mergeCell ref="O212:AA213"/>
    <mergeCell ref="B102:M104"/>
    <mergeCell ref="O102:BA176"/>
    <mergeCell ref="B2:BA4"/>
    <mergeCell ref="B9:BA10"/>
    <mergeCell ref="O194:BA199"/>
    <mergeCell ref="B28:M29"/>
    <mergeCell ref="AP28:BA29"/>
    <mergeCell ref="B52:M53"/>
    <mergeCell ref="O52:BA53"/>
    <mergeCell ref="B23:M24"/>
    <mergeCell ref="AC20:AN21"/>
    <mergeCell ref="AP20:BA21"/>
    <mergeCell ref="O189:BA192"/>
    <mergeCell ref="O23:BA26"/>
    <mergeCell ref="B40:U41"/>
    <mergeCell ref="W40:Y41"/>
    <mergeCell ref="B43:U44"/>
    <mergeCell ref="B20:M21"/>
    <mergeCell ref="O20:AA21"/>
    <mergeCell ref="AA37:AC38"/>
    <mergeCell ref="AG37:AI38"/>
    <mergeCell ref="AK37:AM38"/>
    <mergeCell ref="O12:BA15"/>
    <mergeCell ref="B95:BA97"/>
    <mergeCell ref="B99:BA100"/>
    <mergeCell ref="R201:W203"/>
    <mergeCell ref="AL201:AQ203"/>
    <mergeCell ref="AV201:BA203"/>
    <mergeCell ref="B442:M444"/>
    <mergeCell ref="B526:M529"/>
    <mergeCell ref="O526:BA533"/>
    <mergeCell ref="B535:M538"/>
    <mergeCell ref="O535:BA542"/>
    <mergeCell ref="B562:M572"/>
    <mergeCell ref="O562:BA576"/>
    <mergeCell ref="B357:BA358"/>
    <mergeCell ref="B360:M361"/>
    <mergeCell ref="B693:N694"/>
    <mergeCell ref="P693:AQ694"/>
    <mergeCell ref="AS693:BA694"/>
    <mergeCell ref="B695:N696"/>
    <mergeCell ref="P695:AQ696"/>
    <mergeCell ref="B642:N643"/>
    <mergeCell ref="P642:AQ643"/>
    <mergeCell ref="AS642:BA643"/>
    <mergeCell ref="I635:N636"/>
    <mergeCell ref="P635:W636"/>
    <mergeCell ref="Y635:AD636"/>
    <mergeCell ref="AF635:AM636"/>
    <mergeCell ref="B638:N639"/>
    <mergeCell ref="AS638:BA639"/>
    <mergeCell ref="P638:AQ639"/>
    <mergeCell ref="U629:X630"/>
    <mergeCell ref="B626:G627"/>
    <mergeCell ref="B632:G633"/>
    <mergeCell ref="B629:S630"/>
    <mergeCell ref="B665:N666"/>
    <mergeCell ref="P665:AQ666"/>
    <mergeCell ref="AS665:BA666"/>
    <mergeCell ref="I658:N659"/>
    <mergeCell ref="B655:G656"/>
    <mergeCell ref="B650:N651"/>
    <mergeCell ref="P650:AQ651"/>
    <mergeCell ref="AS650:BA651"/>
    <mergeCell ref="B644:N645"/>
    <mergeCell ref="P644:AQ645"/>
    <mergeCell ref="AS644:BA645"/>
    <mergeCell ref="B646:N647"/>
    <mergeCell ref="P646:AQ647"/>
    <mergeCell ref="B679:G680"/>
    <mergeCell ref="I679:AQ680"/>
    <mergeCell ref="AS679:BA680"/>
    <mergeCell ref="I682:N683"/>
    <mergeCell ref="P682:W683"/>
    <mergeCell ref="Y682:AD683"/>
    <mergeCell ref="AF682:AM683"/>
    <mergeCell ref="I655:AQ656"/>
    <mergeCell ref="AS655:BA656"/>
    <mergeCell ref="AS646:BA647"/>
    <mergeCell ref="B675:N676"/>
    <mergeCell ref="P675:AQ676"/>
    <mergeCell ref="AS675:BA676"/>
    <mergeCell ref="B671:N672"/>
    <mergeCell ref="P671:AQ672"/>
    <mergeCell ref="AS671:BA672"/>
    <mergeCell ref="B673:N674"/>
    <mergeCell ref="P673:AQ674"/>
    <mergeCell ref="AS673:BA674"/>
    <mergeCell ref="B667:N668"/>
    <mergeCell ref="P667:AQ668"/>
    <mergeCell ref="AS667:BA668"/>
    <mergeCell ref="B669:N670"/>
    <mergeCell ref="P669:AQ670"/>
    <mergeCell ref="AS669:BA670"/>
    <mergeCell ref="B663:N664"/>
    <mergeCell ref="P663:AQ664"/>
    <mergeCell ref="AS663:BA664"/>
    <mergeCell ref="AW635:BA636"/>
    <mergeCell ref="B521:BA523"/>
    <mergeCell ref="O578:BA585"/>
    <mergeCell ref="B578:M582"/>
    <mergeCell ref="B652:N653"/>
    <mergeCell ref="P652:AQ653"/>
    <mergeCell ref="AS652:BA653"/>
    <mergeCell ref="AS695:BA696"/>
    <mergeCell ref="B689:N690"/>
    <mergeCell ref="P689:AQ690"/>
    <mergeCell ref="AS689:BA690"/>
    <mergeCell ref="B691:N692"/>
    <mergeCell ref="P691:AQ692"/>
    <mergeCell ref="AS691:BA692"/>
    <mergeCell ref="B685:N686"/>
    <mergeCell ref="P685:AQ686"/>
    <mergeCell ref="AS685:BA686"/>
    <mergeCell ref="B687:N688"/>
    <mergeCell ref="P687:AQ688"/>
    <mergeCell ref="AS687:BA688"/>
    <mergeCell ref="I626:AQ627"/>
    <mergeCell ref="AS626:BA627"/>
    <mergeCell ref="AW658:BA659"/>
    <mergeCell ref="AW682:BA683"/>
    <mergeCell ref="B648:N649"/>
    <mergeCell ref="P648:AQ649"/>
    <mergeCell ref="AS648:BA649"/>
    <mergeCell ref="B702:G703"/>
    <mergeCell ref="I702:AQ703"/>
    <mergeCell ref="AS702:BA703"/>
    <mergeCell ref="I705:N706"/>
    <mergeCell ref="P705:W706"/>
    <mergeCell ref="Y705:AD706"/>
    <mergeCell ref="AF705:AM706"/>
    <mergeCell ref="B697:N698"/>
    <mergeCell ref="P697:AQ698"/>
    <mergeCell ref="AS697:BA698"/>
    <mergeCell ref="B699:N700"/>
    <mergeCell ref="P699:AQ700"/>
    <mergeCell ref="AS699:BA700"/>
    <mergeCell ref="B708:N709"/>
    <mergeCell ref="P708:AQ709"/>
    <mergeCell ref="AS708:BA709"/>
    <mergeCell ref="B712:N713"/>
    <mergeCell ref="P712:AQ713"/>
    <mergeCell ref="AS712:BA713"/>
    <mergeCell ref="B710:N711"/>
    <mergeCell ref="P710:AQ711"/>
    <mergeCell ref="AS710:BA711"/>
    <mergeCell ref="AW705:BA706"/>
    <mergeCell ref="B722:N723"/>
    <mergeCell ref="P722:AQ723"/>
    <mergeCell ref="AS722:BA723"/>
    <mergeCell ref="B725:G726"/>
    <mergeCell ref="I725:AQ726"/>
    <mergeCell ref="AS725:BA726"/>
    <mergeCell ref="B718:N719"/>
    <mergeCell ref="P718:AQ719"/>
    <mergeCell ref="AS718:BA719"/>
    <mergeCell ref="B720:N721"/>
    <mergeCell ref="P720:AQ721"/>
    <mergeCell ref="AS720:BA721"/>
    <mergeCell ref="AW728:BA729"/>
    <mergeCell ref="B714:N715"/>
    <mergeCell ref="P714:AQ715"/>
    <mergeCell ref="AS714:BA715"/>
    <mergeCell ref="B716:N717"/>
    <mergeCell ref="P716:AQ717"/>
    <mergeCell ref="AS716:BA717"/>
    <mergeCell ref="B737:N738"/>
    <mergeCell ref="P737:AQ738"/>
    <mergeCell ref="AS737:BA738"/>
    <mergeCell ref="B739:N740"/>
    <mergeCell ref="P739:AQ740"/>
    <mergeCell ref="AS739:BA740"/>
    <mergeCell ref="B733:N734"/>
    <mergeCell ref="P733:AQ734"/>
    <mergeCell ref="AS733:BA734"/>
    <mergeCell ref="B735:N736"/>
    <mergeCell ref="P735:AQ736"/>
    <mergeCell ref="AS735:BA736"/>
    <mergeCell ref="I728:N729"/>
    <mergeCell ref="P728:W729"/>
    <mergeCell ref="Y728:AD729"/>
    <mergeCell ref="AF728:AM729"/>
    <mergeCell ref="B731:N732"/>
    <mergeCell ref="P731:AQ732"/>
    <mergeCell ref="AS731:BA732"/>
    <mergeCell ref="AW758:BA759"/>
    <mergeCell ref="I749:AQ750"/>
    <mergeCell ref="AS749:BA750"/>
    <mergeCell ref="P792:AQ793"/>
    <mergeCell ref="AS792:BA793"/>
    <mergeCell ref="B745:N746"/>
    <mergeCell ref="P745:AQ746"/>
    <mergeCell ref="AS745:BA746"/>
    <mergeCell ref="B790:N791"/>
    <mergeCell ref="P790:AQ791"/>
    <mergeCell ref="AS790:BA791"/>
    <mergeCell ref="B784:N785"/>
    <mergeCell ref="P784:AQ785"/>
    <mergeCell ref="AS784:BA785"/>
    <mergeCell ref="B786:N787"/>
    <mergeCell ref="B741:N742"/>
    <mergeCell ref="P741:AQ742"/>
    <mergeCell ref="AS741:BA742"/>
    <mergeCell ref="B743:N744"/>
    <mergeCell ref="P743:AQ744"/>
    <mergeCell ref="AS743:BA744"/>
    <mergeCell ref="B749:G750"/>
    <mergeCell ref="B765:N766"/>
    <mergeCell ref="P765:AQ766"/>
    <mergeCell ref="AS765:BA766"/>
    <mergeCell ref="B767:N768"/>
    <mergeCell ref="P767:AQ768"/>
    <mergeCell ref="AS767:BA768"/>
    <mergeCell ref="AS778:BA779"/>
    <mergeCell ref="B771:N772"/>
    <mergeCell ref="P771:AQ772"/>
    <mergeCell ref="AS771:BA772"/>
    <mergeCell ref="AS794:BA795"/>
    <mergeCell ref="B796:N797"/>
    <mergeCell ref="P796:AQ797"/>
    <mergeCell ref="AS796:BA797"/>
    <mergeCell ref="AS775:BA776"/>
    <mergeCell ref="B778:G779"/>
    <mergeCell ref="I778:AQ779"/>
    <mergeCell ref="I781:N782"/>
    <mergeCell ref="P781:W782"/>
    <mergeCell ref="B752:S753"/>
    <mergeCell ref="U752:X753"/>
    <mergeCell ref="B755:G756"/>
    <mergeCell ref="I755:AQ756"/>
    <mergeCell ref="I758:N759"/>
    <mergeCell ref="Y781:AD782"/>
    <mergeCell ref="B769:N770"/>
    <mergeCell ref="P769:AQ770"/>
    <mergeCell ref="AS769:BA770"/>
    <mergeCell ref="AS763:BA764"/>
    <mergeCell ref="P758:W759"/>
    <mergeCell ref="Y758:AD759"/>
    <mergeCell ref="AF758:AM759"/>
    <mergeCell ref="AS755:BA756"/>
    <mergeCell ref="B794:N795"/>
    <mergeCell ref="P794:AQ795"/>
    <mergeCell ref="B775:N776"/>
    <mergeCell ref="P775:AQ776"/>
    <mergeCell ref="B761:N762"/>
    <mergeCell ref="P761:AQ762"/>
    <mergeCell ref="AS761:BA762"/>
    <mergeCell ref="B763:N764"/>
    <mergeCell ref="P763:AQ764"/>
    <mergeCell ref="AF781:AM782"/>
    <mergeCell ref="AW781:BA782"/>
    <mergeCell ref="AS801:BA802"/>
    <mergeCell ref="B798:N799"/>
    <mergeCell ref="P798:AQ799"/>
    <mergeCell ref="B792:N793"/>
    <mergeCell ref="B788:N789"/>
    <mergeCell ref="P788:AQ789"/>
    <mergeCell ref="AS788:BA789"/>
    <mergeCell ref="P804:W805"/>
    <mergeCell ref="Y804:AD805"/>
    <mergeCell ref="AF804:AM805"/>
    <mergeCell ref="AW804:BA805"/>
    <mergeCell ref="P786:AQ787"/>
    <mergeCell ref="AS786:BA787"/>
    <mergeCell ref="P819:AQ820"/>
    <mergeCell ref="AS819:BA820"/>
    <mergeCell ref="AS798:BA799"/>
    <mergeCell ref="B801:G802"/>
    <mergeCell ref="I801:AQ802"/>
    <mergeCell ref="I804:N805"/>
    <mergeCell ref="AS811:BA812"/>
    <mergeCell ref="B813:N814"/>
    <mergeCell ref="P813:AQ814"/>
    <mergeCell ref="AS813:BA814"/>
    <mergeCell ref="B807:N808"/>
    <mergeCell ref="P807:AQ808"/>
    <mergeCell ref="AS807:BA808"/>
    <mergeCell ref="B809:N810"/>
    <mergeCell ref="P809:AQ810"/>
    <mergeCell ref="AS809:BA810"/>
    <mergeCell ref="B815:N816"/>
    <mergeCell ref="AS848:BA849"/>
    <mergeCell ref="B841:N842"/>
    <mergeCell ref="P841:AQ842"/>
    <mergeCell ref="AS841:BA842"/>
    <mergeCell ref="B843:N844"/>
    <mergeCell ref="P843:AQ844"/>
    <mergeCell ref="AS843:BA844"/>
    <mergeCell ref="B837:N838"/>
    <mergeCell ref="P837:AQ838"/>
    <mergeCell ref="AS837:BA838"/>
    <mergeCell ref="B839:N840"/>
    <mergeCell ref="P839:AQ840"/>
    <mergeCell ref="AS839:BA840"/>
    <mergeCell ref="B811:N812"/>
    <mergeCell ref="P811:AQ812"/>
    <mergeCell ref="B833:N834"/>
    <mergeCell ref="P833:AQ834"/>
    <mergeCell ref="AS833:BA834"/>
    <mergeCell ref="B835:N836"/>
    <mergeCell ref="P835:AQ836"/>
    <mergeCell ref="AS835:BA836"/>
    <mergeCell ref="I828:N829"/>
    <mergeCell ref="P828:W829"/>
    <mergeCell ref="Y828:AD829"/>
    <mergeCell ref="AF828:AM829"/>
    <mergeCell ref="B831:N832"/>
    <mergeCell ref="P831:AQ832"/>
    <mergeCell ref="AS831:BA832"/>
    <mergeCell ref="AW828:BA829"/>
    <mergeCell ref="P815:AQ816"/>
    <mergeCell ref="AS815:BA816"/>
    <mergeCell ref="B856:N857"/>
    <mergeCell ref="P856:AQ857"/>
    <mergeCell ref="AS856:BA857"/>
    <mergeCell ref="B858:N859"/>
    <mergeCell ref="P858:AQ859"/>
    <mergeCell ref="AS858:BA859"/>
    <mergeCell ref="I851:N852"/>
    <mergeCell ref="P851:W852"/>
    <mergeCell ref="Y851:AD852"/>
    <mergeCell ref="AF851:AM852"/>
    <mergeCell ref="B854:N855"/>
    <mergeCell ref="P854:AQ855"/>
    <mergeCell ref="AS854:BA855"/>
    <mergeCell ref="AW851:BA852"/>
    <mergeCell ref="B773:N774"/>
    <mergeCell ref="P773:AQ774"/>
    <mergeCell ref="AS773:BA774"/>
    <mergeCell ref="B821:N822"/>
    <mergeCell ref="P821:AQ822"/>
    <mergeCell ref="AS821:BA822"/>
    <mergeCell ref="B825:G826"/>
    <mergeCell ref="I825:AQ826"/>
    <mergeCell ref="AS825:BA826"/>
    <mergeCell ref="B817:N818"/>
    <mergeCell ref="P817:AQ818"/>
    <mergeCell ref="AS817:BA818"/>
    <mergeCell ref="B819:N820"/>
    <mergeCell ref="B845:N846"/>
    <mergeCell ref="P845:AQ846"/>
    <mergeCell ref="AS845:BA846"/>
    <mergeCell ref="B848:G849"/>
    <mergeCell ref="I848:AQ849"/>
    <mergeCell ref="B868:N869"/>
    <mergeCell ref="P868:AQ869"/>
    <mergeCell ref="AS868:BA869"/>
    <mergeCell ref="B871:G872"/>
    <mergeCell ref="B874:S875"/>
    <mergeCell ref="U874:X875"/>
    <mergeCell ref="I871:AQ872"/>
    <mergeCell ref="AS871:BA872"/>
    <mergeCell ref="B864:N865"/>
    <mergeCell ref="P864:AQ865"/>
    <mergeCell ref="AS864:BA865"/>
    <mergeCell ref="B866:N867"/>
    <mergeCell ref="P866:AQ867"/>
    <mergeCell ref="AS866:BA867"/>
    <mergeCell ref="B860:N861"/>
    <mergeCell ref="P860:AQ861"/>
    <mergeCell ref="AS860:BA861"/>
    <mergeCell ref="B862:N863"/>
    <mergeCell ref="P862:AQ863"/>
    <mergeCell ref="AS862:BA863"/>
    <mergeCell ref="B887:N888"/>
    <mergeCell ref="P887:AQ888"/>
    <mergeCell ref="AS887:BA888"/>
    <mergeCell ref="B889:N890"/>
    <mergeCell ref="P889:AQ890"/>
    <mergeCell ref="AS889:BA890"/>
    <mergeCell ref="B883:N884"/>
    <mergeCell ref="P883:AQ884"/>
    <mergeCell ref="AS883:BA884"/>
    <mergeCell ref="B885:N886"/>
    <mergeCell ref="P885:AQ886"/>
    <mergeCell ref="AS885:BA886"/>
    <mergeCell ref="B877:G878"/>
    <mergeCell ref="I877:AQ878"/>
    <mergeCell ref="AS877:BA878"/>
    <mergeCell ref="I880:N881"/>
    <mergeCell ref="P880:W881"/>
    <mergeCell ref="Y880:AD881"/>
    <mergeCell ref="AF880:AM881"/>
    <mergeCell ref="AW880:BA881"/>
    <mergeCell ref="B901:G902"/>
    <mergeCell ref="I901:AQ902"/>
    <mergeCell ref="AS901:BA902"/>
    <mergeCell ref="I904:N905"/>
    <mergeCell ref="P904:W905"/>
    <mergeCell ref="Y904:AD905"/>
    <mergeCell ref="AF904:AM905"/>
    <mergeCell ref="AW904:BA905"/>
    <mergeCell ref="B895:N896"/>
    <mergeCell ref="P895:AQ896"/>
    <mergeCell ref="AS895:BA896"/>
    <mergeCell ref="B897:N898"/>
    <mergeCell ref="P897:AQ898"/>
    <mergeCell ref="AS897:BA898"/>
    <mergeCell ref="B891:N892"/>
    <mergeCell ref="P891:AQ892"/>
    <mergeCell ref="AS891:BA892"/>
    <mergeCell ref="B893:N894"/>
    <mergeCell ref="P893:AQ894"/>
    <mergeCell ref="AS893:BA894"/>
    <mergeCell ref="B915:N916"/>
    <mergeCell ref="P915:AQ916"/>
    <mergeCell ref="AS915:BA916"/>
    <mergeCell ref="B917:N918"/>
    <mergeCell ref="P917:AQ918"/>
    <mergeCell ref="AS917:BA918"/>
    <mergeCell ref="B911:N912"/>
    <mergeCell ref="P911:AQ912"/>
    <mergeCell ref="AS911:BA912"/>
    <mergeCell ref="B913:N914"/>
    <mergeCell ref="P913:AQ914"/>
    <mergeCell ref="AS913:BA914"/>
    <mergeCell ref="B907:N908"/>
    <mergeCell ref="P907:AQ908"/>
    <mergeCell ref="AS907:BA908"/>
    <mergeCell ref="B909:N910"/>
    <mergeCell ref="P909:AQ910"/>
    <mergeCell ref="AS909:BA910"/>
    <mergeCell ref="B930:N931"/>
    <mergeCell ref="P930:AQ931"/>
    <mergeCell ref="AS930:BA931"/>
    <mergeCell ref="B932:N933"/>
    <mergeCell ref="P932:AQ933"/>
    <mergeCell ref="AS932:BA933"/>
    <mergeCell ref="B924:G925"/>
    <mergeCell ref="I924:AQ925"/>
    <mergeCell ref="AS924:BA925"/>
    <mergeCell ref="I927:N928"/>
    <mergeCell ref="P927:W928"/>
    <mergeCell ref="Y927:AD928"/>
    <mergeCell ref="AF927:AM928"/>
    <mergeCell ref="AW927:BA928"/>
    <mergeCell ref="B919:N920"/>
    <mergeCell ref="P919:AQ920"/>
    <mergeCell ref="AS919:BA920"/>
    <mergeCell ref="B921:N922"/>
    <mergeCell ref="P921:AQ922"/>
    <mergeCell ref="AS921:BA922"/>
    <mergeCell ref="B942:N943"/>
    <mergeCell ref="P942:AQ943"/>
    <mergeCell ref="AS942:BA943"/>
    <mergeCell ref="B944:N945"/>
    <mergeCell ref="P944:AQ945"/>
    <mergeCell ref="AS944:BA945"/>
    <mergeCell ref="B938:N939"/>
    <mergeCell ref="P938:AQ939"/>
    <mergeCell ref="AS938:BA939"/>
    <mergeCell ref="B940:N941"/>
    <mergeCell ref="P940:AQ941"/>
    <mergeCell ref="AS940:BA941"/>
    <mergeCell ref="B934:N935"/>
    <mergeCell ref="P934:AQ935"/>
    <mergeCell ref="AS934:BA935"/>
    <mergeCell ref="B936:N937"/>
    <mergeCell ref="P936:AQ937"/>
    <mergeCell ref="AS936:BA937"/>
    <mergeCell ref="B957:N958"/>
    <mergeCell ref="P957:AQ958"/>
    <mergeCell ref="AS957:BA958"/>
    <mergeCell ref="B959:N960"/>
    <mergeCell ref="P959:AQ960"/>
    <mergeCell ref="AS959:BA960"/>
    <mergeCell ref="B953:N954"/>
    <mergeCell ref="P953:AQ954"/>
    <mergeCell ref="AS953:BA954"/>
    <mergeCell ref="B955:N956"/>
    <mergeCell ref="P955:AQ956"/>
    <mergeCell ref="AS955:BA956"/>
    <mergeCell ref="B947:G948"/>
    <mergeCell ref="I947:AQ948"/>
    <mergeCell ref="AS947:BA948"/>
    <mergeCell ref="I950:N951"/>
    <mergeCell ref="P950:W951"/>
    <mergeCell ref="Y950:AD951"/>
    <mergeCell ref="AF950:AM951"/>
    <mergeCell ref="AW950:BA951"/>
    <mergeCell ref="B971:G972"/>
    <mergeCell ref="I971:AQ972"/>
    <mergeCell ref="AS971:BA972"/>
    <mergeCell ref="I974:N975"/>
    <mergeCell ref="P974:W975"/>
    <mergeCell ref="Y974:AD975"/>
    <mergeCell ref="AF974:AM975"/>
    <mergeCell ref="AW974:BA975"/>
    <mergeCell ref="B965:N966"/>
    <mergeCell ref="P965:AQ966"/>
    <mergeCell ref="AS965:BA966"/>
    <mergeCell ref="B967:N968"/>
    <mergeCell ref="P967:AQ968"/>
    <mergeCell ref="AS967:BA968"/>
    <mergeCell ref="B961:N962"/>
    <mergeCell ref="P961:AQ962"/>
    <mergeCell ref="AS961:BA962"/>
    <mergeCell ref="B963:N964"/>
    <mergeCell ref="P963:AQ964"/>
    <mergeCell ref="AS963:BA964"/>
    <mergeCell ref="B985:N986"/>
    <mergeCell ref="P985:AQ986"/>
    <mergeCell ref="AS985:BA986"/>
    <mergeCell ref="B987:N988"/>
    <mergeCell ref="P987:AQ988"/>
    <mergeCell ref="AS987:BA988"/>
    <mergeCell ref="B981:N982"/>
    <mergeCell ref="P981:AQ982"/>
    <mergeCell ref="AS981:BA982"/>
    <mergeCell ref="B983:N984"/>
    <mergeCell ref="P983:AQ984"/>
    <mergeCell ref="AS983:BA984"/>
    <mergeCell ref="B977:N978"/>
    <mergeCell ref="P977:AQ978"/>
    <mergeCell ref="AS977:BA978"/>
    <mergeCell ref="B979:N980"/>
    <mergeCell ref="P979:AQ980"/>
    <mergeCell ref="AS979:BA980"/>
    <mergeCell ref="I1003:N1004"/>
    <mergeCell ref="P1003:W1004"/>
    <mergeCell ref="Y1003:AD1004"/>
    <mergeCell ref="AF1003:AM1004"/>
    <mergeCell ref="B1006:N1007"/>
    <mergeCell ref="P1006:AQ1007"/>
    <mergeCell ref="AS1006:BA1007"/>
    <mergeCell ref="AW1003:BA1004"/>
    <mergeCell ref="B994:G995"/>
    <mergeCell ref="B997:S998"/>
    <mergeCell ref="U997:X998"/>
    <mergeCell ref="B1000:G1001"/>
    <mergeCell ref="I1000:AQ1001"/>
    <mergeCell ref="AS1000:BA1001"/>
    <mergeCell ref="I994:AQ995"/>
    <mergeCell ref="AS994:BA995"/>
    <mergeCell ref="B989:N990"/>
    <mergeCell ref="P989:AQ990"/>
    <mergeCell ref="AS989:BA990"/>
    <mergeCell ref="B991:N992"/>
    <mergeCell ref="P991:AQ992"/>
    <mergeCell ref="AS991:BA992"/>
    <mergeCell ref="B1016:N1017"/>
    <mergeCell ref="P1016:AQ1017"/>
    <mergeCell ref="AS1016:BA1017"/>
    <mergeCell ref="B1018:N1019"/>
    <mergeCell ref="P1018:AQ1019"/>
    <mergeCell ref="AS1018:BA1019"/>
    <mergeCell ref="B1012:N1013"/>
    <mergeCell ref="P1012:AQ1013"/>
    <mergeCell ref="AS1012:BA1013"/>
    <mergeCell ref="B1014:N1015"/>
    <mergeCell ref="P1014:AQ1015"/>
    <mergeCell ref="AS1014:BA1015"/>
    <mergeCell ref="B1008:N1009"/>
    <mergeCell ref="P1008:AQ1009"/>
    <mergeCell ref="AS1008:BA1009"/>
    <mergeCell ref="B1010:N1011"/>
    <mergeCell ref="P1010:AQ1011"/>
    <mergeCell ref="AS1010:BA1011"/>
    <mergeCell ref="B1031:N1032"/>
    <mergeCell ref="P1031:AQ1032"/>
    <mergeCell ref="AS1031:BA1032"/>
    <mergeCell ref="B1033:N1034"/>
    <mergeCell ref="P1033:AQ1034"/>
    <mergeCell ref="AS1033:BA1034"/>
    <mergeCell ref="I1026:N1027"/>
    <mergeCell ref="P1026:W1027"/>
    <mergeCell ref="Y1026:AD1027"/>
    <mergeCell ref="AF1026:AM1027"/>
    <mergeCell ref="B1029:N1030"/>
    <mergeCell ref="P1029:AQ1030"/>
    <mergeCell ref="AS1029:BA1030"/>
    <mergeCell ref="AW1026:BA1027"/>
    <mergeCell ref="B1020:N1021"/>
    <mergeCell ref="P1020:AQ1021"/>
    <mergeCell ref="AS1020:BA1021"/>
    <mergeCell ref="B1023:G1024"/>
    <mergeCell ref="I1023:AQ1024"/>
    <mergeCell ref="AS1023:BA1024"/>
    <mergeCell ref="B1043:N1044"/>
    <mergeCell ref="P1043:AQ1044"/>
    <mergeCell ref="AS1043:BA1044"/>
    <mergeCell ref="B1047:G1048"/>
    <mergeCell ref="I1047:AQ1048"/>
    <mergeCell ref="AS1047:BA1048"/>
    <mergeCell ref="B1039:N1040"/>
    <mergeCell ref="P1039:AQ1040"/>
    <mergeCell ref="AS1039:BA1040"/>
    <mergeCell ref="B1041:N1042"/>
    <mergeCell ref="P1041:AQ1042"/>
    <mergeCell ref="AS1041:BA1042"/>
    <mergeCell ref="B1035:N1036"/>
    <mergeCell ref="P1035:AQ1036"/>
    <mergeCell ref="AS1035:BA1036"/>
    <mergeCell ref="B1037:N1038"/>
    <mergeCell ref="P1037:AQ1038"/>
    <mergeCell ref="AS1037:BA1038"/>
    <mergeCell ref="B1059:N1060"/>
    <mergeCell ref="P1059:AQ1060"/>
    <mergeCell ref="AS1059:BA1060"/>
    <mergeCell ref="B1061:N1062"/>
    <mergeCell ref="P1061:AQ1062"/>
    <mergeCell ref="AS1061:BA1062"/>
    <mergeCell ref="B1055:N1056"/>
    <mergeCell ref="P1055:AQ1056"/>
    <mergeCell ref="AS1055:BA1056"/>
    <mergeCell ref="B1057:N1058"/>
    <mergeCell ref="P1057:AQ1058"/>
    <mergeCell ref="AS1057:BA1058"/>
    <mergeCell ref="I1050:N1051"/>
    <mergeCell ref="P1050:W1051"/>
    <mergeCell ref="Y1050:AD1051"/>
    <mergeCell ref="AF1050:AM1051"/>
    <mergeCell ref="B1053:N1054"/>
    <mergeCell ref="P1053:AQ1054"/>
    <mergeCell ref="AS1053:BA1054"/>
    <mergeCell ref="AW1050:BA1051"/>
    <mergeCell ref="I1073:N1074"/>
    <mergeCell ref="P1073:W1074"/>
    <mergeCell ref="Y1073:AD1074"/>
    <mergeCell ref="AF1073:AM1074"/>
    <mergeCell ref="B1076:N1077"/>
    <mergeCell ref="P1076:AQ1077"/>
    <mergeCell ref="AS1076:BA1077"/>
    <mergeCell ref="AW1073:BA1074"/>
    <mergeCell ref="B1067:N1068"/>
    <mergeCell ref="P1067:AQ1068"/>
    <mergeCell ref="AS1067:BA1068"/>
    <mergeCell ref="B1070:G1071"/>
    <mergeCell ref="I1070:AQ1071"/>
    <mergeCell ref="AS1070:BA1071"/>
    <mergeCell ref="B1063:N1064"/>
    <mergeCell ref="P1063:AQ1064"/>
    <mergeCell ref="AS1063:BA1064"/>
    <mergeCell ref="B1065:N1066"/>
    <mergeCell ref="P1065:AQ1066"/>
    <mergeCell ref="AS1065:BA1066"/>
    <mergeCell ref="B1086:N1087"/>
    <mergeCell ref="P1086:AQ1087"/>
    <mergeCell ref="AS1086:BA1087"/>
    <mergeCell ref="B1088:N1089"/>
    <mergeCell ref="P1088:AQ1089"/>
    <mergeCell ref="AS1088:BA1089"/>
    <mergeCell ref="B1082:N1083"/>
    <mergeCell ref="P1082:AQ1083"/>
    <mergeCell ref="AS1082:BA1083"/>
    <mergeCell ref="B1084:N1085"/>
    <mergeCell ref="P1084:AQ1085"/>
    <mergeCell ref="AS1084:BA1085"/>
    <mergeCell ref="B1078:N1079"/>
    <mergeCell ref="P1078:AQ1079"/>
    <mergeCell ref="AS1078:BA1079"/>
    <mergeCell ref="B1080:N1081"/>
    <mergeCell ref="P1080:AQ1081"/>
    <mergeCell ref="AS1080:BA1081"/>
    <mergeCell ref="B1101:N1102"/>
    <mergeCell ref="P1101:AQ1102"/>
    <mergeCell ref="AS1101:BA1102"/>
    <mergeCell ref="B1103:N1104"/>
    <mergeCell ref="P1103:AQ1104"/>
    <mergeCell ref="AS1103:BA1104"/>
    <mergeCell ref="I1096:N1097"/>
    <mergeCell ref="P1096:W1097"/>
    <mergeCell ref="Y1096:AD1097"/>
    <mergeCell ref="AF1096:AM1097"/>
    <mergeCell ref="B1099:N1100"/>
    <mergeCell ref="P1099:AQ1100"/>
    <mergeCell ref="AS1099:BA1100"/>
    <mergeCell ref="AW1096:BA1097"/>
    <mergeCell ref="B1090:N1091"/>
    <mergeCell ref="P1090:AQ1091"/>
    <mergeCell ref="AS1090:BA1091"/>
    <mergeCell ref="B1093:G1094"/>
    <mergeCell ref="I1093:AQ1094"/>
    <mergeCell ref="AS1093:BA1094"/>
    <mergeCell ref="B1113:N1114"/>
    <mergeCell ref="P1113:AQ1114"/>
    <mergeCell ref="AS1113:BA1114"/>
    <mergeCell ref="B1117:G1118"/>
    <mergeCell ref="B1120:S1121"/>
    <mergeCell ref="U1120:X1121"/>
    <mergeCell ref="I1117:AQ1118"/>
    <mergeCell ref="AS1117:BA1118"/>
    <mergeCell ref="B1109:N1110"/>
    <mergeCell ref="P1109:AQ1110"/>
    <mergeCell ref="AS1109:BA1110"/>
    <mergeCell ref="B1111:N1112"/>
    <mergeCell ref="P1111:AQ1112"/>
    <mergeCell ref="AS1111:BA1112"/>
    <mergeCell ref="B1105:N1106"/>
    <mergeCell ref="P1105:AQ1106"/>
    <mergeCell ref="AS1105:BA1106"/>
    <mergeCell ref="B1107:N1108"/>
    <mergeCell ref="P1107:AQ1108"/>
    <mergeCell ref="AS1107:BA1108"/>
    <mergeCell ref="B1133:N1134"/>
    <mergeCell ref="P1133:AQ1134"/>
    <mergeCell ref="AS1133:BA1134"/>
    <mergeCell ref="B1135:N1136"/>
    <mergeCell ref="P1135:AQ1136"/>
    <mergeCell ref="AS1135:BA1136"/>
    <mergeCell ref="B1129:N1130"/>
    <mergeCell ref="P1129:AQ1130"/>
    <mergeCell ref="AS1129:BA1130"/>
    <mergeCell ref="B1131:N1132"/>
    <mergeCell ref="P1131:AQ1132"/>
    <mergeCell ref="AS1131:BA1132"/>
    <mergeCell ref="B1123:G1124"/>
    <mergeCell ref="I1123:AQ1124"/>
    <mergeCell ref="AS1123:BA1124"/>
    <mergeCell ref="I1126:N1127"/>
    <mergeCell ref="P1126:W1127"/>
    <mergeCell ref="Y1126:AD1127"/>
    <mergeCell ref="AF1126:AM1127"/>
    <mergeCell ref="AW1126:BA1127"/>
    <mergeCell ref="B1146:G1147"/>
    <mergeCell ref="I1146:AQ1147"/>
    <mergeCell ref="AS1146:BA1147"/>
    <mergeCell ref="I1149:N1150"/>
    <mergeCell ref="P1149:W1150"/>
    <mergeCell ref="Y1149:AD1150"/>
    <mergeCell ref="AF1149:AM1150"/>
    <mergeCell ref="AW1149:BA1150"/>
    <mergeCell ref="B1141:N1142"/>
    <mergeCell ref="P1141:AQ1142"/>
    <mergeCell ref="AS1141:BA1142"/>
    <mergeCell ref="B1143:N1144"/>
    <mergeCell ref="P1143:AQ1144"/>
    <mergeCell ref="AS1143:BA1144"/>
    <mergeCell ref="B1137:N1138"/>
    <mergeCell ref="P1137:AQ1138"/>
    <mergeCell ref="AS1137:BA1138"/>
    <mergeCell ref="B1139:N1140"/>
    <mergeCell ref="P1139:AQ1140"/>
    <mergeCell ref="AS1139:BA1140"/>
    <mergeCell ref="B1160:N1161"/>
    <mergeCell ref="P1160:AQ1161"/>
    <mergeCell ref="AS1160:BA1161"/>
    <mergeCell ref="B1162:N1163"/>
    <mergeCell ref="P1162:AQ1163"/>
    <mergeCell ref="AS1162:BA1163"/>
    <mergeCell ref="B1156:N1157"/>
    <mergeCell ref="P1156:AQ1157"/>
    <mergeCell ref="AS1156:BA1157"/>
    <mergeCell ref="B1158:N1159"/>
    <mergeCell ref="P1158:AQ1159"/>
    <mergeCell ref="AS1158:BA1159"/>
    <mergeCell ref="B1152:N1153"/>
    <mergeCell ref="P1152:AQ1153"/>
    <mergeCell ref="AS1152:BA1153"/>
    <mergeCell ref="B1154:N1155"/>
    <mergeCell ref="P1154:AQ1155"/>
    <mergeCell ref="AS1154:BA1155"/>
    <mergeCell ref="B1175:N1176"/>
    <mergeCell ref="P1175:AQ1176"/>
    <mergeCell ref="AS1175:BA1176"/>
    <mergeCell ref="B1177:N1178"/>
    <mergeCell ref="P1177:AQ1178"/>
    <mergeCell ref="AS1177:BA1178"/>
    <mergeCell ref="B1169:G1170"/>
    <mergeCell ref="I1169:AQ1170"/>
    <mergeCell ref="AS1169:BA1170"/>
    <mergeCell ref="I1172:N1173"/>
    <mergeCell ref="P1172:W1173"/>
    <mergeCell ref="Y1172:AD1173"/>
    <mergeCell ref="AF1172:AM1173"/>
    <mergeCell ref="AW1172:BA1173"/>
    <mergeCell ref="B1164:N1165"/>
    <mergeCell ref="P1164:AQ1165"/>
    <mergeCell ref="AS1164:BA1165"/>
    <mergeCell ref="B1166:N1167"/>
    <mergeCell ref="P1166:AQ1167"/>
    <mergeCell ref="AS1166:BA1167"/>
    <mergeCell ref="B1187:N1188"/>
    <mergeCell ref="P1187:AQ1188"/>
    <mergeCell ref="AS1187:BA1188"/>
    <mergeCell ref="B1189:N1190"/>
    <mergeCell ref="P1189:AQ1190"/>
    <mergeCell ref="AS1189:BA1190"/>
    <mergeCell ref="B1183:N1184"/>
    <mergeCell ref="P1183:AQ1184"/>
    <mergeCell ref="AS1183:BA1184"/>
    <mergeCell ref="B1185:N1186"/>
    <mergeCell ref="P1185:AQ1186"/>
    <mergeCell ref="AS1185:BA1186"/>
    <mergeCell ref="B1179:N1180"/>
    <mergeCell ref="P1179:AQ1180"/>
    <mergeCell ref="AS1179:BA1180"/>
    <mergeCell ref="B1181:N1182"/>
    <mergeCell ref="P1181:AQ1182"/>
    <mergeCell ref="AS1181:BA1182"/>
    <mergeCell ref="B1203:N1204"/>
    <mergeCell ref="P1203:AQ1204"/>
    <mergeCell ref="AS1203:BA1204"/>
    <mergeCell ref="B1205:N1206"/>
    <mergeCell ref="P1205:AQ1206"/>
    <mergeCell ref="AS1205:BA1206"/>
    <mergeCell ref="B1199:N1200"/>
    <mergeCell ref="P1199:AQ1200"/>
    <mergeCell ref="AS1199:BA1200"/>
    <mergeCell ref="B1201:N1202"/>
    <mergeCell ref="P1201:AQ1202"/>
    <mergeCell ref="AS1201:BA1202"/>
    <mergeCell ref="B1193:G1194"/>
    <mergeCell ref="I1193:AQ1194"/>
    <mergeCell ref="AS1193:BA1194"/>
    <mergeCell ref="I1196:N1197"/>
    <mergeCell ref="P1196:W1197"/>
    <mergeCell ref="Y1196:AD1197"/>
    <mergeCell ref="AF1196:AM1197"/>
    <mergeCell ref="AW1196:BA1197"/>
    <mergeCell ref="P1224:AQ1225"/>
    <mergeCell ref="AS1224:BA1225"/>
    <mergeCell ref="B1216:G1217"/>
    <mergeCell ref="I1216:AQ1217"/>
    <mergeCell ref="AS1216:BA1217"/>
    <mergeCell ref="I1219:N1220"/>
    <mergeCell ref="P1219:W1220"/>
    <mergeCell ref="Y1219:AD1220"/>
    <mergeCell ref="AF1219:AM1220"/>
    <mergeCell ref="AW1219:BA1220"/>
    <mergeCell ref="B1211:N1212"/>
    <mergeCell ref="P1211:AQ1212"/>
    <mergeCell ref="AS1211:BA1212"/>
    <mergeCell ref="B1213:N1214"/>
    <mergeCell ref="P1213:AQ1214"/>
    <mergeCell ref="AS1213:BA1214"/>
    <mergeCell ref="B1207:N1208"/>
    <mergeCell ref="P1207:AQ1208"/>
    <mergeCell ref="AS1207:BA1208"/>
    <mergeCell ref="B1209:N1210"/>
    <mergeCell ref="P1209:AQ1210"/>
    <mergeCell ref="AS1209:BA1210"/>
    <mergeCell ref="BH102:DF112"/>
    <mergeCell ref="B587:M591"/>
    <mergeCell ref="O587:BA598"/>
    <mergeCell ref="BH587:DF592"/>
    <mergeCell ref="BH37:DF48"/>
    <mergeCell ref="BH17:DF22"/>
    <mergeCell ref="C215:M216"/>
    <mergeCell ref="O215:AA216"/>
    <mergeCell ref="C218:M219"/>
    <mergeCell ref="O218:AA219"/>
    <mergeCell ref="B1226:N1227"/>
    <mergeCell ref="B1234:N1235"/>
    <mergeCell ref="P1234:AQ1235"/>
    <mergeCell ref="AS1234:BA1235"/>
    <mergeCell ref="B1236:N1237"/>
    <mergeCell ref="P1236:AQ1237"/>
    <mergeCell ref="AS1236:BA1237"/>
    <mergeCell ref="B1230:N1231"/>
    <mergeCell ref="P1230:AQ1231"/>
    <mergeCell ref="AS1230:BA1231"/>
    <mergeCell ref="B1232:N1233"/>
    <mergeCell ref="P1232:AQ1233"/>
    <mergeCell ref="AS1232:BA1233"/>
    <mergeCell ref="P1226:AQ1227"/>
    <mergeCell ref="AS1226:BA1227"/>
    <mergeCell ref="B1228:N1229"/>
    <mergeCell ref="P1228:AQ1229"/>
    <mergeCell ref="AS1228:BA1229"/>
    <mergeCell ref="B1222:N1223"/>
    <mergeCell ref="P1222:AQ1223"/>
    <mergeCell ref="AS1222:BA1223"/>
    <mergeCell ref="B1224:N1225"/>
  </mergeCells>
  <conditionalFormatting sqref="W40:Y41">
    <cfRule type="expression" dxfId="2740" priority="4898" stopIfTrue="1">
      <formula>$W$37="x"</formula>
    </cfRule>
  </conditionalFormatting>
  <conditionalFormatting sqref="AL46:AY47">
    <cfRule type="expression" dxfId="2739" priority="4894" stopIfTrue="1">
      <formula>$W$40&gt;=4</formula>
    </cfRule>
  </conditionalFormatting>
  <conditionalFormatting sqref="F282:BA295">
    <cfRule type="expression" dxfId="2738" priority="4891" stopIfTrue="1">
      <formula>$O$269&lt;&gt;""</formula>
    </cfRule>
  </conditionalFormatting>
  <conditionalFormatting sqref="B345:D346">
    <cfRule type="expression" dxfId="2737" priority="4890" stopIfTrue="1">
      <formula>$O$269&lt;&gt;""</formula>
    </cfRule>
  </conditionalFormatting>
  <conditionalFormatting sqref="F272:BA280">
    <cfRule type="expression" dxfId="2736" priority="4889" stopIfTrue="1">
      <formula>$O$269&lt;&gt;""</formula>
    </cfRule>
  </conditionalFormatting>
  <conditionalFormatting sqref="F297:BA304">
    <cfRule type="expression" dxfId="2735" priority="4888" stopIfTrue="1">
      <formula>$O$269&lt;&gt;""</formula>
    </cfRule>
  </conditionalFormatting>
  <conditionalFormatting sqref="F306:BA314">
    <cfRule type="expression" dxfId="2734" priority="4887" stopIfTrue="1">
      <formula>$O$269&lt;&gt;""</formula>
    </cfRule>
  </conditionalFormatting>
  <conditionalFormatting sqref="F316:BA320">
    <cfRule type="expression" dxfId="2733" priority="4886" stopIfTrue="1">
      <formula>$O$269&lt;&gt;""</formula>
    </cfRule>
  </conditionalFormatting>
  <conditionalFormatting sqref="F322:BA325">
    <cfRule type="expression" dxfId="2732" priority="4885" stopIfTrue="1">
      <formula>$O$269&lt;&gt;""</formula>
    </cfRule>
  </conditionalFormatting>
  <conditionalFormatting sqref="F327:BA333">
    <cfRule type="expression" dxfId="2731" priority="4884" stopIfTrue="1">
      <formula>$O$269&lt;&gt;""</formula>
    </cfRule>
  </conditionalFormatting>
  <conditionalFormatting sqref="F335:BA343">
    <cfRule type="expression" dxfId="2730" priority="4883" stopIfTrue="1">
      <formula>$O$269&lt;&gt;""</formula>
    </cfRule>
  </conditionalFormatting>
  <conditionalFormatting sqref="F345:BA350">
    <cfRule type="expression" dxfId="2729" priority="4882" stopIfTrue="1">
      <formula>$O$269&lt;&gt;""</formula>
    </cfRule>
  </conditionalFormatting>
  <conditionalFormatting sqref="B335:D336">
    <cfRule type="expression" dxfId="2728" priority="4881" stopIfTrue="1">
      <formula>$O$269&lt;&gt;""</formula>
    </cfRule>
  </conditionalFormatting>
  <conditionalFormatting sqref="B327:D328">
    <cfRule type="expression" dxfId="2727" priority="4880" stopIfTrue="1">
      <formula>$O$269&lt;&gt;""</formula>
    </cfRule>
  </conditionalFormatting>
  <conditionalFormatting sqref="B322:D323">
    <cfRule type="expression" dxfId="2726" priority="4879" stopIfTrue="1">
      <formula>$O$269&lt;&gt;""</formula>
    </cfRule>
  </conditionalFormatting>
  <conditionalFormatting sqref="B316:D317">
    <cfRule type="expression" dxfId="2725" priority="4878" stopIfTrue="1">
      <formula>$O$269&lt;&gt;""</formula>
    </cfRule>
  </conditionalFormatting>
  <conditionalFormatting sqref="B306:D307">
    <cfRule type="expression" dxfId="2724" priority="4877" stopIfTrue="1">
      <formula>$O$269&lt;&gt;""</formula>
    </cfRule>
  </conditionalFormatting>
  <conditionalFormatting sqref="B297:D298">
    <cfRule type="expression" dxfId="2723" priority="4876" stopIfTrue="1">
      <formula>$O$269&lt;&gt;""</formula>
    </cfRule>
  </conditionalFormatting>
  <conditionalFormatting sqref="B282:D283">
    <cfRule type="expression" dxfId="2722" priority="4875" stopIfTrue="1">
      <formula>$O$269&lt;&gt;""</formula>
    </cfRule>
  </conditionalFormatting>
  <conditionalFormatting sqref="B272:D273">
    <cfRule type="expression" dxfId="2721" priority="4874" stopIfTrue="1">
      <formula>$O$269&lt;&gt;""</formula>
    </cfRule>
  </conditionalFormatting>
  <conditionalFormatting sqref="I626">
    <cfRule type="expression" dxfId="2720" priority="4873" stopIfTrue="1">
      <formula>$U$623&gt;0</formula>
    </cfRule>
  </conditionalFormatting>
  <conditionalFormatting sqref="U629:X630">
    <cfRule type="expression" dxfId="2719" priority="4848" stopIfTrue="1">
      <formula>$U$623&gt;=1</formula>
    </cfRule>
  </conditionalFormatting>
  <conditionalFormatting sqref="U752:X753">
    <cfRule type="expression" dxfId="2718" priority="4847" stopIfTrue="1">
      <formula>$U$623&gt;=2</formula>
    </cfRule>
  </conditionalFormatting>
  <conditionalFormatting sqref="U874:X875">
    <cfRule type="expression" dxfId="2717" priority="4846" stopIfTrue="1">
      <formula>$U$623&gt;=3</formula>
    </cfRule>
  </conditionalFormatting>
  <conditionalFormatting sqref="U997:X998">
    <cfRule type="expression" dxfId="2716" priority="4845" stopIfTrue="1">
      <formula>$U$623&gt;=4</formula>
    </cfRule>
  </conditionalFormatting>
  <conditionalFormatting sqref="U1120:X1121">
    <cfRule type="expression" dxfId="2715" priority="4844" stopIfTrue="1">
      <formula>$U$623&gt;=5</formula>
    </cfRule>
  </conditionalFormatting>
  <conditionalFormatting sqref="I626:AQ627">
    <cfRule type="expression" dxfId="2714" priority="4843" stopIfTrue="1">
      <formula>$U$623&gt;=1</formula>
    </cfRule>
  </conditionalFormatting>
  <conditionalFormatting sqref="AS626:BA627">
    <cfRule type="expression" dxfId="2713" priority="29">
      <formula>$AS$638&lt;&gt;""</formula>
    </cfRule>
  </conditionalFormatting>
  <conditionalFormatting sqref="I749:AQ750">
    <cfRule type="expression" dxfId="2712" priority="4841" stopIfTrue="1">
      <formula>$U$623&gt;=2</formula>
    </cfRule>
  </conditionalFormatting>
  <conditionalFormatting sqref="AS749:BA750">
    <cfRule type="expression" dxfId="2711" priority="4840" stopIfTrue="1">
      <formula>$AS$761&lt;&gt;""</formula>
    </cfRule>
  </conditionalFormatting>
  <conditionalFormatting sqref="I871:AQ872">
    <cfRule type="expression" dxfId="2710" priority="4839" stopIfTrue="1">
      <formula>$U$623&gt;=3</formula>
    </cfRule>
  </conditionalFormatting>
  <conditionalFormatting sqref="AS871:BA872">
    <cfRule type="expression" dxfId="2709" priority="4838" stopIfTrue="1">
      <formula>$AS$883&lt;&gt;""</formula>
    </cfRule>
  </conditionalFormatting>
  <conditionalFormatting sqref="I994:AQ995">
    <cfRule type="expression" dxfId="2708" priority="4837" stopIfTrue="1">
      <formula>$U$623&gt;=4</formula>
    </cfRule>
  </conditionalFormatting>
  <conditionalFormatting sqref="AS994:BA995">
    <cfRule type="expression" dxfId="2707" priority="4836" stopIfTrue="1">
      <formula>$AS$1006&lt;&gt;""</formula>
    </cfRule>
  </conditionalFormatting>
  <conditionalFormatting sqref="I1117:AQ1118">
    <cfRule type="expression" dxfId="2706" priority="4835" stopIfTrue="1">
      <formula>$U$623&gt;=5</formula>
    </cfRule>
  </conditionalFormatting>
  <conditionalFormatting sqref="AS1117:BA1118">
    <cfRule type="expression" dxfId="2705" priority="4834" stopIfTrue="1">
      <formula>$AS$1129&lt;&gt;""</formula>
    </cfRule>
  </conditionalFormatting>
  <conditionalFormatting sqref="P635:W636 AF635:AM636 P638:AQ653 AS638:BA653">
    <cfRule type="expression" dxfId="2704" priority="4833" stopIfTrue="1">
      <formula>$U$629&gt;=1</formula>
    </cfRule>
  </conditionalFormatting>
  <conditionalFormatting sqref="AS632:BA633">
    <cfRule type="expression" dxfId="2703" priority="4832" stopIfTrue="1">
      <formula>$AS$638&lt;&gt;""</formula>
    </cfRule>
  </conditionalFormatting>
  <conditionalFormatting sqref="AF658:AM659 P658:W659 P661:AQ676 AS661:BA676">
    <cfRule type="expression" dxfId="2702" priority="4831" stopIfTrue="1">
      <formula>$U$629&gt;=2</formula>
    </cfRule>
  </conditionalFormatting>
  <conditionalFormatting sqref="AS655:BA656">
    <cfRule type="expression" dxfId="2701" priority="4830" stopIfTrue="1">
      <formula>$AS$661&lt;&gt;""</formula>
    </cfRule>
  </conditionalFormatting>
  <conditionalFormatting sqref="P682:W683 AF682:AM683 P685:AQ700 AS685:BA700">
    <cfRule type="expression" dxfId="2700" priority="4829" stopIfTrue="1">
      <formula>$U$629&gt;=3</formula>
    </cfRule>
  </conditionalFormatting>
  <conditionalFormatting sqref="AS679:BA680">
    <cfRule type="expression" dxfId="2699" priority="4828" stopIfTrue="1">
      <formula>$AS$685&lt;&gt;""</formula>
    </cfRule>
  </conditionalFormatting>
  <conditionalFormatting sqref="AF705:AM706 P705:W706 P708:AQ723 AS708:BA723">
    <cfRule type="expression" dxfId="2698" priority="4827" stopIfTrue="1">
      <formula>$U$629&gt;=4</formula>
    </cfRule>
  </conditionalFormatting>
  <conditionalFormatting sqref="AS702:BA703">
    <cfRule type="expression" dxfId="2697" priority="4826" stopIfTrue="1">
      <formula>$AS$708&lt;&gt;""</formula>
    </cfRule>
  </conditionalFormatting>
  <conditionalFormatting sqref="I725:AQ726 P728:W729 AF728:AM729 P731:AQ746 AS731:BA746">
    <cfRule type="expression" dxfId="2696" priority="4825" stopIfTrue="1">
      <formula>$U$629&gt;=5</formula>
    </cfRule>
  </conditionalFormatting>
  <conditionalFormatting sqref="AS725:BA726">
    <cfRule type="expression" dxfId="2695" priority="4824" stopIfTrue="1">
      <formula>$AS$731&lt;&gt;""</formula>
    </cfRule>
  </conditionalFormatting>
  <conditionalFormatting sqref="AF758:AM759 I755:AQ756 P761:AQ776 AS761:BA776">
    <cfRule type="expression" dxfId="2694" priority="4823" stopIfTrue="1">
      <formula>$U$752&gt;=1</formula>
    </cfRule>
  </conditionalFormatting>
  <conditionalFormatting sqref="I778:AQ779 AF781:AM782 P784:AQ799 AS784:BA799">
    <cfRule type="expression" dxfId="2693" priority="4822" stopIfTrue="1">
      <formula>$U$752&gt;=2</formula>
    </cfRule>
  </conditionalFormatting>
  <conditionalFormatting sqref="I801:AQ802 AF804:AM805 P807:AQ822 AS807:BA822">
    <cfRule type="expression" dxfId="2692" priority="4821" stopIfTrue="1">
      <formula>$U$752&gt;=3</formula>
    </cfRule>
  </conditionalFormatting>
  <conditionalFormatting sqref="I825:AQ826 AF828:AM829 P831:AQ846 AS831:BA846">
    <cfRule type="expression" dxfId="2691" priority="4820" stopIfTrue="1">
      <formula>$U$752&gt;=4</formula>
    </cfRule>
  </conditionalFormatting>
  <conditionalFormatting sqref="I848:AQ849 AF851:AM852 P854:AQ869 AS854:BA869">
    <cfRule type="expression" dxfId="2690" priority="4819" stopIfTrue="1">
      <formula>$U$752&gt;=5</formula>
    </cfRule>
  </conditionalFormatting>
  <conditionalFormatting sqref="AS755:BA756">
    <cfRule type="expression" dxfId="2689" priority="4818" stopIfTrue="1">
      <formula>$AS$761&lt;&gt;""</formula>
    </cfRule>
  </conditionalFormatting>
  <conditionalFormatting sqref="AS778:BA779">
    <cfRule type="expression" dxfId="2688" priority="4817" stopIfTrue="1">
      <formula>$AS$784&lt;&gt;""</formula>
    </cfRule>
  </conditionalFormatting>
  <conditionalFormatting sqref="AS801:BA802">
    <cfRule type="expression" dxfId="2687" priority="4816" stopIfTrue="1">
      <formula>$AS$807&lt;&gt;""</formula>
    </cfRule>
  </conditionalFormatting>
  <conditionalFormatting sqref="AS825:BA826">
    <cfRule type="expression" dxfId="2686" priority="4815" stopIfTrue="1">
      <formula>$AS$831&lt;&gt;""</formula>
    </cfRule>
  </conditionalFormatting>
  <conditionalFormatting sqref="AS848:BA849">
    <cfRule type="expression" dxfId="2685" priority="4814" stopIfTrue="1">
      <formula>$AS$854&lt;&gt;""</formula>
    </cfRule>
  </conditionalFormatting>
  <conditionalFormatting sqref="AF880:AM881 I877:AQ878 P883:AQ898 AS883:BA898">
    <cfRule type="expression" dxfId="2684" priority="4813" stopIfTrue="1">
      <formula>$U$874&gt;=1</formula>
    </cfRule>
  </conditionalFormatting>
  <conditionalFormatting sqref="I901:AQ902 AF904:AM905 P907:AQ922 AS907:BA922">
    <cfRule type="expression" dxfId="2683" priority="4812" stopIfTrue="1">
      <formula>$U$874&gt;=2</formula>
    </cfRule>
  </conditionalFormatting>
  <conditionalFormatting sqref="I924:AQ925 AF927:AM928 P930:AQ945 AS930:BA945">
    <cfRule type="expression" dxfId="2682" priority="4811" stopIfTrue="1">
      <formula>$U$874&gt;=3</formula>
    </cfRule>
  </conditionalFormatting>
  <conditionalFormatting sqref="I947:AQ948 AF950:AM951 P953:AQ968 AS953:BA968">
    <cfRule type="expression" dxfId="2681" priority="4810" stopIfTrue="1">
      <formula>$U$874&gt;=4</formula>
    </cfRule>
  </conditionalFormatting>
  <conditionalFormatting sqref="I971:AQ972 AF974:AM975 P977:AQ992 AS977:BA992">
    <cfRule type="expression" dxfId="2680" priority="4809" stopIfTrue="1">
      <formula>$U$874&gt;=5</formula>
    </cfRule>
  </conditionalFormatting>
  <conditionalFormatting sqref="AS971:BA972">
    <cfRule type="expression" dxfId="2679" priority="4808" stopIfTrue="1">
      <formula>$AS$977&lt;&gt;""</formula>
    </cfRule>
  </conditionalFormatting>
  <conditionalFormatting sqref="AS947:BA948">
    <cfRule type="expression" dxfId="2678" priority="4807" stopIfTrue="1">
      <formula>$AS$953&lt;&gt;""</formula>
    </cfRule>
  </conditionalFormatting>
  <conditionalFormatting sqref="AS924:BA925">
    <cfRule type="expression" dxfId="2677" priority="4806" stopIfTrue="1">
      <formula>$AS$930&lt;&gt;""</formula>
    </cfRule>
  </conditionalFormatting>
  <conditionalFormatting sqref="AS901:BA902">
    <cfRule type="expression" dxfId="2676" priority="4805" stopIfTrue="1">
      <formula>$AS$907&lt;&gt;""</formula>
    </cfRule>
  </conditionalFormatting>
  <conditionalFormatting sqref="AS877:BA878">
    <cfRule type="expression" dxfId="2675" priority="4804" stopIfTrue="1">
      <formula>$AS$883&lt;&gt;""</formula>
    </cfRule>
  </conditionalFormatting>
  <conditionalFormatting sqref="AF1003:AM1004 P1006:AQ1021 AS1006:BA1021">
    <cfRule type="expression" dxfId="2674" priority="4803" stopIfTrue="1">
      <formula>$U$997&gt;=1</formula>
    </cfRule>
  </conditionalFormatting>
  <conditionalFormatting sqref="I1023:AQ1024 AF1026:AM1027 P1029:AQ1044 AS1029:BA1044">
    <cfRule type="expression" dxfId="2673" priority="4802" stopIfTrue="1">
      <formula>$U$997&gt;=2</formula>
    </cfRule>
  </conditionalFormatting>
  <conditionalFormatting sqref="I1047:AQ1048 AF1050:AM1051 P1053:AQ1068 AS1053:BA1068">
    <cfRule type="expression" dxfId="2672" priority="4801" stopIfTrue="1">
      <formula>$U$997&gt;=3</formula>
    </cfRule>
  </conditionalFormatting>
  <conditionalFormatting sqref="I1070:AQ1071 AF1073:AM1074 AS1076:BA1091 P1076:AQ1091">
    <cfRule type="expression" dxfId="2671" priority="4800" stopIfTrue="1">
      <formula>$U$997&gt;=4</formula>
    </cfRule>
  </conditionalFormatting>
  <conditionalFormatting sqref="I1093:AQ1094 AF1096:AM1097 P1099:AQ1114 AS1099:BA1114">
    <cfRule type="expression" dxfId="2670" priority="4799" stopIfTrue="1">
      <formula>$U$997&gt;=5</formula>
    </cfRule>
  </conditionalFormatting>
  <conditionalFormatting sqref="AS1093:BA1094">
    <cfRule type="expression" dxfId="2669" priority="4798" stopIfTrue="1">
      <formula>$AS$1099&lt;&gt;""</formula>
    </cfRule>
  </conditionalFormatting>
  <conditionalFormatting sqref="AS1070:BA1071">
    <cfRule type="expression" dxfId="2668" priority="4797" stopIfTrue="1">
      <formula>$AS$1076&lt;&gt;""</formula>
    </cfRule>
  </conditionalFormatting>
  <conditionalFormatting sqref="AS1047:BA1048">
    <cfRule type="expression" dxfId="2667" priority="4796" stopIfTrue="1">
      <formula>$AS$1053&lt;&gt;""</formula>
    </cfRule>
  </conditionalFormatting>
  <conditionalFormatting sqref="AS1023:BA1024">
    <cfRule type="expression" dxfId="2666" priority="4794" stopIfTrue="1">
      <formula>$AS$1029&lt;&gt;""</formula>
    </cfRule>
  </conditionalFormatting>
  <conditionalFormatting sqref="AS1000:BA1001">
    <cfRule type="expression" dxfId="2665" priority="4793" stopIfTrue="1">
      <formula>$AS$1006&lt;&gt;""</formula>
    </cfRule>
  </conditionalFormatting>
  <conditionalFormatting sqref="I1000:AQ1001">
    <cfRule type="expression" dxfId="2664" priority="4792" stopIfTrue="1">
      <formula>$U$997&gt;=1</formula>
    </cfRule>
  </conditionalFormatting>
  <conditionalFormatting sqref="AF1126:AM1127 P1129:AQ1144 AS1129:BA1144">
    <cfRule type="expression" dxfId="2663" priority="4791" stopIfTrue="1">
      <formula>$U$1120&gt;=1</formula>
    </cfRule>
  </conditionalFormatting>
  <conditionalFormatting sqref="I1123:AQ1124">
    <cfRule type="expression" dxfId="2662" priority="4790" stopIfTrue="1">
      <formula>$U$1120&gt;=1</formula>
    </cfRule>
  </conditionalFormatting>
  <conditionalFormatting sqref="AS1123:BA1124">
    <cfRule type="expression" dxfId="2661" priority="4789" stopIfTrue="1">
      <formula>$AS$1129&lt;&gt;""</formula>
    </cfRule>
  </conditionalFormatting>
  <conditionalFormatting sqref="I1146:AQ1147 AF1149:AM1150 P1152:AQ1167 AS1152:BA1167">
    <cfRule type="expression" dxfId="2660" priority="4788" stopIfTrue="1">
      <formula>$U$1120&gt;=2</formula>
    </cfRule>
  </conditionalFormatting>
  <conditionalFormatting sqref="AS1146:BA1147">
    <cfRule type="expression" dxfId="2659" priority="4787" stopIfTrue="1">
      <formula>$AS$1152&lt;&gt;""</formula>
    </cfRule>
  </conditionalFormatting>
  <conditionalFormatting sqref="I1169:AQ1170 AF1172:AM1173 P1175:AQ1190 AS1175:BA1190">
    <cfRule type="expression" dxfId="2658" priority="4786" stopIfTrue="1">
      <formula>$U$1120&gt;=3</formula>
    </cfRule>
  </conditionalFormatting>
  <conditionalFormatting sqref="AS1169:BA1170">
    <cfRule type="expression" dxfId="2657" priority="4785" stopIfTrue="1">
      <formula>$AS$1175&lt;&gt;""</formula>
    </cfRule>
  </conditionalFormatting>
  <conditionalFormatting sqref="I1193:AQ1194 AF1196:AM1197 P1199:AQ1214 AS1199:BA1214">
    <cfRule type="expression" dxfId="2656" priority="4784" stopIfTrue="1">
      <formula>$U$1120&gt;=4</formula>
    </cfRule>
  </conditionalFormatting>
  <conditionalFormatting sqref="AS1193:BA1194">
    <cfRule type="expression" dxfId="2655" priority="4783" stopIfTrue="1">
      <formula>$AS$1199&lt;&gt;""</formula>
    </cfRule>
  </conditionalFormatting>
  <conditionalFormatting sqref="I1216:AQ1217 AF1219:AM1220 P1222:AQ1237 AS1222:BA1237">
    <cfRule type="expression" dxfId="2654" priority="4782" stopIfTrue="1">
      <formula>$U$1120&gt;=5</formula>
    </cfRule>
  </conditionalFormatting>
  <conditionalFormatting sqref="AS1216:BA1217">
    <cfRule type="expression" dxfId="2653" priority="4781" stopIfTrue="1">
      <formula>$AS$1222&lt;&gt;""</formula>
    </cfRule>
  </conditionalFormatting>
  <conditionalFormatting sqref="O215:AA216">
    <cfRule type="expression" dxfId="2652" priority="35" stopIfTrue="1">
      <formula>$C$215&lt;&gt;""</formula>
    </cfRule>
  </conditionalFormatting>
  <conditionalFormatting sqref="Z623">
    <cfRule type="cellIs" dxfId="2651" priority="33" stopIfTrue="1" operator="notEqual">
      <formula>""</formula>
    </cfRule>
  </conditionalFormatting>
  <conditionalFormatting sqref="O218:AA219">
    <cfRule type="expression" dxfId="2650" priority="32" stopIfTrue="1">
      <formula>$O$212&lt;&gt;""</formula>
    </cfRule>
  </conditionalFormatting>
  <conditionalFormatting sqref="B20:M21 AC20:AN21">
    <cfRule type="expression" dxfId="2649" priority="31">
      <formula>$AP$17="Federal"</formula>
    </cfRule>
  </conditionalFormatting>
  <conditionalFormatting sqref="AP20:BA21 O20:AA21">
    <cfRule type="expression" dxfId="2648" priority="30">
      <formula>$AP$17="Federal"</formula>
    </cfRule>
  </conditionalFormatting>
  <conditionalFormatting sqref="Z624">
    <cfRule type="cellIs" dxfId="2647" priority="28" stopIfTrue="1" operator="notEqual">
      <formula>""</formula>
    </cfRule>
  </conditionalFormatting>
  <conditionalFormatting sqref="P758:W759">
    <cfRule type="expression" dxfId="2646" priority="27" stopIfTrue="1">
      <formula>$U$752&gt;=1</formula>
    </cfRule>
  </conditionalFormatting>
  <conditionalFormatting sqref="P781:W782">
    <cfRule type="expression" dxfId="2645" priority="26" stopIfTrue="1">
      <formula>$U$752&gt;=2</formula>
    </cfRule>
  </conditionalFormatting>
  <conditionalFormatting sqref="P804:W805">
    <cfRule type="expression" dxfId="2644" priority="25" stopIfTrue="1">
      <formula>$U$752&gt;=3</formula>
    </cfRule>
  </conditionalFormatting>
  <conditionalFormatting sqref="P828:W829">
    <cfRule type="expression" dxfId="2643" priority="24" stopIfTrue="1">
      <formula>$U$752&gt;=4</formula>
    </cfRule>
  </conditionalFormatting>
  <conditionalFormatting sqref="P851:W852">
    <cfRule type="expression" dxfId="2642" priority="23" stopIfTrue="1">
      <formula>$U$752&gt;=5</formula>
    </cfRule>
  </conditionalFormatting>
  <conditionalFormatting sqref="P880:W881">
    <cfRule type="expression" dxfId="2641" priority="22" stopIfTrue="1">
      <formula>$U$874&gt;=1</formula>
    </cfRule>
  </conditionalFormatting>
  <conditionalFormatting sqref="P904:W905">
    <cfRule type="expression" dxfId="2640" priority="21" stopIfTrue="1">
      <formula>$U$874&gt;=2</formula>
    </cfRule>
  </conditionalFormatting>
  <conditionalFormatting sqref="P927:W928">
    <cfRule type="expression" dxfId="2639" priority="20" stopIfTrue="1">
      <formula>$U$874&gt;=3</formula>
    </cfRule>
  </conditionalFormatting>
  <conditionalFormatting sqref="P950:W951">
    <cfRule type="expression" dxfId="2638" priority="19" stopIfTrue="1">
      <formula>$U$874&gt;=4</formula>
    </cfRule>
  </conditionalFormatting>
  <conditionalFormatting sqref="P974:W975">
    <cfRule type="expression" dxfId="2637" priority="18" stopIfTrue="1">
      <formula>$U$874&gt;=5</formula>
    </cfRule>
  </conditionalFormatting>
  <conditionalFormatting sqref="P1003:W1004">
    <cfRule type="expression" dxfId="2636" priority="17" stopIfTrue="1">
      <formula>$U$997&gt;=1</formula>
    </cfRule>
  </conditionalFormatting>
  <conditionalFormatting sqref="P1026:W1027">
    <cfRule type="expression" dxfId="2635" priority="16" stopIfTrue="1">
      <formula>$U$997&gt;=2</formula>
    </cfRule>
  </conditionalFormatting>
  <conditionalFormatting sqref="P1050:W1051">
    <cfRule type="expression" dxfId="2634" priority="15" stopIfTrue="1">
      <formula>$U$997&gt;=3</formula>
    </cfRule>
  </conditionalFormatting>
  <conditionalFormatting sqref="P1073:W1074">
    <cfRule type="expression" dxfId="2633" priority="14" stopIfTrue="1">
      <formula>$U$997&gt;=4</formula>
    </cfRule>
  </conditionalFormatting>
  <conditionalFormatting sqref="P1096:W1097">
    <cfRule type="expression" dxfId="2632" priority="13" stopIfTrue="1">
      <formula>$U$997&gt;=5</formula>
    </cfRule>
  </conditionalFormatting>
  <conditionalFormatting sqref="P1126:W1127">
    <cfRule type="expression" dxfId="2631" priority="12" stopIfTrue="1">
      <formula>$U$1120&gt;=1</formula>
    </cfRule>
  </conditionalFormatting>
  <conditionalFormatting sqref="P1149:W1150">
    <cfRule type="expression" dxfId="2630" priority="11" stopIfTrue="1">
      <formula>$U$1120&gt;=2</formula>
    </cfRule>
  </conditionalFormatting>
  <conditionalFormatting sqref="P1172:W1173">
    <cfRule type="expression" dxfId="2629" priority="10" stopIfTrue="1">
      <formula>$U$1120&gt;=3</formula>
    </cfRule>
  </conditionalFormatting>
  <conditionalFormatting sqref="P1196:W1197">
    <cfRule type="expression" dxfId="2628" priority="9" stopIfTrue="1">
      <formula>$U$1120&gt;=4</formula>
    </cfRule>
  </conditionalFormatting>
  <conditionalFormatting sqref="P1219:W1220">
    <cfRule type="expression" dxfId="2627" priority="8" stopIfTrue="1">
      <formula>$U$1120&gt;=5</formula>
    </cfRule>
  </conditionalFormatting>
  <conditionalFormatting sqref="W43:AJ44">
    <cfRule type="expression" dxfId="2626" priority="7" stopIfTrue="1">
      <formula>W$37="x"</formula>
    </cfRule>
  </conditionalFormatting>
  <conditionalFormatting sqref="AL43:AY44">
    <cfRule type="expression" dxfId="2625" priority="6" stopIfTrue="1">
      <formula>$W$40&gt;=2</formula>
    </cfRule>
  </conditionalFormatting>
  <conditionalFormatting sqref="W46:AJ47">
    <cfRule type="expression" dxfId="2624" priority="5" stopIfTrue="1">
      <formula>$W$40&gt;=3</formula>
    </cfRule>
  </conditionalFormatting>
  <conditionalFormatting sqref="I632:AQ633">
    <cfRule type="expression" dxfId="2623" priority="4" stopIfTrue="1">
      <formula>$U$629&gt;=1</formula>
    </cfRule>
  </conditionalFormatting>
  <conditionalFormatting sqref="I655:AQ656">
    <cfRule type="expression" dxfId="2622" priority="3" stopIfTrue="1">
      <formula>$U$629&gt;=2</formula>
    </cfRule>
  </conditionalFormatting>
  <conditionalFormatting sqref="I679:AQ680">
    <cfRule type="expression" dxfId="2621" priority="2" stopIfTrue="1">
      <formula>$U$629&gt;=3</formula>
    </cfRule>
  </conditionalFormatting>
  <conditionalFormatting sqref="I702:AQ703">
    <cfRule type="expression" dxfId="2620" priority="1" stopIfTrue="1">
      <formula>$U$623&gt;=2</formula>
    </cfRule>
  </conditionalFormatting>
  <dataValidations xWindow="190" yWindow="615" count="17">
    <dataValidation type="list" allowBlank="1" showInputMessage="1" showErrorMessage="1" error="Marque com um &quot;x&quot;, se aplicável." prompt="Marque com um &quot;x&quot;, se aplicável." sqref="B335:D336 B345:D346 B272:D273 B282:D283 B297:D298 B306:D307 B316:D317 B322:D323 B327:D328" xr:uid="{00000000-0002-0000-0100-000000000000}">
      <formula1>"x"</formula1>
    </dataValidation>
    <dataValidation type="whole" allowBlank="1" showInputMessage="1" showErrorMessage="1" sqref="W40:Y41" xr:uid="{00000000-0002-0000-0100-000001000000}">
      <formula1>1</formula1>
      <formula2>99</formula2>
    </dataValidation>
    <dataValidation type="list" allowBlank="1" showInputMessage="1" showErrorMessage="1" sqref="AP17:BA18" xr:uid="{00000000-0002-0000-0100-000002000000}">
      <formula1>"Federal,Estadual,Municipal,OSC,DF"</formula1>
    </dataValidation>
    <dataValidation type="whole" allowBlank="1" showInputMessage="1" showErrorMessage="1" error="Duração do Projeto diferente da permitida pelo Edital, de até 36 meses." prompt="Insira um número inteiro, entre 1 e 36" sqref="O205:R206" xr:uid="{00000000-0002-0000-0100-000004000000}">
      <formula1>1</formula1>
      <formula2>36</formula2>
    </dataValidation>
    <dataValidation type="date" allowBlank="1" showInputMessage="1" showErrorMessage="1" error="Duração do Projeto diferente da permitida pelo Edital, de até 36 meses." sqref="AJ208:AQ209" xr:uid="{00000000-0002-0000-0100-000005000000}">
      <formula1>43647</formula1>
      <formula2>44926</formula2>
    </dataValidation>
    <dataValidation type="whole" allowBlank="1" showInputMessage="1" showErrorMessage="1" prompt="Insira de 1 a 5 etapas" sqref="U629:X630 U752:X753 U874:X875 U997:X998 U1120:X1121" xr:uid="{00000000-0002-0000-0100-000008000000}">
      <formula1>1</formula1>
      <formula2>5</formula2>
    </dataValidation>
    <dataValidation allowBlank="1" showInputMessage="1" showErrorMessage="1" prompt="Discriminar a justificativa de forma sucinta, respeitando o espaço fornecido. Caso sejam necessárias informações adicionais, enviar através de anexo independente." sqref="O442:BA518" xr:uid="{00000000-0002-0000-0100-000009000000}"/>
    <dataValidation type="date" allowBlank="1" showInputMessage="1" showErrorMessage="1" error="Data de início deve ser entre Ago/19 e Dez/2019." prompt="Insira datas no formato mm/aaaa" sqref="O208:V209" xr:uid="{00000000-0002-0000-0100-00000A000000}">
      <formula1>43800</formula1>
      <formula2>43830</formula2>
    </dataValidation>
    <dataValidation type="whole" allowBlank="1" showInputMessage="1" showErrorMessage="1" prompt="Insira de 1 a 5 metas" sqref="U623" xr:uid="{00000000-0002-0000-0100-00000B000000}">
      <formula1>1</formula1>
      <formula2>5</formula2>
    </dataValidation>
    <dataValidation type="decimal" allowBlank="1" showInputMessage="1" showErrorMessage="1" prompt="Insira apenas números!" sqref="O215:AA216" xr:uid="{00000000-0002-0000-0100-00000D000000}">
      <formula1>1</formula1>
      <formula2>999999999.99</formula2>
    </dataValidation>
    <dataValidation type="date" allowBlank="1" showInputMessage="1" showErrorMessage="1" error="A datade de término da etapa deve ser posterior à data de início da etapa e anterior à data de conclusão do projeto!" prompt="Insira datas no formato mm/aaaa" sqref="AF1219:AM1220 AF658:AM659 AF682:AM683 AF705:AM706 AF728:AM729 AF758:AM759 AF781:AM782 AF804:AM805 AF828:AM829 AF851:AM852 AF880:AM881 AF904:AM905 AF927:AM928 AF950:AM951 AF974:AM975 AF1003:AM1004 AF1026:AM1027 AF1050:AM1051 AF1073:AM1074 AF1096:AM1097 AF1126:AM1127 AF1149:AM1150 AF1172:AM1173 AF1196:AM1197 AF635:AM636" xr:uid="{2AA479C1-DCB1-486C-97CB-076606353584}">
      <formula1>P635</formula1>
      <formula2>$AJ$208</formula2>
    </dataValidation>
    <dataValidation allowBlank="1" showInputMessage="1" showErrorMessage="1" prompt="Insira apenas número (sem sinais de &quot;/&quot; ou &quot;.&quot;)" sqref="O17:AA18" xr:uid="{9CF1E9B6-CBC0-43B0-B16D-5257D578BC48}"/>
    <dataValidation type="decimal" allowBlank="1" showInputMessage="1" showErrorMessage="1" error="O valor solicitado não pode ser inferior a R$ 1.000.000,00." prompt="O valor solicitado não pode ser inferior a R$ 1.000.000,00." sqref="O212:AA213" xr:uid="{667A6D73-5383-45FC-A80B-363131D1B571}">
      <formula1>1000000</formula1>
      <formula2>9999999999.99</formula2>
    </dataValidation>
    <dataValidation type="decimal" allowBlank="1" showInputMessage="1" showErrorMessage="1" error="Insira apenas números!" sqref="AS1222:BA1237 AS1199:BA1214 AS1175:BA1190 AS1152:BA1167 AS1129:BA1144 AS1099:BA1114 AS1076:BA1091 AS1053:BA1068 AS1029:BA1044 AS1006:BA1021 AS977:BA992 AS953:BA968 AS930:BA945 AS907:BA922 AS883:BA898 AS854:BA869 AS831:BA846 AS807:BA822 AS784:BA799 AS761:BA776 AS731:BA746 AS708:BA723 AS685:BA700 AS661:BA676 AS638:BA653" xr:uid="{6EEEBBCA-1F14-4C8F-8D9F-6452A7660AA9}">
      <formula1>1</formula1>
      <formula2>999999999.99</formula2>
    </dataValidation>
    <dataValidation allowBlank="1" showInputMessage="1" showErrorMessage="1" prompt="Inserir RG e órgão expedidor." sqref="AO58:BA59" xr:uid="{28575FA6-5AAE-4B2D-81D2-82CCDFD2EB9D}"/>
    <dataValidation type="list" allowBlank="1" showInputMessage="1" showErrorMessage="1" error="Marque com um &quot;x&quot; (minúsculo), se aplicável." prompt="Marque com um &quot;x&quot; (minúsculo), se aplicável." sqref="W37:Y38 AG37:AI38 O201:Q202 Y201:AA202 AI201:AK202 AS201:AU202" xr:uid="{FC067A18-93D6-4AE7-A29D-3B08384076DE}">
      <formula1>"x"</formula1>
    </dataValidation>
    <dataValidation type="date" allowBlank="1" showInputMessage="1" showErrorMessage="1" error="Data de início não permitida." prompt="Insira datas no formato mm/aaaa" sqref="P635:W636 P658:W659 P682:W683 P705:W706 P728:W729 P758:W759 P781:W782 P804:W805 P828:W829 P851:W852 P880:W881 P904:W905 P927:W928 P950:W951 P974:W975 P1003:W1004 P1026:W1027 P1050:W1051 P1073:W1074 P1096:W1097 P1126:W1127 P1149:W1150 P1172:W1173 P1196:W1197 P1219:W1220" xr:uid="{C7B6D266-005E-408B-A7BD-A2C7782672C2}">
      <formula1>$O$208</formula1>
      <formula2>$AJ$208</formula2>
    </dataValidation>
  </dataValidations>
  <hyperlinks>
    <hyperlink ref="B2:BA4" location="MENU!A1" display="ANEXO I - PLANO DE TRABALHO - FORMULÁRIO DESCRITIVO" xr:uid="{FC23642A-5B78-4A5D-9F28-2D2CC04CC6E5}"/>
    <hyperlink ref="B95:BA97" location="MENU!A1" display="PLANO DE TRABALHO - FORMULÁRIO DESCRITIVO" xr:uid="{B114EE8B-5EA1-4A86-9FC3-62CAD8E0CA66}"/>
    <hyperlink ref="B179:BA181" location="MENU!A1" display="PLANO DE TRABALHO - FORMULÁRIO DESCRITIVO" xr:uid="{D25704F2-07C1-4840-95DD-CC9C72092D9B}"/>
    <hyperlink ref="B265:BA267" location="MENU!A1" display="PLANO DE TRABALHO - FORMULÁRIO DESCRITIVO" xr:uid="{76B939FF-A8DD-4AC9-B352-0916B0C73D0B}"/>
    <hyperlink ref="B353:BA355" location="MENU!A1" display="PLANO DE TRABALHO - FORMULÁRIO DESCRITIVO" xr:uid="{76465D03-26CA-4643-8C5C-95B1D7FE27EF}"/>
    <hyperlink ref="B437:BA439" location="MENU!A1" display="PLANO DE TRABALHO - FORMULÁRIO DESCRITIVO" xr:uid="{6A326DFC-91EC-4EB1-8A8D-1FE634F46123}"/>
    <hyperlink ref="B521:BA523" location="MENU!A1" display="PLANO DE TRABALHO - FORMULÁRIO DESCRITIVO" xr:uid="{2805C248-756A-4D76-A235-82A91CA03464}"/>
    <hyperlink ref="B605:BA607" location="MENU!A1" display="PLANO DE TRABALHO - FORMULÁRIO DESCRITIVO" xr:uid="{F61A6B58-964C-412C-B711-958D4FEA52E5}"/>
  </hyperlinks>
  <pageMargins left="0.51181102362204722" right="0.51181102362204722" top="0.78740157480314965" bottom="0.78740157480314965" header="0.31496062992125984" footer="0.31496062992125984"/>
  <pageSetup paperSize="9" orientation="portrait" r:id="rId1"/>
  <rowBreaks count="8" manualBreakCount="8">
    <brk id="677" max="53" man="1"/>
    <brk id="747" max="53" man="1"/>
    <brk id="823" max="53" man="1"/>
    <brk id="899" max="53" man="1"/>
    <brk id="969" max="53" man="1"/>
    <brk id="1045" max="53" man="1"/>
    <brk id="1115" max="53" man="1"/>
    <brk id="1191" max="53" man="1"/>
  </rowBreaks>
  <ignoredErrors>
    <ignoredError sqref="BF664 BF668" numberStoredAsText="1"/>
  </ignoredErrors>
  <drawing r:id="rId2"/>
  <extLst>
    <ext xmlns:x14="http://schemas.microsoft.com/office/spreadsheetml/2009/9/main" uri="{CCE6A557-97BC-4b89-ADB6-D9C93CAAB3DF}">
      <x14:dataValidations xmlns:xm="http://schemas.microsoft.com/office/excel/2006/main" xWindow="190" yWindow="615" count="2">
        <x14:dataValidation type="list" allowBlank="1" showInputMessage="1" showErrorMessage="1" prompt="Selecione o Eixo Temático no qual o projeto se insere (conforme a lista de opções de I a V fornecida) e, a seguir, assinale com um &quot;X&quot; a área (linha temática) abrangida pelo projeto, conforme as opções que surgirem em tela." xr:uid="{00000000-0002-0000-0100-00000E000000}">
          <x14:formula1>
            <xm:f>APOIO!$B$17:$B$21</xm:f>
          </x14:formula1>
          <xm:sqref>O269:BA270</xm:sqref>
        </x14:dataValidation>
        <x14:dataValidation type="list" allowBlank="1" showInputMessage="1" showErrorMessage="1" error="Escolha uma das opções disponíveis na caixa de seleção!" prompt="Selecionar uma das opções da caixa de selação (seta que aparece no canto superior direito da célula, ao clicar em qualquer uma delas)._x000a_Se necessário, consultar a guia de planilha &quot;ELEMENTOS DE DESPESA&quot; (canto inferior direito do arquivo)." xr:uid="{ABA08B9F-4723-444C-85A9-A84F3CE16900}">
          <x14:formula1>
            <xm:f>'Elementos de Despesa'!$C$4:$C$86</xm:f>
          </x14:formula1>
          <xm:sqref>P638:AQ653 P1222:AQ1237 P1199:AQ1214 P1175:AQ1190 P1152:AQ1167 P1129:AQ1144 P1099:AQ1114 P1076:AQ1091 P1053:AQ1068 P1029:AQ1044 P1006:AQ1021 P977:AQ992 P953:AQ968 P930:AQ945 P907:AQ922 P883:AQ898 P854:AQ869 P831:AQ846 P807:AQ822 P784:AQ799 P761:AQ776 P731:AQ746 P708:AQ723 P685:AQ700 P661:AQ676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F32C-786B-434F-B7D7-6383D68A856E}">
  <sheetPr>
    <tabColor theme="7" tint="-0.249977111117893"/>
  </sheetPr>
  <dimension ref="B1:EJ2153"/>
  <sheetViews>
    <sheetView showGridLines="0" showRowColHeaders="0" topLeftCell="A13" zoomScaleNormal="100" zoomScaleSheetLayoutView="100" workbookViewId="0">
      <selection activeCell="AR28" sqref="AR28"/>
    </sheetView>
  </sheetViews>
  <sheetFormatPr defaultColWidth="0" defaultRowHeight="12.75" zeroHeight="1"/>
  <cols>
    <col min="1" max="54" width="1.7109375" style="5" customWidth="1"/>
    <col min="55" max="111" width="1.7109375" style="65" customWidth="1"/>
    <col min="112" max="132" width="1.7109375" style="65" hidden="1" customWidth="1"/>
    <col min="133" max="140" width="1.7109375" style="5" hidden="1" customWidth="1"/>
    <col min="141" max="16384" width="0" style="5" hidden="1"/>
  </cols>
  <sheetData>
    <row r="1" spans="2:111" ht="9" customHeight="1" thickBot="1">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row>
    <row r="2" spans="2:111" ht="9" customHeight="1">
      <c r="B2" s="407" t="s">
        <v>299</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07"/>
      <c r="AP2" s="407"/>
      <c r="AQ2" s="407"/>
      <c r="AR2" s="407"/>
      <c r="AS2" s="407"/>
      <c r="AT2" s="407"/>
      <c r="AU2" s="407"/>
      <c r="AV2" s="407"/>
      <c r="AW2" s="407"/>
      <c r="AX2" s="407"/>
      <c r="AY2" s="407"/>
      <c r="AZ2" s="407"/>
      <c r="BA2" s="408"/>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row>
    <row r="3" spans="2:111" ht="9" customHeight="1">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10"/>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row>
    <row r="4" spans="2:111" ht="9" customHeight="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row>
    <row r="5" spans="2:111" ht="9" customHeight="1">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row>
    <row r="6" spans="2:111" ht="9" customHeight="1">
      <c r="B6" s="289" t="s">
        <v>267</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90"/>
      <c r="BC6" s="82"/>
      <c r="BD6" s="87"/>
      <c r="BE6" s="87"/>
      <c r="BF6" s="87"/>
      <c r="BG6" s="87"/>
      <c r="BH6" s="214" t="s">
        <v>321</v>
      </c>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82"/>
    </row>
    <row r="7" spans="2:111" ht="9" customHeigh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2"/>
      <c r="BC7" s="82"/>
      <c r="BD7" s="87"/>
      <c r="BE7" s="87"/>
      <c r="BF7" s="87"/>
      <c r="BG7" s="87"/>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82"/>
    </row>
    <row r="8" spans="2:111" ht="9" customHeight="1">
      <c r="BC8" s="82"/>
      <c r="BD8" s="82"/>
      <c r="BE8" s="82"/>
      <c r="BF8" s="82"/>
      <c r="BG8" s="82"/>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82"/>
    </row>
    <row r="9" spans="2:111" ht="9" customHeight="1">
      <c r="B9" s="258" t="s">
        <v>87</v>
      </c>
      <c r="C9" s="258"/>
      <c r="D9" s="258"/>
      <c r="E9" s="258"/>
      <c r="F9" s="258"/>
      <c r="G9" s="258"/>
      <c r="H9" s="258"/>
      <c r="I9" s="258"/>
      <c r="J9" s="258"/>
      <c r="K9" s="258"/>
      <c r="L9" s="258"/>
      <c r="N9" s="375">
        <f>IF('(I) Plano de Trabalho'!$O$208="","",'(I) Plano de Trabalho'!$O$208)</f>
        <v>43800</v>
      </c>
      <c r="O9" s="376"/>
      <c r="P9" s="376"/>
      <c r="Q9" s="376"/>
      <c r="R9" s="376"/>
      <c r="S9" s="376"/>
      <c r="T9" s="376"/>
      <c r="U9" s="377"/>
      <c r="Z9" s="413" t="str">
        <f>IF(SUM(Q15:BA15)&gt;0,"O cronograma físico proposto apresenta inconsistências! Verificar quais etapas estão com data de conclusão posterior à data de término do projeto","")</f>
        <v/>
      </c>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C9" s="82"/>
      <c r="BD9" s="82"/>
      <c r="BE9" s="82"/>
      <c r="BF9" s="82"/>
      <c r="BG9" s="82"/>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82"/>
    </row>
    <row r="10" spans="2:111" ht="9" customHeight="1">
      <c r="B10" s="258"/>
      <c r="C10" s="258"/>
      <c r="D10" s="258"/>
      <c r="E10" s="258"/>
      <c r="F10" s="258"/>
      <c r="G10" s="258"/>
      <c r="H10" s="258"/>
      <c r="I10" s="258"/>
      <c r="J10" s="258"/>
      <c r="K10" s="258"/>
      <c r="L10" s="258"/>
      <c r="N10" s="378"/>
      <c r="O10" s="379"/>
      <c r="P10" s="379"/>
      <c r="Q10" s="379"/>
      <c r="R10" s="379"/>
      <c r="S10" s="379"/>
      <c r="T10" s="379"/>
      <c r="U10" s="380"/>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C10" s="82"/>
      <c r="BD10" s="82"/>
      <c r="BE10" s="82"/>
      <c r="BF10" s="82"/>
      <c r="BG10" s="82"/>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82"/>
    </row>
    <row r="11" spans="2:111" ht="9" customHeight="1">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C11" s="82"/>
      <c r="BD11" s="82"/>
      <c r="BE11" s="82"/>
      <c r="BF11" s="82"/>
      <c r="BG11" s="82"/>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82"/>
    </row>
    <row r="12" spans="2:111" ht="9" customHeight="1">
      <c r="B12" s="258" t="s">
        <v>88</v>
      </c>
      <c r="C12" s="258"/>
      <c r="D12" s="258"/>
      <c r="E12" s="258"/>
      <c r="F12" s="258"/>
      <c r="G12" s="258"/>
      <c r="H12" s="258"/>
      <c r="I12" s="258"/>
      <c r="J12" s="258"/>
      <c r="K12" s="258"/>
      <c r="L12" s="258"/>
      <c r="N12" s="375">
        <f>IF('(I) Plano de Trabalho'!$O$208="","",'(I) Plano de Trabalho'!$AJ$208)</f>
        <v>44880</v>
      </c>
      <c r="O12" s="376"/>
      <c r="P12" s="376"/>
      <c r="Q12" s="376"/>
      <c r="R12" s="376"/>
      <c r="S12" s="376"/>
      <c r="T12" s="376"/>
      <c r="U12" s="377"/>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C12" s="82"/>
      <c r="BD12" s="82"/>
      <c r="BE12" s="82"/>
      <c r="BF12" s="82"/>
      <c r="BG12" s="82"/>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82"/>
    </row>
    <row r="13" spans="2:111" ht="9" customHeight="1">
      <c r="B13" s="258"/>
      <c r="C13" s="258"/>
      <c r="D13" s="258"/>
      <c r="E13" s="258"/>
      <c r="F13" s="258"/>
      <c r="G13" s="258"/>
      <c r="H13" s="258"/>
      <c r="I13" s="258"/>
      <c r="J13" s="258"/>
      <c r="K13" s="258"/>
      <c r="L13" s="258"/>
      <c r="N13" s="378"/>
      <c r="O13" s="379"/>
      <c r="P13" s="379"/>
      <c r="Q13" s="379"/>
      <c r="R13" s="379"/>
      <c r="S13" s="379"/>
      <c r="T13" s="379"/>
      <c r="U13" s="380"/>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C13" s="82"/>
      <c r="BD13" s="82"/>
      <c r="BE13" s="82"/>
      <c r="BF13" s="82"/>
      <c r="BG13" s="82"/>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82"/>
    </row>
    <row r="14" spans="2:111" ht="9" customHeight="1">
      <c r="BC14" s="82"/>
      <c r="BD14" s="82"/>
      <c r="BE14" s="82"/>
      <c r="BF14" s="82"/>
      <c r="BG14" s="82"/>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82"/>
    </row>
    <row r="15" spans="2:111" ht="9" customHeight="1">
      <c r="Q15" s="41">
        <f t="shared" ref="Q15:BA15" si="0">IF((COUNTIF(Q21:Q50,"x"))&gt;0,IF(Q16&gt;$N$12,1,0))</f>
        <v>0</v>
      </c>
      <c r="R15" s="41">
        <f t="shared" si="0"/>
        <v>0</v>
      </c>
      <c r="S15" s="41">
        <f t="shared" si="0"/>
        <v>0</v>
      </c>
      <c r="T15" s="41">
        <f t="shared" si="0"/>
        <v>0</v>
      </c>
      <c r="U15" s="41">
        <f t="shared" si="0"/>
        <v>0</v>
      </c>
      <c r="V15" s="41">
        <f t="shared" si="0"/>
        <v>0</v>
      </c>
      <c r="W15" s="41">
        <f t="shared" si="0"/>
        <v>0</v>
      </c>
      <c r="X15" s="41">
        <f t="shared" si="0"/>
        <v>0</v>
      </c>
      <c r="Y15" s="41">
        <f t="shared" si="0"/>
        <v>0</v>
      </c>
      <c r="Z15" s="41">
        <f t="shared" si="0"/>
        <v>0</v>
      </c>
      <c r="AA15" s="41">
        <f t="shared" si="0"/>
        <v>0</v>
      </c>
      <c r="AB15" s="41">
        <f t="shared" si="0"/>
        <v>0</v>
      </c>
      <c r="AC15" s="41">
        <f t="shared" si="0"/>
        <v>0</v>
      </c>
      <c r="AD15" s="41">
        <f t="shared" si="0"/>
        <v>0</v>
      </c>
      <c r="AE15" s="41">
        <f t="shared" si="0"/>
        <v>0</v>
      </c>
      <c r="AF15" s="41">
        <f t="shared" si="0"/>
        <v>0</v>
      </c>
      <c r="AG15" s="41">
        <f t="shared" si="0"/>
        <v>0</v>
      </c>
      <c r="AH15" s="41">
        <f t="shared" si="0"/>
        <v>0</v>
      </c>
      <c r="AI15" s="41">
        <f t="shared" si="0"/>
        <v>0</v>
      </c>
      <c r="AJ15" s="41">
        <f t="shared" si="0"/>
        <v>0</v>
      </c>
      <c r="AK15" s="41">
        <f t="shared" si="0"/>
        <v>0</v>
      </c>
      <c r="AL15" s="41">
        <f t="shared" si="0"/>
        <v>0</v>
      </c>
      <c r="AM15" s="41">
        <f t="shared" si="0"/>
        <v>0</v>
      </c>
      <c r="AN15" s="41">
        <f t="shared" si="0"/>
        <v>0</v>
      </c>
      <c r="AO15" s="41">
        <f t="shared" si="0"/>
        <v>0</v>
      </c>
      <c r="AP15" s="41">
        <f t="shared" si="0"/>
        <v>0</v>
      </c>
      <c r="AQ15" s="41">
        <f t="shared" si="0"/>
        <v>0</v>
      </c>
      <c r="AR15" s="41">
        <f t="shared" si="0"/>
        <v>0</v>
      </c>
      <c r="AS15" s="41">
        <f t="shared" si="0"/>
        <v>0</v>
      </c>
      <c r="AT15" s="41">
        <f t="shared" si="0"/>
        <v>0</v>
      </c>
      <c r="AU15" s="41">
        <f t="shared" si="0"/>
        <v>0</v>
      </c>
      <c r="AV15" s="41">
        <f t="shared" si="0"/>
        <v>0</v>
      </c>
      <c r="AW15" s="41">
        <f t="shared" si="0"/>
        <v>0</v>
      </c>
      <c r="AX15" s="41">
        <f t="shared" si="0"/>
        <v>0</v>
      </c>
      <c r="AY15" s="41">
        <f t="shared" si="0"/>
        <v>0</v>
      </c>
      <c r="AZ15" s="41">
        <f t="shared" si="0"/>
        <v>0</v>
      </c>
      <c r="BA15" s="41" t="b">
        <f t="shared" si="0"/>
        <v>0</v>
      </c>
      <c r="BC15" s="82"/>
      <c r="BD15" s="82"/>
      <c r="BE15" s="82"/>
      <c r="BF15" s="82"/>
      <c r="BG15" s="82"/>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82"/>
    </row>
    <row r="16" spans="2:111" ht="9" customHeight="1">
      <c r="Q16" s="405">
        <f>IF($N$9="","",$N$9)</f>
        <v>43800</v>
      </c>
      <c r="R16" s="403">
        <f>IF(Q16="","",EDATE(Q16,1))</f>
        <v>43831</v>
      </c>
      <c r="S16" s="403">
        <f t="shared" ref="S16:BA16" si="1">IF(R16="","",EDATE(R16,1))</f>
        <v>43862</v>
      </c>
      <c r="T16" s="403">
        <f t="shared" si="1"/>
        <v>43891</v>
      </c>
      <c r="U16" s="403">
        <f t="shared" si="1"/>
        <v>43922</v>
      </c>
      <c r="V16" s="403">
        <f t="shared" si="1"/>
        <v>43952</v>
      </c>
      <c r="W16" s="403">
        <f t="shared" si="1"/>
        <v>43983</v>
      </c>
      <c r="X16" s="403">
        <f t="shared" si="1"/>
        <v>44013</v>
      </c>
      <c r="Y16" s="403">
        <f t="shared" si="1"/>
        <v>44044</v>
      </c>
      <c r="Z16" s="403">
        <f t="shared" si="1"/>
        <v>44075</v>
      </c>
      <c r="AA16" s="403">
        <f t="shared" si="1"/>
        <v>44105</v>
      </c>
      <c r="AB16" s="403">
        <f t="shared" si="1"/>
        <v>44136</v>
      </c>
      <c r="AC16" s="403">
        <f t="shared" si="1"/>
        <v>44166</v>
      </c>
      <c r="AD16" s="403">
        <f t="shared" si="1"/>
        <v>44197</v>
      </c>
      <c r="AE16" s="403">
        <f t="shared" si="1"/>
        <v>44228</v>
      </c>
      <c r="AF16" s="403">
        <f t="shared" si="1"/>
        <v>44256</v>
      </c>
      <c r="AG16" s="403">
        <f t="shared" si="1"/>
        <v>44287</v>
      </c>
      <c r="AH16" s="403">
        <f t="shared" si="1"/>
        <v>44317</v>
      </c>
      <c r="AI16" s="403">
        <f t="shared" si="1"/>
        <v>44348</v>
      </c>
      <c r="AJ16" s="403">
        <f t="shared" si="1"/>
        <v>44378</v>
      </c>
      <c r="AK16" s="403">
        <f t="shared" si="1"/>
        <v>44409</v>
      </c>
      <c r="AL16" s="403">
        <f t="shared" si="1"/>
        <v>44440</v>
      </c>
      <c r="AM16" s="403">
        <f t="shared" si="1"/>
        <v>44470</v>
      </c>
      <c r="AN16" s="403">
        <f t="shared" si="1"/>
        <v>44501</v>
      </c>
      <c r="AO16" s="403">
        <f t="shared" si="1"/>
        <v>44531</v>
      </c>
      <c r="AP16" s="403">
        <f t="shared" si="1"/>
        <v>44562</v>
      </c>
      <c r="AQ16" s="403">
        <f t="shared" si="1"/>
        <v>44593</v>
      </c>
      <c r="AR16" s="403">
        <f t="shared" si="1"/>
        <v>44621</v>
      </c>
      <c r="AS16" s="403">
        <f t="shared" si="1"/>
        <v>44652</v>
      </c>
      <c r="AT16" s="403">
        <f t="shared" si="1"/>
        <v>44682</v>
      </c>
      <c r="AU16" s="403">
        <f t="shared" si="1"/>
        <v>44713</v>
      </c>
      <c r="AV16" s="403">
        <f t="shared" si="1"/>
        <v>44743</v>
      </c>
      <c r="AW16" s="403">
        <f t="shared" si="1"/>
        <v>44774</v>
      </c>
      <c r="AX16" s="403">
        <f t="shared" si="1"/>
        <v>44805</v>
      </c>
      <c r="AY16" s="403">
        <f t="shared" si="1"/>
        <v>44835</v>
      </c>
      <c r="AZ16" s="403">
        <f t="shared" si="1"/>
        <v>44866</v>
      </c>
      <c r="BA16" s="403">
        <f t="shared" si="1"/>
        <v>44896</v>
      </c>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row>
    <row r="17" spans="2:111" ht="9" customHeight="1">
      <c r="Q17" s="406"/>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C17" s="82"/>
      <c r="BD17" s="82"/>
      <c r="BE17" s="88"/>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90"/>
      <c r="DG17" s="82"/>
    </row>
    <row r="18" spans="2:111" ht="9" customHeight="1">
      <c r="E18" s="64"/>
      <c r="Q18" s="406"/>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C18" s="82"/>
      <c r="BD18" s="82"/>
      <c r="BE18" s="91"/>
      <c r="BF18" s="92"/>
      <c r="BG18" s="92"/>
      <c r="BH18" s="390" t="s">
        <v>322</v>
      </c>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3"/>
      <c r="DG18" s="82"/>
    </row>
    <row r="19" spans="2:111" ht="9" customHeight="1">
      <c r="Q19" s="406"/>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C19" s="82"/>
      <c r="BD19" s="82"/>
      <c r="BE19" s="91"/>
      <c r="BF19" s="92"/>
      <c r="BG19" s="92"/>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3"/>
      <c r="DG19" s="82"/>
    </row>
    <row r="20" spans="2:111" ht="9" customHeight="1">
      <c r="Q20" s="39"/>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C20" s="82"/>
      <c r="BD20" s="82"/>
      <c r="BE20" s="91"/>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3"/>
      <c r="DG20" s="82"/>
    </row>
    <row r="21" spans="2:111" ht="15" customHeight="1">
      <c r="B21" s="399" t="str">
        <f>IF('(I) Plano de Trabalho'!$B$626="","",'(I) Plano de Trabalho'!$B$626)</f>
        <v>Meta 1</v>
      </c>
      <c r="C21" s="400"/>
      <c r="D21" s="400"/>
      <c r="E21" s="400"/>
      <c r="F21" s="400"/>
      <c r="G21" s="400"/>
      <c r="H21" s="400"/>
      <c r="I21" s="400"/>
      <c r="J21" s="400"/>
      <c r="K21" s="400"/>
      <c r="L21" s="400"/>
      <c r="M21" s="400"/>
      <c r="N21" s="33">
        <f>MIN(N22:N26)</f>
        <v>43800</v>
      </c>
      <c r="O21" s="34">
        <f>MAX(O22:O26)</f>
        <v>44409</v>
      </c>
      <c r="P21" s="30"/>
      <c r="Q21" s="42" t="str">
        <f>IF(AND($Q$16&gt;=$N21,$Q$16&lt;=$O21),"x","")</f>
        <v>x</v>
      </c>
      <c r="R21" s="32" t="str">
        <f>IF(AND($R$16&gt;=$N21,$R$16&lt;=$O21),"x","")</f>
        <v>x</v>
      </c>
      <c r="S21" s="32" t="str">
        <f>IF(AND($S$16&gt;=$N21,$S$16&lt;=$O21),"x","")</f>
        <v>x</v>
      </c>
      <c r="T21" s="32" t="str">
        <f>IF(AND($T$16&gt;=$N21,$T$16&lt;=$O21),"x","")</f>
        <v>x</v>
      </c>
      <c r="U21" s="32" t="str">
        <f>IF(AND($U$16&gt;=$N21,$U$16&lt;=$O21),"x","")</f>
        <v>x</v>
      </c>
      <c r="V21" s="32" t="str">
        <f>IF(AND($V$16&gt;=$N21,$V$16&lt;=$O21),"x","")</f>
        <v>x</v>
      </c>
      <c r="W21" s="32" t="str">
        <f>IF(AND($W$16&gt;=$N21,$W$16&lt;=$O21),"x","")</f>
        <v>x</v>
      </c>
      <c r="X21" s="32" t="str">
        <f>IF(AND($X$16&gt;=$N21,$X$16&lt;=$O21),"x","")</f>
        <v>x</v>
      </c>
      <c r="Y21" s="32" t="str">
        <f>IF(AND($Y$16&gt;=$N21,$Y$16&lt;=$O21),"x","")</f>
        <v>x</v>
      </c>
      <c r="Z21" s="32" t="str">
        <f>IF(AND($Z$16&gt;=$N21,$Z$16&lt;=$O21),"x","")</f>
        <v>x</v>
      </c>
      <c r="AA21" s="32" t="str">
        <f>IF(AND($AA$16&gt;=$N21,$AA$16&lt;=$O21),"x","")</f>
        <v>x</v>
      </c>
      <c r="AB21" s="32" t="str">
        <f>IF(AND($AB$16&gt;=$N21,$AB$16&lt;=$O21),"x","")</f>
        <v>x</v>
      </c>
      <c r="AC21" s="32" t="str">
        <f>IF(AND($AC$16&gt;=$N21,$AC$16&lt;=$O21),"x","")</f>
        <v>x</v>
      </c>
      <c r="AD21" s="32" t="str">
        <f>IF(AND($AD$16&gt;=$N21,$AD$16&lt;=$O21),"x","")</f>
        <v>x</v>
      </c>
      <c r="AE21" s="32" t="str">
        <f>IF(AND($AE$16&gt;=$N21,$AE$16&lt;=$O21),"x","")</f>
        <v>x</v>
      </c>
      <c r="AF21" s="32" t="str">
        <f>IF(AND($AF$16&gt;=$N21,$AF$16&lt;=$O21),"x","")</f>
        <v>x</v>
      </c>
      <c r="AG21" s="32" t="str">
        <f>IF(AND($AG$16&gt;=$N21,$AG$16&lt;=$O21),"x","")</f>
        <v>x</v>
      </c>
      <c r="AH21" s="32" t="str">
        <f>IF(AND($AH$16&gt;=$N21,$AH$16&lt;=$O21),"x","")</f>
        <v>x</v>
      </c>
      <c r="AI21" s="32" t="str">
        <f>IF(AND($AI$16&gt;=$N21,$AI$16&lt;=$O21),"x","")</f>
        <v>x</v>
      </c>
      <c r="AJ21" s="32" t="str">
        <f>IF(AND($AJ$16&gt;=$N21,$AJ$16&lt;=$O21),"x","")</f>
        <v>x</v>
      </c>
      <c r="AK21" s="32" t="str">
        <f>IF(AND($AK$16&gt;=$N21,$AK$16&lt;=$O21),"x","")</f>
        <v>x</v>
      </c>
      <c r="AL21" s="32" t="str">
        <f>IF(AND($AL$16&gt;=$N21,$AL$16&lt;=$O21),"x","")</f>
        <v/>
      </c>
      <c r="AM21" s="32" t="str">
        <f>IF(AND($AM$16&gt;=$N21,$AM$16&lt;=$O21),"x","")</f>
        <v/>
      </c>
      <c r="AN21" s="32" t="str">
        <f>IF(AND($AN$16&gt;=$N21,$AN$16&lt;=$O21),"x","")</f>
        <v/>
      </c>
      <c r="AO21" s="32" t="str">
        <f>IF(AND($AO$16&gt;=$N21,$AO$16&lt;=$O21),"x","")</f>
        <v/>
      </c>
      <c r="AP21" s="32" t="str">
        <f>IF(AND($AP$16&gt;=$N21,$AP$16&lt;=$O21),"x","")</f>
        <v/>
      </c>
      <c r="AQ21" s="32" t="str">
        <f>IF(AND($AQ$16&gt;=$N21,$AQ$16&lt;=$O21),"x","")</f>
        <v/>
      </c>
      <c r="AR21" s="32" t="str">
        <f>IF(AND($AR$16&gt;=$N21,$AR$16&lt;=$O21),"x","")</f>
        <v/>
      </c>
      <c r="AS21" s="32" t="str">
        <f>IF(AND($AS$16&gt;=$N21,$AS$16&lt;=$O21),"x","")</f>
        <v/>
      </c>
      <c r="AT21" s="32" t="str">
        <f>IF(AND($AT$16&gt;=$N21,$AT$16&lt;=$O21),"x","")</f>
        <v/>
      </c>
      <c r="AU21" s="32" t="str">
        <f>IF(AND($AU$16&gt;=$N21,$AU$16&lt;=$O21),"x","")</f>
        <v/>
      </c>
      <c r="AV21" s="32" t="str">
        <f>IF(AND($AV$16&gt;=$N21,$AV$16&lt;=$O21),"x","")</f>
        <v/>
      </c>
      <c r="AW21" s="32" t="str">
        <f>IF(AND($AW$16&gt;=$N21,$AW$16&lt;=$O21),"x","")</f>
        <v/>
      </c>
      <c r="AX21" s="32" t="str">
        <f>IF(AND($AX$16&gt;=$N21,$AX$16&lt;=$O21),"x","")</f>
        <v/>
      </c>
      <c r="AY21" s="32" t="str">
        <f>IF(AND($AY$16&gt;=$N21,$AY$16&lt;=$O21),"x","")</f>
        <v/>
      </c>
      <c r="AZ21" s="32" t="str">
        <f>IF(AND($AZ$16&gt;=$N21,$AZ$16&lt;=$O21),"x","")</f>
        <v/>
      </c>
      <c r="BA21" s="32" t="str">
        <f>IF(AND($BA$16&gt;=$N21,$BA$16&lt;=$O21),"x","")</f>
        <v/>
      </c>
      <c r="BC21" s="82"/>
      <c r="BD21" s="82"/>
      <c r="BE21" s="91"/>
      <c r="BF21" s="383" t="s">
        <v>310</v>
      </c>
      <c r="BG21" s="384"/>
      <c r="BH21" s="381" t="s">
        <v>324</v>
      </c>
      <c r="BI21" s="381"/>
      <c r="BJ21" s="381"/>
      <c r="BK21" s="381"/>
      <c r="BL21" s="381"/>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c r="CZ21" s="381"/>
      <c r="DA21" s="381"/>
      <c r="DB21" s="381"/>
      <c r="DC21" s="381"/>
      <c r="DD21" s="381"/>
      <c r="DE21" s="381"/>
      <c r="DF21" s="93"/>
      <c r="DG21" s="82"/>
    </row>
    <row r="22" spans="2:111" ht="15" customHeight="1">
      <c r="B22" s="397" t="str">
        <f>IF('(I) Plano de Trabalho'!$B$632="","",'(I) Plano de Trabalho'!$B$632)</f>
        <v>Etapa 1.1</v>
      </c>
      <c r="C22" s="398"/>
      <c r="D22" s="398"/>
      <c r="E22" s="398"/>
      <c r="F22" s="398"/>
      <c r="G22" s="398"/>
      <c r="H22" s="398"/>
      <c r="I22" s="398"/>
      <c r="J22" s="398"/>
      <c r="K22" s="398"/>
      <c r="L22" s="398"/>
      <c r="M22" s="398"/>
      <c r="N22" s="35">
        <f>IF('(I) Plano de Trabalho'!$P$635="","",'(I) Plano de Trabalho'!$P$635)</f>
        <v>43800</v>
      </c>
      <c r="O22" s="36">
        <f>IF('(I) Plano de Trabalho'!$AF$635="","",'(I) Plano de Trabalho'!$AF$635)</f>
        <v>43891</v>
      </c>
      <c r="P22" s="31"/>
      <c r="Q22" s="42" t="str">
        <f>IF(AND($Q$16&gt;=N22,$Q$16&lt;=O22),"x","")</f>
        <v>x</v>
      </c>
      <c r="R22" s="32" t="str">
        <f>IF(AND($R$16&gt;=N22,$R$16&lt;=O22),"x","")</f>
        <v>x</v>
      </c>
      <c r="S22" s="32" t="str">
        <f>IF(AND($S$16&gt;=N22,$S$16&lt;=O22),"x","")</f>
        <v>x</v>
      </c>
      <c r="T22" s="32" t="str">
        <f>IF(AND($T$16&gt;=N22,$T$16&lt;=O22),"x","")</f>
        <v>x</v>
      </c>
      <c r="U22" s="32" t="str">
        <f>IF(AND($U$16&gt;=N22,$U$16&lt;=O22),"x","")</f>
        <v/>
      </c>
      <c r="V22" s="32" t="str">
        <f>IF(AND($V$16&gt;=N22,$V$16&lt;=O22),"x","")</f>
        <v/>
      </c>
      <c r="W22" s="32" t="str">
        <f>IF(AND($W$16&gt;=N22,$W$16&lt;=O22),"x","")</f>
        <v/>
      </c>
      <c r="X22" s="32" t="str">
        <f>IF(AND($X$16&gt;=N22,$X$16&lt;=O22),"x","")</f>
        <v/>
      </c>
      <c r="Y22" s="32" t="str">
        <f>IF(AND($Y$16&gt;=N22,$Y$16&lt;=O22),"x","")</f>
        <v/>
      </c>
      <c r="Z22" s="32" t="str">
        <f>IF(AND($Z$16&gt;=N22,$Z$16&lt;=O22),"x","")</f>
        <v/>
      </c>
      <c r="AA22" s="32" t="str">
        <f>IF(AND($AA$16&gt;=N22,$AA$16&lt;=O22),"x","")</f>
        <v/>
      </c>
      <c r="AB22" s="32" t="str">
        <f>IF(AND($AB$16&gt;=N22,$AB$16&lt;=O22),"x","")</f>
        <v/>
      </c>
      <c r="AC22" s="32" t="str">
        <f>IF(AND($AC$16&gt;=N22,$AC$16&lt;=O22),"x","")</f>
        <v/>
      </c>
      <c r="AD22" s="32" t="str">
        <f>IF(AND($AD$16&gt;=N22,$AD$16&lt;=O22),"x","")</f>
        <v/>
      </c>
      <c r="AE22" s="32" t="str">
        <f>IF(AND($AE$16&gt;=N22,$AE$16&lt;=O22),"x","")</f>
        <v/>
      </c>
      <c r="AF22" s="32" t="str">
        <f>IF(AND($AF$16&gt;=N22,$AF$16&lt;=O22),"x","")</f>
        <v/>
      </c>
      <c r="AG22" s="32" t="str">
        <f>IF(AND($AG$16&gt;=N22,$AG$16&lt;=O22),"x","")</f>
        <v/>
      </c>
      <c r="AH22" s="32" t="str">
        <f>IF(AND($AH$16&gt;=N22,$AH$16&lt;=O22),"x","")</f>
        <v/>
      </c>
      <c r="AI22" s="32" t="str">
        <f>IF(AND($AI$16&gt;=N22,$AI$16&lt;=O22),"x","")</f>
        <v/>
      </c>
      <c r="AJ22" s="32" t="str">
        <f>IF(AND($AJ$16&gt;=N22,$AJ$16&lt;=O22),"x","")</f>
        <v/>
      </c>
      <c r="AK22" s="32" t="str">
        <f>IF(AND($AK$16&gt;=N22,$AK$16&lt;=O22),"x","")</f>
        <v/>
      </c>
      <c r="AL22" s="32" t="str">
        <f>IF(AND($AL$16&gt;=N22,$AL$16&lt;=O22),"x","")</f>
        <v/>
      </c>
      <c r="AM22" s="32" t="str">
        <f>IF(AND($AM$16&gt;=N22,$AM$16&lt;=O22),"x","")</f>
        <v/>
      </c>
      <c r="AN22" s="32" t="str">
        <f>IF(AND($AN$16&gt;=N22,$AN$16&lt;=O22),"x","")</f>
        <v/>
      </c>
      <c r="AO22" s="32" t="str">
        <f>IF(AND($AO$16&gt;=N22,$AO$16&lt;=O22),"x","")</f>
        <v/>
      </c>
      <c r="AP22" s="32" t="str">
        <f>IF(AND($AP$16&gt;=N22,$AP$16&lt;=O22),"x","")</f>
        <v/>
      </c>
      <c r="AQ22" s="32" t="str">
        <f>IF(AND($AQ$16&gt;=N22,$AQ$16&lt;=O22),"x","")</f>
        <v/>
      </c>
      <c r="AR22" s="32" t="str">
        <f>IF(AND($AR$16&gt;=N22,$AR$16&lt;=O22),"x","")</f>
        <v/>
      </c>
      <c r="AS22" s="32" t="str">
        <f>IF(AND($AS$16&gt;=N22,$AS$16&lt;=O22),"x","")</f>
        <v/>
      </c>
      <c r="AT22" s="32" t="str">
        <f>IF(AND($AT$16&gt;=N22,$AT$16&lt;=O22),"x","")</f>
        <v/>
      </c>
      <c r="AU22" s="32" t="str">
        <f>IF(AND($AU$16&gt;=N22,$AU$16&lt;=O22),"x","")</f>
        <v/>
      </c>
      <c r="AV22" s="32" t="str">
        <f>IF(AND($AV$16&gt;=N22,$AV$16&lt;=O22),"x","")</f>
        <v/>
      </c>
      <c r="AW22" s="32" t="str">
        <f>IF(AND($AW$16&gt;=N22,$AW$16&lt;=O22),"x","")</f>
        <v/>
      </c>
      <c r="AX22" s="32" t="str">
        <f>IF(AND($AX$16&gt;=N22,$AX$16&lt;=O22),"x","")</f>
        <v/>
      </c>
      <c r="AY22" s="32" t="str">
        <f>IF(AND($AY$16&gt;=N22,$AY$16&lt;=O22),"x","")</f>
        <v/>
      </c>
      <c r="AZ22" s="32" t="str">
        <f>IF(AND($AZ$16&gt;=N22,$AZ$16&lt;=O22),"x","")</f>
        <v/>
      </c>
      <c r="BA22" s="32" t="str">
        <f>IF(AND($BA$16&gt;=N22,$BA$16&lt;=O22),"x","")</f>
        <v/>
      </c>
      <c r="BC22" s="82"/>
      <c r="BD22" s="82"/>
      <c r="BE22" s="91"/>
      <c r="BF22" s="384"/>
      <c r="BG22" s="384"/>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93"/>
      <c r="DG22" s="82"/>
    </row>
    <row r="23" spans="2:111" ht="15" customHeight="1">
      <c r="B23" s="397" t="str">
        <f>IF('(I) Plano de Trabalho'!$B$655="","",'(I) Plano de Trabalho'!$B$655)</f>
        <v>Etapa 1.2</v>
      </c>
      <c r="C23" s="398"/>
      <c r="D23" s="398"/>
      <c r="E23" s="398"/>
      <c r="F23" s="398"/>
      <c r="G23" s="398"/>
      <c r="H23" s="398"/>
      <c r="I23" s="398"/>
      <c r="J23" s="398"/>
      <c r="K23" s="398"/>
      <c r="L23" s="398"/>
      <c r="M23" s="398"/>
      <c r="N23" s="35">
        <f>IF('(I) Plano de Trabalho'!$P$658="","",'(I) Plano de Trabalho'!$P$658)</f>
        <v>43891</v>
      </c>
      <c r="O23" s="36">
        <f>IF('(I) Plano de Trabalho'!$AF$658="","",'(I) Plano de Trabalho'!$AF$658)</f>
        <v>44075</v>
      </c>
      <c r="P23" s="31"/>
      <c r="Q23" s="42" t="str">
        <f>IF(AND($Q$16&gt;=N23,$Q$16&lt;=O23),"x","")</f>
        <v/>
      </c>
      <c r="R23" s="32" t="str">
        <f>IF(AND($R$16&gt;=N23,$R$16&lt;=O23),"x","")</f>
        <v/>
      </c>
      <c r="S23" s="32" t="str">
        <f>IF(AND($S$16&gt;=N23,$S$16&lt;=O23),"x","")</f>
        <v/>
      </c>
      <c r="T23" s="32" t="str">
        <f>IF(AND($T$16&gt;=N23,$T$16&lt;=O23),"x","")</f>
        <v>x</v>
      </c>
      <c r="U23" s="32" t="str">
        <f>IF(AND($U$16&gt;=N23,$U$16&lt;=O23),"x","")</f>
        <v>x</v>
      </c>
      <c r="V23" s="32" t="str">
        <f>IF(AND($V$16&gt;=N23,$V$16&lt;=O23),"x","")</f>
        <v>x</v>
      </c>
      <c r="W23" s="32" t="str">
        <f>IF(AND($W$16&gt;=N23,$W$16&lt;=O23),"x","")</f>
        <v>x</v>
      </c>
      <c r="X23" s="32" t="str">
        <f>IF(AND($X$16&gt;=N23,$X$16&lt;=O23),"x","")</f>
        <v>x</v>
      </c>
      <c r="Y23" s="32" t="str">
        <f>IF(AND($Y$16&gt;=N23,$Y$16&lt;=O23),"x","")</f>
        <v>x</v>
      </c>
      <c r="Z23" s="32" t="str">
        <f>IF(AND($Z$16&gt;=N23,$Z$16&lt;=O23),"x","")</f>
        <v>x</v>
      </c>
      <c r="AA23" s="32" t="str">
        <f>IF(AND($AA$16&gt;=N23,$AA$16&lt;=O23),"x","")</f>
        <v/>
      </c>
      <c r="AB23" s="32" t="str">
        <f>IF(AND($AB$16&gt;=N23,$AB$16&lt;=O23),"x","")</f>
        <v/>
      </c>
      <c r="AC23" s="32" t="str">
        <f>IF(AND($AC$16&gt;=N23,$AC$16&lt;=O23),"x","")</f>
        <v/>
      </c>
      <c r="AD23" s="32" t="str">
        <f>IF(AND($AD$16&gt;=N23,$AD$16&lt;=O23),"x","")</f>
        <v/>
      </c>
      <c r="AE23" s="32" t="str">
        <f>IF(AND($AE$16&gt;=N23,$AE$16&lt;=O23),"x","")</f>
        <v/>
      </c>
      <c r="AF23" s="32" t="str">
        <f>IF(AND($AF$16&gt;=N23,$AF$16&lt;=O23),"x","")</f>
        <v/>
      </c>
      <c r="AG23" s="32" t="str">
        <f>IF(AND($AG$16&gt;=N23,$AG$16&lt;=O23),"x","")</f>
        <v/>
      </c>
      <c r="AH23" s="32" t="str">
        <f>IF(AND($AH$16&gt;=N23,$AH$16&lt;=O23),"x","")</f>
        <v/>
      </c>
      <c r="AI23" s="32" t="str">
        <f>IF(AND($AI$16&gt;=N23,$AI$16&lt;=O23),"x","")</f>
        <v/>
      </c>
      <c r="AJ23" s="32" t="str">
        <f>IF(AND($AJ$16&gt;=N23,$AJ$16&lt;=O23),"x","")</f>
        <v/>
      </c>
      <c r="AK23" s="32" t="str">
        <f>IF(AND($AK$16&gt;=N23,$AK$16&lt;=O23),"x","")</f>
        <v/>
      </c>
      <c r="AL23" s="32" t="str">
        <f>IF(AND($AL$16&gt;=N23,$AL$16&lt;=O23),"x","")</f>
        <v/>
      </c>
      <c r="AM23" s="32" t="str">
        <f>IF(AND($AM$16&gt;=N23,$AM$16&lt;=O23),"x","")</f>
        <v/>
      </c>
      <c r="AN23" s="32" t="str">
        <f>IF(AND($AN$16&gt;=N23,$AN$16&lt;=O23),"x","")</f>
        <v/>
      </c>
      <c r="AO23" s="32" t="str">
        <f>IF(AND($AO$16&gt;=N23,$AO$16&lt;=O23),"x","")</f>
        <v/>
      </c>
      <c r="AP23" s="32" t="str">
        <f>IF(AND($AP$16&gt;=N23,$AP$16&lt;=O23),"x","")</f>
        <v/>
      </c>
      <c r="AQ23" s="32" t="str">
        <f>IF(AND($AQ$16&gt;=N23,$AQ$16&lt;=O23),"x","")</f>
        <v/>
      </c>
      <c r="AR23" s="32" t="str">
        <f>IF(AND($AR$16&gt;=N23,$AR$16&lt;=O23),"x","")</f>
        <v/>
      </c>
      <c r="AS23" s="32" t="str">
        <f>IF(AND($AS$16&gt;=N23,$AS$16&lt;=O23),"x","")</f>
        <v/>
      </c>
      <c r="AT23" s="32" t="str">
        <f>IF(AND($AT$16&gt;=N23,$AT$16&lt;=O23),"x","")</f>
        <v/>
      </c>
      <c r="AU23" s="32" t="str">
        <f>IF(AND($AU$16&gt;=N23,$AU$16&lt;=O23),"x","")</f>
        <v/>
      </c>
      <c r="AV23" s="32" t="str">
        <f>IF(AND($AV$16&gt;=N23,$AV$16&lt;=O23),"x","")</f>
        <v/>
      </c>
      <c r="AW23" s="32" t="str">
        <f>IF(AND($AW$16&gt;=N23,$AW$16&lt;=O23),"x","")</f>
        <v/>
      </c>
      <c r="AX23" s="32" t="str">
        <f>IF(AND($AX$16&gt;=N23,$AX$16&lt;=O23),"x","")</f>
        <v/>
      </c>
      <c r="AY23" s="32" t="str">
        <f>IF(AND($AY$16&gt;=N23,$AY$16&lt;=O23),"x","")</f>
        <v/>
      </c>
      <c r="AZ23" s="32" t="str">
        <f>IF(AND($AZ$16&gt;=N23,$AZ$16&lt;=O23),"x","")</f>
        <v/>
      </c>
      <c r="BA23" s="32" t="str">
        <f>IF(AND($BA$16&gt;=N23,$BA$16&lt;=O23),"x","")</f>
        <v/>
      </c>
      <c r="BC23" s="82"/>
      <c r="BD23" s="82"/>
      <c r="BE23" s="91"/>
      <c r="BF23" s="92"/>
      <c r="BG23" s="92"/>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3"/>
      <c r="DG23" s="82"/>
    </row>
    <row r="24" spans="2:111" ht="15" customHeight="1">
      <c r="B24" s="397" t="str">
        <f>IF('(I) Plano de Trabalho'!$B$679="","",'(I) Plano de Trabalho'!$B$679)</f>
        <v>Etapa 1.3</v>
      </c>
      <c r="C24" s="398"/>
      <c r="D24" s="398"/>
      <c r="E24" s="398"/>
      <c r="F24" s="398"/>
      <c r="G24" s="398"/>
      <c r="H24" s="398"/>
      <c r="I24" s="398"/>
      <c r="J24" s="398"/>
      <c r="K24" s="398"/>
      <c r="L24" s="398"/>
      <c r="M24" s="398"/>
      <c r="N24" s="35">
        <f>IF('(I) Plano de Trabalho'!$P$682="","",'(I) Plano de Trabalho'!$P$682)</f>
        <v>44075</v>
      </c>
      <c r="O24" s="36">
        <f>IF('(I) Plano de Trabalho'!$AF$682="","",'(I) Plano de Trabalho'!$AF$682)</f>
        <v>44166</v>
      </c>
      <c r="P24" s="31"/>
      <c r="Q24" s="42" t="str">
        <f>IF(AND($Q$16&gt;=N24,$Q$16&lt;=O24),"x","")</f>
        <v/>
      </c>
      <c r="R24" s="32" t="str">
        <f>IF(AND($R$16&gt;=N24,$R$16&lt;=O24),"x","")</f>
        <v/>
      </c>
      <c r="S24" s="32" t="str">
        <f>IF(AND($S$16&gt;=N24,$S$16&lt;=O24),"x","")</f>
        <v/>
      </c>
      <c r="T24" s="32" t="str">
        <f>IF(AND($T$16&gt;=N24,$T$16&lt;=O24),"x","")</f>
        <v/>
      </c>
      <c r="U24" s="32" t="str">
        <f>IF(AND($U$16&gt;=N24,$U$16&lt;=O24),"x","")</f>
        <v/>
      </c>
      <c r="V24" s="32" t="str">
        <f>IF(AND($V$16&gt;=N24,$V$16&lt;=O24),"x","")</f>
        <v/>
      </c>
      <c r="W24" s="32" t="str">
        <f>IF(AND($W$16&gt;=N24,$W$16&lt;=O24),"x","")</f>
        <v/>
      </c>
      <c r="X24" s="32" t="str">
        <f>IF(AND($X$16&gt;=N24,$X$16&lt;=O24),"x","")</f>
        <v/>
      </c>
      <c r="Y24" s="32" t="str">
        <f>IF(AND($Y$16&gt;=N24,$Y$16&lt;=O24),"x","")</f>
        <v/>
      </c>
      <c r="Z24" s="32" t="str">
        <f>IF(AND($Z$16&gt;=N24,$Z$16&lt;=O24),"x","")</f>
        <v>x</v>
      </c>
      <c r="AA24" s="32" t="str">
        <f>IF(AND($AA$16&gt;=N24,$AA$16&lt;=O24),"x","")</f>
        <v>x</v>
      </c>
      <c r="AB24" s="32" t="str">
        <f>IF(AND($AB$16&gt;=N24,$AB$16&lt;=O24),"x","")</f>
        <v>x</v>
      </c>
      <c r="AC24" s="32" t="str">
        <f>IF(AND($AC$16&gt;=N24,$AC$16&lt;=O24),"x","")</f>
        <v>x</v>
      </c>
      <c r="AD24" s="32" t="str">
        <f>IF(AND($AD$16&gt;=N24,$AD$16&lt;=O24),"x","")</f>
        <v/>
      </c>
      <c r="AE24" s="32" t="str">
        <f>IF(AND($AE$16&gt;=N24,$AE$16&lt;=O24),"x","")</f>
        <v/>
      </c>
      <c r="AF24" s="32" t="str">
        <f>IF(AND($AF$16&gt;=N24,$AF$16&lt;=O24),"x","")</f>
        <v/>
      </c>
      <c r="AG24" s="32" t="str">
        <f>IF(AND($AG$16&gt;=N24,$AG$16&lt;=O24),"x","")</f>
        <v/>
      </c>
      <c r="AH24" s="32" t="str">
        <f>IF(AND($AH$16&gt;=N24,$AH$16&lt;=O24),"x","")</f>
        <v/>
      </c>
      <c r="AI24" s="32" t="str">
        <f>IF(AND($AI$16&gt;=N24,$AI$16&lt;=O24),"x","")</f>
        <v/>
      </c>
      <c r="AJ24" s="32" t="str">
        <f>IF(AND($AJ$16&gt;=N24,$AJ$16&lt;=O24),"x","")</f>
        <v/>
      </c>
      <c r="AK24" s="32" t="str">
        <f>IF(AND($AK$16&gt;=N24,$AK$16&lt;=O24),"x","")</f>
        <v/>
      </c>
      <c r="AL24" s="32" t="str">
        <f>IF(AND($AL$16&gt;=N24,$AL$16&lt;=O24),"x","")</f>
        <v/>
      </c>
      <c r="AM24" s="32" t="str">
        <f>IF(AND($AM$16&gt;=N24,$AM$16&lt;=O24),"x","")</f>
        <v/>
      </c>
      <c r="AN24" s="32" t="str">
        <f>IF(AND($AN$16&gt;=N24,$AN$16&lt;=O24),"x","")</f>
        <v/>
      </c>
      <c r="AO24" s="32" t="str">
        <f>IF(AND($AO$16&gt;=N24,$AO$16&lt;=O24),"x","")</f>
        <v/>
      </c>
      <c r="AP24" s="32" t="str">
        <f>IF(AND($AP$16&gt;=N24,$AP$16&lt;=O24),"x","")</f>
        <v/>
      </c>
      <c r="AQ24" s="32" t="str">
        <f>IF(AND($AQ$16&gt;=N24,$AQ$16&lt;=O24),"x","")</f>
        <v/>
      </c>
      <c r="AR24" s="32" t="str">
        <f>IF(AND($AR$16&gt;=N24,$AR$16&lt;=O24),"x","")</f>
        <v/>
      </c>
      <c r="AS24" s="32" t="str">
        <f>IF(AND($AS$16&gt;=N24,$AS$16&lt;=O24),"x","")</f>
        <v/>
      </c>
      <c r="AT24" s="32" t="str">
        <f>IF(AND($AT$16&gt;=N24,$AT$16&lt;=O24),"x","")</f>
        <v/>
      </c>
      <c r="AU24" s="32" t="str">
        <f>IF(AND($AU$16&gt;=N24,$AU$16&lt;=O24),"x","")</f>
        <v/>
      </c>
      <c r="AV24" s="32" t="str">
        <f>IF(AND($AV$16&gt;=N24,$AV$16&lt;=O24),"x","")</f>
        <v/>
      </c>
      <c r="AW24" s="32" t="str">
        <f>IF(AND($AW$16&gt;=N24,$AW$16&lt;=O24),"x","")</f>
        <v/>
      </c>
      <c r="AX24" s="32" t="str">
        <f>IF(AND($AX$16&gt;=N24,$AX$16&lt;=O24),"x","")</f>
        <v/>
      </c>
      <c r="AY24" s="32" t="str">
        <f>IF(AND($AY$16&gt;=N24,$AY$16&lt;=O24),"x","")</f>
        <v/>
      </c>
      <c r="AZ24" s="32" t="str">
        <f>IF(AND($AZ$16&gt;=N24,$AZ$16&lt;=O24),"x","")</f>
        <v/>
      </c>
      <c r="BA24" s="32" t="str">
        <f>IF(AND($BA$16&gt;=N24,$BA$16&lt;=O24),"x","")</f>
        <v/>
      </c>
      <c r="BC24" s="82"/>
      <c r="BD24" s="82"/>
      <c r="BE24" s="91"/>
      <c r="BF24" s="383" t="s">
        <v>311</v>
      </c>
      <c r="BG24" s="384"/>
      <c r="BH24" s="381" t="s">
        <v>323</v>
      </c>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1"/>
      <c r="CV24" s="381"/>
      <c r="CW24" s="381"/>
      <c r="CX24" s="381"/>
      <c r="CY24" s="381"/>
      <c r="CZ24" s="381"/>
      <c r="DA24" s="381"/>
      <c r="DB24" s="381"/>
      <c r="DC24" s="381"/>
      <c r="DD24" s="381"/>
      <c r="DE24" s="381"/>
      <c r="DF24" s="93"/>
      <c r="DG24" s="82"/>
    </row>
    <row r="25" spans="2:111" ht="15" customHeight="1">
      <c r="B25" s="397" t="str">
        <f>IF('(I) Plano de Trabalho'!$B$702="","",'(I) Plano de Trabalho'!$B$702)</f>
        <v>Etapa 1.4</v>
      </c>
      <c r="C25" s="398"/>
      <c r="D25" s="398"/>
      <c r="E25" s="398"/>
      <c r="F25" s="398"/>
      <c r="G25" s="398"/>
      <c r="H25" s="398"/>
      <c r="I25" s="398"/>
      <c r="J25" s="398"/>
      <c r="K25" s="398"/>
      <c r="L25" s="398"/>
      <c r="M25" s="398"/>
      <c r="N25" s="35">
        <f>IF('(I) Plano de Trabalho'!$P$705="","",'(I) Plano de Trabalho'!$P$705)</f>
        <v>43983</v>
      </c>
      <c r="O25" s="36">
        <f>IF('(I) Plano de Trabalho'!$AF$705="","",'(I) Plano de Trabalho'!$AF$705)</f>
        <v>44348</v>
      </c>
      <c r="P25" s="31"/>
      <c r="Q25" s="42" t="str">
        <f>IF(AND($Q$16&gt;=N25,$Q$16&lt;=O25),"x","")</f>
        <v/>
      </c>
      <c r="R25" s="32" t="str">
        <f>IF(AND($R$16&gt;=N25,$R$16&lt;=O25),"x","")</f>
        <v/>
      </c>
      <c r="S25" s="32" t="str">
        <f>IF(AND($S$16&gt;=N25,$S$16&lt;=O25),"x","")</f>
        <v/>
      </c>
      <c r="T25" s="32" t="str">
        <f>IF(AND($T$16&gt;=N25,$T$16&lt;=O25),"x","")</f>
        <v/>
      </c>
      <c r="U25" s="32" t="str">
        <f>IF(AND($U$16&gt;=N25,$U$16&lt;=O25),"x","")</f>
        <v/>
      </c>
      <c r="V25" s="32" t="str">
        <f>IF(AND($V$16&gt;=N25,$V$16&lt;=O25),"x","")</f>
        <v/>
      </c>
      <c r="W25" s="32" t="str">
        <f>IF(AND($W$16&gt;=N25,$W$16&lt;=O25),"x","")</f>
        <v>x</v>
      </c>
      <c r="X25" s="32" t="str">
        <f>IF(AND($X$16&gt;=N25,$X$16&lt;=O25),"x","")</f>
        <v>x</v>
      </c>
      <c r="Y25" s="32" t="str">
        <f>IF(AND($Y$16&gt;=N25,$Y$16&lt;=O25),"x","")</f>
        <v>x</v>
      </c>
      <c r="Z25" s="32" t="str">
        <f>IF(AND($Z$16&gt;=N25,$Z$16&lt;=O25),"x","")</f>
        <v>x</v>
      </c>
      <c r="AA25" s="32" t="str">
        <f>IF(AND($AA$16&gt;=N25,$AA$16&lt;=O25),"x","")</f>
        <v>x</v>
      </c>
      <c r="AB25" s="32" t="str">
        <f>IF(AND($AB$16&gt;=N25,$AB$16&lt;=O25),"x","")</f>
        <v>x</v>
      </c>
      <c r="AC25" s="32" t="str">
        <f>IF(AND($AC$16&gt;=N25,$AC$16&lt;=O25),"x","")</f>
        <v>x</v>
      </c>
      <c r="AD25" s="32" t="str">
        <f>IF(AND($AD$16&gt;=N25,$AD$16&lt;=O25),"x","")</f>
        <v>x</v>
      </c>
      <c r="AE25" s="32" t="str">
        <f>IF(AND($AE$16&gt;=N25,$AE$16&lt;=O25),"x","")</f>
        <v>x</v>
      </c>
      <c r="AF25" s="32" t="str">
        <f>IF(AND($AF$16&gt;=N25,$AF$16&lt;=O25),"x","")</f>
        <v>x</v>
      </c>
      <c r="AG25" s="32" t="str">
        <f>IF(AND($AG$16&gt;=N25,$AG$16&lt;=O25),"x","")</f>
        <v>x</v>
      </c>
      <c r="AH25" s="32" t="str">
        <f>IF(AND($AH$16&gt;=N25,$AH$16&lt;=O25),"x","")</f>
        <v>x</v>
      </c>
      <c r="AI25" s="32" t="str">
        <f>IF(AND($AI$16&gt;=N25,$AI$16&lt;=O25),"x","")</f>
        <v>x</v>
      </c>
      <c r="AJ25" s="32" t="str">
        <f>IF(AND($AJ$16&gt;=N25,$AJ$16&lt;=O25),"x","")</f>
        <v/>
      </c>
      <c r="AK25" s="32" t="str">
        <f>IF(AND($AK$16&gt;=N25,$AK$16&lt;=O25),"x","")</f>
        <v/>
      </c>
      <c r="AL25" s="32" t="str">
        <f>IF(AND($AL$16&gt;=N25,$AL$16&lt;=O25),"x","")</f>
        <v/>
      </c>
      <c r="AM25" s="32" t="str">
        <f>IF(AND($AM$16&gt;=N25,$AM$16&lt;=O25),"x","")</f>
        <v/>
      </c>
      <c r="AN25" s="32" t="str">
        <f>IF(AND($AN$16&gt;=N25,$AN$16&lt;=O25),"x","")</f>
        <v/>
      </c>
      <c r="AO25" s="32" t="str">
        <f>IF(AND($AO$16&gt;=N25,$AO$16&lt;=O25),"x","")</f>
        <v/>
      </c>
      <c r="AP25" s="32" t="str">
        <f>IF(AND($AP$16&gt;=N25,$AP$16&lt;=O25),"x","")</f>
        <v/>
      </c>
      <c r="AQ25" s="32" t="str">
        <f>IF(AND($AQ$16&gt;=N25,$AQ$16&lt;=O25),"x","")</f>
        <v/>
      </c>
      <c r="AR25" s="32" t="str">
        <f>IF(AND($AR$16&gt;=N25,$AR$16&lt;=O25),"x","")</f>
        <v/>
      </c>
      <c r="AS25" s="32" t="str">
        <f>IF(AND($AS$16&gt;=N25,$AS$16&lt;=O25),"x","")</f>
        <v/>
      </c>
      <c r="AT25" s="32" t="str">
        <f>IF(AND($AT$16&gt;=N25,$AT$16&lt;=O25),"x","")</f>
        <v/>
      </c>
      <c r="AU25" s="32" t="str">
        <f>IF(AND($AU$16&gt;=N25,$AU$16&lt;=O25),"x","")</f>
        <v/>
      </c>
      <c r="AV25" s="32" t="str">
        <f>IF(AND($AV$16&gt;=N25,$AV$16&lt;=O25),"x","")</f>
        <v/>
      </c>
      <c r="AW25" s="32" t="str">
        <f>IF(AND($AW$16&gt;=N25,$AW$16&lt;=O25),"x","")</f>
        <v/>
      </c>
      <c r="AX25" s="32" t="str">
        <f>IF(AND($AX$16&gt;=N25,$AX$16&lt;=O25),"x","")</f>
        <v/>
      </c>
      <c r="AY25" s="32" t="str">
        <f>IF(AND($AY$16&gt;=N25,$AY$16&lt;=O25),"x","")</f>
        <v/>
      </c>
      <c r="AZ25" s="32" t="str">
        <f>IF(AND($AZ$16&gt;=N25,$AZ$16&lt;=O25),"x","")</f>
        <v/>
      </c>
      <c r="BA25" s="32" t="str">
        <f>IF(AND($BA$16&gt;=N25,$BA$16&lt;=O25),"x","")</f>
        <v/>
      </c>
      <c r="BC25" s="82"/>
      <c r="BD25" s="82"/>
      <c r="BE25" s="91"/>
      <c r="BF25" s="384"/>
      <c r="BG25" s="384"/>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93"/>
      <c r="DG25" s="82"/>
    </row>
    <row r="26" spans="2:111" ht="15" customHeight="1">
      <c r="B26" s="397" t="str">
        <f>IF('(I) Plano de Trabalho'!$B$725="","",'(I) Plano de Trabalho'!$B$725)</f>
        <v>Etapa 1.5</v>
      </c>
      <c r="C26" s="398"/>
      <c r="D26" s="398"/>
      <c r="E26" s="398"/>
      <c r="F26" s="398"/>
      <c r="G26" s="398"/>
      <c r="H26" s="398"/>
      <c r="I26" s="398"/>
      <c r="J26" s="398"/>
      <c r="K26" s="398"/>
      <c r="L26" s="398"/>
      <c r="M26" s="398"/>
      <c r="N26" s="35">
        <f>IF('(I) Plano de Trabalho'!$P$728="","",'(I) Plano de Trabalho'!$P$728)</f>
        <v>44228</v>
      </c>
      <c r="O26" s="36">
        <f>IF('(I) Plano de Trabalho'!$AF$728="","",'(I) Plano de Trabalho'!$AF$728)</f>
        <v>44409</v>
      </c>
      <c r="P26" s="31"/>
      <c r="Q26" s="42" t="str">
        <f>IF(AND($Q$16&gt;=N26,$Q$16&lt;=O26),"x","")</f>
        <v/>
      </c>
      <c r="R26" s="32" t="str">
        <f>IF(AND($R$16&gt;=N26,$R$16&lt;=O26),"x","")</f>
        <v/>
      </c>
      <c r="S26" s="32" t="str">
        <f>IF(AND($S$16&gt;=N26,$S$16&lt;=O26),"x","")</f>
        <v/>
      </c>
      <c r="T26" s="32" t="str">
        <f>IF(AND($T$16&gt;=N26,$T$16&lt;=O26),"x","")</f>
        <v/>
      </c>
      <c r="U26" s="32" t="str">
        <f>IF(AND($U$16&gt;=N26,$U$16&lt;=O26),"x","")</f>
        <v/>
      </c>
      <c r="V26" s="32" t="str">
        <f>IF(AND($V$16&gt;=N26,$V$16&lt;=O26),"x","")</f>
        <v/>
      </c>
      <c r="W26" s="32" t="str">
        <f>IF(AND($W$16&gt;=N26,$W$16&lt;=O26),"x","")</f>
        <v/>
      </c>
      <c r="X26" s="32" t="str">
        <f>IF(AND($X$16&gt;=N26,$X$16&lt;=O26),"x","")</f>
        <v/>
      </c>
      <c r="Y26" s="32" t="str">
        <f>IF(AND($Y$16&gt;=N26,$Y$16&lt;=O26),"x","")</f>
        <v/>
      </c>
      <c r="Z26" s="32" t="str">
        <f>IF(AND($Z$16&gt;=N26,$Z$16&lt;=O26),"x","")</f>
        <v/>
      </c>
      <c r="AA26" s="32" t="str">
        <f>IF(AND($AA$16&gt;=N26,$AA$16&lt;=O26),"x","")</f>
        <v/>
      </c>
      <c r="AB26" s="32" t="str">
        <f>IF(AND($AB$16&gt;=N26,$AB$16&lt;=O26),"x","")</f>
        <v/>
      </c>
      <c r="AC26" s="32" t="str">
        <f>IF(AND($AC$16&gt;=N26,$AC$16&lt;=O26),"x","")</f>
        <v/>
      </c>
      <c r="AD26" s="32" t="str">
        <f>IF(AND($AD$16&gt;=N26,$AD$16&lt;=O26),"x","")</f>
        <v/>
      </c>
      <c r="AE26" s="32" t="str">
        <f>IF(AND($AE$16&gt;=N26,$AE$16&lt;=O26),"x","")</f>
        <v>x</v>
      </c>
      <c r="AF26" s="32" t="str">
        <f>IF(AND($AF$16&gt;=N26,$AF$16&lt;=O26),"x","")</f>
        <v>x</v>
      </c>
      <c r="AG26" s="32" t="str">
        <f>IF(AND($AG$16&gt;=N26,$AG$16&lt;=O26),"x","")</f>
        <v>x</v>
      </c>
      <c r="AH26" s="32" t="str">
        <f>IF(AND($AH$16&gt;=N26,$AH$16&lt;=O26),"x","")</f>
        <v>x</v>
      </c>
      <c r="AI26" s="32" t="str">
        <f>IF(AND($AI$16&gt;=N26,$AI$16&lt;=O26),"x","")</f>
        <v>x</v>
      </c>
      <c r="AJ26" s="32" t="str">
        <f>IF(AND($AJ$16&gt;=N26,$AJ$16&lt;=O26),"x","")</f>
        <v>x</v>
      </c>
      <c r="AK26" s="32" t="str">
        <f>IF(AND($AK$16&gt;=N26,$AK$16&lt;=O26),"x","")</f>
        <v>x</v>
      </c>
      <c r="AL26" s="32" t="str">
        <f>IF(AND($AL$16&gt;=N26,$AL$16&lt;=O26),"x","")</f>
        <v/>
      </c>
      <c r="AM26" s="32" t="str">
        <f>IF(AND($AM$16&gt;=N26,$AM$16&lt;=O26),"x","")</f>
        <v/>
      </c>
      <c r="AN26" s="32" t="str">
        <f>IF(AND($AN$16&gt;=N26,$AN$16&lt;=O26),"x","")</f>
        <v/>
      </c>
      <c r="AO26" s="32" t="str">
        <f>IF(AND($AO$16&gt;=N26,$AO$16&lt;=O26),"x","")</f>
        <v/>
      </c>
      <c r="AP26" s="32" t="str">
        <f>IF(AND($AP$16&gt;=N26,$AP$16&lt;=O26),"x","")</f>
        <v/>
      </c>
      <c r="AQ26" s="32" t="str">
        <f>IF(AND($AQ$16&gt;=N26,$AQ$16&lt;=O26),"x","")</f>
        <v/>
      </c>
      <c r="AR26" s="32" t="str">
        <f>IF(AND($AR$16&gt;=N26,$AR$16&lt;=O26),"x","")</f>
        <v/>
      </c>
      <c r="AS26" s="32" t="str">
        <f>IF(AND($AS$16&gt;=N26,$AS$16&lt;=O26),"x","")</f>
        <v/>
      </c>
      <c r="AT26" s="32" t="str">
        <f>IF(AND($AT$16&gt;=N26,$AT$16&lt;=O26),"x","")</f>
        <v/>
      </c>
      <c r="AU26" s="32" t="str">
        <f>IF(AND($AU$16&gt;=N26,$AU$16&lt;=O26),"x","")</f>
        <v/>
      </c>
      <c r="AV26" s="32" t="str">
        <f>IF(AND($AV$16&gt;=N26,$AV$16&lt;=O26),"x","")</f>
        <v/>
      </c>
      <c r="AW26" s="32" t="str">
        <f>IF(AND($AW$16&gt;=N26,$AW$16&lt;=O26),"x","")</f>
        <v/>
      </c>
      <c r="AX26" s="32" t="str">
        <f>IF(AND($AX$16&gt;=N26,$AX$16&lt;=O26),"x","")</f>
        <v/>
      </c>
      <c r="AY26" s="32" t="str">
        <f>IF(AND($AY$16&gt;=N26,$AY$16&lt;=O26),"x","")</f>
        <v/>
      </c>
      <c r="AZ26" s="32" t="str">
        <f>IF(AND($AZ$16&gt;=N26,$AZ$16&lt;=O26),"x","")</f>
        <v/>
      </c>
      <c r="BA26" s="32" t="str">
        <f>IF(AND($BA$16&gt;=N26,$BA$16&lt;=O26),"x","")</f>
        <v/>
      </c>
      <c r="BC26" s="82"/>
      <c r="BD26" s="82"/>
      <c r="BE26" s="91"/>
      <c r="BF26" s="92"/>
      <c r="BG26" s="92"/>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3"/>
      <c r="DG26" s="82"/>
    </row>
    <row r="27" spans="2:111" ht="15" customHeight="1">
      <c r="B27" s="399" t="str">
        <f>IF('(I) Plano de Trabalho'!$B$749="","",'(I) Plano de Trabalho'!$B$749)</f>
        <v>Meta 2</v>
      </c>
      <c r="C27" s="400"/>
      <c r="D27" s="400"/>
      <c r="E27" s="400"/>
      <c r="F27" s="400"/>
      <c r="G27" s="400"/>
      <c r="H27" s="400"/>
      <c r="I27" s="400"/>
      <c r="J27" s="400"/>
      <c r="K27" s="400"/>
      <c r="L27" s="400"/>
      <c r="M27" s="400"/>
      <c r="N27" s="33">
        <f>MIN(N28:N32)</f>
        <v>43800</v>
      </c>
      <c r="O27" s="34">
        <f>MAX(O28:O32)</f>
        <v>44531</v>
      </c>
      <c r="P27" s="30"/>
      <c r="Q27" s="42" t="str">
        <f>IF(AND($Q$16&gt;=$N27,$Q$16&lt;=$O27),"x","")</f>
        <v>x</v>
      </c>
      <c r="R27" s="32" t="str">
        <f>IF(AND($R$16&gt;=$N27,$R$16&lt;=$O27),"x","")</f>
        <v>x</v>
      </c>
      <c r="S27" s="32" t="str">
        <f>IF(AND($S$16&gt;=$N27,$S$16&lt;=$O27),"x","")</f>
        <v>x</v>
      </c>
      <c r="T27" s="32" t="str">
        <f>IF(AND($T$16&gt;=$N27,$T$16&lt;=$O27),"x","")</f>
        <v>x</v>
      </c>
      <c r="U27" s="32" t="str">
        <f>IF(AND($U$16&gt;=$N27,$U$16&lt;=$O27),"x","")</f>
        <v>x</v>
      </c>
      <c r="V27" s="32" t="str">
        <f>IF(AND($V$16&gt;=$N27,$V$16&lt;=$O27),"x","")</f>
        <v>x</v>
      </c>
      <c r="W27" s="32" t="str">
        <f>IF(AND($W$16&gt;=$N27,$W$16&lt;=$O27),"x","")</f>
        <v>x</v>
      </c>
      <c r="X27" s="32" t="str">
        <f>IF(AND($X$16&gt;=$N27,$X$16&lt;=$O27),"x","")</f>
        <v>x</v>
      </c>
      <c r="Y27" s="32" t="str">
        <f>IF(AND($Y$16&gt;=$N27,$Y$16&lt;=$O27),"x","")</f>
        <v>x</v>
      </c>
      <c r="Z27" s="32" t="str">
        <f>IF(AND($Z$16&gt;=$N27,$Z$16&lt;=$O27),"x","")</f>
        <v>x</v>
      </c>
      <c r="AA27" s="32" t="str">
        <f>IF(AND($AA$16&gt;=$N27,$AA$16&lt;=$O27),"x","")</f>
        <v>x</v>
      </c>
      <c r="AB27" s="32" t="str">
        <f>IF(AND($AB$16&gt;=$N27,$AB$16&lt;=$O27),"x","")</f>
        <v>x</v>
      </c>
      <c r="AC27" s="32" t="str">
        <f>IF(AND($AC$16&gt;=$N27,$AC$16&lt;=$O27),"x","")</f>
        <v>x</v>
      </c>
      <c r="AD27" s="32" t="str">
        <f>IF(AND($AD$16&gt;=$N27,$AD$16&lt;=$O27),"x","")</f>
        <v>x</v>
      </c>
      <c r="AE27" s="32" t="str">
        <f>IF(AND($AE$16&gt;=$N27,$AE$16&lt;=$O27),"x","")</f>
        <v>x</v>
      </c>
      <c r="AF27" s="32" t="str">
        <f>IF(AND($AF$16&gt;=$N27,$AF$16&lt;=$O27),"x","")</f>
        <v>x</v>
      </c>
      <c r="AG27" s="32" t="str">
        <f>IF(AND($AG$16&gt;=$N27,$AG$16&lt;=$O27),"x","")</f>
        <v>x</v>
      </c>
      <c r="AH27" s="32" t="str">
        <f>IF(AND($AH$16&gt;=$N27,$AH$16&lt;=$O27),"x","")</f>
        <v>x</v>
      </c>
      <c r="AI27" s="32" t="str">
        <f>IF(AND($AI$16&gt;=$N27,$AI$16&lt;=$O27),"x","")</f>
        <v>x</v>
      </c>
      <c r="AJ27" s="32" t="str">
        <f>IF(AND($AJ$16&gt;=$N27,$AJ$16&lt;=$O27),"x","")</f>
        <v>x</v>
      </c>
      <c r="AK27" s="32" t="str">
        <f>IF(AND($AK$16&gt;=$N27,$AK$16&lt;=$O27),"x","")</f>
        <v>x</v>
      </c>
      <c r="AL27" s="32" t="str">
        <f>IF(AND($AL$16&gt;=$N27,$AL$16&lt;=$O27),"x","")</f>
        <v>x</v>
      </c>
      <c r="AM27" s="32" t="str">
        <f>IF(AND($AM$16&gt;=$N27,$AM$16&lt;=$O27),"x","")</f>
        <v>x</v>
      </c>
      <c r="AN27" s="32" t="str">
        <f>IF(AND($AN$16&gt;=$N27,$AN$16&lt;=$O27),"x","")</f>
        <v>x</v>
      </c>
      <c r="AO27" s="32" t="str">
        <f>IF(AND($AO$16&gt;=$N27,$AO$16&lt;=$O27),"x","")</f>
        <v>x</v>
      </c>
      <c r="AP27" s="32" t="str">
        <f>IF(AND($AP$16&gt;=$N27,$AP$16&lt;=$O27),"x","")</f>
        <v/>
      </c>
      <c r="AQ27" s="32" t="str">
        <f>IF(AND($AQ$16&gt;=$N27,$AQ$16&lt;=$O27),"x","")</f>
        <v/>
      </c>
      <c r="AR27" s="32" t="str">
        <f>IF(AND($AR$16&gt;=$N27,$AR$16&lt;=$O27),"x","")</f>
        <v/>
      </c>
      <c r="AS27" s="32" t="str">
        <f>IF(AND($AS$16&gt;=$N27,$AS$16&lt;=$O27),"x","")</f>
        <v/>
      </c>
      <c r="AT27" s="32" t="str">
        <f>IF(AND($AT$16&gt;=$N27,$AT$16&lt;=$O27),"x","")</f>
        <v/>
      </c>
      <c r="AU27" s="32" t="str">
        <f>IF(AND($AU$16&gt;=$N27,$AU$16&lt;=$O27),"x","")</f>
        <v/>
      </c>
      <c r="AV27" s="32" t="str">
        <f>IF(AND($AV$16&gt;=$N27,$AV$16&lt;=$O27),"x","")</f>
        <v/>
      </c>
      <c r="AW27" s="32" t="str">
        <f>IF(AND($AW$16&gt;=$N27,$AW$16&lt;=$O27),"x","")</f>
        <v/>
      </c>
      <c r="AX27" s="32" t="str">
        <f>IF(AND($AX$16&gt;=$N27,$AX$16&lt;=$O27),"x","")</f>
        <v/>
      </c>
      <c r="AY27" s="32" t="str">
        <f>IF(AND($AY$16&gt;=$N27,$AY$16&lt;=$O27),"x","")</f>
        <v/>
      </c>
      <c r="AZ27" s="32" t="str">
        <f>IF(AND($AZ$16&gt;=$N27,$AZ$16&lt;=$O27),"x","")</f>
        <v/>
      </c>
      <c r="BA27" s="32" t="str">
        <f>IF(AND($BA$16&gt;=$N27,$BA$16&lt;=$O27),"x","")</f>
        <v/>
      </c>
      <c r="BC27" s="82"/>
      <c r="BD27" s="82"/>
      <c r="BE27" s="91"/>
      <c r="BF27" s="383" t="s">
        <v>312</v>
      </c>
      <c r="BG27" s="384"/>
      <c r="BH27" s="381" t="s">
        <v>325</v>
      </c>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CZ27" s="381"/>
      <c r="DA27" s="381"/>
      <c r="DB27" s="381"/>
      <c r="DC27" s="381"/>
      <c r="DD27" s="381"/>
      <c r="DE27" s="381"/>
      <c r="DF27" s="94"/>
      <c r="DG27" s="82"/>
    </row>
    <row r="28" spans="2:111" ht="15" customHeight="1">
      <c r="B28" s="397" t="str">
        <f>IF('(I) Plano de Trabalho'!$B$755="","",'(I) Plano de Trabalho'!$B$755)</f>
        <v>Etapa 2.1</v>
      </c>
      <c r="C28" s="398"/>
      <c r="D28" s="398"/>
      <c r="E28" s="398"/>
      <c r="F28" s="398"/>
      <c r="G28" s="398"/>
      <c r="H28" s="398"/>
      <c r="I28" s="398"/>
      <c r="J28" s="398"/>
      <c r="K28" s="398"/>
      <c r="L28" s="398"/>
      <c r="M28" s="398"/>
      <c r="N28" s="35">
        <f>IF('(I) Plano de Trabalho'!$P$758="","",'(I) Plano de Trabalho'!$P$758)</f>
        <v>44166</v>
      </c>
      <c r="O28" s="36">
        <f>IF('(I) Plano de Trabalho'!$AF$758="","",'(I) Plano de Trabalho'!$AF$758)</f>
        <v>44531</v>
      </c>
      <c r="P28" s="31"/>
      <c r="Q28" s="42" t="str">
        <f>IF(AND($Q$16&gt;=N28,$Q$16&lt;=O28),"x","")</f>
        <v/>
      </c>
      <c r="R28" s="32" t="str">
        <f>IF(AND($R$16&gt;=N28,$R$16&lt;=O28),"x","")</f>
        <v/>
      </c>
      <c r="S28" s="32" t="str">
        <f>IF(AND($S$16&gt;=N28,$S$16&lt;=O28),"x","")</f>
        <v/>
      </c>
      <c r="T28" s="32" t="str">
        <f>IF(AND($T$16&gt;=N28,$T$16&lt;=O28),"x","")</f>
        <v/>
      </c>
      <c r="U28" s="32" t="str">
        <f>IF(AND($U$16&gt;=N28,$U$16&lt;=O28),"x","")</f>
        <v/>
      </c>
      <c r="V28" s="32" t="str">
        <f>IF(AND($V$16&gt;=N28,$V$16&lt;=O28),"x","")</f>
        <v/>
      </c>
      <c r="W28" s="32" t="str">
        <f>IF(AND($W$16&gt;=N28,$W$16&lt;=O28),"x","")</f>
        <v/>
      </c>
      <c r="X28" s="32" t="str">
        <f>IF(AND($X$16&gt;=N28,$X$16&lt;=O28),"x","")</f>
        <v/>
      </c>
      <c r="Y28" s="32" t="str">
        <f>IF(AND($Y$16&gt;=N28,$Y$16&lt;=O28),"x","")</f>
        <v/>
      </c>
      <c r="Z28" s="32" t="str">
        <f>IF(AND($Z$16&gt;=N28,$Z$16&lt;=O28),"x","")</f>
        <v/>
      </c>
      <c r="AA28" s="32" t="str">
        <f>IF(AND($AA$16&gt;=N28,$AA$16&lt;=O28),"x","")</f>
        <v/>
      </c>
      <c r="AB28" s="32" t="str">
        <f>IF(AND($AB$16&gt;=N28,$AB$16&lt;=O28),"x","")</f>
        <v/>
      </c>
      <c r="AC28" s="32" t="str">
        <f>IF(AND($AC$16&gt;=N28,$AC$16&lt;=O28),"x","")</f>
        <v>x</v>
      </c>
      <c r="AD28" s="32" t="str">
        <f>IF(AND($AD$16&gt;=N28,$AD$16&lt;=O28),"x","")</f>
        <v>x</v>
      </c>
      <c r="AE28" s="32" t="str">
        <f>IF(AND($AE$16&gt;=N28,$AE$16&lt;=O28),"x","")</f>
        <v>x</v>
      </c>
      <c r="AF28" s="32" t="str">
        <f>IF(AND($AF$16&gt;=N28,$AF$16&lt;=O28),"x","")</f>
        <v>x</v>
      </c>
      <c r="AG28" s="32" t="str">
        <f>IF(AND($AG$16&gt;=N28,$AG$16&lt;=O28),"x","")</f>
        <v>x</v>
      </c>
      <c r="AH28" s="32" t="str">
        <f>IF(AND($AH$16&gt;=N28,$AH$16&lt;=O28),"x","")</f>
        <v>x</v>
      </c>
      <c r="AI28" s="32" t="str">
        <f>IF(AND($AI$16&gt;=N28,$AI$16&lt;=O28),"x","")</f>
        <v>x</v>
      </c>
      <c r="AJ28" s="32" t="str">
        <f>IF(AND($AJ$16&gt;=N28,$AJ$16&lt;=O28),"x","")</f>
        <v>x</v>
      </c>
      <c r="AK28" s="32" t="str">
        <f>IF(AND($AK$16&gt;=N28,$AK$16&lt;=O28),"x","")</f>
        <v>x</v>
      </c>
      <c r="AL28" s="32" t="str">
        <f>IF(AND($AL$16&gt;=N28,$AL$16&lt;=O28),"x","")</f>
        <v>x</v>
      </c>
      <c r="AM28" s="32" t="str">
        <f>IF(AND($AM$16&gt;=N28,$AM$16&lt;=O28),"x","")</f>
        <v>x</v>
      </c>
      <c r="AN28" s="32" t="str">
        <f>IF(AND($AN$16&gt;=N28,$AN$16&lt;=O28),"x","")</f>
        <v>x</v>
      </c>
      <c r="AO28" s="32" t="str">
        <f>IF(AND($AO$16&gt;=N28,$AO$16&lt;=O28),"x","")</f>
        <v>x</v>
      </c>
      <c r="AP28" s="32" t="str">
        <f>IF(AND($AP$16&gt;=N28,$AP$16&lt;=O28),"x","")</f>
        <v/>
      </c>
      <c r="AQ28" s="32" t="str">
        <f>IF(AND($AQ$16&gt;=N28,$AQ$16&lt;=O28),"x","")</f>
        <v/>
      </c>
      <c r="AR28" s="32" t="str">
        <f>IF(AND($AR$16&gt;=N28,$AR$16&lt;=O28),"x","")</f>
        <v/>
      </c>
      <c r="AS28" s="32" t="str">
        <f>IF(AND($AS$16&gt;=N28,$AS$16&lt;=O28),"x","")</f>
        <v/>
      </c>
      <c r="AT28" s="32" t="str">
        <f>IF(AND($AT$16&gt;=N28,$AT$16&lt;=O28),"x","")</f>
        <v/>
      </c>
      <c r="AU28" s="32" t="str">
        <f>IF(AND($AU$16&gt;=N28,$AU$16&lt;=O28),"x","")</f>
        <v/>
      </c>
      <c r="AV28" s="32" t="str">
        <f>IF(AND($AV$16&gt;=N28,$AV$16&lt;=O28),"x","")</f>
        <v/>
      </c>
      <c r="AW28" s="32" t="str">
        <f>IF(AND($AW$16&gt;=N28,$AW$16&lt;=O28),"x","")</f>
        <v/>
      </c>
      <c r="AX28" s="32" t="str">
        <f>IF(AND($AX$16&gt;=N28,$AX$16&lt;=O28),"x","")</f>
        <v/>
      </c>
      <c r="AY28" s="32" t="str">
        <f>IF(AND($AY$16&gt;=N28,$AY$16&lt;=O28),"x","")</f>
        <v/>
      </c>
      <c r="AZ28" s="32" t="str">
        <f>IF(AND($AZ$16&gt;=N28,$AZ$16&lt;=O28),"x","")</f>
        <v/>
      </c>
      <c r="BA28" s="32" t="str">
        <f>IF(AND($BA$16&gt;=N28,$BA$16&lt;=O28),"x","")</f>
        <v/>
      </c>
      <c r="BC28" s="82"/>
      <c r="BD28" s="82"/>
      <c r="BE28" s="97"/>
      <c r="BF28" s="414"/>
      <c r="BG28" s="414"/>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5"/>
      <c r="CR28" s="415"/>
      <c r="CS28" s="415"/>
      <c r="CT28" s="415"/>
      <c r="CU28" s="415"/>
      <c r="CV28" s="415"/>
      <c r="CW28" s="415"/>
      <c r="CX28" s="415"/>
      <c r="CY28" s="415"/>
      <c r="CZ28" s="415"/>
      <c r="DA28" s="415"/>
      <c r="DB28" s="415"/>
      <c r="DC28" s="415"/>
      <c r="DD28" s="415"/>
      <c r="DE28" s="415"/>
      <c r="DF28" s="100"/>
      <c r="DG28" s="82"/>
    </row>
    <row r="29" spans="2:111" ht="15" customHeight="1">
      <c r="B29" s="397" t="str">
        <f>IF('(I) Plano de Trabalho'!$B$778="","",'(I) Plano de Trabalho'!$B$778)</f>
        <v>Etapa 2.2</v>
      </c>
      <c r="C29" s="398"/>
      <c r="D29" s="398"/>
      <c r="E29" s="398"/>
      <c r="F29" s="398"/>
      <c r="G29" s="398"/>
      <c r="H29" s="398"/>
      <c r="I29" s="398"/>
      <c r="J29" s="398"/>
      <c r="K29" s="398"/>
      <c r="L29" s="398"/>
      <c r="M29" s="398"/>
      <c r="N29" s="35">
        <f>IF('(I) Plano de Trabalho'!$P$781="","",'(I) Plano de Trabalho'!$P$781)</f>
        <v>43800</v>
      </c>
      <c r="O29" s="36">
        <f>IF('(I) Plano de Trabalho'!$AF$781="","",'(I) Plano de Trabalho'!$AF$781)</f>
        <v>44531</v>
      </c>
      <c r="P29" s="31"/>
      <c r="Q29" s="42" t="str">
        <f>IF(AND($Q$16&gt;=N29,$Q$16&lt;=O29),"x","")</f>
        <v>x</v>
      </c>
      <c r="R29" s="32" t="str">
        <f>IF(AND($R$16&gt;=N29,$R$16&lt;=O29),"x","")</f>
        <v>x</v>
      </c>
      <c r="S29" s="32" t="str">
        <f>IF(AND($S$16&gt;=N29,$S$16&lt;=O29),"x","")</f>
        <v>x</v>
      </c>
      <c r="T29" s="32" t="str">
        <f>IF(AND($T$16&gt;=N29,$T$16&lt;=O29),"x","")</f>
        <v>x</v>
      </c>
      <c r="U29" s="32" t="str">
        <f>IF(AND($U$16&gt;=N29,$U$16&lt;=O29),"x","")</f>
        <v>x</v>
      </c>
      <c r="V29" s="32" t="str">
        <f>IF(AND($V$16&gt;=N29,$V$16&lt;=O29),"x","")</f>
        <v>x</v>
      </c>
      <c r="W29" s="32" t="str">
        <f>IF(AND($W$16&gt;=N29,$W$16&lt;=O29),"x","")</f>
        <v>x</v>
      </c>
      <c r="X29" s="32" t="str">
        <f>IF(AND($X$16&gt;=N29,$X$16&lt;=O29),"x","")</f>
        <v>x</v>
      </c>
      <c r="Y29" s="32" t="str">
        <f>IF(AND($Y$16&gt;=N29,$Y$16&lt;=O29),"x","")</f>
        <v>x</v>
      </c>
      <c r="Z29" s="32" t="str">
        <f>IF(AND($Z$16&gt;=N29,$Z$16&lt;=O29),"x","")</f>
        <v>x</v>
      </c>
      <c r="AA29" s="32" t="str">
        <f>IF(AND($AA$16&gt;=N29,$AA$16&lt;=O29),"x","")</f>
        <v>x</v>
      </c>
      <c r="AB29" s="32" t="str">
        <f>IF(AND($AB$16&gt;=N29,$AB$16&lt;=O29),"x","")</f>
        <v>x</v>
      </c>
      <c r="AC29" s="32" t="str">
        <f>IF(AND($AC$16&gt;=N29,$AC$16&lt;=O29),"x","")</f>
        <v>x</v>
      </c>
      <c r="AD29" s="32" t="str">
        <f>IF(AND($AD$16&gt;=N29,$AD$16&lt;=O29),"x","")</f>
        <v>x</v>
      </c>
      <c r="AE29" s="32" t="str">
        <f>IF(AND($AE$16&gt;=N29,$AE$16&lt;=O29),"x","")</f>
        <v>x</v>
      </c>
      <c r="AF29" s="32" t="str">
        <f>IF(AND($AF$16&gt;=N29,$AF$16&lt;=O29),"x","")</f>
        <v>x</v>
      </c>
      <c r="AG29" s="32" t="str">
        <f>IF(AND($AG$16&gt;=N29,$AG$16&lt;=O29),"x","")</f>
        <v>x</v>
      </c>
      <c r="AH29" s="32" t="str">
        <f>IF(AND($AH$16&gt;=N29,$AH$16&lt;=O29),"x","")</f>
        <v>x</v>
      </c>
      <c r="AI29" s="32" t="str">
        <f>IF(AND($AI$16&gt;=N29,$AI$16&lt;=O29),"x","")</f>
        <v>x</v>
      </c>
      <c r="AJ29" s="32" t="str">
        <f>IF(AND($AJ$16&gt;=N29,$AJ$16&lt;=O29),"x","")</f>
        <v>x</v>
      </c>
      <c r="AK29" s="32" t="str">
        <f>IF(AND($AK$16&gt;=N29,$AK$16&lt;=O29),"x","")</f>
        <v>x</v>
      </c>
      <c r="AL29" s="32" t="str">
        <f>IF(AND($AL$16&gt;=N29,$AL$16&lt;=O29),"x","")</f>
        <v>x</v>
      </c>
      <c r="AM29" s="32" t="str">
        <f>IF(AND($AM$16&gt;=N29,$AM$16&lt;=O29),"x","")</f>
        <v>x</v>
      </c>
      <c r="AN29" s="32" t="str">
        <f>IF(AND($AN$16&gt;=N29,$AN$16&lt;=O29),"x","")</f>
        <v>x</v>
      </c>
      <c r="AO29" s="32" t="str">
        <f>IF(AND($AO$16&gt;=N29,$AO$16&lt;=O29),"x","")</f>
        <v>x</v>
      </c>
      <c r="AP29" s="32" t="str">
        <f>IF(AND($AP$16&gt;=N29,$AP$16&lt;=O29),"x","")</f>
        <v/>
      </c>
      <c r="AQ29" s="32" t="str">
        <f>IF(AND($AQ$16&gt;=N29,$AQ$16&lt;=O29),"x","")</f>
        <v/>
      </c>
      <c r="AR29" s="32" t="str">
        <f>IF(AND($AR$16&gt;=N29,$AR$16&lt;=O29),"x","")</f>
        <v/>
      </c>
      <c r="AS29" s="32" t="str">
        <f>IF(AND($AS$16&gt;=N29,$AS$16&lt;=O29),"x","")</f>
        <v/>
      </c>
      <c r="AT29" s="32" t="str">
        <f>IF(AND($AT$16&gt;=N29,$AT$16&lt;=O29),"x","")</f>
        <v/>
      </c>
      <c r="AU29" s="32" t="str">
        <f>IF(AND($AU$16&gt;=N29,$AU$16&lt;=O29),"x","")</f>
        <v/>
      </c>
      <c r="AV29" s="32" t="str">
        <f>IF(AND($AV$16&gt;=N29,$AV$16&lt;=O29),"x","")</f>
        <v/>
      </c>
      <c r="AW29" s="32" t="str">
        <f>IF(AND($AW$16&gt;=N29,$AW$16&lt;=O29),"x","")</f>
        <v/>
      </c>
      <c r="AX29" s="32" t="str">
        <f>IF(AND($AX$16&gt;=N29,$AX$16&lt;=O29),"x","")</f>
        <v/>
      </c>
      <c r="AY29" s="32" t="str">
        <f>IF(AND($AY$16&gt;=N29,$AY$16&lt;=O29),"x","")</f>
        <v/>
      </c>
      <c r="AZ29" s="32" t="str">
        <f>IF(AND($AZ$16&gt;=N29,$AZ$16&lt;=O29),"x","")</f>
        <v/>
      </c>
      <c r="BA29" s="32" t="str">
        <f>IF(AND($BA$16&gt;=N29,$BA$16&lt;=O29),"x","")</f>
        <v/>
      </c>
      <c r="BC29" s="82"/>
      <c r="BD29" s="82"/>
      <c r="BE29" s="82"/>
      <c r="BF29" s="82"/>
      <c r="BG29" s="82"/>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2"/>
    </row>
    <row r="30" spans="2:111" ht="15" customHeight="1">
      <c r="B30" s="397" t="str">
        <f>IF('(I) Plano de Trabalho'!$B$801="","",'(I) Plano de Trabalho'!$B$801)</f>
        <v/>
      </c>
      <c r="C30" s="398"/>
      <c r="D30" s="398"/>
      <c r="E30" s="398"/>
      <c r="F30" s="398"/>
      <c r="G30" s="398"/>
      <c r="H30" s="398"/>
      <c r="I30" s="398"/>
      <c r="J30" s="398"/>
      <c r="K30" s="398"/>
      <c r="L30" s="398"/>
      <c r="M30" s="398"/>
      <c r="N30" s="35" t="str">
        <f>IF('(I) Plano de Trabalho'!$P$804="","",'(I) Plano de Trabalho'!$P$804)</f>
        <v/>
      </c>
      <c r="O30" s="36" t="str">
        <f>IF('(I) Plano de Trabalho'!$AF$804="","",'(I) Plano de Trabalho'!$AF$804)</f>
        <v/>
      </c>
      <c r="P30" s="31"/>
      <c r="Q30" s="42" t="str">
        <f>IF(AND($Q$16&gt;=N30,$Q$16&lt;=O30),"x","")</f>
        <v/>
      </c>
      <c r="R30" s="32" t="str">
        <f>IF(AND($R$16&gt;=N30,$R$16&lt;=O30),"x","")</f>
        <v/>
      </c>
      <c r="S30" s="32" t="str">
        <f>IF(AND($S$16&gt;=N30,$S$16&lt;=O30),"x","")</f>
        <v/>
      </c>
      <c r="T30" s="32" t="str">
        <f>IF(AND($T$16&gt;=N30,$T$16&lt;=O30),"x","")</f>
        <v/>
      </c>
      <c r="U30" s="32" t="str">
        <f>IF(AND($U$16&gt;=N30,$U$16&lt;=O30),"x","")</f>
        <v/>
      </c>
      <c r="V30" s="32" t="str">
        <f>IF(AND($V$16&gt;=N30,$V$16&lt;=O30),"x","")</f>
        <v/>
      </c>
      <c r="W30" s="32" t="str">
        <f>IF(AND($W$16&gt;=N30,$W$16&lt;=O30),"x","")</f>
        <v/>
      </c>
      <c r="X30" s="32" t="str">
        <f>IF(AND($X$16&gt;=N30,$X$16&lt;=O30),"x","")</f>
        <v/>
      </c>
      <c r="Y30" s="32" t="str">
        <f>IF(AND($Y$16&gt;=N30,$Y$16&lt;=O30),"x","")</f>
        <v/>
      </c>
      <c r="Z30" s="32" t="str">
        <f>IF(AND($Z$16&gt;=N30,$Z$16&lt;=O30),"x","")</f>
        <v/>
      </c>
      <c r="AA30" s="32" t="str">
        <f>IF(AND($AA$16&gt;=N30,$AA$16&lt;=O30),"x","")</f>
        <v/>
      </c>
      <c r="AB30" s="32" t="str">
        <f>IF(AND($AB$16&gt;=N30,$AB$16&lt;=O30),"x","")</f>
        <v/>
      </c>
      <c r="AC30" s="32" t="str">
        <f>IF(AND($AC$16&gt;=N30,$AC$16&lt;=O30),"x","")</f>
        <v/>
      </c>
      <c r="AD30" s="32" t="str">
        <f>IF(AND($AD$16&gt;=N30,$AD$16&lt;=O30),"x","")</f>
        <v/>
      </c>
      <c r="AE30" s="32" t="str">
        <f>IF(AND($AE$16&gt;=N30,$AE$16&lt;=O30),"x","")</f>
        <v/>
      </c>
      <c r="AF30" s="32" t="str">
        <f>IF(AND($AF$16&gt;=N30,$AF$16&lt;=O30),"x","")</f>
        <v/>
      </c>
      <c r="AG30" s="32" t="str">
        <f>IF(AND($AG$16&gt;=N30,$AG$16&lt;=O30),"x","")</f>
        <v/>
      </c>
      <c r="AH30" s="32" t="str">
        <f>IF(AND($AH$16&gt;=N30,$AH$16&lt;=O30),"x","")</f>
        <v/>
      </c>
      <c r="AI30" s="32" t="str">
        <f>IF(AND($AI$16&gt;=N30,$AI$16&lt;=O30),"x","")</f>
        <v/>
      </c>
      <c r="AJ30" s="32" t="str">
        <f>IF(AND($AJ$16&gt;=N30,$AJ$16&lt;=O30),"x","")</f>
        <v/>
      </c>
      <c r="AK30" s="32" t="str">
        <f>IF(AND($AK$16&gt;=N30,$AK$16&lt;=O30),"x","")</f>
        <v/>
      </c>
      <c r="AL30" s="32" t="str">
        <f>IF(AND($AL$16&gt;=N30,$AL$16&lt;=O30),"x","")</f>
        <v/>
      </c>
      <c r="AM30" s="32" t="str">
        <f>IF(AND($AM$16&gt;=N30,$AM$16&lt;=O30),"x","")</f>
        <v/>
      </c>
      <c r="AN30" s="32" t="str">
        <f>IF(AND($AN$16&gt;=N30,$AN$16&lt;=O30),"x","")</f>
        <v/>
      </c>
      <c r="AO30" s="32" t="str">
        <f>IF(AND($AO$16&gt;=N30,$AO$16&lt;=O30),"x","")</f>
        <v/>
      </c>
      <c r="AP30" s="32" t="str">
        <f>IF(AND($AP$16&gt;=N30,$AP$16&lt;=O30),"x","")</f>
        <v/>
      </c>
      <c r="AQ30" s="32" t="str">
        <f>IF(AND($AQ$16&gt;=N30,$AQ$16&lt;=O30),"x","")</f>
        <v/>
      </c>
      <c r="AR30" s="32" t="str">
        <f>IF(AND($AR$16&gt;=N30,$AR$16&lt;=O30),"x","")</f>
        <v/>
      </c>
      <c r="AS30" s="32" t="str">
        <f>IF(AND($AS$16&gt;=N30,$AS$16&lt;=O30),"x","")</f>
        <v/>
      </c>
      <c r="AT30" s="32" t="str">
        <f>IF(AND($AT$16&gt;=N30,$AT$16&lt;=O30),"x","")</f>
        <v/>
      </c>
      <c r="AU30" s="32" t="str">
        <f>IF(AND($AU$16&gt;=N30,$AU$16&lt;=O30),"x","")</f>
        <v/>
      </c>
      <c r="AV30" s="32" t="str">
        <f>IF(AND($AV$16&gt;=N30,$AV$16&lt;=O30),"x","")</f>
        <v/>
      </c>
      <c r="AW30" s="32" t="str">
        <f>IF(AND($AW$16&gt;=N30,$AW$16&lt;=O30),"x","")</f>
        <v/>
      </c>
      <c r="AX30" s="32" t="str">
        <f>IF(AND($AX$16&gt;=N30,$AX$16&lt;=O30),"x","")</f>
        <v/>
      </c>
      <c r="AY30" s="32" t="str">
        <f>IF(AND($AY$16&gt;=N30,$AY$16&lt;=O30),"x","")</f>
        <v/>
      </c>
      <c r="AZ30" s="32" t="str">
        <f>IF(AND($AZ$16&gt;=N30,$AZ$16&lt;=O30),"x","")</f>
        <v/>
      </c>
      <c r="BA30" s="32" t="str">
        <f>IF(AND($BA$16&gt;=N30,$BA$16&lt;=O30),"x","")</f>
        <v/>
      </c>
      <c r="BC30" s="82"/>
      <c r="BD30" s="82"/>
      <c r="BE30" s="82"/>
      <c r="BF30" s="82"/>
      <c r="BG30" s="82"/>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2"/>
    </row>
    <row r="31" spans="2:111" ht="15" customHeight="1">
      <c r="B31" s="397" t="str">
        <f>IF('(I) Plano de Trabalho'!$B$825="","",'(I) Plano de Trabalho'!$B$825)</f>
        <v/>
      </c>
      <c r="C31" s="398"/>
      <c r="D31" s="398"/>
      <c r="E31" s="398"/>
      <c r="F31" s="398"/>
      <c r="G31" s="398"/>
      <c r="H31" s="398"/>
      <c r="I31" s="398"/>
      <c r="J31" s="398"/>
      <c r="K31" s="398"/>
      <c r="L31" s="398"/>
      <c r="M31" s="398"/>
      <c r="N31" s="35" t="str">
        <f>IF('(I) Plano de Trabalho'!$P$828="","",'(I) Plano de Trabalho'!$P$828)</f>
        <v/>
      </c>
      <c r="O31" s="36" t="str">
        <f>IF('(I) Plano de Trabalho'!$AF$828="","",'(I) Plano de Trabalho'!$AF$828)</f>
        <v/>
      </c>
      <c r="P31" s="31"/>
      <c r="Q31" s="42" t="str">
        <f>IF(AND($Q$16&gt;=N31,$Q$16&lt;=O31),"x","")</f>
        <v/>
      </c>
      <c r="R31" s="32" t="str">
        <f>IF(AND($R$16&gt;=N31,$R$16&lt;=O31),"x","")</f>
        <v/>
      </c>
      <c r="S31" s="32" t="str">
        <f>IF(AND($S$16&gt;=N31,$S$16&lt;=O31),"x","")</f>
        <v/>
      </c>
      <c r="T31" s="32" t="str">
        <f>IF(AND($T$16&gt;=N31,$T$16&lt;=O31),"x","")</f>
        <v/>
      </c>
      <c r="U31" s="32" t="str">
        <f>IF(AND($U$16&gt;=N31,$U$16&lt;=O31),"x","")</f>
        <v/>
      </c>
      <c r="V31" s="32" t="str">
        <f>IF(AND($V$16&gt;=N31,$V$16&lt;=O31),"x","")</f>
        <v/>
      </c>
      <c r="W31" s="32" t="str">
        <f>IF(AND($W$16&gt;=N31,$W$16&lt;=O31),"x","")</f>
        <v/>
      </c>
      <c r="X31" s="32" t="str">
        <f>IF(AND($X$16&gt;=N31,$X$16&lt;=O31),"x","")</f>
        <v/>
      </c>
      <c r="Y31" s="32" t="str">
        <f>IF(AND($Y$16&gt;=N31,$Y$16&lt;=O31),"x","")</f>
        <v/>
      </c>
      <c r="Z31" s="32" t="str">
        <f>IF(AND($Z$16&gt;=N31,$Z$16&lt;=O31),"x","")</f>
        <v/>
      </c>
      <c r="AA31" s="32" t="str">
        <f>IF(AND($AA$16&gt;=N31,$AA$16&lt;=O31),"x","")</f>
        <v/>
      </c>
      <c r="AB31" s="32" t="str">
        <f>IF(AND($AB$16&gt;=N31,$AB$16&lt;=O31),"x","")</f>
        <v/>
      </c>
      <c r="AC31" s="32" t="str">
        <f>IF(AND($AC$16&gt;=N31,$AC$16&lt;=O31),"x","")</f>
        <v/>
      </c>
      <c r="AD31" s="32" t="str">
        <f>IF(AND($AD$16&gt;=N31,$AD$16&lt;=O31),"x","")</f>
        <v/>
      </c>
      <c r="AE31" s="32" t="str">
        <f>IF(AND($AE$16&gt;=N31,$AE$16&lt;=O31),"x","")</f>
        <v/>
      </c>
      <c r="AF31" s="32" t="str">
        <f>IF(AND($AF$16&gt;=N31,$AF$16&lt;=O31),"x","")</f>
        <v/>
      </c>
      <c r="AG31" s="32" t="str">
        <f>IF(AND($AG$16&gt;=N31,$AG$16&lt;=O31),"x","")</f>
        <v/>
      </c>
      <c r="AH31" s="32" t="str">
        <f>IF(AND($AH$16&gt;=N31,$AH$16&lt;=O31),"x","")</f>
        <v/>
      </c>
      <c r="AI31" s="32" t="str">
        <f>IF(AND($AI$16&gt;=N31,$AI$16&lt;=O31),"x","")</f>
        <v/>
      </c>
      <c r="AJ31" s="32" t="str">
        <f>IF(AND($AJ$16&gt;=N31,$AJ$16&lt;=O31),"x","")</f>
        <v/>
      </c>
      <c r="AK31" s="32" t="str">
        <f>IF(AND($AK$16&gt;=N31,$AK$16&lt;=O31),"x","")</f>
        <v/>
      </c>
      <c r="AL31" s="32" t="str">
        <f>IF(AND($AL$16&gt;=N31,$AL$16&lt;=O31),"x","")</f>
        <v/>
      </c>
      <c r="AM31" s="32" t="str">
        <f>IF(AND($AM$16&gt;=N31,$AM$16&lt;=O31),"x","")</f>
        <v/>
      </c>
      <c r="AN31" s="32" t="str">
        <f>IF(AND($AN$16&gt;=N31,$AN$16&lt;=O31),"x","")</f>
        <v/>
      </c>
      <c r="AO31" s="32" t="str">
        <f>IF(AND($AO$16&gt;=N31,$AO$16&lt;=O31),"x","")</f>
        <v/>
      </c>
      <c r="AP31" s="32" t="str">
        <f>IF(AND($AP$16&gt;=N31,$AP$16&lt;=O31),"x","")</f>
        <v/>
      </c>
      <c r="AQ31" s="32" t="str">
        <f>IF(AND($AQ$16&gt;=N31,$AQ$16&lt;=O31),"x","")</f>
        <v/>
      </c>
      <c r="AR31" s="32" t="str">
        <f>IF(AND($AR$16&gt;=N31,$AR$16&lt;=O31),"x","")</f>
        <v/>
      </c>
      <c r="AS31" s="32" t="str">
        <f>IF(AND($AS$16&gt;=N31,$AS$16&lt;=O31),"x","")</f>
        <v/>
      </c>
      <c r="AT31" s="32" t="str">
        <f>IF(AND($AT$16&gt;=N31,$AT$16&lt;=O31),"x","")</f>
        <v/>
      </c>
      <c r="AU31" s="32" t="str">
        <f>IF(AND($AU$16&gt;=N31,$AU$16&lt;=O31),"x","")</f>
        <v/>
      </c>
      <c r="AV31" s="32" t="str">
        <f>IF(AND($AV$16&gt;=N31,$AV$16&lt;=O31),"x","")</f>
        <v/>
      </c>
      <c r="AW31" s="32" t="str">
        <f>IF(AND($AW$16&gt;=N31,$AW$16&lt;=O31),"x","")</f>
        <v/>
      </c>
      <c r="AX31" s="32" t="str">
        <f>IF(AND($AX$16&gt;=N31,$AX$16&lt;=O31),"x","")</f>
        <v/>
      </c>
      <c r="AY31" s="32" t="str">
        <f>IF(AND($AY$16&gt;=N31,$AY$16&lt;=O31),"x","")</f>
        <v/>
      </c>
      <c r="AZ31" s="32" t="str">
        <f>IF(AND($AZ$16&gt;=N31,$AZ$16&lt;=O31),"x","")</f>
        <v/>
      </c>
      <c r="BA31" s="32" t="str">
        <f>IF(AND($BA$16&gt;=N31,$BA$16&lt;=O31),"x","")</f>
        <v/>
      </c>
      <c r="BC31" s="82"/>
      <c r="BD31" s="82"/>
      <c r="BE31" s="82"/>
      <c r="BF31" s="82"/>
      <c r="BG31" s="82"/>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2"/>
    </row>
    <row r="32" spans="2:111" ht="15" customHeight="1">
      <c r="B32" s="397" t="str">
        <f>IF('(I) Plano de Trabalho'!$B$848="","",'(I) Plano de Trabalho'!$B$848)</f>
        <v/>
      </c>
      <c r="C32" s="398"/>
      <c r="D32" s="398"/>
      <c r="E32" s="398"/>
      <c r="F32" s="398"/>
      <c r="G32" s="398"/>
      <c r="H32" s="398"/>
      <c r="I32" s="398"/>
      <c r="J32" s="398"/>
      <c r="K32" s="398"/>
      <c r="L32" s="398"/>
      <c r="M32" s="398"/>
      <c r="N32" s="35" t="str">
        <f>IF('(I) Plano de Trabalho'!$P$851="","",'(I) Plano de Trabalho'!$P$851)</f>
        <v/>
      </c>
      <c r="O32" s="36" t="str">
        <f>IF('(I) Plano de Trabalho'!$AF$851="","",'(I) Plano de Trabalho'!$AF$851)</f>
        <v/>
      </c>
      <c r="P32" s="31"/>
      <c r="Q32" s="42" t="str">
        <f>IF(AND($Q$16&gt;=N32,$Q$16&lt;=O32),"x","")</f>
        <v/>
      </c>
      <c r="R32" s="32" t="str">
        <f>IF(AND($R$16&gt;=N32,$R$16&lt;=O32),"x","")</f>
        <v/>
      </c>
      <c r="S32" s="32" t="str">
        <f>IF(AND($S$16&gt;=N32,$S$16&lt;=O32),"x","")</f>
        <v/>
      </c>
      <c r="T32" s="32" t="str">
        <f>IF(AND($T$16&gt;=N32,$T$16&lt;=O32),"x","")</f>
        <v/>
      </c>
      <c r="U32" s="32" t="str">
        <f>IF(AND($U$16&gt;=N32,$U$16&lt;=O32),"x","")</f>
        <v/>
      </c>
      <c r="V32" s="32" t="str">
        <f>IF(AND($V$16&gt;=N32,$V$16&lt;=O32),"x","")</f>
        <v/>
      </c>
      <c r="W32" s="32" t="str">
        <f>IF(AND($W$16&gt;=N32,$W$16&lt;=O32),"x","")</f>
        <v/>
      </c>
      <c r="X32" s="32" t="str">
        <f>IF(AND($X$16&gt;=N32,$X$16&lt;=O32),"x","")</f>
        <v/>
      </c>
      <c r="Y32" s="32" t="str">
        <f>IF(AND($Y$16&gt;=N32,$Y$16&lt;=O32),"x","")</f>
        <v/>
      </c>
      <c r="Z32" s="32" t="str">
        <f>IF(AND($Z$16&gt;=N32,$Z$16&lt;=O32),"x","")</f>
        <v/>
      </c>
      <c r="AA32" s="32" t="str">
        <f>IF(AND($AA$16&gt;=N32,$AA$16&lt;=O32),"x","")</f>
        <v/>
      </c>
      <c r="AB32" s="32" t="str">
        <f>IF(AND($AB$16&gt;=N32,$AB$16&lt;=O32),"x","")</f>
        <v/>
      </c>
      <c r="AC32" s="32" t="str">
        <f>IF(AND($AC$16&gt;=N32,$AC$16&lt;=O32),"x","")</f>
        <v/>
      </c>
      <c r="AD32" s="32" t="str">
        <f>IF(AND($AD$16&gt;=N32,$AD$16&lt;=O32),"x","")</f>
        <v/>
      </c>
      <c r="AE32" s="32" t="str">
        <f>IF(AND($AE$16&gt;=N32,$AE$16&lt;=O32),"x","")</f>
        <v/>
      </c>
      <c r="AF32" s="32" t="str">
        <f>IF(AND($AF$16&gt;=N32,$AF$16&lt;=O32),"x","")</f>
        <v/>
      </c>
      <c r="AG32" s="32" t="str">
        <f>IF(AND($AG$16&gt;=N32,$AG$16&lt;=O32),"x","")</f>
        <v/>
      </c>
      <c r="AH32" s="32" t="str">
        <f>IF(AND($AH$16&gt;=N32,$AH$16&lt;=O32),"x","")</f>
        <v/>
      </c>
      <c r="AI32" s="32" t="str">
        <f>IF(AND($AI$16&gt;=N32,$AI$16&lt;=O32),"x","")</f>
        <v/>
      </c>
      <c r="AJ32" s="32" t="str">
        <f>IF(AND($AJ$16&gt;=N32,$AJ$16&lt;=O32),"x","")</f>
        <v/>
      </c>
      <c r="AK32" s="32" t="str">
        <f>IF(AND($AK$16&gt;=N32,$AK$16&lt;=O32),"x","")</f>
        <v/>
      </c>
      <c r="AL32" s="32" t="str">
        <f>IF(AND($AL$16&gt;=N32,$AL$16&lt;=O32),"x","")</f>
        <v/>
      </c>
      <c r="AM32" s="32" t="str">
        <f>IF(AND($AM$16&gt;=N32,$AM$16&lt;=O32),"x","")</f>
        <v/>
      </c>
      <c r="AN32" s="32" t="str">
        <f>IF(AND($AN$16&gt;=N32,$AN$16&lt;=O32),"x","")</f>
        <v/>
      </c>
      <c r="AO32" s="32" t="str">
        <f>IF(AND($AO$16&gt;=N32,$AO$16&lt;=O32),"x","")</f>
        <v/>
      </c>
      <c r="AP32" s="32" t="str">
        <f>IF(AND($AP$16&gt;=N32,$AP$16&lt;=O32),"x","")</f>
        <v/>
      </c>
      <c r="AQ32" s="32" t="str">
        <f>IF(AND($AQ$16&gt;=N32,$AQ$16&lt;=O32),"x","")</f>
        <v/>
      </c>
      <c r="AR32" s="32" t="str">
        <f>IF(AND($AR$16&gt;=N32,$AR$16&lt;=O32),"x","")</f>
        <v/>
      </c>
      <c r="AS32" s="32" t="str">
        <f>IF(AND($AS$16&gt;=N32,$AS$16&lt;=O32),"x","")</f>
        <v/>
      </c>
      <c r="AT32" s="32" t="str">
        <f>IF(AND($AT$16&gt;=N32,$AT$16&lt;=O32),"x","")</f>
        <v/>
      </c>
      <c r="AU32" s="32" t="str">
        <f>IF(AND($AU$16&gt;=N32,$AU$16&lt;=O32),"x","")</f>
        <v/>
      </c>
      <c r="AV32" s="32" t="str">
        <f>IF(AND($AV$16&gt;=N32,$AV$16&lt;=O32),"x","")</f>
        <v/>
      </c>
      <c r="AW32" s="32" t="str">
        <f>IF(AND($AW$16&gt;=N32,$AW$16&lt;=O32),"x","")</f>
        <v/>
      </c>
      <c r="AX32" s="32" t="str">
        <f>IF(AND($AX$16&gt;=N32,$AX$16&lt;=O32),"x","")</f>
        <v/>
      </c>
      <c r="AY32" s="32" t="str">
        <f>IF(AND($AY$16&gt;=N32,$AY$16&lt;=O32),"x","")</f>
        <v/>
      </c>
      <c r="AZ32" s="32" t="str">
        <f>IF(AND($AZ$16&gt;=N32,$AZ$16&lt;=O32),"x","")</f>
        <v/>
      </c>
      <c r="BA32" s="32" t="str">
        <f>IF(AND($BA$16&gt;=N32,$BA$16&lt;=O32),"x","")</f>
        <v/>
      </c>
      <c r="BC32" s="82"/>
      <c r="BD32" s="82"/>
      <c r="BE32" s="82"/>
      <c r="BF32" s="82"/>
      <c r="BG32" s="82"/>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2"/>
    </row>
    <row r="33" spans="2:111" ht="15" customHeight="1">
      <c r="B33" s="399" t="str">
        <f>IF('(I) Plano de Trabalho'!$B$871="","",'(I) Plano de Trabalho'!$B$871)</f>
        <v>Meta 3</v>
      </c>
      <c r="C33" s="400"/>
      <c r="D33" s="400"/>
      <c r="E33" s="400"/>
      <c r="F33" s="400"/>
      <c r="G33" s="400"/>
      <c r="H33" s="400"/>
      <c r="I33" s="400"/>
      <c r="J33" s="400"/>
      <c r="K33" s="400"/>
      <c r="L33" s="400"/>
      <c r="M33" s="400"/>
      <c r="N33" s="33">
        <f>MIN(N34:N38)</f>
        <v>44562</v>
      </c>
      <c r="O33" s="34">
        <f>MAX(O34:O38)</f>
        <v>44774</v>
      </c>
      <c r="P33" s="30"/>
      <c r="Q33" s="42" t="str">
        <f>IF(AND($Q$16&gt;=$N33,$Q$16&lt;=$O33),"x","")</f>
        <v/>
      </c>
      <c r="R33" s="32" t="str">
        <f>IF(AND($R$16&gt;=$N33,$R$16&lt;=$O33),"x","")</f>
        <v/>
      </c>
      <c r="S33" s="32" t="str">
        <f>IF(AND($S$16&gt;=$N33,$S$16&lt;=$O33),"x","")</f>
        <v/>
      </c>
      <c r="T33" s="32" t="str">
        <f>IF(AND($T$16&gt;=$N33,$T$16&lt;=$O33),"x","")</f>
        <v/>
      </c>
      <c r="U33" s="32" t="str">
        <f>IF(AND($U$16&gt;=$N33,$U$16&lt;=$O33),"x","")</f>
        <v/>
      </c>
      <c r="V33" s="32" t="str">
        <f>IF(AND($V$16&gt;=$N33,$V$16&lt;=$O33),"x","")</f>
        <v/>
      </c>
      <c r="W33" s="32" t="str">
        <f>IF(AND($W$16&gt;=$N33,$W$16&lt;=$O33),"x","")</f>
        <v/>
      </c>
      <c r="X33" s="32" t="str">
        <f>IF(AND($X$16&gt;=$N33,$X$16&lt;=$O33),"x","")</f>
        <v/>
      </c>
      <c r="Y33" s="32" t="str">
        <f>IF(AND($Y$16&gt;=$N33,$Y$16&lt;=$O33),"x","")</f>
        <v/>
      </c>
      <c r="Z33" s="32" t="str">
        <f>IF(AND($Z$16&gt;=$N33,$Z$16&lt;=$O33),"x","")</f>
        <v/>
      </c>
      <c r="AA33" s="32" t="str">
        <f>IF(AND($AA$16&gt;=$N33,$AA$16&lt;=$O33),"x","")</f>
        <v/>
      </c>
      <c r="AB33" s="32" t="str">
        <f>IF(AND($AB$16&gt;=$N33,$AB$16&lt;=$O33),"x","")</f>
        <v/>
      </c>
      <c r="AC33" s="32" t="str">
        <f>IF(AND($AC$16&gt;=$N33,$AC$16&lt;=$O33),"x","")</f>
        <v/>
      </c>
      <c r="AD33" s="32" t="str">
        <f>IF(AND($AD$16&gt;=$N33,$AD$16&lt;=$O33),"x","")</f>
        <v/>
      </c>
      <c r="AE33" s="32" t="str">
        <f>IF(AND($AE$16&gt;=$N33,$AE$16&lt;=$O33),"x","")</f>
        <v/>
      </c>
      <c r="AF33" s="32" t="str">
        <f>IF(AND($AF$16&gt;=$N33,$AF$16&lt;=$O33),"x","")</f>
        <v/>
      </c>
      <c r="AG33" s="32" t="str">
        <f>IF(AND($AG$16&gt;=$N33,$AG$16&lt;=$O33),"x","")</f>
        <v/>
      </c>
      <c r="AH33" s="32" t="str">
        <f>IF(AND($AH$16&gt;=$N33,$AH$16&lt;=$O33),"x","")</f>
        <v/>
      </c>
      <c r="AI33" s="32" t="str">
        <f>IF(AND($AI$16&gt;=$N33,$AI$16&lt;=$O33),"x","")</f>
        <v/>
      </c>
      <c r="AJ33" s="32" t="str">
        <f>IF(AND($AJ$16&gt;=$N33,$AJ$16&lt;=$O33),"x","")</f>
        <v/>
      </c>
      <c r="AK33" s="32" t="str">
        <f>IF(AND($AK$16&gt;=$N33,$AK$16&lt;=$O33),"x","")</f>
        <v/>
      </c>
      <c r="AL33" s="32" t="str">
        <f>IF(AND($AL$16&gt;=$N33,$AL$16&lt;=$O33),"x","")</f>
        <v/>
      </c>
      <c r="AM33" s="32" t="str">
        <f>IF(AND($AM$16&gt;=$N33,$AM$16&lt;=$O33),"x","")</f>
        <v/>
      </c>
      <c r="AN33" s="32" t="str">
        <f>IF(AND($AN$16&gt;=$N33,$AN$16&lt;=$O33),"x","")</f>
        <v/>
      </c>
      <c r="AO33" s="32" t="str">
        <f>IF(AND($AO$16&gt;=$N33,$AO$16&lt;=$O33),"x","")</f>
        <v/>
      </c>
      <c r="AP33" s="32" t="str">
        <f>IF(AND($AP$16&gt;=$N33,$AP$16&lt;=$O33),"x","")</f>
        <v>x</v>
      </c>
      <c r="AQ33" s="32" t="str">
        <f>IF(AND($AQ$16&gt;=$N33,$AQ$16&lt;=$O33),"x","")</f>
        <v>x</v>
      </c>
      <c r="AR33" s="32" t="str">
        <f>IF(AND($AR$16&gt;=$N33,$AR$16&lt;=$O33),"x","")</f>
        <v>x</v>
      </c>
      <c r="AS33" s="32" t="str">
        <f>IF(AND($AS$16&gt;=$N33,$AS$16&lt;=$O33),"x","")</f>
        <v>x</v>
      </c>
      <c r="AT33" s="32" t="str">
        <f>IF(AND($AT$16&gt;=$N33,$AT$16&lt;=$O33),"x","")</f>
        <v>x</v>
      </c>
      <c r="AU33" s="32" t="str">
        <f>IF(AND($AU$16&gt;=$N33,$AU$16&lt;=$O33),"x","")</f>
        <v>x</v>
      </c>
      <c r="AV33" s="32" t="str">
        <f>IF(AND($AV$16&gt;=$N33,$AV$16&lt;=$O33),"x","")</f>
        <v>x</v>
      </c>
      <c r="AW33" s="32" t="str">
        <f>IF(AND($AW$16&gt;=$N33,$AW$16&lt;=$O33),"x","")</f>
        <v>x</v>
      </c>
      <c r="AX33" s="32" t="str">
        <f>IF(AND($AX$16&gt;=$N33,$AX$16&lt;=$O33),"x","")</f>
        <v/>
      </c>
      <c r="AY33" s="32" t="str">
        <f>IF(AND($AY$16&gt;=$N33,$AY$16&lt;=$O33),"x","")</f>
        <v/>
      </c>
      <c r="AZ33" s="32" t="str">
        <f>IF(AND($AZ$16&gt;=$N33,$AZ$16&lt;=$O33),"x","")</f>
        <v/>
      </c>
      <c r="BA33" s="32" t="str">
        <f>IF(AND($BA$16&gt;=$N33,$BA$16&lt;=$O33),"x","")</f>
        <v/>
      </c>
      <c r="BC33" s="82"/>
      <c r="BD33" s="82"/>
      <c r="BE33" s="82"/>
      <c r="BF33" s="82"/>
      <c r="BG33" s="82"/>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2"/>
    </row>
    <row r="34" spans="2:111" ht="15" customHeight="1">
      <c r="B34" s="397" t="str">
        <f>IF('(I) Plano de Trabalho'!$B$877="","",'(I) Plano de Trabalho'!$B$877)</f>
        <v>Etapa 3.1</v>
      </c>
      <c r="C34" s="398"/>
      <c r="D34" s="398"/>
      <c r="E34" s="398"/>
      <c r="F34" s="398"/>
      <c r="G34" s="398"/>
      <c r="H34" s="398"/>
      <c r="I34" s="398"/>
      <c r="J34" s="398"/>
      <c r="K34" s="398"/>
      <c r="L34" s="398"/>
      <c r="M34" s="398"/>
      <c r="N34" s="35">
        <f>IF('(I) Plano de Trabalho'!$P$880="","",'(I) Plano de Trabalho'!$P$880)</f>
        <v>44562</v>
      </c>
      <c r="O34" s="36">
        <f>IF('(I) Plano de Trabalho'!$AF$880="","",'(I) Plano de Trabalho'!$AF$880)</f>
        <v>44774</v>
      </c>
      <c r="P34" s="31"/>
      <c r="Q34" s="42" t="str">
        <f>IF(AND($Q$16&gt;=N34,$Q$16&lt;=O34),"x","")</f>
        <v/>
      </c>
      <c r="R34" s="32" t="str">
        <f>IF(AND($R$16&gt;=N34,$R$16&lt;=O34),"x","")</f>
        <v/>
      </c>
      <c r="S34" s="32" t="str">
        <f>IF(AND($S$16&gt;=N34,$S$16&lt;=O34),"x","")</f>
        <v/>
      </c>
      <c r="T34" s="32" t="str">
        <f>IF(AND($T$16&gt;=N34,$T$16&lt;=O34),"x","")</f>
        <v/>
      </c>
      <c r="U34" s="32" t="str">
        <f>IF(AND($U$16&gt;=N34,$U$16&lt;=O34),"x","")</f>
        <v/>
      </c>
      <c r="V34" s="32" t="str">
        <f>IF(AND($V$16&gt;=N34,$V$16&lt;=O34),"x","")</f>
        <v/>
      </c>
      <c r="W34" s="32" t="str">
        <f>IF(AND($W$16&gt;=N34,$W$16&lt;=O34),"x","")</f>
        <v/>
      </c>
      <c r="X34" s="32" t="str">
        <f>IF(AND($X$16&gt;=N34,$X$16&lt;=O34),"x","")</f>
        <v/>
      </c>
      <c r="Y34" s="32" t="str">
        <f>IF(AND($Y$16&gt;=N34,$Y$16&lt;=O34),"x","")</f>
        <v/>
      </c>
      <c r="Z34" s="32" t="str">
        <f>IF(AND($Z$16&gt;=N34,$Z$16&lt;=O34),"x","")</f>
        <v/>
      </c>
      <c r="AA34" s="32" t="str">
        <f>IF(AND($AA$16&gt;=N34,$AA$16&lt;=O34),"x","")</f>
        <v/>
      </c>
      <c r="AB34" s="32" t="str">
        <f>IF(AND($AB$16&gt;=N34,$AB$16&lt;=O34),"x","")</f>
        <v/>
      </c>
      <c r="AC34" s="32" t="str">
        <f>IF(AND($AC$16&gt;=N34,$AC$16&lt;=O34),"x","")</f>
        <v/>
      </c>
      <c r="AD34" s="32" t="str">
        <f>IF(AND($AD$16&gt;=N34,$AD$16&lt;=O34),"x","")</f>
        <v/>
      </c>
      <c r="AE34" s="32" t="str">
        <f>IF(AND($AE$16&gt;=N34,$AE$16&lt;=O34),"x","")</f>
        <v/>
      </c>
      <c r="AF34" s="32" t="str">
        <f>IF(AND($AF$16&gt;=N34,$AF$16&lt;=O34),"x","")</f>
        <v/>
      </c>
      <c r="AG34" s="32" t="str">
        <f>IF(AND($AG$16&gt;=N34,$AG$16&lt;=O34),"x","")</f>
        <v/>
      </c>
      <c r="AH34" s="32" t="str">
        <f>IF(AND($AH$16&gt;=N34,$AH$16&lt;=O34),"x","")</f>
        <v/>
      </c>
      <c r="AI34" s="32" t="str">
        <f>IF(AND($AI$16&gt;=N34,$AI$16&lt;=O34),"x","")</f>
        <v/>
      </c>
      <c r="AJ34" s="32" t="str">
        <f>IF(AND($AJ$16&gt;=N34,$AJ$16&lt;=O34),"x","")</f>
        <v/>
      </c>
      <c r="AK34" s="32" t="str">
        <f>IF(AND($AK$16&gt;=N34,$AK$16&lt;=O34),"x","")</f>
        <v/>
      </c>
      <c r="AL34" s="32" t="str">
        <f>IF(AND($AL$16&gt;=N34,$AL$16&lt;=O34),"x","")</f>
        <v/>
      </c>
      <c r="AM34" s="32" t="str">
        <f>IF(AND($AM$16&gt;=N34,$AM$16&lt;=O34),"x","")</f>
        <v/>
      </c>
      <c r="AN34" s="32" t="str">
        <f>IF(AND($AN$16&gt;=N34,$AN$16&lt;=O34),"x","")</f>
        <v/>
      </c>
      <c r="AO34" s="32" t="str">
        <f>IF(AND($AO$16&gt;=N34,$AO$16&lt;=O34),"x","")</f>
        <v/>
      </c>
      <c r="AP34" s="32" t="str">
        <f>IF(AND($AP$16&gt;=N34,$AP$16&lt;=O34),"x","")</f>
        <v>x</v>
      </c>
      <c r="AQ34" s="32" t="str">
        <f>IF(AND($AQ$16&gt;=N34,$AQ$16&lt;=O34),"x","")</f>
        <v>x</v>
      </c>
      <c r="AR34" s="32" t="str">
        <f>IF(AND($AR$16&gt;=N34,$AR$16&lt;=O34),"x","")</f>
        <v>x</v>
      </c>
      <c r="AS34" s="32" t="str">
        <f>IF(AND($AS$16&gt;=N34,$AS$16&lt;=O34),"x","")</f>
        <v>x</v>
      </c>
      <c r="AT34" s="32" t="str">
        <f>IF(AND($AT$16&gt;=N34,$AT$16&lt;=O34),"x","")</f>
        <v>x</v>
      </c>
      <c r="AU34" s="32" t="str">
        <f>IF(AND($AU$16&gt;=N34,$AU$16&lt;=O34),"x","")</f>
        <v>x</v>
      </c>
      <c r="AV34" s="32" t="str">
        <f>IF(AND($AV$16&gt;=N34,$AV$16&lt;=O34),"x","")</f>
        <v>x</v>
      </c>
      <c r="AW34" s="32" t="str">
        <f>IF(AND($AW$16&gt;=N34,$AW$16&lt;=O34),"x","")</f>
        <v>x</v>
      </c>
      <c r="AX34" s="32" t="str">
        <f>IF(AND($AX$16&gt;=N34,$AX$16&lt;=O34),"x","")</f>
        <v/>
      </c>
      <c r="AY34" s="32" t="str">
        <f>IF(AND($AY$16&gt;=N34,$AY$16&lt;=O34),"x","")</f>
        <v/>
      </c>
      <c r="AZ34" s="32" t="str">
        <f>IF(AND($AZ$16&gt;=N34,$AZ$16&lt;=O34),"x","")</f>
        <v/>
      </c>
      <c r="BA34" s="32" t="str">
        <f>IF(AND($BA$16&gt;=N34,$BA$16&lt;=O34),"x","")</f>
        <v/>
      </c>
      <c r="BC34" s="82"/>
      <c r="BD34" s="82"/>
      <c r="BE34" s="82"/>
      <c r="BF34" s="82"/>
      <c r="BG34" s="82"/>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2"/>
    </row>
    <row r="35" spans="2:111" ht="15" customHeight="1">
      <c r="B35" s="397" t="str">
        <f>IF('(I) Plano de Trabalho'!$B$901="","",'(I) Plano de Trabalho'!$B$901)</f>
        <v/>
      </c>
      <c r="C35" s="398"/>
      <c r="D35" s="398"/>
      <c r="E35" s="398"/>
      <c r="F35" s="398"/>
      <c r="G35" s="398"/>
      <c r="H35" s="398"/>
      <c r="I35" s="398"/>
      <c r="J35" s="398"/>
      <c r="K35" s="398"/>
      <c r="L35" s="398"/>
      <c r="M35" s="398"/>
      <c r="N35" s="35" t="str">
        <f>IF('(I) Plano de Trabalho'!$P$904="","",'(I) Plano de Trabalho'!$P$904)</f>
        <v/>
      </c>
      <c r="O35" s="36" t="str">
        <f>IF('(I) Plano de Trabalho'!$AF$904="","",'(I) Plano de Trabalho'!$AF$904)</f>
        <v/>
      </c>
      <c r="P35" s="31"/>
      <c r="Q35" s="42" t="str">
        <f>IF(AND($Q$16&gt;=N35,$Q$16&lt;=O35),"x","")</f>
        <v/>
      </c>
      <c r="R35" s="32" t="str">
        <f>IF(AND($R$16&gt;=N35,$R$16&lt;=O35),"x","")</f>
        <v/>
      </c>
      <c r="S35" s="32" t="str">
        <f>IF(AND($S$16&gt;=N35,$S$16&lt;=O35),"x","")</f>
        <v/>
      </c>
      <c r="T35" s="32" t="str">
        <f>IF(AND($T$16&gt;=N35,$T$16&lt;=O35),"x","")</f>
        <v/>
      </c>
      <c r="U35" s="32" t="str">
        <f>IF(AND($U$16&gt;=N35,$U$16&lt;=O35),"x","")</f>
        <v/>
      </c>
      <c r="V35" s="32" t="str">
        <f>IF(AND($V$16&gt;=N35,$V$16&lt;=O35),"x","")</f>
        <v/>
      </c>
      <c r="W35" s="32" t="str">
        <f>IF(AND($W$16&gt;=N35,$W$16&lt;=O35),"x","")</f>
        <v/>
      </c>
      <c r="X35" s="32" t="str">
        <f>IF(AND($X$16&gt;=N35,$X$16&lt;=O35),"x","")</f>
        <v/>
      </c>
      <c r="Y35" s="32" t="str">
        <f>IF(AND($Y$16&gt;=N35,$Y$16&lt;=O35),"x","")</f>
        <v/>
      </c>
      <c r="Z35" s="32" t="str">
        <f>IF(AND($Z$16&gt;=N35,$Z$16&lt;=O35),"x","")</f>
        <v/>
      </c>
      <c r="AA35" s="32" t="str">
        <f>IF(AND($AA$16&gt;=N35,$AA$16&lt;=O35),"x","")</f>
        <v/>
      </c>
      <c r="AB35" s="32" t="str">
        <f>IF(AND($AB$16&gt;=N35,$AB$16&lt;=O35),"x","")</f>
        <v/>
      </c>
      <c r="AC35" s="32" t="str">
        <f>IF(AND($AC$16&gt;=N35,$AC$16&lt;=O35),"x","")</f>
        <v/>
      </c>
      <c r="AD35" s="32" t="str">
        <f>IF(AND($AD$16&gt;=N35,$AD$16&lt;=O35),"x","")</f>
        <v/>
      </c>
      <c r="AE35" s="32" t="str">
        <f>IF(AND($AE$16&gt;=N35,$AE$16&lt;=O35),"x","")</f>
        <v/>
      </c>
      <c r="AF35" s="32" t="str">
        <f>IF(AND($AF$16&gt;=N35,$AF$16&lt;=O35),"x","")</f>
        <v/>
      </c>
      <c r="AG35" s="32" t="str">
        <f>IF(AND($AG$16&gt;=N35,$AG$16&lt;=O35),"x","")</f>
        <v/>
      </c>
      <c r="AH35" s="32" t="str">
        <f>IF(AND($AH$16&gt;=N35,$AH$16&lt;=O35),"x","")</f>
        <v/>
      </c>
      <c r="AI35" s="32" t="str">
        <f>IF(AND($AI$16&gt;=N35,$AI$16&lt;=O35),"x","")</f>
        <v/>
      </c>
      <c r="AJ35" s="32" t="str">
        <f>IF(AND($AJ$16&gt;=N35,$AJ$16&lt;=O35),"x","")</f>
        <v/>
      </c>
      <c r="AK35" s="32" t="str">
        <f>IF(AND($AK$16&gt;=N35,$AK$16&lt;=O35),"x","")</f>
        <v/>
      </c>
      <c r="AL35" s="32" t="str">
        <f>IF(AND($AL$16&gt;=N35,$AL$16&lt;=O35),"x","")</f>
        <v/>
      </c>
      <c r="AM35" s="32" t="str">
        <f>IF(AND($AM$16&gt;=N35,$AM$16&lt;=O35),"x","")</f>
        <v/>
      </c>
      <c r="AN35" s="32" t="str">
        <f>IF(AND($AN$16&gt;=N35,$AN$16&lt;=O35),"x","")</f>
        <v/>
      </c>
      <c r="AO35" s="32" t="str">
        <f>IF(AND($AO$16&gt;=N35,$AO$16&lt;=O35),"x","")</f>
        <v/>
      </c>
      <c r="AP35" s="32" t="str">
        <f>IF(AND($AP$16&gt;=N35,$AP$16&lt;=O35),"x","")</f>
        <v/>
      </c>
      <c r="AQ35" s="32" t="str">
        <f>IF(AND($AQ$16&gt;=N35,$AQ$16&lt;=O35),"x","")</f>
        <v/>
      </c>
      <c r="AR35" s="32" t="str">
        <f>IF(AND($AR$16&gt;=N35,$AR$16&lt;=O35),"x","")</f>
        <v/>
      </c>
      <c r="AS35" s="32" t="str">
        <f>IF(AND($AS$16&gt;=N35,$AS$16&lt;=O35),"x","")</f>
        <v/>
      </c>
      <c r="AT35" s="32" t="str">
        <f>IF(AND($AT$16&gt;=N35,$AT$16&lt;=O35),"x","")</f>
        <v/>
      </c>
      <c r="AU35" s="32" t="str">
        <f>IF(AND($AU$16&gt;=N35,$AU$16&lt;=O35),"x","")</f>
        <v/>
      </c>
      <c r="AV35" s="32" t="str">
        <f>IF(AND($AV$16&gt;=N35,$AV$16&lt;=O35),"x","")</f>
        <v/>
      </c>
      <c r="AW35" s="32" t="str">
        <f>IF(AND($AW$16&gt;=N35,$AW$16&lt;=O35),"x","")</f>
        <v/>
      </c>
      <c r="AX35" s="32" t="str">
        <f>IF(AND($AX$16&gt;=N35,$AX$16&lt;=O35),"x","")</f>
        <v/>
      </c>
      <c r="AY35" s="32" t="str">
        <f>IF(AND($AY$16&gt;=N35,$AY$16&lt;=O35),"x","")</f>
        <v/>
      </c>
      <c r="AZ35" s="32" t="str">
        <f>IF(AND($AZ$16&gt;=N35,$AZ$16&lt;=O35),"x","")</f>
        <v/>
      </c>
      <c r="BA35" s="32" t="str">
        <f>IF(AND($BA$16&gt;=N35,$BA$16&lt;=O35),"x","")</f>
        <v/>
      </c>
      <c r="BC35" s="82"/>
      <c r="BD35" s="82"/>
      <c r="BE35" s="82"/>
      <c r="BF35" s="82"/>
      <c r="BG35" s="82"/>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2"/>
    </row>
    <row r="36" spans="2:111" ht="15" customHeight="1">
      <c r="B36" s="397" t="str">
        <f>IF('(I) Plano de Trabalho'!$B$924="","",'(I) Plano de Trabalho'!$B$924)</f>
        <v/>
      </c>
      <c r="C36" s="398"/>
      <c r="D36" s="398"/>
      <c r="E36" s="398"/>
      <c r="F36" s="398"/>
      <c r="G36" s="398"/>
      <c r="H36" s="398"/>
      <c r="I36" s="398"/>
      <c r="J36" s="398"/>
      <c r="K36" s="398"/>
      <c r="L36" s="398"/>
      <c r="M36" s="398"/>
      <c r="N36" s="35" t="str">
        <f>IF('(I) Plano de Trabalho'!$P$927="","",'(I) Plano de Trabalho'!$P$927)</f>
        <v/>
      </c>
      <c r="O36" s="36" t="str">
        <f>IF('(I) Plano de Trabalho'!$AF$927="","",'(I) Plano de Trabalho'!$AF$927)</f>
        <v/>
      </c>
      <c r="P36" s="31"/>
      <c r="Q36" s="42" t="str">
        <f>IF(AND($Q$16&gt;=N36,$Q$16&lt;=O36),"x","")</f>
        <v/>
      </c>
      <c r="R36" s="32" t="str">
        <f>IF(AND($R$16&gt;=N36,$R$16&lt;=O36),"x","")</f>
        <v/>
      </c>
      <c r="S36" s="32" t="str">
        <f>IF(AND($S$16&gt;=N36,$S$16&lt;=O36),"x","")</f>
        <v/>
      </c>
      <c r="T36" s="32" t="str">
        <f>IF(AND($T$16&gt;=N36,$T$16&lt;=O36),"x","")</f>
        <v/>
      </c>
      <c r="U36" s="32" t="str">
        <f>IF(AND($U$16&gt;=N36,$U$16&lt;=O36),"x","")</f>
        <v/>
      </c>
      <c r="V36" s="32" t="str">
        <f>IF(AND($V$16&gt;=N36,$V$16&lt;=O36),"x","")</f>
        <v/>
      </c>
      <c r="W36" s="32" t="str">
        <f>IF(AND($W$16&gt;=N36,$W$16&lt;=O36),"x","")</f>
        <v/>
      </c>
      <c r="X36" s="32" t="str">
        <f>IF(AND($X$16&gt;=N36,$X$16&lt;=O36),"x","")</f>
        <v/>
      </c>
      <c r="Y36" s="32" t="str">
        <f>IF(AND($Y$16&gt;=N36,$Y$16&lt;=O36),"x","")</f>
        <v/>
      </c>
      <c r="Z36" s="32" t="str">
        <f>IF(AND($Z$16&gt;=N36,$Z$16&lt;=O36),"x","")</f>
        <v/>
      </c>
      <c r="AA36" s="32" t="str">
        <f>IF(AND($AA$16&gt;=N36,$AA$16&lt;=O36),"x","")</f>
        <v/>
      </c>
      <c r="AB36" s="32" t="str">
        <f>IF(AND($AB$16&gt;=N36,$AB$16&lt;=O36),"x","")</f>
        <v/>
      </c>
      <c r="AC36" s="32" t="str">
        <f>IF(AND($AC$16&gt;=N36,$AC$16&lt;=O36),"x","")</f>
        <v/>
      </c>
      <c r="AD36" s="32" t="str">
        <f>IF(AND($AD$16&gt;=N36,$AD$16&lt;=O36),"x","")</f>
        <v/>
      </c>
      <c r="AE36" s="32" t="str">
        <f>IF(AND($AE$16&gt;=N36,$AE$16&lt;=O36),"x","")</f>
        <v/>
      </c>
      <c r="AF36" s="32" t="str">
        <f>IF(AND($AF$16&gt;=N36,$AF$16&lt;=O36),"x","")</f>
        <v/>
      </c>
      <c r="AG36" s="32" t="str">
        <f>IF(AND($AG$16&gt;=N36,$AG$16&lt;=O36),"x","")</f>
        <v/>
      </c>
      <c r="AH36" s="32" t="str">
        <f>IF(AND($AH$16&gt;=N36,$AH$16&lt;=O36),"x","")</f>
        <v/>
      </c>
      <c r="AI36" s="32" t="str">
        <f>IF(AND($AI$16&gt;=N36,$AI$16&lt;=O36),"x","")</f>
        <v/>
      </c>
      <c r="AJ36" s="32" t="str">
        <f>IF(AND($AJ$16&gt;=N36,$AJ$16&lt;=O36),"x","")</f>
        <v/>
      </c>
      <c r="AK36" s="32" t="str">
        <f>IF(AND($AK$16&gt;=N36,$AK$16&lt;=O36),"x","")</f>
        <v/>
      </c>
      <c r="AL36" s="32" t="str">
        <f>IF(AND($AL$16&gt;=N36,$AL$16&lt;=O36),"x","")</f>
        <v/>
      </c>
      <c r="AM36" s="32" t="str">
        <f>IF(AND($AM$16&gt;=N36,$AM$16&lt;=O36),"x","")</f>
        <v/>
      </c>
      <c r="AN36" s="32" t="str">
        <f>IF(AND($AN$16&gt;=N36,$AN$16&lt;=O36),"x","")</f>
        <v/>
      </c>
      <c r="AO36" s="32" t="str">
        <f>IF(AND($AO$16&gt;=N36,$AO$16&lt;=O36),"x","")</f>
        <v/>
      </c>
      <c r="AP36" s="32" t="str">
        <f>IF(AND($AP$16&gt;=N36,$AP$16&lt;=O36),"x","")</f>
        <v/>
      </c>
      <c r="AQ36" s="32" t="str">
        <f>IF(AND($AQ$16&gt;=N36,$AQ$16&lt;=O36),"x","")</f>
        <v/>
      </c>
      <c r="AR36" s="32" t="str">
        <f>IF(AND($AR$16&gt;=N36,$AR$16&lt;=O36),"x","")</f>
        <v/>
      </c>
      <c r="AS36" s="32" t="str">
        <f>IF(AND($AS$16&gt;=N36,$AS$16&lt;=O36),"x","")</f>
        <v/>
      </c>
      <c r="AT36" s="32" t="str">
        <f>IF(AND($AT$16&gt;=N36,$AT$16&lt;=O36),"x","")</f>
        <v/>
      </c>
      <c r="AU36" s="32" t="str">
        <f>IF(AND($AU$16&gt;=N36,$AU$16&lt;=O36),"x","")</f>
        <v/>
      </c>
      <c r="AV36" s="32" t="str">
        <f>IF(AND($AV$16&gt;=N36,$AV$16&lt;=O36),"x","")</f>
        <v/>
      </c>
      <c r="AW36" s="32" t="str">
        <f>IF(AND($AW$16&gt;=N36,$AW$16&lt;=O36),"x","")</f>
        <v/>
      </c>
      <c r="AX36" s="32" t="str">
        <f>IF(AND($AX$16&gt;=N36,$AX$16&lt;=O36),"x","")</f>
        <v/>
      </c>
      <c r="AY36" s="32" t="str">
        <f>IF(AND($AY$16&gt;=N36,$AY$16&lt;=O36),"x","")</f>
        <v/>
      </c>
      <c r="AZ36" s="32" t="str">
        <f>IF(AND($AZ$16&gt;=N36,$AZ$16&lt;=O36),"x","")</f>
        <v/>
      </c>
      <c r="BA36" s="32" t="str">
        <f>IF(AND($BA$16&gt;=N36,$BA$16&lt;=O36),"x","")</f>
        <v/>
      </c>
      <c r="BC36" s="82"/>
      <c r="BD36" s="82"/>
      <c r="BE36" s="82"/>
      <c r="BF36" s="82"/>
      <c r="BG36" s="82"/>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2"/>
    </row>
    <row r="37" spans="2:111" ht="15" customHeight="1">
      <c r="B37" s="397" t="str">
        <f>IF('(I) Plano de Trabalho'!$B$947="","",'(I) Plano de Trabalho'!$B$947)</f>
        <v/>
      </c>
      <c r="C37" s="398"/>
      <c r="D37" s="398"/>
      <c r="E37" s="398"/>
      <c r="F37" s="398"/>
      <c r="G37" s="398"/>
      <c r="H37" s="398"/>
      <c r="I37" s="398"/>
      <c r="J37" s="398"/>
      <c r="K37" s="398"/>
      <c r="L37" s="398"/>
      <c r="M37" s="398"/>
      <c r="N37" s="35" t="str">
        <f>IF('(I) Plano de Trabalho'!$P$950="","",'(I) Plano de Trabalho'!$P$950)</f>
        <v/>
      </c>
      <c r="O37" s="36" t="str">
        <f>IF('(I) Plano de Trabalho'!$AF$950="","",'(I) Plano de Trabalho'!$AF$950)</f>
        <v/>
      </c>
      <c r="P37" s="31"/>
      <c r="Q37" s="42" t="str">
        <f>IF(AND($Q$16&gt;=N37,$Q$16&lt;=O37),"x","")</f>
        <v/>
      </c>
      <c r="R37" s="32" t="str">
        <f>IF(AND($R$16&gt;=N37,$R$16&lt;=O37),"x","")</f>
        <v/>
      </c>
      <c r="S37" s="32" t="str">
        <f>IF(AND($S$16&gt;=N37,$S$16&lt;=O37),"x","")</f>
        <v/>
      </c>
      <c r="T37" s="32" t="str">
        <f>IF(AND($T$16&gt;=N37,$T$16&lt;=O37),"x","")</f>
        <v/>
      </c>
      <c r="U37" s="32" t="str">
        <f>IF(AND($U$16&gt;=N37,$U$16&lt;=O37),"x","")</f>
        <v/>
      </c>
      <c r="V37" s="32" t="str">
        <f>IF(AND($V$16&gt;=N37,$V$16&lt;=O37),"x","")</f>
        <v/>
      </c>
      <c r="W37" s="32" t="str">
        <f>IF(AND($W$16&gt;=N37,$W$16&lt;=O37),"x","")</f>
        <v/>
      </c>
      <c r="X37" s="32" t="str">
        <f>IF(AND($X$16&gt;=N37,$X$16&lt;=O37),"x","")</f>
        <v/>
      </c>
      <c r="Y37" s="32" t="str">
        <f>IF(AND($Y$16&gt;=N37,$Y$16&lt;=O37),"x","")</f>
        <v/>
      </c>
      <c r="Z37" s="32" t="str">
        <f>IF(AND($Z$16&gt;=N37,$Z$16&lt;=O37),"x","")</f>
        <v/>
      </c>
      <c r="AA37" s="32" t="str">
        <f>IF(AND($AA$16&gt;=N37,$AA$16&lt;=O37),"x","")</f>
        <v/>
      </c>
      <c r="AB37" s="32" t="str">
        <f>IF(AND($AB$16&gt;=N37,$AB$16&lt;=O37),"x","")</f>
        <v/>
      </c>
      <c r="AC37" s="32" t="str">
        <f>IF(AND($AC$16&gt;=N37,$AC$16&lt;=O37),"x","")</f>
        <v/>
      </c>
      <c r="AD37" s="32" t="str">
        <f>IF(AND($AD$16&gt;=N37,$AD$16&lt;=O37),"x","")</f>
        <v/>
      </c>
      <c r="AE37" s="32" t="str">
        <f>IF(AND($AE$16&gt;=N37,$AE$16&lt;=O37),"x","")</f>
        <v/>
      </c>
      <c r="AF37" s="32" t="str">
        <f>IF(AND($AF$16&gt;=N37,$AF$16&lt;=O37),"x","")</f>
        <v/>
      </c>
      <c r="AG37" s="32" t="str">
        <f>IF(AND($AG$16&gt;=N37,$AG$16&lt;=O37),"x","")</f>
        <v/>
      </c>
      <c r="AH37" s="32" t="str">
        <f>IF(AND($AH$16&gt;=N37,$AH$16&lt;=O37),"x","")</f>
        <v/>
      </c>
      <c r="AI37" s="32" t="str">
        <f>IF(AND($AI$16&gt;=N37,$AI$16&lt;=O37),"x","")</f>
        <v/>
      </c>
      <c r="AJ37" s="32" t="str">
        <f>IF(AND($AJ$16&gt;=N37,$AJ$16&lt;=O37),"x","")</f>
        <v/>
      </c>
      <c r="AK37" s="32" t="str">
        <f>IF(AND($AK$16&gt;=N37,$AK$16&lt;=O37),"x","")</f>
        <v/>
      </c>
      <c r="AL37" s="32" t="str">
        <f>IF(AND($AL$16&gt;=N37,$AL$16&lt;=O37),"x","")</f>
        <v/>
      </c>
      <c r="AM37" s="32" t="str">
        <f>IF(AND($AM$16&gt;=N37,$AM$16&lt;=O37),"x","")</f>
        <v/>
      </c>
      <c r="AN37" s="32" t="str">
        <f>IF(AND($AN$16&gt;=N37,$AN$16&lt;=O37),"x","")</f>
        <v/>
      </c>
      <c r="AO37" s="32" t="str">
        <f>IF(AND($AO$16&gt;=N37,$AO$16&lt;=O37),"x","")</f>
        <v/>
      </c>
      <c r="AP37" s="32" t="str">
        <f>IF(AND($AP$16&gt;=N37,$AP$16&lt;=O37),"x","")</f>
        <v/>
      </c>
      <c r="AQ37" s="32" t="str">
        <f>IF(AND($AQ$16&gt;=N37,$AQ$16&lt;=O37),"x","")</f>
        <v/>
      </c>
      <c r="AR37" s="32" t="str">
        <f>IF(AND($AR$16&gt;=N37,$AR$16&lt;=O37),"x","")</f>
        <v/>
      </c>
      <c r="AS37" s="32" t="str">
        <f>IF(AND($AS$16&gt;=N37,$AS$16&lt;=O37),"x","")</f>
        <v/>
      </c>
      <c r="AT37" s="32" t="str">
        <f>IF(AND($AT$16&gt;=N37,$AT$16&lt;=O37),"x","")</f>
        <v/>
      </c>
      <c r="AU37" s="32" t="str">
        <f>IF(AND($AU$16&gt;=N37,$AU$16&lt;=O37),"x","")</f>
        <v/>
      </c>
      <c r="AV37" s="32" t="str">
        <f>IF(AND($AV$16&gt;=N37,$AV$16&lt;=O37),"x","")</f>
        <v/>
      </c>
      <c r="AW37" s="32" t="str">
        <f>IF(AND($AW$16&gt;=N37,$AW$16&lt;=O37),"x","")</f>
        <v/>
      </c>
      <c r="AX37" s="32" t="str">
        <f>IF(AND($AX$16&gt;=N37,$AX$16&lt;=O37),"x","")</f>
        <v/>
      </c>
      <c r="AY37" s="32" t="str">
        <f>IF(AND($AY$16&gt;=N37,$AY$16&lt;=O37),"x","")</f>
        <v/>
      </c>
      <c r="AZ37" s="32" t="str">
        <f>IF(AND($AZ$16&gt;=N37,$AZ$16&lt;=O37),"x","")</f>
        <v/>
      </c>
      <c r="BA37" s="32" t="str">
        <f>IF(AND($BA$16&gt;=N37,$BA$16&lt;=O37),"x","")</f>
        <v/>
      </c>
      <c r="BC37" s="82"/>
      <c r="BD37" s="82"/>
      <c r="BE37" s="82"/>
      <c r="BF37" s="82"/>
      <c r="BG37" s="82"/>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2"/>
    </row>
    <row r="38" spans="2:111" ht="15" customHeight="1">
      <c r="B38" s="397" t="str">
        <f>IF('(I) Plano de Trabalho'!$B$971="","",'(I) Plano de Trabalho'!$B$971)</f>
        <v/>
      </c>
      <c r="C38" s="398"/>
      <c r="D38" s="398"/>
      <c r="E38" s="398"/>
      <c r="F38" s="398"/>
      <c r="G38" s="398"/>
      <c r="H38" s="398"/>
      <c r="I38" s="398"/>
      <c r="J38" s="398"/>
      <c r="K38" s="398"/>
      <c r="L38" s="398"/>
      <c r="M38" s="398"/>
      <c r="N38" s="35" t="str">
        <f>IF('(I) Plano de Trabalho'!$P$974="","",'(I) Plano de Trabalho'!$P$974)</f>
        <v/>
      </c>
      <c r="O38" s="36" t="str">
        <f>IF('(I) Plano de Trabalho'!$AF$974="","",'(I) Plano de Trabalho'!$AF$974)</f>
        <v/>
      </c>
      <c r="P38" s="31"/>
      <c r="Q38" s="42" t="str">
        <f>IF(AND($Q$16&gt;=N38,$Q$16&lt;=O38),"x","")</f>
        <v/>
      </c>
      <c r="R38" s="32" t="str">
        <f>IF(AND($R$16&gt;=N38,$R$16&lt;=O38),"x","")</f>
        <v/>
      </c>
      <c r="S38" s="32" t="str">
        <f>IF(AND($S$16&gt;=N38,$S$16&lt;=O38),"x","")</f>
        <v/>
      </c>
      <c r="T38" s="32" t="str">
        <f>IF(AND($T$16&gt;=N38,$T$16&lt;=O38),"x","")</f>
        <v/>
      </c>
      <c r="U38" s="32" t="str">
        <f>IF(AND($U$16&gt;=N38,$U$16&lt;=O38),"x","")</f>
        <v/>
      </c>
      <c r="V38" s="32" t="str">
        <f>IF(AND($V$16&gt;=N38,$V$16&lt;=O38),"x","")</f>
        <v/>
      </c>
      <c r="W38" s="32" t="str">
        <f>IF(AND($W$16&gt;=N38,$W$16&lt;=O38),"x","")</f>
        <v/>
      </c>
      <c r="X38" s="32" t="str">
        <f>IF(AND($X$16&gt;=N38,$X$16&lt;=O38),"x","")</f>
        <v/>
      </c>
      <c r="Y38" s="32" t="str">
        <f>IF(AND($Y$16&gt;=N38,$Y$16&lt;=O38),"x","")</f>
        <v/>
      </c>
      <c r="Z38" s="32" t="str">
        <f>IF(AND($Z$16&gt;=N38,$Z$16&lt;=O38),"x","")</f>
        <v/>
      </c>
      <c r="AA38" s="32" t="str">
        <f>IF(AND($AA$16&gt;=N38,$AA$16&lt;=O38),"x","")</f>
        <v/>
      </c>
      <c r="AB38" s="32" t="str">
        <f>IF(AND($AB$16&gt;=N38,$AB$16&lt;=O38),"x","")</f>
        <v/>
      </c>
      <c r="AC38" s="32" t="str">
        <f>IF(AND($AC$16&gt;=N38,$AC$16&lt;=O38),"x","")</f>
        <v/>
      </c>
      <c r="AD38" s="32" t="str">
        <f>IF(AND($AD$16&gt;=N38,$AD$16&lt;=O38),"x","")</f>
        <v/>
      </c>
      <c r="AE38" s="32" t="str">
        <f>IF(AND($AE$16&gt;=N38,$AE$16&lt;=O38),"x","")</f>
        <v/>
      </c>
      <c r="AF38" s="32" t="str">
        <f>IF(AND($AF$16&gt;=N38,$AF$16&lt;=O38),"x","")</f>
        <v/>
      </c>
      <c r="AG38" s="32" t="str">
        <f>IF(AND($AG$16&gt;=N38,$AG$16&lt;=O38),"x","")</f>
        <v/>
      </c>
      <c r="AH38" s="32" t="str">
        <f>IF(AND($AH$16&gt;=N38,$AH$16&lt;=O38),"x","")</f>
        <v/>
      </c>
      <c r="AI38" s="32" t="str">
        <f>IF(AND($AI$16&gt;=N38,$AI$16&lt;=O38),"x","")</f>
        <v/>
      </c>
      <c r="AJ38" s="32" t="str">
        <f>IF(AND($AJ$16&gt;=N38,$AJ$16&lt;=O38),"x","")</f>
        <v/>
      </c>
      <c r="AK38" s="32" t="str">
        <f>IF(AND($AK$16&gt;=N38,$AK$16&lt;=O38),"x","")</f>
        <v/>
      </c>
      <c r="AL38" s="32" t="str">
        <f>IF(AND($AL$16&gt;=N38,$AL$16&lt;=O38),"x","")</f>
        <v/>
      </c>
      <c r="AM38" s="32" t="str">
        <f>IF(AND($AM$16&gt;=N38,$AM$16&lt;=O38),"x","")</f>
        <v/>
      </c>
      <c r="AN38" s="32" t="str">
        <f>IF(AND($AN$16&gt;=N38,$AN$16&lt;=O38),"x","")</f>
        <v/>
      </c>
      <c r="AO38" s="32" t="str">
        <f>IF(AND($AO$16&gt;=N38,$AO$16&lt;=O38),"x","")</f>
        <v/>
      </c>
      <c r="AP38" s="32" t="str">
        <f>IF(AND($AP$16&gt;=N38,$AP$16&lt;=O38),"x","")</f>
        <v/>
      </c>
      <c r="AQ38" s="32" t="str">
        <f>IF(AND($AQ$16&gt;=N38,$AQ$16&lt;=O38),"x","")</f>
        <v/>
      </c>
      <c r="AR38" s="32" t="str">
        <f>IF(AND($AR$16&gt;=N38,$AR$16&lt;=O38),"x","")</f>
        <v/>
      </c>
      <c r="AS38" s="32" t="str">
        <f>IF(AND($AS$16&gt;=N38,$AS$16&lt;=O38),"x","")</f>
        <v/>
      </c>
      <c r="AT38" s="32" t="str">
        <f>IF(AND($AT$16&gt;=N38,$AT$16&lt;=O38),"x","")</f>
        <v/>
      </c>
      <c r="AU38" s="32" t="str">
        <f>IF(AND($AU$16&gt;=N38,$AU$16&lt;=O38),"x","")</f>
        <v/>
      </c>
      <c r="AV38" s="32" t="str">
        <f>IF(AND($AV$16&gt;=N38,$AV$16&lt;=O38),"x","")</f>
        <v/>
      </c>
      <c r="AW38" s="32" t="str">
        <f>IF(AND($AW$16&gt;=N38,$AW$16&lt;=O38),"x","")</f>
        <v/>
      </c>
      <c r="AX38" s="32" t="str">
        <f>IF(AND($AX$16&gt;=N38,$AX$16&lt;=O38),"x","")</f>
        <v/>
      </c>
      <c r="AY38" s="32" t="str">
        <f>IF(AND($AY$16&gt;=N38,$AY$16&lt;=O38),"x","")</f>
        <v/>
      </c>
      <c r="AZ38" s="32" t="str">
        <f>IF(AND($AZ$16&gt;=N38,$AZ$16&lt;=O38),"x","")</f>
        <v/>
      </c>
      <c r="BA38" s="32" t="str">
        <f>IF(AND($BA$16&gt;=N38,$BA$16&lt;=O38),"x","")</f>
        <v/>
      </c>
      <c r="BC38" s="82"/>
      <c r="BD38" s="82"/>
      <c r="BE38" s="82"/>
      <c r="BF38" s="82"/>
      <c r="BG38" s="82"/>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2"/>
    </row>
    <row r="39" spans="2:111" ht="15" customHeight="1">
      <c r="B39" s="399" t="str">
        <f>IF('(I) Plano de Trabalho'!$B$994="","",'(I) Plano de Trabalho'!$B$994)</f>
        <v>Meta 4</v>
      </c>
      <c r="C39" s="400"/>
      <c r="D39" s="400"/>
      <c r="E39" s="400"/>
      <c r="F39" s="400"/>
      <c r="G39" s="400"/>
      <c r="H39" s="400"/>
      <c r="I39" s="400"/>
      <c r="J39" s="400"/>
      <c r="K39" s="400"/>
      <c r="L39" s="400"/>
      <c r="M39" s="400"/>
      <c r="N39" s="33">
        <f>MIN(N40:N44)</f>
        <v>43983</v>
      </c>
      <c r="O39" s="34">
        <f>MAX(O40:O44)</f>
        <v>44652</v>
      </c>
      <c r="P39" s="30"/>
      <c r="Q39" s="42" t="str">
        <f>IF(AND($Q$16&gt;=$N39,$Q$16&lt;=$O39),"x","")</f>
        <v/>
      </c>
      <c r="R39" s="32" t="str">
        <f>IF(AND($R$16&gt;=$N39,$R$16&lt;=$O39),"x","")</f>
        <v/>
      </c>
      <c r="S39" s="32" t="str">
        <f>IF(AND($S$16&gt;=$N39,$S$16&lt;=$O39),"x","")</f>
        <v/>
      </c>
      <c r="T39" s="32" t="str">
        <f>IF(AND($T$16&gt;=$N39,$T$16&lt;=$O39),"x","")</f>
        <v/>
      </c>
      <c r="U39" s="32" t="str">
        <f>IF(AND($U$16&gt;=$N39,$U$16&lt;=$O39),"x","")</f>
        <v/>
      </c>
      <c r="V39" s="32" t="str">
        <f>IF(AND($V$16&gt;=$N39,$V$16&lt;=$O39),"x","")</f>
        <v/>
      </c>
      <c r="W39" s="32" t="str">
        <f>IF(AND($W$16&gt;=$N39,$W$16&lt;=$O39),"x","")</f>
        <v>x</v>
      </c>
      <c r="X39" s="32" t="str">
        <f>IF(AND($X$16&gt;=$N39,$X$16&lt;=$O39),"x","")</f>
        <v>x</v>
      </c>
      <c r="Y39" s="32" t="str">
        <f>IF(AND($Y$16&gt;=$N39,$Y$16&lt;=$O39),"x","")</f>
        <v>x</v>
      </c>
      <c r="Z39" s="32" t="str">
        <f>IF(AND($Z$16&gt;=$N39,$Z$16&lt;=$O39),"x","")</f>
        <v>x</v>
      </c>
      <c r="AA39" s="32" t="str">
        <f>IF(AND($AA$16&gt;=$N39,$AA$16&lt;=$O39),"x","")</f>
        <v>x</v>
      </c>
      <c r="AB39" s="32" t="str">
        <f>IF(AND($AB$16&gt;=$N39,$AB$16&lt;=$O39),"x","")</f>
        <v>x</v>
      </c>
      <c r="AC39" s="32" t="str">
        <f>IF(AND($AC$16&gt;=$N39,$AC$16&lt;=$O39),"x","")</f>
        <v>x</v>
      </c>
      <c r="AD39" s="32" t="str">
        <f>IF(AND($AD$16&gt;=$N39,$AD$16&lt;=$O39),"x","")</f>
        <v>x</v>
      </c>
      <c r="AE39" s="32" t="str">
        <f>IF(AND($AE$16&gt;=$N39,$AE$16&lt;=$O39),"x","")</f>
        <v>x</v>
      </c>
      <c r="AF39" s="32" t="str">
        <f>IF(AND($AF$16&gt;=$N39,$AF$16&lt;=$O39),"x","")</f>
        <v>x</v>
      </c>
      <c r="AG39" s="32" t="str">
        <f>IF(AND($AG$16&gt;=$N39,$AG$16&lt;=$O39),"x","")</f>
        <v>x</v>
      </c>
      <c r="AH39" s="32" t="str">
        <f>IF(AND($AH$16&gt;=$N39,$AH$16&lt;=$O39),"x","")</f>
        <v>x</v>
      </c>
      <c r="AI39" s="32" t="str">
        <f>IF(AND($AI$16&gt;=$N39,$AI$16&lt;=$O39),"x","")</f>
        <v>x</v>
      </c>
      <c r="AJ39" s="32" t="str">
        <f>IF(AND($AJ$16&gt;=$N39,$AJ$16&lt;=$O39),"x","")</f>
        <v>x</v>
      </c>
      <c r="AK39" s="32" t="str">
        <f>IF(AND($AK$16&gt;=$N39,$AK$16&lt;=$O39),"x","")</f>
        <v>x</v>
      </c>
      <c r="AL39" s="32" t="str">
        <f>IF(AND($AL$16&gt;=$N39,$AL$16&lt;=$O39),"x","")</f>
        <v>x</v>
      </c>
      <c r="AM39" s="32" t="str">
        <f>IF(AND($AM$16&gt;=$N39,$AM$16&lt;=$O39),"x","")</f>
        <v>x</v>
      </c>
      <c r="AN39" s="32" t="str">
        <f>IF(AND($AN$16&gt;=$N39,$AN$16&lt;=$O39),"x","")</f>
        <v>x</v>
      </c>
      <c r="AO39" s="32" t="str">
        <f>IF(AND($AO$16&gt;=$N39,$AO$16&lt;=$O39),"x","")</f>
        <v>x</v>
      </c>
      <c r="AP39" s="32" t="str">
        <f>IF(AND($AP$16&gt;=$N39,$AP$16&lt;=$O39),"x","")</f>
        <v>x</v>
      </c>
      <c r="AQ39" s="32" t="str">
        <f>IF(AND($AQ$16&gt;=$N39,$AQ$16&lt;=$O39),"x","")</f>
        <v>x</v>
      </c>
      <c r="AR39" s="32" t="str">
        <f>IF(AND($AR$16&gt;=$N39,$AR$16&lt;=$O39),"x","")</f>
        <v>x</v>
      </c>
      <c r="AS39" s="32" t="str">
        <f>IF(AND($AS$16&gt;=$N39,$AS$16&lt;=$O39),"x","")</f>
        <v>x</v>
      </c>
      <c r="AT39" s="32" t="str">
        <f>IF(AND($AT$16&gt;=$N39,$AT$16&lt;=$O39),"x","")</f>
        <v/>
      </c>
      <c r="AU39" s="32" t="str">
        <f>IF(AND($AU$16&gt;=$N39,$AU$16&lt;=$O39),"x","")</f>
        <v/>
      </c>
      <c r="AV39" s="32" t="str">
        <f>IF(AND($AV$16&gt;=$N39,$AV$16&lt;=$O39),"x","")</f>
        <v/>
      </c>
      <c r="AW39" s="32" t="str">
        <f>IF(AND($AW$16&gt;=$N39,$AW$16&lt;=$O39),"x","")</f>
        <v/>
      </c>
      <c r="AX39" s="32" t="str">
        <f>IF(AND($AX$16&gt;=$N39,$AX$16&lt;=$O39),"x","")</f>
        <v/>
      </c>
      <c r="AY39" s="32" t="str">
        <f>IF(AND($AY$16&gt;=$N39,$AY$16&lt;=$O39),"x","")</f>
        <v/>
      </c>
      <c r="AZ39" s="32" t="str">
        <f>IF(AND($AZ$16&gt;=$N39,$AZ$16&lt;=$O39),"x","")</f>
        <v/>
      </c>
      <c r="BA39" s="32" t="str">
        <f>IF(AND($BA$16&gt;=$N39,$BA$16&lt;=$O39),"x","")</f>
        <v/>
      </c>
      <c r="BC39" s="82"/>
      <c r="BD39" s="82"/>
      <c r="BE39" s="82"/>
      <c r="BF39" s="82"/>
      <c r="BG39" s="82"/>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2"/>
    </row>
    <row r="40" spans="2:111" ht="15" customHeight="1">
      <c r="B40" s="397" t="str">
        <f>IF('(I) Plano de Trabalho'!$B$1000="","",'(I) Plano de Trabalho'!$B$1000)</f>
        <v>Etapa 4.1</v>
      </c>
      <c r="C40" s="398"/>
      <c r="D40" s="398"/>
      <c r="E40" s="398"/>
      <c r="F40" s="398"/>
      <c r="G40" s="398"/>
      <c r="H40" s="398"/>
      <c r="I40" s="398"/>
      <c r="J40" s="398"/>
      <c r="K40" s="398"/>
      <c r="L40" s="398"/>
      <c r="M40" s="398"/>
      <c r="N40" s="35">
        <f>IF('(I) Plano de Trabalho'!$P$1003="","",'(I) Plano de Trabalho'!$P$1003)</f>
        <v>44409</v>
      </c>
      <c r="O40" s="36">
        <f>IF('(I) Plano de Trabalho'!$AF$1003="","",'(I) Plano de Trabalho'!$AF$1003)</f>
        <v>44652</v>
      </c>
      <c r="P40" s="31"/>
      <c r="Q40" s="42" t="str">
        <f>IF(AND($Q$16&gt;=N40,$Q$16&lt;=O40),"x","")</f>
        <v/>
      </c>
      <c r="R40" s="32" t="str">
        <f>IF(AND($R$16&gt;=N40,$R$16&lt;=O40),"x","")</f>
        <v/>
      </c>
      <c r="S40" s="32" t="str">
        <f>IF(AND($S$16&gt;=N40,$S$16&lt;=O40),"x","")</f>
        <v/>
      </c>
      <c r="T40" s="32" t="str">
        <f>IF(AND($T$16&gt;=N40,$T$16&lt;=O40),"x","")</f>
        <v/>
      </c>
      <c r="U40" s="32" t="str">
        <f>IF(AND($U$16&gt;=N40,$U$16&lt;=O40),"x","")</f>
        <v/>
      </c>
      <c r="V40" s="32" t="str">
        <f>IF(AND($V$16&gt;=N40,$V$16&lt;=O40),"x","")</f>
        <v/>
      </c>
      <c r="W40" s="32" t="str">
        <f>IF(AND($W$16&gt;=N40,$W$16&lt;=O40),"x","")</f>
        <v/>
      </c>
      <c r="X40" s="32" t="str">
        <f>IF(AND($X$16&gt;=N40,$X$16&lt;=O40),"x","")</f>
        <v/>
      </c>
      <c r="Y40" s="32" t="str">
        <f>IF(AND($Y$16&gt;=N40,$Y$16&lt;=O40),"x","")</f>
        <v/>
      </c>
      <c r="Z40" s="32" t="str">
        <f>IF(AND($Z$16&gt;=N40,$Z$16&lt;=O40),"x","")</f>
        <v/>
      </c>
      <c r="AA40" s="32" t="str">
        <f>IF(AND($AA$16&gt;=N40,$AA$16&lt;=O40),"x","")</f>
        <v/>
      </c>
      <c r="AB40" s="32" t="str">
        <f>IF(AND($AB$16&gt;=N40,$AB$16&lt;=O40),"x","")</f>
        <v/>
      </c>
      <c r="AC40" s="32" t="str">
        <f>IF(AND($AC$16&gt;=N40,$AC$16&lt;=O40),"x","")</f>
        <v/>
      </c>
      <c r="AD40" s="32" t="str">
        <f>IF(AND($AD$16&gt;=N40,$AD$16&lt;=O40),"x","")</f>
        <v/>
      </c>
      <c r="AE40" s="32" t="str">
        <f>IF(AND($AE$16&gt;=N40,$AE$16&lt;=O40),"x","")</f>
        <v/>
      </c>
      <c r="AF40" s="32" t="str">
        <f>IF(AND($AF$16&gt;=N40,$AF$16&lt;=O40),"x","")</f>
        <v/>
      </c>
      <c r="AG40" s="32" t="str">
        <f>IF(AND($AG$16&gt;=N40,$AG$16&lt;=O40),"x","")</f>
        <v/>
      </c>
      <c r="AH40" s="32" t="str">
        <f>IF(AND($AH$16&gt;=N40,$AH$16&lt;=O40),"x","")</f>
        <v/>
      </c>
      <c r="AI40" s="32" t="str">
        <f>IF(AND($AI$16&gt;=N40,$AI$16&lt;=O40),"x","")</f>
        <v/>
      </c>
      <c r="AJ40" s="32" t="str">
        <f>IF(AND($AJ$16&gt;=N40,$AJ$16&lt;=O40),"x","")</f>
        <v/>
      </c>
      <c r="AK40" s="32" t="str">
        <f>IF(AND($AK$16&gt;=N40,$AK$16&lt;=O40),"x","")</f>
        <v>x</v>
      </c>
      <c r="AL40" s="32" t="str">
        <f>IF(AND($AL$16&gt;=N40,$AL$16&lt;=O40),"x","")</f>
        <v>x</v>
      </c>
      <c r="AM40" s="32" t="str">
        <f>IF(AND($AM$16&gt;=N40,$AM$16&lt;=O40),"x","")</f>
        <v>x</v>
      </c>
      <c r="AN40" s="32" t="str">
        <f>IF(AND($AN$16&gt;=N40,$AN$16&lt;=O40),"x","")</f>
        <v>x</v>
      </c>
      <c r="AO40" s="32" t="str">
        <f>IF(AND($AO$16&gt;=N40,$AO$16&lt;=O40),"x","")</f>
        <v>x</v>
      </c>
      <c r="AP40" s="32" t="str">
        <f>IF(AND($AP$16&gt;=N40,$AP$16&lt;=O40),"x","")</f>
        <v>x</v>
      </c>
      <c r="AQ40" s="32" t="str">
        <f>IF(AND($AQ$16&gt;=N40,$AQ$16&lt;=O40),"x","")</f>
        <v>x</v>
      </c>
      <c r="AR40" s="32" t="str">
        <f>IF(AND($AR$16&gt;=N40,$AR$16&lt;=O40),"x","")</f>
        <v>x</v>
      </c>
      <c r="AS40" s="32" t="str">
        <f>IF(AND($AS$16&gt;=N40,$AS$16&lt;=O40),"x","")</f>
        <v>x</v>
      </c>
      <c r="AT40" s="32" t="str">
        <f>IF(AND($AT$16&gt;=N40,$AT$16&lt;=O40),"x","")</f>
        <v/>
      </c>
      <c r="AU40" s="32" t="str">
        <f>IF(AND($AU$16&gt;=N40,$AU$16&lt;=O40),"x","")</f>
        <v/>
      </c>
      <c r="AV40" s="32" t="str">
        <f>IF(AND($AV$16&gt;=N40,$AV$16&lt;=O40),"x","")</f>
        <v/>
      </c>
      <c r="AW40" s="32" t="str">
        <f>IF(AND($AW$16&gt;=N40,$AW$16&lt;=O40),"x","")</f>
        <v/>
      </c>
      <c r="AX40" s="32" t="str">
        <f>IF(AND($AX$16&gt;=N40,$AX$16&lt;=O40),"x","")</f>
        <v/>
      </c>
      <c r="AY40" s="32" t="str">
        <f>IF(AND($AY$16&gt;=N40,$AY$16&lt;=O40),"x","")</f>
        <v/>
      </c>
      <c r="AZ40" s="32" t="str">
        <f>IF(AND($AZ$16&gt;=N40,$AZ$16&lt;=O40),"x","")</f>
        <v/>
      </c>
      <c r="BA40" s="32" t="str">
        <f>IF(AND($BA$16&gt;=N40,$BA$16&lt;=O40),"x","")</f>
        <v/>
      </c>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row>
    <row r="41" spans="2:111" ht="15" customHeight="1">
      <c r="B41" s="397" t="str">
        <f>IF('(I) Plano de Trabalho'!$B$1023="","",'(I) Plano de Trabalho'!$B$1023)</f>
        <v>Etapa 4.2</v>
      </c>
      <c r="C41" s="398"/>
      <c r="D41" s="398"/>
      <c r="E41" s="398"/>
      <c r="F41" s="398"/>
      <c r="G41" s="398"/>
      <c r="H41" s="398"/>
      <c r="I41" s="398"/>
      <c r="J41" s="398"/>
      <c r="K41" s="398"/>
      <c r="L41" s="398"/>
      <c r="M41" s="398"/>
      <c r="N41" s="35">
        <f>IF('(I) Plano de Trabalho'!$P$1026="","",'(I) Plano de Trabalho'!$P$1026)</f>
        <v>43983</v>
      </c>
      <c r="O41" s="36">
        <f>IF('(I) Plano de Trabalho'!$AF$1026="","",'(I) Plano de Trabalho'!$AF$1026)</f>
        <v>44166</v>
      </c>
      <c r="P41" s="31"/>
      <c r="Q41" s="42" t="str">
        <f>IF(AND($Q$16&gt;=N41,$Q$16&lt;=O41),"x","")</f>
        <v/>
      </c>
      <c r="R41" s="32" t="str">
        <f>IF(AND($R$16&gt;=N41,$R$16&lt;=O41),"x","")</f>
        <v/>
      </c>
      <c r="S41" s="32" t="str">
        <f>IF(AND($S$16&gt;=N41,$S$16&lt;=O41),"x","")</f>
        <v/>
      </c>
      <c r="T41" s="32" t="str">
        <f>IF(AND($T$16&gt;=N41,$T$16&lt;=O41),"x","")</f>
        <v/>
      </c>
      <c r="U41" s="32" t="str">
        <f>IF(AND($U$16&gt;=N41,$U$16&lt;=O41),"x","")</f>
        <v/>
      </c>
      <c r="V41" s="32" t="str">
        <f>IF(AND($V$16&gt;=N41,$V$16&lt;=O41),"x","")</f>
        <v/>
      </c>
      <c r="W41" s="32" t="str">
        <f>IF(AND($W$16&gt;=N41,$W$16&lt;=O41),"x","")</f>
        <v>x</v>
      </c>
      <c r="X41" s="32" t="str">
        <f>IF(AND($X$16&gt;=N41,$X$16&lt;=O41),"x","")</f>
        <v>x</v>
      </c>
      <c r="Y41" s="32" t="str">
        <f>IF(AND($Y$16&gt;=N41,$Y$16&lt;=O41),"x","")</f>
        <v>x</v>
      </c>
      <c r="Z41" s="32" t="str">
        <f>IF(AND($Z$16&gt;=N41,$Z$16&lt;=O41),"x","")</f>
        <v>x</v>
      </c>
      <c r="AA41" s="32" t="str">
        <f>IF(AND($AA$16&gt;=N41,$AA$16&lt;=O41),"x","")</f>
        <v>x</v>
      </c>
      <c r="AB41" s="32" t="str">
        <f>IF(AND($AB$16&gt;=N41,$AB$16&lt;=O41),"x","")</f>
        <v>x</v>
      </c>
      <c r="AC41" s="32" t="str">
        <f>IF(AND($AC$16&gt;=N41,$AC$16&lt;=O41),"x","")</f>
        <v>x</v>
      </c>
      <c r="AD41" s="32" t="str">
        <f>IF(AND($AD$16&gt;=N41,$AD$16&lt;=O41),"x","")</f>
        <v/>
      </c>
      <c r="AE41" s="32" t="str">
        <f>IF(AND($AE$16&gt;=N41,$AE$16&lt;=O41),"x","")</f>
        <v/>
      </c>
      <c r="AF41" s="32" t="str">
        <f>IF(AND($AF$16&gt;=N41,$AF$16&lt;=O41),"x","")</f>
        <v/>
      </c>
      <c r="AG41" s="32" t="str">
        <f>IF(AND($AG$16&gt;=N41,$AG$16&lt;=O41),"x","")</f>
        <v/>
      </c>
      <c r="AH41" s="32" t="str">
        <f>IF(AND($AH$16&gt;=N41,$AH$16&lt;=O41),"x","")</f>
        <v/>
      </c>
      <c r="AI41" s="32" t="str">
        <f>IF(AND($AI$16&gt;=N41,$AI$16&lt;=O41),"x","")</f>
        <v/>
      </c>
      <c r="AJ41" s="32" t="str">
        <f>IF(AND($AJ$16&gt;=N41,$AJ$16&lt;=O41),"x","")</f>
        <v/>
      </c>
      <c r="AK41" s="32" t="str">
        <f>IF(AND($AK$16&gt;=N41,$AK$16&lt;=O41),"x","")</f>
        <v/>
      </c>
      <c r="AL41" s="32" t="str">
        <f>IF(AND($AL$16&gt;=N41,$AL$16&lt;=O41),"x","")</f>
        <v/>
      </c>
      <c r="AM41" s="32" t="str">
        <f>IF(AND($AM$16&gt;=N41,$AM$16&lt;=O41),"x","")</f>
        <v/>
      </c>
      <c r="AN41" s="32" t="str">
        <f>IF(AND($AN$16&gt;=N41,$AN$16&lt;=O41),"x","")</f>
        <v/>
      </c>
      <c r="AO41" s="32" t="str">
        <f>IF(AND($AO$16&gt;=N41,$AO$16&lt;=O41),"x","")</f>
        <v/>
      </c>
      <c r="AP41" s="32" t="str">
        <f>IF(AND($AP$16&gt;=N41,$AP$16&lt;=O41),"x","")</f>
        <v/>
      </c>
      <c r="AQ41" s="32" t="str">
        <f>IF(AND($AQ$16&gt;=N41,$AQ$16&lt;=O41),"x","")</f>
        <v/>
      </c>
      <c r="AR41" s="32" t="str">
        <f>IF(AND($AR$16&gt;=N41,$AR$16&lt;=O41),"x","")</f>
        <v/>
      </c>
      <c r="AS41" s="32" t="str">
        <f>IF(AND($AS$16&gt;=N41,$AS$16&lt;=O41),"x","")</f>
        <v/>
      </c>
      <c r="AT41" s="32" t="str">
        <f>IF(AND($AT$16&gt;=N41,$AT$16&lt;=O41),"x","")</f>
        <v/>
      </c>
      <c r="AU41" s="32" t="str">
        <f>IF(AND($AU$16&gt;=N41,$AU$16&lt;=O41),"x","")</f>
        <v/>
      </c>
      <c r="AV41" s="32" t="str">
        <f>IF(AND($AV$16&gt;=N41,$AV$16&lt;=O41),"x","")</f>
        <v/>
      </c>
      <c r="AW41" s="32" t="str">
        <f>IF(AND($AW$16&gt;=N41,$AW$16&lt;=O41),"x","")</f>
        <v/>
      </c>
      <c r="AX41" s="32" t="str">
        <f>IF(AND($AX$16&gt;=N41,$AX$16&lt;=O41),"x","")</f>
        <v/>
      </c>
      <c r="AY41" s="32" t="str">
        <f>IF(AND($AY$16&gt;=N41,$AY$16&lt;=O41),"x","")</f>
        <v/>
      </c>
      <c r="AZ41" s="32" t="str">
        <f>IF(AND($AZ$16&gt;=N41,$AZ$16&lt;=O41),"x","")</f>
        <v/>
      </c>
      <c r="BA41" s="32" t="str">
        <f>IF(AND($BA$16&gt;=N41,$BA$16&lt;=O41),"x","")</f>
        <v/>
      </c>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row>
    <row r="42" spans="2:111" ht="15" customHeight="1">
      <c r="B42" s="397" t="str">
        <f>IF('(I) Plano de Trabalho'!$B$1047="","",'(I) Plano de Trabalho'!$B$1047)</f>
        <v>Etapa 4.3</v>
      </c>
      <c r="C42" s="398"/>
      <c r="D42" s="398"/>
      <c r="E42" s="398"/>
      <c r="F42" s="398"/>
      <c r="G42" s="398"/>
      <c r="H42" s="398"/>
      <c r="I42" s="398"/>
      <c r="J42" s="398"/>
      <c r="K42" s="398"/>
      <c r="L42" s="398"/>
      <c r="M42" s="398"/>
      <c r="N42" s="35">
        <f>IF('(I) Plano de Trabalho'!$P$1050="","",'(I) Plano de Trabalho'!$P$1050)</f>
        <v>43983</v>
      </c>
      <c r="O42" s="36">
        <f>IF('(I) Plano de Trabalho'!$AF$1050="","",'(I) Plano de Trabalho'!$AF$1050)</f>
        <v>44348</v>
      </c>
      <c r="P42" s="31"/>
      <c r="Q42" s="42" t="str">
        <f>IF(AND($Q$16&gt;=N42,$Q$16&lt;=O42),"x","")</f>
        <v/>
      </c>
      <c r="R42" s="32" t="str">
        <f>IF(AND($R$16&gt;=N42,$R$16&lt;=O42),"x","")</f>
        <v/>
      </c>
      <c r="S42" s="32" t="str">
        <f>IF(AND($S$16&gt;=N42,$S$16&lt;=O42),"x","")</f>
        <v/>
      </c>
      <c r="T42" s="32" t="str">
        <f>IF(AND($T$16&gt;=N42,$T$16&lt;=O42),"x","")</f>
        <v/>
      </c>
      <c r="U42" s="32" t="str">
        <f>IF(AND($U$16&gt;=N42,$U$16&lt;=O42),"x","")</f>
        <v/>
      </c>
      <c r="V42" s="32" t="str">
        <f>IF(AND($V$16&gt;=N42,$V$16&lt;=O42),"x","")</f>
        <v/>
      </c>
      <c r="W42" s="32" t="str">
        <f>IF(AND($W$16&gt;=N42,$W$16&lt;=O42),"x","")</f>
        <v>x</v>
      </c>
      <c r="X42" s="32" t="str">
        <f>IF(AND($X$16&gt;=N42,$X$16&lt;=O42),"x","")</f>
        <v>x</v>
      </c>
      <c r="Y42" s="32" t="str">
        <f>IF(AND($Y$16&gt;=N42,$Y$16&lt;=O42),"x","")</f>
        <v>x</v>
      </c>
      <c r="Z42" s="32" t="str">
        <f>IF(AND($Z$16&gt;=N42,$Z$16&lt;=O42),"x","")</f>
        <v>x</v>
      </c>
      <c r="AA42" s="32" t="str">
        <f>IF(AND($AA$16&gt;=N42,$AA$16&lt;=O42),"x","")</f>
        <v>x</v>
      </c>
      <c r="AB42" s="32" t="str">
        <f>IF(AND($AB$16&gt;=N42,$AB$16&lt;=O42),"x","")</f>
        <v>x</v>
      </c>
      <c r="AC42" s="32" t="str">
        <f>IF(AND($AC$16&gt;=N42,$AC$16&lt;=O42),"x","")</f>
        <v>x</v>
      </c>
      <c r="AD42" s="32" t="str">
        <f>IF(AND($AD$16&gt;=N42,$AD$16&lt;=O42),"x","")</f>
        <v>x</v>
      </c>
      <c r="AE42" s="32" t="str">
        <f>IF(AND($AE$16&gt;=N42,$AE$16&lt;=O42),"x","")</f>
        <v>x</v>
      </c>
      <c r="AF42" s="32" t="str">
        <f>IF(AND($AF$16&gt;=N42,$AF$16&lt;=O42),"x","")</f>
        <v>x</v>
      </c>
      <c r="AG42" s="32" t="str">
        <f>IF(AND($AG$16&gt;=N42,$AG$16&lt;=O42),"x","")</f>
        <v>x</v>
      </c>
      <c r="AH42" s="32" t="str">
        <f>IF(AND($AH$16&gt;=N42,$AH$16&lt;=O42),"x","")</f>
        <v>x</v>
      </c>
      <c r="AI42" s="32" t="str">
        <f>IF(AND($AI$16&gt;=N42,$AI$16&lt;=O42),"x","")</f>
        <v>x</v>
      </c>
      <c r="AJ42" s="32" t="str">
        <f>IF(AND($AJ$16&gt;=N42,$AJ$16&lt;=O42),"x","")</f>
        <v/>
      </c>
      <c r="AK42" s="32" t="str">
        <f>IF(AND($AK$16&gt;=N42,$AK$16&lt;=O42),"x","")</f>
        <v/>
      </c>
      <c r="AL42" s="32" t="str">
        <f>IF(AND($AL$16&gt;=N42,$AL$16&lt;=O42),"x","")</f>
        <v/>
      </c>
      <c r="AM42" s="32" t="str">
        <f>IF(AND($AM$16&gt;=N42,$AM$16&lt;=O42),"x","")</f>
        <v/>
      </c>
      <c r="AN42" s="32" t="str">
        <f>IF(AND($AN$16&gt;=N42,$AN$16&lt;=O42),"x","")</f>
        <v/>
      </c>
      <c r="AO42" s="32" t="str">
        <f>IF(AND($AO$16&gt;=N42,$AO$16&lt;=O42),"x","")</f>
        <v/>
      </c>
      <c r="AP42" s="32" t="str">
        <f>IF(AND($AP$16&gt;=N42,$AP$16&lt;=O42),"x","")</f>
        <v/>
      </c>
      <c r="AQ42" s="32" t="str">
        <f>IF(AND($AQ$16&gt;=N42,$AQ$16&lt;=O42),"x","")</f>
        <v/>
      </c>
      <c r="AR42" s="32" t="str">
        <f>IF(AND($AR$16&gt;=N42,$AR$16&lt;=O42),"x","")</f>
        <v/>
      </c>
      <c r="AS42" s="32" t="str">
        <f>IF(AND($AS$16&gt;=N42,$AS$16&lt;=O42),"x","")</f>
        <v/>
      </c>
      <c r="AT42" s="32" t="str">
        <f>IF(AND($AT$16&gt;=N42,$AT$16&lt;=O42),"x","")</f>
        <v/>
      </c>
      <c r="AU42" s="32" t="str">
        <f>IF(AND($AU$16&gt;=N42,$AU$16&lt;=O42),"x","")</f>
        <v/>
      </c>
      <c r="AV42" s="32" t="str">
        <f>IF(AND($AV$16&gt;=N42,$AV$16&lt;=O42),"x","")</f>
        <v/>
      </c>
      <c r="AW42" s="32" t="str">
        <f>IF(AND($AW$16&gt;=N42,$AW$16&lt;=O42),"x","")</f>
        <v/>
      </c>
      <c r="AX42" s="32" t="str">
        <f>IF(AND($AX$16&gt;=N42,$AX$16&lt;=O42),"x","")</f>
        <v/>
      </c>
      <c r="AY42" s="32" t="str">
        <f>IF(AND($AY$16&gt;=N42,$AY$16&lt;=O42),"x","")</f>
        <v/>
      </c>
      <c r="AZ42" s="32" t="str">
        <f>IF(AND($AZ$16&gt;=N42,$AZ$16&lt;=O42),"x","")</f>
        <v/>
      </c>
      <c r="BA42" s="32" t="str">
        <f>IF(AND($BA$16&gt;=N42,$BA$16&lt;=O42),"x","")</f>
        <v/>
      </c>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row>
    <row r="43" spans="2:111" ht="15" customHeight="1">
      <c r="B43" s="397" t="str">
        <f>IF('(I) Plano de Trabalho'!$B$1070="","",'(I) Plano de Trabalho'!$B$1070)</f>
        <v/>
      </c>
      <c r="C43" s="398"/>
      <c r="D43" s="398"/>
      <c r="E43" s="398"/>
      <c r="F43" s="398"/>
      <c r="G43" s="398"/>
      <c r="H43" s="398"/>
      <c r="I43" s="398"/>
      <c r="J43" s="398"/>
      <c r="K43" s="398"/>
      <c r="L43" s="398"/>
      <c r="M43" s="398"/>
      <c r="N43" s="35" t="str">
        <f>IF('(I) Plano de Trabalho'!$P$1073="","",'(I) Plano de Trabalho'!$P$1073)</f>
        <v/>
      </c>
      <c r="O43" s="36" t="str">
        <f>IF('(I) Plano de Trabalho'!$AF$1073="","",'(I) Plano de Trabalho'!$AF$1073)</f>
        <v/>
      </c>
      <c r="P43" s="31"/>
      <c r="Q43" s="42" t="str">
        <f>IF(AND($Q$16&gt;=N43,$Q$16&lt;=O43),"x","")</f>
        <v/>
      </c>
      <c r="R43" s="32" t="str">
        <f>IF(AND($R$16&gt;=N43,$R$16&lt;=O43),"x","")</f>
        <v/>
      </c>
      <c r="S43" s="32" t="str">
        <f>IF(AND($S$16&gt;=N43,$S$16&lt;=O43),"x","")</f>
        <v/>
      </c>
      <c r="T43" s="32" t="str">
        <f>IF(AND($T$16&gt;=N43,$T$16&lt;=O43),"x","")</f>
        <v/>
      </c>
      <c r="U43" s="32" t="str">
        <f>IF(AND($U$16&gt;=N43,$U$16&lt;=O43),"x","")</f>
        <v/>
      </c>
      <c r="V43" s="32" t="str">
        <f>IF(AND($V$16&gt;=N43,$V$16&lt;=O43),"x","")</f>
        <v/>
      </c>
      <c r="W43" s="32" t="str">
        <f>IF(AND($W$16&gt;=N43,$W$16&lt;=O43),"x","")</f>
        <v/>
      </c>
      <c r="X43" s="32" t="str">
        <f>IF(AND($X$16&gt;=N43,$X$16&lt;=O43),"x","")</f>
        <v/>
      </c>
      <c r="Y43" s="32" t="str">
        <f>IF(AND($Y$16&gt;=N43,$Y$16&lt;=O43),"x","")</f>
        <v/>
      </c>
      <c r="Z43" s="32" t="str">
        <f>IF(AND($Z$16&gt;=N43,$Z$16&lt;=O43),"x","")</f>
        <v/>
      </c>
      <c r="AA43" s="32" t="str">
        <f>IF(AND($AA$16&gt;=N43,$AA$16&lt;=O43),"x","")</f>
        <v/>
      </c>
      <c r="AB43" s="32" t="str">
        <f>IF(AND($AB$16&gt;=N43,$AB$16&lt;=O43),"x","")</f>
        <v/>
      </c>
      <c r="AC43" s="32" t="str">
        <f>IF(AND($AC$16&gt;=N43,$AC$16&lt;=O43),"x","")</f>
        <v/>
      </c>
      <c r="AD43" s="32" t="str">
        <f>IF(AND($AD$16&gt;=N43,$AD$16&lt;=O43),"x","")</f>
        <v/>
      </c>
      <c r="AE43" s="32" t="str">
        <f>IF(AND($AE$16&gt;=N43,$AE$16&lt;=O43),"x","")</f>
        <v/>
      </c>
      <c r="AF43" s="32" t="str">
        <f>IF(AND($AF$16&gt;=N43,$AF$16&lt;=O43),"x","")</f>
        <v/>
      </c>
      <c r="AG43" s="32" t="str">
        <f>IF(AND($AG$16&gt;=N43,$AG$16&lt;=O43),"x","")</f>
        <v/>
      </c>
      <c r="AH43" s="32" t="str">
        <f>IF(AND($AH$16&gt;=N43,$AH$16&lt;=O43),"x","")</f>
        <v/>
      </c>
      <c r="AI43" s="32" t="str">
        <f>IF(AND($AI$16&gt;=N43,$AI$16&lt;=O43),"x","")</f>
        <v/>
      </c>
      <c r="AJ43" s="32" t="str">
        <f>IF(AND($AJ$16&gt;=N43,$AJ$16&lt;=O43),"x","")</f>
        <v/>
      </c>
      <c r="AK43" s="32" t="str">
        <f>IF(AND($AK$16&gt;=N43,$AK$16&lt;=O43),"x","")</f>
        <v/>
      </c>
      <c r="AL43" s="32" t="str">
        <f>IF(AND($AL$16&gt;=N43,$AL$16&lt;=O43),"x","")</f>
        <v/>
      </c>
      <c r="AM43" s="32" t="str">
        <f>IF(AND($AM$16&gt;=N43,$AM$16&lt;=O43),"x","")</f>
        <v/>
      </c>
      <c r="AN43" s="32" t="str">
        <f>IF(AND($AN$16&gt;=N43,$AN$16&lt;=O43),"x","")</f>
        <v/>
      </c>
      <c r="AO43" s="32" t="str">
        <f>IF(AND($AO$16&gt;=N43,$AO$16&lt;=O43),"x","")</f>
        <v/>
      </c>
      <c r="AP43" s="32" t="str">
        <f>IF(AND($AP$16&gt;=N43,$AP$16&lt;=O43),"x","")</f>
        <v/>
      </c>
      <c r="AQ43" s="32" t="str">
        <f>IF(AND($AQ$16&gt;=N43,$AQ$16&lt;=O43),"x","")</f>
        <v/>
      </c>
      <c r="AR43" s="32" t="str">
        <f>IF(AND($AR$16&gt;=N43,$AR$16&lt;=O43),"x","")</f>
        <v/>
      </c>
      <c r="AS43" s="32" t="str">
        <f>IF(AND($AS$16&gt;=N43,$AS$16&lt;=O43),"x","")</f>
        <v/>
      </c>
      <c r="AT43" s="32" t="str">
        <f>IF(AND($AT$16&gt;=N43,$AT$16&lt;=O43),"x","")</f>
        <v/>
      </c>
      <c r="AU43" s="32" t="str">
        <f>IF(AND($AU$16&gt;=N43,$AU$16&lt;=O43),"x","")</f>
        <v/>
      </c>
      <c r="AV43" s="32" t="str">
        <f>IF(AND($AV$16&gt;=N43,$AV$16&lt;=O43),"x","")</f>
        <v/>
      </c>
      <c r="AW43" s="32" t="str">
        <f>IF(AND($AW$16&gt;=N43,$AW$16&lt;=O43),"x","")</f>
        <v/>
      </c>
      <c r="AX43" s="32" t="str">
        <f>IF(AND($AX$16&gt;=N43,$AX$16&lt;=O43),"x","")</f>
        <v/>
      </c>
      <c r="AY43" s="32" t="str">
        <f>IF(AND($AY$16&gt;=N43,$AY$16&lt;=O43),"x","")</f>
        <v/>
      </c>
      <c r="AZ43" s="32" t="str">
        <f>IF(AND($AZ$16&gt;=N43,$AZ$16&lt;=O43),"x","")</f>
        <v/>
      </c>
      <c r="BA43" s="32" t="str">
        <f>IF(AND($BA$16&gt;=N43,$BA$16&lt;=O43),"x","")</f>
        <v/>
      </c>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row>
    <row r="44" spans="2:111" ht="15" customHeight="1">
      <c r="B44" s="397" t="str">
        <f>IF('(I) Plano de Trabalho'!$B$1093="","",'(I) Plano de Trabalho'!$B$1093)</f>
        <v/>
      </c>
      <c r="C44" s="398"/>
      <c r="D44" s="398"/>
      <c r="E44" s="398"/>
      <c r="F44" s="398"/>
      <c r="G44" s="398"/>
      <c r="H44" s="398"/>
      <c r="I44" s="398"/>
      <c r="J44" s="398"/>
      <c r="K44" s="398"/>
      <c r="L44" s="398"/>
      <c r="M44" s="398"/>
      <c r="N44" s="35" t="str">
        <f>IF('(I) Plano de Trabalho'!$P$1096="","",'(I) Plano de Trabalho'!$P$1096)</f>
        <v/>
      </c>
      <c r="O44" s="36" t="str">
        <f>IF('(I) Plano de Trabalho'!$AF$1096="","",'(I) Plano de Trabalho'!$AF$1096)</f>
        <v/>
      </c>
      <c r="P44" s="31"/>
      <c r="Q44" s="42" t="str">
        <f>IF(AND($Q$16&gt;=N44,$Q$16&lt;=O44),"x","")</f>
        <v/>
      </c>
      <c r="R44" s="32" t="str">
        <f>IF(AND($R$16&gt;=N44,$R$16&lt;=O44),"x","")</f>
        <v/>
      </c>
      <c r="S44" s="32" t="str">
        <f>IF(AND($S$16&gt;=N44,$S$16&lt;=O44),"x","")</f>
        <v/>
      </c>
      <c r="T44" s="32" t="str">
        <f>IF(AND($T$16&gt;=N44,$T$16&lt;=O44),"x","")</f>
        <v/>
      </c>
      <c r="U44" s="32" t="str">
        <f>IF(AND($U$16&gt;=N44,$U$16&lt;=O44),"x","")</f>
        <v/>
      </c>
      <c r="V44" s="32" t="str">
        <f>IF(AND($V$16&gt;=N44,$V$16&lt;=O44),"x","")</f>
        <v/>
      </c>
      <c r="W44" s="32" t="str">
        <f>IF(AND($W$16&gt;=N44,$W$16&lt;=O44),"x","")</f>
        <v/>
      </c>
      <c r="X44" s="32" t="str">
        <f>IF(AND($X$16&gt;=N44,$X$16&lt;=O44),"x","")</f>
        <v/>
      </c>
      <c r="Y44" s="32" t="str">
        <f>IF(AND($Y$16&gt;=N44,$Y$16&lt;=O44),"x","")</f>
        <v/>
      </c>
      <c r="Z44" s="32" t="str">
        <f>IF(AND($Z$16&gt;=N44,$Z$16&lt;=O44),"x","")</f>
        <v/>
      </c>
      <c r="AA44" s="32" t="str">
        <f>IF(AND($AA$16&gt;=N44,$AA$16&lt;=O44),"x","")</f>
        <v/>
      </c>
      <c r="AB44" s="32" t="str">
        <f>IF(AND($AB$16&gt;=N44,$AB$16&lt;=O44),"x","")</f>
        <v/>
      </c>
      <c r="AC44" s="32" t="str">
        <f>IF(AND($AC$16&gt;=N44,$AC$16&lt;=O44),"x","")</f>
        <v/>
      </c>
      <c r="AD44" s="32" t="str">
        <f>IF(AND($AD$16&gt;=N44,$AD$16&lt;=O44),"x","")</f>
        <v/>
      </c>
      <c r="AE44" s="32" t="str">
        <f>IF(AND($AE$16&gt;=N44,$AE$16&lt;=O44),"x","")</f>
        <v/>
      </c>
      <c r="AF44" s="32" t="str">
        <f>IF(AND($AF$16&gt;=N44,$AF$16&lt;=O44),"x","")</f>
        <v/>
      </c>
      <c r="AG44" s="32" t="str">
        <f>IF(AND($AG$16&gt;=N44,$AG$16&lt;=O44),"x","")</f>
        <v/>
      </c>
      <c r="AH44" s="32" t="str">
        <f>IF(AND($AH$16&gt;=N44,$AH$16&lt;=O44),"x","")</f>
        <v/>
      </c>
      <c r="AI44" s="32" t="str">
        <f>IF(AND($AI$16&gt;=N44,$AI$16&lt;=O44),"x","")</f>
        <v/>
      </c>
      <c r="AJ44" s="32" t="str">
        <f>IF(AND($AJ$16&gt;=N44,$AJ$16&lt;=O44),"x","")</f>
        <v/>
      </c>
      <c r="AK44" s="32" t="str">
        <f>IF(AND($AK$16&gt;=N44,$AK$16&lt;=O44),"x","")</f>
        <v/>
      </c>
      <c r="AL44" s="32" t="str">
        <f>IF(AND($AL$16&gt;=N44,$AL$16&lt;=O44),"x","")</f>
        <v/>
      </c>
      <c r="AM44" s="32" t="str">
        <f>IF(AND($AM$16&gt;=N44,$AM$16&lt;=O44),"x","")</f>
        <v/>
      </c>
      <c r="AN44" s="32" t="str">
        <f>IF(AND($AN$16&gt;=N44,$AN$16&lt;=O44),"x","")</f>
        <v/>
      </c>
      <c r="AO44" s="32" t="str">
        <f>IF(AND($AO$16&gt;=N44,$AO$16&lt;=O44),"x","")</f>
        <v/>
      </c>
      <c r="AP44" s="32" t="str">
        <f>IF(AND($AP$16&gt;=N44,$AP$16&lt;=O44),"x","")</f>
        <v/>
      </c>
      <c r="AQ44" s="32" t="str">
        <f>IF(AND($AQ$16&gt;=N44,$AQ$16&lt;=O44),"x","")</f>
        <v/>
      </c>
      <c r="AR44" s="32" t="str">
        <f>IF(AND($AR$16&gt;=N44,$AR$16&lt;=O44),"x","")</f>
        <v/>
      </c>
      <c r="AS44" s="32" t="str">
        <f>IF(AND($AS$16&gt;=N44,$AS$16&lt;=O44),"x","")</f>
        <v/>
      </c>
      <c r="AT44" s="32" t="str">
        <f>IF(AND($AT$16&gt;=N44,$AT$16&lt;=O44),"x","")</f>
        <v/>
      </c>
      <c r="AU44" s="32" t="str">
        <f>IF(AND($AU$16&gt;=N44,$AU$16&lt;=O44),"x","")</f>
        <v/>
      </c>
      <c r="AV44" s="32" t="str">
        <f>IF(AND($AV$16&gt;=N44,$AV$16&lt;=O44),"x","")</f>
        <v/>
      </c>
      <c r="AW44" s="32" t="str">
        <f>IF(AND($AW$16&gt;=N44,$AW$16&lt;=O44),"x","")</f>
        <v/>
      </c>
      <c r="AX44" s="32" t="str">
        <f>IF(AND($AX$16&gt;=N44,$AX$16&lt;=O44),"x","")</f>
        <v/>
      </c>
      <c r="AY44" s="32" t="str">
        <f>IF(AND($AY$16&gt;=N44,$AY$16&lt;=O44),"x","")</f>
        <v/>
      </c>
      <c r="AZ44" s="32" t="str">
        <f>IF(AND($AZ$16&gt;=N44,$AZ$16&lt;=O44),"x","")</f>
        <v/>
      </c>
      <c r="BA44" s="32" t="str">
        <f>IF(AND($BA$16&gt;=N44,$BA$16&lt;=O44),"x","")</f>
        <v/>
      </c>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row>
    <row r="45" spans="2:111" ht="15" customHeight="1">
      <c r="B45" s="399" t="str">
        <f>IF('(I) Plano de Trabalho'!$B$1117="","",'(I) Plano de Trabalho'!$B$1117)</f>
        <v>Meta 5</v>
      </c>
      <c r="C45" s="400"/>
      <c r="D45" s="400"/>
      <c r="E45" s="400"/>
      <c r="F45" s="400"/>
      <c r="G45" s="400"/>
      <c r="H45" s="400"/>
      <c r="I45" s="400"/>
      <c r="J45" s="400"/>
      <c r="K45" s="400"/>
      <c r="L45" s="400"/>
      <c r="M45" s="400"/>
      <c r="N45" s="33">
        <f>MIN(N46:N50)</f>
        <v>44409</v>
      </c>
      <c r="O45" s="34">
        <f>MAX(O46:O50)</f>
        <v>44866</v>
      </c>
      <c r="P45" s="30"/>
      <c r="Q45" s="42" t="str">
        <f>IF(AND($Q$16&gt;=$N45,$Q$16&lt;=$O45),"x","")</f>
        <v/>
      </c>
      <c r="R45" s="32" t="str">
        <f>IF(AND($R$16&gt;=$N45,$R$16&lt;=$O45),"x","")</f>
        <v/>
      </c>
      <c r="S45" s="32" t="str">
        <f>IF(AND($S$16&gt;=$N45,$S$16&lt;=$O45),"x","")</f>
        <v/>
      </c>
      <c r="T45" s="32" t="str">
        <f>IF(AND($T$16&gt;=$N45,$T$16&lt;=$O45),"x","")</f>
        <v/>
      </c>
      <c r="U45" s="32" t="str">
        <f>IF(AND($U$16&gt;=$N45,$U$16&lt;=$O45),"x","")</f>
        <v/>
      </c>
      <c r="V45" s="32" t="str">
        <f>IF(AND($V$16&gt;=$N45,$V$16&lt;=$O45),"x","")</f>
        <v/>
      </c>
      <c r="W45" s="32" t="str">
        <f>IF(AND($W$16&gt;=$N45,$W$16&lt;=$O45),"x","")</f>
        <v/>
      </c>
      <c r="X45" s="32" t="str">
        <f>IF(AND($X$16&gt;=$N45,$X$16&lt;=$O45),"x","")</f>
        <v/>
      </c>
      <c r="Y45" s="32" t="str">
        <f>IF(AND($Y$16&gt;=$N45,$Y$16&lt;=$O45),"x","")</f>
        <v/>
      </c>
      <c r="Z45" s="32" t="str">
        <f>IF(AND($Z$16&gt;=$N45,$Z$16&lt;=$O45),"x","")</f>
        <v/>
      </c>
      <c r="AA45" s="32" t="str">
        <f>IF(AND($AA$16&gt;=$N45,$AA$16&lt;=$O45),"x","")</f>
        <v/>
      </c>
      <c r="AB45" s="32" t="str">
        <f>IF(AND($AB$16&gt;=$N45,$AB$16&lt;=$O45),"x","")</f>
        <v/>
      </c>
      <c r="AC45" s="32" t="str">
        <f>IF(AND($AC$16&gt;=$N45,$AC$16&lt;=$O45),"x","")</f>
        <v/>
      </c>
      <c r="AD45" s="32" t="str">
        <f>IF(AND($AD$16&gt;=$N45,$AD$16&lt;=$O45),"x","")</f>
        <v/>
      </c>
      <c r="AE45" s="32" t="str">
        <f>IF(AND($AE$16&gt;=$N45,$AE$16&lt;=$O45),"x","")</f>
        <v/>
      </c>
      <c r="AF45" s="32" t="str">
        <f>IF(AND($AF$16&gt;=$N45,$AF$16&lt;=$O45),"x","")</f>
        <v/>
      </c>
      <c r="AG45" s="32" t="str">
        <f>IF(AND($AG$16&gt;=$N45,$AG$16&lt;=$O45),"x","")</f>
        <v/>
      </c>
      <c r="AH45" s="32" t="str">
        <f>IF(AND($AH$16&gt;=$N45,$AH$16&lt;=$O45),"x","")</f>
        <v/>
      </c>
      <c r="AI45" s="32" t="str">
        <f>IF(AND($AI$16&gt;=$N45,$AI$16&lt;=$O45),"x","")</f>
        <v/>
      </c>
      <c r="AJ45" s="32" t="str">
        <f>IF(AND($AJ$16&gt;=$N45,$AJ$16&lt;=$O45),"x","")</f>
        <v/>
      </c>
      <c r="AK45" s="32" t="str">
        <f>IF(AND($AK$16&gt;=$N45,$AK$16&lt;=$O45),"x","")</f>
        <v>x</v>
      </c>
      <c r="AL45" s="32" t="str">
        <f>IF(AND($AL$16&gt;=$N45,$AL$16&lt;=$O45),"x","")</f>
        <v>x</v>
      </c>
      <c r="AM45" s="32" t="str">
        <f>IF(AND($AM$16&gt;=$N45,$AM$16&lt;=$O45),"x","")</f>
        <v>x</v>
      </c>
      <c r="AN45" s="32" t="str">
        <f>IF(AND($AN$16&gt;=$N45,$AN$16&lt;=$O45),"x","")</f>
        <v>x</v>
      </c>
      <c r="AO45" s="32" t="str">
        <f>IF(AND($AO$16&gt;=$N45,$AO$16&lt;=$O45),"x","")</f>
        <v>x</v>
      </c>
      <c r="AP45" s="32" t="str">
        <f>IF(AND($AP$16&gt;=$N45,$AP$16&lt;=$O45),"x","")</f>
        <v>x</v>
      </c>
      <c r="AQ45" s="32" t="str">
        <f>IF(AND($AQ$16&gt;=$N45,$AQ$16&lt;=$O45),"x","")</f>
        <v>x</v>
      </c>
      <c r="AR45" s="32" t="str">
        <f>IF(AND($AR$16&gt;=$N45,$AR$16&lt;=$O45),"x","")</f>
        <v>x</v>
      </c>
      <c r="AS45" s="32" t="str">
        <f>IF(AND($AS$16&gt;=$N45,$AS$16&lt;=$O45),"x","")</f>
        <v>x</v>
      </c>
      <c r="AT45" s="32" t="str">
        <f>IF(AND($AT$16&gt;=$N45,$AT$16&lt;=$O45),"x","")</f>
        <v>x</v>
      </c>
      <c r="AU45" s="32" t="str">
        <f>IF(AND($AU$16&gt;=$N45,$AU$16&lt;=$O45),"x","")</f>
        <v>x</v>
      </c>
      <c r="AV45" s="32" t="str">
        <f>IF(AND($AV$16&gt;=$N45,$AV$16&lt;=$O45),"x","")</f>
        <v>x</v>
      </c>
      <c r="AW45" s="32" t="str">
        <f>IF(AND($AW$16&gt;=$N45,$AW$16&lt;=$O45),"x","")</f>
        <v>x</v>
      </c>
      <c r="AX45" s="32" t="str">
        <f>IF(AND($AX$16&gt;=$N45,$AX$16&lt;=$O45),"x","")</f>
        <v>x</v>
      </c>
      <c r="AY45" s="32" t="str">
        <f>IF(AND($AY$16&gt;=$N45,$AY$16&lt;=$O45),"x","")</f>
        <v>x</v>
      </c>
      <c r="AZ45" s="32" t="str">
        <f>IF(AND($AZ$16&gt;=$N45,$AZ$16&lt;=$O45),"x","")</f>
        <v>x</v>
      </c>
      <c r="BA45" s="32" t="str">
        <f>IF(AND($BA$16&gt;=$N45,$BA$16&lt;=$O45),"x","")</f>
        <v/>
      </c>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row>
    <row r="46" spans="2:111" ht="15" customHeight="1">
      <c r="B46" s="397" t="str">
        <f>IF('(I) Plano de Trabalho'!$B$1123="","",'(I) Plano de Trabalho'!$B$1123)</f>
        <v>Etapa 5.1</v>
      </c>
      <c r="C46" s="398"/>
      <c r="D46" s="398"/>
      <c r="E46" s="398"/>
      <c r="F46" s="398"/>
      <c r="G46" s="398"/>
      <c r="H46" s="398"/>
      <c r="I46" s="398"/>
      <c r="J46" s="398"/>
      <c r="K46" s="398"/>
      <c r="L46" s="398"/>
      <c r="M46" s="398"/>
      <c r="N46" s="35">
        <f>IF('(I) Plano de Trabalho'!$P$1126="","",'(I) Plano de Trabalho'!$P$1126)</f>
        <v>44409</v>
      </c>
      <c r="O46" s="36">
        <f>IF('(I) Plano de Trabalho'!$AF$1126="","",'(I) Plano de Trabalho'!$AF$1126)</f>
        <v>44652</v>
      </c>
      <c r="P46" s="31"/>
      <c r="Q46" s="42" t="str">
        <f>IF(AND($Q$16&gt;=N46,$Q$16&lt;=O46),"x","")</f>
        <v/>
      </c>
      <c r="R46" s="32" t="str">
        <f>IF(AND($R$16&gt;=N46,$R$16&lt;=O46),"x","")</f>
        <v/>
      </c>
      <c r="S46" s="32" t="str">
        <f>IF(AND($S$16&gt;=N46,$S$16&lt;=O46),"x","")</f>
        <v/>
      </c>
      <c r="T46" s="32" t="str">
        <f>IF(AND($T$16&gt;=N46,$T$16&lt;=O46),"x","")</f>
        <v/>
      </c>
      <c r="U46" s="32" t="str">
        <f>IF(AND($U$16&gt;=N46,$U$16&lt;=O46),"x","")</f>
        <v/>
      </c>
      <c r="V46" s="32" t="str">
        <f>IF(AND($V$16&gt;=N46,$V$16&lt;=O46),"x","")</f>
        <v/>
      </c>
      <c r="W46" s="32" t="str">
        <f>IF(AND($W$16&gt;=N46,$W$16&lt;=O46),"x","")</f>
        <v/>
      </c>
      <c r="X46" s="32" t="str">
        <f>IF(AND($X$16&gt;=N46,$X$16&lt;=O46),"x","")</f>
        <v/>
      </c>
      <c r="Y46" s="32" t="str">
        <f>IF(AND($Y$16&gt;=N46,$Y$16&lt;=O46),"x","")</f>
        <v/>
      </c>
      <c r="Z46" s="32" t="str">
        <f>IF(AND($Z$16&gt;=N46,$Z$16&lt;=O46),"x","")</f>
        <v/>
      </c>
      <c r="AA46" s="32" t="str">
        <f>IF(AND($AA$16&gt;=N46,$AA$16&lt;=O46),"x","")</f>
        <v/>
      </c>
      <c r="AB46" s="32" t="str">
        <f>IF(AND($AB$16&gt;=N46,$AB$16&lt;=O46),"x","")</f>
        <v/>
      </c>
      <c r="AC46" s="32" t="str">
        <f>IF(AND($AC$16&gt;=N46,$AC$16&lt;=O46),"x","")</f>
        <v/>
      </c>
      <c r="AD46" s="32" t="str">
        <f>IF(AND($AD$16&gt;=N46,$AD$16&lt;=O46),"x","")</f>
        <v/>
      </c>
      <c r="AE46" s="32" t="str">
        <f>IF(AND($AE$16&gt;=N46,$AE$16&lt;=O46),"x","")</f>
        <v/>
      </c>
      <c r="AF46" s="32" t="str">
        <f>IF(AND($AF$16&gt;=N46,$AF$16&lt;=O46),"x","")</f>
        <v/>
      </c>
      <c r="AG46" s="32" t="str">
        <f>IF(AND($AG$16&gt;=N46,$AG$16&lt;=O46),"x","")</f>
        <v/>
      </c>
      <c r="AH46" s="32" t="str">
        <f>IF(AND($AH$16&gt;=N46,$AH$16&lt;=O46),"x","")</f>
        <v/>
      </c>
      <c r="AI46" s="32" t="str">
        <f>IF(AND($AI$16&gt;=N46,$AI$16&lt;=O46),"x","")</f>
        <v/>
      </c>
      <c r="AJ46" s="32" t="str">
        <f>IF(AND($AJ$16&gt;=N46,$AJ$16&lt;=O46),"x","")</f>
        <v/>
      </c>
      <c r="AK46" s="32" t="str">
        <f>IF(AND($AK$16&gt;=N46,$AK$16&lt;=O46),"x","")</f>
        <v>x</v>
      </c>
      <c r="AL46" s="32" t="str">
        <f>IF(AND($AL$16&gt;=N46,$AL$16&lt;=O46),"x","")</f>
        <v>x</v>
      </c>
      <c r="AM46" s="32" t="str">
        <f>IF(AND($AM$16&gt;=N46,$AM$16&lt;=O46),"x","")</f>
        <v>x</v>
      </c>
      <c r="AN46" s="32" t="str">
        <f>IF(AND($AN$16&gt;=N46,$AN$16&lt;=O46),"x","")</f>
        <v>x</v>
      </c>
      <c r="AO46" s="32" t="str">
        <f>IF(AND($AO$16&gt;=N46,$AO$16&lt;=O46),"x","")</f>
        <v>x</v>
      </c>
      <c r="AP46" s="32" t="str">
        <f>IF(AND($AP$16&gt;=N46,$AP$16&lt;=O46),"x","")</f>
        <v>x</v>
      </c>
      <c r="AQ46" s="32" t="str">
        <f>IF(AND($AQ$16&gt;=N46,$AQ$16&lt;=O46),"x","")</f>
        <v>x</v>
      </c>
      <c r="AR46" s="32" t="str">
        <f>IF(AND($AR$16&gt;=N46,$AR$16&lt;=O46),"x","")</f>
        <v>x</v>
      </c>
      <c r="AS46" s="32" t="str">
        <f>IF(AND($AS$16&gt;=N46,$AS$16&lt;=O46),"x","")</f>
        <v>x</v>
      </c>
      <c r="AT46" s="32" t="str">
        <f>IF(AND($AT$16&gt;=N46,$AT$16&lt;=O46),"x","")</f>
        <v/>
      </c>
      <c r="AU46" s="32" t="str">
        <f>IF(AND($AU$16&gt;=N46,$AU$16&lt;=O46),"x","")</f>
        <v/>
      </c>
      <c r="AV46" s="32" t="str">
        <f>IF(AND($AV$16&gt;=N46,$AV$16&lt;=O46),"x","")</f>
        <v/>
      </c>
      <c r="AW46" s="32" t="str">
        <f>IF(AND($AW$16&gt;=N46,$AW$16&lt;=O46),"x","")</f>
        <v/>
      </c>
      <c r="AX46" s="32" t="str">
        <f>IF(AND($AX$16&gt;=N46,$AX$16&lt;=O46),"x","")</f>
        <v/>
      </c>
      <c r="AY46" s="32" t="str">
        <f>IF(AND($AY$16&gt;=N46,$AY$16&lt;=O46),"x","")</f>
        <v/>
      </c>
      <c r="AZ46" s="32" t="str">
        <f>IF(AND($AZ$16&gt;=N46,$AZ$16&lt;=O46),"x","")</f>
        <v/>
      </c>
      <c r="BA46" s="32" t="str">
        <f>IF(AND($BA$16&gt;=N46,$BA$16&lt;=O46),"x","")</f>
        <v/>
      </c>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row>
    <row r="47" spans="2:111" ht="15" customHeight="1">
      <c r="B47" s="397" t="str">
        <f>IF('(I) Plano de Trabalho'!$B$1146="","",'(I) Plano de Trabalho'!$B$1146)</f>
        <v>Etapa 5.2</v>
      </c>
      <c r="C47" s="398"/>
      <c r="D47" s="398"/>
      <c r="E47" s="398"/>
      <c r="F47" s="398"/>
      <c r="G47" s="398"/>
      <c r="H47" s="398"/>
      <c r="I47" s="398"/>
      <c r="J47" s="398"/>
      <c r="K47" s="398"/>
      <c r="L47" s="398"/>
      <c r="M47" s="398"/>
      <c r="N47" s="35">
        <f>IF('(I) Plano de Trabalho'!$P$1149="","",'(I) Plano de Trabalho'!$P$1149)</f>
        <v>44805</v>
      </c>
      <c r="O47" s="36">
        <f>IF('(I) Plano de Trabalho'!$AF$1149="","",'(I) Plano de Trabalho'!$AF$1149)</f>
        <v>44866</v>
      </c>
      <c r="P47" s="31"/>
      <c r="Q47" s="42" t="str">
        <f>IF(AND($Q$16&gt;=N47,$Q$16&lt;=O47),"x","")</f>
        <v/>
      </c>
      <c r="R47" s="32" t="str">
        <f>IF(AND($R$16&gt;=N47,$R$16&lt;=O47),"x","")</f>
        <v/>
      </c>
      <c r="S47" s="32" t="str">
        <f>IF(AND($S$16&gt;=N47,$S$16&lt;=O47),"x","")</f>
        <v/>
      </c>
      <c r="T47" s="32" t="str">
        <f>IF(AND($T$16&gt;=N47,$T$16&lt;=O47),"x","")</f>
        <v/>
      </c>
      <c r="U47" s="32" t="str">
        <f>IF(AND($U$16&gt;=N47,$U$16&lt;=O47),"x","")</f>
        <v/>
      </c>
      <c r="V47" s="32" t="str">
        <f>IF(AND($V$16&gt;=N47,$V$16&lt;=O47),"x","")</f>
        <v/>
      </c>
      <c r="W47" s="32" t="str">
        <f>IF(AND($W$16&gt;=N47,$W$16&lt;=O47),"x","")</f>
        <v/>
      </c>
      <c r="X47" s="32" t="str">
        <f>IF(AND($X$16&gt;=N47,$X$16&lt;=O47),"x","")</f>
        <v/>
      </c>
      <c r="Y47" s="32" t="str">
        <f>IF(AND($Y$16&gt;=N47,$Y$16&lt;=O47),"x","")</f>
        <v/>
      </c>
      <c r="Z47" s="32" t="str">
        <f>IF(AND($Z$16&gt;=N47,$Z$16&lt;=O47),"x","")</f>
        <v/>
      </c>
      <c r="AA47" s="32" t="str">
        <f>IF(AND($AA$16&gt;=N47,$AA$16&lt;=O47),"x","")</f>
        <v/>
      </c>
      <c r="AB47" s="32" t="str">
        <f>IF(AND($AB$16&gt;=N47,$AB$16&lt;=O47),"x","")</f>
        <v/>
      </c>
      <c r="AC47" s="32" t="str">
        <f>IF(AND($AC$16&gt;=N47,$AC$16&lt;=O47),"x","")</f>
        <v/>
      </c>
      <c r="AD47" s="32" t="str">
        <f>IF(AND($AD$16&gt;=N47,$AD$16&lt;=O47),"x","")</f>
        <v/>
      </c>
      <c r="AE47" s="32" t="str">
        <f>IF(AND($AE$16&gt;=N47,$AE$16&lt;=O47),"x","")</f>
        <v/>
      </c>
      <c r="AF47" s="32" t="str">
        <f>IF(AND($AF$16&gt;=N47,$AF$16&lt;=O47),"x","")</f>
        <v/>
      </c>
      <c r="AG47" s="32" t="str">
        <f>IF(AND($AG$16&gt;=N47,$AG$16&lt;=O47),"x","")</f>
        <v/>
      </c>
      <c r="AH47" s="32" t="str">
        <f>IF(AND($AH$16&gt;=N47,$AH$16&lt;=O47),"x","")</f>
        <v/>
      </c>
      <c r="AI47" s="32" t="str">
        <f>IF(AND($AI$16&gt;=N47,$AI$16&lt;=O47),"x","")</f>
        <v/>
      </c>
      <c r="AJ47" s="32" t="str">
        <f>IF(AND($AJ$16&gt;=N47,$AJ$16&lt;=O47),"x","")</f>
        <v/>
      </c>
      <c r="AK47" s="32" t="str">
        <f>IF(AND($AK$16&gt;=N47,$AK$16&lt;=O47),"x","")</f>
        <v/>
      </c>
      <c r="AL47" s="32" t="str">
        <f>IF(AND($AL$16&gt;=N47,$AL$16&lt;=O47),"x","")</f>
        <v/>
      </c>
      <c r="AM47" s="32" t="str">
        <f>IF(AND($AM$16&gt;=N47,$AM$16&lt;=O47),"x","")</f>
        <v/>
      </c>
      <c r="AN47" s="32" t="str">
        <f>IF(AND($AN$16&gt;=N47,$AN$16&lt;=O47),"x","")</f>
        <v/>
      </c>
      <c r="AO47" s="32" t="str">
        <f>IF(AND($AO$16&gt;=N47,$AO$16&lt;=O47),"x","")</f>
        <v/>
      </c>
      <c r="AP47" s="32" t="str">
        <f>IF(AND($AP$16&gt;=N47,$AP$16&lt;=O47),"x","")</f>
        <v/>
      </c>
      <c r="AQ47" s="32" t="str">
        <f>IF(AND($AQ$16&gt;=N47,$AQ$16&lt;=O47),"x","")</f>
        <v/>
      </c>
      <c r="AR47" s="32" t="str">
        <f>IF(AND($AR$16&gt;=N47,$AR$16&lt;=O47),"x","")</f>
        <v/>
      </c>
      <c r="AS47" s="32" t="str">
        <f>IF(AND($AS$16&gt;=N47,$AS$16&lt;=O47),"x","")</f>
        <v/>
      </c>
      <c r="AT47" s="32" t="str">
        <f>IF(AND($AT$16&gt;=N47,$AT$16&lt;=O47),"x","")</f>
        <v/>
      </c>
      <c r="AU47" s="32" t="str">
        <f>IF(AND($AU$16&gt;=N47,$AU$16&lt;=O47),"x","")</f>
        <v/>
      </c>
      <c r="AV47" s="32" t="str">
        <f>IF(AND($AV$16&gt;=N47,$AV$16&lt;=O47),"x","")</f>
        <v/>
      </c>
      <c r="AW47" s="32" t="str">
        <f>IF(AND($AW$16&gt;=N47,$AW$16&lt;=O47),"x","")</f>
        <v/>
      </c>
      <c r="AX47" s="32" t="str">
        <f>IF(AND($AX$16&gt;=N47,$AX$16&lt;=O47),"x","")</f>
        <v>x</v>
      </c>
      <c r="AY47" s="32" t="str">
        <f>IF(AND($AY$16&gt;=N47,$AY$16&lt;=O47),"x","")</f>
        <v>x</v>
      </c>
      <c r="AZ47" s="32" t="str">
        <f>IF(AND($AZ$16&gt;=N47,$AZ$16&lt;=O47),"x","")</f>
        <v>x</v>
      </c>
      <c r="BA47" s="32" t="str">
        <f>IF(AND($BA$16&gt;=N47,$BA$16&lt;=O47),"x","")</f>
        <v/>
      </c>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row>
    <row r="48" spans="2:111" ht="15" customHeight="1">
      <c r="B48" s="397" t="str">
        <f>IF('(I) Plano de Trabalho'!$B$1169="","",'(I) Plano de Trabalho'!$B$1169)</f>
        <v/>
      </c>
      <c r="C48" s="398"/>
      <c r="D48" s="398"/>
      <c r="E48" s="398"/>
      <c r="F48" s="398"/>
      <c r="G48" s="398"/>
      <c r="H48" s="398"/>
      <c r="I48" s="398"/>
      <c r="J48" s="398"/>
      <c r="K48" s="398"/>
      <c r="L48" s="398"/>
      <c r="M48" s="398"/>
      <c r="N48" s="35" t="str">
        <f>IF('(I) Plano de Trabalho'!$P$1172="","",'(I) Plano de Trabalho'!$P$1172)</f>
        <v/>
      </c>
      <c r="O48" s="36" t="str">
        <f>IF('(I) Plano de Trabalho'!$AF$1172="","",'(I) Plano de Trabalho'!$AF$1172)</f>
        <v/>
      </c>
      <c r="P48" s="31"/>
      <c r="Q48" s="42" t="str">
        <f>IF(AND($Q$16&gt;=N48,$Q$16&lt;=O48),"x","")</f>
        <v/>
      </c>
      <c r="R48" s="32" t="str">
        <f>IF(AND($R$16&gt;=N48,$R$16&lt;=O48),"x","")</f>
        <v/>
      </c>
      <c r="S48" s="32" t="str">
        <f>IF(AND($S$16&gt;=N48,$S$16&lt;=O48),"x","")</f>
        <v/>
      </c>
      <c r="T48" s="32" t="str">
        <f>IF(AND($T$16&gt;=N48,$T$16&lt;=O48),"x","")</f>
        <v/>
      </c>
      <c r="U48" s="32" t="str">
        <f>IF(AND($U$16&gt;=N48,$U$16&lt;=O48),"x","")</f>
        <v/>
      </c>
      <c r="V48" s="32" t="str">
        <f>IF(AND($V$16&gt;=N48,$V$16&lt;=O48),"x","")</f>
        <v/>
      </c>
      <c r="W48" s="32" t="str">
        <f>IF(AND($W$16&gt;=N48,$W$16&lt;=O48),"x","")</f>
        <v/>
      </c>
      <c r="X48" s="32" t="str">
        <f>IF(AND($X$16&gt;=N48,$X$16&lt;=O48),"x","")</f>
        <v/>
      </c>
      <c r="Y48" s="32" t="str">
        <f>IF(AND($Y$16&gt;=N48,$Y$16&lt;=O48),"x","")</f>
        <v/>
      </c>
      <c r="Z48" s="32" t="str">
        <f>IF(AND($Z$16&gt;=N48,$Z$16&lt;=O48),"x","")</f>
        <v/>
      </c>
      <c r="AA48" s="32" t="str">
        <f>IF(AND($AA$16&gt;=N48,$AA$16&lt;=O48),"x","")</f>
        <v/>
      </c>
      <c r="AB48" s="32" t="str">
        <f>IF(AND($AB$16&gt;=N48,$AB$16&lt;=O48),"x","")</f>
        <v/>
      </c>
      <c r="AC48" s="32" t="str">
        <f>IF(AND($AC$16&gt;=N48,$AC$16&lt;=O48),"x","")</f>
        <v/>
      </c>
      <c r="AD48" s="32" t="str">
        <f>IF(AND($AD$16&gt;=N48,$AD$16&lt;=O48),"x","")</f>
        <v/>
      </c>
      <c r="AE48" s="32" t="str">
        <f>IF(AND($AE$16&gt;=N48,$AE$16&lt;=O48),"x","")</f>
        <v/>
      </c>
      <c r="AF48" s="32" t="str">
        <f>IF(AND($AF$16&gt;=N48,$AF$16&lt;=O48),"x","")</f>
        <v/>
      </c>
      <c r="AG48" s="32" t="str">
        <f>IF(AND($AG$16&gt;=N48,$AG$16&lt;=O48),"x","")</f>
        <v/>
      </c>
      <c r="AH48" s="32" t="str">
        <f>IF(AND($AH$16&gt;=N48,$AH$16&lt;=O48),"x","")</f>
        <v/>
      </c>
      <c r="AI48" s="32" t="str">
        <f>IF(AND($AI$16&gt;=N48,$AI$16&lt;=O48),"x","")</f>
        <v/>
      </c>
      <c r="AJ48" s="32" t="str">
        <f>IF(AND($AJ$16&gt;=N48,$AJ$16&lt;=O48),"x","")</f>
        <v/>
      </c>
      <c r="AK48" s="32" t="str">
        <f>IF(AND($AK$16&gt;=N48,$AK$16&lt;=O48),"x","")</f>
        <v/>
      </c>
      <c r="AL48" s="32" t="str">
        <f>IF(AND($AL$16&gt;=N48,$AL$16&lt;=O48),"x","")</f>
        <v/>
      </c>
      <c r="AM48" s="32" t="str">
        <f>IF(AND($AM$16&gt;=N48,$AM$16&lt;=O48),"x","")</f>
        <v/>
      </c>
      <c r="AN48" s="32" t="str">
        <f>IF(AND($AN$16&gt;=N48,$AN$16&lt;=O48),"x","")</f>
        <v/>
      </c>
      <c r="AO48" s="32" t="str">
        <f>IF(AND($AO$16&gt;=N48,$AO$16&lt;=O48),"x","")</f>
        <v/>
      </c>
      <c r="AP48" s="32" t="str">
        <f>IF(AND($AP$16&gt;=N48,$AP$16&lt;=O48),"x","")</f>
        <v/>
      </c>
      <c r="AQ48" s="32" t="str">
        <f>IF(AND($AQ$16&gt;=N48,$AQ$16&lt;=O48),"x","")</f>
        <v/>
      </c>
      <c r="AR48" s="32" t="str">
        <f>IF(AND($AR$16&gt;=N48,$AR$16&lt;=O48),"x","")</f>
        <v/>
      </c>
      <c r="AS48" s="32" t="str">
        <f>IF(AND($AS$16&gt;=N48,$AS$16&lt;=O48),"x","")</f>
        <v/>
      </c>
      <c r="AT48" s="32" t="str">
        <f>IF(AND($AT$16&gt;=N48,$AT$16&lt;=O48),"x","")</f>
        <v/>
      </c>
      <c r="AU48" s="32" t="str">
        <f>IF(AND($AU$16&gt;=N48,$AU$16&lt;=O48),"x","")</f>
        <v/>
      </c>
      <c r="AV48" s="32" t="str">
        <f>IF(AND($AV$16&gt;=N48,$AV$16&lt;=O48),"x","")</f>
        <v/>
      </c>
      <c r="AW48" s="32" t="str">
        <f>IF(AND($AW$16&gt;=N48,$AW$16&lt;=O48),"x","")</f>
        <v/>
      </c>
      <c r="AX48" s="32" t="str">
        <f>IF(AND($AX$16&gt;=N48,$AX$16&lt;=O48),"x","")</f>
        <v/>
      </c>
      <c r="AY48" s="32" t="str">
        <f>IF(AND($AY$16&gt;=N48,$AY$16&lt;=O48),"x","")</f>
        <v/>
      </c>
      <c r="AZ48" s="32" t="str">
        <f>IF(AND($AZ$16&gt;=N48,$AZ$16&lt;=O48),"x","")</f>
        <v/>
      </c>
      <c r="BA48" s="32" t="str">
        <f>IF(AND($BA$16&gt;=N48,$BA$16&lt;=O48),"x","")</f>
        <v/>
      </c>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row>
    <row r="49" spans="2:111" ht="15" customHeight="1">
      <c r="B49" s="397" t="str">
        <f>IF('(I) Plano de Trabalho'!$B$1193="","",'(I) Plano de Trabalho'!$B$1193)</f>
        <v/>
      </c>
      <c r="C49" s="398"/>
      <c r="D49" s="398"/>
      <c r="E49" s="398"/>
      <c r="F49" s="398"/>
      <c r="G49" s="398"/>
      <c r="H49" s="398"/>
      <c r="I49" s="398"/>
      <c r="J49" s="398"/>
      <c r="K49" s="398"/>
      <c r="L49" s="398"/>
      <c r="M49" s="398"/>
      <c r="N49" s="35" t="str">
        <f>IF('(I) Plano de Trabalho'!$P$1196="","",'(I) Plano de Trabalho'!$P$1196)</f>
        <v/>
      </c>
      <c r="O49" s="36" t="str">
        <f>IF('(I) Plano de Trabalho'!$AF$1196="","",'(I) Plano de Trabalho'!$AF$1196)</f>
        <v/>
      </c>
      <c r="P49" s="31"/>
      <c r="Q49" s="42" t="str">
        <f>IF(AND($Q$16&gt;=N49,$Q$16&lt;=O49),"x","")</f>
        <v/>
      </c>
      <c r="R49" s="32" t="str">
        <f>IF(AND($R$16&gt;=N49,$R$16&lt;=O49),"x","")</f>
        <v/>
      </c>
      <c r="S49" s="32" t="str">
        <f>IF(AND($S$16&gt;=N49,$S$16&lt;=O49),"x","")</f>
        <v/>
      </c>
      <c r="T49" s="32" t="str">
        <f>IF(AND($T$16&gt;=N49,$T$16&lt;=O49),"x","")</f>
        <v/>
      </c>
      <c r="U49" s="32" t="str">
        <f>IF(AND($U$16&gt;=N49,$U$16&lt;=O49),"x","")</f>
        <v/>
      </c>
      <c r="V49" s="32" t="str">
        <f>IF(AND($V$16&gt;=N49,$V$16&lt;=O49),"x","")</f>
        <v/>
      </c>
      <c r="W49" s="32" t="str">
        <f>IF(AND($W$16&gt;=N49,$W$16&lt;=O49),"x","")</f>
        <v/>
      </c>
      <c r="X49" s="32" t="str">
        <f>IF(AND($X$16&gt;=N49,$X$16&lt;=O49),"x","")</f>
        <v/>
      </c>
      <c r="Y49" s="32" t="str">
        <f>IF(AND($Y$16&gt;=N49,$Y$16&lt;=O49),"x","")</f>
        <v/>
      </c>
      <c r="Z49" s="32" t="str">
        <f>IF(AND($Z$16&gt;=N49,$Z$16&lt;=O49),"x","")</f>
        <v/>
      </c>
      <c r="AA49" s="32" t="str">
        <f>IF(AND($AA$16&gt;=N49,$AA$16&lt;=O49),"x","")</f>
        <v/>
      </c>
      <c r="AB49" s="32" t="str">
        <f>IF(AND($AB$16&gt;=N49,$AB$16&lt;=O49),"x","")</f>
        <v/>
      </c>
      <c r="AC49" s="32" t="str">
        <f>IF(AND($AC$16&gt;=N49,$AC$16&lt;=O49),"x","")</f>
        <v/>
      </c>
      <c r="AD49" s="32" t="str">
        <f>IF(AND($AD$16&gt;=N49,$AD$16&lt;=O49),"x","")</f>
        <v/>
      </c>
      <c r="AE49" s="32" t="str">
        <f>IF(AND($AE$16&gt;=N49,$AE$16&lt;=O49),"x","")</f>
        <v/>
      </c>
      <c r="AF49" s="32" t="str">
        <f>IF(AND($AF$16&gt;=N49,$AF$16&lt;=O49),"x","")</f>
        <v/>
      </c>
      <c r="AG49" s="32" t="str">
        <f>IF(AND($AG$16&gt;=N49,$AG$16&lt;=O49),"x","")</f>
        <v/>
      </c>
      <c r="AH49" s="32" t="str">
        <f>IF(AND($AH$16&gt;=N49,$AH$16&lt;=O49),"x","")</f>
        <v/>
      </c>
      <c r="AI49" s="32" t="str">
        <f>IF(AND($AI$16&gt;=N49,$AI$16&lt;=O49),"x","")</f>
        <v/>
      </c>
      <c r="AJ49" s="32" t="str">
        <f>IF(AND($AJ$16&gt;=N49,$AJ$16&lt;=O49),"x","")</f>
        <v/>
      </c>
      <c r="AK49" s="32" t="str">
        <f>IF(AND($AK$16&gt;=N49,$AK$16&lt;=O49),"x","")</f>
        <v/>
      </c>
      <c r="AL49" s="32" t="str">
        <f>IF(AND($AL$16&gt;=N49,$AL$16&lt;=O49),"x","")</f>
        <v/>
      </c>
      <c r="AM49" s="32" t="str">
        <f>IF(AND($AM$16&gt;=N49,$AM$16&lt;=O49),"x","")</f>
        <v/>
      </c>
      <c r="AN49" s="32" t="str">
        <f>IF(AND($AN$16&gt;=N49,$AN$16&lt;=O49),"x","")</f>
        <v/>
      </c>
      <c r="AO49" s="32" t="str">
        <f>IF(AND($AO$16&gt;=N49,$AO$16&lt;=O49),"x","")</f>
        <v/>
      </c>
      <c r="AP49" s="32" t="str">
        <f>IF(AND($AP$16&gt;=N49,$AP$16&lt;=O49),"x","")</f>
        <v/>
      </c>
      <c r="AQ49" s="32" t="str">
        <f>IF(AND($AQ$16&gt;=N49,$AQ$16&lt;=O49),"x","")</f>
        <v/>
      </c>
      <c r="AR49" s="32" t="str">
        <f>IF(AND($AR$16&gt;=N49,$AR$16&lt;=O49),"x","")</f>
        <v/>
      </c>
      <c r="AS49" s="32" t="str">
        <f>IF(AND($AS$16&gt;=N49,$AS$16&lt;=O49),"x","")</f>
        <v/>
      </c>
      <c r="AT49" s="32" t="str">
        <f>IF(AND($AT$16&gt;=N49,$AT$16&lt;=O49),"x","")</f>
        <v/>
      </c>
      <c r="AU49" s="32" t="str">
        <f>IF(AND($AU$16&gt;=N49,$AU$16&lt;=O49),"x","")</f>
        <v/>
      </c>
      <c r="AV49" s="32" t="str">
        <f>IF(AND($AV$16&gt;=N49,$AV$16&lt;=O49),"x","")</f>
        <v/>
      </c>
      <c r="AW49" s="32" t="str">
        <f>IF(AND($AW$16&gt;=N49,$AW$16&lt;=O49),"x","")</f>
        <v/>
      </c>
      <c r="AX49" s="32" t="str">
        <f>IF(AND($AX$16&gt;=N49,$AX$16&lt;=O49),"x","")</f>
        <v/>
      </c>
      <c r="AY49" s="32" t="str">
        <f>IF(AND($AY$16&gt;=N49,$AY$16&lt;=O49),"x","")</f>
        <v/>
      </c>
      <c r="AZ49" s="32" t="str">
        <f>IF(AND($AZ$16&gt;=N49,$AZ$16&lt;=O49),"x","")</f>
        <v/>
      </c>
      <c r="BA49" s="32" t="str">
        <f>IF(AND($BA$16&gt;=N49,$BA$16&lt;=O49),"x","")</f>
        <v/>
      </c>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row>
    <row r="50" spans="2:111" ht="15" customHeight="1">
      <c r="B50" s="401" t="str">
        <f>IF('(I) Plano de Trabalho'!$B$1216="","",'(I) Plano de Trabalho'!$B$1216)</f>
        <v/>
      </c>
      <c r="C50" s="402"/>
      <c r="D50" s="402"/>
      <c r="E50" s="402"/>
      <c r="F50" s="402"/>
      <c r="G50" s="402"/>
      <c r="H50" s="402"/>
      <c r="I50" s="402"/>
      <c r="J50" s="402"/>
      <c r="K50" s="402"/>
      <c r="L50" s="402"/>
      <c r="M50" s="402"/>
      <c r="N50" s="37" t="str">
        <f>IF('(I) Plano de Trabalho'!$P$1219="","",'(I) Plano de Trabalho'!$P$1219)</f>
        <v/>
      </c>
      <c r="O50" s="38" t="str">
        <f>IF('(I) Plano de Trabalho'!$AF$1219="","",'(I) Plano de Trabalho'!$AF$1219)</f>
        <v/>
      </c>
      <c r="P50" s="31"/>
      <c r="Q50" s="42" t="str">
        <f>IF(AND($Q$16&gt;=N50,$Q$16&lt;=O50),"x","")</f>
        <v/>
      </c>
      <c r="R50" s="32" t="str">
        <f>IF(AND($R$16&gt;=N50,$R$16&lt;=O50),"x","")</f>
        <v/>
      </c>
      <c r="S50" s="32" t="str">
        <f>IF(AND($S$16&gt;=N50,$S$16&lt;=O50),"x","")</f>
        <v/>
      </c>
      <c r="T50" s="32" t="str">
        <f>IF(AND($T$16&gt;=N50,$T$16&lt;=O50),"x","")</f>
        <v/>
      </c>
      <c r="U50" s="32" t="str">
        <f>IF(AND($U$16&gt;=N50,$U$16&lt;=O50),"x","")</f>
        <v/>
      </c>
      <c r="V50" s="32" t="str">
        <f>IF(AND($V$16&gt;=N50,$V$16&lt;=O50),"x","")</f>
        <v/>
      </c>
      <c r="W50" s="32" t="str">
        <f>IF(AND($W$16&gt;=N50,$W$16&lt;=O50),"x","")</f>
        <v/>
      </c>
      <c r="X50" s="32" t="str">
        <f>IF(AND($X$16&gt;=N50,$X$16&lt;=O50),"x","")</f>
        <v/>
      </c>
      <c r="Y50" s="32" t="str">
        <f>IF(AND($Y$16&gt;=N50,$Y$16&lt;=O50),"x","")</f>
        <v/>
      </c>
      <c r="Z50" s="32" t="str">
        <f>IF(AND($Z$16&gt;=N50,$Z$16&lt;=O50),"x","")</f>
        <v/>
      </c>
      <c r="AA50" s="32" t="str">
        <f>IF(AND($AA$16&gt;=N50,$AA$16&lt;=O50),"x","")</f>
        <v/>
      </c>
      <c r="AB50" s="32" t="str">
        <f>IF(AND($AB$16&gt;=N50,$AB$16&lt;=O50),"x","")</f>
        <v/>
      </c>
      <c r="AC50" s="32" t="str">
        <f>IF(AND($AC$16&gt;=N50,$AC$16&lt;=O50),"x","")</f>
        <v/>
      </c>
      <c r="AD50" s="32" t="str">
        <f>IF(AND($AD$16&gt;=N50,$AD$16&lt;=O50),"x","")</f>
        <v/>
      </c>
      <c r="AE50" s="32" t="str">
        <f>IF(AND($AE$16&gt;=N50,$AE$16&lt;=O50),"x","")</f>
        <v/>
      </c>
      <c r="AF50" s="32" t="str">
        <f>IF(AND($AF$16&gt;=N50,$AF$16&lt;=O50),"x","")</f>
        <v/>
      </c>
      <c r="AG50" s="32" t="str">
        <f>IF(AND($AG$16&gt;=N50,$AG$16&lt;=O50),"x","")</f>
        <v/>
      </c>
      <c r="AH50" s="32" t="str">
        <f>IF(AND($AH$16&gt;=N50,$AH$16&lt;=O50),"x","")</f>
        <v/>
      </c>
      <c r="AI50" s="32" t="str">
        <f>IF(AND($AI$16&gt;=N50,$AI$16&lt;=O50),"x","")</f>
        <v/>
      </c>
      <c r="AJ50" s="32" t="str">
        <f>IF(AND($AJ$16&gt;=N50,$AJ$16&lt;=O50),"x","")</f>
        <v/>
      </c>
      <c r="AK50" s="32" t="str">
        <f>IF(AND($AK$16&gt;=N50,$AK$16&lt;=O50),"x","")</f>
        <v/>
      </c>
      <c r="AL50" s="32" t="str">
        <f>IF(AND($AL$16&gt;=N50,$AL$16&lt;=O50),"x","")</f>
        <v/>
      </c>
      <c r="AM50" s="32" t="str">
        <f>IF(AND($AM$16&gt;=N50,$AM$16&lt;=O50),"x","")</f>
        <v/>
      </c>
      <c r="AN50" s="32" t="str">
        <f>IF(AND($AN$16&gt;=N50,$AN$16&lt;=O50),"x","")</f>
        <v/>
      </c>
      <c r="AO50" s="32" t="str">
        <f>IF(AND($AO$16&gt;=N50,$AO$16&lt;=O50),"x","")</f>
        <v/>
      </c>
      <c r="AP50" s="32" t="str">
        <f>IF(AND($AP$16&gt;=N50,$AP$16&lt;=O50),"x","")</f>
        <v/>
      </c>
      <c r="AQ50" s="32" t="str">
        <f>IF(AND($AQ$16&gt;=N50,$AQ$16&lt;=O50),"x","")</f>
        <v/>
      </c>
      <c r="AR50" s="32" t="str">
        <f>IF(AND($AR$16&gt;=N50,$AR$16&lt;=O50),"x","")</f>
        <v/>
      </c>
      <c r="AS50" s="32" t="str">
        <f>IF(AND($AS$16&gt;=N50,$AS$16&lt;=O50),"x","")</f>
        <v/>
      </c>
      <c r="AT50" s="32" t="str">
        <f>IF(AND($AT$16&gt;=N50,$AT$16&lt;=O50),"x","")</f>
        <v/>
      </c>
      <c r="AU50" s="32" t="str">
        <f>IF(AND($AU$16&gt;=N50,$AU$16&lt;=O50),"x","")</f>
        <v/>
      </c>
      <c r="AV50" s="32" t="str">
        <f>IF(AND($AV$16&gt;=N50,$AV$16&lt;=O50),"x","")</f>
        <v/>
      </c>
      <c r="AW50" s="32" t="str">
        <f>IF(AND($AW$16&gt;=N50,$AW$16&lt;=O50),"x","")</f>
        <v/>
      </c>
      <c r="AX50" s="32" t="str">
        <f>IF(AND($AX$16&gt;=N50,$AX$16&lt;=O50),"x","")</f>
        <v/>
      </c>
      <c r="AY50" s="32" t="str">
        <f>IF(AND($AY$16&gt;=N50,$AY$16&lt;=O50),"x","")</f>
        <v/>
      </c>
      <c r="AZ50" s="32" t="str">
        <f>IF(AND($AZ$16&gt;=N50,$AZ$16&lt;=O50),"x","")</f>
        <v/>
      </c>
      <c r="BA50" s="32" t="str">
        <f>IF(AND($BA$16&gt;=N50,$BA$16&lt;=O50),"x","")</f>
        <v/>
      </c>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row>
    <row r="51" spans="2:111" ht="9" customHeight="1">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row>
    <row r="52" spans="2:111" ht="9" customHeight="1">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row>
    <row r="53" spans="2:111" ht="9" customHeight="1">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row>
    <row r="54" spans="2:111" ht="9" customHeight="1">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row>
    <row r="55" spans="2:111" ht="9" customHeight="1">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row>
    <row r="56" spans="2:111" ht="9" customHeight="1">
      <c r="I56" s="44"/>
      <c r="J56" s="44"/>
      <c r="K56" s="44"/>
      <c r="L56" s="44"/>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row>
    <row r="57" spans="2:111" ht="9" customHeight="1">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row>
    <row r="58" spans="2:111" ht="9" customHeight="1">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row>
    <row r="59" spans="2:111" ht="9" customHeight="1">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row>
    <row r="60" spans="2:111" ht="9" customHeight="1">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row>
    <row r="61" spans="2:111" ht="9" customHeight="1">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row>
    <row r="62" spans="2:111" ht="9" customHeight="1">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row>
    <row r="63" spans="2:111" ht="9" customHeight="1">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row>
    <row r="64" spans="2:111" ht="9" customHeight="1" thickBot="1">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row>
    <row r="65" spans="2:111" ht="9" customHeight="1">
      <c r="B65" s="407" t="s">
        <v>299</v>
      </c>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8"/>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row>
    <row r="66" spans="2:111" ht="9" customHeight="1">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09"/>
      <c r="AZ66" s="409"/>
      <c r="BA66" s="410"/>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row>
    <row r="67" spans="2:111" ht="9" customHeight="1">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row>
    <row r="68" spans="2:111" ht="9" customHeight="1">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row>
    <row r="69" spans="2:111" ht="9" customHeight="1">
      <c r="B69" s="289" t="s">
        <v>378</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90"/>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row>
    <row r="70" spans="2:111" ht="9" customHeight="1">
      <c r="B70" s="29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1"/>
      <c r="AY70" s="291"/>
      <c r="AZ70" s="291"/>
      <c r="BA70" s="29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row>
    <row r="71" spans="2:111" ht="9" customHeight="1">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row>
    <row r="72" spans="2:111" ht="9" customHeight="1">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row>
    <row r="73" spans="2:111" ht="9" customHeight="1">
      <c r="B73" s="395" t="str">
        <f>IF('(I) Plano de Trabalho'!$U$623&gt;=1,"Meta 1","")</f>
        <v>Meta 1</v>
      </c>
      <c r="C73" s="395"/>
      <c r="D73" s="395"/>
      <c r="E73" s="395"/>
      <c r="F73" s="395"/>
      <c r="G73" s="395"/>
      <c r="H73" s="394" t="str">
        <f>IF('(I) Plano de Trabalho'!$I$626="","",'(I) Plano de Trabalho'!$I$626)</f>
        <v>Desenvolver e implementar a Plataforma Nacional de Comércio Exterior da Biodiversidade - COMEX AMBIENTAL</v>
      </c>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row>
    <row r="74" spans="2:111" ht="9" customHeight="1">
      <c r="B74" s="395"/>
      <c r="C74" s="395"/>
      <c r="D74" s="395"/>
      <c r="E74" s="395"/>
      <c r="F74" s="395"/>
      <c r="G74" s="395"/>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row>
    <row r="75" spans="2:111" ht="4.5" customHeight="1">
      <c r="BC75" s="82"/>
      <c r="BD75" s="82"/>
      <c r="BE75" s="82"/>
      <c r="BF75" s="82"/>
      <c r="BG75" s="82"/>
      <c r="BH75" s="214" t="s">
        <v>379</v>
      </c>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82"/>
    </row>
    <row r="76" spans="2:111" ht="9" customHeight="1">
      <c r="B76" s="396" t="str">
        <f>IF('(I) Plano de Trabalho'!$U$629&gt;=1,"Etapa 1.1","")</f>
        <v>Etapa 1.1</v>
      </c>
      <c r="C76" s="396"/>
      <c r="D76" s="396"/>
      <c r="E76" s="396"/>
      <c r="F76" s="396"/>
      <c r="G76" s="396"/>
      <c r="H76" s="394" t="str">
        <f>IF('(I) Plano de Trabalho'!$I$632="","",'(I) Plano de Trabalho'!$I$632)</f>
        <v>Levantamento de requisitos da nova plataforma de modo a otimizar os processos autorizativos existentes no Siscites, incluindo, neste projeto, espécies cites e não cites.</v>
      </c>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BC76" s="82"/>
      <c r="BD76" s="82"/>
      <c r="BE76" s="82"/>
      <c r="BF76" s="82"/>
      <c r="BG76" s="82"/>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82"/>
    </row>
    <row r="77" spans="2:111" ht="9" customHeight="1">
      <c r="B77" s="396"/>
      <c r="C77" s="396"/>
      <c r="D77" s="396"/>
      <c r="E77" s="396"/>
      <c r="F77" s="396"/>
      <c r="G77" s="396"/>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BC77" s="82"/>
      <c r="BD77" s="82"/>
      <c r="BE77" s="82"/>
      <c r="BF77" s="82"/>
      <c r="BG77" s="82"/>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82"/>
    </row>
    <row r="78" spans="2:111" ht="4.5" customHeight="1">
      <c r="BC78" s="82"/>
      <c r="BD78" s="82"/>
      <c r="BE78" s="82"/>
      <c r="BF78" s="82"/>
      <c r="BG78" s="82"/>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82"/>
    </row>
    <row r="79" spans="2:111" ht="9" customHeight="1">
      <c r="B79" s="242" t="str">
        <f>IF(B76="","","Indicador:")</f>
        <v>Indicador:</v>
      </c>
      <c r="C79" s="242"/>
      <c r="D79" s="242"/>
      <c r="E79" s="242"/>
      <c r="F79" s="242"/>
      <c r="G79" s="68"/>
      <c r="H79" s="229" t="str">
        <f>IF(B76&lt;&gt;"","Descrição:","")</f>
        <v>Descrição:</v>
      </c>
      <c r="I79" s="229"/>
      <c r="J79" s="229"/>
      <c r="K79" s="229"/>
      <c r="L79" s="229"/>
      <c r="M79" s="229"/>
      <c r="O79" s="233" t="s">
        <v>532</v>
      </c>
      <c r="P79" s="233"/>
      <c r="Q79" s="233"/>
      <c r="R79" s="233"/>
      <c r="S79" s="233"/>
      <c r="T79" s="233"/>
      <c r="U79" s="233"/>
      <c r="V79" s="233"/>
      <c r="W79" s="233"/>
      <c r="X79" s="233"/>
      <c r="Y79" s="233"/>
      <c r="Z79" s="233"/>
      <c r="AA79" s="233"/>
      <c r="AB79" s="233"/>
      <c r="AC79" s="233"/>
      <c r="AD79" s="233"/>
      <c r="AE79" s="229" t="str">
        <f>IF(B76&lt;&gt;"","Unid/Qtde:","")</f>
        <v>Unid/Qtde:</v>
      </c>
      <c r="AF79" s="229"/>
      <c r="AG79" s="229"/>
      <c r="AH79" s="229"/>
      <c r="AI79" s="229"/>
      <c r="AJ79" s="229"/>
      <c r="AK79" s="26"/>
      <c r="AL79" s="233">
        <v>1</v>
      </c>
      <c r="AM79" s="233"/>
      <c r="AN79" s="233"/>
      <c r="AO79" s="233"/>
      <c r="AP79" s="233"/>
      <c r="AQ79" s="233"/>
      <c r="AR79" s="233"/>
      <c r="AS79" s="233"/>
      <c r="AT79" s="233"/>
      <c r="AU79" s="233"/>
      <c r="AV79" s="233"/>
      <c r="AW79" s="233"/>
      <c r="AX79" s="233"/>
      <c r="AY79" s="233"/>
      <c r="AZ79" s="233"/>
      <c r="BA79" s="233"/>
      <c r="BC79" s="82"/>
      <c r="BD79" s="82"/>
      <c r="BE79" s="82"/>
      <c r="BF79" s="82"/>
      <c r="BG79" s="82"/>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82"/>
    </row>
    <row r="80" spans="2:111" ht="9" customHeight="1">
      <c r="B80" s="242"/>
      <c r="C80" s="242"/>
      <c r="D80" s="242"/>
      <c r="E80" s="242"/>
      <c r="F80" s="242"/>
      <c r="G80" s="68"/>
      <c r="H80" s="229"/>
      <c r="I80" s="229"/>
      <c r="J80" s="229"/>
      <c r="K80" s="229"/>
      <c r="L80" s="229"/>
      <c r="M80" s="229"/>
      <c r="O80" s="233"/>
      <c r="P80" s="233"/>
      <c r="Q80" s="233"/>
      <c r="R80" s="233"/>
      <c r="S80" s="233"/>
      <c r="T80" s="233"/>
      <c r="U80" s="233"/>
      <c r="V80" s="233"/>
      <c r="W80" s="233"/>
      <c r="X80" s="233"/>
      <c r="Y80" s="233"/>
      <c r="Z80" s="233"/>
      <c r="AA80" s="233"/>
      <c r="AB80" s="233"/>
      <c r="AC80" s="233"/>
      <c r="AD80" s="233"/>
      <c r="AE80" s="229"/>
      <c r="AF80" s="229"/>
      <c r="AG80" s="229"/>
      <c r="AH80" s="229"/>
      <c r="AI80" s="229"/>
      <c r="AJ80" s="229"/>
      <c r="AK80" s="26"/>
      <c r="AL80" s="233"/>
      <c r="AM80" s="233"/>
      <c r="AN80" s="233"/>
      <c r="AO80" s="233"/>
      <c r="AP80" s="233"/>
      <c r="AQ80" s="233"/>
      <c r="AR80" s="233"/>
      <c r="AS80" s="233"/>
      <c r="AT80" s="233"/>
      <c r="AU80" s="233"/>
      <c r="AV80" s="233"/>
      <c r="AW80" s="233"/>
      <c r="AX80" s="233"/>
      <c r="AY80" s="233"/>
      <c r="AZ80" s="233"/>
      <c r="BA80" s="233"/>
      <c r="BC80" s="82"/>
      <c r="BD80" s="82"/>
      <c r="BE80" s="82"/>
      <c r="BF80" s="82"/>
      <c r="BG80" s="82"/>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82"/>
    </row>
    <row r="81" spans="2:111" ht="4.5" customHeight="1">
      <c r="O81" s="70"/>
      <c r="P81" s="70"/>
      <c r="Q81" s="70"/>
      <c r="R81" s="70"/>
      <c r="S81" s="70"/>
      <c r="T81" s="70"/>
      <c r="U81" s="70"/>
      <c r="V81" s="70"/>
      <c r="W81" s="70"/>
      <c r="X81" s="70"/>
      <c r="Y81" s="70"/>
      <c r="Z81" s="70"/>
      <c r="AA81" s="70"/>
      <c r="AB81" s="70"/>
      <c r="AC81" s="70"/>
      <c r="AD81" s="70"/>
      <c r="AE81" s="69"/>
      <c r="AF81" s="69"/>
      <c r="AG81" s="69"/>
      <c r="AH81" s="69"/>
      <c r="AI81" s="69"/>
      <c r="AJ81" s="69"/>
      <c r="AK81" s="69"/>
      <c r="AL81" s="70"/>
      <c r="AM81" s="70"/>
      <c r="AN81" s="70"/>
      <c r="AO81" s="70"/>
      <c r="AP81" s="70"/>
      <c r="AQ81" s="70"/>
      <c r="AR81" s="70"/>
      <c r="AS81" s="70"/>
      <c r="AT81" s="70"/>
      <c r="AU81" s="70"/>
      <c r="AV81" s="70"/>
      <c r="AW81" s="70"/>
      <c r="AX81" s="70"/>
      <c r="AY81" s="70"/>
      <c r="AZ81" s="70"/>
      <c r="BA81" s="70"/>
      <c r="BC81" s="82"/>
      <c r="BD81" s="82"/>
      <c r="BE81" s="82"/>
      <c r="BF81" s="82"/>
      <c r="BG81" s="82"/>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82"/>
    </row>
    <row r="82" spans="2:111" ht="9" customHeight="1">
      <c r="H82" s="229" t="str">
        <f>IF(B76&lt;&gt;"","Descrição:","")</f>
        <v>Descrição:</v>
      </c>
      <c r="I82" s="229"/>
      <c r="J82" s="229"/>
      <c r="K82" s="229"/>
      <c r="L82" s="229"/>
      <c r="M82" s="229"/>
      <c r="O82" s="233" t="s">
        <v>531</v>
      </c>
      <c r="P82" s="233"/>
      <c r="Q82" s="233"/>
      <c r="R82" s="233"/>
      <c r="S82" s="233"/>
      <c r="T82" s="233"/>
      <c r="U82" s="233"/>
      <c r="V82" s="233"/>
      <c r="W82" s="233"/>
      <c r="X82" s="233"/>
      <c r="Y82" s="233"/>
      <c r="Z82" s="233"/>
      <c r="AA82" s="233"/>
      <c r="AB82" s="233"/>
      <c r="AC82" s="233"/>
      <c r="AD82" s="233"/>
      <c r="AE82" s="229" t="str">
        <f>IF(B76&lt;&gt;"","Unid/Qtde:","")</f>
        <v>Unid/Qtde:</v>
      </c>
      <c r="AF82" s="229"/>
      <c r="AG82" s="229"/>
      <c r="AH82" s="229"/>
      <c r="AI82" s="229"/>
      <c r="AJ82" s="229"/>
      <c r="AK82" s="26"/>
      <c r="AL82" s="233">
        <v>1</v>
      </c>
      <c r="AM82" s="233"/>
      <c r="AN82" s="233"/>
      <c r="AO82" s="233"/>
      <c r="AP82" s="233"/>
      <c r="AQ82" s="233"/>
      <c r="AR82" s="233"/>
      <c r="AS82" s="233"/>
      <c r="AT82" s="233"/>
      <c r="AU82" s="233"/>
      <c r="AV82" s="233"/>
      <c r="AW82" s="233"/>
      <c r="AX82" s="233"/>
      <c r="AY82" s="233"/>
      <c r="AZ82" s="233"/>
      <c r="BA82" s="233"/>
      <c r="BC82" s="82"/>
      <c r="BD82" s="82"/>
      <c r="BE82" s="82"/>
      <c r="BF82" s="82"/>
      <c r="BG82" s="82"/>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82"/>
    </row>
    <row r="83" spans="2:111" ht="9" customHeight="1">
      <c r="H83" s="229"/>
      <c r="I83" s="229"/>
      <c r="J83" s="229"/>
      <c r="K83" s="229"/>
      <c r="L83" s="229"/>
      <c r="M83" s="229"/>
      <c r="O83" s="233"/>
      <c r="P83" s="233"/>
      <c r="Q83" s="233"/>
      <c r="R83" s="233"/>
      <c r="S83" s="233"/>
      <c r="T83" s="233"/>
      <c r="U83" s="233"/>
      <c r="V83" s="233"/>
      <c r="W83" s="233"/>
      <c r="X83" s="233"/>
      <c r="Y83" s="233"/>
      <c r="Z83" s="233"/>
      <c r="AA83" s="233"/>
      <c r="AB83" s="233"/>
      <c r="AC83" s="233"/>
      <c r="AD83" s="233"/>
      <c r="AE83" s="229"/>
      <c r="AF83" s="229"/>
      <c r="AG83" s="229"/>
      <c r="AH83" s="229"/>
      <c r="AI83" s="229"/>
      <c r="AJ83" s="229"/>
      <c r="AK83" s="26"/>
      <c r="AL83" s="233"/>
      <c r="AM83" s="233"/>
      <c r="AN83" s="233"/>
      <c r="AO83" s="233"/>
      <c r="AP83" s="233"/>
      <c r="AQ83" s="233"/>
      <c r="AR83" s="233"/>
      <c r="AS83" s="233"/>
      <c r="AT83" s="233"/>
      <c r="AU83" s="233"/>
      <c r="AV83" s="233"/>
      <c r="AW83" s="233"/>
      <c r="AX83" s="233"/>
      <c r="AY83" s="233"/>
      <c r="AZ83" s="233"/>
      <c r="BA83" s="233"/>
      <c r="BC83" s="82"/>
      <c r="BD83" s="82"/>
      <c r="BE83" s="82"/>
      <c r="BF83" s="82"/>
      <c r="BG83" s="82"/>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82"/>
    </row>
    <row r="84" spans="2:111" ht="4.5" customHeight="1">
      <c r="O84" s="70"/>
      <c r="P84" s="70"/>
      <c r="Q84" s="70"/>
      <c r="R84" s="70"/>
      <c r="S84" s="70"/>
      <c r="T84" s="70"/>
      <c r="U84" s="70"/>
      <c r="V84" s="70"/>
      <c r="W84" s="70"/>
      <c r="X84" s="70"/>
      <c r="Y84" s="70"/>
      <c r="Z84" s="70"/>
      <c r="AA84" s="70"/>
      <c r="AB84" s="70"/>
      <c r="AC84" s="70"/>
      <c r="AD84" s="70"/>
      <c r="AE84" s="69"/>
      <c r="AF84" s="69"/>
      <c r="AG84" s="69"/>
      <c r="AH84" s="69"/>
      <c r="AI84" s="69"/>
      <c r="AJ84" s="69"/>
      <c r="AK84" s="69"/>
      <c r="AL84" s="70"/>
      <c r="AM84" s="70"/>
      <c r="AN84" s="70"/>
      <c r="AO84" s="70"/>
      <c r="AP84" s="70"/>
      <c r="AQ84" s="70"/>
      <c r="AR84" s="70"/>
      <c r="AS84" s="70"/>
      <c r="AT84" s="70"/>
      <c r="AU84" s="70"/>
      <c r="AV84" s="70"/>
      <c r="AW84" s="70"/>
      <c r="AX84" s="70"/>
      <c r="AY84" s="70"/>
      <c r="AZ84" s="70"/>
      <c r="BA84" s="70"/>
      <c r="BC84" s="82"/>
      <c r="BD84" s="82"/>
      <c r="BE84" s="82"/>
      <c r="BF84" s="82"/>
      <c r="BG84" s="82"/>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82"/>
    </row>
    <row r="85" spans="2:111" ht="9" customHeight="1">
      <c r="H85" s="229" t="str">
        <f>IF(B76&lt;&gt;"","Descrição:","")</f>
        <v>Descrição:</v>
      </c>
      <c r="I85" s="229"/>
      <c r="J85" s="229"/>
      <c r="K85" s="229"/>
      <c r="L85" s="229"/>
      <c r="M85" s="229"/>
      <c r="O85" s="233" t="s">
        <v>533</v>
      </c>
      <c r="P85" s="233"/>
      <c r="Q85" s="233"/>
      <c r="R85" s="233"/>
      <c r="S85" s="233"/>
      <c r="T85" s="233"/>
      <c r="U85" s="233"/>
      <c r="V85" s="233"/>
      <c r="W85" s="233"/>
      <c r="X85" s="233"/>
      <c r="Y85" s="233"/>
      <c r="Z85" s="233"/>
      <c r="AA85" s="233"/>
      <c r="AB85" s="233"/>
      <c r="AC85" s="233"/>
      <c r="AD85" s="233"/>
      <c r="AE85" s="229" t="str">
        <f>IF(B76&lt;&gt;"","Unid/Qtde:","")</f>
        <v>Unid/Qtde:</v>
      </c>
      <c r="AF85" s="229"/>
      <c r="AG85" s="229"/>
      <c r="AH85" s="229"/>
      <c r="AI85" s="229"/>
      <c r="AJ85" s="229"/>
      <c r="AK85" s="26"/>
      <c r="AL85" s="233">
        <v>1</v>
      </c>
      <c r="AM85" s="233"/>
      <c r="AN85" s="233"/>
      <c r="AO85" s="233"/>
      <c r="AP85" s="233"/>
      <c r="AQ85" s="233"/>
      <c r="AR85" s="233"/>
      <c r="AS85" s="233"/>
      <c r="AT85" s="233"/>
      <c r="AU85" s="233"/>
      <c r="AV85" s="233"/>
      <c r="AW85" s="233"/>
      <c r="AX85" s="233"/>
      <c r="AY85" s="233"/>
      <c r="AZ85" s="233"/>
      <c r="BA85" s="233"/>
      <c r="BC85" s="82"/>
      <c r="BD85" s="82"/>
      <c r="BE85" s="82"/>
      <c r="BF85" s="82"/>
      <c r="BG85" s="82"/>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82"/>
    </row>
    <row r="86" spans="2:111" ht="9" customHeight="1">
      <c r="H86" s="229"/>
      <c r="I86" s="229"/>
      <c r="J86" s="229"/>
      <c r="K86" s="229"/>
      <c r="L86" s="229"/>
      <c r="M86" s="229"/>
      <c r="O86" s="233"/>
      <c r="P86" s="233"/>
      <c r="Q86" s="233"/>
      <c r="R86" s="233"/>
      <c r="S86" s="233"/>
      <c r="T86" s="233"/>
      <c r="U86" s="233"/>
      <c r="V86" s="233"/>
      <c r="W86" s="233"/>
      <c r="X86" s="233"/>
      <c r="Y86" s="233"/>
      <c r="Z86" s="233"/>
      <c r="AA86" s="233"/>
      <c r="AB86" s="233"/>
      <c r="AC86" s="233"/>
      <c r="AD86" s="233"/>
      <c r="AE86" s="229"/>
      <c r="AF86" s="229"/>
      <c r="AG86" s="229"/>
      <c r="AH86" s="229"/>
      <c r="AI86" s="229"/>
      <c r="AJ86" s="229"/>
      <c r="AK86" s="26"/>
      <c r="AL86" s="233"/>
      <c r="AM86" s="233"/>
      <c r="AN86" s="233"/>
      <c r="AO86" s="233"/>
      <c r="AP86" s="233"/>
      <c r="AQ86" s="233"/>
      <c r="AR86" s="233"/>
      <c r="AS86" s="233"/>
      <c r="AT86" s="233"/>
      <c r="AU86" s="233"/>
      <c r="AV86" s="233"/>
      <c r="AW86" s="233"/>
      <c r="AX86" s="233"/>
      <c r="AY86" s="233"/>
      <c r="AZ86" s="233"/>
      <c r="BA86" s="233"/>
      <c r="BC86" s="82"/>
      <c r="BD86" s="82"/>
      <c r="BE86" s="82"/>
      <c r="BF86" s="82"/>
      <c r="BG86" s="82"/>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82"/>
    </row>
    <row r="87" spans="2:111" ht="4.5" customHeight="1">
      <c r="BC87" s="82"/>
      <c r="BD87" s="82"/>
      <c r="BE87" s="82"/>
      <c r="BF87" s="82"/>
      <c r="BG87" s="82"/>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82"/>
    </row>
    <row r="88" spans="2:111" ht="9" customHeight="1">
      <c r="B88" s="396" t="str">
        <f>IF('(I) Plano de Trabalho'!$U$629&gt;=2,"Etapa 1.2","")</f>
        <v>Etapa 1.2</v>
      </c>
      <c r="C88" s="396"/>
      <c r="D88" s="396"/>
      <c r="E88" s="396"/>
      <c r="F88" s="396"/>
      <c r="G88" s="396"/>
      <c r="H88" s="394" t="str">
        <f>IF('(I) Plano de Trabalho'!$I$655="","",'(I) Plano de Trabalho'!$I$655)</f>
        <v xml:space="preserve">Desenvolvimento e implantação da Plataforma a partir das informações levantadas na etapa de requisitos do projeto </v>
      </c>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BC88" s="82"/>
      <c r="BD88" s="82"/>
      <c r="BE88" s="82"/>
      <c r="BF88" s="82"/>
      <c r="BG88" s="82"/>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82"/>
    </row>
    <row r="89" spans="2:111" ht="9" customHeight="1">
      <c r="B89" s="396"/>
      <c r="C89" s="396"/>
      <c r="D89" s="396"/>
      <c r="E89" s="396"/>
      <c r="F89" s="396"/>
      <c r="G89" s="396"/>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BC89" s="82"/>
      <c r="BD89" s="82"/>
      <c r="BE89" s="82"/>
      <c r="BF89" s="82"/>
      <c r="BG89" s="82"/>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82"/>
    </row>
    <row r="90" spans="2:111" ht="4.5" customHeight="1">
      <c r="BC90" s="82"/>
      <c r="BD90" s="82"/>
      <c r="BE90" s="82"/>
      <c r="BF90" s="82"/>
      <c r="BG90" s="82"/>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82"/>
    </row>
    <row r="91" spans="2:111" ht="9" customHeight="1">
      <c r="B91" s="242" t="str">
        <f>IF(B88="","","Indicador:")</f>
        <v>Indicador:</v>
      </c>
      <c r="C91" s="242"/>
      <c r="D91" s="242"/>
      <c r="E91" s="242"/>
      <c r="F91" s="242"/>
      <c r="G91" s="68"/>
      <c r="H91" s="229" t="str">
        <f>IF(B88&lt;&gt;"","Descrição:","")</f>
        <v>Descrição:</v>
      </c>
      <c r="I91" s="229"/>
      <c r="J91" s="229"/>
      <c r="K91" s="229"/>
      <c r="L91" s="229"/>
      <c r="M91" s="229"/>
      <c r="O91" s="233" t="s">
        <v>534</v>
      </c>
      <c r="P91" s="233"/>
      <c r="Q91" s="233"/>
      <c r="R91" s="233"/>
      <c r="S91" s="233"/>
      <c r="T91" s="233"/>
      <c r="U91" s="233"/>
      <c r="V91" s="233"/>
      <c r="W91" s="233"/>
      <c r="X91" s="233"/>
      <c r="Y91" s="233"/>
      <c r="Z91" s="233"/>
      <c r="AA91" s="233"/>
      <c r="AB91" s="233"/>
      <c r="AC91" s="233"/>
      <c r="AD91" s="233"/>
      <c r="AE91" s="229" t="str">
        <f>IF(B88&lt;&gt;"","Unid/Qtde:","")</f>
        <v>Unid/Qtde:</v>
      </c>
      <c r="AF91" s="229"/>
      <c r="AG91" s="229"/>
      <c r="AH91" s="229"/>
      <c r="AI91" s="229"/>
      <c r="AJ91" s="229"/>
      <c r="AK91" s="26"/>
      <c r="AL91" s="233">
        <v>14</v>
      </c>
      <c r="AM91" s="233"/>
      <c r="AN91" s="233"/>
      <c r="AO91" s="233"/>
      <c r="AP91" s="233"/>
      <c r="AQ91" s="233"/>
      <c r="AR91" s="233"/>
      <c r="AS91" s="233"/>
      <c r="AT91" s="233"/>
      <c r="AU91" s="233"/>
      <c r="AV91" s="233"/>
      <c r="AW91" s="233"/>
      <c r="AX91" s="233"/>
      <c r="AY91" s="233"/>
      <c r="AZ91" s="233"/>
      <c r="BA91" s="233"/>
      <c r="BC91" s="82"/>
      <c r="BD91" s="82"/>
      <c r="BE91" s="82"/>
      <c r="BF91" s="82"/>
      <c r="BG91" s="82"/>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82"/>
    </row>
    <row r="92" spans="2:111" ht="9" customHeight="1">
      <c r="B92" s="242"/>
      <c r="C92" s="242"/>
      <c r="D92" s="242"/>
      <c r="E92" s="242"/>
      <c r="F92" s="242"/>
      <c r="G92" s="68"/>
      <c r="H92" s="229"/>
      <c r="I92" s="229"/>
      <c r="J92" s="229"/>
      <c r="K92" s="229"/>
      <c r="L92" s="229"/>
      <c r="M92" s="229"/>
      <c r="O92" s="233"/>
      <c r="P92" s="233"/>
      <c r="Q92" s="233"/>
      <c r="R92" s="233"/>
      <c r="S92" s="233"/>
      <c r="T92" s="233"/>
      <c r="U92" s="233"/>
      <c r="V92" s="233"/>
      <c r="W92" s="233"/>
      <c r="X92" s="233"/>
      <c r="Y92" s="233"/>
      <c r="Z92" s="233"/>
      <c r="AA92" s="233"/>
      <c r="AB92" s="233"/>
      <c r="AC92" s="233"/>
      <c r="AD92" s="233"/>
      <c r="AE92" s="229"/>
      <c r="AF92" s="229"/>
      <c r="AG92" s="229"/>
      <c r="AH92" s="229"/>
      <c r="AI92" s="229"/>
      <c r="AJ92" s="229"/>
      <c r="AK92" s="26"/>
      <c r="AL92" s="233"/>
      <c r="AM92" s="233"/>
      <c r="AN92" s="233"/>
      <c r="AO92" s="233"/>
      <c r="AP92" s="233"/>
      <c r="AQ92" s="233"/>
      <c r="AR92" s="233"/>
      <c r="AS92" s="233"/>
      <c r="AT92" s="233"/>
      <c r="AU92" s="233"/>
      <c r="AV92" s="233"/>
      <c r="AW92" s="233"/>
      <c r="AX92" s="233"/>
      <c r="AY92" s="233"/>
      <c r="AZ92" s="233"/>
      <c r="BA92" s="233"/>
      <c r="BC92" s="82"/>
      <c r="BD92" s="82"/>
      <c r="BE92" s="82"/>
      <c r="BF92" s="82"/>
      <c r="BG92" s="82"/>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82"/>
    </row>
    <row r="93" spans="2:111" ht="4.5" customHeight="1">
      <c r="O93" s="70"/>
      <c r="P93" s="70"/>
      <c r="Q93" s="70"/>
      <c r="R93" s="70"/>
      <c r="S93" s="70"/>
      <c r="T93" s="70"/>
      <c r="U93" s="70"/>
      <c r="V93" s="70"/>
      <c r="W93" s="70"/>
      <c r="X93" s="70"/>
      <c r="Y93" s="70"/>
      <c r="Z93" s="70"/>
      <c r="AA93" s="70"/>
      <c r="AB93" s="70"/>
      <c r="AC93" s="70"/>
      <c r="AD93" s="70"/>
      <c r="AE93" s="69"/>
      <c r="AF93" s="69"/>
      <c r="AG93" s="69"/>
      <c r="AH93" s="69"/>
      <c r="AI93" s="69"/>
      <c r="AJ93" s="69"/>
      <c r="AK93" s="69"/>
      <c r="AL93" s="70"/>
      <c r="AM93" s="70"/>
      <c r="AN93" s="70"/>
      <c r="AO93" s="70"/>
      <c r="AP93" s="70"/>
      <c r="AQ93" s="70"/>
      <c r="AR93" s="70"/>
      <c r="AS93" s="70"/>
      <c r="AT93" s="70"/>
      <c r="AU93" s="70"/>
      <c r="AV93" s="70"/>
      <c r="AW93" s="70"/>
      <c r="AX93" s="70"/>
      <c r="AY93" s="70"/>
      <c r="AZ93" s="70"/>
      <c r="BA93" s="70"/>
      <c r="BC93" s="82"/>
      <c r="BD93" s="82"/>
      <c r="BE93" s="82"/>
      <c r="BF93" s="82"/>
      <c r="BG93" s="82"/>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82"/>
    </row>
    <row r="94" spans="2:111" ht="9" customHeight="1">
      <c r="H94" s="229" t="str">
        <f>IF(B88&lt;&gt;"","Descrição:","")</f>
        <v>Descrição:</v>
      </c>
      <c r="I94" s="229"/>
      <c r="J94" s="229"/>
      <c r="K94" s="229"/>
      <c r="L94" s="229"/>
      <c r="M94" s="229"/>
      <c r="O94" s="233" t="s">
        <v>536</v>
      </c>
      <c r="P94" s="233"/>
      <c r="Q94" s="233"/>
      <c r="R94" s="233"/>
      <c r="S94" s="233"/>
      <c r="T94" s="233"/>
      <c r="U94" s="233"/>
      <c r="V94" s="233"/>
      <c r="W94" s="233"/>
      <c r="X94" s="233"/>
      <c r="Y94" s="233"/>
      <c r="Z94" s="233"/>
      <c r="AA94" s="233"/>
      <c r="AB94" s="233"/>
      <c r="AC94" s="233"/>
      <c r="AD94" s="233"/>
      <c r="AE94" s="229" t="str">
        <f>IF(B88&lt;&gt;"","Unid/Qtde:","")</f>
        <v>Unid/Qtde:</v>
      </c>
      <c r="AF94" s="229"/>
      <c r="AG94" s="229"/>
      <c r="AH94" s="229"/>
      <c r="AI94" s="229"/>
      <c r="AJ94" s="229"/>
      <c r="AK94" s="26"/>
      <c r="AL94" s="233">
        <v>1</v>
      </c>
      <c r="AM94" s="233"/>
      <c r="AN94" s="233"/>
      <c r="AO94" s="233"/>
      <c r="AP94" s="233"/>
      <c r="AQ94" s="233"/>
      <c r="AR94" s="233"/>
      <c r="AS94" s="233"/>
      <c r="AT94" s="233"/>
      <c r="AU94" s="233"/>
      <c r="AV94" s="233"/>
      <c r="AW94" s="233"/>
      <c r="AX94" s="233"/>
      <c r="AY94" s="233"/>
      <c r="AZ94" s="233"/>
      <c r="BA94" s="233"/>
      <c r="BC94" s="82"/>
      <c r="BD94" s="82"/>
      <c r="BE94" s="82"/>
      <c r="BF94" s="82"/>
      <c r="BG94" s="82"/>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82"/>
    </row>
    <row r="95" spans="2:111" ht="9" customHeight="1">
      <c r="H95" s="229"/>
      <c r="I95" s="229"/>
      <c r="J95" s="229"/>
      <c r="K95" s="229"/>
      <c r="L95" s="229"/>
      <c r="M95" s="229"/>
      <c r="O95" s="233"/>
      <c r="P95" s="233"/>
      <c r="Q95" s="233"/>
      <c r="R95" s="233"/>
      <c r="S95" s="233"/>
      <c r="T95" s="233"/>
      <c r="U95" s="233"/>
      <c r="V95" s="233"/>
      <c r="W95" s="233"/>
      <c r="X95" s="233"/>
      <c r="Y95" s="233"/>
      <c r="Z95" s="233"/>
      <c r="AA95" s="233"/>
      <c r="AB95" s="233"/>
      <c r="AC95" s="233"/>
      <c r="AD95" s="233"/>
      <c r="AE95" s="229"/>
      <c r="AF95" s="229"/>
      <c r="AG95" s="229"/>
      <c r="AH95" s="229"/>
      <c r="AI95" s="229"/>
      <c r="AJ95" s="229"/>
      <c r="AK95" s="26"/>
      <c r="AL95" s="233"/>
      <c r="AM95" s="233"/>
      <c r="AN95" s="233"/>
      <c r="AO95" s="233"/>
      <c r="AP95" s="233"/>
      <c r="AQ95" s="233"/>
      <c r="AR95" s="233"/>
      <c r="AS95" s="233"/>
      <c r="AT95" s="233"/>
      <c r="AU95" s="233"/>
      <c r="AV95" s="233"/>
      <c r="AW95" s="233"/>
      <c r="AX95" s="233"/>
      <c r="AY95" s="233"/>
      <c r="AZ95" s="233"/>
      <c r="BA95" s="233"/>
      <c r="BC95" s="82"/>
      <c r="BD95" s="82"/>
      <c r="BE95" s="82"/>
      <c r="BF95" s="82"/>
      <c r="BG95" s="82"/>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82"/>
    </row>
    <row r="96" spans="2:111" ht="4.5" customHeight="1">
      <c r="O96" s="70"/>
      <c r="P96" s="70"/>
      <c r="Q96" s="70"/>
      <c r="R96" s="70"/>
      <c r="S96" s="70"/>
      <c r="T96" s="70"/>
      <c r="U96" s="70"/>
      <c r="V96" s="70"/>
      <c r="W96" s="70"/>
      <c r="X96" s="70"/>
      <c r="Y96" s="70"/>
      <c r="Z96" s="70"/>
      <c r="AA96" s="70"/>
      <c r="AB96" s="70"/>
      <c r="AC96" s="70"/>
      <c r="AD96" s="70"/>
      <c r="AE96" s="69"/>
      <c r="AF96" s="69"/>
      <c r="AG96" s="69"/>
      <c r="AH96" s="69"/>
      <c r="AI96" s="69"/>
      <c r="AJ96" s="69"/>
      <c r="AK96" s="69"/>
      <c r="AL96" s="70"/>
      <c r="AM96" s="70"/>
      <c r="AN96" s="70"/>
      <c r="AO96" s="70"/>
      <c r="AP96" s="70"/>
      <c r="AQ96" s="70"/>
      <c r="AR96" s="70"/>
      <c r="AS96" s="70"/>
      <c r="AT96" s="70"/>
      <c r="AU96" s="70"/>
      <c r="AV96" s="70"/>
      <c r="AW96" s="70"/>
      <c r="AX96" s="70"/>
      <c r="AY96" s="70"/>
      <c r="AZ96" s="70"/>
      <c r="BA96" s="70"/>
      <c r="BC96" s="82"/>
      <c r="BD96" s="82"/>
      <c r="BE96" s="82"/>
      <c r="BF96" s="82"/>
      <c r="BG96" s="82"/>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82"/>
    </row>
    <row r="97" spans="2:111" ht="9" customHeight="1">
      <c r="H97" s="229" t="str">
        <f>IF(B88&lt;&gt;"","Descrição:","")</f>
        <v>Descrição:</v>
      </c>
      <c r="I97" s="229"/>
      <c r="J97" s="229"/>
      <c r="K97" s="229"/>
      <c r="L97" s="229"/>
      <c r="M97" s="229"/>
      <c r="O97" s="233" t="s">
        <v>537</v>
      </c>
      <c r="P97" s="233"/>
      <c r="Q97" s="233"/>
      <c r="R97" s="233"/>
      <c r="S97" s="233"/>
      <c r="T97" s="233"/>
      <c r="U97" s="233"/>
      <c r="V97" s="233"/>
      <c r="W97" s="233"/>
      <c r="X97" s="233"/>
      <c r="Y97" s="233"/>
      <c r="Z97" s="233"/>
      <c r="AA97" s="233"/>
      <c r="AB97" s="233"/>
      <c r="AC97" s="233"/>
      <c r="AD97" s="233"/>
      <c r="AE97" s="229" t="str">
        <f>IF(B88&lt;&gt;"","Unid/Qtde:","")</f>
        <v>Unid/Qtde:</v>
      </c>
      <c r="AF97" s="229"/>
      <c r="AG97" s="229"/>
      <c r="AH97" s="229"/>
      <c r="AI97" s="229"/>
      <c r="AJ97" s="229"/>
      <c r="AK97" s="26"/>
      <c r="AL97" s="233">
        <v>1</v>
      </c>
      <c r="AM97" s="233"/>
      <c r="AN97" s="233"/>
      <c r="AO97" s="233"/>
      <c r="AP97" s="233"/>
      <c r="AQ97" s="233"/>
      <c r="AR97" s="233"/>
      <c r="AS97" s="233"/>
      <c r="AT97" s="233"/>
      <c r="AU97" s="233"/>
      <c r="AV97" s="233"/>
      <c r="AW97" s="233"/>
      <c r="AX97" s="233"/>
      <c r="AY97" s="233"/>
      <c r="AZ97" s="233"/>
      <c r="BA97" s="233"/>
      <c r="BC97" s="82"/>
      <c r="BD97" s="82"/>
      <c r="BE97" s="82"/>
      <c r="BF97" s="82"/>
      <c r="BG97" s="82"/>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82"/>
    </row>
    <row r="98" spans="2:111" ht="9" customHeight="1">
      <c r="H98" s="229"/>
      <c r="I98" s="229"/>
      <c r="J98" s="229"/>
      <c r="K98" s="229"/>
      <c r="L98" s="229"/>
      <c r="M98" s="229"/>
      <c r="O98" s="233"/>
      <c r="P98" s="233"/>
      <c r="Q98" s="233"/>
      <c r="R98" s="233"/>
      <c r="S98" s="233"/>
      <c r="T98" s="233"/>
      <c r="U98" s="233"/>
      <c r="V98" s="233"/>
      <c r="W98" s="233"/>
      <c r="X98" s="233"/>
      <c r="Y98" s="233"/>
      <c r="Z98" s="233"/>
      <c r="AA98" s="233"/>
      <c r="AB98" s="233"/>
      <c r="AC98" s="233"/>
      <c r="AD98" s="233"/>
      <c r="AE98" s="229"/>
      <c r="AF98" s="229"/>
      <c r="AG98" s="229"/>
      <c r="AH98" s="229"/>
      <c r="AI98" s="229"/>
      <c r="AJ98" s="229"/>
      <c r="AK98" s="26"/>
      <c r="AL98" s="233"/>
      <c r="AM98" s="233"/>
      <c r="AN98" s="233"/>
      <c r="AO98" s="233"/>
      <c r="AP98" s="233"/>
      <c r="AQ98" s="233"/>
      <c r="AR98" s="233"/>
      <c r="AS98" s="233"/>
      <c r="AT98" s="233"/>
      <c r="AU98" s="233"/>
      <c r="AV98" s="233"/>
      <c r="AW98" s="233"/>
      <c r="AX98" s="233"/>
      <c r="AY98" s="233"/>
      <c r="AZ98" s="233"/>
      <c r="BA98" s="233"/>
      <c r="BC98" s="82"/>
      <c r="BD98" s="82"/>
      <c r="BE98" s="82"/>
      <c r="BF98" s="82"/>
      <c r="BG98" s="82"/>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82"/>
    </row>
    <row r="99" spans="2:111" ht="4.5" customHeight="1">
      <c r="BC99" s="82"/>
      <c r="BD99" s="82"/>
      <c r="BE99" s="82"/>
      <c r="BF99" s="82"/>
      <c r="BG99" s="82"/>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82"/>
    </row>
    <row r="100" spans="2:111" ht="9" customHeight="1">
      <c r="B100" s="396" t="str">
        <f>IF('(I) Plano de Trabalho'!$U$629&gt;=3,"Etapa 1.3","")</f>
        <v>Etapa 1.3</v>
      </c>
      <c r="C100" s="396"/>
      <c r="D100" s="396"/>
      <c r="E100" s="396"/>
      <c r="F100" s="396"/>
      <c r="G100" s="396"/>
      <c r="H100" s="394" t="str">
        <f>IF('(I) Plano de Trabalho'!$I$679="","",'(I) Plano de Trabalho'!$I$679)</f>
        <v>Migração de dados do sistemas Siscites para a nova plataforma.</v>
      </c>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BC100" s="82"/>
      <c r="BD100" s="82"/>
      <c r="BE100" s="82"/>
      <c r="BF100" s="82"/>
      <c r="BG100" s="82"/>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82"/>
    </row>
    <row r="101" spans="2:111" ht="9" customHeight="1">
      <c r="B101" s="396"/>
      <c r="C101" s="396"/>
      <c r="D101" s="396"/>
      <c r="E101" s="396"/>
      <c r="F101" s="396"/>
      <c r="G101" s="396"/>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BC101" s="82"/>
      <c r="BD101" s="82"/>
      <c r="BE101" s="82"/>
      <c r="BF101" s="82"/>
      <c r="BG101" s="82"/>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82"/>
    </row>
    <row r="102" spans="2:111" ht="4.5" customHeight="1">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row>
    <row r="103" spans="2:111" ht="9" customHeight="1">
      <c r="B103" s="242" t="str">
        <f>IF(B100="","","Indicador:")</f>
        <v>Indicador:</v>
      </c>
      <c r="C103" s="242"/>
      <c r="D103" s="242"/>
      <c r="E103" s="242"/>
      <c r="F103" s="242"/>
      <c r="G103" s="68"/>
      <c r="H103" s="229" t="str">
        <f>IF(B100&lt;&gt;"","Descrição:","")</f>
        <v>Descrição:</v>
      </c>
      <c r="I103" s="229"/>
      <c r="J103" s="229"/>
      <c r="K103" s="229"/>
      <c r="L103" s="229"/>
      <c r="M103" s="229"/>
      <c r="O103" s="233" t="s">
        <v>540</v>
      </c>
      <c r="P103" s="233"/>
      <c r="Q103" s="233"/>
      <c r="R103" s="233"/>
      <c r="S103" s="233"/>
      <c r="T103" s="233"/>
      <c r="U103" s="233"/>
      <c r="V103" s="233"/>
      <c r="W103" s="233"/>
      <c r="X103" s="233"/>
      <c r="Y103" s="233"/>
      <c r="Z103" s="233"/>
      <c r="AA103" s="233"/>
      <c r="AB103" s="233"/>
      <c r="AC103" s="233"/>
      <c r="AD103" s="233"/>
      <c r="AE103" s="229" t="str">
        <f>IF(B100&lt;&gt;"","Unid/Qtde:","")</f>
        <v>Unid/Qtde:</v>
      </c>
      <c r="AF103" s="229"/>
      <c r="AG103" s="229"/>
      <c r="AH103" s="229"/>
      <c r="AI103" s="229"/>
      <c r="AJ103" s="229"/>
      <c r="AK103" s="26"/>
      <c r="AL103" s="233">
        <v>8</v>
      </c>
      <c r="AM103" s="233"/>
      <c r="AN103" s="233"/>
      <c r="AO103" s="233"/>
      <c r="AP103" s="233"/>
      <c r="AQ103" s="233"/>
      <c r="AR103" s="233"/>
      <c r="AS103" s="233"/>
      <c r="AT103" s="233"/>
      <c r="AU103" s="233"/>
      <c r="AV103" s="233"/>
      <c r="AW103" s="233"/>
      <c r="AX103" s="233"/>
      <c r="AY103" s="233"/>
      <c r="AZ103" s="233"/>
      <c r="BA103" s="233"/>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row>
    <row r="104" spans="2:111" ht="9" customHeight="1">
      <c r="B104" s="242"/>
      <c r="C104" s="242"/>
      <c r="D104" s="242"/>
      <c r="E104" s="242"/>
      <c r="F104" s="242"/>
      <c r="G104" s="68"/>
      <c r="H104" s="229"/>
      <c r="I104" s="229"/>
      <c r="J104" s="229"/>
      <c r="K104" s="229"/>
      <c r="L104" s="229"/>
      <c r="M104" s="229"/>
      <c r="O104" s="233"/>
      <c r="P104" s="233"/>
      <c r="Q104" s="233"/>
      <c r="R104" s="233"/>
      <c r="S104" s="233"/>
      <c r="T104" s="233"/>
      <c r="U104" s="233"/>
      <c r="V104" s="233"/>
      <c r="W104" s="233"/>
      <c r="X104" s="233"/>
      <c r="Y104" s="233"/>
      <c r="Z104" s="233"/>
      <c r="AA104" s="233"/>
      <c r="AB104" s="233"/>
      <c r="AC104" s="233"/>
      <c r="AD104" s="233"/>
      <c r="AE104" s="229"/>
      <c r="AF104" s="229"/>
      <c r="AG104" s="229"/>
      <c r="AH104" s="229"/>
      <c r="AI104" s="229"/>
      <c r="AJ104" s="229"/>
      <c r="AK104" s="26"/>
      <c r="AL104" s="233"/>
      <c r="AM104" s="233"/>
      <c r="AN104" s="233"/>
      <c r="AO104" s="233"/>
      <c r="AP104" s="233"/>
      <c r="AQ104" s="233"/>
      <c r="AR104" s="233"/>
      <c r="AS104" s="233"/>
      <c r="AT104" s="233"/>
      <c r="AU104" s="233"/>
      <c r="AV104" s="233"/>
      <c r="AW104" s="233"/>
      <c r="AX104" s="233"/>
      <c r="AY104" s="233"/>
      <c r="AZ104" s="233"/>
      <c r="BA104" s="233"/>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row>
    <row r="105" spans="2:111" ht="4.5" customHeight="1">
      <c r="O105" s="71"/>
      <c r="P105" s="71"/>
      <c r="Q105" s="71"/>
      <c r="R105" s="71"/>
      <c r="S105" s="71"/>
      <c r="T105" s="71"/>
      <c r="U105" s="71"/>
      <c r="V105" s="71"/>
      <c r="W105" s="71"/>
      <c r="X105" s="71"/>
      <c r="Y105" s="71"/>
      <c r="Z105" s="71"/>
      <c r="AA105" s="71"/>
      <c r="AB105" s="71"/>
      <c r="AC105" s="71"/>
      <c r="AD105" s="71"/>
      <c r="AE105" s="69"/>
      <c r="AF105" s="69"/>
      <c r="AG105" s="69"/>
      <c r="AH105" s="69"/>
      <c r="AI105" s="69"/>
      <c r="AJ105" s="69"/>
      <c r="AK105" s="69"/>
      <c r="AL105" s="71"/>
      <c r="AM105" s="71"/>
      <c r="AN105" s="71"/>
      <c r="AO105" s="71"/>
      <c r="AP105" s="71"/>
      <c r="AQ105" s="71"/>
      <c r="AR105" s="71"/>
      <c r="AS105" s="71"/>
      <c r="AT105" s="71"/>
      <c r="AU105" s="71"/>
      <c r="AV105" s="71"/>
      <c r="AW105" s="71"/>
      <c r="AX105" s="71"/>
      <c r="AY105" s="71"/>
      <c r="AZ105" s="71"/>
      <c r="BA105" s="71"/>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row>
    <row r="106" spans="2:111" ht="9" customHeight="1">
      <c r="H106" s="229" t="str">
        <f>IF(B100&lt;&gt;"","Descrição:","")</f>
        <v>Descrição:</v>
      </c>
      <c r="I106" s="229"/>
      <c r="J106" s="229"/>
      <c r="K106" s="229"/>
      <c r="L106" s="229"/>
      <c r="M106" s="229"/>
      <c r="O106" s="233" t="s">
        <v>539</v>
      </c>
      <c r="P106" s="233"/>
      <c r="Q106" s="233"/>
      <c r="R106" s="233"/>
      <c r="S106" s="233"/>
      <c r="T106" s="233"/>
      <c r="U106" s="233"/>
      <c r="V106" s="233"/>
      <c r="W106" s="233"/>
      <c r="X106" s="233"/>
      <c r="Y106" s="233"/>
      <c r="Z106" s="233"/>
      <c r="AA106" s="233"/>
      <c r="AB106" s="233"/>
      <c r="AC106" s="233"/>
      <c r="AD106" s="233"/>
      <c r="AE106" s="229" t="str">
        <f>IF(B100&lt;&gt;"","Unid/Qtde:","")</f>
        <v>Unid/Qtde:</v>
      </c>
      <c r="AF106" s="229"/>
      <c r="AG106" s="229"/>
      <c r="AH106" s="229"/>
      <c r="AI106" s="229"/>
      <c r="AJ106" s="229"/>
      <c r="AK106" s="26"/>
      <c r="AL106" s="233">
        <v>1</v>
      </c>
      <c r="AM106" s="233"/>
      <c r="AN106" s="233"/>
      <c r="AO106" s="233"/>
      <c r="AP106" s="233"/>
      <c r="AQ106" s="233"/>
      <c r="AR106" s="233"/>
      <c r="AS106" s="233"/>
      <c r="AT106" s="233"/>
      <c r="AU106" s="233"/>
      <c r="AV106" s="233"/>
      <c r="AW106" s="233"/>
      <c r="AX106" s="233"/>
      <c r="AY106" s="233"/>
      <c r="AZ106" s="233"/>
      <c r="BA106" s="233"/>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row>
    <row r="107" spans="2:111" ht="9" customHeight="1">
      <c r="H107" s="229"/>
      <c r="I107" s="229"/>
      <c r="J107" s="229"/>
      <c r="K107" s="229"/>
      <c r="L107" s="229"/>
      <c r="M107" s="229"/>
      <c r="O107" s="233"/>
      <c r="P107" s="233"/>
      <c r="Q107" s="233"/>
      <c r="R107" s="233"/>
      <c r="S107" s="233"/>
      <c r="T107" s="233"/>
      <c r="U107" s="233"/>
      <c r="V107" s="233"/>
      <c r="W107" s="233"/>
      <c r="X107" s="233"/>
      <c r="Y107" s="233"/>
      <c r="Z107" s="233"/>
      <c r="AA107" s="233"/>
      <c r="AB107" s="233"/>
      <c r="AC107" s="233"/>
      <c r="AD107" s="233"/>
      <c r="AE107" s="229"/>
      <c r="AF107" s="229"/>
      <c r="AG107" s="229"/>
      <c r="AH107" s="229"/>
      <c r="AI107" s="229"/>
      <c r="AJ107" s="229"/>
      <c r="AK107" s="26"/>
      <c r="AL107" s="233"/>
      <c r="AM107" s="233"/>
      <c r="AN107" s="233"/>
      <c r="AO107" s="233"/>
      <c r="AP107" s="233"/>
      <c r="AQ107" s="233"/>
      <c r="AR107" s="233"/>
      <c r="AS107" s="233"/>
      <c r="AT107" s="233"/>
      <c r="AU107" s="233"/>
      <c r="AV107" s="233"/>
      <c r="AW107" s="233"/>
      <c r="AX107" s="233"/>
      <c r="AY107" s="233"/>
      <c r="AZ107" s="233"/>
      <c r="BA107" s="233"/>
      <c r="BC107" s="82"/>
      <c r="BD107" s="82"/>
      <c r="BE107" s="82"/>
      <c r="BF107" s="82"/>
      <c r="BG107" s="82"/>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83"/>
      <c r="CN107" s="83"/>
      <c r="CO107" s="83"/>
      <c r="CP107" s="83"/>
      <c r="CQ107" s="83"/>
      <c r="CR107" s="83"/>
      <c r="CS107" s="83"/>
      <c r="CT107" s="83"/>
      <c r="CU107" s="83"/>
      <c r="CV107" s="83"/>
      <c r="CW107" s="83"/>
      <c r="CX107" s="83"/>
      <c r="CY107" s="83"/>
      <c r="CZ107" s="83"/>
      <c r="DA107" s="83"/>
      <c r="DB107" s="83"/>
      <c r="DC107" s="83"/>
      <c r="DD107" s="83"/>
      <c r="DE107" s="83"/>
      <c r="DF107" s="83"/>
      <c r="DG107" s="82"/>
    </row>
    <row r="108" spans="2:111" ht="4.5" customHeight="1">
      <c r="O108" s="71"/>
      <c r="P108" s="71"/>
      <c r="Q108" s="71"/>
      <c r="R108" s="71"/>
      <c r="S108" s="71"/>
      <c r="T108" s="71"/>
      <c r="U108" s="71"/>
      <c r="V108" s="71"/>
      <c r="W108" s="71"/>
      <c r="X108" s="71"/>
      <c r="Y108" s="71"/>
      <c r="Z108" s="71"/>
      <c r="AA108" s="71"/>
      <c r="AB108" s="71"/>
      <c r="AC108" s="71"/>
      <c r="AD108" s="71"/>
      <c r="AE108" s="69"/>
      <c r="AF108" s="69"/>
      <c r="AG108" s="69"/>
      <c r="AH108" s="69"/>
      <c r="AI108" s="69"/>
      <c r="AJ108" s="69"/>
      <c r="AK108" s="69"/>
      <c r="AL108" s="71"/>
      <c r="AM108" s="71"/>
      <c r="AN108" s="71"/>
      <c r="AO108" s="71"/>
      <c r="AP108" s="71"/>
      <c r="AQ108" s="71"/>
      <c r="AR108" s="71"/>
      <c r="AS108" s="71"/>
      <c r="AT108" s="71"/>
      <c r="AU108" s="71"/>
      <c r="AV108" s="71"/>
      <c r="AW108" s="71"/>
      <c r="AX108" s="71"/>
      <c r="AY108" s="71"/>
      <c r="AZ108" s="71"/>
      <c r="BA108" s="71"/>
      <c r="BC108" s="82"/>
      <c r="BD108" s="82"/>
      <c r="BE108" s="82"/>
      <c r="BF108" s="82"/>
      <c r="BG108" s="82"/>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83"/>
      <c r="CN108" s="83"/>
      <c r="CO108" s="83"/>
      <c r="CP108" s="83"/>
      <c r="CQ108" s="83"/>
      <c r="CR108" s="83"/>
      <c r="CS108" s="83"/>
      <c r="CT108" s="83"/>
      <c r="CU108" s="83"/>
      <c r="CV108" s="83"/>
      <c r="CW108" s="83"/>
      <c r="CX108" s="83"/>
      <c r="CY108" s="83"/>
      <c r="CZ108" s="83"/>
      <c r="DA108" s="83"/>
      <c r="DB108" s="83"/>
      <c r="DC108" s="83"/>
      <c r="DD108" s="83"/>
      <c r="DE108" s="83"/>
      <c r="DF108" s="83"/>
      <c r="DG108" s="82"/>
    </row>
    <row r="109" spans="2:111" ht="9" customHeight="1">
      <c r="H109" s="229" t="str">
        <f>IF(B100&lt;&gt;"","Descrição:","")</f>
        <v>Descrição:</v>
      </c>
      <c r="I109" s="229"/>
      <c r="J109" s="229"/>
      <c r="K109" s="229"/>
      <c r="L109" s="229"/>
      <c r="M109" s="229"/>
      <c r="O109" s="233"/>
      <c r="P109" s="233"/>
      <c r="Q109" s="233"/>
      <c r="R109" s="233"/>
      <c r="S109" s="233"/>
      <c r="T109" s="233"/>
      <c r="U109" s="233"/>
      <c r="V109" s="233"/>
      <c r="W109" s="233"/>
      <c r="X109" s="233"/>
      <c r="Y109" s="233"/>
      <c r="Z109" s="233"/>
      <c r="AA109" s="233"/>
      <c r="AB109" s="233"/>
      <c r="AC109" s="233"/>
      <c r="AD109" s="233"/>
      <c r="AE109" s="229" t="str">
        <f>IF(B100&lt;&gt;"","Unid/Qtde:","")</f>
        <v>Unid/Qtde:</v>
      </c>
      <c r="AF109" s="229"/>
      <c r="AG109" s="229"/>
      <c r="AH109" s="229"/>
      <c r="AI109" s="229"/>
      <c r="AJ109" s="229"/>
      <c r="AK109" s="26"/>
      <c r="AL109" s="233"/>
      <c r="AM109" s="233"/>
      <c r="AN109" s="233"/>
      <c r="AO109" s="233"/>
      <c r="AP109" s="233"/>
      <c r="AQ109" s="233"/>
      <c r="AR109" s="233"/>
      <c r="AS109" s="233"/>
      <c r="AT109" s="233"/>
      <c r="AU109" s="233"/>
      <c r="AV109" s="233"/>
      <c r="AW109" s="233"/>
      <c r="AX109" s="233"/>
      <c r="AY109" s="233"/>
      <c r="AZ109" s="233"/>
      <c r="BA109" s="233"/>
      <c r="BC109" s="82"/>
      <c r="BD109" s="82"/>
      <c r="BE109" s="82"/>
      <c r="BF109" s="82"/>
      <c r="BG109" s="82"/>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83"/>
      <c r="CN109" s="83"/>
      <c r="CO109" s="83"/>
      <c r="CP109" s="83"/>
      <c r="CQ109" s="83"/>
      <c r="CR109" s="83"/>
      <c r="CS109" s="83"/>
      <c r="CT109" s="83"/>
      <c r="CU109" s="83"/>
      <c r="CV109" s="83"/>
      <c r="CW109" s="83"/>
      <c r="CX109" s="83"/>
      <c r="CY109" s="83"/>
      <c r="CZ109" s="83"/>
      <c r="DA109" s="83"/>
      <c r="DB109" s="83"/>
      <c r="DC109" s="83"/>
      <c r="DD109" s="83"/>
      <c r="DE109" s="83"/>
      <c r="DF109" s="83"/>
      <c r="DG109" s="82"/>
    </row>
    <row r="110" spans="2:111" ht="9" customHeight="1">
      <c r="H110" s="229"/>
      <c r="I110" s="229"/>
      <c r="J110" s="229"/>
      <c r="K110" s="229"/>
      <c r="L110" s="229"/>
      <c r="M110" s="229"/>
      <c r="O110" s="233"/>
      <c r="P110" s="233"/>
      <c r="Q110" s="233"/>
      <c r="R110" s="233"/>
      <c r="S110" s="233"/>
      <c r="T110" s="233"/>
      <c r="U110" s="233"/>
      <c r="V110" s="233"/>
      <c r="W110" s="233"/>
      <c r="X110" s="233"/>
      <c r="Y110" s="233"/>
      <c r="Z110" s="233"/>
      <c r="AA110" s="233"/>
      <c r="AB110" s="233"/>
      <c r="AC110" s="233"/>
      <c r="AD110" s="233"/>
      <c r="AE110" s="229"/>
      <c r="AF110" s="229"/>
      <c r="AG110" s="229"/>
      <c r="AH110" s="229"/>
      <c r="AI110" s="229"/>
      <c r="AJ110" s="229"/>
      <c r="AK110" s="26"/>
      <c r="AL110" s="233"/>
      <c r="AM110" s="233"/>
      <c r="AN110" s="233"/>
      <c r="AO110" s="233"/>
      <c r="AP110" s="233"/>
      <c r="AQ110" s="233"/>
      <c r="AR110" s="233"/>
      <c r="AS110" s="233"/>
      <c r="AT110" s="233"/>
      <c r="AU110" s="233"/>
      <c r="AV110" s="233"/>
      <c r="AW110" s="233"/>
      <c r="AX110" s="233"/>
      <c r="AY110" s="233"/>
      <c r="AZ110" s="233"/>
      <c r="BA110" s="233"/>
      <c r="BC110" s="82"/>
      <c r="BD110" s="82"/>
      <c r="BE110" s="82"/>
      <c r="BF110" s="82"/>
      <c r="BG110" s="82"/>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3"/>
      <c r="CE110" s="83"/>
      <c r="CF110" s="83"/>
      <c r="CG110" s="83"/>
      <c r="CH110" s="83"/>
      <c r="CI110" s="83"/>
      <c r="CJ110" s="83"/>
      <c r="CK110" s="83"/>
      <c r="CL110" s="83"/>
      <c r="CM110" s="83"/>
      <c r="CN110" s="83"/>
      <c r="CO110" s="83"/>
      <c r="CP110" s="83"/>
      <c r="CQ110" s="83"/>
      <c r="CR110" s="83"/>
      <c r="CS110" s="83"/>
      <c r="CT110" s="83"/>
      <c r="CU110" s="83"/>
      <c r="CV110" s="83"/>
      <c r="CW110" s="83"/>
      <c r="CX110" s="83"/>
      <c r="CY110" s="83"/>
      <c r="CZ110" s="83"/>
      <c r="DA110" s="83"/>
      <c r="DB110" s="83"/>
      <c r="DC110" s="83"/>
      <c r="DD110" s="83"/>
      <c r="DE110" s="83"/>
      <c r="DF110" s="83"/>
      <c r="DG110" s="82"/>
    </row>
    <row r="111" spans="2:111" ht="4.5" customHeight="1">
      <c r="BC111" s="82"/>
      <c r="BD111" s="82"/>
      <c r="BE111" s="82"/>
      <c r="BF111" s="82"/>
      <c r="BG111" s="82"/>
      <c r="BH111" s="83"/>
      <c r="BI111" s="83"/>
      <c r="BJ111" s="83"/>
      <c r="BK111" s="83"/>
      <c r="BL111" s="83"/>
      <c r="BM111" s="83"/>
      <c r="BN111" s="83"/>
      <c r="BO111" s="83"/>
      <c r="BP111" s="83"/>
      <c r="BQ111" s="83"/>
      <c r="BR111" s="83"/>
      <c r="BS111" s="83"/>
      <c r="BT111" s="83"/>
      <c r="BU111" s="83"/>
      <c r="BV111" s="83"/>
      <c r="BW111" s="83"/>
      <c r="BX111" s="83"/>
      <c r="BY111" s="83"/>
      <c r="BZ111" s="83"/>
      <c r="CA111" s="83"/>
      <c r="CB111" s="83"/>
      <c r="CC111" s="83"/>
      <c r="CD111" s="83"/>
      <c r="CE111" s="83"/>
      <c r="CF111" s="83"/>
      <c r="CG111" s="83"/>
      <c r="CH111" s="83"/>
      <c r="CI111" s="83"/>
      <c r="CJ111" s="83"/>
      <c r="CK111" s="83"/>
      <c r="CL111" s="83"/>
      <c r="CM111" s="83"/>
      <c r="CN111" s="83"/>
      <c r="CO111" s="83"/>
      <c r="CP111" s="83"/>
      <c r="CQ111" s="83"/>
      <c r="CR111" s="83"/>
      <c r="CS111" s="83"/>
      <c r="CT111" s="83"/>
      <c r="CU111" s="83"/>
      <c r="CV111" s="83"/>
      <c r="CW111" s="83"/>
      <c r="CX111" s="83"/>
      <c r="CY111" s="83"/>
      <c r="CZ111" s="83"/>
      <c r="DA111" s="83"/>
      <c r="DB111" s="83"/>
      <c r="DC111" s="83"/>
      <c r="DD111" s="83"/>
      <c r="DE111" s="83"/>
      <c r="DF111" s="83"/>
      <c r="DG111" s="82"/>
    </row>
    <row r="112" spans="2:111" ht="9" customHeight="1">
      <c r="B112" s="396" t="str">
        <f>IF('(I) Plano de Trabalho'!$U$629&gt;=4,"Etapa 1.4","")</f>
        <v>Etapa 1.4</v>
      </c>
      <c r="C112" s="396"/>
      <c r="D112" s="396"/>
      <c r="E112" s="396"/>
      <c r="F112" s="396"/>
      <c r="G112" s="396"/>
      <c r="H112" s="394" t="str">
        <f>IF('(I) Plano de Trabalho'!$I$702="","",'(I) Plano de Trabalho'!$I$702)</f>
        <v xml:space="preserve">Interoperabilidade da plataforma com os sistemas do IBAMA, através de integrações com CTF, SICAFI, DOF, SINAFLOR e SISFAUNA. </v>
      </c>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BC112" s="82"/>
      <c r="BD112" s="82"/>
      <c r="BE112" s="82"/>
      <c r="BF112" s="82"/>
      <c r="BG112" s="82"/>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82"/>
    </row>
    <row r="113" spans="2:111" ht="9" customHeight="1">
      <c r="B113" s="396"/>
      <c r="C113" s="396"/>
      <c r="D113" s="396"/>
      <c r="E113" s="396"/>
      <c r="F113" s="396"/>
      <c r="G113" s="396"/>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BC113" s="82"/>
      <c r="BD113" s="82"/>
      <c r="BE113" s="82"/>
      <c r="BF113" s="82"/>
      <c r="BG113" s="82"/>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82"/>
    </row>
    <row r="114" spans="2:111" ht="4.5" customHeight="1">
      <c r="BC114" s="82"/>
      <c r="BD114" s="82"/>
      <c r="BE114" s="82"/>
      <c r="BF114" s="82"/>
      <c r="BG114" s="82"/>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82"/>
    </row>
    <row r="115" spans="2:111" ht="9" customHeight="1">
      <c r="B115" s="242" t="str">
        <f>IF(B112="","","Indicador:")</f>
        <v>Indicador:</v>
      </c>
      <c r="C115" s="242"/>
      <c r="D115" s="242"/>
      <c r="E115" s="242"/>
      <c r="F115" s="242"/>
      <c r="G115" s="68"/>
      <c r="H115" s="229" t="str">
        <f>IF(B112&lt;&gt;"","Descrição:","")</f>
        <v>Descrição:</v>
      </c>
      <c r="I115" s="229"/>
      <c r="J115" s="229"/>
      <c r="K115" s="229"/>
      <c r="L115" s="229"/>
      <c r="M115" s="229"/>
      <c r="O115" s="233" t="s">
        <v>538</v>
      </c>
      <c r="P115" s="233"/>
      <c r="Q115" s="233"/>
      <c r="R115" s="233"/>
      <c r="S115" s="233"/>
      <c r="T115" s="233"/>
      <c r="U115" s="233"/>
      <c r="V115" s="233"/>
      <c r="W115" s="233"/>
      <c r="X115" s="233"/>
      <c r="Y115" s="233"/>
      <c r="Z115" s="233"/>
      <c r="AA115" s="233"/>
      <c r="AB115" s="233"/>
      <c r="AC115" s="233"/>
      <c r="AD115" s="233"/>
      <c r="AE115" s="229" t="str">
        <f>IF(B112&lt;&gt;"","Unid/Qtde:","")</f>
        <v>Unid/Qtde:</v>
      </c>
      <c r="AF115" s="229"/>
      <c r="AG115" s="229"/>
      <c r="AH115" s="229"/>
      <c r="AI115" s="229"/>
      <c r="AJ115" s="229"/>
      <c r="AK115" s="26"/>
      <c r="AL115" s="233">
        <v>26</v>
      </c>
      <c r="AM115" s="233"/>
      <c r="AN115" s="233"/>
      <c r="AO115" s="233"/>
      <c r="AP115" s="233"/>
      <c r="AQ115" s="233"/>
      <c r="AR115" s="233"/>
      <c r="AS115" s="233"/>
      <c r="AT115" s="233"/>
      <c r="AU115" s="233"/>
      <c r="AV115" s="233"/>
      <c r="AW115" s="233"/>
      <c r="AX115" s="233"/>
      <c r="AY115" s="233"/>
      <c r="AZ115" s="233"/>
      <c r="BA115" s="233"/>
      <c r="BC115" s="82"/>
      <c r="BD115" s="82"/>
      <c r="BE115" s="82"/>
      <c r="BF115" s="82"/>
      <c r="BG115" s="82"/>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82"/>
    </row>
    <row r="116" spans="2:111" ht="9" customHeight="1">
      <c r="B116" s="242"/>
      <c r="C116" s="242"/>
      <c r="D116" s="242"/>
      <c r="E116" s="242"/>
      <c r="F116" s="242"/>
      <c r="G116" s="68"/>
      <c r="H116" s="229"/>
      <c r="I116" s="229"/>
      <c r="J116" s="229"/>
      <c r="K116" s="229"/>
      <c r="L116" s="229"/>
      <c r="M116" s="229"/>
      <c r="O116" s="233"/>
      <c r="P116" s="233"/>
      <c r="Q116" s="233"/>
      <c r="R116" s="233"/>
      <c r="S116" s="233"/>
      <c r="T116" s="233"/>
      <c r="U116" s="233"/>
      <c r="V116" s="233"/>
      <c r="W116" s="233"/>
      <c r="X116" s="233"/>
      <c r="Y116" s="233"/>
      <c r="Z116" s="233"/>
      <c r="AA116" s="233"/>
      <c r="AB116" s="233"/>
      <c r="AC116" s="233"/>
      <c r="AD116" s="233"/>
      <c r="AE116" s="229"/>
      <c r="AF116" s="229"/>
      <c r="AG116" s="229"/>
      <c r="AH116" s="229"/>
      <c r="AI116" s="229"/>
      <c r="AJ116" s="229"/>
      <c r="AK116" s="26"/>
      <c r="AL116" s="233"/>
      <c r="AM116" s="233"/>
      <c r="AN116" s="233"/>
      <c r="AO116" s="233"/>
      <c r="AP116" s="233"/>
      <c r="AQ116" s="233"/>
      <c r="AR116" s="233"/>
      <c r="AS116" s="233"/>
      <c r="AT116" s="233"/>
      <c r="AU116" s="233"/>
      <c r="AV116" s="233"/>
      <c r="AW116" s="233"/>
      <c r="AX116" s="233"/>
      <c r="AY116" s="233"/>
      <c r="AZ116" s="233"/>
      <c r="BA116" s="233"/>
      <c r="BC116" s="82"/>
      <c r="BD116" s="82"/>
      <c r="BE116" s="82"/>
      <c r="BF116" s="82"/>
      <c r="BG116" s="82"/>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82"/>
    </row>
    <row r="117" spans="2:111" ht="4.5" customHeight="1">
      <c r="O117" s="71"/>
      <c r="P117" s="71"/>
      <c r="Q117" s="71"/>
      <c r="R117" s="71"/>
      <c r="S117" s="71"/>
      <c r="T117" s="71"/>
      <c r="U117" s="71"/>
      <c r="V117" s="71"/>
      <c r="W117" s="71"/>
      <c r="X117" s="71"/>
      <c r="Y117" s="71"/>
      <c r="Z117" s="71"/>
      <c r="AA117" s="71"/>
      <c r="AB117" s="71"/>
      <c r="AC117" s="71"/>
      <c r="AD117" s="71"/>
      <c r="AE117" s="69"/>
      <c r="AF117" s="69"/>
      <c r="AG117" s="69"/>
      <c r="AH117" s="69"/>
      <c r="AI117" s="69"/>
      <c r="AJ117" s="69"/>
      <c r="AK117" s="69"/>
      <c r="AL117" s="71"/>
      <c r="AM117" s="71"/>
      <c r="AN117" s="71"/>
      <c r="AO117" s="71"/>
      <c r="AP117" s="71"/>
      <c r="AQ117" s="71"/>
      <c r="AR117" s="71"/>
      <c r="AS117" s="71"/>
      <c r="AT117" s="71"/>
      <c r="AU117" s="71"/>
      <c r="AV117" s="71"/>
      <c r="AW117" s="71"/>
      <c r="AX117" s="71"/>
      <c r="AY117" s="71"/>
      <c r="AZ117" s="71"/>
      <c r="BA117" s="71"/>
      <c r="BC117" s="82"/>
      <c r="BD117" s="82"/>
      <c r="BE117" s="82"/>
      <c r="BF117" s="82"/>
      <c r="BG117" s="82"/>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82"/>
    </row>
    <row r="118" spans="2:111" ht="9" customHeight="1">
      <c r="H118" s="229" t="str">
        <f>IF(B112&lt;&gt;"","Descrição:","")</f>
        <v>Descrição:</v>
      </c>
      <c r="I118" s="229"/>
      <c r="J118" s="229"/>
      <c r="K118" s="229"/>
      <c r="L118" s="229"/>
      <c r="M118" s="229"/>
      <c r="O118" s="233" t="s">
        <v>541</v>
      </c>
      <c r="P118" s="233"/>
      <c r="Q118" s="233"/>
      <c r="R118" s="233"/>
      <c r="S118" s="233"/>
      <c r="T118" s="233"/>
      <c r="U118" s="233"/>
      <c r="V118" s="233"/>
      <c r="W118" s="233"/>
      <c r="X118" s="233"/>
      <c r="Y118" s="233"/>
      <c r="Z118" s="233"/>
      <c r="AA118" s="233"/>
      <c r="AB118" s="233"/>
      <c r="AC118" s="233"/>
      <c r="AD118" s="233"/>
      <c r="AE118" s="229" t="str">
        <f>IF(B112&lt;&gt;"","Unid/Qtde:","")</f>
        <v>Unid/Qtde:</v>
      </c>
      <c r="AF118" s="229"/>
      <c r="AG118" s="229"/>
      <c r="AH118" s="229"/>
      <c r="AI118" s="229"/>
      <c r="AJ118" s="229"/>
      <c r="AK118" s="26"/>
      <c r="AL118" s="233">
        <v>1</v>
      </c>
      <c r="AM118" s="233"/>
      <c r="AN118" s="233"/>
      <c r="AO118" s="233"/>
      <c r="AP118" s="233"/>
      <c r="AQ118" s="233"/>
      <c r="AR118" s="233"/>
      <c r="AS118" s="233"/>
      <c r="AT118" s="233"/>
      <c r="AU118" s="233"/>
      <c r="AV118" s="233"/>
      <c r="AW118" s="233"/>
      <c r="AX118" s="233"/>
      <c r="AY118" s="233"/>
      <c r="AZ118" s="233"/>
      <c r="BA118" s="233"/>
      <c r="BC118" s="82"/>
      <c r="BD118" s="82"/>
      <c r="BE118" s="82"/>
      <c r="BF118" s="82"/>
      <c r="BG118" s="82"/>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82"/>
    </row>
    <row r="119" spans="2:111" ht="9" customHeight="1">
      <c r="H119" s="229"/>
      <c r="I119" s="229"/>
      <c r="J119" s="229"/>
      <c r="K119" s="229"/>
      <c r="L119" s="229"/>
      <c r="M119" s="229"/>
      <c r="O119" s="233"/>
      <c r="P119" s="233"/>
      <c r="Q119" s="233"/>
      <c r="R119" s="233"/>
      <c r="S119" s="233"/>
      <c r="T119" s="233"/>
      <c r="U119" s="233"/>
      <c r="V119" s="233"/>
      <c r="W119" s="233"/>
      <c r="X119" s="233"/>
      <c r="Y119" s="233"/>
      <c r="Z119" s="233"/>
      <c r="AA119" s="233"/>
      <c r="AB119" s="233"/>
      <c r="AC119" s="233"/>
      <c r="AD119" s="233"/>
      <c r="AE119" s="229"/>
      <c r="AF119" s="229"/>
      <c r="AG119" s="229"/>
      <c r="AH119" s="229"/>
      <c r="AI119" s="229"/>
      <c r="AJ119" s="229"/>
      <c r="AK119" s="26"/>
      <c r="AL119" s="233"/>
      <c r="AM119" s="233"/>
      <c r="AN119" s="233"/>
      <c r="AO119" s="233"/>
      <c r="AP119" s="233"/>
      <c r="AQ119" s="233"/>
      <c r="AR119" s="233"/>
      <c r="AS119" s="233"/>
      <c r="AT119" s="233"/>
      <c r="AU119" s="233"/>
      <c r="AV119" s="233"/>
      <c r="AW119" s="233"/>
      <c r="AX119" s="233"/>
      <c r="AY119" s="233"/>
      <c r="AZ119" s="233"/>
      <c r="BA119" s="233"/>
      <c r="BC119" s="82"/>
      <c r="BD119" s="82"/>
      <c r="BE119" s="82"/>
      <c r="BF119" s="82"/>
      <c r="BG119" s="82"/>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82"/>
    </row>
    <row r="120" spans="2:111" ht="4.5" customHeight="1">
      <c r="O120" s="71"/>
      <c r="P120" s="71"/>
      <c r="Q120" s="71"/>
      <c r="R120" s="71"/>
      <c r="S120" s="71"/>
      <c r="T120" s="71"/>
      <c r="U120" s="71"/>
      <c r="V120" s="71"/>
      <c r="W120" s="71"/>
      <c r="X120" s="71"/>
      <c r="Y120" s="71"/>
      <c r="Z120" s="71"/>
      <c r="AA120" s="71"/>
      <c r="AB120" s="71"/>
      <c r="AC120" s="71"/>
      <c r="AD120" s="71"/>
      <c r="AE120" s="69"/>
      <c r="AF120" s="69"/>
      <c r="AG120" s="69"/>
      <c r="AH120" s="69"/>
      <c r="AI120" s="69"/>
      <c r="AJ120" s="69"/>
      <c r="AK120" s="69"/>
      <c r="AL120" s="71"/>
      <c r="AM120" s="71"/>
      <c r="AN120" s="71"/>
      <c r="AO120" s="71"/>
      <c r="AP120" s="71"/>
      <c r="AQ120" s="71"/>
      <c r="AR120" s="71"/>
      <c r="AS120" s="71"/>
      <c r="AT120" s="71"/>
      <c r="AU120" s="71"/>
      <c r="AV120" s="71"/>
      <c r="AW120" s="71"/>
      <c r="AX120" s="71"/>
      <c r="AY120" s="71"/>
      <c r="AZ120" s="71"/>
      <c r="BA120" s="71"/>
      <c r="BC120" s="82"/>
      <c r="BD120" s="82"/>
      <c r="BE120" s="82"/>
      <c r="BF120" s="82"/>
      <c r="BG120" s="82"/>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82"/>
    </row>
    <row r="121" spans="2:111" ht="9" customHeight="1">
      <c r="H121" s="229" t="str">
        <f>IF(B112&lt;&gt;"","Descrição:","")</f>
        <v>Descrição:</v>
      </c>
      <c r="I121" s="229"/>
      <c r="J121" s="229"/>
      <c r="K121" s="229"/>
      <c r="L121" s="229"/>
      <c r="M121" s="229"/>
      <c r="O121" s="233" t="s">
        <v>542</v>
      </c>
      <c r="P121" s="233"/>
      <c r="Q121" s="233"/>
      <c r="R121" s="233"/>
      <c r="S121" s="233"/>
      <c r="T121" s="233"/>
      <c r="U121" s="233"/>
      <c r="V121" s="233"/>
      <c r="W121" s="233"/>
      <c r="X121" s="233"/>
      <c r="Y121" s="233"/>
      <c r="Z121" s="233"/>
      <c r="AA121" s="233"/>
      <c r="AB121" s="233"/>
      <c r="AC121" s="233"/>
      <c r="AD121" s="233"/>
      <c r="AE121" s="229" t="str">
        <f>IF(B112&lt;&gt;"","Unid/Qtde:","")</f>
        <v>Unid/Qtde:</v>
      </c>
      <c r="AF121" s="229"/>
      <c r="AG121" s="229"/>
      <c r="AH121" s="229"/>
      <c r="AI121" s="229"/>
      <c r="AJ121" s="229"/>
      <c r="AK121" s="26"/>
      <c r="AL121" s="233">
        <v>1</v>
      </c>
      <c r="AM121" s="233"/>
      <c r="AN121" s="233"/>
      <c r="AO121" s="233"/>
      <c r="AP121" s="233"/>
      <c r="AQ121" s="233"/>
      <c r="AR121" s="233"/>
      <c r="AS121" s="233"/>
      <c r="AT121" s="233"/>
      <c r="AU121" s="233"/>
      <c r="AV121" s="233"/>
      <c r="AW121" s="233"/>
      <c r="AX121" s="233"/>
      <c r="AY121" s="233"/>
      <c r="AZ121" s="233"/>
      <c r="BA121" s="233"/>
      <c r="BC121" s="82"/>
      <c r="BD121" s="82"/>
      <c r="BE121" s="82"/>
      <c r="BF121" s="82"/>
      <c r="BG121" s="82"/>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82"/>
    </row>
    <row r="122" spans="2:111" ht="9" customHeight="1">
      <c r="H122" s="229"/>
      <c r="I122" s="229"/>
      <c r="J122" s="229"/>
      <c r="K122" s="229"/>
      <c r="L122" s="229"/>
      <c r="M122" s="229"/>
      <c r="O122" s="233"/>
      <c r="P122" s="233"/>
      <c r="Q122" s="233"/>
      <c r="R122" s="233"/>
      <c r="S122" s="233"/>
      <c r="T122" s="233"/>
      <c r="U122" s="233"/>
      <c r="V122" s="233"/>
      <c r="W122" s="233"/>
      <c r="X122" s="233"/>
      <c r="Y122" s="233"/>
      <c r="Z122" s="233"/>
      <c r="AA122" s="233"/>
      <c r="AB122" s="233"/>
      <c r="AC122" s="233"/>
      <c r="AD122" s="233"/>
      <c r="AE122" s="229"/>
      <c r="AF122" s="229"/>
      <c r="AG122" s="229"/>
      <c r="AH122" s="229"/>
      <c r="AI122" s="229"/>
      <c r="AJ122" s="229"/>
      <c r="AK122" s="26"/>
      <c r="AL122" s="233"/>
      <c r="AM122" s="233"/>
      <c r="AN122" s="233"/>
      <c r="AO122" s="233"/>
      <c r="AP122" s="233"/>
      <c r="AQ122" s="233"/>
      <c r="AR122" s="233"/>
      <c r="AS122" s="233"/>
      <c r="AT122" s="233"/>
      <c r="AU122" s="233"/>
      <c r="AV122" s="233"/>
      <c r="AW122" s="233"/>
      <c r="AX122" s="233"/>
      <c r="AY122" s="233"/>
      <c r="AZ122" s="233"/>
      <c r="BA122" s="233"/>
      <c r="BC122" s="82"/>
      <c r="BD122" s="82"/>
      <c r="BE122" s="82"/>
      <c r="BF122" s="82"/>
      <c r="BG122" s="82"/>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82"/>
    </row>
    <row r="123" spans="2:111" ht="4.5" customHeight="1">
      <c r="BC123" s="82"/>
      <c r="BD123" s="82"/>
      <c r="BE123" s="82"/>
      <c r="BF123" s="82"/>
      <c r="BG123" s="82"/>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82"/>
    </row>
    <row r="124" spans="2:111" ht="9" customHeight="1">
      <c r="B124" s="396" t="str">
        <f>IF('(I) Plano de Trabalho'!$U$629&gt;=5,"Etapa 1.5","")</f>
        <v>Etapa 1.5</v>
      </c>
      <c r="C124" s="396"/>
      <c r="D124" s="396"/>
      <c r="E124" s="396"/>
      <c r="F124" s="396"/>
      <c r="G124" s="396"/>
      <c r="H124" s="394" t="str">
        <f>IF('(I) Plano de Trabalho'!$I$725="","",'(I) Plano de Trabalho'!$I$725)</f>
        <v>Interoperabilidade da plataforma com o sistemas externos, através de integrações como SICOMEX, SISCOMEX Remessa e SISGEN.</v>
      </c>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BC124" s="82"/>
      <c r="BD124" s="82"/>
      <c r="BE124" s="82"/>
      <c r="BF124" s="82"/>
      <c r="BG124" s="82"/>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82"/>
    </row>
    <row r="125" spans="2:111" ht="9" customHeight="1">
      <c r="B125" s="396"/>
      <c r="C125" s="396"/>
      <c r="D125" s="396"/>
      <c r="E125" s="396"/>
      <c r="F125" s="396"/>
      <c r="G125" s="396"/>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BC125" s="82"/>
      <c r="BD125" s="82"/>
      <c r="BE125" s="82"/>
      <c r="BF125" s="82"/>
      <c r="BG125" s="82"/>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82"/>
    </row>
    <row r="126" spans="2:111" ht="4.5" customHeight="1">
      <c r="BC126" s="82"/>
      <c r="BD126" s="82"/>
      <c r="BE126" s="82"/>
      <c r="BF126" s="82"/>
      <c r="BG126" s="82"/>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82"/>
    </row>
    <row r="127" spans="2:111" ht="9" customHeight="1">
      <c r="B127" s="242" t="str">
        <f>IF(B124="","","Indicador:")</f>
        <v>Indicador:</v>
      </c>
      <c r="C127" s="242"/>
      <c r="D127" s="242"/>
      <c r="E127" s="242"/>
      <c r="F127" s="242"/>
      <c r="G127" s="68"/>
      <c r="H127" s="229" t="str">
        <f>IF(B124&lt;&gt;"","Descrição:","")</f>
        <v>Descrição:</v>
      </c>
      <c r="I127" s="229"/>
      <c r="J127" s="229"/>
      <c r="K127" s="229"/>
      <c r="L127" s="229"/>
      <c r="M127" s="229"/>
      <c r="O127" s="233" t="s">
        <v>538</v>
      </c>
      <c r="P127" s="233"/>
      <c r="Q127" s="233"/>
      <c r="R127" s="233"/>
      <c r="S127" s="233"/>
      <c r="T127" s="233"/>
      <c r="U127" s="233"/>
      <c r="V127" s="233"/>
      <c r="W127" s="233"/>
      <c r="X127" s="233"/>
      <c r="Y127" s="233"/>
      <c r="Z127" s="233"/>
      <c r="AA127" s="233"/>
      <c r="AB127" s="233"/>
      <c r="AC127" s="233"/>
      <c r="AD127" s="233"/>
      <c r="AE127" s="229" t="str">
        <f>IF(B124&lt;&gt;"","Unid/Qtde:","")</f>
        <v>Unid/Qtde:</v>
      </c>
      <c r="AF127" s="229"/>
      <c r="AG127" s="229"/>
      <c r="AH127" s="229"/>
      <c r="AI127" s="229"/>
      <c r="AJ127" s="229"/>
      <c r="AK127" s="26"/>
      <c r="AL127" s="233">
        <v>14</v>
      </c>
      <c r="AM127" s="233"/>
      <c r="AN127" s="233"/>
      <c r="AO127" s="233"/>
      <c r="AP127" s="233"/>
      <c r="AQ127" s="233"/>
      <c r="AR127" s="233"/>
      <c r="AS127" s="233"/>
      <c r="AT127" s="233"/>
      <c r="AU127" s="233"/>
      <c r="AV127" s="233"/>
      <c r="AW127" s="233"/>
      <c r="AX127" s="233"/>
      <c r="AY127" s="233"/>
      <c r="AZ127" s="233"/>
      <c r="BA127" s="233"/>
      <c r="BC127" s="82"/>
      <c r="BD127" s="82"/>
      <c r="BE127" s="82"/>
      <c r="BF127" s="82"/>
      <c r="BG127" s="82"/>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82"/>
    </row>
    <row r="128" spans="2:111" ht="9" customHeight="1">
      <c r="B128" s="242"/>
      <c r="C128" s="242"/>
      <c r="D128" s="242"/>
      <c r="E128" s="242"/>
      <c r="F128" s="242"/>
      <c r="G128" s="68"/>
      <c r="H128" s="229"/>
      <c r="I128" s="229"/>
      <c r="J128" s="229"/>
      <c r="K128" s="229"/>
      <c r="L128" s="229"/>
      <c r="M128" s="229"/>
      <c r="O128" s="233"/>
      <c r="P128" s="233"/>
      <c r="Q128" s="233"/>
      <c r="R128" s="233"/>
      <c r="S128" s="233"/>
      <c r="T128" s="233"/>
      <c r="U128" s="233"/>
      <c r="V128" s="233"/>
      <c r="W128" s="233"/>
      <c r="X128" s="233"/>
      <c r="Y128" s="233"/>
      <c r="Z128" s="233"/>
      <c r="AA128" s="233"/>
      <c r="AB128" s="233"/>
      <c r="AC128" s="233"/>
      <c r="AD128" s="233"/>
      <c r="AE128" s="229"/>
      <c r="AF128" s="229"/>
      <c r="AG128" s="229"/>
      <c r="AH128" s="229"/>
      <c r="AI128" s="229"/>
      <c r="AJ128" s="229"/>
      <c r="AK128" s="26"/>
      <c r="AL128" s="233"/>
      <c r="AM128" s="233"/>
      <c r="AN128" s="233"/>
      <c r="AO128" s="233"/>
      <c r="AP128" s="233"/>
      <c r="AQ128" s="233"/>
      <c r="AR128" s="233"/>
      <c r="AS128" s="233"/>
      <c r="AT128" s="233"/>
      <c r="AU128" s="233"/>
      <c r="AV128" s="233"/>
      <c r="AW128" s="233"/>
      <c r="AX128" s="233"/>
      <c r="AY128" s="233"/>
      <c r="AZ128" s="233"/>
      <c r="BA128" s="233"/>
      <c r="BC128" s="82"/>
      <c r="BD128" s="82"/>
      <c r="BE128" s="82"/>
      <c r="BF128" s="82"/>
      <c r="BG128" s="82"/>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82"/>
    </row>
    <row r="129" spans="2:111" ht="4.5" customHeight="1">
      <c r="O129" s="71"/>
      <c r="P129" s="71"/>
      <c r="Q129" s="71"/>
      <c r="R129" s="71"/>
      <c r="S129" s="71"/>
      <c r="T129" s="71"/>
      <c r="U129" s="71"/>
      <c r="V129" s="71"/>
      <c r="W129" s="71"/>
      <c r="X129" s="71"/>
      <c r="Y129" s="71"/>
      <c r="Z129" s="71"/>
      <c r="AA129" s="71"/>
      <c r="AB129" s="71"/>
      <c r="AC129" s="71"/>
      <c r="AD129" s="71"/>
      <c r="AE129" s="69"/>
      <c r="AF129" s="69"/>
      <c r="AG129" s="69"/>
      <c r="AH129" s="69"/>
      <c r="AI129" s="69"/>
      <c r="AJ129" s="69"/>
      <c r="AK129" s="69"/>
      <c r="AL129" s="71"/>
      <c r="AM129" s="71"/>
      <c r="AN129" s="71"/>
      <c r="AO129" s="71"/>
      <c r="AP129" s="71"/>
      <c r="AQ129" s="71"/>
      <c r="AR129" s="71"/>
      <c r="AS129" s="71"/>
      <c r="AT129" s="71"/>
      <c r="AU129" s="71"/>
      <c r="AV129" s="71"/>
      <c r="AW129" s="71"/>
      <c r="AX129" s="71"/>
      <c r="AY129" s="71"/>
      <c r="AZ129" s="71"/>
      <c r="BA129" s="71"/>
      <c r="BC129" s="82"/>
      <c r="BD129" s="82"/>
      <c r="BE129" s="82"/>
      <c r="BF129" s="82"/>
      <c r="BG129" s="82"/>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2"/>
    </row>
    <row r="130" spans="2:111" ht="9" customHeight="1">
      <c r="H130" s="229" t="str">
        <f>IF(B124&lt;&gt;"","Descrição:","")</f>
        <v>Descrição:</v>
      </c>
      <c r="I130" s="229"/>
      <c r="J130" s="229"/>
      <c r="K130" s="229"/>
      <c r="L130" s="229"/>
      <c r="M130" s="229"/>
      <c r="O130" s="233" t="s">
        <v>543</v>
      </c>
      <c r="P130" s="233"/>
      <c r="Q130" s="233"/>
      <c r="R130" s="233"/>
      <c r="S130" s="233"/>
      <c r="T130" s="233"/>
      <c r="U130" s="233"/>
      <c r="V130" s="233"/>
      <c r="W130" s="233"/>
      <c r="X130" s="233"/>
      <c r="Y130" s="233"/>
      <c r="Z130" s="233"/>
      <c r="AA130" s="233"/>
      <c r="AB130" s="233"/>
      <c r="AC130" s="233"/>
      <c r="AD130" s="233"/>
      <c r="AE130" s="229" t="str">
        <f>IF(B124&lt;&gt;"","Unid/Qtde:","")</f>
        <v>Unid/Qtde:</v>
      </c>
      <c r="AF130" s="229"/>
      <c r="AG130" s="229"/>
      <c r="AH130" s="229"/>
      <c r="AI130" s="229"/>
      <c r="AJ130" s="229"/>
      <c r="AK130" s="26"/>
      <c r="AL130" s="233">
        <v>1</v>
      </c>
      <c r="AM130" s="233"/>
      <c r="AN130" s="233"/>
      <c r="AO130" s="233"/>
      <c r="AP130" s="233"/>
      <c r="AQ130" s="233"/>
      <c r="AR130" s="233"/>
      <c r="AS130" s="233"/>
      <c r="AT130" s="233"/>
      <c r="AU130" s="233"/>
      <c r="AV130" s="233"/>
      <c r="AW130" s="233"/>
      <c r="AX130" s="233"/>
      <c r="AY130" s="233"/>
      <c r="AZ130" s="233"/>
      <c r="BA130" s="233"/>
      <c r="BC130" s="82"/>
      <c r="BD130" s="82"/>
      <c r="BE130" s="82"/>
      <c r="BF130" s="82"/>
      <c r="BG130" s="82"/>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2"/>
    </row>
    <row r="131" spans="2:111" ht="9" customHeight="1">
      <c r="H131" s="229"/>
      <c r="I131" s="229"/>
      <c r="J131" s="229"/>
      <c r="K131" s="229"/>
      <c r="L131" s="229"/>
      <c r="M131" s="229"/>
      <c r="O131" s="233"/>
      <c r="P131" s="233"/>
      <c r="Q131" s="233"/>
      <c r="R131" s="233"/>
      <c r="S131" s="233"/>
      <c r="T131" s="233"/>
      <c r="U131" s="233"/>
      <c r="V131" s="233"/>
      <c r="W131" s="233"/>
      <c r="X131" s="233"/>
      <c r="Y131" s="233"/>
      <c r="Z131" s="233"/>
      <c r="AA131" s="233"/>
      <c r="AB131" s="233"/>
      <c r="AC131" s="233"/>
      <c r="AD131" s="233"/>
      <c r="AE131" s="229"/>
      <c r="AF131" s="229"/>
      <c r="AG131" s="229"/>
      <c r="AH131" s="229"/>
      <c r="AI131" s="229"/>
      <c r="AJ131" s="229"/>
      <c r="AK131" s="26"/>
      <c r="AL131" s="233"/>
      <c r="AM131" s="233"/>
      <c r="AN131" s="233"/>
      <c r="AO131" s="233"/>
      <c r="AP131" s="233"/>
      <c r="AQ131" s="233"/>
      <c r="AR131" s="233"/>
      <c r="AS131" s="233"/>
      <c r="AT131" s="233"/>
      <c r="AU131" s="233"/>
      <c r="AV131" s="233"/>
      <c r="AW131" s="233"/>
      <c r="AX131" s="233"/>
      <c r="AY131" s="233"/>
      <c r="AZ131" s="233"/>
      <c r="BA131" s="233"/>
      <c r="BC131" s="82"/>
      <c r="BD131" s="82"/>
      <c r="BE131" s="82"/>
      <c r="BF131" s="82"/>
      <c r="BG131" s="82"/>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82"/>
    </row>
    <row r="132" spans="2:111" ht="4.5" customHeight="1">
      <c r="O132" s="71"/>
      <c r="P132" s="71"/>
      <c r="Q132" s="71"/>
      <c r="R132" s="71"/>
      <c r="S132" s="71"/>
      <c r="T132" s="71"/>
      <c r="U132" s="71"/>
      <c r="V132" s="71"/>
      <c r="W132" s="71"/>
      <c r="X132" s="71"/>
      <c r="Y132" s="71"/>
      <c r="Z132" s="71"/>
      <c r="AA132" s="71"/>
      <c r="AB132" s="71"/>
      <c r="AC132" s="71"/>
      <c r="AD132" s="71"/>
      <c r="AE132" s="69"/>
      <c r="AF132" s="69"/>
      <c r="AG132" s="69"/>
      <c r="AH132" s="69"/>
      <c r="AI132" s="69"/>
      <c r="AJ132" s="69"/>
      <c r="AK132" s="69"/>
      <c r="AL132" s="71"/>
      <c r="AM132" s="71"/>
      <c r="AN132" s="71"/>
      <c r="AO132" s="71"/>
      <c r="AP132" s="71"/>
      <c r="AQ132" s="71"/>
      <c r="AR132" s="71"/>
      <c r="AS132" s="71"/>
      <c r="AT132" s="71"/>
      <c r="AU132" s="71"/>
      <c r="AV132" s="71"/>
      <c r="AW132" s="71"/>
      <c r="AX132" s="71"/>
      <c r="AY132" s="71"/>
      <c r="AZ132" s="71"/>
      <c r="BA132" s="71"/>
      <c r="BC132" s="82"/>
      <c r="BD132" s="82"/>
      <c r="BE132" s="82"/>
      <c r="BF132" s="82"/>
      <c r="BG132" s="82"/>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82"/>
    </row>
    <row r="133" spans="2:111" ht="9" customHeight="1">
      <c r="H133" s="229" t="str">
        <f>IF(B124&lt;&gt;"","Descrição:","")</f>
        <v>Descrição:</v>
      </c>
      <c r="I133" s="229"/>
      <c r="J133" s="229"/>
      <c r="K133" s="229"/>
      <c r="L133" s="229"/>
      <c r="M133" s="229"/>
      <c r="O133" s="233" t="s">
        <v>544</v>
      </c>
      <c r="P133" s="233"/>
      <c r="Q133" s="233"/>
      <c r="R133" s="233"/>
      <c r="S133" s="233"/>
      <c r="T133" s="233"/>
      <c r="U133" s="233"/>
      <c r="V133" s="233"/>
      <c r="W133" s="233"/>
      <c r="X133" s="233"/>
      <c r="Y133" s="233"/>
      <c r="Z133" s="233"/>
      <c r="AA133" s="233"/>
      <c r="AB133" s="233"/>
      <c r="AC133" s="233"/>
      <c r="AD133" s="233"/>
      <c r="AE133" s="229" t="str">
        <f>IF(B124&lt;&gt;"","Unid/Qtde:","")</f>
        <v>Unid/Qtde:</v>
      </c>
      <c r="AF133" s="229"/>
      <c r="AG133" s="229"/>
      <c r="AH133" s="229"/>
      <c r="AI133" s="229"/>
      <c r="AJ133" s="229"/>
      <c r="AK133" s="26"/>
      <c r="AL133" s="233"/>
      <c r="AM133" s="233"/>
      <c r="AN133" s="233"/>
      <c r="AO133" s="233"/>
      <c r="AP133" s="233"/>
      <c r="AQ133" s="233"/>
      <c r="AR133" s="233"/>
      <c r="AS133" s="233"/>
      <c r="AT133" s="233"/>
      <c r="AU133" s="233"/>
      <c r="AV133" s="233"/>
      <c r="AW133" s="233"/>
      <c r="AX133" s="233"/>
      <c r="AY133" s="233"/>
      <c r="AZ133" s="233"/>
      <c r="BA133" s="233"/>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row>
    <row r="134" spans="2:111" ht="9" customHeight="1">
      <c r="H134" s="229"/>
      <c r="I134" s="229"/>
      <c r="J134" s="229"/>
      <c r="K134" s="229"/>
      <c r="L134" s="229"/>
      <c r="M134" s="229"/>
      <c r="O134" s="233"/>
      <c r="P134" s="233"/>
      <c r="Q134" s="233"/>
      <c r="R134" s="233"/>
      <c r="S134" s="233"/>
      <c r="T134" s="233"/>
      <c r="U134" s="233"/>
      <c r="V134" s="233"/>
      <c r="W134" s="233"/>
      <c r="X134" s="233"/>
      <c r="Y134" s="233"/>
      <c r="Z134" s="233"/>
      <c r="AA134" s="233"/>
      <c r="AB134" s="233"/>
      <c r="AC134" s="233"/>
      <c r="AD134" s="233"/>
      <c r="AE134" s="229"/>
      <c r="AF134" s="229"/>
      <c r="AG134" s="229"/>
      <c r="AH134" s="229"/>
      <c r="AI134" s="229"/>
      <c r="AJ134" s="229"/>
      <c r="AK134" s="26"/>
      <c r="AL134" s="233"/>
      <c r="AM134" s="233"/>
      <c r="AN134" s="233"/>
      <c r="AO134" s="233"/>
      <c r="AP134" s="233"/>
      <c r="AQ134" s="233"/>
      <c r="AR134" s="233"/>
      <c r="AS134" s="233"/>
      <c r="AT134" s="233"/>
      <c r="AU134" s="233"/>
      <c r="AV134" s="233"/>
      <c r="AW134" s="233"/>
      <c r="AX134" s="233"/>
      <c r="AY134" s="233"/>
      <c r="AZ134" s="233"/>
      <c r="BA134" s="233"/>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row>
    <row r="135" spans="2:111" ht="15" customHeight="1">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row>
    <row r="136" spans="2:111" ht="9" customHeight="1">
      <c r="B136" s="395" t="str">
        <f>IF('(I) Plano de Trabalho'!$U$623&gt;=2,"Meta 2","")</f>
        <v>Meta 2</v>
      </c>
      <c r="C136" s="395"/>
      <c r="D136" s="395"/>
      <c r="E136" s="395"/>
      <c r="F136" s="395"/>
      <c r="G136" s="395"/>
      <c r="H136" s="394" t="str">
        <f>IF('(I) Plano de Trabalho'!$I$749="","",'(I) Plano de Trabalho'!$I$749)</f>
        <v>Desenvolver e implementar aplicações de gerenciamento e integração de dados para o aprimoramento das ações de inteligência no controle e fiscalização da cadeia produtiva</v>
      </c>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row>
    <row r="137" spans="2:111" ht="9" customHeight="1">
      <c r="B137" s="395"/>
      <c r="C137" s="395"/>
      <c r="D137" s="395"/>
      <c r="E137" s="395"/>
      <c r="F137" s="395"/>
      <c r="G137" s="395"/>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c r="AI137" s="394"/>
      <c r="AJ137" s="394"/>
      <c r="AK137" s="394"/>
      <c r="AL137" s="394"/>
      <c r="AM137" s="394"/>
      <c r="AN137" s="394"/>
      <c r="AO137" s="394"/>
      <c r="AP137" s="394"/>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row>
    <row r="138" spans="2:111" ht="4.5" customHeight="1">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row>
    <row r="139" spans="2:111" ht="9" customHeight="1">
      <c r="B139" s="396" t="str">
        <f>IF('(I) Plano de Trabalho'!$U$752&gt;=1,"Etapa 2.1","")</f>
        <v>Etapa 2.1</v>
      </c>
      <c r="C139" s="396"/>
      <c r="D139" s="396"/>
      <c r="E139" s="396"/>
      <c r="F139" s="396"/>
      <c r="G139" s="396"/>
      <c r="H139" s="394" t="str">
        <f>IF('(I) Plano de Trabalho'!$I$755="","",'(I) Plano de Trabalho'!$I$755)</f>
        <v>Desenvolvimento e implantação de aplicação de compilação e análise de dados (Business Intelligence)</v>
      </c>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row>
    <row r="140" spans="2:111" ht="9" customHeight="1">
      <c r="B140" s="396"/>
      <c r="C140" s="396"/>
      <c r="D140" s="396"/>
      <c r="E140" s="396"/>
      <c r="F140" s="396"/>
      <c r="G140" s="396"/>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c r="AI140" s="394"/>
      <c r="AJ140" s="394"/>
      <c r="AK140" s="394"/>
      <c r="AL140" s="394"/>
      <c r="AM140" s="394"/>
      <c r="AN140" s="394"/>
      <c r="AO140" s="394"/>
      <c r="AP140" s="394"/>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row>
    <row r="141" spans="2:111" ht="4.5" customHeight="1">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row>
    <row r="142" spans="2:111" ht="9" customHeight="1">
      <c r="B142" s="242" t="str">
        <f>IF(B139="","","Indicador:")</f>
        <v>Indicador:</v>
      </c>
      <c r="C142" s="242"/>
      <c r="D142" s="242"/>
      <c r="E142" s="242"/>
      <c r="F142" s="242"/>
      <c r="G142" s="68"/>
      <c r="H142" s="229" t="str">
        <f>IF(B139&lt;&gt;"","Descrição:","")</f>
        <v>Descrição:</v>
      </c>
      <c r="I142" s="229"/>
      <c r="J142" s="229"/>
      <c r="K142" s="229"/>
      <c r="L142" s="229"/>
      <c r="M142" s="229"/>
      <c r="O142" s="233" t="s">
        <v>548</v>
      </c>
      <c r="P142" s="233"/>
      <c r="Q142" s="233"/>
      <c r="R142" s="233"/>
      <c r="S142" s="233"/>
      <c r="T142" s="233"/>
      <c r="U142" s="233"/>
      <c r="V142" s="233"/>
      <c r="W142" s="233"/>
      <c r="X142" s="233"/>
      <c r="Y142" s="233"/>
      <c r="Z142" s="233"/>
      <c r="AA142" s="233"/>
      <c r="AB142" s="233"/>
      <c r="AC142" s="233"/>
      <c r="AD142" s="233"/>
      <c r="AE142" s="229" t="str">
        <f>IF(B139&lt;&gt;"","Unid/Qtde:","")</f>
        <v>Unid/Qtde:</v>
      </c>
      <c r="AF142" s="229"/>
      <c r="AG142" s="229"/>
      <c r="AH142" s="229"/>
      <c r="AI142" s="229"/>
      <c r="AJ142" s="229"/>
      <c r="AK142" s="26"/>
      <c r="AL142" s="233">
        <v>1</v>
      </c>
      <c r="AM142" s="233"/>
      <c r="AN142" s="233"/>
      <c r="AO142" s="233"/>
      <c r="AP142" s="233"/>
      <c r="AQ142" s="233"/>
      <c r="AR142" s="233"/>
      <c r="AS142" s="233"/>
      <c r="AT142" s="233"/>
      <c r="AU142" s="233"/>
      <c r="AV142" s="233"/>
      <c r="AW142" s="233"/>
      <c r="AX142" s="233"/>
      <c r="AY142" s="233"/>
      <c r="AZ142" s="233"/>
      <c r="BA142" s="233"/>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row>
    <row r="143" spans="2:111" ht="9" customHeight="1">
      <c r="B143" s="242"/>
      <c r="C143" s="242"/>
      <c r="D143" s="242"/>
      <c r="E143" s="242"/>
      <c r="F143" s="242"/>
      <c r="G143" s="68"/>
      <c r="H143" s="229"/>
      <c r="I143" s="229"/>
      <c r="J143" s="229"/>
      <c r="K143" s="229"/>
      <c r="L143" s="229"/>
      <c r="M143" s="229"/>
      <c r="O143" s="233"/>
      <c r="P143" s="233"/>
      <c r="Q143" s="233"/>
      <c r="R143" s="233"/>
      <c r="S143" s="233"/>
      <c r="T143" s="233"/>
      <c r="U143" s="233"/>
      <c r="V143" s="233"/>
      <c r="W143" s="233"/>
      <c r="X143" s="233"/>
      <c r="Y143" s="233"/>
      <c r="Z143" s="233"/>
      <c r="AA143" s="233"/>
      <c r="AB143" s="233"/>
      <c r="AC143" s="233"/>
      <c r="AD143" s="233"/>
      <c r="AE143" s="229"/>
      <c r="AF143" s="229"/>
      <c r="AG143" s="229"/>
      <c r="AH143" s="229"/>
      <c r="AI143" s="229"/>
      <c r="AJ143" s="229"/>
      <c r="AK143" s="26"/>
      <c r="AL143" s="233"/>
      <c r="AM143" s="233"/>
      <c r="AN143" s="233"/>
      <c r="AO143" s="233"/>
      <c r="AP143" s="233"/>
      <c r="AQ143" s="233"/>
      <c r="AR143" s="233"/>
      <c r="AS143" s="233"/>
      <c r="AT143" s="233"/>
      <c r="AU143" s="233"/>
      <c r="AV143" s="233"/>
      <c r="AW143" s="233"/>
      <c r="AX143" s="233"/>
      <c r="AY143" s="233"/>
      <c r="AZ143" s="233"/>
      <c r="BA143" s="233"/>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row>
    <row r="144" spans="2:111" ht="4.5" customHeight="1">
      <c r="O144" s="70"/>
      <c r="P144" s="70"/>
      <c r="Q144" s="70"/>
      <c r="R144" s="70"/>
      <c r="S144" s="70"/>
      <c r="T144" s="70"/>
      <c r="U144" s="70"/>
      <c r="V144" s="70"/>
      <c r="W144" s="70"/>
      <c r="X144" s="70"/>
      <c r="Y144" s="70"/>
      <c r="Z144" s="70"/>
      <c r="AA144" s="70"/>
      <c r="AB144" s="70"/>
      <c r="AC144" s="70"/>
      <c r="AD144" s="70"/>
      <c r="AE144" s="69"/>
      <c r="AF144" s="69"/>
      <c r="AG144" s="69"/>
      <c r="AH144" s="69"/>
      <c r="AI144" s="69"/>
      <c r="AJ144" s="69"/>
      <c r="AK144" s="69"/>
      <c r="AL144" s="70"/>
      <c r="AM144" s="70"/>
      <c r="AN144" s="70"/>
      <c r="AO144" s="70"/>
      <c r="AP144" s="70"/>
      <c r="AQ144" s="70"/>
      <c r="AR144" s="70"/>
      <c r="AS144" s="70"/>
      <c r="AT144" s="70"/>
      <c r="AU144" s="70"/>
      <c r="AV144" s="70"/>
      <c r="AW144" s="70"/>
      <c r="AX144" s="70"/>
      <c r="AY144" s="70"/>
      <c r="AZ144" s="70"/>
      <c r="BA144" s="70"/>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row>
    <row r="145" spans="2:111" ht="9" customHeight="1">
      <c r="H145" s="229" t="str">
        <f>IF(B139&lt;&gt;"","Descrição:","")</f>
        <v>Descrição:</v>
      </c>
      <c r="I145" s="229"/>
      <c r="J145" s="229"/>
      <c r="K145" s="229"/>
      <c r="L145" s="229"/>
      <c r="M145" s="229"/>
      <c r="O145" s="233" t="s">
        <v>545</v>
      </c>
      <c r="P145" s="233"/>
      <c r="Q145" s="233"/>
      <c r="R145" s="233"/>
      <c r="S145" s="233"/>
      <c r="T145" s="233"/>
      <c r="U145" s="233"/>
      <c r="V145" s="233"/>
      <c r="W145" s="233"/>
      <c r="X145" s="233"/>
      <c r="Y145" s="233"/>
      <c r="Z145" s="233"/>
      <c r="AA145" s="233"/>
      <c r="AB145" s="233"/>
      <c r="AC145" s="233"/>
      <c r="AD145" s="233"/>
      <c r="AE145" s="229" t="str">
        <f>IF(B139&lt;&gt;"","Unid/Qtde:","")</f>
        <v>Unid/Qtde:</v>
      </c>
      <c r="AF145" s="229"/>
      <c r="AG145" s="229"/>
      <c r="AH145" s="229"/>
      <c r="AI145" s="229"/>
      <c r="AJ145" s="229"/>
      <c r="AK145" s="26"/>
      <c r="AL145" s="233">
        <v>16</v>
      </c>
      <c r="AM145" s="233"/>
      <c r="AN145" s="233"/>
      <c r="AO145" s="233"/>
      <c r="AP145" s="233"/>
      <c r="AQ145" s="233"/>
      <c r="AR145" s="233"/>
      <c r="AS145" s="233"/>
      <c r="AT145" s="233"/>
      <c r="AU145" s="233"/>
      <c r="AV145" s="233"/>
      <c r="AW145" s="233"/>
      <c r="AX145" s="233"/>
      <c r="AY145" s="233"/>
      <c r="AZ145" s="233"/>
      <c r="BA145" s="233"/>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row>
    <row r="146" spans="2:111" ht="9" customHeight="1">
      <c r="H146" s="229"/>
      <c r="I146" s="229"/>
      <c r="J146" s="229"/>
      <c r="K146" s="229"/>
      <c r="L146" s="229"/>
      <c r="M146" s="229"/>
      <c r="O146" s="233"/>
      <c r="P146" s="233"/>
      <c r="Q146" s="233"/>
      <c r="R146" s="233"/>
      <c r="S146" s="233"/>
      <c r="T146" s="233"/>
      <c r="U146" s="233"/>
      <c r="V146" s="233"/>
      <c r="W146" s="233"/>
      <c r="X146" s="233"/>
      <c r="Y146" s="233"/>
      <c r="Z146" s="233"/>
      <c r="AA146" s="233"/>
      <c r="AB146" s="233"/>
      <c r="AC146" s="233"/>
      <c r="AD146" s="233"/>
      <c r="AE146" s="229"/>
      <c r="AF146" s="229"/>
      <c r="AG146" s="229"/>
      <c r="AH146" s="229"/>
      <c r="AI146" s="229"/>
      <c r="AJ146" s="229"/>
      <c r="AK146" s="26"/>
      <c r="AL146" s="233"/>
      <c r="AM146" s="233"/>
      <c r="AN146" s="233"/>
      <c r="AO146" s="233"/>
      <c r="AP146" s="233"/>
      <c r="AQ146" s="233"/>
      <c r="AR146" s="233"/>
      <c r="AS146" s="233"/>
      <c r="AT146" s="233"/>
      <c r="AU146" s="233"/>
      <c r="AV146" s="233"/>
      <c r="AW146" s="233"/>
      <c r="AX146" s="233"/>
      <c r="AY146" s="233"/>
      <c r="AZ146" s="233"/>
      <c r="BA146" s="233"/>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row>
    <row r="147" spans="2:111" ht="4.5" customHeight="1">
      <c r="O147" s="70"/>
      <c r="P147" s="70"/>
      <c r="Q147" s="70"/>
      <c r="R147" s="70"/>
      <c r="S147" s="70"/>
      <c r="T147" s="70"/>
      <c r="U147" s="70"/>
      <c r="V147" s="70"/>
      <c r="W147" s="70"/>
      <c r="X147" s="70"/>
      <c r="Y147" s="70"/>
      <c r="Z147" s="70"/>
      <c r="AA147" s="70"/>
      <c r="AB147" s="70"/>
      <c r="AC147" s="70"/>
      <c r="AD147" s="70"/>
      <c r="AE147" s="69"/>
      <c r="AF147" s="69"/>
      <c r="AG147" s="69"/>
      <c r="AH147" s="69"/>
      <c r="AI147" s="69"/>
      <c r="AJ147" s="69"/>
      <c r="AK147" s="69"/>
      <c r="AL147" s="70"/>
      <c r="AM147" s="70"/>
      <c r="AN147" s="70"/>
      <c r="AO147" s="70"/>
      <c r="AP147" s="70"/>
      <c r="AQ147" s="70"/>
      <c r="AR147" s="70"/>
      <c r="AS147" s="70"/>
      <c r="AT147" s="70"/>
      <c r="AU147" s="70"/>
      <c r="AV147" s="70"/>
      <c r="AW147" s="70"/>
      <c r="AX147" s="70"/>
      <c r="AY147" s="70"/>
      <c r="AZ147" s="70"/>
      <c r="BA147" s="70"/>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row>
    <row r="148" spans="2:111" ht="9" customHeight="1">
      <c r="H148" s="229" t="str">
        <f>IF(B139&lt;&gt;"","Descrição:","")</f>
        <v>Descrição:</v>
      </c>
      <c r="I148" s="229"/>
      <c r="J148" s="229"/>
      <c r="K148" s="229"/>
      <c r="L148" s="229"/>
      <c r="M148" s="229"/>
      <c r="O148" s="233"/>
      <c r="P148" s="233"/>
      <c r="Q148" s="233"/>
      <c r="R148" s="233"/>
      <c r="S148" s="233"/>
      <c r="T148" s="233"/>
      <c r="U148" s="233"/>
      <c r="V148" s="233"/>
      <c r="W148" s="233"/>
      <c r="X148" s="233"/>
      <c r="Y148" s="233"/>
      <c r="Z148" s="233"/>
      <c r="AA148" s="233"/>
      <c r="AB148" s="233"/>
      <c r="AC148" s="233"/>
      <c r="AD148" s="233"/>
      <c r="AE148" s="229" t="str">
        <f>IF(B139&lt;&gt;"","Unid/Qtde:","")</f>
        <v>Unid/Qtde:</v>
      </c>
      <c r="AF148" s="229"/>
      <c r="AG148" s="229"/>
      <c r="AH148" s="229"/>
      <c r="AI148" s="229"/>
      <c r="AJ148" s="229"/>
      <c r="AK148" s="26"/>
      <c r="AL148" s="233"/>
      <c r="AM148" s="233"/>
      <c r="AN148" s="233"/>
      <c r="AO148" s="233"/>
      <c r="AP148" s="233"/>
      <c r="AQ148" s="233"/>
      <c r="AR148" s="233"/>
      <c r="AS148" s="233"/>
      <c r="AT148" s="233"/>
      <c r="AU148" s="233"/>
      <c r="AV148" s="233"/>
      <c r="AW148" s="233"/>
      <c r="AX148" s="233"/>
      <c r="AY148" s="233"/>
      <c r="AZ148" s="233"/>
      <c r="BA148" s="233"/>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row>
    <row r="149" spans="2:111" ht="9" customHeight="1">
      <c r="H149" s="229"/>
      <c r="I149" s="229"/>
      <c r="J149" s="229"/>
      <c r="K149" s="229"/>
      <c r="L149" s="229"/>
      <c r="M149" s="229"/>
      <c r="O149" s="233"/>
      <c r="P149" s="233"/>
      <c r="Q149" s="233"/>
      <c r="R149" s="233"/>
      <c r="S149" s="233"/>
      <c r="T149" s="233"/>
      <c r="U149" s="233"/>
      <c r="V149" s="233"/>
      <c r="W149" s="233"/>
      <c r="X149" s="233"/>
      <c r="Y149" s="233"/>
      <c r="Z149" s="233"/>
      <c r="AA149" s="233"/>
      <c r="AB149" s="233"/>
      <c r="AC149" s="233"/>
      <c r="AD149" s="233"/>
      <c r="AE149" s="229"/>
      <c r="AF149" s="229"/>
      <c r="AG149" s="229"/>
      <c r="AH149" s="229"/>
      <c r="AI149" s="229"/>
      <c r="AJ149" s="229"/>
      <c r="AK149" s="26"/>
      <c r="AL149" s="233"/>
      <c r="AM149" s="233"/>
      <c r="AN149" s="233"/>
      <c r="AO149" s="233"/>
      <c r="AP149" s="233"/>
      <c r="AQ149" s="233"/>
      <c r="AR149" s="233"/>
      <c r="AS149" s="233"/>
      <c r="AT149" s="233"/>
      <c r="AU149" s="233"/>
      <c r="AV149" s="233"/>
      <c r="AW149" s="233"/>
      <c r="AX149" s="233"/>
      <c r="AY149" s="233"/>
      <c r="AZ149" s="233"/>
      <c r="BA149" s="233"/>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row>
    <row r="150" spans="2:111" ht="4.5" customHeight="1">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row>
    <row r="151" spans="2:111" ht="9" customHeight="1">
      <c r="B151" s="396" t="str">
        <f>IF('(I) Plano de Trabalho'!$U$752&gt;=2,"Etapa 2.2","")</f>
        <v>Etapa 2.2</v>
      </c>
      <c r="C151" s="396"/>
      <c r="D151" s="396"/>
      <c r="E151" s="396"/>
      <c r="F151" s="396"/>
      <c r="G151" s="396"/>
      <c r="H151" s="394" t="str">
        <f>IF('(I) Plano de Trabalho'!$I$778="","",'(I) Plano de Trabalho'!$I$778)</f>
        <v>Desenvolvimento e implantação de aplicação de gerenciamento de risco</v>
      </c>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c r="AI151" s="394"/>
      <c r="AJ151" s="394"/>
      <c r="AK151" s="394"/>
      <c r="AL151" s="394"/>
      <c r="AM151" s="394"/>
      <c r="AN151" s="394"/>
      <c r="AO151" s="394"/>
      <c r="AP151" s="394"/>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row>
    <row r="152" spans="2:111" ht="9" customHeight="1">
      <c r="B152" s="396"/>
      <c r="C152" s="396"/>
      <c r="D152" s="396"/>
      <c r="E152" s="396"/>
      <c r="F152" s="396"/>
      <c r="G152" s="396"/>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row>
    <row r="153" spans="2:111" ht="4.5" customHeight="1">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row>
    <row r="154" spans="2:111" ht="9" customHeight="1">
      <c r="B154" s="242" t="str">
        <f>IF(B151="","","Indicador:")</f>
        <v>Indicador:</v>
      </c>
      <c r="C154" s="242"/>
      <c r="D154" s="242"/>
      <c r="E154" s="242"/>
      <c r="F154" s="242"/>
      <c r="G154" s="68"/>
      <c r="H154" s="229" t="str">
        <f>IF(B151&lt;&gt;"","Descrição:","")</f>
        <v>Descrição:</v>
      </c>
      <c r="I154" s="229"/>
      <c r="J154" s="229"/>
      <c r="K154" s="229"/>
      <c r="L154" s="229"/>
      <c r="M154" s="229"/>
      <c r="O154" s="233" t="s">
        <v>533</v>
      </c>
      <c r="P154" s="233"/>
      <c r="Q154" s="233"/>
      <c r="R154" s="233"/>
      <c r="S154" s="233"/>
      <c r="T154" s="233"/>
      <c r="U154" s="233"/>
      <c r="V154" s="233"/>
      <c r="W154" s="233"/>
      <c r="X154" s="233"/>
      <c r="Y154" s="233"/>
      <c r="Z154" s="233"/>
      <c r="AA154" s="233"/>
      <c r="AB154" s="233"/>
      <c r="AC154" s="233"/>
      <c r="AD154" s="233"/>
      <c r="AE154" s="229" t="str">
        <f>IF(B151&lt;&gt;"","Unid/Qtde:","")</f>
        <v>Unid/Qtde:</v>
      </c>
      <c r="AF154" s="229"/>
      <c r="AG154" s="229"/>
      <c r="AH154" s="229"/>
      <c r="AI154" s="229"/>
      <c r="AJ154" s="229"/>
      <c r="AK154" s="26"/>
      <c r="AL154" s="233">
        <v>1</v>
      </c>
      <c r="AM154" s="233"/>
      <c r="AN154" s="233"/>
      <c r="AO154" s="233"/>
      <c r="AP154" s="233"/>
      <c r="AQ154" s="233"/>
      <c r="AR154" s="233"/>
      <c r="AS154" s="233"/>
      <c r="AT154" s="233"/>
      <c r="AU154" s="233"/>
      <c r="AV154" s="233"/>
      <c r="AW154" s="233"/>
      <c r="AX154" s="233"/>
      <c r="AY154" s="233"/>
      <c r="AZ154" s="233"/>
      <c r="BA154" s="233"/>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row>
    <row r="155" spans="2:111" ht="9" customHeight="1">
      <c r="B155" s="242"/>
      <c r="C155" s="242"/>
      <c r="D155" s="242"/>
      <c r="E155" s="242"/>
      <c r="F155" s="242"/>
      <c r="G155" s="68"/>
      <c r="H155" s="229"/>
      <c r="I155" s="229"/>
      <c r="J155" s="229"/>
      <c r="K155" s="229"/>
      <c r="L155" s="229"/>
      <c r="M155" s="229"/>
      <c r="O155" s="233"/>
      <c r="P155" s="233"/>
      <c r="Q155" s="233"/>
      <c r="R155" s="233"/>
      <c r="S155" s="233"/>
      <c r="T155" s="233"/>
      <c r="U155" s="233"/>
      <c r="V155" s="233"/>
      <c r="W155" s="233"/>
      <c r="X155" s="233"/>
      <c r="Y155" s="233"/>
      <c r="Z155" s="233"/>
      <c r="AA155" s="233"/>
      <c r="AB155" s="233"/>
      <c r="AC155" s="233"/>
      <c r="AD155" s="233"/>
      <c r="AE155" s="229"/>
      <c r="AF155" s="229"/>
      <c r="AG155" s="229"/>
      <c r="AH155" s="229"/>
      <c r="AI155" s="229"/>
      <c r="AJ155" s="229"/>
      <c r="AK155" s="26"/>
      <c r="AL155" s="233"/>
      <c r="AM155" s="233"/>
      <c r="AN155" s="233"/>
      <c r="AO155" s="233"/>
      <c r="AP155" s="233"/>
      <c r="AQ155" s="233"/>
      <c r="AR155" s="233"/>
      <c r="AS155" s="233"/>
      <c r="AT155" s="233"/>
      <c r="AU155" s="233"/>
      <c r="AV155" s="233"/>
      <c r="AW155" s="233"/>
      <c r="AX155" s="233"/>
      <c r="AY155" s="233"/>
      <c r="AZ155" s="233"/>
      <c r="BA155" s="233"/>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row>
    <row r="156" spans="2:111" ht="4.5" customHeight="1">
      <c r="O156" s="70"/>
      <c r="P156" s="70"/>
      <c r="Q156" s="70"/>
      <c r="R156" s="70"/>
      <c r="S156" s="70"/>
      <c r="T156" s="70"/>
      <c r="U156" s="70"/>
      <c r="V156" s="70"/>
      <c r="W156" s="70"/>
      <c r="X156" s="70"/>
      <c r="Y156" s="70"/>
      <c r="Z156" s="70"/>
      <c r="AA156" s="70"/>
      <c r="AB156" s="70"/>
      <c r="AC156" s="70"/>
      <c r="AD156" s="70"/>
      <c r="AE156" s="69"/>
      <c r="AF156" s="69"/>
      <c r="AG156" s="69"/>
      <c r="AH156" s="69"/>
      <c r="AI156" s="69"/>
      <c r="AJ156" s="69"/>
      <c r="AK156" s="69"/>
      <c r="AL156" s="70"/>
      <c r="AM156" s="70"/>
      <c r="AN156" s="70"/>
      <c r="AO156" s="70"/>
      <c r="AP156" s="70"/>
      <c r="AQ156" s="70"/>
      <c r="AR156" s="70"/>
      <c r="AS156" s="70"/>
      <c r="AT156" s="70"/>
      <c r="AU156" s="70"/>
      <c r="AV156" s="70"/>
      <c r="AW156" s="70"/>
      <c r="AX156" s="70"/>
      <c r="AY156" s="70"/>
      <c r="AZ156" s="70"/>
      <c r="BA156" s="70"/>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row>
    <row r="157" spans="2:111" ht="9" customHeight="1">
      <c r="H157" s="229" t="str">
        <f>IF(B151&lt;&gt;"","Descrição:","")</f>
        <v>Descrição:</v>
      </c>
      <c r="I157" s="229"/>
      <c r="J157" s="229"/>
      <c r="K157" s="229"/>
      <c r="L157" s="229"/>
      <c r="M157" s="229"/>
      <c r="O157" s="233" t="s">
        <v>546</v>
      </c>
      <c r="P157" s="233"/>
      <c r="Q157" s="233"/>
      <c r="R157" s="233"/>
      <c r="S157" s="233"/>
      <c r="T157" s="233"/>
      <c r="U157" s="233"/>
      <c r="V157" s="233"/>
      <c r="W157" s="233"/>
      <c r="X157" s="233"/>
      <c r="Y157" s="233"/>
      <c r="Z157" s="233"/>
      <c r="AA157" s="233"/>
      <c r="AB157" s="233"/>
      <c r="AC157" s="233"/>
      <c r="AD157" s="233"/>
      <c r="AE157" s="229" t="str">
        <f>IF(B151&lt;&gt;"","Unid/Qtde:","")</f>
        <v>Unid/Qtde:</v>
      </c>
      <c r="AF157" s="229"/>
      <c r="AG157" s="229"/>
      <c r="AH157" s="229"/>
      <c r="AI157" s="229"/>
      <c r="AJ157" s="229"/>
      <c r="AK157" s="26"/>
      <c r="AL157" s="233">
        <v>8</v>
      </c>
      <c r="AM157" s="233"/>
      <c r="AN157" s="233"/>
      <c r="AO157" s="233"/>
      <c r="AP157" s="233"/>
      <c r="AQ157" s="233"/>
      <c r="AR157" s="233"/>
      <c r="AS157" s="233"/>
      <c r="AT157" s="233"/>
      <c r="AU157" s="233"/>
      <c r="AV157" s="233"/>
      <c r="AW157" s="233"/>
      <c r="AX157" s="233"/>
      <c r="AY157" s="233"/>
      <c r="AZ157" s="233"/>
      <c r="BA157" s="233"/>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row>
    <row r="158" spans="2:111" ht="9" customHeight="1">
      <c r="H158" s="229"/>
      <c r="I158" s="229"/>
      <c r="J158" s="229"/>
      <c r="K158" s="229"/>
      <c r="L158" s="229"/>
      <c r="M158" s="229"/>
      <c r="O158" s="233"/>
      <c r="P158" s="233"/>
      <c r="Q158" s="233"/>
      <c r="R158" s="233"/>
      <c r="S158" s="233"/>
      <c r="T158" s="233"/>
      <c r="U158" s="233"/>
      <c r="V158" s="233"/>
      <c r="W158" s="233"/>
      <c r="X158" s="233"/>
      <c r="Y158" s="233"/>
      <c r="Z158" s="233"/>
      <c r="AA158" s="233"/>
      <c r="AB158" s="233"/>
      <c r="AC158" s="233"/>
      <c r="AD158" s="233"/>
      <c r="AE158" s="229"/>
      <c r="AF158" s="229"/>
      <c r="AG158" s="229"/>
      <c r="AH158" s="229"/>
      <c r="AI158" s="229"/>
      <c r="AJ158" s="229"/>
      <c r="AK158" s="26"/>
      <c r="AL158" s="233"/>
      <c r="AM158" s="233"/>
      <c r="AN158" s="233"/>
      <c r="AO158" s="233"/>
      <c r="AP158" s="233"/>
      <c r="AQ158" s="233"/>
      <c r="AR158" s="233"/>
      <c r="AS158" s="233"/>
      <c r="AT158" s="233"/>
      <c r="AU158" s="233"/>
      <c r="AV158" s="233"/>
      <c r="AW158" s="233"/>
      <c r="AX158" s="233"/>
      <c r="AY158" s="233"/>
      <c r="AZ158" s="233"/>
      <c r="BA158" s="233"/>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row>
    <row r="159" spans="2:111" ht="4.5" customHeight="1">
      <c r="O159" s="70"/>
      <c r="P159" s="70"/>
      <c r="Q159" s="70"/>
      <c r="R159" s="70"/>
      <c r="S159" s="70"/>
      <c r="T159" s="70"/>
      <c r="U159" s="70"/>
      <c r="V159" s="70"/>
      <c r="W159" s="70"/>
      <c r="X159" s="70"/>
      <c r="Y159" s="70"/>
      <c r="Z159" s="70"/>
      <c r="AA159" s="70"/>
      <c r="AB159" s="70"/>
      <c r="AC159" s="70"/>
      <c r="AD159" s="70"/>
      <c r="AE159" s="69"/>
      <c r="AF159" s="69"/>
      <c r="AG159" s="69"/>
      <c r="AH159" s="69"/>
      <c r="AI159" s="69"/>
      <c r="AJ159" s="69"/>
      <c r="AK159" s="69"/>
      <c r="AL159" s="70"/>
      <c r="AM159" s="70"/>
      <c r="AN159" s="70"/>
      <c r="AO159" s="70"/>
      <c r="AP159" s="70"/>
      <c r="AQ159" s="70"/>
      <c r="AR159" s="70"/>
      <c r="AS159" s="70"/>
      <c r="AT159" s="70"/>
      <c r="AU159" s="70"/>
      <c r="AV159" s="70"/>
      <c r="AW159" s="70"/>
      <c r="AX159" s="70"/>
      <c r="AY159" s="70"/>
      <c r="AZ159" s="70"/>
      <c r="BA159" s="70"/>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row>
    <row r="160" spans="2:111" ht="9" customHeight="1">
      <c r="H160" s="229" t="str">
        <f>IF(B151&lt;&gt;"","Descrição:","")</f>
        <v>Descrição:</v>
      </c>
      <c r="I160" s="229"/>
      <c r="J160" s="229"/>
      <c r="K160" s="229"/>
      <c r="L160" s="229"/>
      <c r="M160" s="229"/>
      <c r="O160" s="233" t="s">
        <v>547</v>
      </c>
      <c r="P160" s="233"/>
      <c r="Q160" s="233"/>
      <c r="R160" s="233"/>
      <c r="S160" s="233"/>
      <c r="T160" s="233"/>
      <c r="U160" s="233"/>
      <c r="V160" s="233"/>
      <c r="W160" s="233"/>
      <c r="X160" s="233"/>
      <c r="Y160" s="233"/>
      <c r="Z160" s="233"/>
      <c r="AA160" s="233"/>
      <c r="AB160" s="233"/>
      <c r="AC160" s="233"/>
      <c r="AD160" s="233"/>
      <c r="AE160" s="229" t="str">
        <f>IF(B151&lt;&gt;"","Unid/Qtde:","")</f>
        <v>Unid/Qtde:</v>
      </c>
      <c r="AF160" s="229"/>
      <c r="AG160" s="229"/>
      <c r="AH160" s="229"/>
      <c r="AI160" s="229"/>
      <c r="AJ160" s="229"/>
      <c r="AK160" s="26"/>
      <c r="AL160" s="233">
        <v>1</v>
      </c>
      <c r="AM160" s="233"/>
      <c r="AN160" s="233"/>
      <c r="AO160" s="233"/>
      <c r="AP160" s="233"/>
      <c r="AQ160" s="233"/>
      <c r="AR160" s="233"/>
      <c r="AS160" s="233"/>
      <c r="AT160" s="233"/>
      <c r="AU160" s="233"/>
      <c r="AV160" s="233"/>
      <c r="AW160" s="233"/>
      <c r="AX160" s="233"/>
      <c r="AY160" s="233"/>
      <c r="AZ160" s="233"/>
      <c r="BA160" s="233"/>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row>
    <row r="161" spans="2:111" ht="9" customHeight="1">
      <c r="H161" s="229"/>
      <c r="I161" s="229"/>
      <c r="J161" s="229"/>
      <c r="K161" s="229"/>
      <c r="L161" s="229"/>
      <c r="M161" s="229"/>
      <c r="O161" s="233"/>
      <c r="P161" s="233"/>
      <c r="Q161" s="233"/>
      <c r="R161" s="233"/>
      <c r="S161" s="233"/>
      <c r="T161" s="233"/>
      <c r="U161" s="233"/>
      <c r="V161" s="233"/>
      <c r="W161" s="233"/>
      <c r="X161" s="233"/>
      <c r="Y161" s="233"/>
      <c r="Z161" s="233"/>
      <c r="AA161" s="233"/>
      <c r="AB161" s="233"/>
      <c r="AC161" s="233"/>
      <c r="AD161" s="233"/>
      <c r="AE161" s="229"/>
      <c r="AF161" s="229"/>
      <c r="AG161" s="229"/>
      <c r="AH161" s="229"/>
      <c r="AI161" s="229"/>
      <c r="AJ161" s="229"/>
      <c r="AK161" s="26"/>
      <c r="AL161" s="233"/>
      <c r="AM161" s="233"/>
      <c r="AN161" s="233"/>
      <c r="AO161" s="233"/>
      <c r="AP161" s="233"/>
      <c r="AQ161" s="233"/>
      <c r="AR161" s="233"/>
      <c r="AS161" s="233"/>
      <c r="AT161" s="233"/>
      <c r="AU161" s="233"/>
      <c r="AV161" s="233"/>
      <c r="AW161" s="233"/>
      <c r="AX161" s="233"/>
      <c r="AY161" s="233"/>
      <c r="AZ161" s="233"/>
      <c r="BA161" s="233"/>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row>
    <row r="162" spans="2:111" ht="4.5" customHeight="1">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row>
    <row r="163" spans="2:111" ht="9" customHeight="1">
      <c r="B163" s="396" t="str">
        <f>IF('(I) Plano de Trabalho'!$U$752&gt;=3,"Etapa 2.3","")</f>
        <v/>
      </c>
      <c r="C163" s="396"/>
      <c r="D163" s="396"/>
      <c r="E163" s="396"/>
      <c r="F163" s="396"/>
      <c r="G163" s="396"/>
      <c r="H163" s="394" t="str">
        <f>IF('(I) Plano de Trabalho'!$I$801="","",'(I) Plano de Trabalho'!$I$801)</f>
        <v/>
      </c>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c r="AI163" s="394"/>
      <c r="AJ163" s="394"/>
      <c r="AK163" s="394"/>
      <c r="AL163" s="394"/>
      <c r="AM163" s="394"/>
      <c r="AN163" s="394"/>
      <c r="AO163" s="394"/>
      <c r="AP163" s="394"/>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row>
    <row r="164" spans="2:111" ht="9" customHeight="1">
      <c r="B164" s="396"/>
      <c r="C164" s="396"/>
      <c r="D164" s="396"/>
      <c r="E164" s="396"/>
      <c r="F164" s="396"/>
      <c r="G164" s="396"/>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394"/>
      <c r="AO164" s="394"/>
      <c r="AP164" s="394"/>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row>
    <row r="165" spans="2:111" ht="4.5" customHeight="1">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row>
    <row r="166" spans="2:111" ht="9" customHeight="1">
      <c r="B166" s="242" t="str">
        <f>IF(B163="","","Indicador:")</f>
        <v/>
      </c>
      <c r="C166" s="242"/>
      <c r="D166" s="242"/>
      <c r="E166" s="242"/>
      <c r="F166" s="242"/>
      <c r="G166" s="68"/>
      <c r="H166" s="229" t="str">
        <f>IF(B163&lt;&gt;"","Descrição:","")</f>
        <v/>
      </c>
      <c r="I166" s="229"/>
      <c r="J166" s="229"/>
      <c r="K166" s="229"/>
      <c r="L166" s="229"/>
      <c r="M166" s="229"/>
      <c r="O166" s="233"/>
      <c r="P166" s="233"/>
      <c r="Q166" s="233"/>
      <c r="R166" s="233"/>
      <c r="S166" s="233"/>
      <c r="T166" s="233"/>
      <c r="U166" s="233"/>
      <c r="V166" s="233"/>
      <c r="W166" s="233"/>
      <c r="X166" s="233"/>
      <c r="Y166" s="233"/>
      <c r="Z166" s="233"/>
      <c r="AA166" s="233"/>
      <c r="AB166" s="233"/>
      <c r="AC166" s="233"/>
      <c r="AD166" s="233"/>
      <c r="AE166" s="229" t="str">
        <f>IF(B163&lt;&gt;"","Unid/Qtde:","")</f>
        <v/>
      </c>
      <c r="AF166" s="229"/>
      <c r="AG166" s="229"/>
      <c r="AH166" s="229"/>
      <c r="AI166" s="229"/>
      <c r="AJ166" s="229"/>
      <c r="AK166" s="26"/>
      <c r="AL166" s="233"/>
      <c r="AM166" s="233"/>
      <c r="AN166" s="233"/>
      <c r="AO166" s="233"/>
      <c r="AP166" s="233"/>
      <c r="AQ166" s="233"/>
      <c r="AR166" s="233"/>
      <c r="AS166" s="233"/>
      <c r="AT166" s="233"/>
      <c r="AU166" s="233"/>
      <c r="AV166" s="233"/>
      <c r="AW166" s="233"/>
      <c r="AX166" s="233"/>
      <c r="AY166" s="233"/>
      <c r="AZ166" s="233"/>
      <c r="BA166" s="233"/>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row>
    <row r="167" spans="2:111" ht="9" customHeight="1">
      <c r="B167" s="242"/>
      <c r="C167" s="242"/>
      <c r="D167" s="242"/>
      <c r="E167" s="242"/>
      <c r="F167" s="242"/>
      <c r="G167" s="68"/>
      <c r="H167" s="229"/>
      <c r="I167" s="229"/>
      <c r="J167" s="229"/>
      <c r="K167" s="229"/>
      <c r="L167" s="229"/>
      <c r="M167" s="229"/>
      <c r="O167" s="233"/>
      <c r="P167" s="233"/>
      <c r="Q167" s="233"/>
      <c r="R167" s="233"/>
      <c r="S167" s="233"/>
      <c r="T167" s="233"/>
      <c r="U167" s="233"/>
      <c r="V167" s="233"/>
      <c r="W167" s="233"/>
      <c r="X167" s="233"/>
      <c r="Y167" s="233"/>
      <c r="Z167" s="233"/>
      <c r="AA167" s="233"/>
      <c r="AB167" s="233"/>
      <c r="AC167" s="233"/>
      <c r="AD167" s="233"/>
      <c r="AE167" s="229"/>
      <c r="AF167" s="229"/>
      <c r="AG167" s="229"/>
      <c r="AH167" s="229"/>
      <c r="AI167" s="229"/>
      <c r="AJ167" s="229"/>
      <c r="AK167" s="26"/>
      <c r="AL167" s="233"/>
      <c r="AM167" s="233"/>
      <c r="AN167" s="233"/>
      <c r="AO167" s="233"/>
      <c r="AP167" s="233"/>
      <c r="AQ167" s="233"/>
      <c r="AR167" s="233"/>
      <c r="AS167" s="233"/>
      <c r="AT167" s="233"/>
      <c r="AU167" s="233"/>
      <c r="AV167" s="233"/>
      <c r="AW167" s="233"/>
      <c r="AX167" s="233"/>
      <c r="AY167" s="233"/>
      <c r="AZ167" s="233"/>
      <c r="BA167" s="233"/>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row>
    <row r="168" spans="2:111" ht="4.5" customHeight="1">
      <c r="O168" s="70"/>
      <c r="P168" s="70"/>
      <c r="Q168" s="70"/>
      <c r="R168" s="70"/>
      <c r="S168" s="70"/>
      <c r="T168" s="70"/>
      <c r="U168" s="70"/>
      <c r="V168" s="70"/>
      <c r="W168" s="70"/>
      <c r="X168" s="70"/>
      <c r="Y168" s="70"/>
      <c r="Z168" s="70"/>
      <c r="AA168" s="70"/>
      <c r="AB168" s="70"/>
      <c r="AC168" s="70"/>
      <c r="AD168" s="70"/>
      <c r="AE168" s="69"/>
      <c r="AF168" s="69"/>
      <c r="AG168" s="69"/>
      <c r="AH168" s="69"/>
      <c r="AI168" s="69"/>
      <c r="AJ168" s="69"/>
      <c r="AK168" s="69"/>
      <c r="AL168" s="70"/>
      <c r="AM168" s="70"/>
      <c r="AN168" s="70"/>
      <c r="AO168" s="70"/>
      <c r="AP168" s="70"/>
      <c r="AQ168" s="70"/>
      <c r="AR168" s="70"/>
      <c r="AS168" s="70"/>
      <c r="AT168" s="70"/>
      <c r="AU168" s="70"/>
      <c r="AV168" s="70"/>
      <c r="AW168" s="70"/>
      <c r="AX168" s="70"/>
      <c r="AY168" s="70"/>
      <c r="AZ168" s="70"/>
      <c r="BA168" s="70"/>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row>
    <row r="169" spans="2:111" ht="9" customHeight="1">
      <c r="H169" s="229" t="str">
        <f>IF(B163&lt;&gt;"","Descrição:","")</f>
        <v/>
      </c>
      <c r="I169" s="229"/>
      <c r="J169" s="229"/>
      <c r="K169" s="229"/>
      <c r="L169" s="229"/>
      <c r="M169" s="229"/>
      <c r="O169" s="233"/>
      <c r="P169" s="233"/>
      <c r="Q169" s="233"/>
      <c r="R169" s="233"/>
      <c r="S169" s="233"/>
      <c r="T169" s="233"/>
      <c r="U169" s="233"/>
      <c r="V169" s="233"/>
      <c r="W169" s="233"/>
      <c r="X169" s="233"/>
      <c r="Y169" s="233"/>
      <c r="Z169" s="233"/>
      <c r="AA169" s="233"/>
      <c r="AB169" s="233"/>
      <c r="AC169" s="233"/>
      <c r="AD169" s="233"/>
      <c r="AE169" s="229" t="str">
        <f>IF(B163&lt;&gt;"","Unid/Qtde:","")</f>
        <v/>
      </c>
      <c r="AF169" s="229"/>
      <c r="AG169" s="229"/>
      <c r="AH169" s="229"/>
      <c r="AI169" s="229"/>
      <c r="AJ169" s="229"/>
      <c r="AK169" s="26"/>
      <c r="AL169" s="233"/>
      <c r="AM169" s="233"/>
      <c r="AN169" s="233"/>
      <c r="AO169" s="233"/>
      <c r="AP169" s="233"/>
      <c r="AQ169" s="233"/>
      <c r="AR169" s="233"/>
      <c r="AS169" s="233"/>
      <c r="AT169" s="233"/>
      <c r="AU169" s="233"/>
      <c r="AV169" s="233"/>
      <c r="AW169" s="233"/>
      <c r="AX169" s="233"/>
      <c r="AY169" s="233"/>
      <c r="AZ169" s="233"/>
      <c r="BA169" s="233"/>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row>
    <row r="170" spans="2:111" ht="9" customHeight="1">
      <c r="H170" s="229"/>
      <c r="I170" s="229"/>
      <c r="J170" s="229"/>
      <c r="K170" s="229"/>
      <c r="L170" s="229"/>
      <c r="M170" s="229"/>
      <c r="O170" s="233"/>
      <c r="P170" s="233"/>
      <c r="Q170" s="233"/>
      <c r="R170" s="233"/>
      <c r="S170" s="233"/>
      <c r="T170" s="233"/>
      <c r="U170" s="233"/>
      <c r="V170" s="233"/>
      <c r="W170" s="233"/>
      <c r="X170" s="233"/>
      <c r="Y170" s="233"/>
      <c r="Z170" s="233"/>
      <c r="AA170" s="233"/>
      <c r="AB170" s="233"/>
      <c r="AC170" s="233"/>
      <c r="AD170" s="233"/>
      <c r="AE170" s="229"/>
      <c r="AF170" s="229"/>
      <c r="AG170" s="229"/>
      <c r="AH170" s="229"/>
      <c r="AI170" s="229"/>
      <c r="AJ170" s="229"/>
      <c r="AK170" s="26"/>
      <c r="AL170" s="233"/>
      <c r="AM170" s="233"/>
      <c r="AN170" s="233"/>
      <c r="AO170" s="233"/>
      <c r="AP170" s="233"/>
      <c r="AQ170" s="233"/>
      <c r="AR170" s="233"/>
      <c r="AS170" s="233"/>
      <c r="AT170" s="233"/>
      <c r="AU170" s="233"/>
      <c r="AV170" s="233"/>
      <c r="AW170" s="233"/>
      <c r="AX170" s="233"/>
      <c r="AY170" s="233"/>
      <c r="AZ170" s="233"/>
      <c r="BA170" s="233"/>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row>
    <row r="171" spans="2:111" ht="4.5" customHeight="1">
      <c r="O171" s="70"/>
      <c r="P171" s="70"/>
      <c r="Q171" s="70"/>
      <c r="R171" s="70"/>
      <c r="S171" s="70"/>
      <c r="T171" s="70"/>
      <c r="U171" s="70"/>
      <c r="V171" s="70"/>
      <c r="W171" s="70"/>
      <c r="X171" s="70"/>
      <c r="Y171" s="70"/>
      <c r="Z171" s="70"/>
      <c r="AA171" s="70"/>
      <c r="AB171" s="70"/>
      <c r="AC171" s="70"/>
      <c r="AD171" s="70"/>
      <c r="AE171" s="69"/>
      <c r="AF171" s="69"/>
      <c r="AG171" s="69"/>
      <c r="AH171" s="69"/>
      <c r="AI171" s="69"/>
      <c r="AJ171" s="69"/>
      <c r="AK171" s="69"/>
      <c r="AL171" s="70"/>
      <c r="AM171" s="70"/>
      <c r="AN171" s="70"/>
      <c r="AO171" s="70"/>
      <c r="AP171" s="70"/>
      <c r="AQ171" s="70"/>
      <c r="AR171" s="70"/>
      <c r="AS171" s="70"/>
      <c r="AT171" s="70"/>
      <c r="AU171" s="70"/>
      <c r="AV171" s="70"/>
      <c r="AW171" s="70"/>
      <c r="AX171" s="70"/>
      <c r="AY171" s="70"/>
      <c r="AZ171" s="70"/>
      <c r="BA171" s="70"/>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row>
    <row r="172" spans="2:111" ht="9" customHeight="1">
      <c r="H172" s="229" t="str">
        <f>IF(B163&lt;&gt;"","Descrição:","")</f>
        <v/>
      </c>
      <c r="I172" s="229"/>
      <c r="J172" s="229"/>
      <c r="K172" s="229"/>
      <c r="L172" s="229"/>
      <c r="M172" s="229"/>
      <c r="O172" s="233"/>
      <c r="P172" s="233"/>
      <c r="Q172" s="233"/>
      <c r="R172" s="233"/>
      <c r="S172" s="233"/>
      <c r="T172" s="233"/>
      <c r="U172" s="233"/>
      <c r="V172" s="233"/>
      <c r="W172" s="233"/>
      <c r="X172" s="233"/>
      <c r="Y172" s="233"/>
      <c r="Z172" s="233"/>
      <c r="AA172" s="233"/>
      <c r="AB172" s="233"/>
      <c r="AC172" s="233"/>
      <c r="AD172" s="233"/>
      <c r="AE172" s="229" t="str">
        <f>IF(B163&lt;&gt;"","Unid/Qtde:","")</f>
        <v/>
      </c>
      <c r="AF172" s="229"/>
      <c r="AG172" s="229"/>
      <c r="AH172" s="229"/>
      <c r="AI172" s="229"/>
      <c r="AJ172" s="229"/>
      <c r="AK172" s="26"/>
      <c r="AL172" s="233"/>
      <c r="AM172" s="233"/>
      <c r="AN172" s="233"/>
      <c r="AO172" s="233"/>
      <c r="AP172" s="233"/>
      <c r="AQ172" s="233"/>
      <c r="AR172" s="233"/>
      <c r="AS172" s="233"/>
      <c r="AT172" s="233"/>
      <c r="AU172" s="233"/>
      <c r="AV172" s="233"/>
      <c r="AW172" s="233"/>
      <c r="AX172" s="233"/>
      <c r="AY172" s="233"/>
      <c r="AZ172" s="233"/>
      <c r="BA172" s="233"/>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row>
    <row r="173" spans="2:111" ht="9" customHeight="1">
      <c r="H173" s="229"/>
      <c r="I173" s="229"/>
      <c r="J173" s="229"/>
      <c r="K173" s="229"/>
      <c r="L173" s="229"/>
      <c r="M173" s="229"/>
      <c r="O173" s="233"/>
      <c r="P173" s="233"/>
      <c r="Q173" s="233"/>
      <c r="R173" s="233"/>
      <c r="S173" s="233"/>
      <c r="T173" s="233"/>
      <c r="U173" s="233"/>
      <c r="V173" s="233"/>
      <c r="W173" s="233"/>
      <c r="X173" s="233"/>
      <c r="Y173" s="233"/>
      <c r="Z173" s="233"/>
      <c r="AA173" s="233"/>
      <c r="AB173" s="233"/>
      <c r="AC173" s="233"/>
      <c r="AD173" s="233"/>
      <c r="AE173" s="229"/>
      <c r="AF173" s="229"/>
      <c r="AG173" s="229"/>
      <c r="AH173" s="229"/>
      <c r="AI173" s="229"/>
      <c r="AJ173" s="229"/>
      <c r="AK173" s="26"/>
      <c r="AL173" s="233"/>
      <c r="AM173" s="233"/>
      <c r="AN173" s="233"/>
      <c r="AO173" s="233"/>
      <c r="AP173" s="233"/>
      <c r="AQ173" s="233"/>
      <c r="AR173" s="233"/>
      <c r="AS173" s="233"/>
      <c r="AT173" s="233"/>
      <c r="AU173" s="233"/>
      <c r="AV173" s="233"/>
      <c r="AW173" s="233"/>
      <c r="AX173" s="233"/>
      <c r="AY173" s="233"/>
      <c r="AZ173" s="233"/>
      <c r="BA173" s="233"/>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row>
    <row r="174" spans="2:111" ht="4.5" customHeight="1">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row>
    <row r="175" spans="2:111" ht="9" customHeight="1">
      <c r="B175" s="396" t="str">
        <f>IF('(I) Plano de Trabalho'!$U$752&gt;=4,"Etapa 2.4","")</f>
        <v/>
      </c>
      <c r="C175" s="396"/>
      <c r="D175" s="396"/>
      <c r="E175" s="396"/>
      <c r="F175" s="396"/>
      <c r="G175" s="396"/>
      <c r="H175" s="394" t="str">
        <f>IF('(I) Plano de Trabalho'!$I$825="","",'(I) Plano de Trabalho'!$I$825)</f>
        <v/>
      </c>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c r="AI175" s="394"/>
      <c r="AJ175" s="394"/>
      <c r="AK175" s="394"/>
      <c r="AL175" s="394"/>
      <c r="AM175" s="394"/>
      <c r="AN175" s="394"/>
      <c r="AO175" s="394"/>
      <c r="AP175" s="394"/>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row>
    <row r="176" spans="2:111" ht="9" customHeight="1">
      <c r="B176" s="396"/>
      <c r="C176" s="396"/>
      <c r="D176" s="396"/>
      <c r="E176" s="396"/>
      <c r="F176" s="396"/>
      <c r="G176" s="396"/>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c r="AI176" s="394"/>
      <c r="AJ176" s="394"/>
      <c r="AK176" s="394"/>
      <c r="AL176" s="394"/>
      <c r="AM176" s="394"/>
      <c r="AN176" s="394"/>
      <c r="AO176" s="394"/>
      <c r="AP176" s="394"/>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row>
    <row r="177" spans="2:111" ht="4.5" customHeight="1">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row>
    <row r="178" spans="2:111" ht="9" customHeight="1">
      <c r="B178" s="242" t="str">
        <f>IF(B175="","","Indicador:")</f>
        <v/>
      </c>
      <c r="C178" s="242"/>
      <c r="D178" s="242"/>
      <c r="E178" s="242"/>
      <c r="F178" s="242"/>
      <c r="G178" s="68"/>
      <c r="H178" s="229" t="str">
        <f>IF(B175&lt;&gt;"","Descrição:","")</f>
        <v/>
      </c>
      <c r="I178" s="229"/>
      <c r="J178" s="229"/>
      <c r="K178" s="229"/>
      <c r="L178" s="229"/>
      <c r="M178" s="229"/>
      <c r="O178" s="233"/>
      <c r="P178" s="233"/>
      <c r="Q178" s="233"/>
      <c r="R178" s="233"/>
      <c r="S178" s="233"/>
      <c r="T178" s="233"/>
      <c r="U178" s="233"/>
      <c r="V178" s="233"/>
      <c r="W178" s="233"/>
      <c r="X178" s="233"/>
      <c r="Y178" s="233"/>
      <c r="Z178" s="233"/>
      <c r="AA178" s="233"/>
      <c r="AB178" s="233"/>
      <c r="AC178" s="233"/>
      <c r="AD178" s="233"/>
      <c r="AE178" s="229" t="str">
        <f>IF(B175&lt;&gt;"","Unid/Qtde:","")</f>
        <v/>
      </c>
      <c r="AF178" s="229"/>
      <c r="AG178" s="229"/>
      <c r="AH178" s="229"/>
      <c r="AI178" s="229"/>
      <c r="AJ178" s="229"/>
      <c r="AK178" s="26"/>
      <c r="AL178" s="233"/>
      <c r="AM178" s="233"/>
      <c r="AN178" s="233"/>
      <c r="AO178" s="233"/>
      <c r="AP178" s="233"/>
      <c r="AQ178" s="233"/>
      <c r="AR178" s="233"/>
      <c r="AS178" s="233"/>
      <c r="AT178" s="233"/>
      <c r="AU178" s="233"/>
      <c r="AV178" s="233"/>
      <c r="AW178" s="233"/>
      <c r="AX178" s="233"/>
      <c r="AY178" s="233"/>
      <c r="AZ178" s="233"/>
      <c r="BA178" s="233"/>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row>
    <row r="179" spans="2:111" ht="9" customHeight="1">
      <c r="B179" s="242"/>
      <c r="C179" s="242"/>
      <c r="D179" s="242"/>
      <c r="E179" s="242"/>
      <c r="F179" s="242"/>
      <c r="G179" s="68"/>
      <c r="H179" s="229"/>
      <c r="I179" s="229"/>
      <c r="J179" s="229"/>
      <c r="K179" s="229"/>
      <c r="L179" s="229"/>
      <c r="M179" s="229"/>
      <c r="O179" s="233"/>
      <c r="P179" s="233"/>
      <c r="Q179" s="233"/>
      <c r="R179" s="233"/>
      <c r="S179" s="233"/>
      <c r="T179" s="233"/>
      <c r="U179" s="233"/>
      <c r="V179" s="233"/>
      <c r="W179" s="233"/>
      <c r="X179" s="233"/>
      <c r="Y179" s="233"/>
      <c r="Z179" s="233"/>
      <c r="AA179" s="233"/>
      <c r="AB179" s="233"/>
      <c r="AC179" s="233"/>
      <c r="AD179" s="233"/>
      <c r="AE179" s="229"/>
      <c r="AF179" s="229"/>
      <c r="AG179" s="229"/>
      <c r="AH179" s="229"/>
      <c r="AI179" s="229"/>
      <c r="AJ179" s="229"/>
      <c r="AK179" s="26"/>
      <c r="AL179" s="233"/>
      <c r="AM179" s="233"/>
      <c r="AN179" s="233"/>
      <c r="AO179" s="233"/>
      <c r="AP179" s="233"/>
      <c r="AQ179" s="233"/>
      <c r="AR179" s="233"/>
      <c r="AS179" s="233"/>
      <c r="AT179" s="233"/>
      <c r="AU179" s="233"/>
      <c r="AV179" s="233"/>
      <c r="AW179" s="233"/>
      <c r="AX179" s="233"/>
      <c r="AY179" s="233"/>
      <c r="AZ179" s="233"/>
      <c r="BA179" s="233"/>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row>
    <row r="180" spans="2:111" ht="4.5" customHeight="1">
      <c r="O180" s="70"/>
      <c r="P180" s="70"/>
      <c r="Q180" s="70"/>
      <c r="R180" s="70"/>
      <c r="S180" s="70"/>
      <c r="T180" s="70"/>
      <c r="U180" s="70"/>
      <c r="V180" s="70"/>
      <c r="W180" s="70"/>
      <c r="X180" s="70"/>
      <c r="Y180" s="70"/>
      <c r="Z180" s="70"/>
      <c r="AA180" s="70"/>
      <c r="AB180" s="70"/>
      <c r="AC180" s="70"/>
      <c r="AD180" s="70"/>
      <c r="AE180" s="69"/>
      <c r="AF180" s="69"/>
      <c r="AG180" s="69"/>
      <c r="AH180" s="69"/>
      <c r="AI180" s="69"/>
      <c r="AJ180" s="69"/>
      <c r="AK180" s="69"/>
      <c r="AL180" s="70"/>
      <c r="AM180" s="70"/>
      <c r="AN180" s="70"/>
      <c r="AO180" s="70"/>
      <c r="AP180" s="70"/>
      <c r="AQ180" s="70"/>
      <c r="AR180" s="70"/>
      <c r="AS180" s="70"/>
      <c r="AT180" s="70"/>
      <c r="AU180" s="70"/>
      <c r="AV180" s="70"/>
      <c r="AW180" s="70"/>
      <c r="AX180" s="70"/>
      <c r="AY180" s="70"/>
      <c r="AZ180" s="70"/>
      <c r="BA180" s="70"/>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row>
    <row r="181" spans="2:111" ht="9" customHeight="1">
      <c r="H181" s="229" t="str">
        <f>IF(B175&lt;&gt;"","Descrição:","")</f>
        <v/>
      </c>
      <c r="I181" s="229"/>
      <c r="J181" s="229"/>
      <c r="K181" s="229"/>
      <c r="L181" s="229"/>
      <c r="M181" s="229"/>
      <c r="O181" s="233"/>
      <c r="P181" s="233"/>
      <c r="Q181" s="233"/>
      <c r="R181" s="233"/>
      <c r="S181" s="233"/>
      <c r="T181" s="233"/>
      <c r="U181" s="233"/>
      <c r="V181" s="233"/>
      <c r="W181" s="233"/>
      <c r="X181" s="233"/>
      <c r="Y181" s="233"/>
      <c r="Z181" s="233"/>
      <c r="AA181" s="233"/>
      <c r="AB181" s="233"/>
      <c r="AC181" s="233"/>
      <c r="AD181" s="233"/>
      <c r="AE181" s="229" t="str">
        <f>IF(B175&lt;&gt;"","Unid/Qtde:","")</f>
        <v/>
      </c>
      <c r="AF181" s="229"/>
      <c r="AG181" s="229"/>
      <c r="AH181" s="229"/>
      <c r="AI181" s="229"/>
      <c r="AJ181" s="229"/>
      <c r="AK181" s="26"/>
      <c r="AL181" s="233"/>
      <c r="AM181" s="233"/>
      <c r="AN181" s="233"/>
      <c r="AO181" s="233"/>
      <c r="AP181" s="233"/>
      <c r="AQ181" s="233"/>
      <c r="AR181" s="233"/>
      <c r="AS181" s="233"/>
      <c r="AT181" s="233"/>
      <c r="AU181" s="233"/>
      <c r="AV181" s="233"/>
      <c r="AW181" s="233"/>
      <c r="AX181" s="233"/>
      <c r="AY181" s="233"/>
      <c r="AZ181" s="233"/>
      <c r="BA181" s="233"/>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row>
    <row r="182" spans="2:111" ht="9" customHeight="1">
      <c r="H182" s="229"/>
      <c r="I182" s="229"/>
      <c r="J182" s="229"/>
      <c r="K182" s="229"/>
      <c r="L182" s="229"/>
      <c r="M182" s="229"/>
      <c r="O182" s="233"/>
      <c r="P182" s="233"/>
      <c r="Q182" s="233"/>
      <c r="R182" s="233"/>
      <c r="S182" s="233"/>
      <c r="T182" s="233"/>
      <c r="U182" s="233"/>
      <c r="V182" s="233"/>
      <c r="W182" s="233"/>
      <c r="X182" s="233"/>
      <c r="Y182" s="233"/>
      <c r="Z182" s="233"/>
      <c r="AA182" s="233"/>
      <c r="AB182" s="233"/>
      <c r="AC182" s="233"/>
      <c r="AD182" s="233"/>
      <c r="AE182" s="229"/>
      <c r="AF182" s="229"/>
      <c r="AG182" s="229"/>
      <c r="AH182" s="229"/>
      <c r="AI182" s="229"/>
      <c r="AJ182" s="229"/>
      <c r="AK182" s="26"/>
      <c r="AL182" s="233"/>
      <c r="AM182" s="233"/>
      <c r="AN182" s="233"/>
      <c r="AO182" s="233"/>
      <c r="AP182" s="233"/>
      <c r="AQ182" s="233"/>
      <c r="AR182" s="233"/>
      <c r="AS182" s="233"/>
      <c r="AT182" s="233"/>
      <c r="AU182" s="233"/>
      <c r="AV182" s="233"/>
      <c r="AW182" s="233"/>
      <c r="AX182" s="233"/>
      <c r="AY182" s="233"/>
      <c r="AZ182" s="233"/>
      <c r="BA182" s="233"/>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row>
    <row r="183" spans="2:111" ht="4.5" customHeight="1">
      <c r="O183" s="70"/>
      <c r="P183" s="70"/>
      <c r="Q183" s="70"/>
      <c r="R183" s="70"/>
      <c r="S183" s="70"/>
      <c r="T183" s="70"/>
      <c r="U183" s="70"/>
      <c r="V183" s="70"/>
      <c r="W183" s="70"/>
      <c r="X183" s="70"/>
      <c r="Y183" s="70"/>
      <c r="Z183" s="70"/>
      <c r="AA183" s="70"/>
      <c r="AB183" s="70"/>
      <c r="AC183" s="70"/>
      <c r="AD183" s="70"/>
      <c r="AE183" s="69"/>
      <c r="AF183" s="69"/>
      <c r="AG183" s="69"/>
      <c r="AH183" s="69"/>
      <c r="AI183" s="69"/>
      <c r="AJ183" s="69"/>
      <c r="AK183" s="69"/>
      <c r="AL183" s="70"/>
      <c r="AM183" s="70"/>
      <c r="AN183" s="70"/>
      <c r="AO183" s="70"/>
      <c r="AP183" s="70"/>
      <c r="AQ183" s="70"/>
      <c r="AR183" s="70"/>
      <c r="AS183" s="70"/>
      <c r="AT183" s="70"/>
      <c r="AU183" s="70"/>
      <c r="AV183" s="70"/>
      <c r="AW183" s="70"/>
      <c r="AX183" s="70"/>
      <c r="AY183" s="70"/>
      <c r="AZ183" s="70"/>
      <c r="BA183" s="70"/>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row>
    <row r="184" spans="2:111" ht="9" customHeight="1">
      <c r="H184" s="229" t="str">
        <f>IF(B175&lt;&gt;"","Descrição:","")</f>
        <v/>
      </c>
      <c r="I184" s="229"/>
      <c r="J184" s="229"/>
      <c r="K184" s="229"/>
      <c r="L184" s="229"/>
      <c r="M184" s="229"/>
      <c r="O184" s="233"/>
      <c r="P184" s="233"/>
      <c r="Q184" s="233"/>
      <c r="R184" s="233"/>
      <c r="S184" s="233"/>
      <c r="T184" s="233"/>
      <c r="U184" s="233"/>
      <c r="V184" s="233"/>
      <c r="W184" s="233"/>
      <c r="X184" s="233"/>
      <c r="Y184" s="233"/>
      <c r="Z184" s="233"/>
      <c r="AA184" s="233"/>
      <c r="AB184" s="233"/>
      <c r="AC184" s="233"/>
      <c r="AD184" s="233"/>
      <c r="AE184" s="229" t="str">
        <f>IF(B175&lt;&gt;"","Unid/Qtde:","")</f>
        <v/>
      </c>
      <c r="AF184" s="229"/>
      <c r="AG184" s="229"/>
      <c r="AH184" s="229"/>
      <c r="AI184" s="229"/>
      <c r="AJ184" s="229"/>
      <c r="AK184" s="26"/>
      <c r="AL184" s="233"/>
      <c r="AM184" s="233"/>
      <c r="AN184" s="233"/>
      <c r="AO184" s="233"/>
      <c r="AP184" s="233"/>
      <c r="AQ184" s="233"/>
      <c r="AR184" s="233"/>
      <c r="AS184" s="233"/>
      <c r="AT184" s="233"/>
      <c r="AU184" s="233"/>
      <c r="AV184" s="233"/>
      <c r="AW184" s="233"/>
      <c r="AX184" s="233"/>
      <c r="AY184" s="233"/>
      <c r="AZ184" s="233"/>
      <c r="BA184" s="233"/>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row>
    <row r="185" spans="2:111" ht="9" customHeight="1">
      <c r="H185" s="229"/>
      <c r="I185" s="229"/>
      <c r="J185" s="229"/>
      <c r="K185" s="229"/>
      <c r="L185" s="229"/>
      <c r="M185" s="229"/>
      <c r="O185" s="233"/>
      <c r="P185" s="233"/>
      <c r="Q185" s="233"/>
      <c r="R185" s="233"/>
      <c r="S185" s="233"/>
      <c r="T185" s="233"/>
      <c r="U185" s="233"/>
      <c r="V185" s="233"/>
      <c r="W185" s="233"/>
      <c r="X185" s="233"/>
      <c r="Y185" s="233"/>
      <c r="Z185" s="233"/>
      <c r="AA185" s="233"/>
      <c r="AB185" s="233"/>
      <c r="AC185" s="233"/>
      <c r="AD185" s="233"/>
      <c r="AE185" s="229"/>
      <c r="AF185" s="229"/>
      <c r="AG185" s="229"/>
      <c r="AH185" s="229"/>
      <c r="AI185" s="229"/>
      <c r="AJ185" s="229"/>
      <c r="AK185" s="26"/>
      <c r="AL185" s="233"/>
      <c r="AM185" s="233"/>
      <c r="AN185" s="233"/>
      <c r="AO185" s="233"/>
      <c r="AP185" s="233"/>
      <c r="AQ185" s="233"/>
      <c r="AR185" s="233"/>
      <c r="AS185" s="233"/>
      <c r="AT185" s="233"/>
      <c r="AU185" s="233"/>
      <c r="AV185" s="233"/>
      <c r="AW185" s="233"/>
      <c r="AX185" s="233"/>
      <c r="AY185" s="233"/>
      <c r="AZ185" s="233"/>
      <c r="BA185" s="233"/>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row>
    <row r="186" spans="2:111" ht="4.5" customHeight="1">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row>
    <row r="187" spans="2:111" ht="9" customHeight="1">
      <c r="B187" s="396" t="str">
        <f>IF('(I) Plano de Trabalho'!$U$752&gt;=5,"Etapa 2.5","")</f>
        <v/>
      </c>
      <c r="C187" s="396"/>
      <c r="D187" s="396"/>
      <c r="E187" s="396"/>
      <c r="F187" s="396"/>
      <c r="G187" s="396"/>
      <c r="H187" s="394" t="str">
        <f>IF('(I) Plano de Trabalho'!$I$848="","",'(I) Plano de Trabalho'!$I$848)</f>
        <v/>
      </c>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row>
    <row r="188" spans="2:111" ht="9" customHeight="1">
      <c r="B188" s="396"/>
      <c r="C188" s="396"/>
      <c r="D188" s="396"/>
      <c r="E188" s="396"/>
      <c r="F188" s="396"/>
      <c r="G188" s="396"/>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row>
    <row r="189" spans="2:111" ht="4.5" customHeight="1">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row>
    <row r="190" spans="2:111" ht="9" customHeight="1">
      <c r="B190" s="242" t="str">
        <f>IF(B187="","","Indicador:")</f>
        <v/>
      </c>
      <c r="C190" s="242"/>
      <c r="D190" s="242"/>
      <c r="E190" s="242"/>
      <c r="F190" s="242"/>
      <c r="G190" s="68"/>
      <c r="H190" s="229" t="str">
        <f>IF(B187&lt;&gt;"","Descrição:","")</f>
        <v/>
      </c>
      <c r="I190" s="229"/>
      <c r="J190" s="229"/>
      <c r="K190" s="229"/>
      <c r="L190" s="229"/>
      <c r="M190" s="229"/>
      <c r="O190" s="233"/>
      <c r="P190" s="233"/>
      <c r="Q190" s="233"/>
      <c r="R190" s="233"/>
      <c r="S190" s="233"/>
      <c r="T190" s="233"/>
      <c r="U190" s="233"/>
      <c r="V190" s="233"/>
      <c r="W190" s="233"/>
      <c r="X190" s="233"/>
      <c r="Y190" s="233"/>
      <c r="Z190" s="233"/>
      <c r="AA190" s="233"/>
      <c r="AB190" s="233"/>
      <c r="AC190" s="233"/>
      <c r="AD190" s="233"/>
      <c r="AE190" s="229" t="str">
        <f>IF(B187&lt;&gt;"","Unid/Qtde:","")</f>
        <v/>
      </c>
      <c r="AF190" s="229"/>
      <c r="AG190" s="229"/>
      <c r="AH190" s="229"/>
      <c r="AI190" s="229"/>
      <c r="AJ190" s="229"/>
      <c r="AK190" s="26"/>
      <c r="AL190" s="233"/>
      <c r="AM190" s="233"/>
      <c r="AN190" s="233"/>
      <c r="AO190" s="233"/>
      <c r="AP190" s="233"/>
      <c r="AQ190" s="233"/>
      <c r="AR190" s="233"/>
      <c r="AS190" s="233"/>
      <c r="AT190" s="233"/>
      <c r="AU190" s="233"/>
      <c r="AV190" s="233"/>
      <c r="AW190" s="233"/>
      <c r="AX190" s="233"/>
      <c r="AY190" s="233"/>
      <c r="AZ190" s="233"/>
      <c r="BA190" s="233"/>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row>
    <row r="191" spans="2:111" ht="9" customHeight="1">
      <c r="B191" s="242"/>
      <c r="C191" s="242"/>
      <c r="D191" s="242"/>
      <c r="E191" s="242"/>
      <c r="F191" s="242"/>
      <c r="G191" s="68"/>
      <c r="H191" s="229"/>
      <c r="I191" s="229"/>
      <c r="J191" s="229"/>
      <c r="K191" s="229"/>
      <c r="L191" s="229"/>
      <c r="M191" s="229"/>
      <c r="O191" s="233"/>
      <c r="P191" s="233"/>
      <c r="Q191" s="233"/>
      <c r="R191" s="233"/>
      <c r="S191" s="233"/>
      <c r="T191" s="233"/>
      <c r="U191" s="233"/>
      <c r="V191" s="233"/>
      <c r="W191" s="233"/>
      <c r="X191" s="233"/>
      <c r="Y191" s="233"/>
      <c r="Z191" s="233"/>
      <c r="AA191" s="233"/>
      <c r="AB191" s="233"/>
      <c r="AC191" s="233"/>
      <c r="AD191" s="233"/>
      <c r="AE191" s="229"/>
      <c r="AF191" s="229"/>
      <c r="AG191" s="229"/>
      <c r="AH191" s="229"/>
      <c r="AI191" s="229"/>
      <c r="AJ191" s="229"/>
      <c r="AK191" s="26"/>
      <c r="AL191" s="233"/>
      <c r="AM191" s="233"/>
      <c r="AN191" s="233"/>
      <c r="AO191" s="233"/>
      <c r="AP191" s="233"/>
      <c r="AQ191" s="233"/>
      <c r="AR191" s="233"/>
      <c r="AS191" s="233"/>
      <c r="AT191" s="233"/>
      <c r="AU191" s="233"/>
      <c r="AV191" s="233"/>
      <c r="AW191" s="233"/>
      <c r="AX191" s="233"/>
      <c r="AY191" s="233"/>
      <c r="AZ191" s="233"/>
      <c r="BA191" s="233"/>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row>
    <row r="192" spans="2:111" ht="4.5" customHeight="1">
      <c r="O192" s="70"/>
      <c r="P192" s="70"/>
      <c r="Q192" s="70"/>
      <c r="R192" s="70"/>
      <c r="S192" s="70"/>
      <c r="T192" s="70"/>
      <c r="U192" s="70"/>
      <c r="V192" s="70"/>
      <c r="W192" s="70"/>
      <c r="X192" s="70"/>
      <c r="Y192" s="70"/>
      <c r="Z192" s="70"/>
      <c r="AA192" s="70"/>
      <c r="AB192" s="70"/>
      <c r="AC192" s="70"/>
      <c r="AD192" s="70"/>
      <c r="AE192" s="69"/>
      <c r="AF192" s="69"/>
      <c r="AG192" s="69"/>
      <c r="AH192" s="69"/>
      <c r="AI192" s="69"/>
      <c r="AJ192" s="69"/>
      <c r="AK192" s="69"/>
      <c r="AL192" s="70"/>
      <c r="AM192" s="70"/>
      <c r="AN192" s="70"/>
      <c r="AO192" s="70"/>
      <c r="AP192" s="70"/>
      <c r="AQ192" s="70"/>
      <c r="AR192" s="70"/>
      <c r="AS192" s="70"/>
      <c r="AT192" s="70"/>
      <c r="AU192" s="70"/>
      <c r="AV192" s="70"/>
      <c r="AW192" s="70"/>
      <c r="AX192" s="70"/>
      <c r="AY192" s="70"/>
      <c r="AZ192" s="70"/>
      <c r="BA192" s="70"/>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row>
    <row r="193" spans="2:111" ht="9" customHeight="1">
      <c r="H193" s="229" t="str">
        <f>IF(B187&lt;&gt;"","Descrição:","")</f>
        <v/>
      </c>
      <c r="I193" s="229"/>
      <c r="J193" s="229"/>
      <c r="K193" s="229"/>
      <c r="L193" s="229"/>
      <c r="M193" s="229"/>
      <c r="O193" s="233"/>
      <c r="P193" s="233"/>
      <c r="Q193" s="233"/>
      <c r="R193" s="233"/>
      <c r="S193" s="233"/>
      <c r="T193" s="233"/>
      <c r="U193" s="233"/>
      <c r="V193" s="233"/>
      <c r="W193" s="233"/>
      <c r="X193" s="233"/>
      <c r="Y193" s="233"/>
      <c r="Z193" s="233"/>
      <c r="AA193" s="233"/>
      <c r="AB193" s="233"/>
      <c r="AC193" s="233"/>
      <c r="AD193" s="233"/>
      <c r="AE193" s="229" t="str">
        <f>IF(B187&lt;&gt;"","Unid/Qtde:","")</f>
        <v/>
      </c>
      <c r="AF193" s="229"/>
      <c r="AG193" s="229"/>
      <c r="AH193" s="229"/>
      <c r="AI193" s="229"/>
      <c r="AJ193" s="229"/>
      <c r="AK193" s="26"/>
      <c r="AL193" s="233"/>
      <c r="AM193" s="233"/>
      <c r="AN193" s="233"/>
      <c r="AO193" s="233"/>
      <c r="AP193" s="233"/>
      <c r="AQ193" s="233"/>
      <c r="AR193" s="233"/>
      <c r="AS193" s="233"/>
      <c r="AT193" s="233"/>
      <c r="AU193" s="233"/>
      <c r="AV193" s="233"/>
      <c r="AW193" s="233"/>
      <c r="AX193" s="233"/>
      <c r="AY193" s="233"/>
      <c r="AZ193" s="233"/>
      <c r="BA193" s="233"/>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row>
    <row r="194" spans="2:111" ht="9" customHeight="1">
      <c r="H194" s="229"/>
      <c r="I194" s="229"/>
      <c r="J194" s="229"/>
      <c r="K194" s="229"/>
      <c r="L194" s="229"/>
      <c r="M194" s="229"/>
      <c r="O194" s="233"/>
      <c r="P194" s="233"/>
      <c r="Q194" s="233"/>
      <c r="R194" s="233"/>
      <c r="S194" s="233"/>
      <c r="T194" s="233"/>
      <c r="U194" s="233"/>
      <c r="V194" s="233"/>
      <c r="W194" s="233"/>
      <c r="X194" s="233"/>
      <c r="Y194" s="233"/>
      <c r="Z194" s="233"/>
      <c r="AA194" s="233"/>
      <c r="AB194" s="233"/>
      <c r="AC194" s="233"/>
      <c r="AD194" s="233"/>
      <c r="AE194" s="229"/>
      <c r="AF194" s="229"/>
      <c r="AG194" s="229"/>
      <c r="AH194" s="229"/>
      <c r="AI194" s="229"/>
      <c r="AJ194" s="229"/>
      <c r="AK194" s="26"/>
      <c r="AL194" s="233"/>
      <c r="AM194" s="233"/>
      <c r="AN194" s="233"/>
      <c r="AO194" s="233"/>
      <c r="AP194" s="233"/>
      <c r="AQ194" s="233"/>
      <c r="AR194" s="233"/>
      <c r="AS194" s="233"/>
      <c r="AT194" s="233"/>
      <c r="AU194" s="233"/>
      <c r="AV194" s="233"/>
      <c r="AW194" s="233"/>
      <c r="AX194" s="233"/>
      <c r="AY194" s="233"/>
      <c r="AZ194" s="233"/>
      <c r="BA194" s="233"/>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row>
    <row r="195" spans="2:111" ht="4.5" customHeight="1">
      <c r="O195" s="70"/>
      <c r="P195" s="70"/>
      <c r="Q195" s="70"/>
      <c r="R195" s="70"/>
      <c r="S195" s="70"/>
      <c r="T195" s="70"/>
      <c r="U195" s="70"/>
      <c r="V195" s="70"/>
      <c r="W195" s="70"/>
      <c r="X195" s="70"/>
      <c r="Y195" s="70"/>
      <c r="Z195" s="70"/>
      <c r="AA195" s="70"/>
      <c r="AB195" s="70"/>
      <c r="AC195" s="70"/>
      <c r="AD195" s="70"/>
      <c r="AE195" s="69"/>
      <c r="AF195" s="69"/>
      <c r="AG195" s="69"/>
      <c r="AH195" s="69"/>
      <c r="AI195" s="69"/>
      <c r="AJ195" s="69"/>
      <c r="AK195" s="69"/>
      <c r="AL195" s="70"/>
      <c r="AM195" s="70"/>
      <c r="AN195" s="70"/>
      <c r="AO195" s="70"/>
      <c r="AP195" s="70"/>
      <c r="AQ195" s="70"/>
      <c r="AR195" s="70"/>
      <c r="AS195" s="70"/>
      <c r="AT195" s="70"/>
      <c r="AU195" s="70"/>
      <c r="AV195" s="70"/>
      <c r="AW195" s="70"/>
      <c r="AX195" s="70"/>
      <c r="AY195" s="70"/>
      <c r="AZ195" s="70"/>
      <c r="BA195" s="70"/>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row>
    <row r="196" spans="2:111" ht="9" customHeight="1">
      <c r="H196" s="229" t="str">
        <f>IF(B187&lt;&gt;"","Descrição:","")</f>
        <v/>
      </c>
      <c r="I196" s="229"/>
      <c r="J196" s="229"/>
      <c r="K196" s="229"/>
      <c r="L196" s="229"/>
      <c r="M196" s="229"/>
      <c r="O196" s="233"/>
      <c r="P196" s="233"/>
      <c r="Q196" s="233"/>
      <c r="R196" s="233"/>
      <c r="S196" s="233"/>
      <c r="T196" s="233"/>
      <c r="U196" s="233"/>
      <c r="V196" s="233"/>
      <c r="W196" s="233"/>
      <c r="X196" s="233"/>
      <c r="Y196" s="233"/>
      <c r="Z196" s="233"/>
      <c r="AA196" s="233"/>
      <c r="AB196" s="233"/>
      <c r="AC196" s="233"/>
      <c r="AD196" s="233"/>
      <c r="AE196" s="229" t="str">
        <f>IF(B187&lt;&gt;"","Unid/Qtde:","")</f>
        <v/>
      </c>
      <c r="AF196" s="229"/>
      <c r="AG196" s="229"/>
      <c r="AH196" s="229"/>
      <c r="AI196" s="229"/>
      <c r="AJ196" s="229"/>
      <c r="AK196" s="26"/>
      <c r="AL196" s="233"/>
      <c r="AM196" s="233"/>
      <c r="AN196" s="233"/>
      <c r="AO196" s="233"/>
      <c r="AP196" s="233"/>
      <c r="AQ196" s="233"/>
      <c r="AR196" s="233"/>
      <c r="AS196" s="233"/>
      <c r="AT196" s="233"/>
      <c r="AU196" s="233"/>
      <c r="AV196" s="233"/>
      <c r="AW196" s="233"/>
      <c r="AX196" s="233"/>
      <c r="AY196" s="233"/>
      <c r="AZ196" s="233"/>
      <c r="BA196" s="233"/>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row>
    <row r="197" spans="2:111" ht="9" customHeight="1">
      <c r="H197" s="229"/>
      <c r="I197" s="229"/>
      <c r="J197" s="229"/>
      <c r="K197" s="229"/>
      <c r="L197" s="229"/>
      <c r="M197" s="229"/>
      <c r="O197" s="233"/>
      <c r="P197" s="233"/>
      <c r="Q197" s="233"/>
      <c r="R197" s="233"/>
      <c r="S197" s="233"/>
      <c r="T197" s="233"/>
      <c r="U197" s="233"/>
      <c r="V197" s="233"/>
      <c r="W197" s="233"/>
      <c r="X197" s="233"/>
      <c r="Y197" s="233"/>
      <c r="Z197" s="233"/>
      <c r="AA197" s="233"/>
      <c r="AB197" s="233"/>
      <c r="AC197" s="233"/>
      <c r="AD197" s="233"/>
      <c r="AE197" s="229"/>
      <c r="AF197" s="229"/>
      <c r="AG197" s="229"/>
      <c r="AH197" s="229"/>
      <c r="AI197" s="229"/>
      <c r="AJ197" s="229"/>
      <c r="AK197" s="26"/>
      <c r="AL197" s="233"/>
      <c r="AM197" s="233"/>
      <c r="AN197" s="233"/>
      <c r="AO197" s="233"/>
      <c r="AP197" s="233"/>
      <c r="AQ197" s="233"/>
      <c r="AR197" s="233"/>
      <c r="AS197" s="233"/>
      <c r="AT197" s="233"/>
      <c r="AU197" s="233"/>
      <c r="AV197" s="233"/>
      <c r="AW197" s="233"/>
      <c r="AX197" s="233"/>
      <c r="AY197" s="233"/>
      <c r="AZ197" s="233"/>
      <c r="BA197" s="233"/>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row>
    <row r="198" spans="2:111" ht="15" customHeight="1">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row>
    <row r="199" spans="2:111" ht="9" customHeight="1">
      <c r="B199" s="395" t="str">
        <f>IF('(I) Plano de Trabalho'!$U$623&gt;=3,"Meta 3","")</f>
        <v>Meta 3</v>
      </c>
      <c r="C199" s="395"/>
      <c r="D199" s="395"/>
      <c r="E199" s="395"/>
      <c r="F199" s="395"/>
      <c r="G199" s="395"/>
      <c r="H199" s="394" t="str">
        <f>IF('(I) Plano de Trabalho'!$I$871="","",'(I) Plano de Trabalho'!$I$871)</f>
        <v>Desenvolver e implementar ferramenta de Consulta para Gestão Operacional aos órgãos do SISNAMA, intervenientes e de Controle</v>
      </c>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c r="AI199" s="394"/>
      <c r="AJ199" s="394"/>
      <c r="AK199" s="394"/>
      <c r="AL199" s="394"/>
      <c r="AM199" s="394"/>
      <c r="AN199" s="394"/>
      <c r="AO199" s="394"/>
      <c r="AP199" s="394"/>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row>
    <row r="200" spans="2:111" ht="9" customHeight="1">
      <c r="B200" s="395"/>
      <c r="C200" s="395"/>
      <c r="D200" s="395"/>
      <c r="E200" s="395"/>
      <c r="F200" s="395"/>
      <c r="G200" s="395"/>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c r="AI200" s="394"/>
      <c r="AJ200" s="394"/>
      <c r="AK200" s="394"/>
      <c r="AL200" s="394"/>
      <c r="AM200" s="394"/>
      <c r="AN200" s="394"/>
      <c r="AO200" s="394"/>
      <c r="AP200" s="394"/>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row>
    <row r="201" spans="2:111" ht="4.5" customHeight="1">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row>
    <row r="202" spans="2:111" ht="9" customHeight="1">
      <c r="B202" s="396" t="str">
        <f>IF('(I) Plano de Trabalho'!$U$874&gt;=1,"Etapa 3.1","")</f>
        <v>Etapa 3.1</v>
      </c>
      <c r="C202" s="396"/>
      <c r="D202" s="396"/>
      <c r="E202" s="396"/>
      <c r="F202" s="396"/>
      <c r="G202" s="396"/>
      <c r="H202" s="394" t="str">
        <f>IF('(I) Plano de Trabalho'!$I$877="","",'(I) Plano de Trabalho'!$I$877)</f>
        <v xml:space="preserve">Levantamento de requisitos e desenvolvimento do portal de informações interligado às aplicações de gerenciamento e integração de dados   </v>
      </c>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c r="AI202" s="394"/>
      <c r="AJ202" s="394"/>
      <c r="AK202" s="394"/>
      <c r="AL202" s="394"/>
      <c r="AM202" s="394"/>
      <c r="AN202" s="394"/>
      <c r="AO202" s="394"/>
      <c r="AP202" s="394"/>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row>
    <row r="203" spans="2:111" ht="9" customHeight="1">
      <c r="B203" s="396"/>
      <c r="C203" s="396"/>
      <c r="D203" s="396"/>
      <c r="E203" s="396"/>
      <c r="F203" s="396"/>
      <c r="G203" s="396"/>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c r="AI203" s="394"/>
      <c r="AJ203" s="394"/>
      <c r="AK203" s="394"/>
      <c r="AL203" s="394"/>
      <c r="AM203" s="394"/>
      <c r="AN203" s="394"/>
      <c r="AO203" s="394"/>
      <c r="AP203" s="394"/>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row>
    <row r="204" spans="2:111" ht="4.5" customHeight="1">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row>
    <row r="205" spans="2:111" ht="9" customHeight="1">
      <c r="B205" s="242" t="str">
        <f>IF(B202="","","Indicador:")</f>
        <v>Indicador:</v>
      </c>
      <c r="C205" s="242"/>
      <c r="D205" s="242"/>
      <c r="E205" s="242"/>
      <c r="F205" s="242"/>
      <c r="G205" s="68"/>
      <c r="H205" s="229" t="str">
        <f>IF(B202&lt;&gt;"","Descrição:","")</f>
        <v>Descrição:</v>
      </c>
      <c r="I205" s="229"/>
      <c r="J205" s="229"/>
      <c r="K205" s="229"/>
      <c r="L205" s="229"/>
      <c r="M205" s="229"/>
      <c r="O205" s="233" t="s">
        <v>549</v>
      </c>
      <c r="P205" s="233"/>
      <c r="Q205" s="233"/>
      <c r="R205" s="233"/>
      <c r="S205" s="233"/>
      <c r="T205" s="233"/>
      <c r="U205" s="233"/>
      <c r="V205" s="233"/>
      <c r="W205" s="233"/>
      <c r="X205" s="233"/>
      <c r="Y205" s="233"/>
      <c r="Z205" s="233"/>
      <c r="AA205" s="233"/>
      <c r="AB205" s="233"/>
      <c r="AC205" s="233"/>
      <c r="AD205" s="233"/>
      <c r="AE205" s="229" t="str">
        <f>IF(B202&lt;&gt;"","Unid/Qtde:","")</f>
        <v>Unid/Qtde:</v>
      </c>
      <c r="AF205" s="229"/>
      <c r="AG205" s="229"/>
      <c r="AH205" s="229"/>
      <c r="AI205" s="229"/>
      <c r="AJ205" s="229"/>
      <c r="AK205" s="26"/>
      <c r="AL205" s="233">
        <v>1</v>
      </c>
      <c r="AM205" s="233"/>
      <c r="AN205" s="233"/>
      <c r="AO205" s="233"/>
      <c r="AP205" s="233"/>
      <c r="AQ205" s="233"/>
      <c r="AR205" s="233"/>
      <c r="AS205" s="233"/>
      <c r="AT205" s="233"/>
      <c r="AU205" s="233"/>
      <c r="AV205" s="233"/>
      <c r="AW205" s="233"/>
      <c r="AX205" s="233"/>
      <c r="AY205" s="233"/>
      <c r="AZ205" s="233"/>
      <c r="BA205" s="233"/>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row>
    <row r="206" spans="2:111" ht="9" customHeight="1">
      <c r="B206" s="242"/>
      <c r="C206" s="242"/>
      <c r="D206" s="242"/>
      <c r="E206" s="242"/>
      <c r="F206" s="242"/>
      <c r="G206" s="68"/>
      <c r="H206" s="229"/>
      <c r="I206" s="229"/>
      <c r="J206" s="229"/>
      <c r="K206" s="229"/>
      <c r="L206" s="229"/>
      <c r="M206" s="229"/>
      <c r="O206" s="233"/>
      <c r="P206" s="233"/>
      <c r="Q206" s="233"/>
      <c r="R206" s="233"/>
      <c r="S206" s="233"/>
      <c r="T206" s="233"/>
      <c r="U206" s="233"/>
      <c r="V206" s="233"/>
      <c r="W206" s="233"/>
      <c r="X206" s="233"/>
      <c r="Y206" s="233"/>
      <c r="Z206" s="233"/>
      <c r="AA206" s="233"/>
      <c r="AB206" s="233"/>
      <c r="AC206" s="233"/>
      <c r="AD206" s="233"/>
      <c r="AE206" s="229"/>
      <c r="AF206" s="229"/>
      <c r="AG206" s="229"/>
      <c r="AH206" s="229"/>
      <c r="AI206" s="229"/>
      <c r="AJ206" s="229"/>
      <c r="AK206" s="26"/>
      <c r="AL206" s="233"/>
      <c r="AM206" s="233"/>
      <c r="AN206" s="233"/>
      <c r="AO206" s="233"/>
      <c r="AP206" s="233"/>
      <c r="AQ206" s="233"/>
      <c r="AR206" s="233"/>
      <c r="AS206" s="233"/>
      <c r="AT206" s="233"/>
      <c r="AU206" s="233"/>
      <c r="AV206" s="233"/>
      <c r="AW206" s="233"/>
      <c r="AX206" s="233"/>
      <c r="AY206" s="233"/>
      <c r="AZ206" s="233"/>
      <c r="BA206" s="233"/>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row>
    <row r="207" spans="2:111" ht="4.5" customHeight="1">
      <c r="O207" s="70"/>
      <c r="P207" s="70"/>
      <c r="Q207" s="70"/>
      <c r="R207" s="70"/>
      <c r="S207" s="70"/>
      <c r="T207" s="70"/>
      <c r="U207" s="70"/>
      <c r="V207" s="70"/>
      <c r="W207" s="70"/>
      <c r="X207" s="70"/>
      <c r="Y207" s="70"/>
      <c r="Z207" s="70"/>
      <c r="AA207" s="70"/>
      <c r="AB207" s="70"/>
      <c r="AC207" s="70"/>
      <c r="AD207" s="70"/>
      <c r="AE207" s="69"/>
      <c r="AF207" s="69"/>
      <c r="AG207" s="69"/>
      <c r="AH207" s="69"/>
      <c r="AI207" s="69"/>
      <c r="AJ207" s="69"/>
      <c r="AK207" s="69"/>
      <c r="AL207" s="70"/>
      <c r="AM207" s="70"/>
      <c r="AN207" s="70"/>
      <c r="AO207" s="70"/>
      <c r="AP207" s="70"/>
      <c r="AQ207" s="70"/>
      <c r="AR207" s="70"/>
      <c r="AS207" s="70"/>
      <c r="AT207" s="70"/>
      <c r="AU207" s="70"/>
      <c r="AV207" s="70"/>
      <c r="AW207" s="70"/>
      <c r="AX207" s="70"/>
      <c r="AY207" s="70"/>
      <c r="AZ207" s="70"/>
      <c r="BA207" s="70"/>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row>
    <row r="208" spans="2:111" ht="9" customHeight="1">
      <c r="H208" s="229" t="str">
        <f>IF(B202&lt;&gt;"","Descrição:","")</f>
        <v>Descrição:</v>
      </c>
      <c r="I208" s="229"/>
      <c r="J208" s="229"/>
      <c r="K208" s="229"/>
      <c r="L208" s="229"/>
      <c r="M208" s="229"/>
      <c r="O208" s="233" t="s">
        <v>548</v>
      </c>
      <c r="P208" s="233"/>
      <c r="Q208" s="233"/>
      <c r="R208" s="233"/>
      <c r="S208" s="233"/>
      <c r="T208" s="233"/>
      <c r="U208" s="233"/>
      <c r="V208" s="233"/>
      <c r="W208" s="233"/>
      <c r="X208" s="233"/>
      <c r="Y208" s="233"/>
      <c r="Z208" s="233"/>
      <c r="AA208" s="233"/>
      <c r="AB208" s="233"/>
      <c r="AC208" s="233"/>
      <c r="AD208" s="233"/>
      <c r="AE208" s="229" t="str">
        <f>IF(B202&lt;&gt;"","Unid/Qtde:","")</f>
        <v>Unid/Qtde:</v>
      </c>
      <c r="AF208" s="229"/>
      <c r="AG208" s="229"/>
      <c r="AH208" s="229"/>
      <c r="AI208" s="229"/>
      <c r="AJ208" s="229"/>
      <c r="AK208" s="26"/>
      <c r="AL208" s="233">
        <v>1</v>
      </c>
      <c r="AM208" s="233"/>
      <c r="AN208" s="233"/>
      <c r="AO208" s="233"/>
      <c r="AP208" s="233"/>
      <c r="AQ208" s="233"/>
      <c r="AR208" s="233"/>
      <c r="AS208" s="233"/>
      <c r="AT208" s="233"/>
      <c r="AU208" s="233"/>
      <c r="AV208" s="233"/>
      <c r="AW208" s="233"/>
      <c r="AX208" s="233"/>
      <c r="AY208" s="233"/>
      <c r="AZ208" s="233"/>
      <c r="BA208" s="233"/>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row>
    <row r="209" spans="2:111" ht="9" customHeight="1">
      <c r="H209" s="229"/>
      <c r="I209" s="229"/>
      <c r="J209" s="229"/>
      <c r="K209" s="229"/>
      <c r="L209" s="229"/>
      <c r="M209" s="229"/>
      <c r="O209" s="233"/>
      <c r="P209" s="233"/>
      <c r="Q209" s="233"/>
      <c r="R209" s="233"/>
      <c r="S209" s="233"/>
      <c r="T209" s="233"/>
      <c r="U209" s="233"/>
      <c r="V209" s="233"/>
      <c r="W209" s="233"/>
      <c r="X209" s="233"/>
      <c r="Y209" s="233"/>
      <c r="Z209" s="233"/>
      <c r="AA209" s="233"/>
      <c r="AB209" s="233"/>
      <c r="AC209" s="233"/>
      <c r="AD209" s="233"/>
      <c r="AE209" s="229"/>
      <c r="AF209" s="229"/>
      <c r="AG209" s="229"/>
      <c r="AH209" s="229"/>
      <c r="AI209" s="229"/>
      <c r="AJ209" s="229"/>
      <c r="AK209" s="26"/>
      <c r="AL209" s="233"/>
      <c r="AM209" s="233"/>
      <c r="AN209" s="233"/>
      <c r="AO209" s="233"/>
      <c r="AP209" s="233"/>
      <c r="AQ209" s="233"/>
      <c r="AR209" s="233"/>
      <c r="AS209" s="233"/>
      <c r="AT209" s="233"/>
      <c r="AU209" s="233"/>
      <c r="AV209" s="233"/>
      <c r="AW209" s="233"/>
      <c r="AX209" s="233"/>
      <c r="AY209" s="233"/>
      <c r="AZ209" s="233"/>
      <c r="BA209" s="233"/>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row>
    <row r="210" spans="2:111" ht="4.5" customHeight="1">
      <c r="O210" s="70"/>
      <c r="P210" s="70"/>
      <c r="Q210" s="70"/>
      <c r="R210" s="70"/>
      <c r="S210" s="70"/>
      <c r="T210" s="70"/>
      <c r="U210" s="70"/>
      <c r="V210" s="70"/>
      <c r="W210" s="70"/>
      <c r="X210" s="70"/>
      <c r="Y210" s="70"/>
      <c r="Z210" s="70"/>
      <c r="AA210" s="70"/>
      <c r="AB210" s="70"/>
      <c r="AC210" s="70"/>
      <c r="AD210" s="70"/>
      <c r="AE210" s="69"/>
      <c r="AF210" s="69"/>
      <c r="AG210" s="69"/>
      <c r="AH210" s="69"/>
      <c r="AI210" s="69"/>
      <c r="AJ210" s="69"/>
      <c r="AK210" s="69"/>
      <c r="AL210" s="70"/>
      <c r="AM210" s="70"/>
      <c r="AN210" s="70"/>
      <c r="AO210" s="70"/>
      <c r="AP210" s="70"/>
      <c r="AQ210" s="70"/>
      <c r="AR210" s="70"/>
      <c r="AS210" s="70"/>
      <c r="AT210" s="70"/>
      <c r="AU210" s="70"/>
      <c r="AV210" s="70"/>
      <c r="AW210" s="70"/>
      <c r="AX210" s="70"/>
      <c r="AY210" s="70"/>
      <c r="AZ210" s="70"/>
      <c r="BA210" s="70"/>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row>
    <row r="211" spans="2:111" ht="9" customHeight="1">
      <c r="H211" s="229" t="str">
        <f>IF(B202&lt;&gt;"","Descrição:","")</f>
        <v>Descrição:</v>
      </c>
      <c r="I211" s="229"/>
      <c r="J211" s="229"/>
      <c r="K211" s="229"/>
      <c r="L211" s="229"/>
      <c r="M211" s="229"/>
      <c r="O211" s="233"/>
      <c r="P211" s="233"/>
      <c r="Q211" s="233"/>
      <c r="R211" s="233"/>
      <c r="S211" s="233"/>
      <c r="T211" s="233"/>
      <c r="U211" s="233"/>
      <c r="V211" s="233"/>
      <c r="W211" s="233"/>
      <c r="X211" s="233"/>
      <c r="Y211" s="233"/>
      <c r="Z211" s="233"/>
      <c r="AA211" s="233"/>
      <c r="AB211" s="233"/>
      <c r="AC211" s="233"/>
      <c r="AD211" s="233"/>
      <c r="AE211" s="229" t="str">
        <f>IF(B202&lt;&gt;"","Unid/Qtde:","")</f>
        <v>Unid/Qtde:</v>
      </c>
      <c r="AF211" s="229"/>
      <c r="AG211" s="229"/>
      <c r="AH211" s="229"/>
      <c r="AI211" s="229"/>
      <c r="AJ211" s="229"/>
      <c r="AK211" s="26"/>
      <c r="AL211" s="233"/>
      <c r="AM211" s="233"/>
      <c r="AN211" s="233"/>
      <c r="AO211" s="233"/>
      <c r="AP211" s="233"/>
      <c r="AQ211" s="233"/>
      <c r="AR211" s="233"/>
      <c r="AS211" s="233"/>
      <c r="AT211" s="233"/>
      <c r="AU211" s="233"/>
      <c r="AV211" s="233"/>
      <c r="AW211" s="233"/>
      <c r="AX211" s="233"/>
      <c r="AY211" s="233"/>
      <c r="AZ211" s="233"/>
      <c r="BA211" s="233"/>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row>
    <row r="212" spans="2:111" ht="9" customHeight="1">
      <c r="H212" s="229"/>
      <c r="I212" s="229"/>
      <c r="J212" s="229"/>
      <c r="K212" s="229"/>
      <c r="L212" s="229"/>
      <c r="M212" s="229"/>
      <c r="O212" s="233"/>
      <c r="P212" s="233"/>
      <c r="Q212" s="233"/>
      <c r="R212" s="233"/>
      <c r="S212" s="233"/>
      <c r="T212" s="233"/>
      <c r="U212" s="233"/>
      <c r="V212" s="233"/>
      <c r="W212" s="233"/>
      <c r="X212" s="233"/>
      <c r="Y212" s="233"/>
      <c r="Z212" s="233"/>
      <c r="AA212" s="233"/>
      <c r="AB212" s="233"/>
      <c r="AC212" s="233"/>
      <c r="AD212" s="233"/>
      <c r="AE212" s="229"/>
      <c r="AF212" s="229"/>
      <c r="AG212" s="229"/>
      <c r="AH212" s="229"/>
      <c r="AI212" s="229"/>
      <c r="AJ212" s="229"/>
      <c r="AK212" s="26"/>
      <c r="AL212" s="233"/>
      <c r="AM212" s="233"/>
      <c r="AN212" s="233"/>
      <c r="AO212" s="233"/>
      <c r="AP212" s="233"/>
      <c r="AQ212" s="233"/>
      <c r="AR212" s="233"/>
      <c r="AS212" s="233"/>
      <c r="AT212" s="233"/>
      <c r="AU212" s="233"/>
      <c r="AV212" s="233"/>
      <c r="AW212" s="233"/>
      <c r="AX212" s="233"/>
      <c r="AY212" s="233"/>
      <c r="AZ212" s="233"/>
      <c r="BA212" s="233"/>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row>
    <row r="213" spans="2:111" ht="4.5" customHeight="1">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row>
    <row r="214" spans="2:111" ht="9" customHeight="1">
      <c r="B214" s="396" t="str">
        <f>IF('(I) Plano de Trabalho'!$U$874&gt;=2,"Etapa 3.2","")</f>
        <v/>
      </c>
      <c r="C214" s="396"/>
      <c r="D214" s="396"/>
      <c r="E214" s="396"/>
      <c r="F214" s="396"/>
      <c r="G214" s="396"/>
      <c r="H214" s="394" t="str">
        <f>IF('(I) Plano de Trabalho'!$I$901="","",'(I) Plano de Trabalho'!$I$901)</f>
        <v/>
      </c>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4"/>
      <c r="AO214" s="394"/>
      <c r="AP214" s="394"/>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row>
    <row r="215" spans="2:111" ht="9" customHeight="1">
      <c r="B215" s="396"/>
      <c r="C215" s="396"/>
      <c r="D215" s="396"/>
      <c r="E215" s="396"/>
      <c r="F215" s="396"/>
      <c r="G215" s="396"/>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c r="AI215" s="394"/>
      <c r="AJ215" s="394"/>
      <c r="AK215" s="394"/>
      <c r="AL215" s="394"/>
      <c r="AM215" s="394"/>
      <c r="AN215" s="394"/>
      <c r="AO215" s="394"/>
      <c r="AP215" s="394"/>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row>
    <row r="216" spans="2:111" ht="4.5" customHeight="1">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row>
    <row r="217" spans="2:111" ht="9" customHeight="1">
      <c r="B217" s="242" t="str">
        <f>IF(B214="","","Indicador:")</f>
        <v/>
      </c>
      <c r="C217" s="242"/>
      <c r="D217" s="242"/>
      <c r="E217" s="242"/>
      <c r="F217" s="242"/>
      <c r="G217" s="68"/>
      <c r="H217" s="229" t="str">
        <f>IF(B214&lt;&gt;"","Descrição:","")</f>
        <v/>
      </c>
      <c r="I217" s="229"/>
      <c r="J217" s="229"/>
      <c r="K217" s="229"/>
      <c r="L217" s="229"/>
      <c r="M217" s="229"/>
      <c r="O217" s="233" t="s">
        <v>550</v>
      </c>
      <c r="P217" s="233"/>
      <c r="Q217" s="233"/>
      <c r="R217" s="233"/>
      <c r="S217" s="233"/>
      <c r="T217" s="233"/>
      <c r="U217" s="233"/>
      <c r="V217" s="233"/>
      <c r="W217" s="233"/>
      <c r="X217" s="233"/>
      <c r="Y217" s="233"/>
      <c r="Z217" s="233"/>
      <c r="AA217" s="233"/>
      <c r="AB217" s="233"/>
      <c r="AC217" s="233"/>
      <c r="AD217" s="233"/>
      <c r="AE217" s="229" t="str">
        <f>IF(B214&lt;&gt;"","Unid/Qtde:","")</f>
        <v/>
      </c>
      <c r="AF217" s="229"/>
      <c r="AG217" s="229"/>
      <c r="AH217" s="229"/>
      <c r="AI217" s="229"/>
      <c r="AJ217" s="229"/>
      <c r="AK217" s="26"/>
      <c r="AL217" s="233">
        <v>1</v>
      </c>
      <c r="AM217" s="233"/>
      <c r="AN217" s="233"/>
      <c r="AO217" s="233"/>
      <c r="AP217" s="233"/>
      <c r="AQ217" s="233"/>
      <c r="AR217" s="233"/>
      <c r="AS217" s="233"/>
      <c r="AT217" s="233"/>
      <c r="AU217" s="233"/>
      <c r="AV217" s="233"/>
      <c r="AW217" s="233"/>
      <c r="AX217" s="233"/>
      <c r="AY217" s="233"/>
      <c r="AZ217" s="233"/>
      <c r="BA217" s="233"/>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row>
    <row r="218" spans="2:111" ht="9" customHeight="1">
      <c r="B218" s="242"/>
      <c r="C218" s="242"/>
      <c r="D218" s="242"/>
      <c r="E218" s="242"/>
      <c r="F218" s="242"/>
      <c r="G218" s="68"/>
      <c r="H218" s="229"/>
      <c r="I218" s="229"/>
      <c r="J218" s="229"/>
      <c r="K218" s="229"/>
      <c r="L218" s="229"/>
      <c r="M218" s="229"/>
      <c r="O218" s="233"/>
      <c r="P218" s="233"/>
      <c r="Q218" s="233"/>
      <c r="R218" s="233"/>
      <c r="S218" s="233"/>
      <c r="T218" s="233"/>
      <c r="U218" s="233"/>
      <c r="V218" s="233"/>
      <c r="W218" s="233"/>
      <c r="X218" s="233"/>
      <c r="Y218" s="233"/>
      <c r="Z218" s="233"/>
      <c r="AA218" s="233"/>
      <c r="AB218" s="233"/>
      <c r="AC218" s="233"/>
      <c r="AD218" s="233"/>
      <c r="AE218" s="229"/>
      <c r="AF218" s="229"/>
      <c r="AG218" s="229"/>
      <c r="AH218" s="229"/>
      <c r="AI218" s="229"/>
      <c r="AJ218" s="229"/>
      <c r="AK218" s="26"/>
      <c r="AL218" s="233"/>
      <c r="AM218" s="233"/>
      <c r="AN218" s="233"/>
      <c r="AO218" s="233"/>
      <c r="AP218" s="233"/>
      <c r="AQ218" s="233"/>
      <c r="AR218" s="233"/>
      <c r="AS218" s="233"/>
      <c r="AT218" s="233"/>
      <c r="AU218" s="233"/>
      <c r="AV218" s="233"/>
      <c r="AW218" s="233"/>
      <c r="AX218" s="233"/>
      <c r="AY218" s="233"/>
      <c r="AZ218" s="233"/>
      <c r="BA218" s="233"/>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row>
    <row r="219" spans="2:111" ht="4.5" customHeight="1">
      <c r="O219" s="70"/>
      <c r="P219" s="70"/>
      <c r="Q219" s="70"/>
      <c r="R219" s="70"/>
      <c r="S219" s="70"/>
      <c r="T219" s="70"/>
      <c r="U219" s="70"/>
      <c r="V219" s="70"/>
      <c r="W219" s="70"/>
      <c r="X219" s="70"/>
      <c r="Y219" s="70"/>
      <c r="Z219" s="70"/>
      <c r="AA219" s="70"/>
      <c r="AB219" s="70"/>
      <c r="AC219" s="70"/>
      <c r="AD219" s="70"/>
      <c r="AE219" s="69"/>
      <c r="AF219" s="69"/>
      <c r="AG219" s="69"/>
      <c r="AH219" s="69"/>
      <c r="AI219" s="69"/>
      <c r="AJ219" s="69"/>
      <c r="AK219" s="69"/>
      <c r="AL219" s="70"/>
      <c r="AM219" s="70"/>
      <c r="AN219" s="70"/>
      <c r="AO219" s="70"/>
      <c r="AP219" s="70"/>
      <c r="AQ219" s="70"/>
      <c r="AR219" s="70"/>
      <c r="AS219" s="70"/>
      <c r="AT219" s="70"/>
      <c r="AU219" s="70"/>
      <c r="AV219" s="70"/>
      <c r="AW219" s="70"/>
      <c r="AX219" s="70"/>
      <c r="AY219" s="70"/>
      <c r="AZ219" s="70"/>
      <c r="BA219" s="70"/>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row>
    <row r="220" spans="2:111" ht="9" customHeight="1">
      <c r="H220" s="229" t="str">
        <f>IF(B214&lt;&gt;"","Descrição:","")</f>
        <v/>
      </c>
      <c r="I220" s="229"/>
      <c r="J220" s="229"/>
      <c r="K220" s="229"/>
      <c r="L220" s="229"/>
      <c r="M220" s="229"/>
      <c r="O220" s="233" t="s">
        <v>545</v>
      </c>
      <c r="P220" s="233"/>
      <c r="Q220" s="233"/>
      <c r="R220" s="233"/>
      <c r="S220" s="233"/>
      <c r="T220" s="233"/>
      <c r="U220" s="233"/>
      <c r="V220" s="233"/>
      <c r="W220" s="233"/>
      <c r="X220" s="233"/>
      <c r="Y220" s="233"/>
      <c r="Z220" s="233"/>
      <c r="AA220" s="233"/>
      <c r="AB220" s="233"/>
      <c r="AC220" s="233"/>
      <c r="AD220" s="233"/>
      <c r="AE220" s="229" t="str">
        <f>IF(B214&lt;&gt;"","Unid/Qtde:","")</f>
        <v/>
      </c>
      <c r="AF220" s="229"/>
      <c r="AG220" s="229"/>
      <c r="AH220" s="229"/>
      <c r="AI220" s="229"/>
      <c r="AJ220" s="229"/>
      <c r="AK220" s="26"/>
      <c r="AL220" s="233">
        <v>8</v>
      </c>
      <c r="AM220" s="233"/>
      <c r="AN220" s="233"/>
      <c r="AO220" s="233"/>
      <c r="AP220" s="233"/>
      <c r="AQ220" s="233"/>
      <c r="AR220" s="233"/>
      <c r="AS220" s="233"/>
      <c r="AT220" s="233"/>
      <c r="AU220" s="233"/>
      <c r="AV220" s="233"/>
      <c r="AW220" s="233"/>
      <c r="AX220" s="233"/>
      <c r="AY220" s="233"/>
      <c r="AZ220" s="233"/>
      <c r="BA220" s="233"/>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row>
    <row r="221" spans="2:111" ht="9" customHeight="1">
      <c r="H221" s="229"/>
      <c r="I221" s="229"/>
      <c r="J221" s="229"/>
      <c r="K221" s="229"/>
      <c r="L221" s="229"/>
      <c r="M221" s="229"/>
      <c r="O221" s="233"/>
      <c r="P221" s="233"/>
      <c r="Q221" s="233"/>
      <c r="R221" s="233"/>
      <c r="S221" s="233"/>
      <c r="T221" s="233"/>
      <c r="U221" s="233"/>
      <c r="V221" s="233"/>
      <c r="W221" s="233"/>
      <c r="X221" s="233"/>
      <c r="Y221" s="233"/>
      <c r="Z221" s="233"/>
      <c r="AA221" s="233"/>
      <c r="AB221" s="233"/>
      <c r="AC221" s="233"/>
      <c r="AD221" s="233"/>
      <c r="AE221" s="229"/>
      <c r="AF221" s="229"/>
      <c r="AG221" s="229"/>
      <c r="AH221" s="229"/>
      <c r="AI221" s="229"/>
      <c r="AJ221" s="229"/>
      <c r="AK221" s="26"/>
      <c r="AL221" s="233"/>
      <c r="AM221" s="233"/>
      <c r="AN221" s="233"/>
      <c r="AO221" s="233"/>
      <c r="AP221" s="233"/>
      <c r="AQ221" s="233"/>
      <c r="AR221" s="233"/>
      <c r="AS221" s="233"/>
      <c r="AT221" s="233"/>
      <c r="AU221" s="233"/>
      <c r="AV221" s="233"/>
      <c r="AW221" s="233"/>
      <c r="AX221" s="233"/>
      <c r="AY221" s="233"/>
      <c r="AZ221" s="233"/>
      <c r="BA221" s="233"/>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row>
    <row r="222" spans="2:111" ht="4.5" customHeight="1">
      <c r="O222" s="70"/>
      <c r="P222" s="70"/>
      <c r="Q222" s="70"/>
      <c r="R222" s="70"/>
      <c r="S222" s="70"/>
      <c r="T222" s="70"/>
      <c r="U222" s="70"/>
      <c r="V222" s="70"/>
      <c r="W222" s="70"/>
      <c r="X222" s="70"/>
      <c r="Y222" s="70"/>
      <c r="Z222" s="70"/>
      <c r="AA222" s="70"/>
      <c r="AB222" s="70"/>
      <c r="AC222" s="70"/>
      <c r="AD222" s="70"/>
      <c r="AE222" s="69"/>
      <c r="AF222" s="69"/>
      <c r="AG222" s="69"/>
      <c r="AH222" s="69"/>
      <c r="AI222" s="69"/>
      <c r="AJ222" s="69"/>
      <c r="AK222" s="69"/>
      <c r="AL222" s="70"/>
      <c r="AM222" s="70"/>
      <c r="AN222" s="70"/>
      <c r="AO222" s="70"/>
      <c r="AP222" s="70"/>
      <c r="AQ222" s="70"/>
      <c r="AR222" s="70"/>
      <c r="AS222" s="70"/>
      <c r="AT222" s="70"/>
      <c r="AU222" s="70"/>
      <c r="AV222" s="70"/>
      <c r="AW222" s="70"/>
      <c r="AX222" s="70"/>
      <c r="AY222" s="70"/>
      <c r="AZ222" s="70"/>
      <c r="BA222" s="70"/>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row>
    <row r="223" spans="2:111" ht="9" customHeight="1">
      <c r="H223" s="229" t="str">
        <f>IF(B214&lt;&gt;"","Descrição:","")</f>
        <v/>
      </c>
      <c r="I223" s="229"/>
      <c r="J223" s="229"/>
      <c r="K223" s="229"/>
      <c r="L223" s="229"/>
      <c r="M223" s="229"/>
      <c r="O223" s="233"/>
      <c r="P223" s="233"/>
      <c r="Q223" s="233"/>
      <c r="R223" s="233"/>
      <c r="S223" s="233"/>
      <c r="T223" s="233"/>
      <c r="U223" s="233"/>
      <c r="V223" s="233"/>
      <c r="W223" s="233"/>
      <c r="X223" s="233"/>
      <c r="Y223" s="233"/>
      <c r="Z223" s="233"/>
      <c r="AA223" s="233"/>
      <c r="AB223" s="233"/>
      <c r="AC223" s="233"/>
      <c r="AD223" s="233"/>
      <c r="AE223" s="229" t="str">
        <f>IF(B214&lt;&gt;"","Unid/Qtde:","")</f>
        <v/>
      </c>
      <c r="AF223" s="229"/>
      <c r="AG223" s="229"/>
      <c r="AH223" s="229"/>
      <c r="AI223" s="229"/>
      <c r="AJ223" s="229"/>
      <c r="AK223" s="26"/>
      <c r="AL223" s="233"/>
      <c r="AM223" s="233"/>
      <c r="AN223" s="233"/>
      <c r="AO223" s="233"/>
      <c r="AP223" s="233"/>
      <c r="AQ223" s="233"/>
      <c r="AR223" s="233"/>
      <c r="AS223" s="233"/>
      <c r="AT223" s="233"/>
      <c r="AU223" s="233"/>
      <c r="AV223" s="233"/>
      <c r="AW223" s="233"/>
      <c r="AX223" s="233"/>
      <c r="AY223" s="233"/>
      <c r="AZ223" s="233"/>
      <c r="BA223" s="233"/>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row>
    <row r="224" spans="2:111" ht="9" customHeight="1">
      <c r="H224" s="229"/>
      <c r="I224" s="229"/>
      <c r="J224" s="229"/>
      <c r="K224" s="229"/>
      <c r="L224" s="229"/>
      <c r="M224" s="229"/>
      <c r="O224" s="233"/>
      <c r="P224" s="233"/>
      <c r="Q224" s="233"/>
      <c r="R224" s="233"/>
      <c r="S224" s="233"/>
      <c r="T224" s="233"/>
      <c r="U224" s="233"/>
      <c r="V224" s="233"/>
      <c r="W224" s="233"/>
      <c r="X224" s="233"/>
      <c r="Y224" s="233"/>
      <c r="Z224" s="233"/>
      <c r="AA224" s="233"/>
      <c r="AB224" s="233"/>
      <c r="AC224" s="233"/>
      <c r="AD224" s="233"/>
      <c r="AE224" s="229"/>
      <c r="AF224" s="229"/>
      <c r="AG224" s="229"/>
      <c r="AH224" s="229"/>
      <c r="AI224" s="229"/>
      <c r="AJ224" s="229"/>
      <c r="AK224" s="26"/>
      <c r="AL224" s="233"/>
      <c r="AM224" s="233"/>
      <c r="AN224" s="233"/>
      <c r="AO224" s="233"/>
      <c r="AP224" s="233"/>
      <c r="AQ224" s="233"/>
      <c r="AR224" s="233"/>
      <c r="AS224" s="233"/>
      <c r="AT224" s="233"/>
      <c r="AU224" s="233"/>
      <c r="AV224" s="233"/>
      <c r="AW224" s="233"/>
      <c r="AX224" s="233"/>
      <c r="AY224" s="233"/>
      <c r="AZ224" s="233"/>
      <c r="BA224" s="233"/>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row>
    <row r="225" spans="2:111" ht="4.5" customHeight="1">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row>
    <row r="226" spans="2:111" ht="9" customHeight="1">
      <c r="B226" s="396" t="str">
        <f>IF('(I) Plano de Trabalho'!$U$874&gt;=3,"Etapa 3.3","")</f>
        <v/>
      </c>
      <c r="C226" s="396"/>
      <c r="D226" s="396"/>
      <c r="E226" s="396"/>
      <c r="F226" s="396"/>
      <c r="G226" s="396"/>
      <c r="H226" s="394" t="str">
        <f>IF('(I) Plano de Trabalho'!$I$924="","",'(I) Plano de Trabalho'!$I$924)</f>
        <v/>
      </c>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row>
    <row r="227" spans="2:111" ht="9" customHeight="1">
      <c r="B227" s="396"/>
      <c r="C227" s="396"/>
      <c r="D227" s="396"/>
      <c r="E227" s="396"/>
      <c r="F227" s="396"/>
      <c r="G227" s="396"/>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c r="AI227" s="394"/>
      <c r="AJ227" s="394"/>
      <c r="AK227" s="394"/>
      <c r="AL227" s="394"/>
      <c r="AM227" s="394"/>
      <c r="AN227" s="394"/>
      <c r="AO227" s="394"/>
      <c r="AP227" s="394"/>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row>
    <row r="228" spans="2:111" ht="4.5" customHeight="1">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row>
    <row r="229" spans="2:111" ht="9" customHeight="1">
      <c r="B229" s="242" t="str">
        <f>IF(B226="","","Indicador:")</f>
        <v/>
      </c>
      <c r="C229" s="242"/>
      <c r="D229" s="242"/>
      <c r="E229" s="242"/>
      <c r="F229" s="242"/>
      <c r="G229" s="68"/>
      <c r="H229" s="229" t="str">
        <f>IF(B226&lt;&gt;"","Descrição:","")</f>
        <v/>
      </c>
      <c r="I229" s="229"/>
      <c r="J229" s="229"/>
      <c r="K229" s="229"/>
      <c r="L229" s="229"/>
      <c r="M229" s="229"/>
      <c r="O229" s="233"/>
      <c r="P229" s="233"/>
      <c r="Q229" s="233"/>
      <c r="R229" s="233"/>
      <c r="S229" s="233"/>
      <c r="T229" s="233"/>
      <c r="U229" s="233"/>
      <c r="V229" s="233"/>
      <c r="W229" s="233"/>
      <c r="X229" s="233"/>
      <c r="Y229" s="233"/>
      <c r="Z229" s="233"/>
      <c r="AA229" s="233"/>
      <c r="AB229" s="233"/>
      <c r="AC229" s="233"/>
      <c r="AD229" s="233"/>
      <c r="AE229" s="229" t="str">
        <f>IF(B226&lt;&gt;"","Unid/Qtde:","")</f>
        <v/>
      </c>
      <c r="AF229" s="229"/>
      <c r="AG229" s="229"/>
      <c r="AH229" s="229"/>
      <c r="AI229" s="229"/>
      <c r="AJ229" s="229"/>
      <c r="AK229" s="26"/>
      <c r="AL229" s="233"/>
      <c r="AM229" s="233"/>
      <c r="AN229" s="233"/>
      <c r="AO229" s="233"/>
      <c r="AP229" s="233"/>
      <c r="AQ229" s="233"/>
      <c r="AR229" s="233"/>
      <c r="AS229" s="233"/>
      <c r="AT229" s="233"/>
      <c r="AU229" s="233"/>
      <c r="AV229" s="233"/>
      <c r="AW229" s="233"/>
      <c r="AX229" s="233"/>
      <c r="AY229" s="233"/>
      <c r="AZ229" s="233"/>
      <c r="BA229" s="233"/>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row>
    <row r="230" spans="2:111" ht="9" customHeight="1">
      <c r="B230" s="242"/>
      <c r="C230" s="242"/>
      <c r="D230" s="242"/>
      <c r="E230" s="242"/>
      <c r="F230" s="242"/>
      <c r="G230" s="68"/>
      <c r="H230" s="229"/>
      <c r="I230" s="229"/>
      <c r="J230" s="229"/>
      <c r="K230" s="229"/>
      <c r="L230" s="229"/>
      <c r="M230" s="229"/>
      <c r="O230" s="233"/>
      <c r="P230" s="233"/>
      <c r="Q230" s="233"/>
      <c r="R230" s="233"/>
      <c r="S230" s="233"/>
      <c r="T230" s="233"/>
      <c r="U230" s="233"/>
      <c r="V230" s="233"/>
      <c r="W230" s="233"/>
      <c r="X230" s="233"/>
      <c r="Y230" s="233"/>
      <c r="Z230" s="233"/>
      <c r="AA230" s="233"/>
      <c r="AB230" s="233"/>
      <c r="AC230" s="233"/>
      <c r="AD230" s="233"/>
      <c r="AE230" s="229"/>
      <c r="AF230" s="229"/>
      <c r="AG230" s="229"/>
      <c r="AH230" s="229"/>
      <c r="AI230" s="229"/>
      <c r="AJ230" s="229"/>
      <c r="AK230" s="26"/>
      <c r="AL230" s="233"/>
      <c r="AM230" s="233"/>
      <c r="AN230" s="233"/>
      <c r="AO230" s="233"/>
      <c r="AP230" s="233"/>
      <c r="AQ230" s="233"/>
      <c r="AR230" s="233"/>
      <c r="AS230" s="233"/>
      <c r="AT230" s="233"/>
      <c r="AU230" s="233"/>
      <c r="AV230" s="233"/>
      <c r="AW230" s="233"/>
      <c r="AX230" s="233"/>
      <c r="AY230" s="233"/>
      <c r="AZ230" s="233"/>
      <c r="BA230" s="233"/>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row>
    <row r="231" spans="2:111" ht="4.5" customHeight="1">
      <c r="O231" s="70"/>
      <c r="P231" s="70"/>
      <c r="Q231" s="70"/>
      <c r="R231" s="70"/>
      <c r="S231" s="70"/>
      <c r="T231" s="70"/>
      <c r="U231" s="70"/>
      <c r="V231" s="70"/>
      <c r="W231" s="70"/>
      <c r="X231" s="70"/>
      <c r="Y231" s="70"/>
      <c r="Z231" s="70"/>
      <c r="AA231" s="70"/>
      <c r="AB231" s="70"/>
      <c r="AC231" s="70"/>
      <c r="AD231" s="70"/>
      <c r="AE231" s="69"/>
      <c r="AF231" s="69"/>
      <c r="AG231" s="69"/>
      <c r="AH231" s="69"/>
      <c r="AI231" s="69"/>
      <c r="AJ231" s="69"/>
      <c r="AK231" s="69"/>
      <c r="AL231" s="70"/>
      <c r="AM231" s="70"/>
      <c r="AN231" s="70"/>
      <c r="AO231" s="70"/>
      <c r="AP231" s="70"/>
      <c r="AQ231" s="70"/>
      <c r="AR231" s="70"/>
      <c r="AS231" s="70"/>
      <c r="AT231" s="70"/>
      <c r="AU231" s="70"/>
      <c r="AV231" s="70"/>
      <c r="AW231" s="70"/>
      <c r="AX231" s="70"/>
      <c r="AY231" s="70"/>
      <c r="AZ231" s="70"/>
      <c r="BA231" s="70"/>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row>
    <row r="232" spans="2:111" ht="9" customHeight="1">
      <c r="H232" s="229" t="str">
        <f>IF(B226&lt;&gt;"","Descrição:","")</f>
        <v/>
      </c>
      <c r="I232" s="229"/>
      <c r="J232" s="229"/>
      <c r="K232" s="229"/>
      <c r="L232" s="229"/>
      <c r="M232" s="229"/>
      <c r="O232" s="233"/>
      <c r="P232" s="233"/>
      <c r="Q232" s="233"/>
      <c r="R232" s="233"/>
      <c r="S232" s="233"/>
      <c r="T232" s="233"/>
      <c r="U232" s="233"/>
      <c r="V232" s="233"/>
      <c r="W232" s="233"/>
      <c r="X232" s="233"/>
      <c r="Y232" s="233"/>
      <c r="Z232" s="233"/>
      <c r="AA232" s="233"/>
      <c r="AB232" s="233"/>
      <c r="AC232" s="233"/>
      <c r="AD232" s="233"/>
      <c r="AE232" s="229" t="str">
        <f>IF(B226&lt;&gt;"","Unid/Qtde:","")</f>
        <v/>
      </c>
      <c r="AF232" s="229"/>
      <c r="AG232" s="229"/>
      <c r="AH232" s="229"/>
      <c r="AI232" s="229"/>
      <c r="AJ232" s="229"/>
      <c r="AK232" s="26"/>
      <c r="AL232" s="233"/>
      <c r="AM232" s="233"/>
      <c r="AN232" s="233"/>
      <c r="AO232" s="233"/>
      <c r="AP232" s="233"/>
      <c r="AQ232" s="233"/>
      <c r="AR232" s="233"/>
      <c r="AS232" s="233"/>
      <c r="AT232" s="233"/>
      <c r="AU232" s="233"/>
      <c r="AV232" s="233"/>
      <c r="AW232" s="233"/>
      <c r="AX232" s="233"/>
      <c r="AY232" s="233"/>
      <c r="AZ232" s="233"/>
      <c r="BA232" s="233"/>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row>
    <row r="233" spans="2:111" ht="9" customHeight="1">
      <c r="H233" s="229"/>
      <c r="I233" s="229"/>
      <c r="J233" s="229"/>
      <c r="K233" s="229"/>
      <c r="L233" s="229"/>
      <c r="M233" s="229"/>
      <c r="O233" s="233"/>
      <c r="P233" s="233"/>
      <c r="Q233" s="233"/>
      <c r="R233" s="233"/>
      <c r="S233" s="233"/>
      <c r="T233" s="233"/>
      <c r="U233" s="233"/>
      <c r="V233" s="233"/>
      <c r="W233" s="233"/>
      <c r="X233" s="233"/>
      <c r="Y233" s="233"/>
      <c r="Z233" s="233"/>
      <c r="AA233" s="233"/>
      <c r="AB233" s="233"/>
      <c r="AC233" s="233"/>
      <c r="AD233" s="233"/>
      <c r="AE233" s="229"/>
      <c r="AF233" s="229"/>
      <c r="AG233" s="229"/>
      <c r="AH233" s="229"/>
      <c r="AI233" s="229"/>
      <c r="AJ233" s="229"/>
      <c r="AK233" s="26"/>
      <c r="AL233" s="233"/>
      <c r="AM233" s="233"/>
      <c r="AN233" s="233"/>
      <c r="AO233" s="233"/>
      <c r="AP233" s="233"/>
      <c r="AQ233" s="233"/>
      <c r="AR233" s="233"/>
      <c r="AS233" s="233"/>
      <c r="AT233" s="233"/>
      <c r="AU233" s="233"/>
      <c r="AV233" s="233"/>
      <c r="AW233" s="233"/>
      <c r="AX233" s="233"/>
      <c r="AY233" s="233"/>
      <c r="AZ233" s="233"/>
      <c r="BA233" s="233"/>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row>
    <row r="234" spans="2:111" ht="4.5" customHeight="1">
      <c r="O234" s="70"/>
      <c r="P234" s="70"/>
      <c r="Q234" s="70"/>
      <c r="R234" s="70"/>
      <c r="S234" s="70"/>
      <c r="T234" s="70"/>
      <c r="U234" s="70"/>
      <c r="V234" s="70"/>
      <c r="W234" s="70"/>
      <c r="X234" s="70"/>
      <c r="Y234" s="70"/>
      <c r="Z234" s="70"/>
      <c r="AA234" s="70"/>
      <c r="AB234" s="70"/>
      <c r="AC234" s="70"/>
      <c r="AD234" s="70"/>
      <c r="AE234" s="69"/>
      <c r="AF234" s="69"/>
      <c r="AG234" s="69"/>
      <c r="AH234" s="69"/>
      <c r="AI234" s="69"/>
      <c r="AJ234" s="69"/>
      <c r="AK234" s="69"/>
      <c r="AL234" s="70"/>
      <c r="AM234" s="70"/>
      <c r="AN234" s="70"/>
      <c r="AO234" s="70"/>
      <c r="AP234" s="70"/>
      <c r="AQ234" s="70"/>
      <c r="AR234" s="70"/>
      <c r="AS234" s="70"/>
      <c r="AT234" s="70"/>
      <c r="AU234" s="70"/>
      <c r="AV234" s="70"/>
      <c r="AW234" s="70"/>
      <c r="AX234" s="70"/>
      <c r="AY234" s="70"/>
      <c r="AZ234" s="70"/>
      <c r="BA234" s="70"/>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row>
    <row r="235" spans="2:111" ht="9" customHeight="1">
      <c r="H235" s="229" t="str">
        <f>IF(B226&lt;&gt;"","Descrição:","")</f>
        <v/>
      </c>
      <c r="I235" s="229"/>
      <c r="J235" s="229"/>
      <c r="K235" s="229"/>
      <c r="L235" s="229"/>
      <c r="M235" s="229"/>
      <c r="O235" s="233"/>
      <c r="P235" s="233"/>
      <c r="Q235" s="233"/>
      <c r="R235" s="233"/>
      <c r="S235" s="233"/>
      <c r="T235" s="233"/>
      <c r="U235" s="233"/>
      <c r="V235" s="233"/>
      <c r="W235" s="233"/>
      <c r="X235" s="233"/>
      <c r="Y235" s="233"/>
      <c r="Z235" s="233"/>
      <c r="AA235" s="233"/>
      <c r="AB235" s="233"/>
      <c r="AC235" s="233"/>
      <c r="AD235" s="233"/>
      <c r="AE235" s="229" t="str">
        <f>IF(B226&lt;&gt;"","Unid/Qtde:","")</f>
        <v/>
      </c>
      <c r="AF235" s="229"/>
      <c r="AG235" s="229"/>
      <c r="AH235" s="229"/>
      <c r="AI235" s="229"/>
      <c r="AJ235" s="229"/>
      <c r="AK235" s="26"/>
      <c r="AL235" s="233"/>
      <c r="AM235" s="233"/>
      <c r="AN235" s="233"/>
      <c r="AO235" s="233"/>
      <c r="AP235" s="233"/>
      <c r="AQ235" s="233"/>
      <c r="AR235" s="233"/>
      <c r="AS235" s="233"/>
      <c r="AT235" s="233"/>
      <c r="AU235" s="233"/>
      <c r="AV235" s="233"/>
      <c r="AW235" s="233"/>
      <c r="AX235" s="233"/>
      <c r="AY235" s="233"/>
      <c r="AZ235" s="233"/>
      <c r="BA235" s="233"/>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row>
    <row r="236" spans="2:111" ht="9" customHeight="1">
      <c r="H236" s="229"/>
      <c r="I236" s="229"/>
      <c r="J236" s="229"/>
      <c r="K236" s="229"/>
      <c r="L236" s="229"/>
      <c r="M236" s="229"/>
      <c r="O236" s="233"/>
      <c r="P236" s="233"/>
      <c r="Q236" s="233"/>
      <c r="R236" s="233"/>
      <c r="S236" s="233"/>
      <c r="T236" s="233"/>
      <c r="U236" s="233"/>
      <c r="V236" s="233"/>
      <c r="W236" s="233"/>
      <c r="X236" s="233"/>
      <c r="Y236" s="233"/>
      <c r="Z236" s="233"/>
      <c r="AA236" s="233"/>
      <c r="AB236" s="233"/>
      <c r="AC236" s="233"/>
      <c r="AD236" s="233"/>
      <c r="AE236" s="229"/>
      <c r="AF236" s="229"/>
      <c r="AG236" s="229"/>
      <c r="AH236" s="229"/>
      <c r="AI236" s="229"/>
      <c r="AJ236" s="229"/>
      <c r="AK236" s="26"/>
      <c r="AL236" s="233"/>
      <c r="AM236" s="233"/>
      <c r="AN236" s="233"/>
      <c r="AO236" s="233"/>
      <c r="AP236" s="233"/>
      <c r="AQ236" s="233"/>
      <c r="AR236" s="233"/>
      <c r="AS236" s="233"/>
      <c r="AT236" s="233"/>
      <c r="AU236" s="233"/>
      <c r="AV236" s="233"/>
      <c r="AW236" s="233"/>
      <c r="AX236" s="233"/>
      <c r="AY236" s="233"/>
      <c r="AZ236" s="233"/>
      <c r="BA236" s="233"/>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row>
    <row r="237" spans="2:111" ht="4.5" customHeight="1">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row>
    <row r="238" spans="2:111" ht="9" customHeight="1">
      <c r="B238" s="396" t="str">
        <f>IF('(I) Plano de Trabalho'!$U$874&gt;=4,"Etapa 3.4","")</f>
        <v/>
      </c>
      <c r="C238" s="396"/>
      <c r="D238" s="396"/>
      <c r="E238" s="396"/>
      <c r="F238" s="396"/>
      <c r="G238" s="396"/>
      <c r="H238" s="394" t="str">
        <f>IF('(I) Plano de Trabalho'!$I$947="","",'(I) Plano de Trabalho'!$I$947)</f>
        <v/>
      </c>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394"/>
      <c r="AJ238" s="394"/>
      <c r="AK238" s="394"/>
      <c r="AL238" s="394"/>
      <c r="AM238" s="394"/>
      <c r="AN238" s="394"/>
      <c r="AO238" s="394"/>
      <c r="AP238" s="394"/>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row>
    <row r="239" spans="2:111" ht="9" customHeight="1">
      <c r="B239" s="396"/>
      <c r="C239" s="396"/>
      <c r="D239" s="396"/>
      <c r="E239" s="396"/>
      <c r="F239" s="396"/>
      <c r="G239" s="396"/>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4"/>
      <c r="AK239" s="394"/>
      <c r="AL239" s="394"/>
      <c r="AM239" s="394"/>
      <c r="AN239" s="394"/>
      <c r="AO239" s="394"/>
      <c r="AP239" s="394"/>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row>
    <row r="240" spans="2:111" ht="4.5" customHeight="1">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row>
    <row r="241" spans="2:111" ht="9" customHeight="1">
      <c r="B241" s="242" t="str">
        <f>IF(B238="","","Indicador:")</f>
        <v/>
      </c>
      <c r="C241" s="242"/>
      <c r="D241" s="242"/>
      <c r="E241" s="242"/>
      <c r="F241" s="242"/>
      <c r="G241" s="68"/>
      <c r="H241" s="229" t="str">
        <f>IF(B238&lt;&gt;"","Descrição:","")</f>
        <v/>
      </c>
      <c r="I241" s="229"/>
      <c r="J241" s="229"/>
      <c r="K241" s="229"/>
      <c r="L241" s="229"/>
      <c r="M241" s="229"/>
      <c r="O241" s="233"/>
      <c r="P241" s="233"/>
      <c r="Q241" s="233"/>
      <c r="R241" s="233"/>
      <c r="S241" s="233"/>
      <c r="T241" s="233"/>
      <c r="U241" s="233"/>
      <c r="V241" s="233"/>
      <c r="W241" s="233"/>
      <c r="X241" s="233"/>
      <c r="Y241" s="233"/>
      <c r="Z241" s="233"/>
      <c r="AA241" s="233"/>
      <c r="AB241" s="233"/>
      <c r="AC241" s="233"/>
      <c r="AD241" s="233"/>
      <c r="AE241" s="229" t="str">
        <f>IF(B238&lt;&gt;"","Unid/Qtde:","")</f>
        <v/>
      </c>
      <c r="AF241" s="229"/>
      <c r="AG241" s="229"/>
      <c r="AH241" s="229"/>
      <c r="AI241" s="229"/>
      <c r="AJ241" s="229"/>
      <c r="AK241" s="26"/>
      <c r="AL241" s="233"/>
      <c r="AM241" s="233"/>
      <c r="AN241" s="233"/>
      <c r="AO241" s="233"/>
      <c r="AP241" s="233"/>
      <c r="AQ241" s="233"/>
      <c r="AR241" s="233"/>
      <c r="AS241" s="233"/>
      <c r="AT241" s="233"/>
      <c r="AU241" s="233"/>
      <c r="AV241" s="233"/>
      <c r="AW241" s="233"/>
      <c r="AX241" s="233"/>
      <c r="AY241" s="233"/>
      <c r="AZ241" s="233"/>
      <c r="BA241" s="233"/>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row>
    <row r="242" spans="2:111" ht="9" customHeight="1">
      <c r="B242" s="242"/>
      <c r="C242" s="242"/>
      <c r="D242" s="242"/>
      <c r="E242" s="242"/>
      <c r="F242" s="242"/>
      <c r="G242" s="68"/>
      <c r="H242" s="229"/>
      <c r="I242" s="229"/>
      <c r="J242" s="229"/>
      <c r="K242" s="229"/>
      <c r="L242" s="229"/>
      <c r="M242" s="229"/>
      <c r="O242" s="233"/>
      <c r="P242" s="233"/>
      <c r="Q242" s="233"/>
      <c r="R242" s="233"/>
      <c r="S242" s="233"/>
      <c r="T242" s="233"/>
      <c r="U242" s="233"/>
      <c r="V242" s="233"/>
      <c r="W242" s="233"/>
      <c r="X242" s="233"/>
      <c r="Y242" s="233"/>
      <c r="Z242" s="233"/>
      <c r="AA242" s="233"/>
      <c r="AB242" s="233"/>
      <c r="AC242" s="233"/>
      <c r="AD242" s="233"/>
      <c r="AE242" s="229"/>
      <c r="AF242" s="229"/>
      <c r="AG242" s="229"/>
      <c r="AH242" s="229"/>
      <c r="AI242" s="229"/>
      <c r="AJ242" s="229"/>
      <c r="AK242" s="26"/>
      <c r="AL242" s="233"/>
      <c r="AM242" s="233"/>
      <c r="AN242" s="233"/>
      <c r="AO242" s="233"/>
      <c r="AP242" s="233"/>
      <c r="AQ242" s="233"/>
      <c r="AR242" s="233"/>
      <c r="AS242" s="233"/>
      <c r="AT242" s="233"/>
      <c r="AU242" s="233"/>
      <c r="AV242" s="233"/>
      <c r="AW242" s="233"/>
      <c r="AX242" s="233"/>
      <c r="AY242" s="233"/>
      <c r="AZ242" s="233"/>
      <c r="BA242" s="233"/>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row>
    <row r="243" spans="2:111" ht="4.5" customHeight="1">
      <c r="O243" s="70"/>
      <c r="P243" s="70"/>
      <c r="Q243" s="70"/>
      <c r="R243" s="70"/>
      <c r="S243" s="70"/>
      <c r="T243" s="70"/>
      <c r="U243" s="70"/>
      <c r="V243" s="70"/>
      <c r="W243" s="70"/>
      <c r="X243" s="70"/>
      <c r="Y243" s="70"/>
      <c r="Z243" s="70"/>
      <c r="AA243" s="70"/>
      <c r="AB243" s="70"/>
      <c r="AC243" s="70"/>
      <c r="AD243" s="70"/>
      <c r="AE243" s="69"/>
      <c r="AF243" s="69"/>
      <c r="AG243" s="69"/>
      <c r="AH243" s="69"/>
      <c r="AI243" s="69"/>
      <c r="AJ243" s="69"/>
      <c r="AK243" s="69"/>
      <c r="AL243" s="70"/>
      <c r="AM243" s="70"/>
      <c r="AN243" s="70"/>
      <c r="AO243" s="70"/>
      <c r="AP243" s="70"/>
      <c r="AQ243" s="70"/>
      <c r="AR243" s="70"/>
      <c r="AS243" s="70"/>
      <c r="AT243" s="70"/>
      <c r="AU243" s="70"/>
      <c r="AV243" s="70"/>
      <c r="AW243" s="70"/>
      <c r="AX243" s="70"/>
      <c r="AY243" s="70"/>
      <c r="AZ243" s="70"/>
      <c r="BA243" s="70"/>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row>
    <row r="244" spans="2:111" ht="9" customHeight="1">
      <c r="H244" s="229" t="str">
        <f>IF(B238&lt;&gt;"","Descrição:","")</f>
        <v/>
      </c>
      <c r="I244" s="229"/>
      <c r="J244" s="229"/>
      <c r="K244" s="229"/>
      <c r="L244" s="229"/>
      <c r="M244" s="229"/>
      <c r="O244" s="233"/>
      <c r="P244" s="233"/>
      <c r="Q244" s="233"/>
      <c r="R244" s="233"/>
      <c r="S244" s="233"/>
      <c r="T244" s="233"/>
      <c r="U244" s="233"/>
      <c r="V244" s="233"/>
      <c r="W244" s="233"/>
      <c r="X244" s="233"/>
      <c r="Y244" s="233"/>
      <c r="Z244" s="233"/>
      <c r="AA244" s="233"/>
      <c r="AB244" s="233"/>
      <c r="AC244" s="233"/>
      <c r="AD244" s="233"/>
      <c r="AE244" s="229" t="str">
        <f>IF(B238&lt;&gt;"","Unid/Qtde:","")</f>
        <v/>
      </c>
      <c r="AF244" s="229"/>
      <c r="AG244" s="229"/>
      <c r="AH244" s="229"/>
      <c r="AI244" s="229"/>
      <c r="AJ244" s="229"/>
      <c r="AK244" s="26"/>
      <c r="AL244" s="233"/>
      <c r="AM244" s="233"/>
      <c r="AN244" s="233"/>
      <c r="AO244" s="233"/>
      <c r="AP244" s="233"/>
      <c r="AQ244" s="233"/>
      <c r="AR244" s="233"/>
      <c r="AS244" s="233"/>
      <c r="AT244" s="233"/>
      <c r="AU244" s="233"/>
      <c r="AV244" s="233"/>
      <c r="AW244" s="233"/>
      <c r="AX244" s="233"/>
      <c r="AY244" s="233"/>
      <c r="AZ244" s="233"/>
      <c r="BA244" s="233"/>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row>
    <row r="245" spans="2:111" ht="9" customHeight="1">
      <c r="H245" s="229"/>
      <c r="I245" s="229"/>
      <c r="J245" s="229"/>
      <c r="K245" s="229"/>
      <c r="L245" s="229"/>
      <c r="M245" s="229"/>
      <c r="O245" s="233"/>
      <c r="P245" s="233"/>
      <c r="Q245" s="233"/>
      <c r="R245" s="233"/>
      <c r="S245" s="233"/>
      <c r="T245" s="233"/>
      <c r="U245" s="233"/>
      <c r="V245" s="233"/>
      <c r="W245" s="233"/>
      <c r="X245" s="233"/>
      <c r="Y245" s="233"/>
      <c r="Z245" s="233"/>
      <c r="AA245" s="233"/>
      <c r="AB245" s="233"/>
      <c r="AC245" s="233"/>
      <c r="AD245" s="233"/>
      <c r="AE245" s="229"/>
      <c r="AF245" s="229"/>
      <c r="AG245" s="229"/>
      <c r="AH245" s="229"/>
      <c r="AI245" s="229"/>
      <c r="AJ245" s="229"/>
      <c r="AK245" s="26"/>
      <c r="AL245" s="233"/>
      <c r="AM245" s="233"/>
      <c r="AN245" s="233"/>
      <c r="AO245" s="233"/>
      <c r="AP245" s="233"/>
      <c r="AQ245" s="233"/>
      <c r="AR245" s="233"/>
      <c r="AS245" s="233"/>
      <c r="AT245" s="233"/>
      <c r="AU245" s="233"/>
      <c r="AV245" s="233"/>
      <c r="AW245" s="233"/>
      <c r="AX245" s="233"/>
      <c r="AY245" s="233"/>
      <c r="AZ245" s="233"/>
      <c r="BA245" s="233"/>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row>
    <row r="246" spans="2:111" ht="4.5" customHeight="1">
      <c r="O246" s="70"/>
      <c r="P246" s="70"/>
      <c r="Q246" s="70"/>
      <c r="R246" s="70"/>
      <c r="S246" s="70"/>
      <c r="T246" s="70"/>
      <c r="U246" s="70"/>
      <c r="V246" s="70"/>
      <c r="W246" s="70"/>
      <c r="X246" s="70"/>
      <c r="Y246" s="70"/>
      <c r="Z246" s="70"/>
      <c r="AA246" s="70"/>
      <c r="AB246" s="70"/>
      <c r="AC246" s="70"/>
      <c r="AD246" s="70"/>
      <c r="AE246" s="69"/>
      <c r="AF246" s="69"/>
      <c r="AG246" s="69"/>
      <c r="AH246" s="69"/>
      <c r="AI246" s="69"/>
      <c r="AJ246" s="69"/>
      <c r="AK246" s="69"/>
      <c r="AL246" s="70"/>
      <c r="AM246" s="70"/>
      <c r="AN246" s="70"/>
      <c r="AO246" s="70"/>
      <c r="AP246" s="70"/>
      <c r="AQ246" s="70"/>
      <c r="AR246" s="70"/>
      <c r="AS246" s="70"/>
      <c r="AT246" s="70"/>
      <c r="AU246" s="70"/>
      <c r="AV246" s="70"/>
      <c r="AW246" s="70"/>
      <c r="AX246" s="70"/>
      <c r="AY246" s="70"/>
      <c r="AZ246" s="70"/>
      <c r="BA246" s="70"/>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row>
    <row r="247" spans="2:111" ht="9" customHeight="1">
      <c r="H247" s="229" t="str">
        <f>IF(B238&lt;&gt;"","Descrição:","")</f>
        <v/>
      </c>
      <c r="I247" s="229"/>
      <c r="J247" s="229"/>
      <c r="K247" s="229"/>
      <c r="L247" s="229"/>
      <c r="M247" s="229"/>
      <c r="O247" s="233"/>
      <c r="P247" s="233"/>
      <c r="Q247" s="233"/>
      <c r="R247" s="233"/>
      <c r="S247" s="233"/>
      <c r="T247" s="233"/>
      <c r="U247" s="233"/>
      <c r="V247" s="233"/>
      <c r="W247" s="233"/>
      <c r="X247" s="233"/>
      <c r="Y247" s="233"/>
      <c r="Z247" s="233"/>
      <c r="AA247" s="233"/>
      <c r="AB247" s="233"/>
      <c r="AC247" s="233"/>
      <c r="AD247" s="233"/>
      <c r="AE247" s="229" t="str">
        <f>IF(B238&lt;&gt;"","Unid/Qtde:","")</f>
        <v/>
      </c>
      <c r="AF247" s="229"/>
      <c r="AG247" s="229"/>
      <c r="AH247" s="229"/>
      <c r="AI247" s="229"/>
      <c r="AJ247" s="229"/>
      <c r="AK247" s="26"/>
      <c r="AL247" s="233"/>
      <c r="AM247" s="233"/>
      <c r="AN247" s="233"/>
      <c r="AO247" s="233"/>
      <c r="AP247" s="233"/>
      <c r="AQ247" s="233"/>
      <c r="AR247" s="233"/>
      <c r="AS247" s="233"/>
      <c r="AT247" s="233"/>
      <c r="AU247" s="233"/>
      <c r="AV247" s="233"/>
      <c r="AW247" s="233"/>
      <c r="AX247" s="233"/>
      <c r="AY247" s="233"/>
      <c r="AZ247" s="233"/>
      <c r="BA247" s="233"/>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row>
    <row r="248" spans="2:111" ht="9" customHeight="1">
      <c r="H248" s="229"/>
      <c r="I248" s="229"/>
      <c r="J248" s="229"/>
      <c r="K248" s="229"/>
      <c r="L248" s="229"/>
      <c r="M248" s="229"/>
      <c r="O248" s="233"/>
      <c r="P248" s="233"/>
      <c r="Q248" s="233"/>
      <c r="R248" s="233"/>
      <c r="S248" s="233"/>
      <c r="T248" s="233"/>
      <c r="U248" s="233"/>
      <c r="V248" s="233"/>
      <c r="W248" s="233"/>
      <c r="X248" s="233"/>
      <c r="Y248" s="233"/>
      <c r="Z248" s="233"/>
      <c r="AA248" s="233"/>
      <c r="AB248" s="233"/>
      <c r="AC248" s="233"/>
      <c r="AD248" s="233"/>
      <c r="AE248" s="229"/>
      <c r="AF248" s="229"/>
      <c r="AG248" s="229"/>
      <c r="AH248" s="229"/>
      <c r="AI248" s="229"/>
      <c r="AJ248" s="229"/>
      <c r="AK248" s="26"/>
      <c r="AL248" s="233"/>
      <c r="AM248" s="233"/>
      <c r="AN248" s="233"/>
      <c r="AO248" s="233"/>
      <c r="AP248" s="233"/>
      <c r="AQ248" s="233"/>
      <c r="AR248" s="233"/>
      <c r="AS248" s="233"/>
      <c r="AT248" s="233"/>
      <c r="AU248" s="233"/>
      <c r="AV248" s="233"/>
      <c r="AW248" s="233"/>
      <c r="AX248" s="233"/>
      <c r="AY248" s="233"/>
      <c r="AZ248" s="233"/>
      <c r="BA248" s="233"/>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row>
    <row r="249" spans="2:111" ht="4.5" customHeight="1">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row>
    <row r="250" spans="2:111" ht="9" customHeight="1">
      <c r="B250" s="396" t="str">
        <f>IF('(I) Plano de Trabalho'!$U$874&gt;=5,"Etapa 3.5","")</f>
        <v/>
      </c>
      <c r="C250" s="396"/>
      <c r="D250" s="396"/>
      <c r="E250" s="396"/>
      <c r="F250" s="396"/>
      <c r="G250" s="396"/>
      <c r="H250" s="394" t="str">
        <f>IF('(I) Plano de Trabalho'!$I$971="","",'(I) Plano de Trabalho'!$I$971)</f>
        <v/>
      </c>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row>
    <row r="251" spans="2:111" ht="9" customHeight="1">
      <c r="B251" s="396"/>
      <c r="C251" s="396"/>
      <c r="D251" s="396"/>
      <c r="E251" s="396"/>
      <c r="F251" s="396"/>
      <c r="G251" s="396"/>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4"/>
      <c r="AK251" s="394"/>
      <c r="AL251" s="394"/>
      <c r="AM251" s="394"/>
      <c r="AN251" s="394"/>
      <c r="AO251" s="394"/>
      <c r="AP251" s="394"/>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row>
    <row r="252" spans="2:111" ht="4.5" customHeight="1">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row>
    <row r="253" spans="2:111" ht="9" customHeight="1">
      <c r="B253" s="242" t="str">
        <f>IF(B250="","","Indicador:")</f>
        <v/>
      </c>
      <c r="C253" s="242"/>
      <c r="D253" s="242"/>
      <c r="E253" s="242"/>
      <c r="F253" s="242"/>
      <c r="G253" s="68"/>
      <c r="H253" s="229" t="str">
        <f>IF(B250&lt;&gt;"","Descrição:","")</f>
        <v/>
      </c>
      <c r="I253" s="229"/>
      <c r="J253" s="229"/>
      <c r="K253" s="229"/>
      <c r="L253" s="229"/>
      <c r="M253" s="229"/>
      <c r="O253" s="233"/>
      <c r="P253" s="233"/>
      <c r="Q253" s="233"/>
      <c r="R253" s="233"/>
      <c r="S253" s="233"/>
      <c r="T253" s="233"/>
      <c r="U253" s="233"/>
      <c r="V253" s="233"/>
      <c r="W253" s="233"/>
      <c r="X253" s="233"/>
      <c r="Y253" s="233"/>
      <c r="Z253" s="233"/>
      <c r="AA253" s="233"/>
      <c r="AB253" s="233"/>
      <c r="AC253" s="233"/>
      <c r="AD253" s="233"/>
      <c r="AE253" s="229" t="str">
        <f>IF(B250&lt;&gt;"","Unid/Qtde:","")</f>
        <v/>
      </c>
      <c r="AF253" s="229"/>
      <c r="AG253" s="229"/>
      <c r="AH253" s="229"/>
      <c r="AI253" s="229"/>
      <c r="AJ253" s="229"/>
      <c r="AK253" s="26"/>
      <c r="AL253" s="233"/>
      <c r="AM253" s="233"/>
      <c r="AN253" s="233"/>
      <c r="AO253" s="233"/>
      <c r="AP253" s="233"/>
      <c r="AQ253" s="233"/>
      <c r="AR253" s="233"/>
      <c r="AS253" s="233"/>
      <c r="AT253" s="233"/>
      <c r="AU253" s="233"/>
      <c r="AV253" s="233"/>
      <c r="AW253" s="233"/>
      <c r="AX253" s="233"/>
      <c r="AY253" s="233"/>
      <c r="AZ253" s="233"/>
      <c r="BA253" s="233"/>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row>
    <row r="254" spans="2:111" ht="9" customHeight="1">
      <c r="B254" s="242"/>
      <c r="C254" s="242"/>
      <c r="D254" s="242"/>
      <c r="E254" s="242"/>
      <c r="F254" s="242"/>
      <c r="G254" s="68"/>
      <c r="H254" s="229"/>
      <c r="I254" s="229"/>
      <c r="J254" s="229"/>
      <c r="K254" s="229"/>
      <c r="L254" s="229"/>
      <c r="M254" s="229"/>
      <c r="O254" s="233"/>
      <c r="P254" s="233"/>
      <c r="Q254" s="233"/>
      <c r="R254" s="233"/>
      <c r="S254" s="233"/>
      <c r="T254" s="233"/>
      <c r="U254" s="233"/>
      <c r="V254" s="233"/>
      <c r="W254" s="233"/>
      <c r="X254" s="233"/>
      <c r="Y254" s="233"/>
      <c r="Z254" s="233"/>
      <c r="AA254" s="233"/>
      <c r="AB254" s="233"/>
      <c r="AC254" s="233"/>
      <c r="AD254" s="233"/>
      <c r="AE254" s="229"/>
      <c r="AF254" s="229"/>
      <c r="AG254" s="229"/>
      <c r="AH254" s="229"/>
      <c r="AI254" s="229"/>
      <c r="AJ254" s="229"/>
      <c r="AK254" s="26"/>
      <c r="AL254" s="233"/>
      <c r="AM254" s="233"/>
      <c r="AN254" s="233"/>
      <c r="AO254" s="233"/>
      <c r="AP254" s="233"/>
      <c r="AQ254" s="233"/>
      <c r="AR254" s="233"/>
      <c r="AS254" s="233"/>
      <c r="AT254" s="233"/>
      <c r="AU254" s="233"/>
      <c r="AV254" s="233"/>
      <c r="AW254" s="233"/>
      <c r="AX254" s="233"/>
      <c r="AY254" s="233"/>
      <c r="AZ254" s="233"/>
      <c r="BA254" s="233"/>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row>
    <row r="255" spans="2:111" ht="4.5" customHeight="1">
      <c r="O255" s="70"/>
      <c r="P255" s="70"/>
      <c r="Q255" s="70"/>
      <c r="R255" s="70"/>
      <c r="S255" s="70"/>
      <c r="T255" s="70"/>
      <c r="U255" s="70"/>
      <c r="V255" s="70"/>
      <c r="W255" s="70"/>
      <c r="X255" s="70"/>
      <c r="Y255" s="70"/>
      <c r="Z255" s="70"/>
      <c r="AA255" s="70"/>
      <c r="AB255" s="70"/>
      <c r="AC255" s="70"/>
      <c r="AD255" s="70"/>
      <c r="AE255" s="69"/>
      <c r="AF255" s="69"/>
      <c r="AG255" s="69"/>
      <c r="AH255" s="69"/>
      <c r="AI255" s="69"/>
      <c r="AJ255" s="69"/>
      <c r="AK255" s="69"/>
      <c r="AL255" s="70"/>
      <c r="AM255" s="70"/>
      <c r="AN255" s="70"/>
      <c r="AO255" s="70"/>
      <c r="AP255" s="70"/>
      <c r="AQ255" s="70"/>
      <c r="AR255" s="70"/>
      <c r="AS255" s="70"/>
      <c r="AT255" s="70"/>
      <c r="AU255" s="70"/>
      <c r="AV255" s="70"/>
      <c r="AW255" s="70"/>
      <c r="AX255" s="70"/>
      <c r="AY255" s="70"/>
      <c r="AZ255" s="70"/>
      <c r="BA255" s="70"/>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row>
    <row r="256" spans="2:111" ht="9" customHeight="1">
      <c r="H256" s="229" t="str">
        <f>IF(B250&lt;&gt;"","Descrição:","")</f>
        <v/>
      </c>
      <c r="I256" s="229"/>
      <c r="J256" s="229"/>
      <c r="K256" s="229"/>
      <c r="L256" s="229"/>
      <c r="M256" s="229"/>
      <c r="O256" s="233"/>
      <c r="P256" s="233"/>
      <c r="Q256" s="233"/>
      <c r="R256" s="233"/>
      <c r="S256" s="233"/>
      <c r="T256" s="233"/>
      <c r="U256" s="233"/>
      <c r="V256" s="233"/>
      <c r="W256" s="233"/>
      <c r="X256" s="233"/>
      <c r="Y256" s="233"/>
      <c r="Z256" s="233"/>
      <c r="AA256" s="233"/>
      <c r="AB256" s="233"/>
      <c r="AC256" s="233"/>
      <c r="AD256" s="233"/>
      <c r="AE256" s="229" t="str">
        <f>IF(B250&lt;&gt;"","Unid/Qtde:","")</f>
        <v/>
      </c>
      <c r="AF256" s="229"/>
      <c r="AG256" s="229"/>
      <c r="AH256" s="229"/>
      <c r="AI256" s="229"/>
      <c r="AJ256" s="229"/>
      <c r="AK256" s="26"/>
      <c r="AL256" s="233"/>
      <c r="AM256" s="233"/>
      <c r="AN256" s="233"/>
      <c r="AO256" s="233"/>
      <c r="AP256" s="233"/>
      <c r="AQ256" s="233"/>
      <c r="AR256" s="233"/>
      <c r="AS256" s="233"/>
      <c r="AT256" s="233"/>
      <c r="AU256" s="233"/>
      <c r="AV256" s="233"/>
      <c r="AW256" s="233"/>
      <c r="AX256" s="233"/>
      <c r="AY256" s="233"/>
      <c r="AZ256" s="233"/>
      <c r="BA256" s="233"/>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row>
    <row r="257" spans="2:111" ht="9" customHeight="1">
      <c r="H257" s="229"/>
      <c r="I257" s="229"/>
      <c r="J257" s="229"/>
      <c r="K257" s="229"/>
      <c r="L257" s="229"/>
      <c r="M257" s="229"/>
      <c r="O257" s="233"/>
      <c r="P257" s="233"/>
      <c r="Q257" s="233"/>
      <c r="R257" s="233"/>
      <c r="S257" s="233"/>
      <c r="T257" s="233"/>
      <c r="U257" s="233"/>
      <c r="V257" s="233"/>
      <c r="W257" s="233"/>
      <c r="X257" s="233"/>
      <c r="Y257" s="233"/>
      <c r="Z257" s="233"/>
      <c r="AA257" s="233"/>
      <c r="AB257" s="233"/>
      <c r="AC257" s="233"/>
      <c r="AD257" s="233"/>
      <c r="AE257" s="229"/>
      <c r="AF257" s="229"/>
      <c r="AG257" s="229"/>
      <c r="AH257" s="229"/>
      <c r="AI257" s="229"/>
      <c r="AJ257" s="229"/>
      <c r="AK257" s="26"/>
      <c r="AL257" s="233"/>
      <c r="AM257" s="233"/>
      <c r="AN257" s="233"/>
      <c r="AO257" s="233"/>
      <c r="AP257" s="233"/>
      <c r="AQ257" s="233"/>
      <c r="AR257" s="233"/>
      <c r="AS257" s="233"/>
      <c r="AT257" s="233"/>
      <c r="AU257" s="233"/>
      <c r="AV257" s="233"/>
      <c r="AW257" s="233"/>
      <c r="AX257" s="233"/>
      <c r="AY257" s="233"/>
      <c r="AZ257" s="233"/>
      <c r="BA257" s="233"/>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row>
    <row r="258" spans="2:111" ht="4.5" customHeight="1">
      <c r="O258" s="70"/>
      <c r="P258" s="70"/>
      <c r="Q258" s="70"/>
      <c r="R258" s="70"/>
      <c r="S258" s="70"/>
      <c r="T258" s="70"/>
      <c r="U258" s="70"/>
      <c r="V258" s="70"/>
      <c r="W258" s="70"/>
      <c r="X258" s="70"/>
      <c r="Y258" s="70"/>
      <c r="Z258" s="70"/>
      <c r="AA258" s="70"/>
      <c r="AB258" s="70"/>
      <c r="AC258" s="70"/>
      <c r="AD258" s="70"/>
      <c r="AE258" s="69"/>
      <c r="AF258" s="69"/>
      <c r="AG258" s="69"/>
      <c r="AH258" s="69"/>
      <c r="AI258" s="69"/>
      <c r="AJ258" s="69"/>
      <c r="AK258" s="69"/>
      <c r="AL258" s="70"/>
      <c r="AM258" s="70"/>
      <c r="AN258" s="70"/>
      <c r="AO258" s="70"/>
      <c r="AP258" s="70"/>
      <c r="AQ258" s="70"/>
      <c r="AR258" s="70"/>
      <c r="AS258" s="70"/>
      <c r="AT258" s="70"/>
      <c r="AU258" s="70"/>
      <c r="AV258" s="70"/>
      <c r="AW258" s="70"/>
      <c r="AX258" s="70"/>
      <c r="AY258" s="70"/>
      <c r="AZ258" s="70"/>
      <c r="BA258" s="70"/>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row>
    <row r="259" spans="2:111" ht="9" customHeight="1">
      <c r="H259" s="229" t="str">
        <f>IF(B250&lt;&gt;"","Descrição:","")</f>
        <v/>
      </c>
      <c r="I259" s="229"/>
      <c r="J259" s="229"/>
      <c r="K259" s="229"/>
      <c r="L259" s="229"/>
      <c r="M259" s="229"/>
      <c r="O259" s="233"/>
      <c r="P259" s="233"/>
      <c r="Q259" s="233"/>
      <c r="R259" s="233"/>
      <c r="S259" s="233"/>
      <c r="T259" s="233"/>
      <c r="U259" s="233"/>
      <c r="V259" s="233"/>
      <c r="W259" s="233"/>
      <c r="X259" s="233"/>
      <c r="Y259" s="233"/>
      <c r="Z259" s="233"/>
      <c r="AA259" s="233"/>
      <c r="AB259" s="233"/>
      <c r="AC259" s="233"/>
      <c r="AD259" s="233"/>
      <c r="AE259" s="229" t="str">
        <f>IF(B250&lt;&gt;"","Unid/Qtde:","")</f>
        <v/>
      </c>
      <c r="AF259" s="229"/>
      <c r="AG259" s="229"/>
      <c r="AH259" s="229"/>
      <c r="AI259" s="229"/>
      <c r="AJ259" s="229"/>
      <c r="AK259" s="26"/>
      <c r="AL259" s="233"/>
      <c r="AM259" s="233"/>
      <c r="AN259" s="233"/>
      <c r="AO259" s="233"/>
      <c r="AP259" s="233"/>
      <c r="AQ259" s="233"/>
      <c r="AR259" s="233"/>
      <c r="AS259" s="233"/>
      <c r="AT259" s="233"/>
      <c r="AU259" s="233"/>
      <c r="AV259" s="233"/>
      <c r="AW259" s="233"/>
      <c r="AX259" s="233"/>
      <c r="AY259" s="233"/>
      <c r="AZ259" s="233"/>
      <c r="BA259" s="233"/>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row>
    <row r="260" spans="2:111" ht="9" customHeight="1">
      <c r="H260" s="229"/>
      <c r="I260" s="229"/>
      <c r="J260" s="229"/>
      <c r="K260" s="229"/>
      <c r="L260" s="229"/>
      <c r="M260" s="229"/>
      <c r="O260" s="233"/>
      <c r="P260" s="233"/>
      <c r="Q260" s="233"/>
      <c r="R260" s="233"/>
      <c r="S260" s="233"/>
      <c r="T260" s="233"/>
      <c r="U260" s="233"/>
      <c r="V260" s="233"/>
      <c r="W260" s="233"/>
      <c r="X260" s="233"/>
      <c r="Y260" s="233"/>
      <c r="Z260" s="233"/>
      <c r="AA260" s="233"/>
      <c r="AB260" s="233"/>
      <c r="AC260" s="233"/>
      <c r="AD260" s="233"/>
      <c r="AE260" s="229"/>
      <c r="AF260" s="229"/>
      <c r="AG260" s="229"/>
      <c r="AH260" s="229"/>
      <c r="AI260" s="229"/>
      <c r="AJ260" s="229"/>
      <c r="AK260" s="26"/>
      <c r="AL260" s="233"/>
      <c r="AM260" s="233"/>
      <c r="AN260" s="233"/>
      <c r="AO260" s="233"/>
      <c r="AP260" s="233"/>
      <c r="AQ260" s="233"/>
      <c r="AR260" s="233"/>
      <c r="AS260" s="233"/>
      <c r="AT260" s="233"/>
      <c r="AU260" s="233"/>
      <c r="AV260" s="233"/>
      <c r="AW260" s="233"/>
      <c r="AX260" s="233"/>
      <c r="AY260" s="233"/>
      <c r="AZ260" s="233"/>
      <c r="BA260" s="233"/>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row>
    <row r="261" spans="2:111" ht="15" customHeight="1">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row>
    <row r="262" spans="2:111" ht="9" customHeight="1">
      <c r="B262" s="395" t="str">
        <f>IF('(I) Plano de Trabalho'!$U$623&gt;=4,"Meta 4","")</f>
        <v>Meta 4</v>
      </c>
      <c r="C262" s="395"/>
      <c r="D262" s="395"/>
      <c r="E262" s="395"/>
      <c r="F262" s="395"/>
      <c r="G262" s="395"/>
      <c r="H262" s="394" t="str">
        <f>IF('(I) Plano de Trabalho'!$I$994="","",'(I) Plano de Trabalho'!$I$994)</f>
        <v>Qualificar Operacionalmente a Fiscalização Ambiental do Comércio Exterior</v>
      </c>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394"/>
      <c r="AK262" s="394"/>
      <c r="AL262" s="394"/>
      <c r="AM262" s="394"/>
      <c r="AN262" s="394"/>
      <c r="AO262" s="394"/>
      <c r="AP262" s="394"/>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row>
    <row r="263" spans="2:111" ht="9" customHeight="1">
      <c r="B263" s="395"/>
      <c r="C263" s="395"/>
      <c r="D263" s="395"/>
      <c r="E263" s="395"/>
      <c r="F263" s="395"/>
      <c r="G263" s="395"/>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c r="AI263" s="394"/>
      <c r="AJ263" s="394"/>
      <c r="AK263" s="394"/>
      <c r="AL263" s="394"/>
      <c r="AM263" s="394"/>
      <c r="AN263" s="394"/>
      <c r="AO263" s="394"/>
      <c r="AP263" s="394"/>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row>
    <row r="264" spans="2:111" ht="4.5" customHeight="1">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row>
    <row r="265" spans="2:111" ht="9" customHeight="1">
      <c r="B265" s="396" t="str">
        <f>IF('(I) Plano de Trabalho'!$U$997&gt;=1,"Etapa 4.1","")</f>
        <v>Etapa 4.1</v>
      </c>
      <c r="C265" s="396"/>
      <c r="D265" s="396"/>
      <c r="E265" s="396"/>
      <c r="F265" s="396"/>
      <c r="G265" s="396"/>
      <c r="H265" s="394" t="str">
        <f>IF('(I) Plano de Trabalho'!$I$1000="","",'(I) Plano de Trabalho'!$I$1000)</f>
        <v>Desenvolvimento e Implantação de módulo de Educação à Distância para usuários internos da Plataforma COMEX AMBINETAL</v>
      </c>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c r="AI265" s="394"/>
      <c r="AJ265" s="394"/>
      <c r="AK265" s="394"/>
      <c r="AL265" s="394"/>
      <c r="AM265" s="394"/>
      <c r="AN265" s="394"/>
      <c r="AO265" s="394"/>
      <c r="AP265" s="394"/>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row>
    <row r="266" spans="2:111" ht="9" customHeight="1">
      <c r="B266" s="396"/>
      <c r="C266" s="396"/>
      <c r="D266" s="396"/>
      <c r="E266" s="396"/>
      <c r="F266" s="396"/>
      <c r="G266" s="396"/>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c r="AI266" s="394"/>
      <c r="AJ266" s="394"/>
      <c r="AK266" s="394"/>
      <c r="AL266" s="394"/>
      <c r="AM266" s="394"/>
      <c r="AN266" s="394"/>
      <c r="AO266" s="394"/>
      <c r="AP266" s="394"/>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row>
    <row r="267" spans="2:111" ht="4.5" customHeight="1">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row>
    <row r="268" spans="2:111" ht="9" customHeight="1">
      <c r="B268" s="242" t="str">
        <f>IF(B265="","","Indicador:")</f>
        <v>Indicador:</v>
      </c>
      <c r="C268" s="242"/>
      <c r="D268" s="242"/>
      <c r="E268" s="242"/>
      <c r="F268" s="242"/>
      <c r="G268" s="68"/>
      <c r="H268" s="229" t="str">
        <f>IF(B265&lt;&gt;"","Descrição:","")</f>
        <v>Descrição:</v>
      </c>
      <c r="I268" s="229"/>
      <c r="J268" s="229"/>
      <c r="K268" s="229"/>
      <c r="L268" s="229"/>
      <c r="M268" s="229"/>
      <c r="O268" s="233" t="s">
        <v>551</v>
      </c>
      <c r="P268" s="233"/>
      <c r="Q268" s="233"/>
      <c r="R268" s="233"/>
      <c r="S268" s="233"/>
      <c r="T268" s="233"/>
      <c r="U268" s="233"/>
      <c r="V268" s="233"/>
      <c r="W268" s="233"/>
      <c r="X268" s="233"/>
      <c r="Y268" s="233"/>
      <c r="Z268" s="233"/>
      <c r="AA268" s="233"/>
      <c r="AB268" s="233"/>
      <c r="AC268" s="233"/>
      <c r="AD268" s="233"/>
      <c r="AE268" s="229" t="str">
        <f>IF(B265&lt;&gt;"","Unid/Qtde:","")</f>
        <v>Unid/Qtde:</v>
      </c>
      <c r="AF268" s="229"/>
      <c r="AG268" s="229"/>
      <c r="AH268" s="229"/>
      <c r="AI268" s="229"/>
      <c r="AJ268" s="229"/>
      <c r="AK268" s="26"/>
      <c r="AL268" s="233">
        <v>1</v>
      </c>
      <c r="AM268" s="233"/>
      <c r="AN268" s="233"/>
      <c r="AO268" s="233"/>
      <c r="AP268" s="233"/>
      <c r="AQ268" s="233"/>
      <c r="AR268" s="233"/>
      <c r="AS268" s="233"/>
      <c r="AT268" s="233"/>
      <c r="AU268" s="233"/>
      <c r="AV268" s="233"/>
      <c r="AW268" s="233"/>
      <c r="AX268" s="233"/>
      <c r="AY268" s="233"/>
      <c r="AZ268" s="233"/>
      <c r="BA268" s="233"/>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row>
    <row r="269" spans="2:111" ht="9" customHeight="1">
      <c r="B269" s="242"/>
      <c r="C269" s="242"/>
      <c r="D269" s="242"/>
      <c r="E269" s="242"/>
      <c r="F269" s="242"/>
      <c r="G269" s="68"/>
      <c r="H269" s="229"/>
      <c r="I269" s="229"/>
      <c r="J269" s="229"/>
      <c r="K269" s="229"/>
      <c r="L269" s="229"/>
      <c r="M269" s="229"/>
      <c r="O269" s="233"/>
      <c r="P269" s="233"/>
      <c r="Q269" s="233"/>
      <c r="R269" s="233"/>
      <c r="S269" s="233"/>
      <c r="T269" s="233"/>
      <c r="U269" s="233"/>
      <c r="V269" s="233"/>
      <c r="W269" s="233"/>
      <c r="X269" s="233"/>
      <c r="Y269" s="233"/>
      <c r="Z269" s="233"/>
      <c r="AA269" s="233"/>
      <c r="AB269" s="233"/>
      <c r="AC269" s="233"/>
      <c r="AD269" s="233"/>
      <c r="AE269" s="229"/>
      <c r="AF269" s="229"/>
      <c r="AG269" s="229"/>
      <c r="AH269" s="229"/>
      <c r="AI269" s="229"/>
      <c r="AJ269" s="229"/>
      <c r="AK269" s="26"/>
      <c r="AL269" s="233"/>
      <c r="AM269" s="233"/>
      <c r="AN269" s="233"/>
      <c r="AO269" s="233"/>
      <c r="AP269" s="233"/>
      <c r="AQ269" s="233"/>
      <c r="AR269" s="233"/>
      <c r="AS269" s="233"/>
      <c r="AT269" s="233"/>
      <c r="AU269" s="233"/>
      <c r="AV269" s="233"/>
      <c r="AW269" s="233"/>
      <c r="AX269" s="233"/>
      <c r="AY269" s="233"/>
      <c r="AZ269" s="233"/>
      <c r="BA269" s="233"/>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row>
    <row r="270" spans="2:111" ht="4.5" customHeight="1">
      <c r="O270" s="70"/>
      <c r="P270" s="70"/>
      <c r="Q270" s="70"/>
      <c r="R270" s="70"/>
      <c r="S270" s="70"/>
      <c r="T270" s="70"/>
      <c r="U270" s="70"/>
      <c r="V270" s="70"/>
      <c r="W270" s="70"/>
      <c r="X270" s="70"/>
      <c r="Y270" s="70"/>
      <c r="Z270" s="70"/>
      <c r="AA270" s="70"/>
      <c r="AB270" s="70"/>
      <c r="AC270" s="70"/>
      <c r="AD270" s="70"/>
      <c r="AE270" s="69"/>
      <c r="AF270" s="69"/>
      <c r="AG270" s="69"/>
      <c r="AH270" s="69"/>
      <c r="AI270" s="69"/>
      <c r="AJ270" s="69"/>
      <c r="AK270" s="69"/>
      <c r="AL270" s="70"/>
      <c r="AM270" s="70"/>
      <c r="AN270" s="70"/>
      <c r="AO270" s="70"/>
      <c r="AP270" s="70"/>
      <c r="AQ270" s="70"/>
      <c r="AR270" s="70"/>
      <c r="AS270" s="70"/>
      <c r="AT270" s="70"/>
      <c r="AU270" s="70"/>
      <c r="AV270" s="70"/>
      <c r="AW270" s="70"/>
      <c r="AX270" s="70"/>
      <c r="AY270" s="70"/>
      <c r="AZ270" s="70"/>
      <c r="BA270" s="70"/>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row>
    <row r="271" spans="2:111" ht="9" customHeight="1">
      <c r="H271" s="229" t="str">
        <f>IF(B265&lt;&gt;"","Descrição:","")</f>
        <v>Descrição:</v>
      </c>
      <c r="I271" s="229"/>
      <c r="J271" s="229"/>
      <c r="K271" s="229"/>
      <c r="L271" s="229"/>
      <c r="M271" s="229"/>
      <c r="O271" s="233" t="s">
        <v>552</v>
      </c>
      <c r="P271" s="233"/>
      <c r="Q271" s="233"/>
      <c r="R271" s="233"/>
      <c r="S271" s="233"/>
      <c r="T271" s="233"/>
      <c r="U271" s="233"/>
      <c r="V271" s="233"/>
      <c r="W271" s="233"/>
      <c r="X271" s="233"/>
      <c r="Y271" s="233"/>
      <c r="Z271" s="233"/>
      <c r="AA271" s="233"/>
      <c r="AB271" s="233"/>
      <c r="AC271" s="233"/>
      <c r="AD271" s="233"/>
      <c r="AE271" s="229" t="str">
        <f>IF(B265&lt;&gt;"","Unid/Qtde:","")</f>
        <v>Unid/Qtde:</v>
      </c>
      <c r="AF271" s="229"/>
      <c r="AG271" s="229"/>
      <c r="AH271" s="229"/>
      <c r="AI271" s="229"/>
      <c r="AJ271" s="229"/>
      <c r="AK271" s="26"/>
      <c r="AL271" s="233">
        <v>1</v>
      </c>
      <c r="AM271" s="233"/>
      <c r="AN271" s="233"/>
      <c r="AO271" s="233"/>
      <c r="AP271" s="233"/>
      <c r="AQ271" s="233"/>
      <c r="AR271" s="233"/>
      <c r="AS271" s="233"/>
      <c r="AT271" s="233"/>
      <c r="AU271" s="233"/>
      <c r="AV271" s="233"/>
      <c r="AW271" s="233"/>
      <c r="AX271" s="233"/>
      <c r="AY271" s="233"/>
      <c r="AZ271" s="233"/>
      <c r="BA271" s="233"/>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row>
    <row r="272" spans="2:111" ht="9" customHeight="1">
      <c r="H272" s="229"/>
      <c r="I272" s="229"/>
      <c r="J272" s="229"/>
      <c r="K272" s="229"/>
      <c r="L272" s="229"/>
      <c r="M272" s="229"/>
      <c r="O272" s="233"/>
      <c r="P272" s="233"/>
      <c r="Q272" s="233"/>
      <c r="R272" s="233"/>
      <c r="S272" s="233"/>
      <c r="T272" s="233"/>
      <c r="U272" s="233"/>
      <c r="V272" s="233"/>
      <c r="W272" s="233"/>
      <c r="X272" s="233"/>
      <c r="Y272" s="233"/>
      <c r="Z272" s="233"/>
      <c r="AA272" s="233"/>
      <c r="AB272" s="233"/>
      <c r="AC272" s="233"/>
      <c r="AD272" s="233"/>
      <c r="AE272" s="229"/>
      <c r="AF272" s="229"/>
      <c r="AG272" s="229"/>
      <c r="AH272" s="229"/>
      <c r="AI272" s="229"/>
      <c r="AJ272" s="229"/>
      <c r="AK272" s="26"/>
      <c r="AL272" s="233"/>
      <c r="AM272" s="233"/>
      <c r="AN272" s="233"/>
      <c r="AO272" s="233"/>
      <c r="AP272" s="233"/>
      <c r="AQ272" s="233"/>
      <c r="AR272" s="233"/>
      <c r="AS272" s="233"/>
      <c r="AT272" s="233"/>
      <c r="AU272" s="233"/>
      <c r="AV272" s="233"/>
      <c r="AW272" s="233"/>
      <c r="AX272" s="233"/>
      <c r="AY272" s="233"/>
      <c r="AZ272" s="233"/>
      <c r="BA272" s="233"/>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row>
    <row r="273" spans="2:111" ht="4.5" customHeight="1">
      <c r="O273" s="70"/>
      <c r="P273" s="70"/>
      <c r="Q273" s="70"/>
      <c r="R273" s="70"/>
      <c r="S273" s="70"/>
      <c r="T273" s="70"/>
      <c r="U273" s="70"/>
      <c r="V273" s="70"/>
      <c r="W273" s="70"/>
      <c r="X273" s="70"/>
      <c r="Y273" s="70"/>
      <c r="Z273" s="70"/>
      <c r="AA273" s="70"/>
      <c r="AB273" s="70"/>
      <c r="AC273" s="70"/>
      <c r="AD273" s="70"/>
      <c r="AE273" s="69"/>
      <c r="AF273" s="69"/>
      <c r="AG273" s="69"/>
      <c r="AH273" s="69"/>
      <c r="AI273" s="69"/>
      <c r="AJ273" s="69"/>
      <c r="AK273" s="69"/>
      <c r="AL273" s="70"/>
      <c r="AM273" s="70"/>
      <c r="AN273" s="70"/>
      <c r="AO273" s="70"/>
      <c r="AP273" s="70"/>
      <c r="AQ273" s="70"/>
      <c r="AR273" s="70"/>
      <c r="AS273" s="70"/>
      <c r="AT273" s="70"/>
      <c r="AU273" s="70"/>
      <c r="AV273" s="70"/>
      <c r="AW273" s="70"/>
      <c r="AX273" s="70"/>
      <c r="AY273" s="70"/>
      <c r="AZ273" s="70"/>
      <c r="BA273" s="70"/>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row>
    <row r="274" spans="2:111" ht="9" customHeight="1">
      <c r="H274" s="229" t="str">
        <f>IF(B265&lt;&gt;"","Descrição:","")</f>
        <v>Descrição:</v>
      </c>
      <c r="I274" s="229"/>
      <c r="J274" s="229"/>
      <c r="K274" s="229"/>
      <c r="L274" s="229"/>
      <c r="M274" s="229"/>
      <c r="O274" s="233" t="s">
        <v>553</v>
      </c>
      <c r="P274" s="233"/>
      <c r="Q274" s="233"/>
      <c r="R274" s="233"/>
      <c r="S274" s="233"/>
      <c r="T274" s="233"/>
      <c r="U274" s="233"/>
      <c r="V274" s="233"/>
      <c r="W274" s="233"/>
      <c r="X274" s="233"/>
      <c r="Y274" s="233"/>
      <c r="Z274" s="233"/>
      <c r="AA274" s="233"/>
      <c r="AB274" s="233"/>
      <c r="AC274" s="233"/>
      <c r="AD274" s="233"/>
      <c r="AE274" s="229" t="str">
        <f>IF(B265&lt;&gt;"","Unid/Qtde:","")</f>
        <v>Unid/Qtde:</v>
      </c>
      <c r="AF274" s="229"/>
      <c r="AG274" s="229"/>
      <c r="AH274" s="229"/>
      <c r="AI274" s="229"/>
      <c r="AJ274" s="229"/>
      <c r="AK274" s="26"/>
      <c r="AL274" s="233">
        <v>1</v>
      </c>
      <c r="AM274" s="233"/>
      <c r="AN274" s="233"/>
      <c r="AO274" s="233"/>
      <c r="AP274" s="233"/>
      <c r="AQ274" s="233"/>
      <c r="AR274" s="233"/>
      <c r="AS274" s="233"/>
      <c r="AT274" s="233"/>
      <c r="AU274" s="233"/>
      <c r="AV274" s="233"/>
      <c r="AW274" s="233"/>
      <c r="AX274" s="233"/>
      <c r="AY274" s="233"/>
      <c r="AZ274" s="233"/>
      <c r="BA274" s="233"/>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row>
    <row r="275" spans="2:111" ht="9" customHeight="1">
      <c r="H275" s="229"/>
      <c r="I275" s="229"/>
      <c r="J275" s="229"/>
      <c r="K275" s="229"/>
      <c r="L275" s="229"/>
      <c r="M275" s="229"/>
      <c r="O275" s="233"/>
      <c r="P275" s="233"/>
      <c r="Q275" s="233"/>
      <c r="R275" s="233"/>
      <c r="S275" s="233"/>
      <c r="T275" s="233"/>
      <c r="U275" s="233"/>
      <c r="V275" s="233"/>
      <c r="W275" s="233"/>
      <c r="X275" s="233"/>
      <c r="Y275" s="233"/>
      <c r="Z275" s="233"/>
      <c r="AA275" s="233"/>
      <c r="AB275" s="233"/>
      <c r="AC275" s="233"/>
      <c r="AD275" s="233"/>
      <c r="AE275" s="229"/>
      <c r="AF275" s="229"/>
      <c r="AG275" s="229"/>
      <c r="AH275" s="229"/>
      <c r="AI275" s="229"/>
      <c r="AJ275" s="229"/>
      <c r="AK275" s="26"/>
      <c r="AL275" s="233"/>
      <c r="AM275" s="233"/>
      <c r="AN275" s="233"/>
      <c r="AO275" s="233"/>
      <c r="AP275" s="233"/>
      <c r="AQ275" s="233"/>
      <c r="AR275" s="233"/>
      <c r="AS275" s="233"/>
      <c r="AT275" s="233"/>
      <c r="AU275" s="233"/>
      <c r="AV275" s="233"/>
      <c r="AW275" s="233"/>
      <c r="AX275" s="233"/>
      <c r="AY275" s="233"/>
      <c r="AZ275" s="233"/>
      <c r="BA275" s="233"/>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row>
    <row r="276" spans="2:111" ht="4.5" customHeight="1">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row>
    <row r="277" spans="2:111" ht="9" customHeight="1">
      <c r="B277" s="396" t="str">
        <f>IF('(I) Plano de Trabalho'!$U$997&gt;=2,"Etapa 4.2","")</f>
        <v>Etapa 4.2</v>
      </c>
      <c r="C277" s="396"/>
      <c r="D277" s="396"/>
      <c r="E277" s="396"/>
      <c r="F277" s="396"/>
      <c r="G277" s="396"/>
      <c r="H277" s="394" t="str">
        <f>IF('(I) Plano de Trabalho'!$I$1023="","",'(I) Plano de Trabalho'!$I$1023)</f>
        <v xml:space="preserve">Aquisição de Equipamentos para Vistorias e Inspeções </v>
      </c>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c r="AI277" s="394"/>
      <c r="AJ277" s="394"/>
      <c r="AK277" s="394"/>
      <c r="AL277" s="394"/>
      <c r="AM277" s="394"/>
      <c r="AN277" s="394"/>
      <c r="AO277" s="394"/>
      <c r="AP277" s="394"/>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row>
    <row r="278" spans="2:111" ht="9" customHeight="1">
      <c r="B278" s="396"/>
      <c r="C278" s="396"/>
      <c r="D278" s="396"/>
      <c r="E278" s="396"/>
      <c r="F278" s="396"/>
      <c r="G278" s="396"/>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4"/>
      <c r="AK278" s="394"/>
      <c r="AL278" s="394"/>
      <c r="AM278" s="394"/>
      <c r="AN278" s="394"/>
      <c r="AO278" s="394"/>
      <c r="AP278" s="394"/>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row>
    <row r="279" spans="2:111" ht="4.5" customHeight="1">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row>
    <row r="280" spans="2:111" ht="9" customHeight="1">
      <c r="B280" s="242" t="str">
        <f>IF(B277="","","Indicador:")</f>
        <v>Indicador:</v>
      </c>
      <c r="C280" s="242"/>
      <c r="D280" s="242"/>
      <c r="E280" s="242"/>
      <c r="F280" s="242"/>
      <c r="G280" s="68"/>
      <c r="H280" s="229" t="str">
        <f>IF(B277&lt;&gt;"","Descrição:","")</f>
        <v>Descrição:</v>
      </c>
      <c r="I280" s="229"/>
      <c r="J280" s="229"/>
      <c r="K280" s="229"/>
      <c r="L280" s="229"/>
      <c r="M280" s="229"/>
      <c r="O280" s="233" t="s">
        <v>554</v>
      </c>
      <c r="P280" s="233"/>
      <c r="Q280" s="233"/>
      <c r="R280" s="233"/>
      <c r="S280" s="233"/>
      <c r="T280" s="233"/>
      <c r="U280" s="233"/>
      <c r="V280" s="233"/>
      <c r="W280" s="233"/>
      <c r="X280" s="233"/>
      <c r="Y280" s="233"/>
      <c r="Z280" s="233"/>
      <c r="AA280" s="233"/>
      <c r="AB280" s="233"/>
      <c r="AC280" s="233"/>
      <c r="AD280" s="233"/>
      <c r="AE280" s="229" t="str">
        <f>IF(B277&lt;&gt;"","Unid/Qtde:","")</f>
        <v>Unid/Qtde:</v>
      </c>
      <c r="AF280" s="229"/>
      <c r="AG280" s="229"/>
      <c r="AH280" s="229"/>
      <c r="AI280" s="229"/>
      <c r="AJ280" s="229"/>
      <c r="AK280" s="26"/>
      <c r="AL280" s="233">
        <v>1</v>
      </c>
      <c r="AM280" s="233"/>
      <c r="AN280" s="233"/>
      <c r="AO280" s="233"/>
      <c r="AP280" s="233"/>
      <c r="AQ280" s="233"/>
      <c r="AR280" s="233"/>
      <c r="AS280" s="233"/>
      <c r="AT280" s="233"/>
      <c r="AU280" s="233"/>
      <c r="AV280" s="233"/>
      <c r="AW280" s="233"/>
      <c r="AX280" s="233"/>
      <c r="AY280" s="233"/>
      <c r="AZ280" s="233"/>
      <c r="BA280" s="233"/>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row>
    <row r="281" spans="2:111" ht="9" customHeight="1">
      <c r="B281" s="242"/>
      <c r="C281" s="242"/>
      <c r="D281" s="242"/>
      <c r="E281" s="242"/>
      <c r="F281" s="242"/>
      <c r="G281" s="68"/>
      <c r="H281" s="229"/>
      <c r="I281" s="229"/>
      <c r="J281" s="229"/>
      <c r="K281" s="229"/>
      <c r="L281" s="229"/>
      <c r="M281" s="229"/>
      <c r="O281" s="233"/>
      <c r="P281" s="233"/>
      <c r="Q281" s="233"/>
      <c r="R281" s="233"/>
      <c r="S281" s="233"/>
      <c r="T281" s="233"/>
      <c r="U281" s="233"/>
      <c r="V281" s="233"/>
      <c r="W281" s="233"/>
      <c r="X281" s="233"/>
      <c r="Y281" s="233"/>
      <c r="Z281" s="233"/>
      <c r="AA281" s="233"/>
      <c r="AB281" s="233"/>
      <c r="AC281" s="233"/>
      <c r="AD281" s="233"/>
      <c r="AE281" s="229"/>
      <c r="AF281" s="229"/>
      <c r="AG281" s="229"/>
      <c r="AH281" s="229"/>
      <c r="AI281" s="229"/>
      <c r="AJ281" s="229"/>
      <c r="AK281" s="26"/>
      <c r="AL281" s="233"/>
      <c r="AM281" s="233"/>
      <c r="AN281" s="233"/>
      <c r="AO281" s="233"/>
      <c r="AP281" s="233"/>
      <c r="AQ281" s="233"/>
      <c r="AR281" s="233"/>
      <c r="AS281" s="233"/>
      <c r="AT281" s="233"/>
      <c r="AU281" s="233"/>
      <c r="AV281" s="233"/>
      <c r="AW281" s="233"/>
      <c r="AX281" s="233"/>
      <c r="AY281" s="233"/>
      <c r="AZ281" s="233"/>
      <c r="BA281" s="233"/>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row>
    <row r="282" spans="2:111" ht="4.5" customHeight="1">
      <c r="O282" s="70"/>
      <c r="P282" s="70"/>
      <c r="Q282" s="70"/>
      <c r="R282" s="70"/>
      <c r="S282" s="70"/>
      <c r="T282" s="70"/>
      <c r="U282" s="70"/>
      <c r="V282" s="70"/>
      <c r="W282" s="70"/>
      <c r="X282" s="70"/>
      <c r="Y282" s="70"/>
      <c r="Z282" s="70"/>
      <c r="AA282" s="70"/>
      <c r="AB282" s="70"/>
      <c r="AC282" s="70"/>
      <c r="AD282" s="70"/>
      <c r="AE282" s="69"/>
      <c r="AF282" s="69"/>
      <c r="AG282" s="69"/>
      <c r="AH282" s="69"/>
      <c r="AI282" s="69"/>
      <c r="AJ282" s="69"/>
      <c r="AK282" s="69"/>
      <c r="AL282" s="70"/>
      <c r="AM282" s="70"/>
      <c r="AN282" s="70"/>
      <c r="AO282" s="70"/>
      <c r="AP282" s="70"/>
      <c r="AQ282" s="70"/>
      <c r="AR282" s="70"/>
      <c r="AS282" s="70"/>
      <c r="AT282" s="70"/>
      <c r="AU282" s="70"/>
      <c r="AV282" s="70"/>
      <c r="AW282" s="70"/>
      <c r="AX282" s="70"/>
      <c r="AY282" s="70"/>
      <c r="AZ282" s="70"/>
      <c r="BA282" s="70"/>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row>
    <row r="283" spans="2:111" ht="9" customHeight="1">
      <c r="H283" s="229" t="str">
        <f>IF(B277&lt;&gt;"","Descrição:","")</f>
        <v>Descrição:</v>
      </c>
      <c r="I283" s="229"/>
      <c r="J283" s="229"/>
      <c r="K283" s="229"/>
      <c r="L283" s="229"/>
      <c r="M283" s="229"/>
      <c r="O283" s="233" t="s">
        <v>555</v>
      </c>
      <c r="P283" s="233"/>
      <c r="Q283" s="233"/>
      <c r="R283" s="233"/>
      <c r="S283" s="233"/>
      <c r="T283" s="233"/>
      <c r="U283" s="233"/>
      <c r="V283" s="233"/>
      <c r="W283" s="233"/>
      <c r="X283" s="233"/>
      <c r="Y283" s="233"/>
      <c r="Z283" s="233"/>
      <c r="AA283" s="233"/>
      <c r="AB283" s="233"/>
      <c r="AC283" s="233"/>
      <c r="AD283" s="233"/>
      <c r="AE283" s="229" t="str">
        <f>IF(B277&lt;&gt;"","Unid/Qtde:","")</f>
        <v>Unid/Qtde:</v>
      </c>
      <c r="AF283" s="229"/>
      <c r="AG283" s="229"/>
      <c r="AH283" s="229"/>
      <c r="AI283" s="229"/>
      <c r="AJ283" s="229"/>
      <c r="AK283" s="26"/>
      <c r="AL283" s="233">
        <v>1</v>
      </c>
      <c r="AM283" s="233"/>
      <c r="AN283" s="233"/>
      <c r="AO283" s="233"/>
      <c r="AP283" s="233"/>
      <c r="AQ283" s="233"/>
      <c r="AR283" s="233"/>
      <c r="AS283" s="233"/>
      <c r="AT283" s="233"/>
      <c r="AU283" s="233"/>
      <c r="AV283" s="233"/>
      <c r="AW283" s="233"/>
      <c r="AX283" s="233"/>
      <c r="AY283" s="233"/>
      <c r="AZ283" s="233"/>
      <c r="BA283" s="233"/>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row>
    <row r="284" spans="2:111" ht="9" customHeight="1">
      <c r="H284" s="229"/>
      <c r="I284" s="229"/>
      <c r="J284" s="229"/>
      <c r="K284" s="229"/>
      <c r="L284" s="229"/>
      <c r="M284" s="229"/>
      <c r="O284" s="233"/>
      <c r="P284" s="233"/>
      <c r="Q284" s="233"/>
      <c r="R284" s="233"/>
      <c r="S284" s="233"/>
      <c r="T284" s="233"/>
      <c r="U284" s="233"/>
      <c r="V284" s="233"/>
      <c r="W284" s="233"/>
      <c r="X284" s="233"/>
      <c r="Y284" s="233"/>
      <c r="Z284" s="233"/>
      <c r="AA284" s="233"/>
      <c r="AB284" s="233"/>
      <c r="AC284" s="233"/>
      <c r="AD284" s="233"/>
      <c r="AE284" s="229"/>
      <c r="AF284" s="229"/>
      <c r="AG284" s="229"/>
      <c r="AH284" s="229"/>
      <c r="AI284" s="229"/>
      <c r="AJ284" s="229"/>
      <c r="AK284" s="26"/>
      <c r="AL284" s="233"/>
      <c r="AM284" s="233"/>
      <c r="AN284" s="233"/>
      <c r="AO284" s="233"/>
      <c r="AP284" s="233"/>
      <c r="AQ284" s="233"/>
      <c r="AR284" s="233"/>
      <c r="AS284" s="233"/>
      <c r="AT284" s="233"/>
      <c r="AU284" s="233"/>
      <c r="AV284" s="233"/>
      <c r="AW284" s="233"/>
      <c r="AX284" s="233"/>
      <c r="AY284" s="233"/>
      <c r="AZ284" s="233"/>
      <c r="BA284" s="233"/>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row>
    <row r="285" spans="2:111" ht="4.5" customHeight="1">
      <c r="O285" s="70"/>
      <c r="P285" s="70"/>
      <c r="Q285" s="70"/>
      <c r="R285" s="70"/>
      <c r="S285" s="70"/>
      <c r="T285" s="70"/>
      <c r="U285" s="70"/>
      <c r="V285" s="70"/>
      <c r="W285" s="70"/>
      <c r="X285" s="70"/>
      <c r="Y285" s="70"/>
      <c r="Z285" s="70"/>
      <c r="AA285" s="70"/>
      <c r="AB285" s="70"/>
      <c r="AC285" s="70"/>
      <c r="AD285" s="70"/>
      <c r="AE285" s="69"/>
      <c r="AF285" s="69"/>
      <c r="AG285" s="69"/>
      <c r="AH285" s="69"/>
      <c r="AI285" s="69"/>
      <c r="AJ285" s="69"/>
      <c r="AK285" s="69"/>
      <c r="AL285" s="70"/>
      <c r="AM285" s="70"/>
      <c r="AN285" s="70"/>
      <c r="AO285" s="70"/>
      <c r="AP285" s="70"/>
      <c r="AQ285" s="70"/>
      <c r="AR285" s="70"/>
      <c r="AS285" s="70"/>
      <c r="AT285" s="70"/>
      <c r="AU285" s="70"/>
      <c r="AV285" s="70"/>
      <c r="AW285" s="70"/>
      <c r="AX285" s="70"/>
      <c r="AY285" s="70"/>
      <c r="AZ285" s="70"/>
      <c r="BA285" s="70"/>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row>
    <row r="286" spans="2:111" ht="9" customHeight="1">
      <c r="H286" s="229" t="str">
        <f>IF(B277&lt;&gt;"","Descrição:","")</f>
        <v>Descrição:</v>
      </c>
      <c r="I286" s="229"/>
      <c r="J286" s="229"/>
      <c r="K286" s="229"/>
      <c r="L286" s="229"/>
      <c r="M286" s="229"/>
      <c r="O286" s="233" t="s">
        <v>556</v>
      </c>
      <c r="P286" s="233"/>
      <c r="Q286" s="233"/>
      <c r="R286" s="233"/>
      <c r="S286" s="233"/>
      <c r="T286" s="233"/>
      <c r="U286" s="233"/>
      <c r="V286" s="233"/>
      <c r="W286" s="233"/>
      <c r="X286" s="233"/>
      <c r="Y286" s="233"/>
      <c r="Z286" s="233"/>
      <c r="AA286" s="233"/>
      <c r="AB286" s="233"/>
      <c r="AC286" s="233"/>
      <c r="AD286" s="233"/>
      <c r="AE286" s="229" t="str">
        <f>IF(B277&lt;&gt;"","Unid/Qtde:","")</f>
        <v>Unid/Qtde:</v>
      </c>
      <c r="AF286" s="229"/>
      <c r="AG286" s="229"/>
      <c r="AH286" s="229"/>
      <c r="AI286" s="229"/>
      <c r="AJ286" s="229"/>
      <c r="AK286" s="26"/>
      <c r="AL286" s="233">
        <v>1</v>
      </c>
      <c r="AM286" s="233"/>
      <c r="AN286" s="233"/>
      <c r="AO286" s="233"/>
      <c r="AP286" s="233"/>
      <c r="AQ286" s="233"/>
      <c r="AR286" s="233"/>
      <c r="AS286" s="233"/>
      <c r="AT286" s="233"/>
      <c r="AU286" s="233"/>
      <c r="AV286" s="233"/>
      <c r="AW286" s="233"/>
      <c r="AX286" s="233"/>
      <c r="AY286" s="233"/>
      <c r="AZ286" s="233"/>
      <c r="BA286" s="233"/>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row>
    <row r="287" spans="2:111" ht="9" customHeight="1">
      <c r="H287" s="229"/>
      <c r="I287" s="229"/>
      <c r="J287" s="229"/>
      <c r="K287" s="229"/>
      <c r="L287" s="229"/>
      <c r="M287" s="229"/>
      <c r="O287" s="233"/>
      <c r="P287" s="233"/>
      <c r="Q287" s="233"/>
      <c r="R287" s="233"/>
      <c r="S287" s="233"/>
      <c r="T287" s="233"/>
      <c r="U287" s="233"/>
      <c r="V287" s="233"/>
      <c r="W287" s="233"/>
      <c r="X287" s="233"/>
      <c r="Y287" s="233"/>
      <c r="Z287" s="233"/>
      <c r="AA287" s="233"/>
      <c r="AB287" s="233"/>
      <c r="AC287" s="233"/>
      <c r="AD287" s="233"/>
      <c r="AE287" s="229"/>
      <c r="AF287" s="229"/>
      <c r="AG287" s="229"/>
      <c r="AH287" s="229"/>
      <c r="AI287" s="229"/>
      <c r="AJ287" s="229"/>
      <c r="AK287" s="26"/>
      <c r="AL287" s="233"/>
      <c r="AM287" s="233"/>
      <c r="AN287" s="233"/>
      <c r="AO287" s="233"/>
      <c r="AP287" s="233"/>
      <c r="AQ287" s="233"/>
      <c r="AR287" s="233"/>
      <c r="AS287" s="233"/>
      <c r="AT287" s="233"/>
      <c r="AU287" s="233"/>
      <c r="AV287" s="233"/>
      <c r="AW287" s="233"/>
      <c r="AX287" s="233"/>
      <c r="AY287" s="233"/>
      <c r="AZ287" s="233"/>
      <c r="BA287" s="233"/>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row>
    <row r="288" spans="2:111" ht="4.5" customHeight="1">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row>
    <row r="289" spans="2:111" ht="9" customHeight="1">
      <c r="B289" s="396" t="str">
        <f>IF('(I) Plano de Trabalho'!$U$997&gt;=3,"Etapa 4.3","")</f>
        <v>Etapa 4.3</v>
      </c>
      <c r="C289" s="396"/>
      <c r="D289" s="396"/>
      <c r="E289" s="396"/>
      <c r="F289" s="396"/>
      <c r="G289" s="396"/>
      <c r="H289" s="394" t="str">
        <f>IF('(I) Plano de Trabalho'!$I$1047="","",'(I) Plano de Trabalho'!$I$1047)</f>
        <v>Implantação da Sala de Situação COMEX AMBINETAL</v>
      </c>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c r="AI289" s="394"/>
      <c r="AJ289" s="394"/>
      <c r="AK289" s="394"/>
      <c r="AL289" s="394"/>
      <c r="AM289" s="394"/>
      <c r="AN289" s="394"/>
      <c r="AO289" s="394"/>
      <c r="AP289" s="394"/>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row>
    <row r="290" spans="2:111" ht="9" customHeight="1">
      <c r="B290" s="396"/>
      <c r="C290" s="396"/>
      <c r="D290" s="396"/>
      <c r="E290" s="396"/>
      <c r="F290" s="396"/>
      <c r="G290" s="396"/>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c r="AI290" s="394"/>
      <c r="AJ290" s="394"/>
      <c r="AK290" s="394"/>
      <c r="AL290" s="394"/>
      <c r="AM290" s="394"/>
      <c r="AN290" s="394"/>
      <c r="AO290" s="394"/>
      <c r="AP290" s="394"/>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row>
    <row r="291" spans="2:111" ht="4.5" customHeight="1">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row>
    <row r="292" spans="2:111" ht="9" customHeight="1">
      <c r="B292" s="242" t="str">
        <f>IF(B289="","","Indicador:")</f>
        <v>Indicador:</v>
      </c>
      <c r="C292" s="242"/>
      <c r="D292" s="242"/>
      <c r="E292" s="242"/>
      <c r="F292" s="242"/>
      <c r="G292" s="68"/>
      <c r="H292" s="229" t="str">
        <f>IF(B289&lt;&gt;"","Descrição:","")</f>
        <v>Descrição:</v>
      </c>
      <c r="I292" s="229"/>
      <c r="J292" s="229"/>
      <c r="K292" s="229"/>
      <c r="L292" s="229"/>
      <c r="M292" s="229"/>
      <c r="O292" s="233" t="s">
        <v>557</v>
      </c>
      <c r="P292" s="233"/>
      <c r="Q292" s="233"/>
      <c r="R292" s="233"/>
      <c r="S292" s="233"/>
      <c r="T292" s="233"/>
      <c r="U292" s="233"/>
      <c r="V292" s="233"/>
      <c r="W292" s="233"/>
      <c r="X292" s="233"/>
      <c r="Y292" s="233"/>
      <c r="Z292" s="233"/>
      <c r="AA292" s="233"/>
      <c r="AB292" s="233"/>
      <c r="AC292" s="233"/>
      <c r="AD292" s="233"/>
      <c r="AE292" s="229" t="str">
        <f>IF(B289&lt;&gt;"","Unid/Qtde:","")</f>
        <v>Unid/Qtde:</v>
      </c>
      <c r="AF292" s="229"/>
      <c r="AG292" s="229"/>
      <c r="AH292" s="229"/>
      <c r="AI292" s="229"/>
      <c r="AJ292" s="229"/>
      <c r="AK292" s="26"/>
      <c r="AL292" s="233">
        <v>1</v>
      </c>
      <c r="AM292" s="233"/>
      <c r="AN292" s="233"/>
      <c r="AO292" s="233"/>
      <c r="AP292" s="233"/>
      <c r="AQ292" s="233"/>
      <c r="AR292" s="233"/>
      <c r="AS292" s="233"/>
      <c r="AT292" s="233"/>
      <c r="AU292" s="233"/>
      <c r="AV292" s="233"/>
      <c r="AW292" s="233"/>
      <c r="AX292" s="233"/>
      <c r="AY292" s="233"/>
      <c r="AZ292" s="233"/>
      <c r="BA292" s="233"/>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row>
    <row r="293" spans="2:111" ht="9" customHeight="1">
      <c r="B293" s="242"/>
      <c r="C293" s="242"/>
      <c r="D293" s="242"/>
      <c r="E293" s="242"/>
      <c r="F293" s="242"/>
      <c r="G293" s="68"/>
      <c r="H293" s="229"/>
      <c r="I293" s="229"/>
      <c r="J293" s="229"/>
      <c r="K293" s="229"/>
      <c r="L293" s="229"/>
      <c r="M293" s="229"/>
      <c r="O293" s="233"/>
      <c r="P293" s="233"/>
      <c r="Q293" s="233"/>
      <c r="R293" s="233"/>
      <c r="S293" s="233"/>
      <c r="T293" s="233"/>
      <c r="U293" s="233"/>
      <c r="V293" s="233"/>
      <c r="W293" s="233"/>
      <c r="X293" s="233"/>
      <c r="Y293" s="233"/>
      <c r="Z293" s="233"/>
      <c r="AA293" s="233"/>
      <c r="AB293" s="233"/>
      <c r="AC293" s="233"/>
      <c r="AD293" s="233"/>
      <c r="AE293" s="229"/>
      <c r="AF293" s="229"/>
      <c r="AG293" s="229"/>
      <c r="AH293" s="229"/>
      <c r="AI293" s="229"/>
      <c r="AJ293" s="229"/>
      <c r="AK293" s="26"/>
      <c r="AL293" s="233"/>
      <c r="AM293" s="233"/>
      <c r="AN293" s="233"/>
      <c r="AO293" s="233"/>
      <c r="AP293" s="233"/>
      <c r="AQ293" s="233"/>
      <c r="AR293" s="233"/>
      <c r="AS293" s="233"/>
      <c r="AT293" s="233"/>
      <c r="AU293" s="233"/>
      <c r="AV293" s="233"/>
      <c r="AW293" s="233"/>
      <c r="AX293" s="233"/>
      <c r="AY293" s="233"/>
      <c r="AZ293" s="233"/>
      <c r="BA293" s="233"/>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row>
    <row r="294" spans="2:111" ht="4.5" customHeight="1">
      <c r="O294" s="70"/>
      <c r="P294" s="70"/>
      <c r="Q294" s="70"/>
      <c r="R294" s="70"/>
      <c r="S294" s="70"/>
      <c r="T294" s="70"/>
      <c r="U294" s="70"/>
      <c r="V294" s="70"/>
      <c r="W294" s="70"/>
      <c r="X294" s="70"/>
      <c r="Y294" s="70"/>
      <c r="Z294" s="70"/>
      <c r="AA294" s="70"/>
      <c r="AB294" s="70"/>
      <c r="AC294" s="70"/>
      <c r="AD294" s="70"/>
      <c r="AE294" s="69"/>
      <c r="AF294" s="69"/>
      <c r="AG294" s="69"/>
      <c r="AH294" s="69"/>
      <c r="AI294" s="69"/>
      <c r="AJ294" s="69"/>
      <c r="AK294" s="69"/>
      <c r="AL294" s="70"/>
      <c r="AM294" s="70"/>
      <c r="AN294" s="70"/>
      <c r="AO294" s="70"/>
      <c r="AP294" s="70"/>
      <c r="AQ294" s="70"/>
      <c r="AR294" s="70"/>
      <c r="AS294" s="70"/>
      <c r="AT294" s="70"/>
      <c r="AU294" s="70"/>
      <c r="AV294" s="70"/>
      <c r="AW294" s="70"/>
      <c r="AX294" s="70"/>
      <c r="AY294" s="70"/>
      <c r="AZ294" s="70"/>
      <c r="BA294" s="70"/>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row>
    <row r="295" spans="2:111" ht="9" customHeight="1">
      <c r="H295" s="229" t="str">
        <f>IF(B289&lt;&gt;"","Descrição:","")</f>
        <v>Descrição:</v>
      </c>
      <c r="I295" s="229"/>
      <c r="J295" s="229"/>
      <c r="K295" s="229"/>
      <c r="L295" s="229"/>
      <c r="M295" s="229"/>
      <c r="O295" s="233" t="s">
        <v>555</v>
      </c>
      <c r="P295" s="233"/>
      <c r="Q295" s="233"/>
      <c r="R295" s="233"/>
      <c r="S295" s="233"/>
      <c r="T295" s="233"/>
      <c r="U295" s="233"/>
      <c r="V295" s="233"/>
      <c r="W295" s="233"/>
      <c r="X295" s="233"/>
      <c r="Y295" s="233"/>
      <c r="Z295" s="233"/>
      <c r="AA295" s="233"/>
      <c r="AB295" s="233"/>
      <c r="AC295" s="233"/>
      <c r="AD295" s="233"/>
      <c r="AE295" s="229" t="str">
        <f>IF(B289&lt;&gt;"","Unid/Qtde:","")</f>
        <v>Unid/Qtde:</v>
      </c>
      <c r="AF295" s="229"/>
      <c r="AG295" s="229"/>
      <c r="AH295" s="229"/>
      <c r="AI295" s="229"/>
      <c r="AJ295" s="229"/>
      <c r="AK295" s="26"/>
      <c r="AL295" s="233">
        <v>1</v>
      </c>
      <c r="AM295" s="233"/>
      <c r="AN295" s="233"/>
      <c r="AO295" s="233"/>
      <c r="AP295" s="233"/>
      <c r="AQ295" s="233"/>
      <c r="AR295" s="233"/>
      <c r="AS295" s="233"/>
      <c r="AT295" s="233"/>
      <c r="AU295" s="233"/>
      <c r="AV295" s="233"/>
      <c r="AW295" s="233"/>
      <c r="AX295" s="233"/>
      <c r="AY295" s="233"/>
      <c r="AZ295" s="233"/>
      <c r="BA295" s="233"/>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row>
    <row r="296" spans="2:111" ht="9" customHeight="1">
      <c r="H296" s="229"/>
      <c r="I296" s="229"/>
      <c r="J296" s="229"/>
      <c r="K296" s="229"/>
      <c r="L296" s="229"/>
      <c r="M296" s="229"/>
      <c r="O296" s="233"/>
      <c r="P296" s="233"/>
      <c r="Q296" s="233"/>
      <c r="R296" s="233"/>
      <c r="S296" s="233"/>
      <c r="T296" s="233"/>
      <c r="U296" s="233"/>
      <c r="V296" s="233"/>
      <c r="W296" s="233"/>
      <c r="X296" s="233"/>
      <c r="Y296" s="233"/>
      <c r="Z296" s="233"/>
      <c r="AA296" s="233"/>
      <c r="AB296" s="233"/>
      <c r="AC296" s="233"/>
      <c r="AD296" s="233"/>
      <c r="AE296" s="229"/>
      <c r="AF296" s="229"/>
      <c r="AG296" s="229"/>
      <c r="AH296" s="229"/>
      <c r="AI296" s="229"/>
      <c r="AJ296" s="229"/>
      <c r="AK296" s="26"/>
      <c r="AL296" s="233"/>
      <c r="AM296" s="233"/>
      <c r="AN296" s="233"/>
      <c r="AO296" s="233"/>
      <c r="AP296" s="233"/>
      <c r="AQ296" s="233"/>
      <c r="AR296" s="233"/>
      <c r="AS296" s="233"/>
      <c r="AT296" s="233"/>
      <c r="AU296" s="233"/>
      <c r="AV296" s="233"/>
      <c r="AW296" s="233"/>
      <c r="AX296" s="233"/>
      <c r="AY296" s="233"/>
      <c r="AZ296" s="233"/>
      <c r="BA296" s="233"/>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row>
    <row r="297" spans="2:111" ht="4.5" customHeight="1">
      <c r="O297" s="70"/>
      <c r="P297" s="70"/>
      <c r="Q297" s="70"/>
      <c r="R297" s="70"/>
      <c r="S297" s="70"/>
      <c r="T297" s="70"/>
      <c r="U297" s="70"/>
      <c r="V297" s="70"/>
      <c r="W297" s="70"/>
      <c r="X297" s="70"/>
      <c r="Y297" s="70"/>
      <c r="Z297" s="70"/>
      <c r="AA297" s="70"/>
      <c r="AB297" s="70"/>
      <c r="AC297" s="70"/>
      <c r="AD297" s="70"/>
      <c r="AE297" s="69"/>
      <c r="AF297" s="69"/>
      <c r="AG297" s="69"/>
      <c r="AH297" s="69"/>
      <c r="AI297" s="69"/>
      <c r="AJ297" s="69"/>
      <c r="AK297" s="69"/>
      <c r="AL297" s="70"/>
      <c r="AM297" s="70"/>
      <c r="AN297" s="70"/>
      <c r="AO297" s="70"/>
      <c r="AP297" s="70"/>
      <c r="AQ297" s="70"/>
      <c r="AR297" s="70"/>
      <c r="AS297" s="70"/>
      <c r="AT297" s="70"/>
      <c r="AU297" s="70"/>
      <c r="AV297" s="70"/>
      <c r="AW297" s="70"/>
      <c r="AX297" s="70"/>
      <c r="AY297" s="70"/>
      <c r="AZ297" s="70"/>
      <c r="BA297" s="70"/>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row>
    <row r="298" spans="2:111" ht="9" customHeight="1">
      <c r="H298" s="229" t="str">
        <f>IF(B289&lt;&gt;"","Descrição:","")</f>
        <v>Descrição:</v>
      </c>
      <c r="I298" s="229"/>
      <c r="J298" s="229"/>
      <c r="K298" s="229"/>
      <c r="L298" s="229"/>
      <c r="M298" s="229"/>
      <c r="O298" s="233" t="s">
        <v>558</v>
      </c>
      <c r="P298" s="233"/>
      <c r="Q298" s="233"/>
      <c r="R298" s="233"/>
      <c r="S298" s="233"/>
      <c r="T298" s="233"/>
      <c r="U298" s="233"/>
      <c r="V298" s="233"/>
      <c r="W298" s="233"/>
      <c r="X298" s="233"/>
      <c r="Y298" s="233"/>
      <c r="Z298" s="233"/>
      <c r="AA298" s="233"/>
      <c r="AB298" s="233"/>
      <c r="AC298" s="233"/>
      <c r="AD298" s="233"/>
      <c r="AE298" s="229" t="str">
        <f>IF(B289&lt;&gt;"","Unid/Qtde:","")</f>
        <v>Unid/Qtde:</v>
      </c>
      <c r="AF298" s="229"/>
      <c r="AG298" s="229"/>
      <c r="AH298" s="229"/>
      <c r="AI298" s="229"/>
      <c r="AJ298" s="229"/>
      <c r="AK298" s="26"/>
      <c r="AL298" s="233">
        <v>1</v>
      </c>
      <c r="AM298" s="233"/>
      <c r="AN298" s="233"/>
      <c r="AO298" s="233"/>
      <c r="AP298" s="233"/>
      <c r="AQ298" s="233"/>
      <c r="AR298" s="233"/>
      <c r="AS298" s="233"/>
      <c r="AT298" s="233"/>
      <c r="AU298" s="233"/>
      <c r="AV298" s="233"/>
      <c r="AW298" s="233"/>
      <c r="AX298" s="233"/>
      <c r="AY298" s="233"/>
      <c r="AZ298" s="233"/>
      <c r="BA298" s="233"/>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row>
    <row r="299" spans="2:111" ht="9" customHeight="1">
      <c r="H299" s="229"/>
      <c r="I299" s="229"/>
      <c r="J299" s="229"/>
      <c r="K299" s="229"/>
      <c r="L299" s="229"/>
      <c r="M299" s="229"/>
      <c r="O299" s="233"/>
      <c r="P299" s="233"/>
      <c r="Q299" s="233"/>
      <c r="R299" s="233"/>
      <c r="S299" s="233"/>
      <c r="T299" s="233"/>
      <c r="U299" s="233"/>
      <c r="V299" s="233"/>
      <c r="W299" s="233"/>
      <c r="X299" s="233"/>
      <c r="Y299" s="233"/>
      <c r="Z299" s="233"/>
      <c r="AA299" s="233"/>
      <c r="AB299" s="233"/>
      <c r="AC299" s="233"/>
      <c r="AD299" s="233"/>
      <c r="AE299" s="229"/>
      <c r="AF299" s="229"/>
      <c r="AG299" s="229"/>
      <c r="AH299" s="229"/>
      <c r="AI299" s="229"/>
      <c r="AJ299" s="229"/>
      <c r="AK299" s="26"/>
      <c r="AL299" s="233"/>
      <c r="AM299" s="233"/>
      <c r="AN299" s="233"/>
      <c r="AO299" s="233"/>
      <c r="AP299" s="233"/>
      <c r="AQ299" s="233"/>
      <c r="AR299" s="233"/>
      <c r="AS299" s="233"/>
      <c r="AT299" s="233"/>
      <c r="AU299" s="233"/>
      <c r="AV299" s="233"/>
      <c r="AW299" s="233"/>
      <c r="AX299" s="233"/>
      <c r="AY299" s="233"/>
      <c r="AZ299" s="233"/>
      <c r="BA299" s="233"/>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row>
    <row r="300" spans="2:111" ht="4.5" customHeight="1">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row>
    <row r="301" spans="2:111" ht="9" customHeight="1">
      <c r="B301" s="396" t="str">
        <f>IF('(I) Plano de Trabalho'!$U$997&gt;=4,"Etapa 4.4","")</f>
        <v/>
      </c>
      <c r="C301" s="396"/>
      <c r="D301" s="396"/>
      <c r="E301" s="396"/>
      <c r="F301" s="396"/>
      <c r="G301" s="396"/>
      <c r="H301" s="394" t="str">
        <f>IF('(I) Plano de Trabalho'!$I$1070="","",'(I) Plano de Trabalho'!$I$1070)</f>
        <v/>
      </c>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c r="AI301" s="394"/>
      <c r="AJ301" s="394"/>
      <c r="AK301" s="394"/>
      <c r="AL301" s="394"/>
      <c r="AM301" s="394"/>
      <c r="AN301" s="394"/>
      <c r="AO301" s="394"/>
      <c r="AP301" s="394"/>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row>
    <row r="302" spans="2:111" ht="9" customHeight="1">
      <c r="B302" s="396"/>
      <c r="C302" s="396"/>
      <c r="D302" s="396"/>
      <c r="E302" s="396"/>
      <c r="F302" s="396"/>
      <c r="G302" s="396"/>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c r="AI302" s="394"/>
      <c r="AJ302" s="394"/>
      <c r="AK302" s="394"/>
      <c r="AL302" s="394"/>
      <c r="AM302" s="394"/>
      <c r="AN302" s="394"/>
      <c r="AO302" s="394"/>
      <c r="AP302" s="394"/>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row>
    <row r="303" spans="2:111" ht="4.5" customHeight="1">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row>
    <row r="304" spans="2:111" ht="9" customHeight="1">
      <c r="B304" s="242" t="str">
        <f>IF(B301="","","Indicador:")</f>
        <v/>
      </c>
      <c r="C304" s="242"/>
      <c r="D304" s="242"/>
      <c r="E304" s="242"/>
      <c r="F304" s="242"/>
      <c r="G304" s="68"/>
      <c r="H304" s="229" t="str">
        <f>IF(B301&lt;&gt;"","Descrição:","")</f>
        <v/>
      </c>
      <c r="I304" s="229"/>
      <c r="J304" s="229"/>
      <c r="K304" s="229"/>
      <c r="L304" s="229"/>
      <c r="M304" s="229"/>
      <c r="O304" s="233"/>
      <c r="P304" s="233"/>
      <c r="Q304" s="233"/>
      <c r="R304" s="233"/>
      <c r="S304" s="233"/>
      <c r="T304" s="233"/>
      <c r="U304" s="233"/>
      <c r="V304" s="233"/>
      <c r="W304" s="233"/>
      <c r="X304" s="233"/>
      <c r="Y304" s="233"/>
      <c r="Z304" s="233"/>
      <c r="AA304" s="233"/>
      <c r="AB304" s="233"/>
      <c r="AC304" s="233"/>
      <c r="AD304" s="233"/>
      <c r="AE304" s="229" t="str">
        <f>IF(B301&lt;&gt;"","Unid/Qtde:","")</f>
        <v/>
      </c>
      <c r="AF304" s="229"/>
      <c r="AG304" s="229"/>
      <c r="AH304" s="229"/>
      <c r="AI304" s="229"/>
      <c r="AJ304" s="229"/>
      <c r="AK304" s="26"/>
      <c r="AL304" s="233"/>
      <c r="AM304" s="233"/>
      <c r="AN304" s="233"/>
      <c r="AO304" s="233"/>
      <c r="AP304" s="233"/>
      <c r="AQ304" s="233"/>
      <c r="AR304" s="233"/>
      <c r="AS304" s="233"/>
      <c r="AT304" s="233"/>
      <c r="AU304" s="233"/>
      <c r="AV304" s="233"/>
      <c r="AW304" s="233"/>
      <c r="AX304" s="233"/>
      <c r="AY304" s="233"/>
      <c r="AZ304" s="233"/>
      <c r="BA304" s="233"/>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row>
    <row r="305" spans="2:111" ht="9" customHeight="1">
      <c r="B305" s="242"/>
      <c r="C305" s="242"/>
      <c r="D305" s="242"/>
      <c r="E305" s="242"/>
      <c r="F305" s="242"/>
      <c r="G305" s="68"/>
      <c r="H305" s="229"/>
      <c r="I305" s="229"/>
      <c r="J305" s="229"/>
      <c r="K305" s="229"/>
      <c r="L305" s="229"/>
      <c r="M305" s="229"/>
      <c r="O305" s="233"/>
      <c r="P305" s="233"/>
      <c r="Q305" s="233"/>
      <c r="R305" s="233"/>
      <c r="S305" s="233"/>
      <c r="T305" s="233"/>
      <c r="U305" s="233"/>
      <c r="V305" s="233"/>
      <c r="W305" s="233"/>
      <c r="X305" s="233"/>
      <c r="Y305" s="233"/>
      <c r="Z305" s="233"/>
      <c r="AA305" s="233"/>
      <c r="AB305" s="233"/>
      <c r="AC305" s="233"/>
      <c r="AD305" s="233"/>
      <c r="AE305" s="229"/>
      <c r="AF305" s="229"/>
      <c r="AG305" s="229"/>
      <c r="AH305" s="229"/>
      <c r="AI305" s="229"/>
      <c r="AJ305" s="229"/>
      <c r="AK305" s="26"/>
      <c r="AL305" s="233"/>
      <c r="AM305" s="233"/>
      <c r="AN305" s="233"/>
      <c r="AO305" s="233"/>
      <c r="AP305" s="233"/>
      <c r="AQ305" s="233"/>
      <c r="AR305" s="233"/>
      <c r="AS305" s="233"/>
      <c r="AT305" s="233"/>
      <c r="AU305" s="233"/>
      <c r="AV305" s="233"/>
      <c r="AW305" s="233"/>
      <c r="AX305" s="233"/>
      <c r="AY305" s="233"/>
      <c r="AZ305" s="233"/>
      <c r="BA305" s="233"/>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row>
    <row r="306" spans="2:111" ht="4.5" customHeight="1">
      <c r="O306" s="70"/>
      <c r="P306" s="70"/>
      <c r="Q306" s="70"/>
      <c r="R306" s="70"/>
      <c r="S306" s="70"/>
      <c r="T306" s="70"/>
      <c r="U306" s="70"/>
      <c r="V306" s="70"/>
      <c r="W306" s="70"/>
      <c r="X306" s="70"/>
      <c r="Y306" s="70"/>
      <c r="Z306" s="70"/>
      <c r="AA306" s="70"/>
      <c r="AB306" s="70"/>
      <c r="AC306" s="70"/>
      <c r="AD306" s="70"/>
      <c r="AE306" s="69"/>
      <c r="AF306" s="69"/>
      <c r="AG306" s="69"/>
      <c r="AH306" s="69"/>
      <c r="AI306" s="69"/>
      <c r="AJ306" s="69"/>
      <c r="AK306" s="69"/>
      <c r="AL306" s="70"/>
      <c r="AM306" s="70"/>
      <c r="AN306" s="70"/>
      <c r="AO306" s="70"/>
      <c r="AP306" s="70"/>
      <c r="AQ306" s="70"/>
      <c r="AR306" s="70"/>
      <c r="AS306" s="70"/>
      <c r="AT306" s="70"/>
      <c r="AU306" s="70"/>
      <c r="AV306" s="70"/>
      <c r="AW306" s="70"/>
      <c r="AX306" s="70"/>
      <c r="AY306" s="70"/>
      <c r="AZ306" s="70"/>
      <c r="BA306" s="70"/>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row>
    <row r="307" spans="2:111" ht="9" customHeight="1">
      <c r="H307" s="229" t="str">
        <f>IF(B301&lt;&gt;"","Descrição:","")</f>
        <v/>
      </c>
      <c r="I307" s="229"/>
      <c r="J307" s="229"/>
      <c r="K307" s="229"/>
      <c r="L307" s="229"/>
      <c r="M307" s="229"/>
      <c r="O307" s="233"/>
      <c r="P307" s="233"/>
      <c r="Q307" s="233"/>
      <c r="R307" s="233"/>
      <c r="S307" s="233"/>
      <c r="T307" s="233"/>
      <c r="U307" s="233"/>
      <c r="V307" s="233"/>
      <c r="W307" s="233"/>
      <c r="X307" s="233"/>
      <c r="Y307" s="233"/>
      <c r="Z307" s="233"/>
      <c r="AA307" s="233"/>
      <c r="AB307" s="233"/>
      <c r="AC307" s="233"/>
      <c r="AD307" s="233"/>
      <c r="AE307" s="229" t="str">
        <f>IF(B301&lt;&gt;"","Unid/Qtde:","")</f>
        <v/>
      </c>
      <c r="AF307" s="229"/>
      <c r="AG307" s="229"/>
      <c r="AH307" s="229"/>
      <c r="AI307" s="229"/>
      <c r="AJ307" s="229"/>
      <c r="AK307" s="26"/>
      <c r="AL307" s="233"/>
      <c r="AM307" s="233"/>
      <c r="AN307" s="233"/>
      <c r="AO307" s="233"/>
      <c r="AP307" s="233"/>
      <c r="AQ307" s="233"/>
      <c r="AR307" s="233"/>
      <c r="AS307" s="233"/>
      <c r="AT307" s="233"/>
      <c r="AU307" s="233"/>
      <c r="AV307" s="233"/>
      <c r="AW307" s="233"/>
      <c r="AX307" s="233"/>
      <c r="AY307" s="233"/>
      <c r="AZ307" s="233"/>
      <c r="BA307" s="233"/>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row>
    <row r="308" spans="2:111" ht="9" customHeight="1">
      <c r="H308" s="229"/>
      <c r="I308" s="229"/>
      <c r="J308" s="229"/>
      <c r="K308" s="229"/>
      <c r="L308" s="229"/>
      <c r="M308" s="229"/>
      <c r="O308" s="233"/>
      <c r="P308" s="233"/>
      <c r="Q308" s="233"/>
      <c r="R308" s="233"/>
      <c r="S308" s="233"/>
      <c r="T308" s="233"/>
      <c r="U308" s="233"/>
      <c r="V308" s="233"/>
      <c r="W308" s="233"/>
      <c r="X308" s="233"/>
      <c r="Y308" s="233"/>
      <c r="Z308" s="233"/>
      <c r="AA308" s="233"/>
      <c r="AB308" s="233"/>
      <c r="AC308" s="233"/>
      <c r="AD308" s="233"/>
      <c r="AE308" s="229"/>
      <c r="AF308" s="229"/>
      <c r="AG308" s="229"/>
      <c r="AH308" s="229"/>
      <c r="AI308" s="229"/>
      <c r="AJ308" s="229"/>
      <c r="AK308" s="26"/>
      <c r="AL308" s="233"/>
      <c r="AM308" s="233"/>
      <c r="AN308" s="233"/>
      <c r="AO308" s="233"/>
      <c r="AP308" s="233"/>
      <c r="AQ308" s="233"/>
      <c r="AR308" s="233"/>
      <c r="AS308" s="233"/>
      <c r="AT308" s="233"/>
      <c r="AU308" s="233"/>
      <c r="AV308" s="233"/>
      <c r="AW308" s="233"/>
      <c r="AX308" s="233"/>
      <c r="AY308" s="233"/>
      <c r="AZ308" s="233"/>
      <c r="BA308" s="233"/>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row>
    <row r="309" spans="2:111" ht="4.5" customHeight="1">
      <c r="O309" s="70"/>
      <c r="P309" s="70"/>
      <c r="Q309" s="70"/>
      <c r="R309" s="70"/>
      <c r="S309" s="70"/>
      <c r="T309" s="70"/>
      <c r="U309" s="70"/>
      <c r="V309" s="70"/>
      <c r="W309" s="70"/>
      <c r="X309" s="70"/>
      <c r="Y309" s="70"/>
      <c r="Z309" s="70"/>
      <c r="AA309" s="70"/>
      <c r="AB309" s="70"/>
      <c r="AC309" s="70"/>
      <c r="AD309" s="70"/>
      <c r="AE309" s="69"/>
      <c r="AF309" s="69"/>
      <c r="AG309" s="69"/>
      <c r="AH309" s="69"/>
      <c r="AI309" s="69"/>
      <c r="AJ309" s="69"/>
      <c r="AK309" s="69"/>
      <c r="AL309" s="70"/>
      <c r="AM309" s="70"/>
      <c r="AN309" s="70"/>
      <c r="AO309" s="70"/>
      <c r="AP309" s="70"/>
      <c r="AQ309" s="70"/>
      <c r="AR309" s="70"/>
      <c r="AS309" s="70"/>
      <c r="AT309" s="70"/>
      <c r="AU309" s="70"/>
      <c r="AV309" s="70"/>
      <c r="AW309" s="70"/>
      <c r="AX309" s="70"/>
      <c r="AY309" s="70"/>
      <c r="AZ309" s="70"/>
      <c r="BA309" s="70"/>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row>
    <row r="310" spans="2:111" ht="9" customHeight="1">
      <c r="H310" s="229" t="str">
        <f>IF(B301&lt;&gt;"","Descrição:","")</f>
        <v/>
      </c>
      <c r="I310" s="229"/>
      <c r="J310" s="229"/>
      <c r="K310" s="229"/>
      <c r="L310" s="229"/>
      <c r="M310" s="229"/>
      <c r="O310" s="233"/>
      <c r="P310" s="233"/>
      <c r="Q310" s="233"/>
      <c r="R310" s="233"/>
      <c r="S310" s="233"/>
      <c r="T310" s="233"/>
      <c r="U310" s="233"/>
      <c r="V310" s="233"/>
      <c r="W310" s="233"/>
      <c r="X310" s="233"/>
      <c r="Y310" s="233"/>
      <c r="Z310" s="233"/>
      <c r="AA310" s="233"/>
      <c r="AB310" s="233"/>
      <c r="AC310" s="233"/>
      <c r="AD310" s="233"/>
      <c r="AE310" s="229" t="str">
        <f>IF(B301&lt;&gt;"","Unid/Qtde:","")</f>
        <v/>
      </c>
      <c r="AF310" s="229"/>
      <c r="AG310" s="229"/>
      <c r="AH310" s="229"/>
      <c r="AI310" s="229"/>
      <c r="AJ310" s="229"/>
      <c r="AK310" s="26"/>
      <c r="AL310" s="233"/>
      <c r="AM310" s="233"/>
      <c r="AN310" s="233"/>
      <c r="AO310" s="233"/>
      <c r="AP310" s="233"/>
      <c r="AQ310" s="233"/>
      <c r="AR310" s="233"/>
      <c r="AS310" s="233"/>
      <c r="AT310" s="233"/>
      <c r="AU310" s="233"/>
      <c r="AV310" s="233"/>
      <c r="AW310" s="233"/>
      <c r="AX310" s="233"/>
      <c r="AY310" s="233"/>
      <c r="AZ310" s="233"/>
      <c r="BA310" s="233"/>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row>
    <row r="311" spans="2:111" ht="9" customHeight="1">
      <c r="H311" s="229"/>
      <c r="I311" s="229"/>
      <c r="J311" s="229"/>
      <c r="K311" s="229"/>
      <c r="L311" s="229"/>
      <c r="M311" s="229"/>
      <c r="O311" s="233"/>
      <c r="P311" s="233"/>
      <c r="Q311" s="233"/>
      <c r="R311" s="233"/>
      <c r="S311" s="233"/>
      <c r="T311" s="233"/>
      <c r="U311" s="233"/>
      <c r="V311" s="233"/>
      <c r="W311" s="233"/>
      <c r="X311" s="233"/>
      <c r="Y311" s="233"/>
      <c r="Z311" s="233"/>
      <c r="AA311" s="233"/>
      <c r="AB311" s="233"/>
      <c r="AC311" s="233"/>
      <c r="AD311" s="233"/>
      <c r="AE311" s="229"/>
      <c r="AF311" s="229"/>
      <c r="AG311" s="229"/>
      <c r="AH311" s="229"/>
      <c r="AI311" s="229"/>
      <c r="AJ311" s="229"/>
      <c r="AK311" s="26"/>
      <c r="AL311" s="233"/>
      <c r="AM311" s="233"/>
      <c r="AN311" s="233"/>
      <c r="AO311" s="233"/>
      <c r="AP311" s="233"/>
      <c r="AQ311" s="233"/>
      <c r="AR311" s="233"/>
      <c r="AS311" s="233"/>
      <c r="AT311" s="233"/>
      <c r="AU311" s="233"/>
      <c r="AV311" s="233"/>
      <c r="AW311" s="233"/>
      <c r="AX311" s="233"/>
      <c r="AY311" s="233"/>
      <c r="AZ311" s="233"/>
      <c r="BA311" s="233"/>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row>
    <row r="312" spans="2:111" ht="4.5" customHeight="1">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row>
    <row r="313" spans="2:111" ht="9" customHeight="1">
      <c r="B313" s="396" t="str">
        <f>IF('(I) Plano de Trabalho'!$U$997&gt;=5,"Etapa 4.5","")</f>
        <v/>
      </c>
      <c r="C313" s="396"/>
      <c r="D313" s="396"/>
      <c r="E313" s="396"/>
      <c r="F313" s="396"/>
      <c r="G313" s="396"/>
      <c r="H313" s="394" t="str">
        <f>IF('(I) Plano de Trabalho'!$I$1093="","",'(I) Plano de Trabalho'!$I$1093)</f>
        <v/>
      </c>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c r="AI313" s="394"/>
      <c r="AJ313" s="394"/>
      <c r="AK313" s="394"/>
      <c r="AL313" s="394"/>
      <c r="AM313" s="394"/>
      <c r="AN313" s="394"/>
      <c r="AO313" s="394"/>
      <c r="AP313" s="394"/>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row>
    <row r="314" spans="2:111" ht="9" customHeight="1">
      <c r="B314" s="396"/>
      <c r="C314" s="396"/>
      <c r="D314" s="396"/>
      <c r="E314" s="396"/>
      <c r="F314" s="396"/>
      <c r="G314" s="396"/>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c r="AI314" s="394"/>
      <c r="AJ314" s="394"/>
      <c r="AK314" s="394"/>
      <c r="AL314" s="394"/>
      <c r="AM314" s="394"/>
      <c r="AN314" s="394"/>
      <c r="AO314" s="394"/>
      <c r="AP314" s="394"/>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row>
    <row r="315" spans="2:111" ht="4.5" customHeight="1">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row>
    <row r="316" spans="2:111" ht="9" customHeight="1">
      <c r="B316" s="242" t="str">
        <f>IF(B313="","","Indicador:")</f>
        <v/>
      </c>
      <c r="C316" s="242"/>
      <c r="D316" s="242"/>
      <c r="E316" s="242"/>
      <c r="F316" s="242"/>
      <c r="G316" s="68"/>
      <c r="H316" s="229" t="str">
        <f>IF(B313&lt;&gt;"","Descrição:","")</f>
        <v/>
      </c>
      <c r="I316" s="229"/>
      <c r="J316" s="229"/>
      <c r="K316" s="229"/>
      <c r="L316" s="229"/>
      <c r="M316" s="229"/>
      <c r="O316" s="233"/>
      <c r="P316" s="233"/>
      <c r="Q316" s="233"/>
      <c r="R316" s="233"/>
      <c r="S316" s="233"/>
      <c r="T316" s="233"/>
      <c r="U316" s="233"/>
      <c r="V316" s="233"/>
      <c r="W316" s="233"/>
      <c r="X316" s="233"/>
      <c r="Y316" s="233"/>
      <c r="Z316" s="233"/>
      <c r="AA316" s="233"/>
      <c r="AB316" s="233"/>
      <c r="AC316" s="233"/>
      <c r="AD316" s="233"/>
      <c r="AE316" s="229" t="str">
        <f>IF(B313&lt;&gt;"","Unid/Qtde:","")</f>
        <v/>
      </c>
      <c r="AF316" s="229"/>
      <c r="AG316" s="229"/>
      <c r="AH316" s="229"/>
      <c r="AI316" s="229"/>
      <c r="AJ316" s="229"/>
      <c r="AK316" s="26"/>
      <c r="AL316" s="233"/>
      <c r="AM316" s="233"/>
      <c r="AN316" s="233"/>
      <c r="AO316" s="233"/>
      <c r="AP316" s="233"/>
      <c r="AQ316" s="233"/>
      <c r="AR316" s="233"/>
      <c r="AS316" s="233"/>
      <c r="AT316" s="233"/>
      <c r="AU316" s="233"/>
      <c r="AV316" s="233"/>
      <c r="AW316" s="233"/>
      <c r="AX316" s="233"/>
      <c r="AY316" s="233"/>
      <c r="AZ316" s="233"/>
      <c r="BA316" s="233"/>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row>
    <row r="317" spans="2:111" ht="9" customHeight="1">
      <c r="B317" s="242"/>
      <c r="C317" s="242"/>
      <c r="D317" s="242"/>
      <c r="E317" s="242"/>
      <c r="F317" s="242"/>
      <c r="G317" s="68"/>
      <c r="H317" s="229"/>
      <c r="I317" s="229"/>
      <c r="J317" s="229"/>
      <c r="K317" s="229"/>
      <c r="L317" s="229"/>
      <c r="M317" s="229"/>
      <c r="O317" s="233"/>
      <c r="P317" s="233"/>
      <c r="Q317" s="233"/>
      <c r="R317" s="233"/>
      <c r="S317" s="233"/>
      <c r="T317" s="233"/>
      <c r="U317" s="233"/>
      <c r="V317" s="233"/>
      <c r="W317" s="233"/>
      <c r="X317" s="233"/>
      <c r="Y317" s="233"/>
      <c r="Z317" s="233"/>
      <c r="AA317" s="233"/>
      <c r="AB317" s="233"/>
      <c r="AC317" s="233"/>
      <c r="AD317" s="233"/>
      <c r="AE317" s="229"/>
      <c r="AF317" s="229"/>
      <c r="AG317" s="229"/>
      <c r="AH317" s="229"/>
      <c r="AI317" s="229"/>
      <c r="AJ317" s="229"/>
      <c r="AK317" s="26"/>
      <c r="AL317" s="233"/>
      <c r="AM317" s="233"/>
      <c r="AN317" s="233"/>
      <c r="AO317" s="233"/>
      <c r="AP317" s="233"/>
      <c r="AQ317" s="233"/>
      <c r="AR317" s="233"/>
      <c r="AS317" s="233"/>
      <c r="AT317" s="233"/>
      <c r="AU317" s="233"/>
      <c r="AV317" s="233"/>
      <c r="AW317" s="233"/>
      <c r="AX317" s="233"/>
      <c r="AY317" s="233"/>
      <c r="AZ317" s="233"/>
      <c r="BA317" s="233"/>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row>
    <row r="318" spans="2:111" ht="4.5" customHeight="1">
      <c r="O318" s="70"/>
      <c r="P318" s="70"/>
      <c r="Q318" s="70"/>
      <c r="R318" s="70"/>
      <c r="S318" s="70"/>
      <c r="T318" s="70"/>
      <c r="U318" s="70"/>
      <c r="V318" s="70"/>
      <c r="W318" s="70"/>
      <c r="X318" s="70"/>
      <c r="Y318" s="70"/>
      <c r="Z318" s="70"/>
      <c r="AA318" s="70"/>
      <c r="AB318" s="70"/>
      <c r="AC318" s="70"/>
      <c r="AD318" s="70"/>
      <c r="AE318" s="69"/>
      <c r="AF318" s="69"/>
      <c r="AG318" s="69"/>
      <c r="AH318" s="69"/>
      <c r="AI318" s="69"/>
      <c r="AJ318" s="69"/>
      <c r="AK318" s="69"/>
      <c r="AL318" s="70"/>
      <c r="AM318" s="70"/>
      <c r="AN318" s="70"/>
      <c r="AO318" s="70"/>
      <c r="AP318" s="70"/>
      <c r="AQ318" s="70"/>
      <c r="AR318" s="70"/>
      <c r="AS318" s="70"/>
      <c r="AT318" s="70"/>
      <c r="AU318" s="70"/>
      <c r="AV318" s="70"/>
      <c r="AW318" s="70"/>
      <c r="AX318" s="70"/>
      <c r="AY318" s="70"/>
      <c r="AZ318" s="70"/>
      <c r="BA318" s="70"/>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row>
    <row r="319" spans="2:111" ht="9" customHeight="1">
      <c r="H319" s="229" t="str">
        <f>IF(B313&lt;&gt;"","Descrição:","")</f>
        <v/>
      </c>
      <c r="I319" s="229"/>
      <c r="J319" s="229"/>
      <c r="K319" s="229"/>
      <c r="L319" s="229"/>
      <c r="M319" s="229"/>
      <c r="O319" s="233"/>
      <c r="P319" s="233"/>
      <c r="Q319" s="233"/>
      <c r="R319" s="233"/>
      <c r="S319" s="233"/>
      <c r="T319" s="233"/>
      <c r="U319" s="233"/>
      <c r="V319" s="233"/>
      <c r="W319" s="233"/>
      <c r="X319" s="233"/>
      <c r="Y319" s="233"/>
      <c r="Z319" s="233"/>
      <c r="AA319" s="233"/>
      <c r="AB319" s="233"/>
      <c r="AC319" s="233"/>
      <c r="AD319" s="233"/>
      <c r="AE319" s="229" t="str">
        <f>IF(B313&lt;&gt;"","Unid/Qtde:","")</f>
        <v/>
      </c>
      <c r="AF319" s="229"/>
      <c r="AG319" s="229"/>
      <c r="AH319" s="229"/>
      <c r="AI319" s="229"/>
      <c r="AJ319" s="229"/>
      <c r="AK319" s="26"/>
      <c r="AL319" s="233"/>
      <c r="AM319" s="233"/>
      <c r="AN319" s="233"/>
      <c r="AO319" s="233"/>
      <c r="AP319" s="233"/>
      <c r="AQ319" s="233"/>
      <c r="AR319" s="233"/>
      <c r="AS319" s="233"/>
      <c r="AT319" s="233"/>
      <c r="AU319" s="233"/>
      <c r="AV319" s="233"/>
      <c r="AW319" s="233"/>
      <c r="AX319" s="233"/>
      <c r="AY319" s="233"/>
      <c r="AZ319" s="233"/>
      <c r="BA319" s="233"/>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row>
    <row r="320" spans="2:111" ht="9" customHeight="1">
      <c r="H320" s="229"/>
      <c r="I320" s="229"/>
      <c r="J320" s="229"/>
      <c r="K320" s="229"/>
      <c r="L320" s="229"/>
      <c r="M320" s="229"/>
      <c r="O320" s="233"/>
      <c r="P320" s="233"/>
      <c r="Q320" s="233"/>
      <c r="R320" s="233"/>
      <c r="S320" s="233"/>
      <c r="T320" s="233"/>
      <c r="U320" s="233"/>
      <c r="V320" s="233"/>
      <c r="W320" s="233"/>
      <c r="X320" s="233"/>
      <c r="Y320" s="233"/>
      <c r="Z320" s="233"/>
      <c r="AA320" s="233"/>
      <c r="AB320" s="233"/>
      <c r="AC320" s="233"/>
      <c r="AD320" s="233"/>
      <c r="AE320" s="229"/>
      <c r="AF320" s="229"/>
      <c r="AG320" s="229"/>
      <c r="AH320" s="229"/>
      <c r="AI320" s="229"/>
      <c r="AJ320" s="229"/>
      <c r="AK320" s="26"/>
      <c r="AL320" s="233"/>
      <c r="AM320" s="233"/>
      <c r="AN320" s="233"/>
      <c r="AO320" s="233"/>
      <c r="AP320" s="233"/>
      <c r="AQ320" s="233"/>
      <c r="AR320" s="233"/>
      <c r="AS320" s="233"/>
      <c r="AT320" s="233"/>
      <c r="AU320" s="233"/>
      <c r="AV320" s="233"/>
      <c r="AW320" s="233"/>
      <c r="AX320" s="233"/>
      <c r="AY320" s="233"/>
      <c r="AZ320" s="233"/>
      <c r="BA320" s="233"/>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row>
    <row r="321" spans="2:111" ht="4.5" customHeight="1">
      <c r="O321" s="70"/>
      <c r="P321" s="70"/>
      <c r="Q321" s="70"/>
      <c r="R321" s="70"/>
      <c r="S321" s="70"/>
      <c r="T321" s="70"/>
      <c r="U321" s="70"/>
      <c r="V321" s="70"/>
      <c r="W321" s="70"/>
      <c r="X321" s="70"/>
      <c r="Y321" s="70"/>
      <c r="Z321" s="70"/>
      <c r="AA321" s="70"/>
      <c r="AB321" s="70"/>
      <c r="AC321" s="70"/>
      <c r="AD321" s="70"/>
      <c r="AE321" s="69"/>
      <c r="AF321" s="69"/>
      <c r="AG321" s="69"/>
      <c r="AH321" s="69"/>
      <c r="AI321" s="69"/>
      <c r="AJ321" s="69"/>
      <c r="AK321" s="69"/>
      <c r="AL321" s="70"/>
      <c r="AM321" s="70"/>
      <c r="AN321" s="70"/>
      <c r="AO321" s="70"/>
      <c r="AP321" s="70"/>
      <c r="AQ321" s="70"/>
      <c r="AR321" s="70"/>
      <c r="AS321" s="70"/>
      <c r="AT321" s="70"/>
      <c r="AU321" s="70"/>
      <c r="AV321" s="70"/>
      <c r="AW321" s="70"/>
      <c r="AX321" s="70"/>
      <c r="AY321" s="70"/>
      <c r="AZ321" s="70"/>
      <c r="BA321" s="70"/>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row>
    <row r="322" spans="2:111" ht="9" customHeight="1">
      <c r="H322" s="229" t="str">
        <f>IF(B313&lt;&gt;"","Descrição:","")</f>
        <v/>
      </c>
      <c r="I322" s="229"/>
      <c r="J322" s="229"/>
      <c r="K322" s="229"/>
      <c r="L322" s="229"/>
      <c r="M322" s="229"/>
      <c r="O322" s="233"/>
      <c r="P322" s="233"/>
      <c r="Q322" s="233"/>
      <c r="R322" s="233"/>
      <c r="S322" s="233"/>
      <c r="T322" s="233"/>
      <c r="U322" s="233"/>
      <c r="V322" s="233"/>
      <c r="W322" s="233"/>
      <c r="X322" s="233"/>
      <c r="Y322" s="233"/>
      <c r="Z322" s="233"/>
      <c r="AA322" s="233"/>
      <c r="AB322" s="233"/>
      <c r="AC322" s="233"/>
      <c r="AD322" s="233"/>
      <c r="AE322" s="229" t="str">
        <f>IF(B313&lt;&gt;"","Unid/Qtde:","")</f>
        <v/>
      </c>
      <c r="AF322" s="229"/>
      <c r="AG322" s="229"/>
      <c r="AH322" s="229"/>
      <c r="AI322" s="229"/>
      <c r="AJ322" s="229"/>
      <c r="AK322" s="26"/>
      <c r="AL322" s="233"/>
      <c r="AM322" s="233"/>
      <c r="AN322" s="233"/>
      <c r="AO322" s="233"/>
      <c r="AP322" s="233"/>
      <c r="AQ322" s="233"/>
      <c r="AR322" s="233"/>
      <c r="AS322" s="233"/>
      <c r="AT322" s="233"/>
      <c r="AU322" s="233"/>
      <c r="AV322" s="233"/>
      <c r="AW322" s="233"/>
      <c r="AX322" s="233"/>
      <c r="AY322" s="233"/>
      <c r="AZ322" s="233"/>
      <c r="BA322" s="233"/>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row>
    <row r="323" spans="2:111" ht="9" customHeight="1">
      <c r="H323" s="229"/>
      <c r="I323" s="229"/>
      <c r="J323" s="229"/>
      <c r="K323" s="229"/>
      <c r="L323" s="229"/>
      <c r="M323" s="229"/>
      <c r="O323" s="233"/>
      <c r="P323" s="233"/>
      <c r="Q323" s="233"/>
      <c r="R323" s="233"/>
      <c r="S323" s="233"/>
      <c r="T323" s="233"/>
      <c r="U323" s="233"/>
      <c r="V323" s="233"/>
      <c r="W323" s="233"/>
      <c r="X323" s="233"/>
      <c r="Y323" s="233"/>
      <c r="Z323" s="233"/>
      <c r="AA323" s="233"/>
      <c r="AB323" s="233"/>
      <c r="AC323" s="233"/>
      <c r="AD323" s="233"/>
      <c r="AE323" s="229"/>
      <c r="AF323" s="229"/>
      <c r="AG323" s="229"/>
      <c r="AH323" s="229"/>
      <c r="AI323" s="229"/>
      <c r="AJ323" s="229"/>
      <c r="AK323" s="26"/>
      <c r="AL323" s="233"/>
      <c r="AM323" s="233"/>
      <c r="AN323" s="233"/>
      <c r="AO323" s="233"/>
      <c r="AP323" s="233"/>
      <c r="AQ323" s="233"/>
      <c r="AR323" s="233"/>
      <c r="AS323" s="233"/>
      <c r="AT323" s="233"/>
      <c r="AU323" s="233"/>
      <c r="AV323" s="233"/>
      <c r="AW323" s="233"/>
      <c r="AX323" s="233"/>
      <c r="AY323" s="233"/>
      <c r="AZ323" s="233"/>
      <c r="BA323" s="233"/>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row>
    <row r="324" spans="2:111" ht="15" customHeight="1">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row>
    <row r="325" spans="2:111" ht="9" customHeight="1">
      <c r="B325" s="395" t="str">
        <f>IF('(I) Plano de Trabalho'!$U$623&gt;=5,"Meta 5","")</f>
        <v>Meta 5</v>
      </c>
      <c r="C325" s="395"/>
      <c r="D325" s="395"/>
      <c r="E325" s="395"/>
      <c r="F325" s="395"/>
      <c r="G325" s="395"/>
      <c r="H325" s="394" t="str">
        <f>IF('(I) Plano de Trabalho'!$I$1117="","",'(I) Plano de Trabalho'!$I$1117)</f>
        <v xml:space="preserve">Qualificar operacionalmente os usuários e intervenientes do processo </v>
      </c>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c r="AI325" s="394"/>
      <c r="AJ325" s="394"/>
      <c r="AK325" s="394"/>
      <c r="AL325" s="394"/>
      <c r="AM325" s="394"/>
      <c r="AN325" s="394"/>
      <c r="AO325" s="394"/>
      <c r="AP325" s="394"/>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row>
    <row r="326" spans="2:111" ht="9" customHeight="1">
      <c r="B326" s="395"/>
      <c r="C326" s="395"/>
      <c r="D326" s="395"/>
      <c r="E326" s="395"/>
      <c r="F326" s="395"/>
      <c r="G326" s="395"/>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c r="AI326" s="394"/>
      <c r="AJ326" s="394"/>
      <c r="AK326" s="394"/>
      <c r="AL326" s="394"/>
      <c r="AM326" s="394"/>
      <c r="AN326" s="394"/>
      <c r="AO326" s="394"/>
      <c r="AP326" s="394"/>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row>
    <row r="327" spans="2:111" ht="4.5" customHeight="1">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row>
    <row r="328" spans="2:111" ht="9" customHeight="1">
      <c r="B328" s="396" t="str">
        <f>IF('(I) Plano de Trabalho'!$U$1120&gt;=1,"Etapa 5.1","")</f>
        <v>Etapa 5.1</v>
      </c>
      <c r="C328" s="396"/>
      <c r="D328" s="396"/>
      <c r="E328" s="396"/>
      <c r="F328" s="396"/>
      <c r="G328" s="396"/>
      <c r="H328" s="394" t="str">
        <f>IF('(I) Plano de Trabalho'!$I$1123="","",'(I) Plano de Trabalho'!$I$1123)</f>
        <v>Desenvolvimento e Implantação de módulo de Educação à Distância para usuários da Plataforma COMEX AMBINETAL e servidores públicos intervenientes ao processo</v>
      </c>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c r="AI328" s="394"/>
      <c r="AJ328" s="394"/>
      <c r="AK328" s="394"/>
      <c r="AL328" s="394"/>
      <c r="AM328" s="394"/>
      <c r="AN328" s="394"/>
      <c r="AO328" s="394"/>
      <c r="AP328" s="394"/>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row>
    <row r="329" spans="2:111" ht="9" customHeight="1">
      <c r="B329" s="396"/>
      <c r="C329" s="396"/>
      <c r="D329" s="396"/>
      <c r="E329" s="396"/>
      <c r="F329" s="396"/>
      <c r="G329" s="396"/>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c r="AI329" s="394"/>
      <c r="AJ329" s="394"/>
      <c r="AK329" s="394"/>
      <c r="AL329" s="394"/>
      <c r="AM329" s="394"/>
      <c r="AN329" s="394"/>
      <c r="AO329" s="394"/>
      <c r="AP329" s="394"/>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row>
    <row r="330" spans="2:111" ht="4.5" customHeight="1">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row>
    <row r="331" spans="2:111" ht="9" customHeight="1">
      <c r="B331" s="242" t="str">
        <f>IF(B328="","","Indicador:")</f>
        <v>Indicador:</v>
      </c>
      <c r="C331" s="242"/>
      <c r="D331" s="242"/>
      <c r="E331" s="242"/>
      <c r="F331" s="242"/>
      <c r="G331" s="68"/>
      <c r="H331" s="229" t="str">
        <f>IF(B328&lt;&gt;"","Descrição:","")</f>
        <v>Descrição:</v>
      </c>
      <c r="I331" s="229"/>
      <c r="J331" s="229"/>
      <c r="K331" s="229"/>
      <c r="L331" s="229"/>
      <c r="M331" s="229"/>
      <c r="O331" s="233" t="s">
        <v>551</v>
      </c>
      <c r="P331" s="233"/>
      <c r="Q331" s="233"/>
      <c r="R331" s="233"/>
      <c r="S331" s="233"/>
      <c r="T331" s="233"/>
      <c r="U331" s="233"/>
      <c r="V331" s="233"/>
      <c r="W331" s="233"/>
      <c r="X331" s="233"/>
      <c r="Y331" s="233"/>
      <c r="Z331" s="233"/>
      <c r="AA331" s="233"/>
      <c r="AB331" s="233"/>
      <c r="AC331" s="233"/>
      <c r="AD331" s="233"/>
      <c r="AE331" s="229" t="str">
        <f>IF(B328&lt;&gt;"","Unid/Qtde:","")</f>
        <v>Unid/Qtde:</v>
      </c>
      <c r="AF331" s="229"/>
      <c r="AG331" s="229"/>
      <c r="AH331" s="229"/>
      <c r="AI331" s="229"/>
      <c r="AJ331" s="229"/>
      <c r="AK331" s="26"/>
      <c r="AL331" s="233">
        <v>1</v>
      </c>
      <c r="AM331" s="233"/>
      <c r="AN331" s="233"/>
      <c r="AO331" s="233"/>
      <c r="AP331" s="233"/>
      <c r="AQ331" s="233"/>
      <c r="AR331" s="233"/>
      <c r="AS331" s="233"/>
      <c r="AT331" s="233"/>
      <c r="AU331" s="233"/>
      <c r="AV331" s="233"/>
      <c r="AW331" s="233"/>
      <c r="AX331" s="233"/>
      <c r="AY331" s="233"/>
      <c r="AZ331" s="233"/>
      <c r="BA331" s="233"/>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row>
    <row r="332" spans="2:111" ht="9" customHeight="1">
      <c r="B332" s="242"/>
      <c r="C332" s="242"/>
      <c r="D332" s="242"/>
      <c r="E332" s="242"/>
      <c r="F332" s="242"/>
      <c r="G332" s="68"/>
      <c r="H332" s="229"/>
      <c r="I332" s="229"/>
      <c r="J332" s="229"/>
      <c r="K332" s="229"/>
      <c r="L332" s="229"/>
      <c r="M332" s="229"/>
      <c r="O332" s="233"/>
      <c r="P332" s="233"/>
      <c r="Q332" s="233"/>
      <c r="R332" s="233"/>
      <c r="S332" s="233"/>
      <c r="T332" s="233"/>
      <c r="U332" s="233"/>
      <c r="V332" s="233"/>
      <c r="W332" s="233"/>
      <c r="X332" s="233"/>
      <c r="Y332" s="233"/>
      <c r="Z332" s="233"/>
      <c r="AA332" s="233"/>
      <c r="AB332" s="233"/>
      <c r="AC332" s="233"/>
      <c r="AD332" s="233"/>
      <c r="AE332" s="229"/>
      <c r="AF332" s="229"/>
      <c r="AG332" s="229"/>
      <c r="AH332" s="229"/>
      <c r="AI332" s="229"/>
      <c r="AJ332" s="229"/>
      <c r="AK332" s="26"/>
      <c r="AL332" s="233"/>
      <c r="AM332" s="233"/>
      <c r="AN332" s="233"/>
      <c r="AO332" s="233"/>
      <c r="AP332" s="233"/>
      <c r="AQ332" s="233"/>
      <c r="AR332" s="233"/>
      <c r="AS332" s="233"/>
      <c r="AT332" s="233"/>
      <c r="AU332" s="233"/>
      <c r="AV332" s="233"/>
      <c r="AW332" s="233"/>
      <c r="AX332" s="233"/>
      <c r="AY332" s="233"/>
      <c r="AZ332" s="233"/>
      <c r="BA332" s="233"/>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row>
    <row r="333" spans="2:111" ht="4.5" customHeight="1">
      <c r="O333" s="70"/>
      <c r="P333" s="70"/>
      <c r="Q333" s="70"/>
      <c r="R333" s="70"/>
      <c r="S333" s="70"/>
      <c r="T333" s="70"/>
      <c r="U333" s="70"/>
      <c r="V333" s="70"/>
      <c r="W333" s="70"/>
      <c r="X333" s="70"/>
      <c r="Y333" s="70"/>
      <c r="Z333" s="70"/>
      <c r="AA333" s="70"/>
      <c r="AB333" s="70"/>
      <c r="AC333" s="70"/>
      <c r="AD333" s="70"/>
      <c r="AE333" s="69"/>
      <c r="AF333" s="69"/>
      <c r="AG333" s="69"/>
      <c r="AH333" s="69"/>
      <c r="AI333" s="69"/>
      <c r="AJ333" s="69"/>
      <c r="AK333" s="69"/>
      <c r="AL333" s="70"/>
      <c r="AM333" s="70"/>
      <c r="AN333" s="70"/>
      <c r="AO333" s="70"/>
      <c r="AP333" s="70"/>
      <c r="AQ333" s="70"/>
      <c r="AR333" s="70"/>
      <c r="AS333" s="70"/>
      <c r="AT333" s="70"/>
      <c r="AU333" s="70"/>
      <c r="AV333" s="70"/>
      <c r="AW333" s="70"/>
      <c r="AX333" s="70"/>
      <c r="AY333" s="70"/>
      <c r="AZ333" s="70"/>
      <c r="BA333" s="70"/>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row>
    <row r="334" spans="2:111" ht="9" customHeight="1">
      <c r="H334" s="229" t="str">
        <f>IF(B328&lt;&gt;"","Descrição:","")</f>
        <v>Descrição:</v>
      </c>
      <c r="I334" s="229"/>
      <c r="J334" s="229"/>
      <c r="K334" s="229"/>
      <c r="L334" s="229"/>
      <c r="M334" s="229"/>
      <c r="O334" s="233" t="s">
        <v>552</v>
      </c>
      <c r="P334" s="233"/>
      <c r="Q334" s="233"/>
      <c r="R334" s="233"/>
      <c r="S334" s="233"/>
      <c r="T334" s="233"/>
      <c r="U334" s="233"/>
      <c r="V334" s="233"/>
      <c r="W334" s="233"/>
      <c r="X334" s="233"/>
      <c r="Y334" s="233"/>
      <c r="Z334" s="233"/>
      <c r="AA334" s="233"/>
      <c r="AB334" s="233"/>
      <c r="AC334" s="233"/>
      <c r="AD334" s="233"/>
      <c r="AE334" s="229" t="str">
        <f>IF(B328&lt;&gt;"","Unid/Qtde:","")</f>
        <v>Unid/Qtde:</v>
      </c>
      <c r="AF334" s="229"/>
      <c r="AG334" s="229"/>
      <c r="AH334" s="229"/>
      <c r="AI334" s="229"/>
      <c r="AJ334" s="229"/>
      <c r="AK334" s="26"/>
      <c r="AL334" s="233">
        <v>1</v>
      </c>
      <c r="AM334" s="233"/>
      <c r="AN334" s="233"/>
      <c r="AO334" s="233"/>
      <c r="AP334" s="233"/>
      <c r="AQ334" s="233"/>
      <c r="AR334" s="233"/>
      <c r="AS334" s="233"/>
      <c r="AT334" s="233"/>
      <c r="AU334" s="233"/>
      <c r="AV334" s="233"/>
      <c r="AW334" s="233"/>
      <c r="AX334" s="233"/>
      <c r="AY334" s="233"/>
      <c r="AZ334" s="233"/>
      <c r="BA334" s="233"/>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row>
    <row r="335" spans="2:111" ht="9" customHeight="1">
      <c r="H335" s="229"/>
      <c r="I335" s="229"/>
      <c r="J335" s="229"/>
      <c r="K335" s="229"/>
      <c r="L335" s="229"/>
      <c r="M335" s="229"/>
      <c r="O335" s="233"/>
      <c r="P335" s="233"/>
      <c r="Q335" s="233"/>
      <c r="R335" s="233"/>
      <c r="S335" s="233"/>
      <c r="T335" s="233"/>
      <c r="U335" s="233"/>
      <c r="V335" s="233"/>
      <c r="W335" s="233"/>
      <c r="X335" s="233"/>
      <c r="Y335" s="233"/>
      <c r="Z335" s="233"/>
      <c r="AA335" s="233"/>
      <c r="AB335" s="233"/>
      <c r="AC335" s="233"/>
      <c r="AD335" s="233"/>
      <c r="AE335" s="229"/>
      <c r="AF335" s="229"/>
      <c r="AG335" s="229"/>
      <c r="AH335" s="229"/>
      <c r="AI335" s="229"/>
      <c r="AJ335" s="229"/>
      <c r="AK335" s="26"/>
      <c r="AL335" s="233"/>
      <c r="AM335" s="233"/>
      <c r="AN335" s="233"/>
      <c r="AO335" s="233"/>
      <c r="AP335" s="233"/>
      <c r="AQ335" s="233"/>
      <c r="AR335" s="233"/>
      <c r="AS335" s="233"/>
      <c r="AT335" s="233"/>
      <c r="AU335" s="233"/>
      <c r="AV335" s="233"/>
      <c r="AW335" s="233"/>
      <c r="AX335" s="233"/>
      <c r="AY335" s="233"/>
      <c r="AZ335" s="233"/>
      <c r="BA335" s="233"/>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row>
    <row r="336" spans="2:111" ht="4.5" customHeight="1">
      <c r="O336" s="70"/>
      <c r="P336" s="70"/>
      <c r="Q336" s="70"/>
      <c r="R336" s="70"/>
      <c r="S336" s="70"/>
      <c r="T336" s="70"/>
      <c r="U336" s="70"/>
      <c r="V336" s="70"/>
      <c r="W336" s="70"/>
      <c r="X336" s="70"/>
      <c r="Y336" s="70"/>
      <c r="Z336" s="70"/>
      <c r="AA336" s="70"/>
      <c r="AB336" s="70"/>
      <c r="AC336" s="70"/>
      <c r="AD336" s="70"/>
      <c r="AE336" s="69"/>
      <c r="AF336" s="69"/>
      <c r="AG336" s="69"/>
      <c r="AH336" s="69"/>
      <c r="AI336" s="69"/>
      <c r="AJ336" s="69"/>
      <c r="AK336" s="69"/>
      <c r="AL336" s="70"/>
      <c r="AM336" s="70"/>
      <c r="AN336" s="70"/>
      <c r="AO336" s="70"/>
      <c r="AP336" s="70"/>
      <c r="AQ336" s="70"/>
      <c r="AR336" s="70"/>
      <c r="AS336" s="70"/>
      <c r="AT336" s="70"/>
      <c r="AU336" s="70"/>
      <c r="AV336" s="70"/>
      <c r="AW336" s="70"/>
      <c r="AX336" s="70"/>
      <c r="AY336" s="70"/>
      <c r="AZ336" s="70"/>
      <c r="BA336" s="70"/>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row>
    <row r="337" spans="2:111" ht="9" customHeight="1">
      <c r="H337" s="229" t="str">
        <f>IF(B328&lt;&gt;"","Descrição:","")</f>
        <v>Descrição:</v>
      </c>
      <c r="I337" s="229"/>
      <c r="J337" s="229"/>
      <c r="K337" s="229"/>
      <c r="L337" s="229"/>
      <c r="M337" s="229"/>
      <c r="O337" s="233" t="s">
        <v>553</v>
      </c>
      <c r="P337" s="233"/>
      <c r="Q337" s="233"/>
      <c r="R337" s="233"/>
      <c r="S337" s="233"/>
      <c r="T337" s="233"/>
      <c r="U337" s="233"/>
      <c r="V337" s="233"/>
      <c r="W337" s="233"/>
      <c r="X337" s="233"/>
      <c r="Y337" s="233"/>
      <c r="Z337" s="233"/>
      <c r="AA337" s="233"/>
      <c r="AB337" s="233"/>
      <c r="AC337" s="233"/>
      <c r="AD337" s="233"/>
      <c r="AE337" s="229" t="str">
        <f>IF(B328&lt;&gt;"","Unid/Qtde:","")</f>
        <v>Unid/Qtde:</v>
      </c>
      <c r="AF337" s="229"/>
      <c r="AG337" s="229"/>
      <c r="AH337" s="229"/>
      <c r="AI337" s="229"/>
      <c r="AJ337" s="229"/>
      <c r="AK337" s="26"/>
      <c r="AL337" s="233">
        <v>1</v>
      </c>
      <c r="AM337" s="233"/>
      <c r="AN337" s="233"/>
      <c r="AO337" s="233"/>
      <c r="AP337" s="233"/>
      <c r="AQ337" s="233"/>
      <c r="AR337" s="233"/>
      <c r="AS337" s="233"/>
      <c r="AT337" s="233"/>
      <c r="AU337" s="233"/>
      <c r="AV337" s="233"/>
      <c r="AW337" s="233"/>
      <c r="AX337" s="233"/>
      <c r="AY337" s="233"/>
      <c r="AZ337" s="233"/>
      <c r="BA337" s="233"/>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row>
    <row r="338" spans="2:111" ht="9" customHeight="1">
      <c r="H338" s="229"/>
      <c r="I338" s="229"/>
      <c r="J338" s="229"/>
      <c r="K338" s="229"/>
      <c r="L338" s="229"/>
      <c r="M338" s="229"/>
      <c r="O338" s="233"/>
      <c r="P338" s="233"/>
      <c r="Q338" s="233"/>
      <c r="R338" s="233"/>
      <c r="S338" s="233"/>
      <c r="T338" s="233"/>
      <c r="U338" s="233"/>
      <c r="V338" s="233"/>
      <c r="W338" s="233"/>
      <c r="X338" s="233"/>
      <c r="Y338" s="233"/>
      <c r="Z338" s="233"/>
      <c r="AA338" s="233"/>
      <c r="AB338" s="233"/>
      <c r="AC338" s="233"/>
      <c r="AD338" s="233"/>
      <c r="AE338" s="229"/>
      <c r="AF338" s="229"/>
      <c r="AG338" s="229"/>
      <c r="AH338" s="229"/>
      <c r="AI338" s="229"/>
      <c r="AJ338" s="229"/>
      <c r="AK338" s="26"/>
      <c r="AL338" s="233"/>
      <c r="AM338" s="233"/>
      <c r="AN338" s="233"/>
      <c r="AO338" s="233"/>
      <c r="AP338" s="233"/>
      <c r="AQ338" s="233"/>
      <c r="AR338" s="233"/>
      <c r="AS338" s="233"/>
      <c r="AT338" s="233"/>
      <c r="AU338" s="233"/>
      <c r="AV338" s="233"/>
      <c r="AW338" s="233"/>
      <c r="AX338" s="233"/>
      <c r="AY338" s="233"/>
      <c r="AZ338" s="233"/>
      <c r="BA338" s="233"/>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row>
    <row r="339" spans="2:111" ht="4.5" customHeight="1">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row>
    <row r="340" spans="2:111" ht="9" customHeight="1">
      <c r="B340" s="396" t="str">
        <f>IF('(I) Plano de Trabalho'!$U$1120&gt;=2,"Etapa 5.2","")</f>
        <v>Etapa 5.2</v>
      </c>
      <c r="C340" s="396"/>
      <c r="D340" s="396"/>
      <c r="E340" s="396"/>
      <c r="F340" s="396"/>
      <c r="G340" s="396"/>
      <c r="H340" s="394" t="str">
        <f>IF('(I) Plano de Trabalho'!$I$1146="","",'(I) Plano de Trabalho'!$I$1146)</f>
        <v>Realização de 3 (três) seminários técnicos para divulgação dos resultados do Projeto</v>
      </c>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c r="AI340" s="394"/>
      <c r="AJ340" s="394"/>
      <c r="AK340" s="394"/>
      <c r="AL340" s="394"/>
      <c r="AM340" s="394"/>
      <c r="AN340" s="394"/>
      <c r="AO340" s="394"/>
      <c r="AP340" s="394"/>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row>
    <row r="341" spans="2:111" ht="9" customHeight="1">
      <c r="B341" s="396"/>
      <c r="C341" s="396"/>
      <c r="D341" s="396"/>
      <c r="E341" s="396"/>
      <c r="F341" s="396"/>
      <c r="G341" s="396"/>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c r="AI341" s="394"/>
      <c r="AJ341" s="394"/>
      <c r="AK341" s="394"/>
      <c r="AL341" s="394"/>
      <c r="AM341" s="394"/>
      <c r="AN341" s="394"/>
      <c r="AO341" s="394"/>
      <c r="AP341" s="394"/>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row>
    <row r="342" spans="2:111" ht="4.5" customHeight="1">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row>
    <row r="343" spans="2:111" ht="9" customHeight="1">
      <c r="B343" s="242" t="str">
        <f>IF(B340="","","Indicador:")</f>
        <v>Indicador:</v>
      </c>
      <c r="C343" s="242"/>
      <c r="D343" s="242"/>
      <c r="E343" s="242"/>
      <c r="F343" s="242"/>
      <c r="G343" s="68"/>
      <c r="H343" s="229" t="str">
        <f>IF(B340&lt;&gt;"","Descrição:","")</f>
        <v>Descrição:</v>
      </c>
      <c r="I343" s="229"/>
      <c r="J343" s="229"/>
      <c r="K343" s="229"/>
      <c r="L343" s="229"/>
      <c r="M343" s="229"/>
      <c r="O343" s="233" t="s">
        <v>559</v>
      </c>
      <c r="P343" s="233"/>
      <c r="Q343" s="233"/>
      <c r="R343" s="233"/>
      <c r="S343" s="233"/>
      <c r="T343" s="233"/>
      <c r="U343" s="233"/>
      <c r="V343" s="233"/>
      <c r="W343" s="233"/>
      <c r="X343" s="233"/>
      <c r="Y343" s="233"/>
      <c r="Z343" s="233"/>
      <c r="AA343" s="233"/>
      <c r="AB343" s="233"/>
      <c r="AC343" s="233"/>
      <c r="AD343" s="233"/>
      <c r="AE343" s="229" t="str">
        <f>IF(B340&lt;&gt;"","Unid/Qtde:","")</f>
        <v>Unid/Qtde:</v>
      </c>
      <c r="AF343" s="229"/>
      <c r="AG343" s="229"/>
      <c r="AH343" s="229"/>
      <c r="AI343" s="229"/>
      <c r="AJ343" s="229"/>
      <c r="AK343" s="26"/>
      <c r="AL343" s="233">
        <v>1</v>
      </c>
      <c r="AM343" s="233"/>
      <c r="AN343" s="233"/>
      <c r="AO343" s="233"/>
      <c r="AP343" s="233"/>
      <c r="AQ343" s="233"/>
      <c r="AR343" s="233"/>
      <c r="AS343" s="233"/>
      <c r="AT343" s="233"/>
      <c r="AU343" s="233"/>
      <c r="AV343" s="233"/>
      <c r="AW343" s="233"/>
      <c r="AX343" s="233"/>
      <c r="AY343" s="233"/>
      <c r="AZ343" s="233"/>
      <c r="BA343" s="233"/>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row>
    <row r="344" spans="2:111" ht="9" customHeight="1">
      <c r="B344" s="242"/>
      <c r="C344" s="242"/>
      <c r="D344" s="242"/>
      <c r="E344" s="242"/>
      <c r="F344" s="242"/>
      <c r="G344" s="68"/>
      <c r="H344" s="229"/>
      <c r="I344" s="229"/>
      <c r="J344" s="229"/>
      <c r="K344" s="229"/>
      <c r="L344" s="229"/>
      <c r="M344" s="229"/>
      <c r="O344" s="233"/>
      <c r="P344" s="233"/>
      <c r="Q344" s="233"/>
      <c r="R344" s="233"/>
      <c r="S344" s="233"/>
      <c r="T344" s="233"/>
      <c r="U344" s="233"/>
      <c r="V344" s="233"/>
      <c r="W344" s="233"/>
      <c r="X344" s="233"/>
      <c r="Y344" s="233"/>
      <c r="Z344" s="233"/>
      <c r="AA344" s="233"/>
      <c r="AB344" s="233"/>
      <c r="AC344" s="233"/>
      <c r="AD344" s="233"/>
      <c r="AE344" s="229"/>
      <c r="AF344" s="229"/>
      <c r="AG344" s="229"/>
      <c r="AH344" s="229"/>
      <c r="AI344" s="229"/>
      <c r="AJ344" s="229"/>
      <c r="AK344" s="26"/>
      <c r="AL344" s="233"/>
      <c r="AM344" s="233"/>
      <c r="AN344" s="233"/>
      <c r="AO344" s="233"/>
      <c r="AP344" s="233"/>
      <c r="AQ344" s="233"/>
      <c r="AR344" s="233"/>
      <c r="AS344" s="233"/>
      <c r="AT344" s="233"/>
      <c r="AU344" s="233"/>
      <c r="AV344" s="233"/>
      <c r="AW344" s="233"/>
      <c r="AX344" s="233"/>
      <c r="AY344" s="233"/>
      <c r="AZ344" s="233"/>
      <c r="BA344" s="233"/>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row>
    <row r="345" spans="2:111" ht="4.5" customHeight="1">
      <c r="O345" s="70"/>
      <c r="P345" s="70"/>
      <c r="Q345" s="70"/>
      <c r="R345" s="70"/>
      <c r="S345" s="70"/>
      <c r="T345" s="70"/>
      <c r="U345" s="70"/>
      <c r="V345" s="70"/>
      <c r="W345" s="70"/>
      <c r="X345" s="70"/>
      <c r="Y345" s="70"/>
      <c r="Z345" s="70"/>
      <c r="AA345" s="70"/>
      <c r="AB345" s="70"/>
      <c r="AC345" s="70"/>
      <c r="AD345" s="70"/>
      <c r="AE345" s="69"/>
      <c r="AF345" s="69"/>
      <c r="AG345" s="69"/>
      <c r="AH345" s="69"/>
      <c r="AI345" s="69"/>
      <c r="AJ345" s="69"/>
      <c r="AK345" s="69"/>
      <c r="AL345" s="70"/>
      <c r="AM345" s="70"/>
      <c r="AN345" s="70"/>
      <c r="AO345" s="70"/>
      <c r="AP345" s="70"/>
      <c r="AQ345" s="70"/>
      <c r="AR345" s="70"/>
      <c r="AS345" s="70"/>
      <c r="AT345" s="70"/>
      <c r="AU345" s="70"/>
      <c r="AV345" s="70"/>
      <c r="AW345" s="70"/>
      <c r="AX345" s="70"/>
      <c r="AY345" s="70"/>
      <c r="AZ345" s="70"/>
      <c r="BA345" s="70"/>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row>
    <row r="346" spans="2:111" ht="9" customHeight="1">
      <c r="H346" s="229" t="str">
        <f>IF(B340&lt;&gt;"","Descrição:","")</f>
        <v>Descrição:</v>
      </c>
      <c r="I346" s="229"/>
      <c r="J346" s="229"/>
      <c r="K346" s="229"/>
      <c r="L346" s="229"/>
      <c r="M346" s="229"/>
      <c r="O346" s="233" t="s">
        <v>560</v>
      </c>
      <c r="P346" s="233"/>
      <c r="Q346" s="233"/>
      <c r="R346" s="233"/>
      <c r="S346" s="233"/>
      <c r="T346" s="233"/>
      <c r="U346" s="233"/>
      <c r="V346" s="233"/>
      <c r="W346" s="233"/>
      <c r="X346" s="233"/>
      <c r="Y346" s="233"/>
      <c r="Z346" s="233"/>
      <c r="AA346" s="233"/>
      <c r="AB346" s="233"/>
      <c r="AC346" s="233"/>
      <c r="AD346" s="233"/>
      <c r="AE346" s="229" t="str">
        <f>IF(B340&lt;&gt;"","Unid/Qtde:","")</f>
        <v>Unid/Qtde:</v>
      </c>
      <c r="AF346" s="229"/>
      <c r="AG346" s="229"/>
      <c r="AH346" s="229"/>
      <c r="AI346" s="229"/>
      <c r="AJ346" s="229"/>
      <c r="AK346" s="26"/>
      <c r="AL346" s="233">
        <v>1</v>
      </c>
      <c r="AM346" s="233"/>
      <c r="AN346" s="233"/>
      <c r="AO346" s="233"/>
      <c r="AP346" s="233"/>
      <c r="AQ346" s="233"/>
      <c r="AR346" s="233"/>
      <c r="AS346" s="233"/>
      <c r="AT346" s="233"/>
      <c r="AU346" s="233"/>
      <c r="AV346" s="233"/>
      <c r="AW346" s="233"/>
      <c r="AX346" s="233"/>
      <c r="AY346" s="233"/>
      <c r="AZ346" s="233"/>
      <c r="BA346" s="233"/>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row>
    <row r="347" spans="2:111" ht="9" customHeight="1">
      <c r="H347" s="229"/>
      <c r="I347" s="229"/>
      <c r="J347" s="229"/>
      <c r="K347" s="229"/>
      <c r="L347" s="229"/>
      <c r="M347" s="229"/>
      <c r="O347" s="233"/>
      <c r="P347" s="233"/>
      <c r="Q347" s="233"/>
      <c r="R347" s="233"/>
      <c r="S347" s="233"/>
      <c r="T347" s="233"/>
      <c r="U347" s="233"/>
      <c r="V347" s="233"/>
      <c r="W347" s="233"/>
      <c r="X347" s="233"/>
      <c r="Y347" s="233"/>
      <c r="Z347" s="233"/>
      <c r="AA347" s="233"/>
      <c r="AB347" s="233"/>
      <c r="AC347" s="233"/>
      <c r="AD347" s="233"/>
      <c r="AE347" s="229"/>
      <c r="AF347" s="229"/>
      <c r="AG347" s="229"/>
      <c r="AH347" s="229"/>
      <c r="AI347" s="229"/>
      <c r="AJ347" s="229"/>
      <c r="AK347" s="26"/>
      <c r="AL347" s="233"/>
      <c r="AM347" s="233"/>
      <c r="AN347" s="233"/>
      <c r="AO347" s="233"/>
      <c r="AP347" s="233"/>
      <c r="AQ347" s="233"/>
      <c r="AR347" s="233"/>
      <c r="AS347" s="233"/>
      <c r="AT347" s="233"/>
      <c r="AU347" s="233"/>
      <c r="AV347" s="233"/>
      <c r="AW347" s="233"/>
      <c r="AX347" s="233"/>
      <c r="AY347" s="233"/>
      <c r="AZ347" s="233"/>
      <c r="BA347" s="233"/>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row>
    <row r="348" spans="2:111" ht="4.5" customHeight="1">
      <c r="O348" s="70"/>
      <c r="P348" s="70"/>
      <c r="Q348" s="70"/>
      <c r="R348" s="70"/>
      <c r="S348" s="70"/>
      <c r="T348" s="70"/>
      <c r="U348" s="70"/>
      <c r="V348" s="70"/>
      <c r="W348" s="70"/>
      <c r="X348" s="70"/>
      <c r="Y348" s="70"/>
      <c r="Z348" s="70"/>
      <c r="AA348" s="70"/>
      <c r="AB348" s="70"/>
      <c r="AC348" s="70"/>
      <c r="AD348" s="70"/>
      <c r="AE348" s="69"/>
      <c r="AF348" s="69"/>
      <c r="AG348" s="69"/>
      <c r="AH348" s="69"/>
      <c r="AI348" s="69"/>
      <c r="AJ348" s="69"/>
      <c r="AK348" s="69"/>
      <c r="AL348" s="70"/>
      <c r="AM348" s="70"/>
      <c r="AN348" s="70"/>
      <c r="AO348" s="70"/>
      <c r="AP348" s="70"/>
      <c r="AQ348" s="70"/>
      <c r="AR348" s="70"/>
      <c r="AS348" s="70"/>
      <c r="AT348" s="70"/>
      <c r="AU348" s="70"/>
      <c r="AV348" s="70"/>
      <c r="AW348" s="70"/>
      <c r="AX348" s="70"/>
      <c r="AY348" s="70"/>
      <c r="AZ348" s="70"/>
      <c r="BA348" s="70"/>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row>
    <row r="349" spans="2:111" ht="9" customHeight="1">
      <c r="H349" s="229" t="str">
        <f>IF(B340&lt;&gt;"","Descrição:","")</f>
        <v>Descrição:</v>
      </c>
      <c r="I349" s="229"/>
      <c r="J349" s="229"/>
      <c r="K349" s="229"/>
      <c r="L349" s="229"/>
      <c r="M349" s="229"/>
      <c r="O349" s="233" t="s">
        <v>561</v>
      </c>
      <c r="P349" s="233"/>
      <c r="Q349" s="233"/>
      <c r="R349" s="233"/>
      <c r="S349" s="233"/>
      <c r="T349" s="233"/>
      <c r="U349" s="233"/>
      <c r="V349" s="233"/>
      <c r="W349" s="233"/>
      <c r="X349" s="233"/>
      <c r="Y349" s="233"/>
      <c r="Z349" s="233"/>
      <c r="AA349" s="233"/>
      <c r="AB349" s="233"/>
      <c r="AC349" s="233"/>
      <c r="AD349" s="233"/>
      <c r="AE349" s="229" t="str">
        <f>IF(B340&lt;&gt;"","Unid/Qtde:","")</f>
        <v>Unid/Qtde:</v>
      </c>
      <c r="AF349" s="229"/>
      <c r="AG349" s="229"/>
      <c r="AH349" s="229"/>
      <c r="AI349" s="229"/>
      <c r="AJ349" s="229"/>
      <c r="AK349" s="26"/>
      <c r="AL349" s="233">
        <v>3</v>
      </c>
      <c r="AM349" s="233"/>
      <c r="AN349" s="233"/>
      <c r="AO349" s="233"/>
      <c r="AP349" s="233"/>
      <c r="AQ349" s="233"/>
      <c r="AR349" s="233"/>
      <c r="AS349" s="233"/>
      <c r="AT349" s="233"/>
      <c r="AU349" s="233"/>
      <c r="AV349" s="233"/>
      <c r="AW349" s="233"/>
      <c r="AX349" s="233"/>
      <c r="AY349" s="233"/>
      <c r="AZ349" s="233"/>
      <c r="BA349" s="233"/>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row>
    <row r="350" spans="2:111" ht="9" customHeight="1">
      <c r="H350" s="229"/>
      <c r="I350" s="229"/>
      <c r="J350" s="229"/>
      <c r="K350" s="229"/>
      <c r="L350" s="229"/>
      <c r="M350" s="229"/>
      <c r="O350" s="233"/>
      <c r="P350" s="233"/>
      <c r="Q350" s="233"/>
      <c r="R350" s="233"/>
      <c r="S350" s="233"/>
      <c r="T350" s="233"/>
      <c r="U350" s="233"/>
      <c r="V350" s="233"/>
      <c r="W350" s="233"/>
      <c r="X350" s="233"/>
      <c r="Y350" s="233"/>
      <c r="Z350" s="233"/>
      <c r="AA350" s="233"/>
      <c r="AB350" s="233"/>
      <c r="AC350" s="233"/>
      <c r="AD350" s="233"/>
      <c r="AE350" s="229"/>
      <c r="AF350" s="229"/>
      <c r="AG350" s="229"/>
      <c r="AH350" s="229"/>
      <c r="AI350" s="229"/>
      <c r="AJ350" s="229"/>
      <c r="AK350" s="26"/>
      <c r="AL350" s="233"/>
      <c r="AM350" s="233"/>
      <c r="AN350" s="233"/>
      <c r="AO350" s="233"/>
      <c r="AP350" s="233"/>
      <c r="AQ350" s="233"/>
      <c r="AR350" s="233"/>
      <c r="AS350" s="233"/>
      <c r="AT350" s="233"/>
      <c r="AU350" s="233"/>
      <c r="AV350" s="233"/>
      <c r="AW350" s="233"/>
      <c r="AX350" s="233"/>
      <c r="AY350" s="233"/>
      <c r="AZ350" s="233"/>
      <c r="BA350" s="233"/>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row>
    <row r="351" spans="2:111" ht="4.5" customHeight="1">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row>
    <row r="352" spans="2:111" ht="9" customHeight="1">
      <c r="B352" s="396" t="str">
        <f>IF('(I) Plano de Trabalho'!$U$1120&gt;=3,"Etapa 5.3","")</f>
        <v/>
      </c>
      <c r="C352" s="396"/>
      <c r="D352" s="396"/>
      <c r="E352" s="396"/>
      <c r="F352" s="396"/>
      <c r="G352" s="396"/>
      <c r="H352" s="394" t="str">
        <f>IF('(I) Plano de Trabalho'!$I$1169="","",'(I) Plano de Trabalho'!$I$1169)</f>
        <v/>
      </c>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c r="AI352" s="394"/>
      <c r="AJ352" s="394"/>
      <c r="AK352" s="394"/>
      <c r="AL352" s="394"/>
      <c r="AM352" s="394"/>
      <c r="AN352" s="394"/>
      <c r="AO352" s="394"/>
      <c r="AP352" s="394"/>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row>
    <row r="353" spans="2:111" ht="9" customHeight="1">
      <c r="B353" s="396"/>
      <c r="C353" s="396"/>
      <c r="D353" s="396"/>
      <c r="E353" s="396"/>
      <c r="F353" s="396"/>
      <c r="G353" s="396"/>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c r="AI353" s="394"/>
      <c r="AJ353" s="394"/>
      <c r="AK353" s="394"/>
      <c r="AL353" s="394"/>
      <c r="AM353" s="394"/>
      <c r="AN353" s="394"/>
      <c r="AO353" s="394"/>
      <c r="AP353" s="394"/>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row>
    <row r="354" spans="2:111" ht="4.5" customHeight="1">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row>
    <row r="355" spans="2:111" ht="9" customHeight="1">
      <c r="B355" s="242" t="str">
        <f>IF(B352="","","Indicador:")</f>
        <v/>
      </c>
      <c r="C355" s="242"/>
      <c r="D355" s="242"/>
      <c r="E355" s="242"/>
      <c r="F355" s="242"/>
      <c r="G355" s="68"/>
      <c r="H355" s="229" t="str">
        <f>IF(B352&lt;&gt;"","Descrição:","")</f>
        <v/>
      </c>
      <c r="I355" s="229"/>
      <c r="J355" s="229"/>
      <c r="K355" s="229"/>
      <c r="L355" s="229"/>
      <c r="M355" s="229"/>
      <c r="O355" s="233"/>
      <c r="P355" s="233"/>
      <c r="Q355" s="233"/>
      <c r="R355" s="233"/>
      <c r="S355" s="233"/>
      <c r="T355" s="233"/>
      <c r="U355" s="233"/>
      <c r="V355" s="233"/>
      <c r="W355" s="233"/>
      <c r="X355" s="233"/>
      <c r="Y355" s="233"/>
      <c r="Z355" s="233"/>
      <c r="AA355" s="233"/>
      <c r="AB355" s="233"/>
      <c r="AC355" s="233"/>
      <c r="AD355" s="233"/>
      <c r="AE355" s="229" t="str">
        <f>IF(B352&lt;&gt;"","Unid/Qtde:","")</f>
        <v/>
      </c>
      <c r="AF355" s="229"/>
      <c r="AG355" s="229"/>
      <c r="AH355" s="229"/>
      <c r="AI355" s="229"/>
      <c r="AJ355" s="229"/>
      <c r="AK355" s="26"/>
      <c r="AL355" s="233"/>
      <c r="AM355" s="233"/>
      <c r="AN355" s="233"/>
      <c r="AO355" s="233"/>
      <c r="AP355" s="233"/>
      <c r="AQ355" s="233"/>
      <c r="AR355" s="233"/>
      <c r="AS355" s="233"/>
      <c r="AT355" s="233"/>
      <c r="AU355" s="233"/>
      <c r="AV355" s="233"/>
      <c r="AW355" s="233"/>
      <c r="AX355" s="233"/>
      <c r="AY355" s="233"/>
      <c r="AZ355" s="233"/>
      <c r="BA355" s="233"/>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row>
    <row r="356" spans="2:111" ht="9" customHeight="1">
      <c r="B356" s="242"/>
      <c r="C356" s="242"/>
      <c r="D356" s="242"/>
      <c r="E356" s="242"/>
      <c r="F356" s="242"/>
      <c r="G356" s="68"/>
      <c r="H356" s="229"/>
      <c r="I356" s="229"/>
      <c r="J356" s="229"/>
      <c r="K356" s="229"/>
      <c r="L356" s="229"/>
      <c r="M356" s="229"/>
      <c r="O356" s="233"/>
      <c r="P356" s="233"/>
      <c r="Q356" s="233"/>
      <c r="R356" s="233"/>
      <c r="S356" s="233"/>
      <c r="T356" s="233"/>
      <c r="U356" s="233"/>
      <c r="V356" s="233"/>
      <c r="W356" s="233"/>
      <c r="X356" s="233"/>
      <c r="Y356" s="233"/>
      <c r="Z356" s="233"/>
      <c r="AA356" s="233"/>
      <c r="AB356" s="233"/>
      <c r="AC356" s="233"/>
      <c r="AD356" s="233"/>
      <c r="AE356" s="229"/>
      <c r="AF356" s="229"/>
      <c r="AG356" s="229"/>
      <c r="AH356" s="229"/>
      <c r="AI356" s="229"/>
      <c r="AJ356" s="229"/>
      <c r="AK356" s="26"/>
      <c r="AL356" s="233"/>
      <c r="AM356" s="233"/>
      <c r="AN356" s="233"/>
      <c r="AO356" s="233"/>
      <c r="AP356" s="233"/>
      <c r="AQ356" s="233"/>
      <c r="AR356" s="233"/>
      <c r="AS356" s="233"/>
      <c r="AT356" s="233"/>
      <c r="AU356" s="233"/>
      <c r="AV356" s="233"/>
      <c r="AW356" s="233"/>
      <c r="AX356" s="233"/>
      <c r="AY356" s="233"/>
      <c r="AZ356" s="233"/>
      <c r="BA356" s="233"/>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row>
    <row r="357" spans="2:111" ht="4.5" customHeight="1">
      <c r="O357" s="70"/>
      <c r="P357" s="70"/>
      <c r="Q357" s="70"/>
      <c r="R357" s="70"/>
      <c r="S357" s="70"/>
      <c r="T357" s="70"/>
      <c r="U357" s="70"/>
      <c r="V357" s="70"/>
      <c r="W357" s="70"/>
      <c r="X357" s="70"/>
      <c r="Y357" s="70"/>
      <c r="Z357" s="70"/>
      <c r="AA357" s="70"/>
      <c r="AB357" s="70"/>
      <c r="AC357" s="70"/>
      <c r="AD357" s="70"/>
      <c r="AE357" s="69"/>
      <c r="AF357" s="69"/>
      <c r="AG357" s="69"/>
      <c r="AH357" s="69"/>
      <c r="AI357" s="69"/>
      <c r="AJ357" s="69"/>
      <c r="AK357" s="69"/>
      <c r="AL357" s="70"/>
      <c r="AM357" s="70"/>
      <c r="AN357" s="70"/>
      <c r="AO357" s="70"/>
      <c r="AP357" s="70"/>
      <c r="AQ357" s="70"/>
      <c r="AR357" s="70"/>
      <c r="AS357" s="70"/>
      <c r="AT357" s="70"/>
      <c r="AU357" s="70"/>
      <c r="AV357" s="70"/>
      <c r="AW357" s="70"/>
      <c r="AX357" s="70"/>
      <c r="AY357" s="70"/>
      <c r="AZ357" s="70"/>
      <c r="BA357" s="70"/>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row>
    <row r="358" spans="2:111" ht="9" customHeight="1">
      <c r="H358" s="229" t="str">
        <f>IF(B352&lt;&gt;"","Descrição:","")</f>
        <v/>
      </c>
      <c r="I358" s="229"/>
      <c r="J358" s="229"/>
      <c r="K358" s="229"/>
      <c r="L358" s="229"/>
      <c r="M358" s="229"/>
      <c r="O358" s="233"/>
      <c r="P358" s="233"/>
      <c r="Q358" s="233"/>
      <c r="R358" s="233"/>
      <c r="S358" s="233"/>
      <c r="T358" s="233"/>
      <c r="U358" s="233"/>
      <c r="V358" s="233"/>
      <c r="W358" s="233"/>
      <c r="X358" s="233"/>
      <c r="Y358" s="233"/>
      <c r="Z358" s="233"/>
      <c r="AA358" s="233"/>
      <c r="AB358" s="233"/>
      <c r="AC358" s="233"/>
      <c r="AD358" s="233"/>
      <c r="AE358" s="229" t="str">
        <f>IF(B352&lt;&gt;"","Unid/Qtde:","")</f>
        <v/>
      </c>
      <c r="AF358" s="229"/>
      <c r="AG358" s="229"/>
      <c r="AH358" s="229"/>
      <c r="AI358" s="229"/>
      <c r="AJ358" s="229"/>
      <c r="AK358" s="26"/>
      <c r="AL358" s="233"/>
      <c r="AM358" s="233"/>
      <c r="AN358" s="233"/>
      <c r="AO358" s="233"/>
      <c r="AP358" s="233"/>
      <c r="AQ358" s="233"/>
      <c r="AR358" s="233"/>
      <c r="AS358" s="233"/>
      <c r="AT358" s="233"/>
      <c r="AU358" s="233"/>
      <c r="AV358" s="233"/>
      <c r="AW358" s="233"/>
      <c r="AX358" s="233"/>
      <c r="AY358" s="233"/>
      <c r="AZ358" s="233"/>
      <c r="BA358" s="233"/>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row>
    <row r="359" spans="2:111" ht="9" customHeight="1">
      <c r="H359" s="229"/>
      <c r="I359" s="229"/>
      <c r="J359" s="229"/>
      <c r="K359" s="229"/>
      <c r="L359" s="229"/>
      <c r="M359" s="229"/>
      <c r="O359" s="233"/>
      <c r="P359" s="233"/>
      <c r="Q359" s="233"/>
      <c r="R359" s="233"/>
      <c r="S359" s="233"/>
      <c r="T359" s="233"/>
      <c r="U359" s="233"/>
      <c r="V359" s="233"/>
      <c r="W359" s="233"/>
      <c r="X359" s="233"/>
      <c r="Y359" s="233"/>
      <c r="Z359" s="233"/>
      <c r="AA359" s="233"/>
      <c r="AB359" s="233"/>
      <c r="AC359" s="233"/>
      <c r="AD359" s="233"/>
      <c r="AE359" s="229"/>
      <c r="AF359" s="229"/>
      <c r="AG359" s="229"/>
      <c r="AH359" s="229"/>
      <c r="AI359" s="229"/>
      <c r="AJ359" s="229"/>
      <c r="AK359" s="26"/>
      <c r="AL359" s="233"/>
      <c r="AM359" s="233"/>
      <c r="AN359" s="233"/>
      <c r="AO359" s="233"/>
      <c r="AP359" s="233"/>
      <c r="AQ359" s="233"/>
      <c r="AR359" s="233"/>
      <c r="AS359" s="233"/>
      <c r="AT359" s="233"/>
      <c r="AU359" s="233"/>
      <c r="AV359" s="233"/>
      <c r="AW359" s="233"/>
      <c r="AX359" s="233"/>
      <c r="AY359" s="233"/>
      <c r="AZ359" s="233"/>
      <c r="BA359" s="233"/>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row>
    <row r="360" spans="2:111" ht="4.5" customHeight="1">
      <c r="O360" s="70"/>
      <c r="P360" s="70"/>
      <c r="Q360" s="70"/>
      <c r="R360" s="70"/>
      <c r="S360" s="70"/>
      <c r="T360" s="70"/>
      <c r="U360" s="70"/>
      <c r="V360" s="70"/>
      <c r="W360" s="70"/>
      <c r="X360" s="70"/>
      <c r="Y360" s="70"/>
      <c r="Z360" s="70"/>
      <c r="AA360" s="70"/>
      <c r="AB360" s="70"/>
      <c r="AC360" s="70"/>
      <c r="AD360" s="70"/>
      <c r="AE360" s="69"/>
      <c r="AF360" s="69"/>
      <c r="AG360" s="69"/>
      <c r="AH360" s="69"/>
      <c r="AI360" s="69"/>
      <c r="AJ360" s="69"/>
      <c r="AK360" s="69"/>
      <c r="AL360" s="70"/>
      <c r="AM360" s="70"/>
      <c r="AN360" s="70"/>
      <c r="AO360" s="70"/>
      <c r="AP360" s="70"/>
      <c r="AQ360" s="70"/>
      <c r="AR360" s="70"/>
      <c r="AS360" s="70"/>
      <c r="AT360" s="70"/>
      <c r="AU360" s="70"/>
      <c r="AV360" s="70"/>
      <c r="AW360" s="70"/>
      <c r="AX360" s="70"/>
      <c r="AY360" s="70"/>
      <c r="AZ360" s="70"/>
      <c r="BA360" s="70"/>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row>
    <row r="361" spans="2:111" ht="9" customHeight="1">
      <c r="H361" s="229" t="str">
        <f>IF(B352&lt;&gt;"","Descrição:","")</f>
        <v/>
      </c>
      <c r="I361" s="229"/>
      <c r="J361" s="229"/>
      <c r="K361" s="229"/>
      <c r="L361" s="229"/>
      <c r="M361" s="229"/>
      <c r="O361" s="233"/>
      <c r="P361" s="233"/>
      <c r="Q361" s="233"/>
      <c r="R361" s="233"/>
      <c r="S361" s="233"/>
      <c r="T361" s="233"/>
      <c r="U361" s="233"/>
      <c r="V361" s="233"/>
      <c r="W361" s="233"/>
      <c r="X361" s="233"/>
      <c r="Y361" s="233"/>
      <c r="Z361" s="233"/>
      <c r="AA361" s="233"/>
      <c r="AB361" s="233"/>
      <c r="AC361" s="233"/>
      <c r="AD361" s="233"/>
      <c r="AE361" s="229" t="str">
        <f>IF(B352&lt;&gt;"","Unid/Qtde:","")</f>
        <v/>
      </c>
      <c r="AF361" s="229"/>
      <c r="AG361" s="229"/>
      <c r="AH361" s="229"/>
      <c r="AI361" s="229"/>
      <c r="AJ361" s="229"/>
      <c r="AK361" s="26"/>
      <c r="AL361" s="233"/>
      <c r="AM361" s="233"/>
      <c r="AN361" s="233"/>
      <c r="AO361" s="233"/>
      <c r="AP361" s="233"/>
      <c r="AQ361" s="233"/>
      <c r="AR361" s="233"/>
      <c r="AS361" s="233"/>
      <c r="AT361" s="233"/>
      <c r="AU361" s="233"/>
      <c r="AV361" s="233"/>
      <c r="AW361" s="233"/>
      <c r="AX361" s="233"/>
      <c r="AY361" s="233"/>
      <c r="AZ361" s="233"/>
      <c r="BA361" s="233"/>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row>
    <row r="362" spans="2:111" ht="9" customHeight="1">
      <c r="H362" s="229"/>
      <c r="I362" s="229"/>
      <c r="J362" s="229"/>
      <c r="K362" s="229"/>
      <c r="L362" s="229"/>
      <c r="M362" s="229"/>
      <c r="O362" s="233"/>
      <c r="P362" s="233"/>
      <c r="Q362" s="233"/>
      <c r="R362" s="233"/>
      <c r="S362" s="233"/>
      <c r="T362" s="233"/>
      <c r="U362" s="233"/>
      <c r="V362" s="233"/>
      <c r="W362" s="233"/>
      <c r="X362" s="233"/>
      <c r="Y362" s="233"/>
      <c r="Z362" s="233"/>
      <c r="AA362" s="233"/>
      <c r="AB362" s="233"/>
      <c r="AC362" s="233"/>
      <c r="AD362" s="233"/>
      <c r="AE362" s="229"/>
      <c r="AF362" s="229"/>
      <c r="AG362" s="229"/>
      <c r="AH362" s="229"/>
      <c r="AI362" s="229"/>
      <c r="AJ362" s="229"/>
      <c r="AK362" s="26"/>
      <c r="AL362" s="233"/>
      <c r="AM362" s="233"/>
      <c r="AN362" s="233"/>
      <c r="AO362" s="233"/>
      <c r="AP362" s="233"/>
      <c r="AQ362" s="233"/>
      <c r="AR362" s="233"/>
      <c r="AS362" s="233"/>
      <c r="AT362" s="233"/>
      <c r="AU362" s="233"/>
      <c r="AV362" s="233"/>
      <c r="AW362" s="233"/>
      <c r="AX362" s="233"/>
      <c r="AY362" s="233"/>
      <c r="AZ362" s="233"/>
      <c r="BA362" s="233"/>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row>
    <row r="363" spans="2:111" ht="4.5" customHeight="1">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row>
    <row r="364" spans="2:111" ht="9" customHeight="1">
      <c r="B364" s="396" t="str">
        <f>IF('(I) Plano de Trabalho'!$U$1120&gt;=4,"Etapa 5.4","")</f>
        <v/>
      </c>
      <c r="C364" s="396"/>
      <c r="D364" s="396"/>
      <c r="E364" s="396"/>
      <c r="F364" s="396"/>
      <c r="G364" s="396"/>
      <c r="H364" s="394" t="str">
        <f>IF('(I) Plano de Trabalho'!$I$1193="","",'(I) Plano de Trabalho'!$I$1193)</f>
        <v/>
      </c>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c r="AI364" s="394"/>
      <c r="AJ364" s="394"/>
      <c r="AK364" s="394"/>
      <c r="AL364" s="394"/>
      <c r="AM364" s="394"/>
      <c r="AN364" s="394"/>
      <c r="AO364" s="394"/>
      <c r="AP364" s="394"/>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row>
    <row r="365" spans="2:111" ht="9" customHeight="1">
      <c r="B365" s="396"/>
      <c r="C365" s="396"/>
      <c r="D365" s="396"/>
      <c r="E365" s="396"/>
      <c r="F365" s="396"/>
      <c r="G365" s="396"/>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c r="AI365" s="394"/>
      <c r="AJ365" s="394"/>
      <c r="AK365" s="394"/>
      <c r="AL365" s="394"/>
      <c r="AM365" s="394"/>
      <c r="AN365" s="394"/>
      <c r="AO365" s="394"/>
      <c r="AP365" s="394"/>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row>
    <row r="366" spans="2:111" ht="4.5" customHeight="1">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row>
    <row r="367" spans="2:111" ht="9" customHeight="1">
      <c r="B367" s="242" t="str">
        <f>IF(B364="","","Indicador:")</f>
        <v/>
      </c>
      <c r="C367" s="242"/>
      <c r="D367" s="242"/>
      <c r="E367" s="242"/>
      <c r="F367" s="242"/>
      <c r="G367" s="68"/>
      <c r="H367" s="229" t="str">
        <f>IF(B364&lt;&gt;"","Descrição:","")</f>
        <v/>
      </c>
      <c r="I367" s="229"/>
      <c r="J367" s="229"/>
      <c r="K367" s="229"/>
      <c r="L367" s="229"/>
      <c r="M367" s="229"/>
      <c r="O367" s="233"/>
      <c r="P367" s="233"/>
      <c r="Q367" s="233"/>
      <c r="R367" s="233"/>
      <c r="S367" s="233"/>
      <c r="T367" s="233"/>
      <c r="U367" s="233"/>
      <c r="V367" s="233"/>
      <c r="W367" s="233"/>
      <c r="X367" s="233"/>
      <c r="Y367" s="233"/>
      <c r="Z367" s="233"/>
      <c r="AA367" s="233"/>
      <c r="AB367" s="233"/>
      <c r="AC367" s="233"/>
      <c r="AD367" s="233"/>
      <c r="AE367" s="229" t="str">
        <f>IF(B364&lt;&gt;"","Unid/Qtde:","")</f>
        <v/>
      </c>
      <c r="AF367" s="229"/>
      <c r="AG367" s="229"/>
      <c r="AH367" s="229"/>
      <c r="AI367" s="229"/>
      <c r="AJ367" s="229"/>
      <c r="AK367" s="26"/>
      <c r="AL367" s="233"/>
      <c r="AM367" s="233"/>
      <c r="AN367" s="233"/>
      <c r="AO367" s="233"/>
      <c r="AP367" s="233"/>
      <c r="AQ367" s="233"/>
      <c r="AR367" s="233"/>
      <c r="AS367" s="233"/>
      <c r="AT367" s="233"/>
      <c r="AU367" s="233"/>
      <c r="AV367" s="233"/>
      <c r="AW367" s="233"/>
      <c r="AX367" s="233"/>
      <c r="AY367" s="233"/>
      <c r="AZ367" s="233"/>
      <c r="BA367" s="233"/>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row>
    <row r="368" spans="2:111" ht="9" customHeight="1">
      <c r="B368" s="242"/>
      <c r="C368" s="242"/>
      <c r="D368" s="242"/>
      <c r="E368" s="242"/>
      <c r="F368" s="242"/>
      <c r="G368" s="68"/>
      <c r="H368" s="229"/>
      <c r="I368" s="229"/>
      <c r="J368" s="229"/>
      <c r="K368" s="229"/>
      <c r="L368" s="229"/>
      <c r="M368" s="229"/>
      <c r="O368" s="233"/>
      <c r="P368" s="233"/>
      <c r="Q368" s="233"/>
      <c r="R368" s="233"/>
      <c r="S368" s="233"/>
      <c r="T368" s="233"/>
      <c r="U368" s="233"/>
      <c r="V368" s="233"/>
      <c r="W368" s="233"/>
      <c r="X368" s="233"/>
      <c r="Y368" s="233"/>
      <c r="Z368" s="233"/>
      <c r="AA368" s="233"/>
      <c r="AB368" s="233"/>
      <c r="AC368" s="233"/>
      <c r="AD368" s="233"/>
      <c r="AE368" s="229"/>
      <c r="AF368" s="229"/>
      <c r="AG368" s="229"/>
      <c r="AH368" s="229"/>
      <c r="AI368" s="229"/>
      <c r="AJ368" s="229"/>
      <c r="AK368" s="26"/>
      <c r="AL368" s="233"/>
      <c r="AM368" s="233"/>
      <c r="AN368" s="233"/>
      <c r="AO368" s="233"/>
      <c r="AP368" s="233"/>
      <c r="AQ368" s="233"/>
      <c r="AR368" s="233"/>
      <c r="AS368" s="233"/>
      <c r="AT368" s="233"/>
      <c r="AU368" s="233"/>
      <c r="AV368" s="233"/>
      <c r="AW368" s="233"/>
      <c r="AX368" s="233"/>
      <c r="AY368" s="233"/>
      <c r="AZ368" s="233"/>
      <c r="BA368" s="233"/>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row>
    <row r="369" spans="2:111" ht="4.5" customHeight="1">
      <c r="O369" s="70"/>
      <c r="P369" s="70"/>
      <c r="Q369" s="70"/>
      <c r="R369" s="70"/>
      <c r="S369" s="70"/>
      <c r="T369" s="70"/>
      <c r="U369" s="70"/>
      <c r="V369" s="70"/>
      <c r="W369" s="70"/>
      <c r="X369" s="70"/>
      <c r="Y369" s="70"/>
      <c r="Z369" s="70"/>
      <c r="AA369" s="70"/>
      <c r="AB369" s="70"/>
      <c r="AC369" s="70"/>
      <c r="AD369" s="70"/>
      <c r="AE369" s="69"/>
      <c r="AF369" s="69"/>
      <c r="AG369" s="69"/>
      <c r="AH369" s="69"/>
      <c r="AI369" s="69"/>
      <c r="AJ369" s="69"/>
      <c r="AK369" s="69"/>
      <c r="AL369" s="70"/>
      <c r="AM369" s="70"/>
      <c r="AN369" s="70"/>
      <c r="AO369" s="70"/>
      <c r="AP369" s="70"/>
      <c r="AQ369" s="70"/>
      <c r="AR369" s="70"/>
      <c r="AS369" s="70"/>
      <c r="AT369" s="70"/>
      <c r="AU369" s="70"/>
      <c r="AV369" s="70"/>
      <c r="AW369" s="70"/>
      <c r="AX369" s="70"/>
      <c r="AY369" s="70"/>
      <c r="AZ369" s="70"/>
      <c r="BA369" s="70"/>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row>
    <row r="370" spans="2:111" ht="9" customHeight="1">
      <c r="H370" s="229" t="str">
        <f>IF(B364&lt;&gt;"","Descrição:","")</f>
        <v/>
      </c>
      <c r="I370" s="229"/>
      <c r="J370" s="229"/>
      <c r="K370" s="229"/>
      <c r="L370" s="229"/>
      <c r="M370" s="229"/>
      <c r="O370" s="233"/>
      <c r="P370" s="233"/>
      <c r="Q370" s="233"/>
      <c r="R370" s="233"/>
      <c r="S370" s="233"/>
      <c r="T370" s="233"/>
      <c r="U370" s="233"/>
      <c r="V370" s="233"/>
      <c r="W370" s="233"/>
      <c r="X370" s="233"/>
      <c r="Y370" s="233"/>
      <c r="Z370" s="233"/>
      <c r="AA370" s="233"/>
      <c r="AB370" s="233"/>
      <c r="AC370" s="233"/>
      <c r="AD370" s="233"/>
      <c r="AE370" s="229" t="str">
        <f>IF(B364&lt;&gt;"","Unid/Qtde:","")</f>
        <v/>
      </c>
      <c r="AF370" s="229"/>
      <c r="AG370" s="229"/>
      <c r="AH370" s="229"/>
      <c r="AI370" s="229"/>
      <c r="AJ370" s="229"/>
      <c r="AK370" s="26"/>
      <c r="AL370" s="233"/>
      <c r="AM370" s="233"/>
      <c r="AN370" s="233"/>
      <c r="AO370" s="233"/>
      <c r="AP370" s="233"/>
      <c r="AQ370" s="233"/>
      <c r="AR370" s="233"/>
      <c r="AS370" s="233"/>
      <c r="AT370" s="233"/>
      <c r="AU370" s="233"/>
      <c r="AV370" s="233"/>
      <c r="AW370" s="233"/>
      <c r="AX370" s="233"/>
      <c r="AY370" s="233"/>
      <c r="AZ370" s="233"/>
      <c r="BA370" s="233"/>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row>
    <row r="371" spans="2:111" ht="9" customHeight="1">
      <c r="H371" s="229"/>
      <c r="I371" s="229"/>
      <c r="J371" s="229"/>
      <c r="K371" s="229"/>
      <c r="L371" s="229"/>
      <c r="M371" s="229"/>
      <c r="O371" s="233"/>
      <c r="P371" s="233"/>
      <c r="Q371" s="233"/>
      <c r="R371" s="233"/>
      <c r="S371" s="233"/>
      <c r="T371" s="233"/>
      <c r="U371" s="233"/>
      <c r="V371" s="233"/>
      <c r="W371" s="233"/>
      <c r="X371" s="233"/>
      <c r="Y371" s="233"/>
      <c r="Z371" s="233"/>
      <c r="AA371" s="233"/>
      <c r="AB371" s="233"/>
      <c r="AC371" s="233"/>
      <c r="AD371" s="233"/>
      <c r="AE371" s="229"/>
      <c r="AF371" s="229"/>
      <c r="AG371" s="229"/>
      <c r="AH371" s="229"/>
      <c r="AI371" s="229"/>
      <c r="AJ371" s="229"/>
      <c r="AK371" s="26"/>
      <c r="AL371" s="233"/>
      <c r="AM371" s="233"/>
      <c r="AN371" s="233"/>
      <c r="AO371" s="233"/>
      <c r="AP371" s="233"/>
      <c r="AQ371" s="233"/>
      <c r="AR371" s="233"/>
      <c r="AS371" s="233"/>
      <c r="AT371" s="233"/>
      <c r="AU371" s="233"/>
      <c r="AV371" s="233"/>
      <c r="AW371" s="233"/>
      <c r="AX371" s="233"/>
      <c r="AY371" s="233"/>
      <c r="AZ371" s="233"/>
      <c r="BA371" s="233"/>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row>
    <row r="372" spans="2:111" ht="4.5" customHeight="1">
      <c r="O372" s="70"/>
      <c r="P372" s="70"/>
      <c r="Q372" s="70"/>
      <c r="R372" s="70"/>
      <c r="S372" s="70"/>
      <c r="T372" s="70"/>
      <c r="U372" s="70"/>
      <c r="V372" s="70"/>
      <c r="W372" s="70"/>
      <c r="X372" s="70"/>
      <c r="Y372" s="70"/>
      <c r="Z372" s="70"/>
      <c r="AA372" s="70"/>
      <c r="AB372" s="70"/>
      <c r="AC372" s="70"/>
      <c r="AD372" s="70"/>
      <c r="AE372" s="69"/>
      <c r="AF372" s="69"/>
      <c r="AG372" s="69"/>
      <c r="AH372" s="69"/>
      <c r="AI372" s="69"/>
      <c r="AJ372" s="69"/>
      <c r="AK372" s="69"/>
      <c r="AL372" s="70"/>
      <c r="AM372" s="70"/>
      <c r="AN372" s="70"/>
      <c r="AO372" s="70"/>
      <c r="AP372" s="70"/>
      <c r="AQ372" s="70"/>
      <c r="AR372" s="70"/>
      <c r="AS372" s="70"/>
      <c r="AT372" s="70"/>
      <c r="AU372" s="70"/>
      <c r="AV372" s="70"/>
      <c r="AW372" s="70"/>
      <c r="AX372" s="70"/>
      <c r="AY372" s="70"/>
      <c r="AZ372" s="70"/>
      <c r="BA372" s="70"/>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row>
    <row r="373" spans="2:111" ht="9" customHeight="1">
      <c r="H373" s="229" t="str">
        <f>IF(B364&lt;&gt;"","Descrição:","")</f>
        <v/>
      </c>
      <c r="I373" s="229"/>
      <c r="J373" s="229"/>
      <c r="K373" s="229"/>
      <c r="L373" s="229"/>
      <c r="M373" s="229"/>
      <c r="O373" s="233"/>
      <c r="P373" s="233"/>
      <c r="Q373" s="233"/>
      <c r="R373" s="233"/>
      <c r="S373" s="233"/>
      <c r="T373" s="233"/>
      <c r="U373" s="233"/>
      <c r="V373" s="233"/>
      <c r="W373" s="233"/>
      <c r="X373" s="233"/>
      <c r="Y373" s="233"/>
      <c r="Z373" s="233"/>
      <c r="AA373" s="233"/>
      <c r="AB373" s="233"/>
      <c r="AC373" s="233"/>
      <c r="AD373" s="233"/>
      <c r="AE373" s="229" t="str">
        <f>IF(B364&lt;&gt;"","Unid/Qtde:","")</f>
        <v/>
      </c>
      <c r="AF373" s="229"/>
      <c r="AG373" s="229"/>
      <c r="AH373" s="229"/>
      <c r="AI373" s="229"/>
      <c r="AJ373" s="229"/>
      <c r="AK373" s="26"/>
      <c r="AL373" s="233"/>
      <c r="AM373" s="233"/>
      <c r="AN373" s="233"/>
      <c r="AO373" s="233"/>
      <c r="AP373" s="233"/>
      <c r="AQ373" s="233"/>
      <c r="AR373" s="233"/>
      <c r="AS373" s="233"/>
      <c r="AT373" s="233"/>
      <c r="AU373" s="233"/>
      <c r="AV373" s="233"/>
      <c r="AW373" s="233"/>
      <c r="AX373" s="233"/>
      <c r="AY373" s="233"/>
      <c r="AZ373" s="233"/>
      <c r="BA373" s="233"/>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row>
    <row r="374" spans="2:111" ht="9" customHeight="1">
      <c r="H374" s="229"/>
      <c r="I374" s="229"/>
      <c r="J374" s="229"/>
      <c r="K374" s="229"/>
      <c r="L374" s="229"/>
      <c r="M374" s="229"/>
      <c r="O374" s="233"/>
      <c r="P374" s="233"/>
      <c r="Q374" s="233"/>
      <c r="R374" s="233"/>
      <c r="S374" s="233"/>
      <c r="T374" s="233"/>
      <c r="U374" s="233"/>
      <c r="V374" s="233"/>
      <c r="W374" s="233"/>
      <c r="X374" s="233"/>
      <c r="Y374" s="233"/>
      <c r="Z374" s="233"/>
      <c r="AA374" s="233"/>
      <c r="AB374" s="233"/>
      <c r="AC374" s="233"/>
      <c r="AD374" s="233"/>
      <c r="AE374" s="229"/>
      <c r="AF374" s="229"/>
      <c r="AG374" s="229"/>
      <c r="AH374" s="229"/>
      <c r="AI374" s="229"/>
      <c r="AJ374" s="229"/>
      <c r="AK374" s="26"/>
      <c r="AL374" s="233"/>
      <c r="AM374" s="233"/>
      <c r="AN374" s="233"/>
      <c r="AO374" s="233"/>
      <c r="AP374" s="233"/>
      <c r="AQ374" s="233"/>
      <c r="AR374" s="233"/>
      <c r="AS374" s="233"/>
      <c r="AT374" s="233"/>
      <c r="AU374" s="233"/>
      <c r="AV374" s="233"/>
      <c r="AW374" s="233"/>
      <c r="AX374" s="233"/>
      <c r="AY374" s="233"/>
      <c r="AZ374" s="233"/>
      <c r="BA374" s="233"/>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row>
    <row r="375" spans="2:111" ht="4.5" customHeight="1">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row>
    <row r="376" spans="2:111" ht="9" customHeight="1">
      <c r="B376" s="396" t="str">
        <f>IF('(I) Plano de Trabalho'!$U$1120&gt;=5,"Etapa 5.5","")</f>
        <v/>
      </c>
      <c r="C376" s="396"/>
      <c r="D376" s="396"/>
      <c r="E376" s="396"/>
      <c r="F376" s="396"/>
      <c r="G376" s="396"/>
      <c r="H376" s="394" t="str">
        <f>IF('(I) Plano de Trabalho'!$I$1216="","",'(I) Plano de Trabalho'!$I$1216)</f>
        <v/>
      </c>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c r="AI376" s="394"/>
      <c r="AJ376" s="394"/>
      <c r="AK376" s="394"/>
      <c r="AL376" s="394"/>
      <c r="AM376" s="394"/>
      <c r="AN376" s="394"/>
      <c r="AO376" s="394"/>
      <c r="AP376" s="394"/>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row>
    <row r="377" spans="2:111" ht="9" customHeight="1">
      <c r="B377" s="396"/>
      <c r="C377" s="396"/>
      <c r="D377" s="396"/>
      <c r="E377" s="396"/>
      <c r="F377" s="396"/>
      <c r="G377" s="396"/>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c r="AI377" s="394"/>
      <c r="AJ377" s="394"/>
      <c r="AK377" s="394"/>
      <c r="AL377" s="394"/>
      <c r="AM377" s="394"/>
      <c r="AN377" s="394"/>
      <c r="AO377" s="394"/>
      <c r="AP377" s="394"/>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row>
    <row r="378" spans="2:111" ht="4.5" customHeight="1">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row>
    <row r="379" spans="2:111" ht="9" customHeight="1">
      <c r="B379" s="242" t="str">
        <f>IF(B376="","","Indicador:")</f>
        <v/>
      </c>
      <c r="C379" s="242"/>
      <c r="D379" s="242"/>
      <c r="E379" s="242"/>
      <c r="F379" s="242"/>
      <c r="G379" s="68"/>
      <c r="H379" s="229" t="str">
        <f>IF(B376&lt;&gt;"","Descrição:","")</f>
        <v/>
      </c>
      <c r="I379" s="229"/>
      <c r="J379" s="229"/>
      <c r="K379" s="229"/>
      <c r="L379" s="229"/>
      <c r="M379" s="229"/>
      <c r="O379" s="233"/>
      <c r="P379" s="233"/>
      <c r="Q379" s="233"/>
      <c r="R379" s="233"/>
      <c r="S379" s="233"/>
      <c r="T379" s="233"/>
      <c r="U379" s="233"/>
      <c r="V379" s="233"/>
      <c r="W379" s="233"/>
      <c r="X379" s="233"/>
      <c r="Y379" s="233"/>
      <c r="Z379" s="233"/>
      <c r="AA379" s="233"/>
      <c r="AB379" s="233"/>
      <c r="AC379" s="233"/>
      <c r="AD379" s="233"/>
      <c r="AE379" s="229" t="str">
        <f>IF(B376&lt;&gt;"","Unid/Qtde:","")</f>
        <v/>
      </c>
      <c r="AF379" s="229"/>
      <c r="AG379" s="229"/>
      <c r="AH379" s="229"/>
      <c r="AI379" s="229"/>
      <c r="AJ379" s="229"/>
      <c r="AK379" s="26"/>
      <c r="AL379" s="233"/>
      <c r="AM379" s="233"/>
      <c r="AN379" s="233"/>
      <c r="AO379" s="233"/>
      <c r="AP379" s="233"/>
      <c r="AQ379" s="233"/>
      <c r="AR379" s="233"/>
      <c r="AS379" s="233"/>
      <c r="AT379" s="233"/>
      <c r="AU379" s="233"/>
      <c r="AV379" s="233"/>
      <c r="AW379" s="233"/>
      <c r="AX379" s="233"/>
      <c r="AY379" s="233"/>
      <c r="AZ379" s="233"/>
      <c r="BA379" s="233"/>
      <c r="BC379" s="82"/>
      <c r="BD379" s="82"/>
      <c r="BE379" s="82"/>
      <c r="BF379" s="82"/>
      <c r="BG379" s="82"/>
      <c r="BH379" s="82"/>
      <c r="BI379" s="82"/>
      <c r="BJ379" s="82"/>
      <c r="BK379" s="82"/>
      <c r="BL379" s="82"/>
      <c r="BM379" s="82"/>
      <c r="BN379" s="82"/>
      <c r="BO379" s="82"/>
      <c r="BP379" s="82"/>
      <c r="BQ379" s="82"/>
      <c r="BR379" s="82"/>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row>
    <row r="380" spans="2:111" ht="9" customHeight="1">
      <c r="B380" s="242"/>
      <c r="C380" s="242"/>
      <c r="D380" s="242"/>
      <c r="E380" s="242"/>
      <c r="F380" s="242"/>
      <c r="G380" s="68"/>
      <c r="H380" s="229"/>
      <c r="I380" s="229"/>
      <c r="J380" s="229"/>
      <c r="K380" s="229"/>
      <c r="L380" s="229"/>
      <c r="M380" s="229"/>
      <c r="O380" s="233"/>
      <c r="P380" s="233"/>
      <c r="Q380" s="233"/>
      <c r="R380" s="233"/>
      <c r="S380" s="233"/>
      <c r="T380" s="233"/>
      <c r="U380" s="233"/>
      <c r="V380" s="233"/>
      <c r="W380" s="233"/>
      <c r="X380" s="233"/>
      <c r="Y380" s="233"/>
      <c r="Z380" s="233"/>
      <c r="AA380" s="233"/>
      <c r="AB380" s="233"/>
      <c r="AC380" s="233"/>
      <c r="AD380" s="233"/>
      <c r="AE380" s="229"/>
      <c r="AF380" s="229"/>
      <c r="AG380" s="229"/>
      <c r="AH380" s="229"/>
      <c r="AI380" s="229"/>
      <c r="AJ380" s="229"/>
      <c r="AK380" s="26"/>
      <c r="AL380" s="233"/>
      <c r="AM380" s="233"/>
      <c r="AN380" s="233"/>
      <c r="AO380" s="233"/>
      <c r="AP380" s="233"/>
      <c r="AQ380" s="233"/>
      <c r="AR380" s="233"/>
      <c r="AS380" s="233"/>
      <c r="AT380" s="233"/>
      <c r="AU380" s="233"/>
      <c r="AV380" s="233"/>
      <c r="AW380" s="233"/>
      <c r="AX380" s="233"/>
      <c r="AY380" s="233"/>
      <c r="AZ380" s="233"/>
      <c r="BA380" s="233"/>
      <c r="BC380" s="82"/>
      <c r="BD380" s="82"/>
      <c r="BE380" s="82"/>
      <c r="BF380" s="82"/>
      <c r="BG380" s="82"/>
      <c r="BH380" s="82"/>
      <c r="BI380" s="82"/>
      <c r="BJ380" s="82"/>
      <c r="BK380" s="82"/>
      <c r="BL380" s="82"/>
      <c r="BM380" s="82"/>
      <c r="BN380" s="82"/>
      <c r="BO380" s="82"/>
      <c r="BP380" s="82"/>
      <c r="BQ380" s="82"/>
      <c r="BR380" s="82"/>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row>
    <row r="381" spans="2:111" ht="4.5" customHeight="1">
      <c r="O381" s="70"/>
      <c r="P381" s="70"/>
      <c r="Q381" s="70"/>
      <c r="R381" s="70"/>
      <c r="S381" s="70"/>
      <c r="T381" s="70"/>
      <c r="U381" s="70"/>
      <c r="V381" s="70"/>
      <c r="W381" s="70"/>
      <c r="X381" s="70"/>
      <c r="Y381" s="70"/>
      <c r="Z381" s="70"/>
      <c r="AA381" s="70"/>
      <c r="AB381" s="70"/>
      <c r="AC381" s="70"/>
      <c r="AD381" s="70"/>
      <c r="AE381" s="69"/>
      <c r="AF381" s="69"/>
      <c r="AG381" s="69"/>
      <c r="AH381" s="69"/>
      <c r="AI381" s="69"/>
      <c r="AJ381" s="69"/>
      <c r="AK381" s="69"/>
      <c r="AL381" s="70"/>
      <c r="AM381" s="70"/>
      <c r="AN381" s="70"/>
      <c r="AO381" s="70"/>
      <c r="AP381" s="70"/>
      <c r="AQ381" s="70"/>
      <c r="AR381" s="70"/>
      <c r="AS381" s="70"/>
      <c r="AT381" s="70"/>
      <c r="AU381" s="70"/>
      <c r="AV381" s="70"/>
      <c r="AW381" s="70"/>
      <c r="AX381" s="70"/>
      <c r="AY381" s="70"/>
      <c r="AZ381" s="70"/>
      <c r="BA381" s="70"/>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row>
    <row r="382" spans="2:111" ht="9" customHeight="1">
      <c r="H382" s="229" t="str">
        <f>IF(B376&lt;&gt;"","Descrição:","")</f>
        <v/>
      </c>
      <c r="I382" s="229"/>
      <c r="J382" s="229"/>
      <c r="K382" s="229"/>
      <c r="L382" s="229"/>
      <c r="M382" s="229"/>
      <c r="O382" s="233"/>
      <c r="P382" s="233"/>
      <c r="Q382" s="233"/>
      <c r="R382" s="233"/>
      <c r="S382" s="233"/>
      <c r="T382" s="233"/>
      <c r="U382" s="233"/>
      <c r="V382" s="233"/>
      <c r="W382" s="233"/>
      <c r="X382" s="233"/>
      <c r="Y382" s="233"/>
      <c r="Z382" s="233"/>
      <c r="AA382" s="233"/>
      <c r="AB382" s="233"/>
      <c r="AC382" s="233"/>
      <c r="AD382" s="233"/>
      <c r="AE382" s="229" t="str">
        <f>IF(B376&lt;&gt;"","Unid/Qtde:","")</f>
        <v/>
      </c>
      <c r="AF382" s="229"/>
      <c r="AG382" s="229"/>
      <c r="AH382" s="229"/>
      <c r="AI382" s="229"/>
      <c r="AJ382" s="229"/>
      <c r="AK382" s="26"/>
      <c r="AL382" s="233"/>
      <c r="AM382" s="233"/>
      <c r="AN382" s="233"/>
      <c r="AO382" s="233"/>
      <c r="AP382" s="233"/>
      <c r="AQ382" s="233"/>
      <c r="AR382" s="233"/>
      <c r="AS382" s="233"/>
      <c r="AT382" s="233"/>
      <c r="AU382" s="233"/>
      <c r="AV382" s="233"/>
      <c r="AW382" s="233"/>
      <c r="AX382" s="233"/>
      <c r="AY382" s="233"/>
      <c r="AZ382" s="233"/>
      <c r="BA382" s="233"/>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row>
    <row r="383" spans="2:111" ht="9" customHeight="1">
      <c r="H383" s="229"/>
      <c r="I383" s="229"/>
      <c r="J383" s="229"/>
      <c r="K383" s="229"/>
      <c r="L383" s="229"/>
      <c r="M383" s="229"/>
      <c r="O383" s="233"/>
      <c r="P383" s="233"/>
      <c r="Q383" s="233"/>
      <c r="R383" s="233"/>
      <c r="S383" s="233"/>
      <c r="T383" s="233"/>
      <c r="U383" s="233"/>
      <c r="V383" s="233"/>
      <c r="W383" s="233"/>
      <c r="X383" s="233"/>
      <c r="Y383" s="233"/>
      <c r="Z383" s="233"/>
      <c r="AA383" s="233"/>
      <c r="AB383" s="233"/>
      <c r="AC383" s="233"/>
      <c r="AD383" s="233"/>
      <c r="AE383" s="229"/>
      <c r="AF383" s="229"/>
      <c r="AG383" s="229"/>
      <c r="AH383" s="229"/>
      <c r="AI383" s="229"/>
      <c r="AJ383" s="229"/>
      <c r="AK383" s="26"/>
      <c r="AL383" s="233"/>
      <c r="AM383" s="233"/>
      <c r="AN383" s="233"/>
      <c r="AO383" s="233"/>
      <c r="AP383" s="233"/>
      <c r="AQ383" s="233"/>
      <c r="AR383" s="233"/>
      <c r="AS383" s="233"/>
      <c r="AT383" s="233"/>
      <c r="AU383" s="233"/>
      <c r="AV383" s="233"/>
      <c r="AW383" s="233"/>
      <c r="AX383" s="233"/>
      <c r="AY383" s="233"/>
      <c r="AZ383" s="233"/>
      <c r="BA383" s="233"/>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row>
    <row r="384" spans="2:111" ht="4.5" customHeight="1">
      <c r="O384" s="70"/>
      <c r="P384" s="70"/>
      <c r="Q384" s="70"/>
      <c r="R384" s="70"/>
      <c r="S384" s="70"/>
      <c r="T384" s="70"/>
      <c r="U384" s="70"/>
      <c r="V384" s="70"/>
      <c r="W384" s="70"/>
      <c r="X384" s="70"/>
      <c r="Y384" s="70"/>
      <c r="Z384" s="70"/>
      <c r="AA384" s="70"/>
      <c r="AB384" s="70"/>
      <c r="AC384" s="70"/>
      <c r="AD384" s="70"/>
      <c r="AE384" s="69"/>
      <c r="AF384" s="69"/>
      <c r="AG384" s="69"/>
      <c r="AH384" s="69"/>
      <c r="AI384" s="69"/>
      <c r="AJ384" s="69"/>
      <c r="AK384" s="69"/>
      <c r="AL384" s="70"/>
      <c r="AM384" s="70"/>
      <c r="AN384" s="70"/>
      <c r="AO384" s="70"/>
      <c r="AP384" s="70"/>
      <c r="AQ384" s="70"/>
      <c r="AR384" s="70"/>
      <c r="AS384" s="70"/>
      <c r="AT384" s="70"/>
      <c r="AU384" s="70"/>
      <c r="AV384" s="70"/>
      <c r="AW384" s="70"/>
      <c r="AX384" s="70"/>
      <c r="AY384" s="70"/>
      <c r="AZ384" s="70"/>
      <c r="BA384" s="70"/>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row>
    <row r="385" spans="8:111" ht="9" customHeight="1">
      <c r="H385" s="229" t="str">
        <f>IF(B376&lt;&gt;"","Descrição:","")</f>
        <v/>
      </c>
      <c r="I385" s="229"/>
      <c r="J385" s="229"/>
      <c r="K385" s="229"/>
      <c r="L385" s="229"/>
      <c r="M385" s="229"/>
      <c r="O385" s="233"/>
      <c r="P385" s="233"/>
      <c r="Q385" s="233"/>
      <c r="R385" s="233"/>
      <c r="S385" s="233"/>
      <c r="T385" s="233"/>
      <c r="U385" s="233"/>
      <c r="V385" s="233"/>
      <c r="W385" s="233"/>
      <c r="X385" s="233"/>
      <c r="Y385" s="233"/>
      <c r="Z385" s="233"/>
      <c r="AA385" s="233"/>
      <c r="AB385" s="233"/>
      <c r="AC385" s="233"/>
      <c r="AD385" s="233"/>
      <c r="AE385" s="229" t="str">
        <f>IF(B376&lt;&gt;"","Unid/Qtde:","")</f>
        <v/>
      </c>
      <c r="AF385" s="229"/>
      <c r="AG385" s="229"/>
      <c r="AH385" s="229"/>
      <c r="AI385" s="229"/>
      <c r="AJ385" s="229"/>
      <c r="AK385" s="26"/>
      <c r="AL385" s="233"/>
      <c r="AM385" s="233"/>
      <c r="AN385" s="233"/>
      <c r="AO385" s="233"/>
      <c r="AP385" s="233"/>
      <c r="AQ385" s="233"/>
      <c r="AR385" s="233"/>
      <c r="AS385" s="233"/>
      <c r="AT385" s="233"/>
      <c r="AU385" s="233"/>
      <c r="AV385" s="233"/>
      <c r="AW385" s="233"/>
      <c r="AX385" s="233"/>
      <c r="AY385" s="233"/>
      <c r="AZ385" s="233"/>
      <c r="BA385" s="233"/>
      <c r="BC385" s="82"/>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row>
    <row r="386" spans="8:111" ht="9" customHeight="1">
      <c r="H386" s="229"/>
      <c r="I386" s="229"/>
      <c r="J386" s="229"/>
      <c r="K386" s="229"/>
      <c r="L386" s="229"/>
      <c r="M386" s="229"/>
      <c r="O386" s="233"/>
      <c r="P386" s="233"/>
      <c r="Q386" s="233"/>
      <c r="R386" s="233"/>
      <c r="S386" s="233"/>
      <c r="T386" s="233"/>
      <c r="U386" s="233"/>
      <c r="V386" s="233"/>
      <c r="W386" s="233"/>
      <c r="X386" s="233"/>
      <c r="Y386" s="233"/>
      <c r="Z386" s="233"/>
      <c r="AA386" s="233"/>
      <c r="AB386" s="233"/>
      <c r="AC386" s="233"/>
      <c r="AD386" s="233"/>
      <c r="AE386" s="229"/>
      <c r="AF386" s="229"/>
      <c r="AG386" s="229"/>
      <c r="AH386" s="229"/>
      <c r="AI386" s="229"/>
      <c r="AJ386" s="229"/>
      <c r="AK386" s="26"/>
      <c r="AL386" s="233"/>
      <c r="AM386" s="233"/>
      <c r="AN386" s="233"/>
      <c r="AO386" s="233"/>
      <c r="AP386" s="233"/>
      <c r="AQ386" s="233"/>
      <c r="AR386" s="233"/>
      <c r="AS386" s="233"/>
      <c r="AT386" s="233"/>
      <c r="AU386" s="233"/>
      <c r="AV386" s="233"/>
      <c r="AW386" s="233"/>
      <c r="AX386" s="233"/>
      <c r="AY386" s="233"/>
      <c r="AZ386" s="233"/>
      <c r="BA386" s="233"/>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row>
    <row r="387" spans="8:111" ht="4.5" customHeight="1">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row>
    <row r="388" spans="8:111" ht="9" customHeight="1">
      <c r="BC388" s="82"/>
      <c r="BD388" s="82"/>
      <c r="BE388" s="82"/>
      <c r="BF388" s="82"/>
      <c r="BG388" s="82"/>
      <c r="BH388" s="82"/>
      <c r="BI388" s="82"/>
      <c r="BJ388" s="82"/>
      <c r="BK388" s="82"/>
      <c r="BL388" s="82"/>
      <c r="BM388" s="82"/>
      <c r="BN388" s="82"/>
      <c r="BO388" s="82"/>
      <c r="BP388" s="82"/>
      <c r="BQ388" s="82"/>
      <c r="BR388" s="82"/>
      <c r="BS388" s="82"/>
      <c r="BT388" s="82"/>
      <c r="BU388" s="8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row>
    <row r="389" spans="8:111" ht="9" hidden="1" customHeight="1"/>
    <row r="390" spans="8:111" ht="9" hidden="1" customHeight="1"/>
    <row r="391" spans="8:111" ht="9" hidden="1" customHeight="1"/>
    <row r="392" spans="8:111" ht="9" hidden="1" customHeight="1"/>
    <row r="393" spans="8:111" ht="9" hidden="1" customHeight="1"/>
    <row r="394" spans="8:111" ht="9" hidden="1" customHeight="1"/>
    <row r="395" spans="8:111" ht="9" hidden="1" customHeight="1"/>
    <row r="396" spans="8:111" ht="9" hidden="1" customHeight="1"/>
    <row r="397" spans="8:111" ht="9" hidden="1" customHeight="1"/>
    <row r="398" spans="8:111" ht="9" hidden="1" customHeight="1"/>
    <row r="399" spans="8:111" ht="9" hidden="1" customHeight="1"/>
    <row r="400" spans="8:111" ht="9" hidden="1" customHeight="1"/>
    <row r="401" ht="9" hidden="1" customHeight="1"/>
    <row r="402" ht="9" hidden="1" customHeight="1"/>
    <row r="403" ht="9" hidden="1" customHeight="1"/>
    <row r="404" ht="9" hidden="1" customHeight="1"/>
    <row r="405" ht="9" hidden="1" customHeight="1"/>
    <row r="406" ht="9" hidden="1" customHeight="1"/>
    <row r="407" ht="9" hidden="1" customHeight="1"/>
    <row r="408" ht="9" hidden="1" customHeight="1"/>
    <row r="409" ht="9" hidden="1" customHeight="1"/>
    <row r="410" ht="9" hidden="1" customHeight="1"/>
    <row r="411" ht="9" hidden="1" customHeight="1"/>
    <row r="412" ht="9" hidden="1" customHeight="1"/>
    <row r="413" ht="9" hidden="1" customHeight="1"/>
    <row r="414" ht="9" hidden="1" customHeight="1"/>
    <row r="415" ht="9" hidden="1" customHeight="1"/>
    <row r="416" ht="9" hidden="1" customHeight="1"/>
    <row r="417" ht="9" hidden="1" customHeight="1"/>
    <row r="418" ht="9" hidden="1" customHeight="1"/>
    <row r="419" ht="9" hidden="1" customHeight="1"/>
    <row r="420" ht="9" hidden="1" customHeight="1"/>
    <row r="421" ht="9" hidden="1" customHeight="1"/>
    <row r="422" ht="9" hidden="1" customHeight="1"/>
    <row r="423" ht="9" hidden="1" customHeight="1"/>
    <row r="424" ht="9" hidden="1" customHeight="1"/>
    <row r="425" ht="9" hidden="1" customHeight="1"/>
    <row r="426" ht="9" hidden="1" customHeight="1"/>
    <row r="427" ht="9" hidden="1" customHeight="1"/>
    <row r="428" ht="9" hidden="1" customHeight="1"/>
    <row r="429" ht="9" hidden="1" customHeight="1"/>
    <row r="430" ht="9" hidden="1" customHeight="1"/>
    <row r="431" ht="9" hidden="1" customHeight="1"/>
    <row r="432" ht="9" hidden="1" customHeight="1"/>
    <row r="433" ht="9" hidden="1" customHeight="1"/>
    <row r="434" ht="9" hidden="1" customHeight="1"/>
    <row r="435" ht="9" hidden="1" customHeight="1"/>
    <row r="436" ht="9" hidden="1" customHeight="1"/>
    <row r="437" ht="9" hidden="1" customHeight="1"/>
    <row r="438" ht="9" hidden="1" customHeight="1"/>
    <row r="439" ht="9" hidden="1" customHeight="1"/>
    <row r="440" ht="9" hidden="1" customHeight="1"/>
    <row r="441" ht="9" hidden="1" customHeight="1"/>
    <row r="442" ht="9" hidden="1" customHeight="1"/>
    <row r="443" ht="9" hidden="1" customHeight="1"/>
    <row r="444" ht="9" hidden="1" customHeight="1"/>
    <row r="445" ht="9" hidden="1" customHeight="1"/>
    <row r="446" ht="9" hidden="1" customHeight="1"/>
    <row r="447" ht="9" hidden="1" customHeight="1"/>
    <row r="448" ht="9" hidden="1" customHeight="1"/>
    <row r="449" ht="9" hidden="1" customHeight="1"/>
    <row r="450" ht="9" hidden="1" customHeight="1"/>
    <row r="451" ht="9" hidden="1" customHeight="1"/>
    <row r="452" ht="9" hidden="1" customHeight="1"/>
    <row r="453" ht="9" hidden="1" customHeight="1"/>
    <row r="454" ht="9" hidden="1" customHeight="1"/>
    <row r="455" ht="9" hidden="1" customHeight="1"/>
    <row r="456" ht="9" hidden="1" customHeight="1"/>
    <row r="457" ht="9" hidden="1" customHeight="1"/>
    <row r="458" ht="9" hidden="1" customHeight="1"/>
    <row r="459" ht="9" hidden="1" customHeight="1"/>
    <row r="460" ht="9" hidden="1" customHeight="1"/>
    <row r="461" ht="9" hidden="1" customHeight="1"/>
    <row r="462" ht="9" hidden="1" customHeight="1"/>
    <row r="463" ht="9" hidden="1" customHeight="1"/>
    <row r="464" ht="9" hidden="1" customHeight="1"/>
    <row r="465" ht="9" hidden="1" customHeight="1"/>
    <row r="466" ht="9" hidden="1" customHeight="1"/>
    <row r="467" ht="9" hidden="1" customHeight="1"/>
    <row r="468" ht="9" hidden="1" customHeight="1"/>
    <row r="469" ht="9" hidden="1" customHeight="1"/>
    <row r="470" ht="9" hidden="1" customHeight="1"/>
    <row r="471" ht="9" hidden="1" customHeight="1"/>
    <row r="472" ht="9" hidden="1" customHeight="1"/>
    <row r="473" ht="9" hidden="1" customHeight="1"/>
    <row r="474" ht="9" hidden="1" customHeight="1"/>
    <row r="475" ht="9" hidden="1" customHeight="1"/>
    <row r="476" ht="9" hidden="1" customHeight="1"/>
    <row r="477" ht="9" hidden="1" customHeight="1"/>
    <row r="478" ht="9" hidden="1" customHeight="1"/>
    <row r="479" ht="9" hidden="1" customHeight="1"/>
    <row r="480" ht="9" hidden="1" customHeight="1"/>
    <row r="481" ht="9" hidden="1" customHeight="1"/>
    <row r="482" ht="9" hidden="1" customHeight="1"/>
    <row r="483" ht="9" hidden="1" customHeight="1"/>
    <row r="484" ht="9" hidden="1" customHeight="1"/>
    <row r="485" ht="9" hidden="1" customHeight="1"/>
    <row r="486" ht="9" hidden="1" customHeight="1"/>
    <row r="487" ht="9" hidden="1" customHeight="1"/>
    <row r="488" ht="9" hidden="1" customHeight="1"/>
    <row r="489" ht="9" hidden="1" customHeight="1"/>
    <row r="490" ht="9" hidden="1" customHeight="1"/>
    <row r="491" ht="9" hidden="1" customHeight="1"/>
    <row r="492" ht="9" hidden="1" customHeight="1"/>
    <row r="493" ht="9" hidden="1" customHeight="1"/>
    <row r="494" ht="9" hidden="1" customHeight="1"/>
    <row r="495" ht="9" hidden="1" customHeight="1"/>
    <row r="496" ht="9" hidden="1" customHeight="1"/>
    <row r="497" ht="9" hidden="1" customHeight="1"/>
    <row r="498" ht="9" hidden="1" customHeight="1"/>
    <row r="499" ht="9" hidden="1" customHeight="1"/>
    <row r="500" ht="9" hidden="1" customHeight="1"/>
    <row r="501" ht="9" hidden="1" customHeight="1"/>
    <row r="502" ht="9" hidden="1" customHeight="1"/>
    <row r="503" ht="9" hidden="1" customHeight="1"/>
    <row r="504" ht="9" hidden="1" customHeight="1"/>
    <row r="505" ht="9" hidden="1" customHeight="1"/>
    <row r="506" ht="9" hidden="1" customHeight="1"/>
    <row r="507" ht="9" hidden="1" customHeight="1"/>
    <row r="508" ht="9" hidden="1" customHeight="1"/>
    <row r="509" ht="9" hidden="1" customHeight="1"/>
    <row r="510" ht="9" hidden="1" customHeight="1"/>
    <row r="511" ht="9" hidden="1" customHeight="1"/>
    <row r="512" ht="9" hidden="1" customHeight="1"/>
    <row r="513" ht="9" hidden="1" customHeight="1"/>
    <row r="514" ht="9" hidden="1" customHeight="1"/>
    <row r="515" ht="9" hidden="1" customHeight="1"/>
    <row r="516" ht="9" hidden="1" customHeight="1"/>
    <row r="517" ht="9" hidden="1" customHeight="1"/>
    <row r="518" ht="9" hidden="1" customHeight="1"/>
    <row r="519" ht="9" hidden="1" customHeight="1"/>
    <row r="520" ht="9" hidden="1" customHeight="1"/>
    <row r="521" ht="9" hidden="1" customHeight="1"/>
    <row r="522" ht="9" hidden="1" customHeight="1"/>
    <row r="523" ht="9" hidden="1" customHeight="1"/>
    <row r="524" ht="9" hidden="1" customHeight="1"/>
    <row r="525" ht="9" hidden="1" customHeight="1"/>
    <row r="526" ht="9" hidden="1" customHeight="1"/>
    <row r="527" ht="9" hidden="1" customHeight="1"/>
    <row r="528" ht="9" hidden="1" customHeight="1"/>
    <row r="529" ht="9" hidden="1" customHeight="1"/>
    <row r="530" ht="9" hidden="1" customHeight="1"/>
    <row r="531" ht="9" hidden="1" customHeight="1"/>
    <row r="532" ht="9" hidden="1" customHeight="1"/>
    <row r="533" ht="9" hidden="1" customHeight="1"/>
    <row r="534" ht="9" hidden="1" customHeight="1"/>
    <row r="535" ht="9" hidden="1" customHeight="1"/>
    <row r="536" ht="9" hidden="1" customHeight="1"/>
    <row r="537" ht="9" hidden="1" customHeight="1"/>
    <row r="538" ht="9" hidden="1" customHeight="1"/>
    <row r="539" ht="9" hidden="1" customHeight="1"/>
    <row r="540" ht="9" hidden="1" customHeight="1"/>
    <row r="541" ht="9" hidden="1" customHeight="1"/>
    <row r="542" ht="9" hidden="1" customHeight="1"/>
    <row r="543" ht="9" hidden="1" customHeight="1"/>
    <row r="544" ht="9" hidden="1" customHeight="1"/>
    <row r="545" ht="9" hidden="1" customHeight="1"/>
    <row r="546" ht="9" hidden="1" customHeight="1"/>
    <row r="547" ht="9" hidden="1" customHeight="1"/>
    <row r="548" ht="9" hidden="1" customHeight="1"/>
    <row r="549" ht="9" hidden="1" customHeight="1"/>
    <row r="550" ht="9" hidden="1" customHeight="1"/>
    <row r="551" ht="9" hidden="1" customHeight="1"/>
    <row r="552" ht="9" hidden="1" customHeight="1"/>
    <row r="553" ht="9" hidden="1" customHeight="1"/>
    <row r="554" ht="9" hidden="1" customHeight="1"/>
    <row r="555" ht="9" hidden="1" customHeight="1"/>
    <row r="556" ht="9" hidden="1" customHeight="1"/>
    <row r="557" ht="9" hidden="1" customHeight="1"/>
    <row r="558" ht="9" hidden="1" customHeight="1"/>
    <row r="559" ht="9" hidden="1" customHeight="1"/>
    <row r="560" ht="9" hidden="1" customHeight="1"/>
    <row r="561" ht="9" hidden="1" customHeight="1"/>
    <row r="562" ht="9" hidden="1" customHeight="1"/>
    <row r="563" ht="9" hidden="1" customHeight="1"/>
    <row r="564" ht="9" hidden="1" customHeight="1"/>
    <row r="565" ht="9" hidden="1" customHeight="1"/>
    <row r="566" ht="9" hidden="1" customHeight="1"/>
    <row r="567" ht="9" hidden="1" customHeight="1"/>
    <row r="568" ht="9" hidden="1" customHeight="1"/>
    <row r="569" ht="9" hidden="1" customHeight="1"/>
    <row r="570" ht="9" hidden="1" customHeight="1"/>
    <row r="571" ht="9" hidden="1" customHeight="1"/>
    <row r="572" ht="9" hidden="1" customHeight="1"/>
    <row r="573" ht="9" hidden="1" customHeight="1"/>
    <row r="574" ht="9" hidden="1" customHeight="1"/>
    <row r="575" ht="9" hidden="1" customHeight="1"/>
    <row r="576" ht="9" hidden="1" customHeight="1"/>
    <row r="577" ht="9" hidden="1" customHeight="1"/>
    <row r="578" ht="9" hidden="1" customHeight="1"/>
    <row r="579" ht="9" hidden="1" customHeight="1"/>
    <row r="580" ht="9" hidden="1" customHeight="1"/>
    <row r="581" ht="9" hidden="1" customHeight="1"/>
    <row r="582" ht="9" hidden="1" customHeight="1"/>
    <row r="583" ht="9" hidden="1" customHeight="1"/>
    <row r="584" ht="9" hidden="1" customHeight="1"/>
    <row r="585" ht="9" hidden="1" customHeight="1"/>
    <row r="586" ht="9" hidden="1" customHeight="1"/>
    <row r="587" ht="9" hidden="1" customHeight="1"/>
    <row r="588" ht="9" hidden="1" customHeight="1"/>
    <row r="589" ht="9" hidden="1" customHeight="1"/>
    <row r="590" ht="9" hidden="1" customHeight="1"/>
    <row r="591" ht="9" hidden="1" customHeight="1"/>
    <row r="592" ht="9" hidden="1" customHeight="1"/>
    <row r="593" ht="9" hidden="1" customHeight="1"/>
    <row r="594" ht="9" hidden="1" customHeight="1"/>
    <row r="595" ht="9" hidden="1" customHeight="1"/>
    <row r="596" ht="9" hidden="1" customHeight="1"/>
    <row r="597" ht="9" hidden="1" customHeight="1"/>
    <row r="598" ht="9" hidden="1" customHeight="1"/>
    <row r="599" ht="9" hidden="1" customHeight="1"/>
    <row r="600" ht="9" hidden="1" customHeight="1"/>
    <row r="601" ht="9" hidden="1" customHeight="1"/>
    <row r="602" ht="9" hidden="1" customHeight="1"/>
    <row r="603" ht="9" hidden="1" customHeight="1"/>
    <row r="604" ht="9" hidden="1" customHeight="1"/>
    <row r="605" ht="9" hidden="1" customHeight="1"/>
    <row r="606" ht="9" hidden="1" customHeight="1"/>
    <row r="607" ht="9" hidden="1" customHeight="1"/>
    <row r="608" ht="9" hidden="1" customHeight="1"/>
    <row r="609" ht="9" hidden="1" customHeight="1"/>
    <row r="610" ht="9" hidden="1" customHeight="1"/>
    <row r="611" ht="9" hidden="1" customHeight="1"/>
    <row r="612" ht="9" hidden="1" customHeight="1"/>
    <row r="613" ht="9" hidden="1" customHeight="1"/>
    <row r="614" ht="9" hidden="1" customHeight="1"/>
    <row r="615" ht="9" hidden="1" customHeight="1"/>
    <row r="616" ht="9" hidden="1" customHeight="1"/>
    <row r="617" ht="9" hidden="1" customHeight="1"/>
    <row r="618" ht="9" hidden="1" customHeight="1"/>
    <row r="619" ht="9" hidden="1" customHeight="1"/>
    <row r="620" ht="9" hidden="1" customHeight="1"/>
    <row r="621" ht="9" hidden="1" customHeight="1"/>
    <row r="622" ht="9" hidden="1" customHeight="1"/>
    <row r="623" ht="9" hidden="1" customHeight="1"/>
    <row r="624" ht="9" hidden="1" customHeight="1"/>
    <row r="625" ht="9" hidden="1" customHeight="1"/>
    <row r="626" ht="9" hidden="1" customHeight="1"/>
    <row r="627" ht="9" hidden="1" customHeight="1"/>
    <row r="628" ht="9" hidden="1" customHeight="1"/>
    <row r="629" ht="9" hidden="1" customHeight="1"/>
    <row r="630" ht="9" hidden="1" customHeight="1"/>
    <row r="631" ht="9" hidden="1" customHeight="1"/>
    <row r="632" ht="9" hidden="1" customHeight="1"/>
    <row r="633" ht="9" hidden="1" customHeight="1"/>
    <row r="634" ht="9" hidden="1" customHeight="1"/>
    <row r="635" ht="9" hidden="1" customHeight="1"/>
    <row r="636" ht="9" hidden="1" customHeight="1"/>
    <row r="637" ht="9" hidden="1" customHeight="1"/>
    <row r="638" ht="9" hidden="1" customHeight="1"/>
    <row r="639" ht="9" hidden="1" customHeight="1"/>
    <row r="640" ht="9" hidden="1" customHeight="1"/>
    <row r="641" ht="9" hidden="1" customHeight="1"/>
    <row r="642" ht="9" hidden="1" customHeight="1"/>
    <row r="643" ht="9" hidden="1" customHeight="1"/>
    <row r="644" ht="9" hidden="1" customHeight="1"/>
    <row r="645" ht="9" hidden="1" customHeight="1"/>
    <row r="646" ht="9" hidden="1" customHeight="1"/>
    <row r="647" ht="9" hidden="1" customHeight="1"/>
    <row r="648" ht="9" hidden="1" customHeight="1"/>
    <row r="649" ht="9" hidden="1" customHeight="1"/>
    <row r="650" ht="9" hidden="1" customHeight="1"/>
    <row r="651" ht="9" hidden="1" customHeight="1"/>
    <row r="652" ht="9" hidden="1" customHeight="1"/>
    <row r="653" ht="9" hidden="1" customHeight="1"/>
    <row r="654" ht="9" hidden="1" customHeight="1"/>
    <row r="655" ht="9" hidden="1" customHeight="1"/>
    <row r="656" ht="9" hidden="1" customHeight="1"/>
    <row r="657" ht="9" hidden="1" customHeight="1"/>
    <row r="658" ht="9" hidden="1" customHeight="1"/>
    <row r="659" ht="9" hidden="1" customHeight="1"/>
    <row r="660" ht="9" hidden="1" customHeight="1"/>
    <row r="661" ht="9" hidden="1" customHeight="1"/>
    <row r="662" ht="9" hidden="1" customHeight="1"/>
    <row r="663" ht="9" hidden="1" customHeight="1"/>
    <row r="664" ht="9" hidden="1" customHeight="1"/>
    <row r="665" ht="9" hidden="1" customHeight="1"/>
    <row r="666" ht="9" hidden="1" customHeight="1"/>
    <row r="667" ht="9" hidden="1" customHeight="1"/>
    <row r="668" ht="9" hidden="1" customHeight="1"/>
    <row r="669" ht="9" hidden="1" customHeight="1"/>
    <row r="670" ht="9" hidden="1" customHeight="1"/>
    <row r="671" ht="9" hidden="1" customHeight="1"/>
    <row r="672" ht="9" hidden="1" customHeight="1"/>
    <row r="673" ht="9" hidden="1" customHeight="1"/>
    <row r="674" ht="9" hidden="1" customHeight="1"/>
    <row r="675" ht="9" hidden="1" customHeight="1"/>
    <row r="676" ht="9" hidden="1" customHeight="1"/>
    <row r="677" ht="9" hidden="1" customHeight="1"/>
    <row r="678" ht="9" hidden="1" customHeight="1"/>
    <row r="679" ht="9" hidden="1" customHeight="1"/>
    <row r="680" ht="9" hidden="1" customHeight="1"/>
    <row r="681" ht="9" hidden="1" customHeight="1"/>
    <row r="682" ht="9" hidden="1" customHeight="1"/>
    <row r="683" ht="9" hidden="1" customHeight="1"/>
    <row r="684" ht="9" hidden="1" customHeight="1"/>
    <row r="685" ht="9" hidden="1" customHeight="1"/>
    <row r="686" ht="9" hidden="1" customHeight="1"/>
    <row r="687" ht="9" hidden="1" customHeight="1"/>
    <row r="688" ht="9" hidden="1" customHeight="1"/>
    <row r="689" ht="9" hidden="1" customHeight="1"/>
    <row r="690" ht="9" hidden="1" customHeight="1"/>
    <row r="691" ht="9" hidden="1" customHeight="1"/>
    <row r="692" ht="9" hidden="1" customHeight="1"/>
    <row r="693" ht="9" hidden="1" customHeight="1"/>
    <row r="694" ht="9" hidden="1" customHeight="1"/>
    <row r="695" ht="9" hidden="1" customHeight="1"/>
    <row r="696" ht="9" hidden="1" customHeight="1"/>
    <row r="697" ht="9" hidden="1" customHeight="1"/>
    <row r="698" ht="9" hidden="1" customHeight="1"/>
    <row r="699" ht="9" hidden="1" customHeight="1"/>
    <row r="700" ht="9" hidden="1" customHeight="1"/>
    <row r="701" ht="9" hidden="1" customHeight="1"/>
    <row r="702" ht="9" hidden="1" customHeight="1"/>
    <row r="703" ht="9" hidden="1" customHeight="1"/>
    <row r="704" ht="9" hidden="1" customHeight="1"/>
    <row r="705" ht="9" hidden="1" customHeight="1"/>
    <row r="706" ht="9" hidden="1" customHeight="1"/>
    <row r="707" ht="9" hidden="1" customHeight="1"/>
    <row r="708" ht="9" hidden="1" customHeight="1"/>
    <row r="709" ht="9" hidden="1" customHeight="1"/>
    <row r="710" ht="9" hidden="1" customHeight="1"/>
    <row r="711" ht="9" hidden="1" customHeight="1"/>
    <row r="712" ht="9" hidden="1" customHeight="1"/>
    <row r="713" ht="9" hidden="1" customHeight="1"/>
    <row r="714" ht="9" hidden="1" customHeight="1"/>
    <row r="715" ht="9" hidden="1" customHeight="1"/>
    <row r="716" ht="9" hidden="1" customHeight="1"/>
    <row r="717" ht="9" hidden="1" customHeight="1"/>
    <row r="718" ht="9" hidden="1" customHeight="1"/>
    <row r="719" ht="9" hidden="1" customHeight="1"/>
    <row r="720" ht="9" hidden="1" customHeight="1"/>
    <row r="721" ht="9" hidden="1" customHeight="1"/>
    <row r="722" ht="9" hidden="1" customHeight="1"/>
    <row r="723" ht="9" hidden="1" customHeight="1"/>
    <row r="724" ht="9" hidden="1" customHeight="1"/>
    <row r="725" ht="9" hidden="1" customHeight="1"/>
    <row r="726" ht="9" hidden="1" customHeight="1"/>
    <row r="727" ht="9" hidden="1" customHeight="1"/>
    <row r="728" ht="9" hidden="1" customHeight="1"/>
    <row r="729" ht="9" hidden="1" customHeight="1"/>
    <row r="730" ht="9" hidden="1" customHeight="1"/>
    <row r="731" ht="9" hidden="1" customHeight="1"/>
    <row r="732" ht="9" hidden="1" customHeight="1"/>
    <row r="733" ht="9" hidden="1" customHeight="1"/>
    <row r="734" ht="9" hidden="1" customHeight="1"/>
    <row r="735" ht="9" hidden="1" customHeight="1"/>
    <row r="736" ht="9" hidden="1" customHeight="1"/>
    <row r="737" ht="9" hidden="1" customHeight="1"/>
    <row r="738" ht="9" hidden="1" customHeight="1"/>
    <row r="739" ht="9" hidden="1" customHeight="1"/>
    <row r="740" ht="9" hidden="1" customHeight="1"/>
    <row r="741" ht="9" hidden="1" customHeight="1"/>
    <row r="742" ht="9" hidden="1" customHeight="1"/>
    <row r="743" ht="9" hidden="1" customHeight="1"/>
    <row r="744" ht="9" hidden="1" customHeight="1"/>
    <row r="745" ht="9" hidden="1" customHeight="1"/>
    <row r="746" ht="9" hidden="1" customHeight="1"/>
    <row r="747" ht="9" hidden="1" customHeight="1"/>
    <row r="748" ht="9" hidden="1" customHeight="1"/>
    <row r="749" ht="9" hidden="1" customHeight="1"/>
    <row r="750" ht="9" hidden="1" customHeight="1"/>
    <row r="751" ht="9" hidden="1" customHeight="1"/>
    <row r="752" ht="9" hidden="1" customHeight="1"/>
    <row r="753" ht="9" hidden="1" customHeight="1"/>
    <row r="754" ht="9" hidden="1" customHeight="1"/>
    <row r="755" ht="9" hidden="1" customHeight="1"/>
    <row r="756" ht="9" hidden="1" customHeight="1"/>
    <row r="757" ht="9" hidden="1" customHeight="1"/>
    <row r="758" ht="9" hidden="1" customHeight="1"/>
    <row r="759" ht="9" hidden="1" customHeight="1"/>
    <row r="760" ht="9" hidden="1" customHeight="1"/>
    <row r="761" ht="9" hidden="1" customHeight="1"/>
    <row r="762" ht="9" hidden="1" customHeight="1"/>
    <row r="763" ht="9" hidden="1" customHeight="1"/>
    <row r="764" ht="9" hidden="1" customHeight="1"/>
    <row r="765" ht="9" hidden="1" customHeight="1"/>
    <row r="766" ht="9" hidden="1" customHeight="1"/>
    <row r="767" ht="9" hidden="1" customHeight="1"/>
    <row r="768" ht="9" hidden="1" customHeight="1"/>
    <row r="769" ht="9" hidden="1" customHeight="1"/>
    <row r="770" ht="9" hidden="1" customHeight="1"/>
    <row r="771" ht="9" hidden="1" customHeight="1"/>
    <row r="772" ht="9" hidden="1" customHeight="1"/>
    <row r="773" ht="9" hidden="1" customHeight="1"/>
    <row r="774" ht="9" hidden="1" customHeight="1"/>
    <row r="775" ht="9" hidden="1" customHeight="1"/>
    <row r="776" ht="9" hidden="1" customHeight="1"/>
    <row r="777" ht="9" hidden="1" customHeight="1"/>
    <row r="778" ht="9" hidden="1" customHeight="1"/>
    <row r="779" ht="9" hidden="1" customHeight="1"/>
    <row r="780" ht="9" hidden="1" customHeight="1"/>
    <row r="781" ht="9" hidden="1" customHeight="1"/>
    <row r="782" ht="9" hidden="1" customHeight="1"/>
    <row r="783" ht="9" hidden="1" customHeight="1"/>
    <row r="784" ht="9" hidden="1" customHeight="1"/>
    <row r="785" ht="9" hidden="1" customHeight="1"/>
    <row r="786" ht="9" hidden="1" customHeight="1"/>
    <row r="787" ht="9" hidden="1" customHeight="1"/>
    <row r="788" ht="9" hidden="1" customHeight="1"/>
    <row r="789" ht="9" hidden="1" customHeight="1"/>
    <row r="790" ht="9" hidden="1" customHeight="1"/>
    <row r="791" ht="9" hidden="1" customHeight="1"/>
    <row r="792" ht="9" hidden="1" customHeight="1"/>
    <row r="793" ht="9" hidden="1" customHeight="1"/>
    <row r="794" ht="9" hidden="1" customHeight="1"/>
    <row r="795" ht="9" hidden="1" customHeight="1"/>
    <row r="796" ht="9" hidden="1" customHeight="1"/>
    <row r="797" ht="9" hidden="1" customHeight="1"/>
    <row r="798" ht="9" hidden="1" customHeight="1"/>
    <row r="799" ht="9" hidden="1" customHeight="1"/>
    <row r="800" ht="9" hidden="1" customHeight="1"/>
    <row r="801" ht="9" hidden="1" customHeight="1"/>
    <row r="802" ht="9" hidden="1" customHeight="1"/>
    <row r="803" ht="9" hidden="1" customHeight="1"/>
    <row r="804" ht="9" hidden="1" customHeight="1"/>
    <row r="805" ht="9" hidden="1" customHeight="1"/>
    <row r="806" ht="9" hidden="1" customHeight="1"/>
    <row r="807" ht="9" hidden="1" customHeight="1"/>
    <row r="808" ht="9" hidden="1" customHeight="1"/>
    <row r="809" ht="9" hidden="1" customHeight="1"/>
    <row r="810" ht="9" hidden="1" customHeight="1"/>
    <row r="811" ht="9" hidden="1" customHeight="1"/>
    <row r="812" ht="9" hidden="1" customHeight="1"/>
    <row r="813" ht="9" hidden="1" customHeight="1"/>
    <row r="814" ht="9" hidden="1" customHeight="1"/>
    <row r="815" ht="9" hidden="1" customHeight="1"/>
    <row r="816" ht="9" hidden="1" customHeight="1"/>
    <row r="817" ht="9" hidden="1" customHeight="1"/>
    <row r="818" ht="9" hidden="1" customHeight="1"/>
    <row r="819" ht="9" hidden="1" customHeight="1"/>
    <row r="820" ht="9" hidden="1" customHeight="1"/>
    <row r="821" ht="9" hidden="1" customHeight="1"/>
    <row r="822" ht="9" hidden="1" customHeight="1"/>
    <row r="823" ht="9" hidden="1" customHeight="1"/>
    <row r="824" ht="9" hidden="1" customHeight="1"/>
    <row r="825" ht="9" hidden="1" customHeight="1"/>
    <row r="826" ht="9" hidden="1" customHeight="1"/>
    <row r="827" ht="9" hidden="1" customHeight="1"/>
    <row r="828" ht="9" hidden="1" customHeight="1"/>
    <row r="829" ht="9" hidden="1" customHeight="1"/>
    <row r="830" ht="9" hidden="1" customHeight="1"/>
    <row r="831" ht="9" hidden="1" customHeight="1"/>
    <row r="832" ht="9" hidden="1" customHeight="1"/>
    <row r="833" ht="9" hidden="1" customHeight="1"/>
    <row r="834" ht="9" hidden="1" customHeight="1"/>
    <row r="835" ht="9" hidden="1" customHeight="1"/>
    <row r="836" ht="9" hidden="1" customHeight="1"/>
    <row r="837" ht="9" hidden="1" customHeight="1"/>
    <row r="838" ht="9" hidden="1" customHeight="1"/>
    <row r="839" ht="9" hidden="1" customHeight="1"/>
    <row r="840" ht="9" hidden="1" customHeight="1"/>
    <row r="841" ht="9" hidden="1" customHeight="1"/>
    <row r="842" ht="9" hidden="1" customHeight="1"/>
    <row r="843" ht="9" hidden="1" customHeight="1"/>
    <row r="844" ht="9" hidden="1" customHeight="1"/>
    <row r="845" ht="9" hidden="1" customHeight="1"/>
    <row r="846" ht="9" hidden="1" customHeight="1"/>
    <row r="847" ht="9" hidden="1" customHeight="1"/>
    <row r="848" ht="9" hidden="1" customHeight="1"/>
    <row r="849" ht="9" hidden="1" customHeight="1"/>
    <row r="850" ht="9" hidden="1" customHeight="1"/>
    <row r="851" ht="9" hidden="1" customHeight="1"/>
    <row r="852" ht="9" hidden="1" customHeight="1"/>
    <row r="853" ht="9" hidden="1" customHeight="1"/>
    <row r="854" ht="9" hidden="1" customHeight="1"/>
    <row r="855" ht="9" hidden="1" customHeight="1"/>
    <row r="856" ht="9" hidden="1" customHeight="1"/>
    <row r="857" ht="9" hidden="1" customHeight="1"/>
    <row r="858" ht="9" hidden="1" customHeight="1"/>
    <row r="859" ht="9" hidden="1" customHeight="1"/>
    <row r="860" ht="9" hidden="1" customHeight="1"/>
    <row r="861" ht="9" hidden="1" customHeight="1"/>
    <row r="862" ht="9" hidden="1" customHeight="1"/>
    <row r="863" ht="9" hidden="1" customHeight="1"/>
    <row r="864" ht="9" hidden="1" customHeight="1"/>
    <row r="865" ht="9" hidden="1" customHeight="1"/>
    <row r="866" ht="9" hidden="1" customHeight="1"/>
    <row r="867" ht="9" hidden="1" customHeight="1"/>
    <row r="868" ht="9" hidden="1" customHeight="1"/>
    <row r="869" ht="9" hidden="1" customHeight="1"/>
    <row r="870" ht="9" hidden="1" customHeight="1"/>
    <row r="871" ht="9" hidden="1" customHeight="1"/>
    <row r="872" ht="9" hidden="1" customHeight="1"/>
    <row r="873" ht="9" hidden="1" customHeight="1"/>
    <row r="874" ht="9" hidden="1" customHeight="1"/>
    <row r="875" ht="9" hidden="1" customHeight="1"/>
    <row r="876" ht="9" hidden="1" customHeight="1"/>
    <row r="877" ht="9" hidden="1" customHeight="1"/>
    <row r="878" ht="9" hidden="1" customHeight="1"/>
    <row r="879" ht="9" hidden="1" customHeight="1"/>
    <row r="880" ht="9" hidden="1" customHeight="1"/>
    <row r="881" ht="9" hidden="1" customHeight="1"/>
    <row r="882" ht="9" hidden="1" customHeight="1"/>
    <row r="883" ht="9" hidden="1" customHeight="1"/>
    <row r="884" ht="9" hidden="1" customHeight="1"/>
    <row r="885" ht="9" hidden="1" customHeight="1"/>
    <row r="886" ht="9" hidden="1" customHeight="1"/>
    <row r="887" ht="9" hidden="1" customHeight="1"/>
    <row r="888" ht="9" hidden="1" customHeight="1"/>
    <row r="889" ht="9" hidden="1" customHeight="1"/>
    <row r="890" ht="9" hidden="1" customHeight="1"/>
    <row r="891" ht="9" hidden="1" customHeight="1"/>
    <row r="892" ht="9" hidden="1" customHeight="1"/>
    <row r="893" ht="9" hidden="1" customHeight="1"/>
    <row r="894" ht="9" hidden="1" customHeight="1"/>
    <row r="895" ht="9" hidden="1" customHeight="1"/>
    <row r="896" ht="9" hidden="1" customHeight="1"/>
    <row r="897" ht="9" hidden="1" customHeight="1"/>
    <row r="898" ht="9" hidden="1" customHeight="1"/>
    <row r="899" ht="9" hidden="1" customHeight="1"/>
    <row r="900" ht="9" hidden="1" customHeight="1"/>
    <row r="901" ht="9" hidden="1" customHeight="1"/>
    <row r="902" ht="9" hidden="1" customHeight="1"/>
    <row r="903" ht="9" hidden="1" customHeight="1"/>
    <row r="904" ht="9" hidden="1" customHeight="1"/>
    <row r="905" ht="9" hidden="1" customHeight="1"/>
    <row r="906" ht="9" hidden="1" customHeight="1"/>
    <row r="907" ht="9" hidden="1" customHeight="1"/>
    <row r="908" ht="9" hidden="1" customHeight="1"/>
    <row r="909" ht="9" hidden="1" customHeight="1"/>
    <row r="910" ht="9" hidden="1" customHeight="1"/>
    <row r="911" ht="9" hidden="1" customHeight="1"/>
    <row r="912" ht="9" hidden="1" customHeight="1"/>
    <row r="913" ht="9" hidden="1" customHeight="1"/>
    <row r="914" ht="9" hidden="1" customHeight="1"/>
    <row r="915" ht="9" hidden="1" customHeight="1"/>
    <row r="916" ht="9" hidden="1" customHeight="1"/>
    <row r="917" ht="9" hidden="1" customHeight="1"/>
    <row r="918" ht="9" hidden="1" customHeight="1"/>
    <row r="919" ht="9" hidden="1" customHeight="1"/>
    <row r="920" ht="9" hidden="1" customHeight="1"/>
    <row r="921" ht="9" hidden="1" customHeight="1"/>
    <row r="922" ht="9" hidden="1" customHeight="1"/>
    <row r="923" ht="9" hidden="1" customHeight="1"/>
    <row r="924" ht="9" hidden="1" customHeight="1"/>
    <row r="925" ht="9" hidden="1" customHeight="1"/>
    <row r="926" ht="9" hidden="1" customHeight="1"/>
    <row r="927" ht="9" hidden="1" customHeight="1"/>
    <row r="928" ht="9" hidden="1" customHeight="1"/>
    <row r="929" ht="9" hidden="1" customHeight="1"/>
    <row r="930" ht="9" hidden="1" customHeight="1"/>
    <row r="931" ht="9" hidden="1" customHeight="1"/>
    <row r="932" ht="9" hidden="1" customHeight="1"/>
    <row r="933" ht="9" hidden="1" customHeight="1"/>
    <row r="934" ht="9" hidden="1" customHeight="1"/>
    <row r="935" ht="9" hidden="1" customHeight="1"/>
    <row r="936" ht="9" hidden="1" customHeight="1"/>
    <row r="937" ht="9" hidden="1" customHeight="1"/>
    <row r="938" ht="9" hidden="1" customHeight="1"/>
    <row r="939" ht="9" hidden="1" customHeight="1"/>
    <row r="940" ht="9" hidden="1" customHeight="1"/>
    <row r="941" ht="9" hidden="1" customHeight="1"/>
    <row r="942" ht="9" hidden="1" customHeight="1"/>
    <row r="943" ht="9" hidden="1" customHeight="1"/>
    <row r="944" ht="9" hidden="1" customHeight="1"/>
    <row r="945" ht="9" hidden="1" customHeight="1"/>
    <row r="946" ht="9" hidden="1" customHeight="1"/>
    <row r="947" ht="9" hidden="1" customHeight="1"/>
    <row r="948" ht="9" hidden="1" customHeight="1"/>
    <row r="949" ht="9" hidden="1" customHeight="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sheetData>
  <sheetProtection algorithmName="SHA-512" hashValue="+5wWxWORs6zXp3O1RfznV4lRnd9rh1EmAkTXXKZJKXhYLrceGdAVWPPEl4jM76hugiuXKNdKTNIYcGMf8PnLSQ==" saltValue="BTV7ySSlx0ebjHoMslFjLA==" spinCount="100000" sheet="1" objects="1" scenarios="1"/>
  <mergeCells count="470">
    <mergeCell ref="AL133:BA134"/>
    <mergeCell ref="BH6:DF15"/>
    <mergeCell ref="BH18:CC19"/>
    <mergeCell ref="BF21:BG22"/>
    <mergeCell ref="BH21:DE22"/>
    <mergeCell ref="BF24:BG25"/>
    <mergeCell ref="BH24:DE25"/>
    <mergeCell ref="BF27:BG28"/>
    <mergeCell ref="BH27:DE28"/>
    <mergeCell ref="BH75:DF101"/>
    <mergeCell ref="B65:BA67"/>
    <mergeCell ref="B69:BA70"/>
    <mergeCell ref="B73:G74"/>
    <mergeCell ref="B76:G77"/>
    <mergeCell ref="B124:G125"/>
    <mergeCell ref="H124:AP125"/>
    <mergeCell ref="B127:F128"/>
    <mergeCell ref="H127:M128"/>
    <mergeCell ref="O127:AD128"/>
    <mergeCell ref="AE127:AJ128"/>
    <mergeCell ref="AL127:BA128"/>
    <mergeCell ref="W16:W19"/>
    <mergeCell ref="X16:X19"/>
    <mergeCell ref="Y16:Y19"/>
    <mergeCell ref="B151:G152"/>
    <mergeCell ref="H151:AP152"/>
    <mergeCell ref="B154:F155"/>
    <mergeCell ref="H154:M155"/>
    <mergeCell ref="B142:F143"/>
    <mergeCell ref="H142:M143"/>
    <mergeCell ref="O142:AD143"/>
    <mergeCell ref="AE142:AJ143"/>
    <mergeCell ref="AL142:BA143"/>
    <mergeCell ref="O154:AD155"/>
    <mergeCell ref="AE154:AJ155"/>
    <mergeCell ref="AL154:BA155"/>
    <mergeCell ref="B187:G188"/>
    <mergeCell ref="H187:AP188"/>
    <mergeCell ref="B178:F179"/>
    <mergeCell ref="H178:M179"/>
    <mergeCell ref="O178:AD179"/>
    <mergeCell ref="AE178:AJ179"/>
    <mergeCell ref="H169:M170"/>
    <mergeCell ref="O169:AD170"/>
    <mergeCell ref="AE169:AJ170"/>
    <mergeCell ref="AL169:BA170"/>
    <mergeCell ref="H172:M173"/>
    <mergeCell ref="O172:AD173"/>
    <mergeCell ref="AE172:AJ173"/>
    <mergeCell ref="AL172:BA173"/>
    <mergeCell ref="B175:G176"/>
    <mergeCell ref="H175:AP176"/>
    <mergeCell ref="AL178:BA179"/>
    <mergeCell ref="H181:M182"/>
    <mergeCell ref="O181:AD182"/>
    <mergeCell ref="AE181:AJ182"/>
    <mergeCell ref="AL181:BA182"/>
    <mergeCell ref="H184:M185"/>
    <mergeCell ref="O184:AD185"/>
    <mergeCell ref="AE184:AJ185"/>
    <mergeCell ref="B205:F206"/>
    <mergeCell ref="H205:M206"/>
    <mergeCell ref="B199:G200"/>
    <mergeCell ref="H199:AP200"/>
    <mergeCell ref="B202:G203"/>
    <mergeCell ref="H202:AP203"/>
    <mergeCell ref="B190:F191"/>
    <mergeCell ref="H190:M191"/>
    <mergeCell ref="O190:AD191"/>
    <mergeCell ref="AE190:AJ191"/>
    <mergeCell ref="B226:G227"/>
    <mergeCell ref="H226:AP227"/>
    <mergeCell ref="B217:F218"/>
    <mergeCell ref="H217:M218"/>
    <mergeCell ref="O217:AD218"/>
    <mergeCell ref="AE217:AJ218"/>
    <mergeCell ref="B214:G215"/>
    <mergeCell ref="H214:AP215"/>
    <mergeCell ref="H211:M212"/>
    <mergeCell ref="O211:AD212"/>
    <mergeCell ref="AE211:AJ212"/>
    <mergeCell ref="AL211:BA212"/>
    <mergeCell ref="AL217:BA218"/>
    <mergeCell ref="H220:M221"/>
    <mergeCell ref="O220:AD221"/>
    <mergeCell ref="AE220:AJ221"/>
    <mergeCell ref="AL220:BA221"/>
    <mergeCell ref="H223:M224"/>
    <mergeCell ref="O223:AD224"/>
    <mergeCell ref="AE223:AJ224"/>
    <mergeCell ref="AL223:BA224"/>
    <mergeCell ref="H259:M260"/>
    <mergeCell ref="O259:AD260"/>
    <mergeCell ref="AE259:AJ260"/>
    <mergeCell ref="AL259:BA260"/>
    <mergeCell ref="H244:M245"/>
    <mergeCell ref="O244:AD245"/>
    <mergeCell ref="AE244:AJ245"/>
    <mergeCell ref="AL244:BA245"/>
    <mergeCell ref="H235:M236"/>
    <mergeCell ref="O235:AD236"/>
    <mergeCell ref="AE235:AJ236"/>
    <mergeCell ref="AL235:BA236"/>
    <mergeCell ref="H247:M248"/>
    <mergeCell ref="O247:AD248"/>
    <mergeCell ref="AE247:AJ248"/>
    <mergeCell ref="AL247:BA248"/>
    <mergeCell ref="H283:M284"/>
    <mergeCell ref="O283:AD284"/>
    <mergeCell ref="AE283:AJ284"/>
    <mergeCell ref="AL283:BA284"/>
    <mergeCell ref="B277:G278"/>
    <mergeCell ref="H271:M272"/>
    <mergeCell ref="O271:AD272"/>
    <mergeCell ref="AE271:AJ272"/>
    <mergeCell ref="AL271:BA272"/>
    <mergeCell ref="H274:M275"/>
    <mergeCell ref="O274:AD275"/>
    <mergeCell ref="AE274:AJ275"/>
    <mergeCell ref="AL274:BA275"/>
    <mergeCell ref="H277:AP278"/>
    <mergeCell ref="B280:F281"/>
    <mergeCell ref="H280:M281"/>
    <mergeCell ref="O280:AD281"/>
    <mergeCell ref="AE280:AJ281"/>
    <mergeCell ref="AL280:BA281"/>
    <mergeCell ref="B304:F305"/>
    <mergeCell ref="H304:M305"/>
    <mergeCell ref="H295:M296"/>
    <mergeCell ref="O295:AD296"/>
    <mergeCell ref="AE295:AJ296"/>
    <mergeCell ref="AL295:BA296"/>
    <mergeCell ref="H286:M287"/>
    <mergeCell ref="O286:AD287"/>
    <mergeCell ref="AE286:AJ287"/>
    <mergeCell ref="AL286:BA287"/>
    <mergeCell ref="B301:G302"/>
    <mergeCell ref="H301:AP302"/>
    <mergeCell ref="B289:G290"/>
    <mergeCell ref="H289:AP290"/>
    <mergeCell ref="B292:F293"/>
    <mergeCell ref="H292:M293"/>
    <mergeCell ref="O292:AD293"/>
    <mergeCell ref="AE292:AJ293"/>
    <mergeCell ref="AL292:BA293"/>
    <mergeCell ref="O304:AD305"/>
    <mergeCell ref="AE304:AJ305"/>
    <mergeCell ref="AL304:BA305"/>
    <mergeCell ref="B328:G329"/>
    <mergeCell ref="H328:AP329"/>
    <mergeCell ref="B313:G314"/>
    <mergeCell ref="H313:AP314"/>
    <mergeCell ref="B316:F317"/>
    <mergeCell ref="H316:M317"/>
    <mergeCell ref="H310:M311"/>
    <mergeCell ref="O310:AD311"/>
    <mergeCell ref="AE310:AJ311"/>
    <mergeCell ref="AL310:BA311"/>
    <mergeCell ref="B325:G326"/>
    <mergeCell ref="H325:AP326"/>
    <mergeCell ref="B343:F344"/>
    <mergeCell ref="H343:M344"/>
    <mergeCell ref="O343:AD344"/>
    <mergeCell ref="AE343:AJ344"/>
    <mergeCell ref="B340:G341"/>
    <mergeCell ref="H340:AP341"/>
    <mergeCell ref="B331:F332"/>
    <mergeCell ref="H331:M332"/>
    <mergeCell ref="O331:AD332"/>
    <mergeCell ref="AE331:AJ332"/>
    <mergeCell ref="AL331:BA332"/>
    <mergeCell ref="H334:M335"/>
    <mergeCell ref="O334:AD335"/>
    <mergeCell ref="AE334:AJ335"/>
    <mergeCell ref="AL334:BA335"/>
    <mergeCell ref="H337:M338"/>
    <mergeCell ref="O337:AD338"/>
    <mergeCell ref="AE337:AJ338"/>
    <mergeCell ref="AL337:BA338"/>
    <mergeCell ref="B2:BA4"/>
    <mergeCell ref="B6:BA7"/>
    <mergeCell ref="B9:L10"/>
    <mergeCell ref="N9:U10"/>
    <mergeCell ref="Z9:BA13"/>
    <mergeCell ref="B12:L13"/>
    <mergeCell ref="N12:U13"/>
    <mergeCell ref="H382:M383"/>
    <mergeCell ref="O382:AD383"/>
    <mergeCell ref="B376:G377"/>
    <mergeCell ref="H373:M374"/>
    <mergeCell ref="O373:AD374"/>
    <mergeCell ref="B364:G365"/>
    <mergeCell ref="H364:AP365"/>
    <mergeCell ref="B367:F368"/>
    <mergeCell ref="H367:M368"/>
    <mergeCell ref="H361:M362"/>
    <mergeCell ref="O361:AD362"/>
    <mergeCell ref="AE361:AJ362"/>
    <mergeCell ref="AL361:BA362"/>
    <mergeCell ref="B352:G353"/>
    <mergeCell ref="H352:AP353"/>
    <mergeCell ref="B355:F356"/>
    <mergeCell ref="H355:M356"/>
    <mergeCell ref="Z16:Z19"/>
    <mergeCell ref="AA16:AA19"/>
    <mergeCell ref="AB16:AB19"/>
    <mergeCell ref="Q16:Q19"/>
    <mergeCell ref="R16:R19"/>
    <mergeCell ref="S16:S19"/>
    <mergeCell ref="T16:T19"/>
    <mergeCell ref="U16:U19"/>
    <mergeCell ref="V16:V19"/>
    <mergeCell ref="AI16:AI19"/>
    <mergeCell ref="AJ16:AJ19"/>
    <mergeCell ref="AK16:AK19"/>
    <mergeCell ref="AL16:AL19"/>
    <mergeCell ref="AM16:AM19"/>
    <mergeCell ref="AN16:AN19"/>
    <mergeCell ref="AC16:AC19"/>
    <mergeCell ref="AD16:AD19"/>
    <mergeCell ref="AE16:AE19"/>
    <mergeCell ref="AF16:AF19"/>
    <mergeCell ref="AG16:AG19"/>
    <mergeCell ref="AH16:AH19"/>
    <mergeCell ref="B26:M26"/>
    <mergeCell ref="B27:M27"/>
    <mergeCell ref="B28:M28"/>
    <mergeCell ref="B29:M29"/>
    <mergeCell ref="B30:M30"/>
    <mergeCell ref="B31:M31"/>
    <mergeCell ref="BA16:BA19"/>
    <mergeCell ref="B21:M21"/>
    <mergeCell ref="B22:M22"/>
    <mergeCell ref="B23:M23"/>
    <mergeCell ref="B24:M24"/>
    <mergeCell ref="B25:M25"/>
    <mergeCell ref="AU16:AU19"/>
    <mergeCell ref="AV16:AV19"/>
    <mergeCell ref="AW16:AW19"/>
    <mergeCell ref="AX16:AX19"/>
    <mergeCell ref="AY16:AY19"/>
    <mergeCell ref="AZ16:AZ19"/>
    <mergeCell ref="AO16:AO19"/>
    <mergeCell ref="AP16:AP19"/>
    <mergeCell ref="AQ16:AQ19"/>
    <mergeCell ref="AR16:AR19"/>
    <mergeCell ref="AS16:AS19"/>
    <mergeCell ref="AT16:AT19"/>
    <mergeCell ref="H73:AP74"/>
    <mergeCell ref="H76:AP77"/>
    <mergeCell ref="H79:M80"/>
    <mergeCell ref="B50:M50"/>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H85:M86"/>
    <mergeCell ref="O85:AD86"/>
    <mergeCell ref="AE85:AJ86"/>
    <mergeCell ref="AL85:BA86"/>
    <mergeCell ref="B79:F80"/>
    <mergeCell ref="O79:AD80"/>
    <mergeCell ref="AL79:BA80"/>
    <mergeCell ref="AE79:AJ80"/>
    <mergeCell ref="H82:M83"/>
    <mergeCell ref="O82:AD83"/>
    <mergeCell ref="AE82:AJ83"/>
    <mergeCell ref="AL82:BA83"/>
    <mergeCell ref="H94:M95"/>
    <mergeCell ref="O94:AD95"/>
    <mergeCell ref="AE94:AJ95"/>
    <mergeCell ref="AL94:BA95"/>
    <mergeCell ref="H97:M98"/>
    <mergeCell ref="O97:AD98"/>
    <mergeCell ref="AE97:AJ98"/>
    <mergeCell ref="AL97:BA98"/>
    <mergeCell ref="B88:G89"/>
    <mergeCell ref="H88:AP89"/>
    <mergeCell ref="B91:F92"/>
    <mergeCell ref="H91:M92"/>
    <mergeCell ref="O91:AD92"/>
    <mergeCell ref="AE91:AJ92"/>
    <mergeCell ref="AL91:BA92"/>
    <mergeCell ref="H109:M110"/>
    <mergeCell ref="O109:AD110"/>
    <mergeCell ref="AE109:AJ110"/>
    <mergeCell ref="AL109:BA110"/>
    <mergeCell ref="B112:G113"/>
    <mergeCell ref="H112:AP113"/>
    <mergeCell ref="B100:G101"/>
    <mergeCell ref="H100:AP101"/>
    <mergeCell ref="B103:F104"/>
    <mergeCell ref="H103:M104"/>
    <mergeCell ref="O103:AD104"/>
    <mergeCell ref="AE103:AJ104"/>
    <mergeCell ref="AL103:BA104"/>
    <mergeCell ref="H106:M107"/>
    <mergeCell ref="O106:AD107"/>
    <mergeCell ref="AE106:AJ107"/>
    <mergeCell ref="AL106:BA107"/>
    <mergeCell ref="B136:G137"/>
    <mergeCell ref="H136:AP137"/>
    <mergeCell ref="B139:G140"/>
    <mergeCell ref="H139:AP140"/>
    <mergeCell ref="H121:M122"/>
    <mergeCell ref="O121:AD122"/>
    <mergeCell ref="AE121:AJ122"/>
    <mergeCell ref="AL121:BA122"/>
    <mergeCell ref="B115:F116"/>
    <mergeCell ref="H115:M116"/>
    <mergeCell ref="O115:AD116"/>
    <mergeCell ref="AE115:AJ116"/>
    <mergeCell ref="AL115:BA116"/>
    <mergeCell ref="H118:M119"/>
    <mergeCell ref="O118:AD119"/>
    <mergeCell ref="AE118:AJ119"/>
    <mergeCell ref="AL118:BA119"/>
    <mergeCell ref="H130:M131"/>
    <mergeCell ref="O130:AD131"/>
    <mergeCell ref="AE130:AJ131"/>
    <mergeCell ref="AL130:BA131"/>
    <mergeCell ref="H133:M134"/>
    <mergeCell ref="O133:AD134"/>
    <mergeCell ref="AE133:AJ134"/>
    <mergeCell ref="H157:M158"/>
    <mergeCell ref="O157:AD158"/>
    <mergeCell ref="AE157:AJ158"/>
    <mergeCell ref="AL157:BA158"/>
    <mergeCell ref="H145:M146"/>
    <mergeCell ref="O145:AD146"/>
    <mergeCell ref="AE145:AJ146"/>
    <mergeCell ref="AL145:BA146"/>
    <mergeCell ref="H148:M149"/>
    <mergeCell ref="O148:AD149"/>
    <mergeCell ref="AE148:AJ149"/>
    <mergeCell ref="AL148:BA149"/>
    <mergeCell ref="AE160:AJ161"/>
    <mergeCell ref="AL160:BA161"/>
    <mergeCell ref="B163:G164"/>
    <mergeCell ref="H163:AP164"/>
    <mergeCell ref="B166:F167"/>
    <mergeCell ref="H166:M167"/>
    <mergeCell ref="O166:AD167"/>
    <mergeCell ref="AE166:AJ167"/>
    <mergeCell ref="AL166:BA167"/>
    <mergeCell ref="H160:M161"/>
    <mergeCell ref="O160:AD161"/>
    <mergeCell ref="AL184:BA185"/>
    <mergeCell ref="O205:AD206"/>
    <mergeCell ref="AE205:AJ206"/>
    <mergeCell ref="AL205:BA206"/>
    <mergeCell ref="H208:M209"/>
    <mergeCell ref="O208:AD209"/>
    <mergeCell ref="AE208:AJ209"/>
    <mergeCell ref="AL208:BA209"/>
    <mergeCell ref="AL190:BA191"/>
    <mergeCell ref="H193:M194"/>
    <mergeCell ref="O193:AD194"/>
    <mergeCell ref="AE193:AJ194"/>
    <mergeCell ref="AL193:BA194"/>
    <mergeCell ref="H196:M197"/>
    <mergeCell ref="O196:AD197"/>
    <mergeCell ref="AE196:AJ197"/>
    <mergeCell ref="AL196:BA197"/>
    <mergeCell ref="B229:F230"/>
    <mergeCell ref="H229:M230"/>
    <mergeCell ref="O229:AD230"/>
    <mergeCell ref="AE229:AJ230"/>
    <mergeCell ref="AL229:BA230"/>
    <mergeCell ref="H232:M233"/>
    <mergeCell ref="O232:AD233"/>
    <mergeCell ref="AE232:AJ233"/>
    <mergeCell ref="AL232:BA233"/>
    <mergeCell ref="B250:G251"/>
    <mergeCell ref="H250:AP251"/>
    <mergeCell ref="B238:G239"/>
    <mergeCell ref="H238:AP239"/>
    <mergeCell ref="B241:F242"/>
    <mergeCell ref="H241:M242"/>
    <mergeCell ref="O241:AD242"/>
    <mergeCell ref="AE241:AJ242"/>
    <mergeCell ref="AL241:BA242"/>
    <mergeCell ref="B253:F254"/>
    <mergeCell ref="H253:M254"/>
    <mergeCell ref="O253:AD254"/>
    <mergeCell ref="AE253:AJ254"/>
    <mergeCell ref="AL253:BA254"/>
    <mergeCell ref="H256:M257"/>
    <mergeCell ref="O256:AD257"/>
    <mergeCell ref="AE256:AJ257"/>
    <mergeCell ref="AL256:BA257"/>
    <mergeCell ref="B262:G263"/>
    <mergeCell ref="H262:AP263"/>
    <mergeCell ref="B265:G266"/>
    <mergeCell ref="H265:AP266"/>
    <mergeCell ref="B268:F269"/>
    <mergeCell ref="H268:M269"/>
    <mergeCell ref="O268:AD269"/>
    <mergeCell ref="AE268:AJ269"/>
    <mergeCell ref="AL268:BA269"/>
    <mergeCell ref="H307:M308"/>
    <mergeCell ref="O307:AD308"/>
    <mergeCell ref="AE307:AJ308"/>
    <mergeCell ref="AL307:BA308"/>
    <mergeCell ref="H298:M299"/>
    <mergeCell ref="O298:AD299"/>
    <mergeCell ref="AE298:AJ299"/>
    <mergeCell ref="AL298:BA299"/>
    <mergeCell ref="H322:M323"/>
    <mergeCell ref="O322:AD323"/>
    <mergeCell ref="AE322:AJ323"/>
    <mergeCell ref="AL322:BA323"/>
    <mergeCell ref="O316:AD317"/>
    <mergeCell ref="AE316:AJ317"/>
    <mergeCell ref="AL316:BA317"/>
    <mergeCell ref="H319:M320"/>
    <mergeCell ref="O319:AD320"/>
    <mergeCell ref="AE319:AJ320"/>
    <mergeCell ref="AL319:BA320"/>
    <mergeCell ref="B379:F380"/>
    <mergeCell ref="H379:M380"/>
    <mergeCell ref="O379:AD380"/>
    <mergeCell ref="AE379:AJ380"/>
    <mergeCell ref="AL379:BA380"/>
    <mergeCell ref="O367:AD368"/>
    <mergeCell ref="AE367:AJ368"/>
    <mergeCell ref="AL367:BA368"/>
    <mergeCell ref="H370:M371"/>
    <mergeCell ref="O370:AD371"/>
    <mergeCell ref="AE370:AJ371"/>
    <mergeCell ref="AL370:BA371"/>
    <mergeCell ref="AE382:AJ383"/>
    <mergeCell ref="AL382:BA383"/>
    <mergeCell ref="H385:M386"/>
    <mergeCell ref="O385:AD386"/>
    <mergeCell ref="AE385:AJ386"/>
    <mergeCell ref="AL385:BA386"/>
    <mergeCell ref="AE373:AJ374"/>
    <mergeCell ref="AL373:BA374"/>
    <mergeCell ref="H376:AP377"/>
    <mergeCell ref="O355:AD356"/>
    <mergeCell ref="AE355:AJ356"/>
    <mergeCell ref="AL355:BA356"/>
    <mergeCell ref="H358:M359"/>
    <mergeCell ref="O358:AD359"/>
    <mergeCell ref="AE358:AJ359"/>
    <mergeCell ref="AL358:BA359"/>
    <mergeCell ref="AL343:BA344"/>
    <mergeCell ref="H346:M347"/>
    <mergeCell ref="O346:AD347"/>
    <mergeCell ref="AE346:AJ347"/>
    <mergeCell ref="AL346:BA347"/>
    <mergeCell ref="H349:M350"/>
    <mergeCell ref="O349:AD350"/>
    <mergeCell ref="AE349:AJ350"/>
    <mergeCell ref="AL349:BA350"/>
  </mergeCells>
  <conditionalFormatting sqref="Q50">
    <cfRule type="cellIs" dxfId="2619" priority="2262" stopIfTrue="1" operator="equal">
      <formula>"x"</formula>
    </cfRule>
  </conditionalFormatting>
  <conditionalFormatting sqref="Q16:BA19">
    <cfRule type="cellIs" dxfId="2618" priority="2301" stopIfTrue="1" operator="greaterThan">
      <formula>$N$12</formula>
    </cfRule>
  </conditionalFormatting>
  <conditionalFormatting sqref="Q20">
    <cfRule type="expression" dxfId="2617" priority="2300" stopIfTrue="1">
      <formula>Q16&gt;$N$12</formula>
    </cfRule>
  </conditionalFormatting>
  <conditionalFormatting sqref="R20">
    <cfRule type="expression" dxfId="2616" priority="2299" stopIfTrue="1">
      <formula>R16&gt;$N$12</formula>
    </cfRule>
  </conditionalFormatting>
  <conditionalFormatting sqref="S20">
    <cfRule type="expression" dxfId="2615" priority="2298" stopIfTrue="1">
      <formula>S16&gt;$N$12</formula>
    </cfRule>
  </conditionalFormatting>
  <conditionalFormatting sqref="T20">
    <cfRule type="expression" dxfId="2614" priority="2297" stopIfTrue="1">
      <formula>T16&gt;$N$12</formula>
    </cfRule>
  </conditionalFormatting>
  <conditionalFormatting sqref="U20">
    <cfRule type="expression" dxfId="2613" priority="2296" stopIfTrue="1">
      <formula>U16&gt;$N$12</formula>
    </cfRule>
  </conditionalFormatting>
  <conditionalFormatting sqref="V20">
    <cfRule type="expression" dxfId="2612" priority="2295" stopIfTrue="1">
      <formula>V16&gt;$N$12</formula>
    </cfRule>
  </conditionalFormatting>
  <conditionalFormatting sqref="W20">
    <cfRule type="expression" dxfId="2611" priority="2294" stopIfTrue="1">
      <formula>W16&gt;$N$12</formula>
    </cfRule>
  </conditionalFormatting>
  <conditionalFormatting sqref="X20">
    <cfRule type="expression" dxfId="2610" priority="2293" stopIfTrue="1">
      <formula>X16&gt;$N$12</formula>
    </cfRule>
  </conditionalFormatting>
  <conditionalFormatting sqref="Y20">
    <cfRule type="expression" dxfId="2609" priority="2292" stopIfTrue="1">
      <formula>Y16&gt;$N$12</formula>
    </cfRule>
  </conditionalFormatting>
  <conditionalFormatting sqref="Z20">
    <cfRule type="expression" dxfId="2608" priority="2291" stopIfTrue="1">
      <formula>Z16&gt;$N$12</formula>
    </cfRule>
  </conditionalFormatting>
  <conditionalFormatting sqref="AA20">
    <cfRule type="expression" dxfId="2607" priority="2290" stopIfTrue="1">
      <formula>AA16&gt;$N$12</formula>
    </cfRule>
  </conditionalFormatting>
  <conditionalFormatting sqref="AB20">
    <cfRule type="expression" dxfId="2606" priority="2289" stopIfTrue="1">
      <formula>AB16&gt;$N$12</formula>
    </cfRule>
  </conditionalFormatting>
  <conditionalFormatting sqref="AC20">
    <cfRule type="expression" dxfId="2605" priority="2288" stopIfTrue="1">
      <formula>AC16&gt;$N$12</formula>
    </cfRule>
  </conditionalFormatting>
  <conditionalFormatting sqref="AD20">
    <cfRule type="expression" dxfId="2604" priority="2287" stopIfTrue="1">
      <formula>AD16&gt;$N$12</formula>
    </cfRule>
  </conditionalFormatting>
  <conditionalFormatting sqref="AE20">
    <cfRule type="expression" dxfId="2603" priority="2286" stopIfTrue="1">
      <formula>AE16&gt;$N$12</formula>
    </cfRule>
  </conditionalFormatting>
  <conditionalFormatting sqref="AF20">
    <cfRule type="expression" dxfId="2602" priority="2285" stopIfTrue="1">
      <formula>AF16&gt;$N$12</formula>
    </cfRule>
  </conditionalFormatting>
  <conditionalFormatting sqref="AG20">
    <cfRule type="expression" dxfId="2601" priority="2284" stopIfTrue="1">
      <formula>AG16&gt;$N$12</formula>
    </cfRule>
  </conditionalFormatting>
  <conditionalFormatting sqref="AH20">
    <cfRule type="expression" dxfId="2600" priority="2283" stopIfTrue="1">
      <formula>AH16&gt;$N$12</formula>
    </cfRule>
  </conditionalFormatting>
  <conditionalFormatting sqref="AI20">
    <cfRule type="expression" dxfId="2599" priority="2282" stopIfTrue="1">
      <formula>AI16&gt;$N$12</formula>
    </cfRule>
  </conditionalFormatting>
  <conditionalFormatting sqref="AJ20">
    <cfRule type="expression" dxfId="2598" priority="2281" stopIfTrue="1">
      <formula>AJ16&gt;$N$12</formula>
    </cfRule>
  </conditionalFormatting>
  <conditionalFormatting sqref="AK20">
    <cfRule type="expression" dxfId="2597" priority="2280" stopIfTrue="1">
      <formula>AK16&gt;$N$12</formula>
    </cfRule>
  </conditionalFormatting>
  <conditionalFormatting sqref="AL20">
    <cfRule type="expression" dxfId="2596" priority="2279" stopIfTrue="1">
      <formula>AL16&gt;$N$12</formula>
    </cfRule>
  </conditionalFormatting>
  <conditionalFormatting sqref="AM20">
    <cfRule type="expression" dxfId="2595" priority="2278" stopIfTrue="1">
      <formula>AM16&gt;$N$12</formula>
    </cfRule>
  </conditionalFormatting>
  <conditionalFormatting sqref="AN20">
    <cfRule type="expression" dxfId="2594" priority="2277" stopIfTrue="1">
      <formula>AN16&gt;$N$12</formula>
    </cfRule>
  </conditionalFormatting>
  <conditionalFormatting sqref="AO20">
    <cfRule type="expression" dxfId="2593" priority="2276" stopIfTrue="1">
      <formula>AO16&gt;$N$12</formula>
    </cfRule>
  </conditionalFormatting>
  <conditionalFormatting sqref="AP20">
    <cfRule type="expression" dxfId="2592" priority="2275" stopIfTrue="1">
      <formula>AP16&gt;$N$12</formula>
    </cfRule>
  </conditionalFormatting>
  <conditionalFormatting sqref="AQ20">
    <cfRule type="expression" dxfId="2591" priority="2274" stopIfTrue="1">
      <formula>AQ16&gt;$N$12</formula>
    </cfRule>
  </conditionalFormatting>
  <conditionalFormatting sqref="AR20">
    <cfRule type="expression" dxfId="2590" priority="2273" stopIfTrue="1">
      <formula>AR16&gt;$N$12</formula>
    </cfRule>
  </conditionalFormatting>
  <conditionalFormatting sqref="AS20">
    <cfRule type="expression" dxfId="2589" priority="2272" stopIfTrue="1">
      <formula>AS16&gt;$N$12</formula>
    </cfRule>
  </conditionalFormatting>
  <conditionalFormatting sqref="AT20">
    <cfRule type="expression" dxfId="2588" priority="2271" stopIfTrue="1">
      <formula>AT16&gt;$N$12</formula>
    </cfRule>
  </conditionalFormatting>
  <conditionalFormatting sqref="AU20">
    <cfRule type="expression" dxfId="2587" priority="2270" stopIfTrue="1">
      <formula>AU16&gt;$N$12</formula>
    </cfRule>
  </conditionalFormatting>
  <conditionalFormatting sqref="AV20">
    <cfRule type="expression" dxfId="2586" priority="2269" stopIfTrue="1">
      <formula>AV16&gt;$N$12</formula>
    </cfRule>
  </conditionalFormatting>
  <conditionalFormatting sqref="AW20">
    <cfRule type="expression" dxfId="2585" priority="2268" stopIfTrue="1">
      <formula>AW16&gt;$N$12</formula>
    </cfRule>
  </conditionalFormatting>
  <conditionalFormatting sqref="AX20">
    <cfRule type="expression" dxfId="2584" priority="2267" stopIfTrue="1">
      <formula>AX16&gt;$N$12</formula>
    </cfRule>
  </conditionalFormatting>
  <conditionalFormatting sqref="AY20">
    <cfRule type="expression" dxfId="2583" priority="2266" stopIfTrue="1">
      <formula>AY16&gt;$N$12</formula>
    </cfRule>
  </conditionalFormatting>
  <conditionalFormatting sqref="AZ20">
    <cfRule type="expression" dxfId="2582" priority="2265" stopIfTrue="1">
      <formula>AZ16&gt;$N$12</formula>
    </cfRule>
  </conditionalFormatting>
  <conditionalFormatting sqref="BA20">
    <cfRule type="expression" dxfId="2581" priority="2264" stopIfTrue="1">
      <formula>BA16&gt;$N$12</formula>
    </cfRule>
  </conditionalFormatting>
  <conditionalFormatting sqref="Z9">
    <cfRule type="cellIs" dxfId="2580" priority="2263" stopIfTrue="1" operator="notEqual">
      <formula>""</formula>
    </cfRule>
  </conditionalFormatting>
  <conditionalFormatting sqref="Q50">
    <cfRule type="expression" dxfId="2579" priority="2303" stopIfTrue="1">
      <formula>B50=""</formula>
    </cfRule>
  </conditionalFormatting>
  <conditionalFormatting sqref="R50">
    <cfRule type="cellIs" dxfId="2578" priority="2260" stopIfTrue="1" operator="equal">
      <formula>"x"</formula>
    </cfRule>
  </conditionalFormatting>
  <conditionalFormatting sqref="R50">
    <cfRule type="expression" dxfId="2577" priority="2261" stopIfTrue="1">
      <formula>B50=""</formula>
    </cfRule>
  </conditionalFormatting>
  <conditionalFormatting sqref="S50">
    <cfRule type="cellIs" dxfId="2576" priority="2258" stopIfTrue="1" operator="equal">
      <formula>"x"</formula>
    </cfRule>
  </conditionalFormatting>
  <conditionalFormatting sqref="S50">
    <cfRule type="expression" dxfId="2575" priority="2259" stopIfTrue="1">
      <formula>B50=""</formula>
    </cfRule>
  </conditionalFormatting>
  <conditionalFormatting sqref="T50">
    <cfRule type="cellIs" dxfId="2574" priority="2256" stopIfTrue="1" operator="equal">
      <formula>"x"</formula>
    </cfRule>
  </conditionalFormatting>
  <conditionalFormatting sqref="T50">
    <cfRule type="expression" dxfId="2573" priority="2257" stopIfTrue="1">
      <formula>B50=""</formula>
    </cfRule>
  </conditionalFormatting>
  <conditionalFormatting sqref="U50">
    <cfRule type="cellIs" dxfId="2572" priority="2254" stopIfTrue="1" operator="equal">
      <formula>"x"</formula>
    </cfRule>
  </conditionalFormatting>
  <conditionalFormatting sqref="U50">
    <cfRule type="expression" dxfId="2571" priority="2255" stopIfTrue="1">
      <formula>B50=""</formula>
    </cfRule>
  </conditionalFormatting>
  <conditionalFormatting sqref="V50">
    <cfRule type="cellIs" dxfId="2570" priority="2252" stopIfTrue="1" operator="equal">
      <formula>"x"</formula>
    </cfRule>
  </conditionalFormatting>
  <conditionalFormatting sqref="V50">
    <cfRule type="expression" dxfId="2569" priority="2253" stopIfTrue="1">
      <formula>B50=""</formula>
    </cfRule>
  </conditionalFormatting>
  <conditionalFormatting sqref="W50">
    <cfRule type="cellIs" dxfId="2568" priority="2250" stopIfTrue="1" operator="equal">
      <formula>"x"</formula>
    </cfRule>
  </conditionalFormatting>
  <conditionalFormatting sqref="W50">
    <cfRule type="expression" dxfId="2567" priority="2251" stopIfTrue="1">
      <formula>B50=""</formula>
    </cfRule>
  </conditionalFormatting>
  <conditionalFormatting sqref="X50">
    <cfRule type="cellIs" dxfId="2566" priority="2248" stopIfTrue="1" operator="equal">
      <formula>"x"</formula>
    </cfRule>
  </conditionalFormatting>
  <conditionalFormatting sqref="X50">
    <cfRule type="expression" dxfId="2565" priority="2249" stopIfTrue="1">
      <formula>B50=""</formula>
    </cfRule>
  </conditionalFormatting>
  <conditionalFormatting sqref="Y50">
    <cfRule type="cellIs" dxfId="2564" priority="2246" stopIfTrue="1" operator="equal">
      <formula>"x"</formula>
    </cfRule>
  </conditionalFormatting>
  <conditionalFormatting sqref="Y50">
    <cfRule type="expression" dxfId="2563" priority="2247" stopIfTrue="1">
      <formula>B50=""</formula>
    </cfRule>
  </conditionalFormatting>
  <conditionalFormatting sqref="Z50">
    <cfRule type="cellIs" dxfId="2562" priority="2244" stopIfTrue="1" operator="equal">
      <formula>"x"</formula>
    </cfRule>
  </conditionalFormatting>
  <conditionalFormatting sqref="Z50">
    <cfRule type="expression" dxfId="2561" priority="2245" stopIfTrue="1">
      <formula>B50=""</formula>
    </cfRule>
  </conditionalFormatting>
  <conditionalFormatting sqref="AA50">
    <cfRule type="cellIs" dxfId="2560" priority="2242" stopIfTrue="1" operator="equal">
      <formula>"x"</formula>
    </cfRule>
  </conditionalFormatting>
  <conditionalFormatting sqref="AA50">
    <cfRule type="expression" dxfId="2559" priority="2243" stopIfTrue="1">
      <formula>B50=""</formula>
    </cfRule>
  </conditionalFormatting>
  <conditionalFormatting sqref="AB50">
    <cfRule type="cellIs" dxfId="2558" priority="2240" stopIfTrue="1" operator="equal">
      <formula>"x"</formula>
    </cfRule>
  </conditionalFormatting>
  <conditionalFormatting sqref="AB50">
    <cfRule type="expression" dxfId="2557" priority="2241" stopIfTrue="1">
      <formula>B50=""</formula>
    </cfRule>
  </conditionalFormatting>
  <conditionalFormatting sqref="AC50">
    <cfRule type="cellIs" dxfId="2556" priority="2238" stopIfTrue="1" operator="equal">
      <formula>"x"</formula>
    </cfRule>
  </conditionalFormatting>
  <conditionalFormatting sqref="AC50">
    <cfRule type="expression" dxfId="2555" priority="2239" stopIfTrue="1">
      <formula>B50=""</formula>
    </cfRule>
  </conditionalFormatting>
  <conditionalFormatting sqref="AD50">
    <cfRule type="cellIs" dxfId="2554" priority="2236" stopIfTrue="1" operator="equal">
      <formula>"x"</formula>
    </cfRule>
  </conditionalFormatting>
  <conditionalFormatting sqref="AD50">
    <cfRule type="expression" dxfId="2553" priority="2237" stopIfTrue="1">
      <formula>B50=""</formula>
    </cfRule>
  </conditionalFormatting>
  <conditionalFormatting sqref="AE50">
    <cfRule type="cellIs" dxfId="2552" priority="2234" stopIfTrue="1" operator="equal">
      <formula>"x"</formula>
    </cfRule>
  </conditionalFormatting>
  <conditionalFormatting sqref="AE50">
    <cfRule type="expression" dxfId="2551" priority="2235" stopIfTrue="1">
      <formula>B50=""</formula>
    </cfRule>
  </conditionalFormatting>
  <conditionalFormatting sqref="AF50">
    <cfRule type="cellIs" dxfId="2550" priority="2232" stopIfTrue="1" operator="equal">
      <formula>"x"</formula>
    </cfRule>
  </conditionalFormatting>
  <conditionalFormatting sqref="AF50">
    <cfRule type="expression" dxfId="2549" priority="2233" stopIfTrue="1">
      <formula>B50=""</formula>
    </cfRule>
  </conditionalFormatting>
  <conditionalFormatting sqref="AG50">
    <cfRule type="cellIs" dxfId="2548" priority="2230" stopIfTrue="1" operator="equal">
      <formula>"x"</formula>
    </cfRule>
  </conditionalFormatting>
  <conditionalFormatting sqref="AG50">
    <cfRule type="expression" dxfId="2547" priority="2231" stopIfTrue="1">
      <formula>B50=""</formula>
    </cfRule>
  </conditionalFormatting>
  <conditionalFormatting sqref="AH50">
    <cfRule type="cellIs" dxfId="2546" priority="2228" stopIfTrue="1" operator="equal">
      <formula>"x"</formula>
    </cfRule>
  </conditionalFormatting>
  <conditionalFormatting sqref="AH50">
    <cfRule type="expression" dxfId="2545" priority="2229" stopIfTrue="1">
      <formula>B50=""</formula>
    </cfRule>
  </conditionalFormatting>
  <conditionalFormatting sqref="AI50">
    <cfRule type="cellIs" dxfId="2544" priority="2226" stopIfTrue="1" operator="equal">
      <formula>"x"</formula>
    </cfRule>
  </conditionalFormatting>
  <conditionalFormatting sqref="AI50">
    <cfRule type="expression" dxfId="2543" priority="2227" stopIfTrue="1">
      <formula>B50=""</formula>
    </cfRule>
  </conditionalFormatting>
  <conditionalFormatting sqref="AJ50">
    <cfRule type="cellIs" dxfId="2542" priority="2224" stopIfTrue="1" operator="equal">
      <formula>"x"</formula>
    </cfRule>
  </conditionalFormatting>
  <conditionalFormatting sqref="AJ50">
    <cfRule type="expression" dxfId="2541" priority="2225" stopIfTrue="1">
      <formula>B50=""</formula>
    </cfRule>
  </conditionalFormatting>
  <conditionalFormatting sqref="AK50">
    <cfRule type="cellIs" dxfId="2540" priority="2222" stopIfTrue="1" operator="equal">
      <formula>"x"</formula>
    </cfRule>
  </conditionalFormatting>
  <conditionalFormatting sqref="AK50">
    <cfRule type="expression" dxfId="2539" priority="2223" stopIfTrue="1">
      <formula>B50=""</formula>
    </cfRule>
  </conditionalFormatting>
  <conditionalFormatting sqref="AL50">
    <cfRule type="cellIs" dxfId="2538" priority="2220" stopIfTrue="1" operator="equal">
      <formula>"x"</formula>
    </cfRule>
  </conditionalFormatting>
  <conditionalFormatting sqref="AL50">
    <cfRule type="expression" dxfId="2537" priority="2221" stopIfTrue="1">
      <formula>B50=""</formula>
    </cfRule>
  </conditionalFormatting>
  <conditionalFormatting sqref="AM50">
    <cfRule type="cellIs" dxfId="2536" priority="2218" stopIfTrue="1" operator="equal">
      <formula>"x"</formula>
    </cfRule>
  </conditionalFormatting>
  <conditionalFormatting sqref="AM50">
    <cfRule type="expression" dxfId="2535" priority="2219" stopIfTrue="1">
      <formula>B50=""</formula>
    </cfRule>
  </conditionalFormatting>
  <conditionalFormatting sqref="AN50">
    <cfRule type="cellIs" dxfId="2534" priority="2216" stopIfTrue="1" operator="equal">
      <formula>"x"</formula>
    </cfRule>
  </conditionalFormatting>
  <conditionalFormatting sqref="AN50">
    <cfRule type="expression" dxfId="2533" priority="2217" stopIfTrue="1">
      <formula>B50=""</formula>
    </cfRule>
  </conditionalFormatting>
  <conditionalFormatting sqref="AO50">
    <cfRule type="cellIs" dxfId="2532" priority="2214" stopIfTrue="1" operator="equal">
      <formula>"x"</formula>
    </cfRule>
  </conditionalFormatting>
  <conditionalFormatting sqref="AO50">
    <cfRule type="expression" dxfId="2531" priority="2215" stopIfTrue="1">
      <formula>B50=""</formula>
    </cfRule>
  </conditionalFormatting>
  <conditionalFormatting sqref="AP50">
    <cfRule type="cellIs" dxfId="2530" priority="2212" stopIfTrue="1" operator="equal">
      <formula>"x"</formula>
    </cfRule>
  </conditionalFormatting>
  <conditionalFormatting sqref="AP50">
    <cfRule type="expression" dxfId="2529" priority="2213" stopIfTrue="1">
      <formula>B50=""</formula>
    </cfRule>
  </conditionalFormatting>
  <conditionalFormatting sqref="AQ50">
    <cfRule type="cellIs" dxfId="2528" priority="2210" stopIfTrue="1" operator="equal">
      <formula>"x"</formula>
    </cfRule>
  </conditionalFormatting>
  <conditionalFormatting sqref="AQ50">
    <cfRule type="expression" dxfId="2527" priority="2211" stopIfTrue="1">
      <formula>B50=""</formula>
    </cfRule>
  </conditionalFormatting>
  <conditionalFormatting sqref="AR50">
    <cfRule type="cellIs" dxfId="2526" priority="2208" stopIfTrue="1" operator="equal">
      <formula>"x"</formula>
    </cfRule>
  </conditionalFormatting>
  <conditionalFormatting sqref="AR50">
    <cfRule type="expression" dxfId="2525" priority="2209" stopIfTrue="1">
      <formula>B50=""</formula>
    </cfRule>
  </conditionalFormatting>
  <conditionalFormatting sqref="AS50">
    <cfRule type="cellIs" dxfId="2524" priority="2206" stopIfTrue="1" operator="equal">
      <formula>"x"</formula>
    </cfRule>
  </conditionalFormatting>
  <conditionalFormatting sqref="AS50">
    <cfRule type="expression" dxfId="2523" priority="2207" stopIfTrue="1">
      <formula>B50=""</formula>
    </cfRule>
  </conditionalFormatting>
  <conditionalFormatting sqref="AT50">
    <cfRule type="cellIs" dxfId="2522" priority="2204" stopIfTrue="1" operator="equal">
      <formula>"x"</formula>
    </cfRule>
  </conditionalFormatting>
  <conditionalFormatting sqref="AT50">
    <cfRule type="expression" dxfId="2521" priority="2205" stopIfTrue="1">
      <formula>B50=""</formula>
    </cfRule>
  </conditionalFormatting>
  <conditionalFormatting sqref="AU50">
    <cfRule type="cellIs" dxfId="2520" priority="2202" stopIfTrue="1" operator="equal">
      <formula>"x"</formula>
    </cfRule>
  </conditionalFormatting>
  <conditionalFormatting sqref="AU50">
    <cfRule type="expression" dxfId="2519" priority="2203" stopIfTrue="1">
      <formula>B50=""</formula>
    </cfRule>
  </conditionalFormatting>
  <conditionalFormatting sqref="AV50">
    <cfRule type="cellIs" dxfId="2518" priority="2200" stopIfTrue="1" operator="equal">
      <formula>"x"</formula>
    </cfRule>
  </conditionalFormatting>
  <conditionalFormatting sqref="AV50">
    <cfRule type="expression" dxfId="2517" priority="2201" stopIfTrue="1">
      <formula>B50=""</formula>
    </cfRule>
  </conditionalFormatting>
  <conditionalFormatting sqref="AW50">
    <cfRule type="cellIs" dxfId="2516" priority="2198" stopIfTrue="1" operator="equal">
      <formula>"x"</formula>
    </cfRule>
  </conditionalFormatting>
  <conditionalFormatting sqref="AW50">
    <cfRule type="expression" dxfId="2515" priority="2199" stopIfTrue="1">
      <formula>B50=""</formula>
    </cfRule>
  </conditionalFormatting>
  <conditionalFormatting sqref="AX50">
    <cfRule type="cellIs" dxfId="2514" priority="2196" stopIfTrue="1" operator="equal">
      <formula>"x"</formula>
    </cfRule>
  </conditionalFormatting>
  <conditionalFormatting sqref="AX50">
    <cfRule type="expression" dxfId="2513" priority="2197" stopIfTrue="1">
      <formula>B50=""</formula>
    </cfRule>
  </conditionalFormatting>
  <conditionalFormatting sqref="AY50">
    <cfRule type="cellIs" dxfId="2512" priority="2194" stopIfTrue="1" operator="equal">
      <formula>"x"</formula>
    </cfRule>
  </conditionalFormatting>
  <conditionalFormatting sqref="AY50">
    <cfRule type="expression" dxfId="2511" priority="2195" stopIfTrue="1">
      <formula>B50=""</formula>
    </cfRule>
  </conditionalFormatting>
  <conditionalFormatting sqref="AZ50">
    <cfRule type="cellIs" dxfId="2510" priority="2192" stopIfTrue="1" operator="equal">
      <formula>"x"</formula>
    </cfRule>
  </conditionalFormatting>
  <conditionalFormatting sqref="AZ50">
    <cfRule type="expression" dxfId="2509" priority="2193" stopIfTrue="1">
      <formula>B50=""</formula>
    </cfRule>
  </conditionalFormatting>
  <conditionalFormatting sqref="BA50">
    <cfRule type="cellIs" dxfId="2508" priority="2190" stopIfTrue="1" operator="equal">
      <formula>"x"</formula>
    </cfRule>
  </conditionalFormatting>
  <conditionalFormatting sqref="BA50">
    <cfRule type="expression" dxfId="2507" priority="2191" stopIfTrue="1">
      <formula>B50=""</formula>
    </cfRule>
  </conditionalFormatting>
  <conditionalFormatting sqref="Q49">
    <cfRule type="cellIs" dxfId="2506" priority="2188" stopIfTrue="1" operator="equal">
      <formula>"x"</formula>
    </cfRule>
  </conditionalFormatting>
  <conditionalFormatting sqref="Q49">
    <cfRule type="expression" dxfId="2505" priority="2189" stopIfTrue="1">
      <formula>B49=""</formula>
    </cfRule>
  </conditionalFormatting>
  <conditionalFormatting sqref="R49">
    <cfRule type="cellIs" dxfId="2504" priority="2186" stopIfTrue="1" operator="equal">
      <formula>"x"</formula>
    </cfRule>
  </conditionalFormatting>
  <conditionalFormatting sqref="R49">
    <cfRule type="expression" dxfId="2503" priority="2187" stopIfTrue="1">
      <formula>B49=""</formula>
    </cfRule>
  </conditionalFormatting>
  <conditionalFormatting sqref="S49">
    <cfRule type="cellIs" dxfId="2502" priority="2184" stopIfTrue="1" operator="equal">
      <formula>"x"</formula>
    </cfRule>
  </conditionalFormatting>
  <conditionalFormatting sqref="S49">
    <cfRule type="expression" dxfId="2501" priority="2185" stopIfTrue="1">
      <formula>B49=""</formula>
    </cfRule>
  </conditionalFormatting>
  <conditionalFormatting sqref="T49">
    <cfRule type="cellIs" dxfId="2500" priority="2182" stopIfTrue="1" operator="equal">
      <formula>"x"</formula>
    </cfRule>
  </conditionalFormatting>
  <conditionalFormatting sqref="T49">
    <cfRule type="expression" dxfId="2499" priority="2183" stopIfTrue="1">
      <formula>B49=""</formula>
    </cfRule>
  </conditionalFormatting>
  <conditionalFormatting sqref="U49">
    <cfRule type="cellIs" dxfId="2498" priority="2180" stopIfTrue="1" operator="equal">
      <formula>"x"</formula>
    </cfRule>
  </conditionalFormatting>
  <conditionalFormatting sqref="U49">
    <cfRule type="expression" dxfId="2497" priority="2181" stopIfTrue="1">
      <formula>B49=""</formula>
    </cfRule>
  </conditionalFormatting>
  <conditionalFormatting sqref="V49">
    <cfRule type="cellIs" dxfId="2496" priority="2178" stopIfTrue="1" operator="equal">
      <formula>"x"</formula>
    </cfRule>
  </conditionalFormatting>
  <conditionalFormatting sqref="V49">
    <cfRule type="expression" dxfId="2495" priority="2179" stopIfTrue="1">
      <formula>B49=""</formula>
    </cfRule>
  </conditionalFormatting>
  <conditionalFormatting sqref="W49">
    <cfRule type="cellIs" dxfId="2494" priority="2176" stopIfTrue="1" operator="equal">
      <formula>"x"</formula>
    </cfRule>
  </conditionalFormatting>
  <conditionalFormatting sqref="W49">
    <cfRule type="expression" dxfId="2493" priority="2177" stopIfTrue="1">
      <formula>B49=""</formula>
    </cfRule>
  </conditionalFormatting>
  <conditionalFormatting sqref="X49">
    <cfRule type="cellIs" dxfId="2492" priority="2174" stopIfTrue="1" operator="equal">
      <formula>"x"</formula>
    </cfRule>
  </conditionalFormatting>
  <conditionalFormatting sqref="X49">
    <cfRule type="expression" dxfId="2491" priority="2175" stopIfTrue="1">
      <formula>B49=""</formula>
    </cfRule>
  </conditionalFormatting>
  <conditionalFormatting sqref="Y49">
    <cfRule type="cellIs" dxfId="2490" priority="2172" stopIfTrue="1" operator="equal">
      <formula>"x"</formula>
    </cfRule>
  </conditionalFormatting>
  <conditionalFormatting sqref="Y49">
    <cfRule type="expression" dxfId="2489" priority="2173" stopIfTrue="1">
      <formula>B49=""</formula>
    </cfRule>
  </conditionalFormatting>
  <conditionalFormatting sqref="Z49">
    <cfRule type="cellIs" dxfId="2488" priority="2170" stopIfTrue="1" operator="equal">
      <formula>"x"</formula>
    </cfRule>
  </conditionalFormatting>
  <conditionalFormatting sqref="Z49">
    <cfRule type="expression" dxfId="2487" priority="2171" stopIfTrue="1">
      <formula>B49=""</formula>
    </cfRule>
  </conditionalFormatting>
  <conditionalFormatting sqref="AA49">
    <cfRule type="cellIs" dxfId="2486" priority="2168" stopIfTrue="1" operator="equal">
      <formula>"x"</formula>
    </cfRule>
  </conditionalFormatting>
  <conditionalFormatting sqref="AA49">
    <cfRule type="expression" dxfId="2485" priority="2169" stopIfTrue="1">
      <formula>B49=""</formula>
    </cfRule>
  </conditionalFormatting>
  <conditionalFormatting sqref="AB49">
    <cfRule type="cellIs" dxfId="2484" priority="2166" stopIfTrue="1" operator="equal">
      <formula>"x"</formula>
    </cfRule>
  </conditionalFormatting>
  <conditionalFormatting sqref="AB49">
    <cfRule type="expression" dxfId="2483" priority="2167" stopIfTrue="1">
      <formula>B49=""</formula>
    </cfRule>
  </conditionalFormatting>
  <conditionalFormatting sqref="AC49">
    <cfRule type="cellIs" dxfId="2482" priority="2164" stopIfTrue="1" operator="equal">
      <formula>"x"</formula>
    </cfRule>
  </conditionalFormatting>
  <conditionalFormatting sqref="AC49">
    <cfRule type="expression" dxfId="2481" priority="2165" stopIfTrue="1">
      <formula>B49=""</formula>
    </cfRule>
  </conditionalFormatting>
  <conditionalFormatting sqref="AD49">
    <cfRule type="cellIs" dxfId="2480" priority="2162" stopIfTrue="1" operator="equal">
      <formula>"x"</formula>
    </cfRule>
  </conditionalFormatting>
  <conditionalFormatting sqref="AD49">
    <cfRule type="expression" dxfId="2479" priority="2163" stopIfTrue="1">
      <formula>B49=""</formula>
    </cfRule>
  </conditionalFormatting>
  <conditionalFormatting sqref="AE49">
    <cfRule type="cellIs" dxfId="2478" priority="2160" stopIfTrue="1" operator="equal">
      <formula>"x"</formula>
    </cfRule>
  </conditionalFormatting>
  <conditionalFormatting sqref="AE49">
    <cfRule type="expression" dxfId="2477" priority="2161" stopIfTrue="1">
      <formula>B49=""</formula>
    </cfRule>
  </conditionalFormatting>
  <conditionalFormatting sqref="AF49">
    <cfRule type="cellIs" dxfId="2476" priority="2158" stopIfTrue="1" operator="equal">
      <formula>"x"</formula>
    </cfRule>
  </conditionalFormatting>
  <conditionalFormatting sqref="AF49">
    <cfRule type="expression" dxfId="2475" priority="2159" stopIfTrue="1">
      <formula>B49=""</formula>
    </cfRule>
  </conditionalFormatting>
  <conditionalFormatting sqref="AG49">
    <cfRule type="cellIs" dxfId="2474" priority="2156" stopIfTrue="1" operator="equal">
      <formula>"x"</formula>
    </cfRule>
  </conditionalFormatting>
  <conditionalFormatting sqref="AG49">
    <cfRule type="expression" dxfId="2473" priority="2157" stopIfTrue="1">
      <formula>B49=""</formula>
    </cfRule>
  </conditionalFormatting>
  <conditionalFormatting sqref="AH49">
    <cfRule type="cellIs" dxfId="2472" priority="2154" stopIfTrue="1" operator="equal">
      <formula>"x"</formula>
    </cfRule>
  </conditionalFormatting>
  <conditionalFormatting sqref="AH49">
    <cfRule type="expression" dxfId="2471" priority="2155" stopIfTrue="1">
      <formula>B49=""</formula>
    </cfRule>
  </conditionalFormatting>
  <conditionalFormatting sqref="AI49">
    <cfRule type="cellIs" dxfId="2470" priority="2152" stopIfTrue="1" operator="equal">
      <formula>"x"</formula>
    </cfRule>
  </conditionalFormatting>
  <conditionalFormatting sqref="AI49">
    <cfRule type="expression" dxfId="2469" priority="2153" stopIfTrue="1">
      <formula>B49=""</formula>
    </cfRule>
  </conditionalFormatting>
  <conditionalFormatting sqref="AJ49">
    <cfRule type="cellIs" dxfId="2468" priority="2150" stopIfTrue="1" operator="equal">
      <formula>"x"</formula>
    </cfRule>
  </conditionalFormatting>
  <conditionalFormatting sqref="AJ49">
    <cfRule type="expression" dxfId="2467" priority="2151" stopIfTrue="1">
      <formula>B49=""</formula>
    </cfRule>
  </conditionalFormatting>
  <conditionalFormatting sqref="AK49">
    <cfRule type="cellIs" dxfId="2466" priority="2148" stopIfTrue="1" operator="equal">
      <formula>"x"</formula>
    </cfRule>
  </conditionalFormatting>
  <conditionalFormatting sqref="AK49">
    <cfRule type="expression" dxfId="2465" priority="2149" stopIfTrue="1">
      <formula>B49=""</formula>
    </cfRule>
  </conditionalFormatting>
  <conditionalFormatting sqref="AL49">
    <cfRule type="cellIs" dxfId="2464" priority="2146" stopIfTrue="1" operator="equal">
      <formula>"x"</formula>
    </cfRule>
  </conditionalFormatting>
  <conditionalFormatting sqref="AL49">
    <cfRule type="expression" dxfId="2463" priority="2147" stopIfTrue="1">
      <formula>B49=""</formula>
    </cfRule>
  </conditionalFormatting>
  <conditionalFormatting sqref="AM49">
    <cfRule type="cellIs" dxfId="2462" priority="2144" stopIfTrue="1" operator="equal">
      <formula>"x"</formula>
    </cfRule>
  </conditionalFormatting>
  <conditionalFormatting sqref="AM49">
    <cfRule type="expression" dxfId="2461" priority="2145" stopIfTrue="1">
      <formula>B49=""</formula>
    </cfRule>
  </conditionalFormatting>
  <conditionalFormatting sqref="AN49">
    <cfRule type="cellIs" dxfId="2460" priority="2142" stopIfTrue="1" operator="equal">
      <formula>"x"</formula>
    </cfRule>
  </conditionalFormatting>
  <conditionalFormatting sqref="AN49">
    <cfRule type="expression" dxfId="2459" priority="2143" stopIfTrue="1">
      <formula>B49=""</formula>
    </cfRule>
  </conditionalFormatting>
  <conditionalFormatting sqref="AO49">
    <cfRule type="cellIs" dxfId="2458" priority="2140" stopIfTrue="1" operator="equal">
      <formula>"x"</formula>
    </cfRule>
  </conditionalFormatting>
  <conditionalFormatting sqref="AO49">
    <cfRule type="expression" dxfId="2457" priority="2141" stopIfTrue="1">
      <formula>B49=""</formula>
    </cfRule>
  </conditionalFormatting>
  <conditionalFormatting sqref="AP49">
    <cfRule type="cellIs" dxfId="2456" priority="2138" stopIfTrue="1" operator="equal">
      <formula>"x"</formula>
    </cfRule>
  </conditionalFormatting>
  <conditionalFormatting sqref="AP49">
    <cfRule type="expression" dxfId="2455" priority="2139" stopIfTrue="1">
      <formula>B49=""</formula>
    </cfRule>
  </conditionalFormatting>
  <conditionalFormatting sqref="AQ49">
    <cfRule type="cellIs" dxfId="2454" priority="2136" stopIfTrue="1" operator="equal">
      <formula>"x"</formula>
    </cfRule>
  </conditionalFormatting>
  <conditionalFormatting sqref="AQ49">
    <cfRule type="expression" dxfId="2453" priority="2137" stopIfTrue="1">
      <formula>B49=""</formula>
    </cfRule>
  </conditionalFormatting>
  <conditionalFormatting sqref="AR49">
    <cfRule type="cellIs" dxfId="2452" priority="2134" stopIfTrue="1" operator="equal">
      <formula>"x"</formula>
    </cfRule>
  </conditionalFormatting>
  <conditionalFormatting sqref="AR49">
    <cfRule type="expression" dxfId="2451" priority="2135" stopIfTrue="1">
      <formula>B49=""</formula>
    </cfRule>
  </conditionalFormatting>
  <conditionalFormatting sqref="AS49">
    <cfRule type="cellIs" dxfId="2450" priority="2132" stopIfTrue="1" operator="equal">
      <formula>"x"</formula>
    </cfRule>
  </conditionalFormatting>
  <conditionalFormatting sqref="AS49">
    <cfRule type="expression" dxfId="2449" priority="2133" stopIfTrue="1">
      <formula>B49=""</formula>
    </cfRule>
  </conditionalFormatting>
  <conditionalFormatting sqref="AT49">
    <cfRule type="cellIs" dxfId="2448" priority="2130" stopIfTrue="1" operator="equal">
      <formula>"x"</formula>
    </cfRule>
  </conditionalFormatting>
  <conditionalFormatting sqref="AT49">
    <cfRule type="expression" dxfId="2447" priority="2131" stopIfTrue="1">
      <formula>B49=""</formula>
    </cfRule>
  </conditionalFormatting>
  <conditionalFormatting sqref="AU49">
    <cfRule type="cellIs" dxfId="2446" priority="2128" stopIfTrue="1" operator="equal">
      <formula>"x"</formula>
    </cfRule>
  </conditionalFormatting>
  <conditionalFormatting sqref="AU49">
    <cfRule type="expression" dxfId="2445" priority="2129" stopIfTrue="1">
      <formula>B49=""</formula>
    </cfRule>
  </conditionalFormatting>
  <conditionalFormatting sqref="AV49">
    <cfRule type="cellIs" dxfId="2444" priority="2126" stopIfTrue="1" operator="equal">
      <formula>"x"</formula>
    </cfRule>
  </conditionalFormatting>
  <conditionalFormatting sqref="AV49">
    <cfRule type="expression" dxfId="2443" priority="2127" stopIfTrue="1">
      <formula>B49=""</formula>
    </cfRule>
  </conditionalFormatting>
  <conditionalFormatting sqref="AW49">
    <cfRule type="cellIs" dxfId="2442" priority="2124" stopIfTrue="1" operator="equal">
      <formula>"x"</formula>
    </cfRule>
  </conditionalFormatting>
  <conditionalFormatting sqref="AW49">
    <cfRule type="expression" dxfId="2441" priority="2125" stopIfTrue="1">
      <formula>B49=""</formula>
    </cfRule>
  </conditionalFormatting>
  <conditionalFormatting sqref="AX49">
    <cfRule type="cellIs" dxfId="2440" priority="2122" stopIfTrue="1" operator="equal">
      <formula>"x"</formula>
    </cfRule>
  </conditionalFormatting>
  <conditionalFormatting sqref="AX49">
    <cfRule type="expression" dxfId="2439" priority="2123" stopIfTrue="1">
      <formula>B49=""</formula>
    </cfRule>
  </conditionalFormatting>
  <conditionalFormatting sqref="AY49">
    <cfRule type="cellIs" dxfId="2438" priority="2120" stopIfTrue="1" operator="equal">
      <formula>"x"</formula>
    </cfRule>
  </conditionalFormatting>
  <conditionalFormatting sqref="AY49">
    <cfRule type="expression" dxfId="2437" priority="2121" stopIfTrue="1">
      <formula>B49=""</formula>
    </cfRule>
  </conditionalFormatting>
  <conditionalFormatting sqref="AZ49">
    <cfRule type="cellIs" dxfId="2436" priority="2118" stopIfTrue="1" operator="equal">
      <formula>"x"</formula>
    </cfRule>
  </conditionalFormatting>
  <conditionalFormatting sqref="AZ49">
    <cfRule type="expression" dxfId="2435" priority="2119" stopIfTrue="1">
      <formula>B49=""</formula>
    </cfRule>
  </conditionalFormatting>
  <conditionalFormatting sqref="BA49">
    <cfRule type="cellIs" dxfId="2434" priority="2116" stopIfTrue="1" operator="equal">
      <formula>"x"</formula>
    </cfRule>
  </conditionalFormatting>
  <conditionalFormatting sqref="BA49">
    <cfRule type="expression" dxfId="2433" priority="2117" stopIfTrue="1">
      <formula>B49=""</formula>
    </cfRule>
  </conditionalFormatting>
  <conditionalFormatting sqref="Q48">
    <cfRule type="cellIs" dxfId="2432" priority="2114" stopIfTrue="1" operator="equal">
      <formula>"x"</formula>
    </cfRule>
  </conditionalFormatting>
  <conditionalFormatting sqref="Q48">
    <cfRule type="expression" dxfId="2431" priority="2115" stopIfTrue="1">
      <formula>B48=""</formula>
    </cfRule>
  </conditionalFormatting>
  <conditionalFormatting sqref="R48">
    <cfRule type="cellIs" dxfId="2430" priority="2112" stopIfTrue="1" operator="equal">
      <formula>"x"</formula>
    </cfRule>
  </conditionalFormatting>
  <conditionalFormatting sqref="R48">
    <cfRule type="expression" dxfId="2429" priority="2113" stopIfTrue="1">
      <formula>B48=""</formula>
    </cfRule>
  </conditionalFormatting>
  <conditionalFormatting sqref="S48">
    <cfRule type="cellIs" dxfId="2428" priority="2110" stopIfTrue="1" operator="equal">
      <formula>"x"</formula>
    </cfRule>
  </conditionalFormatting>
  <conditionalFormatting sqref="S48">
    <cfRule type="expression" dxfId="2427" priority="2111" stopIfTrue="1">
      <formula>B48=""</formula>
    </cfRule>
  </conditionalFormatting>
  <conditionalFormatting sqref="T48">
    <cfRule type="cellIs" dxfId="2426" priority="2108" stopIfTrue="1" operator="equal">
      <formula>"x"</formula>
    </cfRule>
  </conditionalFormatting>
  <conditionalFormatting sqref="T48">
    <cfRule type="expression" dxfId="2425" priority="2109" stopIfTrue="1">
      <formula>B48=""</formula>
    </cfRule>
  </conditionalFormatting>
  <conditionalFormatting sqref="U48">
    <cfRule type="cellIs" dxfId="2424" priority="2106" stopIfTrue="1" operator="equal">
      <formula>"x"</formula>
    </cfRule>
  </conditionalFormatting>
  <conditionalFormatting sqref="U48">
    <cfRule type="expression" dxfId="2423" priority="2107" stopIfTrue="1">
      <formula>B48=""</formula>
    </cfRule>
  </conditionalFormatting>
  <conditionalFormatting sqref="V48">
    <cfRule type="cellIs" dxfId="2422" priority="2104" stopIfTrue="1" operator="equal">
      <formula>"x"</formula>
    </cfRule>
  </conditionalFormatting>
  <conditionalFormatting sqref="V48">
    <cfRule type="expression" dxfId="2421" priority="2105" stopIfTrue="1">
      <formula>B48=""</formula>
    </cfRule>
  </conditionalFormatting>
  <conditionalFormatting sqref="W48">
    <cfRule type="cellIs" dxfId="2420" priority="2102" stopIfTrue="1" operator="equal">
      <formula>"x"</formula>
    </cfRule>
  </conditionalFormatting>
  <conditionalFormatting sqref="W48">
    <cfRule type="expression" dxfId="2419" priority="2103" stopIfTrue="1">
      <formula>B48=""</formula>
    </cfRule>
  </conditionalFormatting>
  <conditionalFormatting sqref="X48">
    <cfRule type="cellIs" dxfId="2418" priority="2100" stopIfTrue="1" operator="equal">
      <formula>"x"</formula>
    </cfRule>
  </conditionalFormatting>
  <conditionalFormatting sqref="X48">
    <cfRule type="expression" dxfId="2417" priority="2101" stopIfTrue="1">
      <formula>B48=""</formula>
    </cfRule>
  </conditionalFormatting>
  <conditionalFormatting sqref="Y48">
    <cfRule type="cellIs" dxfId="2416" priority="2098" stopIfTrue="1" operator="equal">
      <formula>"x"</formula>
    </cfRule>
  </conditionalFormatting>
  <conditionalFormatting sqref="Y48">
    <cfRule type="expression" dxfId="2415" priority="2099" stopIfTrue="1">
      <formula>B48=""</formula>
    </cfRule>
  </conditionalFormatting>
  <conditionalFormatting sqref="Z48">
    <cfRule type="cellIs" dxfId="2414" priority="2096" stopIfTrue="1" operator="equal">
      <formula>"x"</formula>
    </cfRule>
  </conditionalFormatting>
  <conditionalFormatting sqref="Z48">
    <cfRule type="expression" dxfId="2413" priority="2097" stopIfTrue="1">
      <formula>B48=""</formula>
    </cfRule>
  </conditionalFormatting>
  <conditionalFormatting sqref="AA48">
    <cfRule type="cellIs" dxfId="2412" priority="2094" stopIfTrue="1" operator="equal">
      <formula>"x"</formula>
    </cfRule>
  </conditionalFormatting>
  <conditionalFormatting sqref="AA48">
    <cfRule type="expression" dxfId="2411" priority="2095" stopIfTrue="1">
      <formula>B48=""</formula>
    </cfRule>
  </conditionalFormatting>
  <conditionalFormatting sqref="AB48">
    <cfRule type="cellIs" dxfId="2410" priority="2092" stopIfTrue="1" operator="equal">
      <formula>"x"</formula>
    </cfRule>
  </conditionalFormatting>
  <conditionalFormatting sqref="AB48">
    <cfRule type="expression" dxfId="2409" priority="2093" stopIfTrue="1">
      <formula>B48=""</formula>
    </cfRule>
  </conditionalFormatting>
  <conditionalFormatting sqref="AC48">
    <cfRule type="cellIs" dxfId="2408" priority="2090" stopIfTrue="1" operator="equal">
      <formula>"x"</formula>
    </cfRule>
  </conditionalFormatting>
  <conditionalFormatting sqref="AC48">
    <cfRule type="expression" dxfId="2407" priority="2091" stopIfTrue="1">
      <formula>B48=""</formula>
    </cfRule>
  </conditionalFormatting>
  <conditionalFormatting sqref="AD48">
    <cfRule type="cellIs" dxfId="2406" priority="2088" stopIfTrue="1" operator="equal">
      <formula>"x"</formula>
    </cfRule>
  </conditionalFormatting>
  <conditionalFormatting sqref="AD48">
    <cfRule type="expression" dxfId="2405" priority="2089" stopIfTrue="1">
      <formula>B48=""</formula>
    </cfRule>
  </conditionalFormatting>
  <conditionalFormatting sqref="AE48">
    <cfRule type="cellIs" dxfId="2404" priority="2086" stopIfTrue="1" operator="equal">
      <formula>"x"</formula>
    </cfRule>
  </conditionalFormatting>
  <conditionalFormatting sqref="AE48">
    <cfRule type="expression" dxfId="2403" priority="2087" stopIfTrue="1">
      <formula>B48=""</formula>
    </cfRule>
  </conditionalFormatting>
  <conditionalFormatting sqref="AF48">
    <cfRule type="cellIs" dxfId="2402" priority="2084" stopIfTrue="1" operator="equal">
      <formula>"x"</formula>
    </cfRule>
  </conditionalFormatting>
  <conditionalFormatting sqref="AF48">
    <cfRule type="expression" dxfId="2401" priority="2085" stopIfTrue="1">
      <formula>B48=""</formula>
    </cfRule>
  </conditionalFormatting>
  <conditionalFormatting sqref="AG48">
    <cfRule type="cellIs" dxfId="2400" priority="2082" stopIfTrue="1" operator="equal">
      <formula>"x"</formula>
    </cfRule>
  </conditionalFormatting>
  <conditionalFormatting sqref="AG48">
    <cfRule type="expression" dxfId="2399" priority="2083" stopIfTrue="1">
      <formula>B48=""</formula>
    </cfRule>
  </conditionalFormatting>
  <conditionalFormatting sqref="AH48">
    <cfRule type="cellIs" dxfId="2398" priority="2080" stopIfTrue="1" operator="equal">
      <formula>"x"</formula>
    </cfRule>
  </conditionalFormatting>
  <conditionalFormatting sqref="AH48">
    <cfRule type="expression" dxfId="2397" priority="2081" stopIfTrue="1">
      <formula>B48=""</formula>
    </cfRule>
  </conditionalFormatting>
  <conditionalFormatting sqref="AI48">
    <cfRule type="cellIs" dxfId="2396" priority="2078" stopIfTrue="1" operator="equal">
      <formula>"x"</formula>
    </cfRule>
  </conditionalFormatting>
  <conditionalFormatting sqref="AI48">
    <cfRule type="expression" dxfId="2395" priority="2079" stopIfTrue="1">
      <formula>B48=""</formula>
    </cfRule>
  </conditionalFormatting>
  <conditionalFormatting sqref="AJ48">
    <cfRule type="cellIs" dxfId="2394" priority="2076" stopIfTrue="1" operator="equal">
      <formula>"x"</formula>
    </cfRule>
  </conditionalFormatting>
  <conditionalFormatting sqref="AJ48">
    <cfRule type="expression" dxfId="2393" priority="2077" stopIfTrue="1">
      <formula>B48=""</formula>
    </cfRule>
  </conditionalFormatting>
  <conditionalFormatting sqref="AK48">
    <cfRule type="cellIs" dxfId="2392" priority="2074" stopIfTrue="1" operator="equal">
      <formula>"x"</formula>
    </cfRule>
  </conditionalFormatting>
  <conditionalFormatting sqref="AK48">
    <cfRule type="expression" dxfId="2391" priority="2075" stopIfTrue="1">
      <formula>B48=""</formula>
    </cfRule>
  </conditionalFormatting>
  <conditionalFormatting sqref="AL48">
    <cfRule type="cellIs" dxfId="2390" priority="2072" stopIfTrue="1" operator="equal">
      <formula>"x"</formula>
    </cfRule>
  </conditionalFormatting>
  <conditionalFormatting sqref="AL48">
    <cfRule type="expression" dxfId="2389" priority="2073" stopIfTrue="1">
      <formula>B48=""</formula>
    </cfRule>
  </conditionalFormatting>
  <conditionalFormatting sqref="AM48">
    <cfRule type="cellIs" dxfId="2388" priority="2070" stopIfTrue="1" operator="equal">
      <formula>"x"</formula>
    </cfRule>
  </conditionalFormatting>
  <conditionalFormatting sqref="AM48">
    <cfRule type="expression" dxfId="2387" priority="2071" stopIfTrue="1">
      <formula>B48=""</formula>
    </cfRule>
  </conditionalFormatting>
  <conditionalFormatting sqref="AN48">
    <cfRule type="cellIs" dxfId="2386" priority="2068" stopIfTrue="1" operator="equal">
      <formula>"x"</formula>
    </cfRule>
  </conditionalFormatting>
  <conditionalFormatting sqref="AN48">
    <cfRule type="expression" dxfId="2385" priority="2069" stopIfTrue="1">
      <formula>B48=""</formula>
    </cfRule>
  </conditionalFormatting>
  <conditionalFormatting sqref="AO48">
    <cfRule type="cellIs" dxfId="2384" priority="2066" stopIfTrue="1" operator="equal">
      <formula>"x"</formula>
    </cfRule>
  </conditionalFormatting>
  <conditionalFormatting sqref="AO48">
    <cfRule type="expression" dxfId="2383" priority="2067" stopIfTrue="1">
      <formula>B48=""</formula>
    </cfRule>
  </conditionalFormatting>
  <conditionalFormatting sqref="AP48">
    <cfRule type="cellIs" dxfId="2382" priority="2064" stopIfTrue="1" operator="equal">
      <formula>"x"</formula>
    </cfRule>
  </conditionalFormatting>
  <conditionalFormatting sqref="AP48">
    <cfRule type="expression" dxfId="2381" priority="2065" stopIfTrue="1">
      <formula>B48=""</formula>
    </cfRule>
  </conditionalFormatting>
  <conditionalFormatting sqref="AQ48">
    <cfRule type="cellIs" dxfId="2380" priority="2062" stopIfTrue="1" operator="equal">
      <formula>"x"</formula>
    </cfRule>
  </conditionalFormatting>
  <conditionalFormatting sqref="AQ48">
    <cfRule type="expression" dxfId="2379" priority="2063" stopIfTrue="1">
      <formula>B48=""</formula>
    </cfRule>
  </conditionalFormatting>
  <conditionalFormatting sqref="AR48">
    <cfRule type="cellIs" dxfId="2378" priority="2060" stopIfTrue="1" operator="equal">
      <formula>"x"</formula>
    </cfRule>
  </conditionalFormatting>
  <conditionalFormatting sqref="AR48">
    <cfRule type="expression" dxfId="2377" priority="2061" stopIfTrue="1">
      <formula>B48=""</formula>
    </cfRule>
  </conditionalFormatting>
  <conditionalFormatting sqref="AS48">
    <cfRule type="cellIs" dxfId="2376" priority="2058" stopIfTrue="1" operator="equal">
      <formula>"x"</formula>
    </cfRule>
  </conditionalFormatting>
  <conditionalFormatting sqref="AS48">
    <cfRule type="expression" dxfId="2375" priority="2059" stopIfTrue="1">
      <formula>B48=""</formula>
    </cfRule>
  </conditionalFormatting>
  <conditionalFormatting sqref="AT48">
    <cfRule type="cellIs" dxfId="2374" priority="2056" stopIfTrue="1" operator="equal">
      <formula>"x"</formula>
    </cfRule>
  </conditionalFormatting>
  <conditionalFormatting sqref="AT48">
    <cfRule type="expression" dxfId="2373" priority="2057" stopIfTrue="1">
      <formula>B48=""</formula>
    </cfRule>
  </conditionalFormatting>
  <conditionalFormatting sqref="AU48">
    <cfRule type="cellIs" dxfId="2372" priority="2054" stopIfTrue="1" operator="equal">
      <formula>"x"</formula>
    </cfRule>
  </conditionalFormatting>
  <conditionalFormatting sqref="AU48">
    <cfRule type="expression" dxfId="2371" priority="2055" stopIfTrue="1">
      <formula>B48=""</formula>
    </cfRule>
  </conditionalFormatting>
  <conditionalFormatting sqref="AV48">
    <cfRule type="cellIs" dxfId="2370" priority="2052" stopIfTrue="1" operator="equal">
      <formula>"x"</formula>
    </cfRule>
  </conditionalFormatting>
  <conditionalFormatting sqref="AV48">
    <cfRule type="expression" dxfId="2369" priority="2053" stopIfTrue="1">
      <formula>B48=""</formula>
    </cfRule>
  </conditionalFormatting>
  <conditionalFormatting sqref="AW48">
    <cfRule type="cellIs" dxfId="2368" priority="2050" stopIfTrue="1" operator="equal">
      <formula>"x"</formula>
    </cfRule>
  </conditionalFormatting>
  <conditionalFormatting sqref="AW48">
    <cfRule type="expression" dxfId="2367" priority="2051" stopIfTrue="1">
      <formula>B48=""</formula>
    </cfRule>
  </conditionalFormatting>
  <conditionalFormatting sqref="AX48">
    <cfRule type="cellIs" dxfId="2366" priority="2048" stopIfTrue="1" operator="equal">
      <formula>"x"</formula>
    </cfRule>
  </conditionalFormatting>
  <conditionalFormatting sqref="AX48">
    <cfRule type="expression" dxfId="2365" priority="2049" stopIfTrue="1">
      <formula>B48=""</formula>
    </cfRule>
  </conditionalFormatting>
  <conditionalFormatting sqref="AY48">
    <cfRule type="cellIs" dxfId="2364" priority="2046" stopIfTrue="1" operator="equal">
      <formula>"x"</formula>
    </cfRule>
  </conditionalFormatting>
  <conditionalFormatting sqref="AY48">
    <cfRule type="expression" dxfId="2363" priority="2047" stopIfTrue="1">
      <formula>B48=""</formula>
    </cfRule>
  </conditionalFormatting>
  <conditionalFormatting sqref="AZ48">
    <cfRule type="cellIs" dxfId="2362" priority="2044" stopIfTrue="1" operator="equal">
      <formula>"x"</formula>
    </cfRule>
  </conditionalFormatting>
  <conditionalFormatting sqref="AZ48">
    <cfRule type="expression" dxfId="2361" priority="2045" stopIfTrue="1">
      <formula>B48=""</formula>
    </cfRule>
  </conditionalFormatting>
  <conditionalFormatting sqref="BA48">
    <cfRule type="cellIs" dxfId="2360" priority="2042" stopIfTrue="1" operator="equal">
      <formula>"x"</formula>
    </cfRule>
  </conditionalFormatting>
  <conditionalFormatting sqref="BA48">
    <cfRule type="expression" dxfId="2359" priority="2043" stopIfTrue="1">
      <formula>B48=""</formula>
    </cfRule>
  </conditionalFormatting>
  <conditionalFormatting sqref="Q47">
    <cfRule type="cellIs" dxfId="2358" priority="2040" stopIfTrue="1" operator="equal">
      <formula>"x"</formula>
    </cfRule>
  </conditionalFormatting>
  <conditionalFormatting sqref="Q47">
    <cfRule type="expression" dxfId="2357" priority="2041" stopIfTrue="1">
      <formula>B47=""</formula>
    </cfRule>
  </conditionalFormatting>
  <conditionalFormatting sqref="R47">
    <cfRule type="cellIs" dxfId="2356" priority="2038" stopIfTrue="1" operator="equal">
      <formula>"x"</formula>
    </cfRule>
  </conditionalFormatting>
  <conditionalFormatting sqref="R47">
    <cfRule type="expression" dxfId="2355" priority="2039" stopIfTrue="1">
      <formula>B47=""</formula>
    </cfRule>
  </conditionalFormatting>
  <conditionalFormatting sqref="S47">
    <cfRule type="cellIs" dxfId="2354" priority="2036" stopIfTrue="1" operator="equal">
      <formula>"x"</formula>
    </cfRule>
  </conditionalFormatting>
  <conditionalFormatting sqref="S47">
    <cfRule type="expression" dxfId="2353" priority="2037" stopIfTrue="1">
      <formula>B47=""</formula>
    </cfRule>
  </conditionalFormatting>
  <conditionalFormatting sqref="T47">
    <cfRule type="cellIs" dxfId="2352" priority="2034" stopIfTrue="1" operator="equal">
      <formula>"x"</formula>
    </cfRule>
  </conditionalFormatting>
  <conditionalFormatting sqref="T47">
    <cfRule type="expression" dxfId="2351" priority="2035" stopIfTrue="1">
      <formula>B47=""</formula>
    </cfRule>
  </conditionalFormatting>
  <conditionalFormatting sqref="U47">
    <cfRule type="cellIs" dxfId="2350" priority="2032" stopIfTrue="1" operator="equal">
      <formula>"x"</formula>
    </cfRule>
  </conditionalFormatting>
  <conditionalFormatting sqref="U47">
    <cfRule type="expression" dxfId="2349" priority="2033" stopIfTrue="1">
      <formula>B47=""</formula>
    </cfRule>
  </conditionalFormatting>
  <conditionalFormatting sqref="V47">
    <cfRule type="cellIs" dxfId="2348" priority="2030" stopIfTrue="1" operator="equal">
      <formula>"x"</formula>
    </cfRule>
  </conditionalFormatting>
  <conditionalFormatting sqref="V47">
    <cfRule type="expression" dxfId="2347" priority="2031" stopIfTrue="1">
      <formula>B47=""</formula>
    </cfRule>
  </conditionalFormatting>
  <conditionalFormatting sqref="W47">
    <cfRule type="cellIs" dxfId="2346" priority="2028" stopIfTrue="1" operator="equal">
      <formula>"x"</formula>
    </cfRule>
  </conditionalFormatting>
  <conditionalFormatting sqref="W47">
    <cfRule type="expression" dxfId="2345" priority="2029" stopIfTrue="1">
      <formula>B47=""</formula>
    </cfRule>
  </conditionalFormatting>
  <conditionalFormatting sqref="X47">
    <cfRule type="cellIs" dxfId="2344" priority="2026" stopIfTrue="1" operator="equal">
      <formula>"x"</formula>
    </cfRule>
  </conditionalFormatting>
  <conditionalFormatting sqref="X47">
    <cfRule type="expression" dxfId="2343" priority="2027" stopIfTrue="1">
      <formula>B47=""</formula>
    </cfRule>
  </conditionalFormatting>
  <conditionalFormatting sqref="Y47">
    <cfRule type="cellIs" dxfId="2342" priority="2024" stopIfTrue="1" operator="equal">
      <formula>"x"</formula>
    </cfRule>
  </conditionalFormatting>
  <conditionalFormatting sqref="Y47">
    <cfRule type="expression" dxfId="2341" priority="2025" stopIfTrue="1">
      <formula>B47=""</formula>
    </cfRule>
  </conditionalFormatting>
  <conditionalFormatting sqref="Z47">
    <cfRule type="cellIs" dxfId="2340" priority="2022" stopIfTrue="1" operator="equal">
      <formula>"x"</formula>
    </cfRule>
  </conditionalFormatting>
  <conditionalFormatting sqref="Z47">
    <cfRule type="expression" dxfId="2339" priority="2023" stopIfTrue="1">
      <formula>B47=""</formula>
    </cfRule>
  </conditionalFormatting>
  <conditionalFormatting sqref="AA47">
    <cfRule type="cellIs" dxfId="2338" priority="2020" stopIfTrue="1" operator="equal">
      <formula>"x"</formula>
    </cfRule>
  </conditionalFormatting>
  <conditionalFormatting sqref="AA47">
    <cfRule type="expression" dxfId="2337" priority="2021" stopIfTrue="1">
      <formula>B47=""</formula>
    </cfRule>
  </conditionalFormatting>
  <conditionalFormatting sqref="AB47">
    <cfRule type="cellIs" dxfId="2336" priority="2018" stopIfTrue="1" operator="equal">
      <formula>"x"</formula>
    </cfRule>
  </conditionalFormatting>
  <conditionalFormatting sqref="AB47">
    <cfRule type="expression" dxfId="2335" priority="2019" stopIfTrue="1">
      <formula>B47=""</formula>
    </cfRule>
  </conditionalFormatting>
  <conditionalFormatting sqref="AC47">
    <cfRule type="cellIs" dxfId="2334" priority="2016" stopIfTrue="1" operator="equal">
      <formula>"x"</formula>
    </cfRule>
  </conditionalFormatting>
  <conditionalFormatting sqref="AC47">
    <cfRule type="expression" dxfId="2333" priority="2017" stopIfTrue="1">
      <formula>B47=""</formula>
    </cfRule>
  </conditionalFormatting>
  <conditionalFormatting sqref="AD47">
    <cfRule type="cellIs" dxfId="2332" priority="2014" stopIfTrue="1" operator="equal">
      <formula>"x"</formula>
    </cfRule>
  </conditionalFormatting>
  <conditionalFormatting sqref="AD47">
    <cfRule type="expression" dxfId="2331" priority="2015" stopIfTrue="1">
      <formula>B47=""</formula>
    </cfRule>
  </conditionalFormatting>
  <conditionalFormatting sqref="AE47">
    <cfRule type="cellIs" dxfId="2330" priority="2012" stopIfTrue="1" operator="equal">
      <formula>"x"</formula>
    </cfRule>
  </conditionalFormatting>
  <conditionalFormatting sqref="AE47">
    <cfRule type="expression" dxfId="2329" priority="2013" stopIfTrue="1">
      <formula>B47=""</formula>
    </cfRule>
  </conditionalFormatting>
  <conditionalFormatting sqref="AF47">
    <cfRule type="cellIs" dxfId="2328" priority="2010" stopIfTrue="1" operator="equal">
      <formula>"x"</formula>
    </cfRule>
  </conditionalFormatting>
  <conditionalFormatting sqref="AF47">
    <cfRule type="expression" dxfId="2327" priority="2011" stopIfTrue="1">
      <formula>B47=""</formula>
    </cfRule>
  </conditionalFormatting>
  <conditionalFormatting sqref="AG47">
    <cfRule type="cellIs" dxfId="2326" priority="2008" stopIfTrue="1" operator="equal">
      <formula>"x"</formula>
    </cfRule>
  </conditionalFormatting>
  <conditionalFormatting sqref="AG47">
    <cfRule type="expression" dxfId="2325" priority="2009" stopIfTrue="1">
      <formula>B47=""</formula>
    </cfRule>
  </conditionalFormatting>
  <conditionalFormatting sqref="AH47">
    <cfRule type="cellIs" dxfId="2324" priority="2006" stopIfTrue="1" operator="equal">
      <formula>"x"</formula>
    </cfRule>
  </conditionalFormatting>
  <conditionalFormatting sqref="AH47">
    <cfRule type="expression" dxfId="2323" priority="2007" stopIfTrue="1">
      <formula>B47=""</formula>
    </cfRule>
  </conditionalFormatting>
  <conditionalFormatting sqref="AI47">
    <cfRule type="cellIs" dxfId="2322" priority="2004" stopIfTrue="1" operator="equal">
      <formula>"x"</formula>
    </cfRule>
  </conditionalFormatting>
  <conditionalFormatting sqref="AI47">
    <cfRule type="expression" dxfId="2321" priority="2005" stopIfTrue="1">
      <formula>B47=""</formula>
    </cfRule>
  </conditionalFormatting>
  <conditionalFormatting sqref="AJ47">
    <cfRule type="cellIs" dxfId="2320" priority="2002" stopIfTrue="1" operator="equal">
      <formula>"x"</formula>
    </cfRule>
  </conditionalFormatting>
  <conditionalFormatting sqref="AJ47">
    <cfRule type="expression" dxfId="2319" priority="2003" stopIfTrue="1">
      <formula>B47=""</formula>
    </cfRule>
  </conditionalFormatting>
  <conditionalFormatting sqref="AK47">
    <cfRule type="cellIs" dxfId="2318" priority="2000" stopIfTrue="1" operator="equal">
      <formula>"x"</formula>
    </cfRule>
  </conditionalFormatting>
  <conditionalFormatting sqref="AK47">
    <cfRule type="expression" dxfId="2317" priority="2001" stopIfTrue="1">
      <formula>B47=""</formula>
    </cfRule>
  </conditionalFormatting>
  <conditionalFormatting sqref="AL47">
    <cfRule type="cellIs" dxfId="2316" priority="1998" stopIfTrue="1" operator="equal">
      <formula>"x"</formula>
    </cfRule>
  </conditionalFormatting>
  <conditionalFormatting sqref="AL47">
    <cfRule type="expression" dxfId="2315" priority="1999" stopIfTrue="1">
      <formula>B47=""</formula>
    </cfRule>
  </conditionalFormatting>
  <conditionalFormatting sqref="AM47">
    <cfRule type="cellIs" dxfId="2314" priority="1996" stopIfTrue="1" operator="equal">
      <formula>"x"</formula>
    </cfRule>
  </conditionalFormatting>
  <conditionalFormatting sqref="AM47">
    <cfRule type="expression" dxfId="2313" priority="1997" stopIfTrue="1">
      <formula>B47=""</formula>
    </cfRule>
  </conditionalFormatting>
  <conditionalFormatting sqref="AN47">
    <cfRule type="cellIs" dxfId="2312" priority="1994" stopIfTrue="1" operator="equal">
      <formula>"x"</formula>
    </cfRule>
  </conditionalFormatting>
  <conditionalFormatting sqref="AN47">
    <cfRule type="expression" dxfId="2311" priority="1995" stopIfTrue="1">
      <formula>B47=""</formula>
    </cfRule>
  </conditionalFormatting>
  <conditionalFormatting sqref="AO47">
    <cfRule type="cellIs" dxfId="2310" priority="1992" stopIfTrue="1" operator="equal">
      <formula>"x"</formula>
    </cfRule>
  </conditionalFormatting>
  <conditionalFormatting sqref="AO47">
    <cfRule type="expression" dxfId="2309" priority="1993" stopIfTrue="1">
      <formula>B47=""</formula>
    </cfRule>
  </conditionalFormatting>
  <conditionalFormatting sqref="AP47">
    <cfRule type="cellIs" dxfId="2308" priority="1990" stopIfTrue="1" operator="equal">
      <formula>"x"</formula>
    </cfRule>
  </conditionalFormatting>
  <conditionalFormatting sqref="AP47">
    <cfRule type="expression" dxfId="2307" priority="1991" stopIfTrue="1">
      <formula>B47=""</formula>
    </cfRule>
  </conditionalFormatting>
  <conditionalFormatting sqref="AQ47">
    <cfRule type="cellIs" dxfId="2306" priority="1988" stopIfTrue="1" operator="equal">
      <formula>"x"</formula>
    </cfRule>
  </conditionalFormatting>
  <conditionalFormatting sqref="AQ47">
    <cfRule type="expression" dxfId="2305" priority="1989" stopIfTrue="1">
      <formula>B47=""</formula>
    </cfRule>
  </conditionalFormatting>
  <conditionalFormatting sqref="AR47">
    <cfRule type="cellIs" dxfId="2304" priority="1986" stopIfTrue="1" operator="equal">
      <formula>"x"</formula>
    </cfRule>
  </conditionalFormatting>
  <conditionalFormatting sqref="AR47">
    <cfRule type="expression" dxfId="2303" priority="1987" stopIfTrue="1">
      <formula>B47=""</formula>
    </cfRule>
  </conditionalFormatting>
  <conditionalFormatting sqref="AS47">
    <cfRule type="cellIs" dxfId="2302" priority="1984" stopIfTrue="1" operator="equal">
      <formula>"x"</formula>
    </cfRule>
  </conditionalFormatting>
  <conditionalFormatting sqref="AS47">
    <cfRule type="expression" dxfId="2301" priority="1985" stopIfTrue="1">
      <formula>B47=""</formula>
    </cfRule>
  </conditionalFormatting>
  <conditionalFormatting sqref="AT47">
    <cfRule type="cellIs" dxfId="2300" priority="1982" stopIfTrue="1" operator="equal">
      <formula>"x"</formula>
    </cfRule>
  </conditionalFormatting>
  <conditionalFormatting sqref="AT47">
    <cfRule type="expression" dxfId="2299" priority="1983" stopIfTrue="1">
      <formula>B47=""</formula>
    </cfRule>
  </conditionalFormatting>
  <conditionalFormatting sqref="AU47">
    <cfRule type="cellIs" dxfId="2298" priority="1980" stopIfTrue="1" operator="equal">
      <formula>"x"</formula>
    </cfRule>
  </conditionalFormatting>
  <conditionalFormatting sqref="AU47">
    <cfRule type="expression" dxfId="2297" priority="1981" stopIfTrue="1">
      <formula>B47=""</formula>
    </cfRule>
  </conditionalFormatting>
  <conditionalFormatting sqref="AV47">
    <cfRule type="cellIs" dxfId="2296" priority="1978" stopIfTrue="1" operator="equal">
      <formula>"x"</formula>
    </cfRule>
  </conditionalFormatting>
  <conditionalFormatting sqref="AV47">
    <cfRule type="expression" dxfId="2295" priority="1979" stopIfTrue="1">
      <formula>B47=""</formula>
    </cfRule>
  </conditionalFormatting>
  <conditionalFormatting sqref="AW47">
    <cfRule type="cellIs" dxfId="2294" priority="1976" stopIfTrue="1" operator="equal">
      <formula>"x"</formula>
    </cfRule>
  </conditionalFormatting>
  <conditionalFormatting sqref="AW47">
    <cfRule type="expression" dxfId="2293" priority="1977" stopIfTrue="1">
      <formula>B47=""</formula>
    </cfRule>
  </conditionalFormatting>
  <conditionalFormatting sqref="AX47">
    <cfRule type="cellIs" dxfId="2292" priority="1974" stopIfTrue="1" operator="equal">
      <formula>"x"</formula>
    </cfRule>
  </conditionalFormatting>
  <conditionalFormatting sqref="AX47">
    <cfRule type="expression" dxfId="2291" priority="1975" stopIfTrue="1">
      <formula>B47=""</formula>
    </cfRule>
  </conditionalFormatting>
  <conditionalFormatting sqref="AY47">
    <cfRule type="cellIs" dxfId="2290" priority="1972" stopIfTrue="1" operator="equal">
      <formula>"x"</formula>
    </cfRule>
  </conditionalFormatting>
  <conditionalFormatting sqref="AY47">
    <cfRule type="expression" dxfId="2289" priority="1973" stopIfTrue="1">
      <formula>B47=""</formula>
    </cfRule>
  </conditionalFormatting>
  <conditionalFormatting sqref="AZ47">
    <cfRule type="cellIs" dxfId="2288" priority="1970" stopIfTrue="1" operator="equal">
      <formula>"x"</formula>
    </cfRule>
  </conditionalFormatting>
  <conditionalFormatting sqref="AZ47">
    <cfRule type="expression" dxfId="2287" priority="1971" stopIfTrue="1">
      <formula>B47=""</formula>
    </cfRule>
  </conditionalFormatting>
  <conditionalFormatting sqref="BA47">
    <cfRule type="cellIs" dxfId="2286" priority="1968" stopIfTrue="1" operator="equal">
      <formula>"x"</formula>
    </cfRule>
  </conditionalFormatting>
  <conditionalFormatting sqref="BA47">
    <cfRule type="expression" dxfId="2285" priority="1969" stopIfTrue="1">
      <formula>B47=""</formula>
    </cfRule>
  </conditionalFormatting>
  <conditionalFormatting sqref="Q46">
    <cfRule type="cellIs" dxfId="2284" priority="1966" stopIfTrue="1" operator="equal">
      <formula>"x"</formula>
    </cfRule>
  </conditionalFormatting>
  <conditionalFormatting sqref="Q46">
    <cfRule type="expression" dxfId="2283" priority="1967" stopIfTrue="1">
      <formula>B46=""</formula>
    </cfRule>
  </conditionalFormatting>
  <conditionalFormatting sqref="R46">
    <cfRule type="cellIs" dxfId="2282" priority="1964" stopIfTrue="1" operator="equal">
      <formula>"x"</formula>
    </cfRule>
  </conditionalFormatting>
  <conditionalFormatting sqref="R46">
    <cfRule type="expression" dxfId="2281" priority="1965" stopIfTrue="1">
      <formula>B46=""</formula>
    </cfRule>
  </conditionalFormatting>
  <conditionalFormatting sqref="S46">
    <cfRule type="cellIs" dxfId="2280" priority="1962" stopIfTrue="1" operator="equal">
      <formula>"x"</formula>
    </cfRule>
  </conditionalFormatting>
  <conditionalFormatting sqref="S46">
    <cfRule type="expression" dxfId="2279" priority="1963" stopIfTrue="1">
      <formula>B46=""</formula>
    </cfRule>
  </conditionalFormatting>
  <conditionalFormatting sqref="T46">
    <cfRule type="cellIs" dxfId="2278" priority="1960" stopIfTrue="1" operator="equal">
      <formula>"x"</formula>
    </cfRule>
  </conditionalFormatting>
  <conditionalFormatting sqref="T46">
    <cfRule type="expression" dxfId="2277" priority="1961" stopIfTrue="1">
      <formula>B46=""</formula>
    </cfRule>
  </conditionalFormatting>
  <conditionalFormatting sqref="U46">
    <cfRule type="cellIs" dxfId="2276" priority="1958" stopIfTrue="1" operator="equal">
      <formula>"x"</formula>
    </cfRule>
  </conditionalFormatting>
  <conditionalFormatting sqref="U46">
    <cfRule type="expression" dxfId="2275" priority="1959" stopIfTrue="1">
      <formula>B46=""</formula>
    </cfRule>
  </conditionalFormatting>
  <conditionalFormatting sqref="V46">
    <cfRule type="cellIs" dxfId="2274" priority="1956" stopIfTrue="1" operator="equal">
      <formula>"x"</formula>
    </cfRule>
  </conditionalFormatting>
  <conditionalFormatting sqref="V46">
    <cfRule type="expression" dxfId="2273" priority="1957" stopIfTrue="1">
      <formula>B46=""</formula>
    </cfRule>
  </conditionalFormatting>
  <conditionalFormatting sqref="W46">
    <cfRule type="cellIs" dxfId="2272" priority="1954" stopIfTrue="1" operator="equal">
      <formula>"x"</formula>
    </cfRule>
  </conditionalFormatting>
  <conditionalFormatting sqref="W46">
    <cfRule type="expression" dxfId="2271" priority="1955" stopIfTrue="1">
      <formula>B46=""</formula>
    </cfRule>
  </conditionalFormatting>
  <conditionalFormatting sqref="X46">
    <cfRule type="cellIs" dxfId="2270" priority="1952" stopIfTrue="1" operator="equal">
      <formula>"x"</formula>
    </cfRule>
  </conditionalFormatting>
  <conditionalFormatting sqref="X46">
    <cfRule type="expression" dxfId="2269" priority="1953" stopIfTrue="1">
      <formula>B46=""</formula>
    </cfRule>
  </conditionalFormatting>
  <conditionalFormatting sqref="Y46">
    <cfRule type="cellIs" dxfId="2268" priority="1950" stopIfTrue="1" operator="equal">
      <formula>"x"</formula>
    </cfRule>
  </conditionalFormatting>
  <conditionalFormatting sqref="Y46">
    <cfRule type="expression" dxfId="2267" priority="1951" stopIfTrue="1">
      <formula>B46=""</formula>
    </cfRule>
  </conditionalFormatting>
  <conditionalFormatting sqref="Z46">
    <cfRule type="cellIs" dxfId="2266" priority="1948" stopIfTrue="1" operator="equal">
      <formula>"x"</formula>
    </cfRule>
  </conditionalFormatting>
  <conditionalFormatting sqref="Z46">
    <cfRule type="expression" dxfId="2265" priority="1949" stopIfTrue="1">
      <formula>B46=""</formula>
    </cfRule>
  </conditionalFormatting>
  <conditionalFormatting sqref="AA46">
    <cfRule type="cellIs" dxfId="2264" priority="1946" stopIfTrue="1" operator="equal">
      <formula>"x"</formula>
    </cfRule>
  </conditionalFormatting>
  <conditionalFormatting sqref="AA46">
    <cfRule type="expression" dxfId="2263" priority="1947" stopIfTrue="1">
      <formula>B46=""</formula>
    </cfRule>
  </conditionalFormatting>
  <conditionalFormatting sqref="AB46">
    <cfRule type="cellIs" dxfId="2262" priority="1944" stopIfTrue="1" operator="equal">
      <formula>"x"</formula>
    </cfRule>
  </conditionalFormatting>
  <conditionalFormatting sqref="AB46">
    <cfRule type="expression" dxfId="2261" priority="1945" stopIfTrue="1">
      <formula>B46=""</formula>
    </cfRule>
  </conditionalFormatting>
  <conditionalFormatting sqref="AC46">
    <cfRule type="cellIs" dxfId="2260" priority="1942" stopIfTrue="1" operator="equal">
      <formula>"x"</formula>
    </cfRule>
  </conditionalFormatting>
  <conditionalFormatting sqref="AC46">
    <cfRule type="expression" dxfId="2259" priority="1943" stopIfTrue="1">
      <formula>B46=""</formula>
    </cfRule>
  </conditionalFormatting>
  <conditionalFormatting sqref="AD46">
    <cfRule type="cellIs" dxfId="2258" priority="1940" stopIfTrue="1" operator="equal">
      <formula>"x"</formula>
    </cfRule>
  </conditionalFormatting>
  <conditionalFormatting sqref="AD46">
    <cfRule type="expression" dxfId="2257" priority="1941" stopIfTrue="1">
      <formula>B46=""</formula>
    </cfRule>
  </conditionalFormatting>
  <conditionalFormatting sqref="AE46">
    <cfRule type="cellIs" dxfId="2256" priority="1938" stopIfTrue="1" operator="equal">
      <formula>"x"</formula>
    </cfRule>
  </conditionalFormatting>
  <conditionalFormatting sqref="AE46">
    <cfRule type="expression" dxfId="2255" priority="1939" stopIfTrue="1">
      <formula>B46=""</formula>
    </cfRule>
  </conditionalFormatting>
  <conditionalFormatting sqref="AF46">
    <cfRule type="cellIs" dxfId="2254" priority="1936" stopIfTrue="1" operator="equal">
      <formula>"x"</formula>
    </cfRule>
  </conditionalFormatting>
  <conditionalFormatting sqref="AF46">
    <cfRule type="expression" dxfId="2253" priority="1937" stopIfTrue="1">
      <formula>B46=""</formula>
    </cfRule>
  </conditionalFormatting>
  <conditionalFormatting sqref="AG46">
    <cfRule type="cellIs" dxfId="2252" priority="1934" stopIfTrue="1" operator="equal">
      <formula>"x"</formula>
    </cfRule>
  </conditionalFormatting>
  <conditionalFormatting sqref="AG46">
    <cfRule type="expression" dxfId="2251" priority="1935" stopIfTrue="1">
      <formula>B46=""</formula>
    </cfRule>
  </conditionalFormatting>
  <conditionalFormatting sqref="AH46">
    <cfRule type="cellIs" dxfId="2250" priority="1932" stopIfTrue="1" operator="equal">
      <formula>"x"</formula>
    </cfRule>
  </conditionalFormatting>
  <conditionalFormatting sqref="AH46">
    <cfRule type="expression" dxfId="2249" priority="1933" stopIfTrue="1">
      <formula>B46=""</formula>
    </cfRule>
  </conditionalFormatting>
  <conditionalFormatting sqref="AI46">
    <cfRule type="cellIs" dxfId="2248" priority="1930" stopIfTrue="1" operator="equal">
      <formula>"x"</formula>
    </cfRule>
  </conditionalFormatting>
  <conditionalFormatting sqref="AI46">
    <cfRule type="expression" dxfId="2247" priority="1931" stopIfTrue="1">
      <formula>B46=""</formula>
    </cfRule>
  </conditionalFormatting>
  <conditionalFormatting sqref="AJ46">
    <cfRule type="cellIs" dxfId="2246" priority="1928" stopIfTrue="1" operator="equal">
      <formula>"x"</formula>
    </cfRule>
  </conditionalFormatting>
  <conditionalFormatting sqref="AJ46">
    <cfRule type="expression" dxfId="2245" priority="1929" stopIfTrue="1">
      <formula>B46=""</formula>
    </cfRule>
  </conditionalFormatting>
  <conditionalFormatting sqref="AK46">
    <cfRule type="cellIs" dxfId="2244" priority="1926" stopIfTrue="1" operator="equal">
      <formula>"x"</formula>
    </cfRule>
  </conditionalFormatting>
  <conditionalFormatting sqref="AK46">
    <cfRule type="expression" dxfId="2243" priority="1927" stopIfTrue="1">
      <formula>B46=""</formula>
    </cfRule>
  </conditionalFormatting>
  <conditionalFormatting sqref="AL46">
    <cfRule type="cellIs" dxfId="2242" priority="1924" stopIfTrue="1" operator="equal">
      <formula>"x"</formula>
    </cfRule>
  </conditionalFormatting>
  <conditionalFormatting sqref="AL46">
    <cfRule type="expression" dxfId="2241" priority="1925" stopIfTrue="1">
      <formula>B46=""</formula>
    </cfRule>
  </conditionalFormatting>
  <conditionalFormatting sqref="AM46">
    <cfRule type="cellIs" dxfId="2240" priority="1922" stopIfTrue="1" operator="equal">
      <formula>"x"</formula>
    </cfRule>
  </conditionalFormatting>
  <conditionalFormatting sqref="AM46">
    <cfRule type="expression" dxfId="2239" priority="1923" stopIfTrue="1">
      <formula>B46=""</formula>
    </cfRule>
  </conditionalFormatting>
  <conditionalFormatting sqref="AN46">
    <cfRule type="cellIs" dxfId="2238" priority="1920" stopIfTrue="1" operator="equal">
      <formula>"x"</formula>
    </cfRule>
  </conditionalFormatting>
  <conditionalFormatting sqref="AN46">
    <cfRule type="expression" dxfId="2237" priority="1921" stopIfTrue="1">
      <formula>B46=""</formula>
    </cfRule>
  </conditionalFormatting>
  <conditionalFormatting sqref="AO46">
    <cfRule type="cellIs" dxfId="2236" priority="1918" stopIfTrue="1" operator="equal">
      <formula>"x"</formula>
    </cfRule>
  </conditionalFormatting>
  <conditionalFormatting sqref="AO46">
    <cfRule type="expression" dxfId="2235" priority="1919" stopIfTrue="1">
      <formula>B46=""</formula>
    </cfRule>
  </conditionalFormatting>
  <conditionalFormatting sqref="AP46">
    <cfRule type="cellIs" dxfId="2234" priority="1916" stopIfTrue="1" operator="equal">
      <formula>"x"</formula>
    </cfRule>
  </conditionalFormatting>
  <conditionalFormatting sqref="AP46">
    <cfRule type="expression" dxfId="2233" priority="1917" stopIfTrue="1">
      <formula>B46=""</formula>
    </cfRule>
  </conditionalFormatting>
  <conditionalFormatting sqref="AQ46">
    <cfRule type="cellIs" dxfId="2232" priority="1914" stopIfTrue="1" operator="equal">
      <formula>"x"</formula>
    </cfRule>
  </conditionalFormatting>
  <conditionalFormatting sqref="AQ46">
    <cfRule type="expression" dxfId="2231" priority="1915" stopIfTrue="1">
      <formula>B46=""</formula>
    </cfRule>
  </conditionalFormatting>
  <conditionalFormatting sqref="AR46">
    <cfRule type="cellIs" dxfId="2230" priority="1912" stopIfTrue="1" operator="equal">
      <formula>"x"</formula>
    </cfRule>
  </conditionalFormatting>
  <conditionalFormatting sqref="AR46">
    <cfRule type="expression" dxfId="2229" priority="1913" stopIfTrue="1">
      <formula>B46=""</formula>
    </cfRule>
  </conditionalFormatting>
  <conditionalFormatting sqref="AS46">
    <cfRule type="cellIs" dxfId="2228" priority="1910" stopIfTrue="1" operator="equal">
      <formula>"x"</formula>
    </cfRule>
  </conditionalFormatting>
  <conditionalFormatting sqref="AS46">
    <cfRule type="expression" dxfId="2227" priority="1911" stopIfTrue="1">
      <formula>B46=""</formula>
    </cfRule>
  </conditionalFormatting>
  <conditionalFormatting sqref="AT46">
    <cfRule type="cellIs" dxfId="2226" priority="1908" stopIfTrue="1" operator="equal">
      <formula>"x"</formula>
    </cfRule>
  </conditionalFormatting>
  <conditionalFormatting sqref="AT46">
    <cfRule type="expression" dxfId="2225" priority="1909" stopIfTrue="1">
      <formula>B46=""</formula>
    </cfRule>
  </conditionalFormatting>
  <conditionalFormatting sqref="AU46">
    <cfRule type="cellIs" dxfId="2224" priority="1906" stopIfTrue="1" operator="equal">
      <formula>"x"</formula>
    </cfRule>
  </conditionalFormatting>
  <conditionalFormatting sqref="AU46">
    <cfRule type="expression" dxfId="2223" priority="1907" stopIfTrue="1">
      <formula>B46=""</formula>
    </cfRule>
  </conditionalFormatting>
  <conditionalFormatting sqref="AV46">
    <cfRule type="cellIs" dxfId="2222" priority="1904" stopIfTrue="1" operator="equal">
      <formula>"x"</formula>
    </cfRule>
  </conditionalFormatting>
  <conditionalFormatting sqref="AV46">
    <cfRule type="expression" dxfId="2221" priority="1905" stopIfTrue="1">
      <formula>B46=""</formula>
    </cfRule>
  </conditionalFormatting>
  <conditionalFormatting sqref="AW46">
    <cfRule type="cellIs" dxfId="2220" priority="1902" stopIfTrue="1" operator="equal">
      <formula>"x"</formula>
    </cfRule>
  </conditionalFormatting>
  <conditionalFormatting sqref="AW46">
    <cfRule type="expression" dxfId="2219" priority="1903" stopIfTrue="1">
      <formula>B46=""</formula>
    </cfRule>
  </conditionalFormatting>
  <conditionalFormatting sqref="AX46">
    <cfRule type="cellIs" dxfId="2218" priority="1900" stopIfTrue="1" operator="equal">
      <formula>"x"</formula>
    </cfRule>
  </conditionalFormatting>
  <conditionalFormatting sqref="AX46">
    <cfRule type="expression" dxfId="2217" priority="1901" stopIfTrue="1">
      <formula>B46=""</formula>
    </cfRule>
  </conditionalFormatting>
  <conditionalFormatting sqref="AY46">
    <cfRule type="cellIs" dxfId="2216" priority="1898" stopIfTrue="1" operator="equal">
      <formula>"x"</formula>
    </cfRule>
  </conditionalFormatting>
  <conditionalFormatting sqref="AY46">
    <cfRule type="expression" dxfId="2215" priority="1899" stopIfTrue="1">
      <formula>B46=""</formula>
    </cfRule>
  </conditionalFormatting>
  <conditionalFormatting sqref="AZ46">
    <cfRule type="cellIs" dxfId="2214" priority="1896" stopIfTrue="1" operator="equal">
      <formula>"x"</formula>
    </cfRule>
  </conditionalFormatting>
  <conditionalFormatting sqref="AZ46">
    <cfRule type="expression" dxfId="2213" priority="1897" stopIfTrue="1">
      <formula>B46=""</formula>
    </cfRule>
  </conditionalFormatting>
  <conditionalFormatting sqref="BA46">
    <cfRule type="cellIs" dxfId="2212" priority="1894" stopIfTrue="1" operator="equal">
      <formula>"x"</formula>
    </cfRule>
  </conditionalFormatting>
  <conditionalFormatting sqref="BA46">
    <cfRule type="expression" dxfId="2211" priority="1895" stopIfTrue="1">
      <formula>B46=""</formula>
    </cfRule>
  </conditionalFormatting>
  <conditionalFormatting sqref="Q44">
    <cfRule type="cellIs" dxfId="2210" priority="1890" stopIfTrue="1" operator="equal">
      <formula>"x"</formula>
    </cfRule>
  </conditionalFormatting>
  <conditionalFormatting sqref="Q44">
    <cfRule type="expression" dxfId="2209" priority="1891" stopIfTrue="1">
      <formula>B44=""</formula>
    </cfRule>
  </conditionalFormatting>
  <conditionalFormatting sqref="R44">
    <cfRule type="cellIs" dxfId="2208" priority="1888" stopIfTrue="1" operator="equal">
      <formula>"x"</formula>
    </cfRule>
  </conditionalFormatting>
  <conditionalFormatting sqref="R44">
    <cfRule type="expression" dxfId="2207" priority="1889" stopIfTrue="1">
      <formula>B44=""</formula>
    </cfRule>
  </conditionalFormatting>
  <conditionalFormatting sqref="S44">
    <cfRule type="cellIs" dxfId="2206" priority="1886" stopIfTrue="1" operator="equal">
      <formula>"x"</formula>
    </cfRule>
  </conditionalFormatting>
  <conditionalFormatting sqref="S44">
    <cfRule type="expression" dxfId="2205" priority="1887" stopIfTrue="1">
      <formula>B44=""</formula>
    </cfRule>
  </conditionalFormatting>
  <conditionalFormatting sqref="T44">
    <cfRule type="cellIs" dxfId="2204" priority="1884" stopIfTrue="1" operator="equal">
      <formula>"x"</formula>
    </cfRule>
  </conditionalFormatting>
  <conditionalFormatting sqref="T44">
    <cfRule type="expression" dxfId="2203" priority="1885" stopIfTrue="1">
      <formula>B44=""</formula>
    </cfRule>
  </conditionalFormatting>
  <conditionalFormatting sqref="U44">
    <cfRule type="cellIs" dxfId="2202" priority="1882" stopIfTrue="1" operator="equal">
      <formula>"x"</formula>
    </cfRule>
  </conditionalFormatting>
  <conditionalFormatting sqref="U44">
    <cfRule type="expression" dxfId="2201" priority="1883" stopIfTrue="1">
      <formula>B44=""</formula>
    </cfRule>
  </conditionalFormatting>
  <conditionalFormatting sqref="V44">
    <cfRule type="cellIs" dxfId="2200" priority="1880" stopIfTrue="1" operator="equal">
      <formula>"x"</formula>
    </cfRule>
  </conditionalFormatting>
  <conditionalFormatting sqref="V44">
    <cfRule type="expression" dxfId="2199" priority="1881" stopIfTrue="1">
      <formula>B44=""</formula>
    </cfRule>
  </conditionalFormatting>
  <conditionalFormatting sqref="W44">
    <cfRule type="cellIs" dxfId="2198" priority="1878" stopIfTrue="1" operator="equal">
      <formula>"x"</formula>
    </cfRule>
  </conditionalFormatting>
  <conditionalFormatting sqref="W44">
    <cfRule type="expression" dxfId="2197" priority="1879" stopIfTrue="1">
      <formula>B44=""</formula>
    </cfRule>
  </conditionalFormatting>
  <conditionalFormatting sqref="X44">
    <cfRule type="cellIs" dxfId="2196" priority="1876" stopIfTrue="1" operator="equal">
      <formula>"x"</formula>
    </cfRule>
  </conditionalFormatting>
  <conditionalFormatting sqref="X44">
    <cfRule type="expression" dxfId="2195" priority="1877" stopIfTrue="1">
      <formula>B44=""</formula>
    </cfRule>
  </conditionalFormatting>
  <conditionalFormatting sqref="Y44">
    <cfRule type="cellIs" dxfId="2194" priority="1874" stopIfTrue="1" operator="equal">
      <formula>"x"</formula>
    </cfRule>
  </conditionalFormatting>
  <conditionalFormatting sqref="Y44">
    <cfRule type="expression" dxfId="2193" priority="1875" stopIfTrue="1">
      <formula>B44=""</formula>
    </cfRule>
  </conditionalFormatting>
  <conditionalFormatting sqref="Z44">
    <cfRule type="cellIs" dxfId="2192" priority="1872" stopIfTrue="1" operator="equal">
      <formula>"x"</formula>
    </cfRule>
  </conditionalFormatting>
  <conditionalFormatting sqref="Z44">
    <cfRule type="expression" dxfId="2191" priority="1873" stopIfTrue="1">
      <formula>B44=""</formula>
    </cfRule>
  </conditionalFormatting>
  <conditionalFormatting sqref="AA44">
    <cfRule type="cellIs" dxfId="2190" priority="1870" stopIfTrue="1" operator="equal">
      <formula>"x"</formula>
    </cfRule>
  </conditionalFormatting>
  <conditionalFormatting sqref="AA44">
    <cfRule type="expression" dxfId="2189" priority="1871" stopIfTrue="1">
      <formula>B44=""</formula>
    </cfRule>
  </conditionalFormatting>
  <conditionalFormatting sqref="AB44">
    <cfRule type="cellIs" dxfId="2188" priority="1868" stopIfTrue="1" operator="equal">
      <formula>"x"</formula>
    </cfRule>
  </conditionalFormatting>
  <conditionalFormatting sqref="AB44">
    <cfRule type="expression" dxfId="2187" priority="1869" stopIfTrue="1">
      <formula>B44=""</formula>
    </cfRule>
  </conditionalFormatting>
  <conditionalFormatting sqref="AC44">
    <cfRule type="cellIs" dxfId="2186" priority="1866" stopIfTrue="1" operator="equal">
      <formula>"x"</formula>
    </cfRule>
  </conditionalFormatting>
  <conditionalFormatting sqref="AC44">
    <cfRule type="expression" dxfId="2185" priority="1867" stopIfTrue="1">
      <formula>B44=""</formula>
    </cfRule>
  </conditionalFormatting>
  <conditionalFormatting sqref="AD44">
    <cfRule type="cellIs" dxfId="2184" priority="1864" stopIfTrue="1" operator="equal">
      <formula>"x"</formula>
    </cfRule>
  </conditionalFormatting>
  <conditionalFormatting sqref="AD44">
    <cfRule type="expression" dxfId="2183" priority="1865" stopIfTrue="1">
      <formula>B44=""</formula>
    </cfRule>
  </conditionalFormatting>
  <conditionalFormatting sqref="AE44">
    <cfRule type="cellIs" dxfId="2182" priority="1862" stopIfTrue="1" operator="equal">
      <formula>"x"</formula>
    </cfRule>
  </conditionalFormatting>
  <conditionalFormatting sqref="AE44">
    <cfRule type="expression" dxfId="2181" priority="1863" stopIfTrue="1">
      <formula>B44=""</formula>
    </cfRule>
  </conditionalFormatting>
  <conditionalFormatting sqref="AF44">
    <cfRule type="cellIs" dxfId="2180" priority="1860" stopIfTrue="1" operator="equal">
      <formula>"x"</formula>
    </cfRule>
  </conditionalFormatting>
  <conditionalFormatting sqref="AF44">
    <cfRule type="expression" dxfId="2179" priority="1861" stopIfTrue="1">
      <formula>B44=""</formula>
    </cfRule>
  </conditionalFormatting>
  <conditionalFormatting sqref="AG44">
    <cfRule type="cellIs" dxfId="2178" priority="1858" stopIfTrue="1" operator="equal">
      <formula>"x"</formula>
    </cfRule>
  </conditionalFormatting>
  <conditionalFormatting sqref="AG44">
    <cfRule type="expression" dxfId="2177" priority="1859" stopIfTrue="1">
      <formula>B44=""</formula>
    </cfRule>
  </conditionalFormatting>
  <conditionalFormatting sqref="AH44">
    <cfRule type="cellIs" dxfId="2176" priority="1856" stopIfTrue="1" operator="equal">
      <formula>"x"</formula>
    </cfRule>
  </conditionalFormatting>
  <conditionalFormatting sqref="AH44">
    <cfRule type="expression" dxfId="2175" priority="1857" stopIfTrue="1">
      <formula>B44=""</formula>
    </cfRule>
  </conditionalFormatting>
  <conditionalFormatting sqref="AI44">
    <cfRule type="cellIs" dxfId="2174" priority="1854" stopIfTrue="1" operator="equal">
      <formula>"x"</formula>
    </cfRule>
  </conditionalFormatting>
  <conditionalFormatting sqref="AI44">
    <cfRule type="expression" dxfId="2173" priority="1855" stopIfTrue="1">
      <formula>B44=""</formula>
    </cfRule>
  </conditionalFormatting>
  <conditionalFormatting sqref="AJ44">
    <cfRule type="cellIs" dxfId="2172" priority="1852" stopIfTrue="1" operator="equal">
      <formula>"x"</formula>
    </cfRule>
  </conditionalFormatting>
  <conditionalFormatting sqref="AJ44">
    <cfRule type="expression" dxfId="2171" priority="1853" stopIfTrue="1">
      <formula>B44=""</formula>
    </cfRule>
  </conditionalFormatting>
  <conditionalFormatting sqref="AK44">
    <cfRule type="cellIs" dxfId="2170" priority="1850" stopIfTrue="1" operator="equal">
      <formula>"x"</formula>
    </cfRule>
  </conditionalFormatting>
  <conditionalFormatting sqref="AK44">
    <cfRule type="expression" dxfId="2169" priority="1851" stopIfTrue="1">
      <formula>B44=""</formula>
    </cfRule>
  </conditionalFormatting>
  <conditionalFormatting sqref="AL44">
    <cfRule type="cellIs" dxfId="2168" priority="1848" stopIfTrue="1" operator="equal">
      <formula>"x"</formula>
    </cfRule>
  </conditionalFormatting>
  <conditionalFormatting sqref="AL44">
    <cfRule type="expression" dxfId="2167" priority="1849" stopIfTrue="1">
      <formula>B44=""</formula>
    </cfRule>
  </conditionalFormatting>
  <conditionalFormatting sqref="AM44">
    <cfRule type="cellIs" dxfId="2166" priority="1846" stopIfTrue="1" operator="equal">
      <formula>"x"</formula>
    </cfRule>
  </conditionalFormatting>
  <conditionalFormatting sqref="AM44">
    <cfRule type="expression" dxfId="2165" priority="1847" stopIfTrue="1">
      <formula>B44=""</formula>
    </cfRule>
  </conditionalFormatting>
  <conditionalFormatting sqref="AN44">
    <cfRule type="cellIs" dxfId="2164" priority="1844" stopIfTrue="1" operator="equal">
      <formula>"x"</formula>
    </cfRule>
  </conditionalFormatting>
  <conditionalFormatting sqref="AN44">
    <cfRule type="expression" dxfId="2163" priority="1845" stopIfTrue="1">
      <formula>B44=""</formula>
    </cfRule>
  </conditionalFormatting>
  <conditionalFormatting sqref="AO44">
    <cfRule type="cellIs" dxfId="2162" priority="1842" stopIfTrue="1" operator="equal">
      <formula>"x"</formula>
    </cfRule>
  </conditionalFormatting>
  <conditionalFormatting sqref="AO44">
    <cfRule type="expression" dxfId="2161" priority="1843" stopIfTrue="1">
      <formula>B44=""</formula>
    </cfRule>
  </conditionalFormatting>
  <conditionalFormatting sqref="AP44">
    <cfRule type="cellIs" dxfId="2160" priority="1840" stopIfTrue="1" operator="equal">
      <formula>"x"</formula>
    </cfRule>
  </conditionalFormatting>
  <conditionalFormatting sqref="AP44">
    <cfRule type="expression" dxfId="2159" priority="1841" stopIfTrue="1">
      <formula>B44=""</formula>
    </cfRule>
  </conditionalFormatting>
  <conditionalFormatting sqref="AQ44">
    <cfRule type="cellIs" dxfId="2158" priority="1838" stopIfTrue="1" operator="equal">
      <formula>"x"</formula>
    </cfRule>
  </conditionalFormatting>
  <conditionalFormatting sqref="AQ44">
    <cfRule type="expression" dxfId="2157" priority="1839" stopIfTrue="1">
      <formula>B44=""</formula>
    </cfRule>
  </conditionalFormatting>
  <conditionalFormatting sqref="AR44">
    <cfRule type="cellIs" dxfId="2156" priority="1836" stopIfTrue="1" operator="equal">
      <formula>"x"</formula>
    </cfRule>
  </conditionalFormatting>
  <conditionalFormatting sqref="AR44">
    <cfRule type="expression" dxfId="2155" priority="1837" stopIfTrue="1">
      <formula>B44=""</formula>
    </cfRule>
  </conditionalFormatting>
  <conditionalFormatting sqref="AS44">
    <cfRule type="cellIs" dxfId="2154" priority="1834" stopIfTrue="1" operator="equal">
      <formula>"x"</formula>
    </cfRule>
  </conditionalFormatting>
  <conditionalFormatting sqref="AS44">
    <cfRule type="expression" dxfId="2153" priority="1835" stopIfTrue="1">
      <formula>B44=""</formula>
    </cfRule>
  </conditionalFormatting>
  <conditionalFormatting sqref="AT44">
    <cfRule type="cellIs" dxfId="2152" priority="1832" stopIfTrue="1" operator="equal">
      <formula>"x"</formula>
    </cfRule>
  </conditionalFormatting>
  <conditionalFormatting sqref="AT44">
    <cfRule type="expression" dxfId="2151" priority="1833" stopIfTrue="1">
      <formula>B44=""</formula>
    </cfRule>
  </conditionalFormatting>
  <conditionalFormatting sqref="AU44">
    <cfRule type="cellIs" dxfId="2150" priority="1830" stopIfTrue="1" operator="equal">
      <formula>"x"</formula>
    </cfRule>
  </conditionalFormatting>
  <conditionalFormatting sqref="AU44">
    <cfRule type="expression" dxfId="2149" priority="1831" stopIfTrue="1">
      <formula>B44=""</formula>
    </cfRule>
  </conditionalFormatting>
  <conditionalFormatting sqref="AV44">
    <cfRule type="cellIs" dxfId="2148" priority="1828" stopIfTrue="1" operator="equal">
      <formula>"x"</formula>
    </cfRule>
  </conditionalFormatting>
  <conditionalFormatting sqref="AV44">
    <cfRule type="expression" dxfId="2147" priority="1829" stopIfTrue="1">
      <formula>B44=""</formula>
    </cfRule>
  </conditionalFormatting>
  <conditionalFormatting sqref="AW44">
    <cfRule type="cellIs" dxfId="2146" priority="1826" stopIfTrue="1" operator="equal">
      <formula>"x"</formula>
    </cfRule>
  </conditionalFormatting>
  <conditionalFormatting sqref="AW44">
    <cfRule type="expression" dxfId="2145" priority="1827" stopIfTrue="1">
      <formula>B44=""</formula>
    </cfRule>
  </conditionalFormatting>
  <conditionalFormatting sqref="AX44">
    <cfRule type="cellIs" dxfId="2144" priority="1824" stopIfTrue="1" operator="equal">
      <formula>"x"</formula>
    </cfRule>
  </conditionalFormatting>
  <conditionalFormatting sqref="AX44">
    <cfRule type="expression" dxfId="2143" priority="1825" stopIfTrue="1">
      <formula>B44=""</formula>
    </cfRule>
  </conditionalFormatting>
  <conditionalFormatting sqref="AY44">
    <cfRule type="cellIs" dxfId="2142" priority="1822" stopIfTrue="1" operator="equal">
      <formula>"x"</formula>
    </cfRule>
  </conditionalFormatting>
  <conditionalFormatting sqref="AY44">
    <cfRule type="expression" dxfId="2141" priority="1823" stopIfTrue="1">
      <formula>B44=""</formula>
    </cfRule>
  </conditionalFormatting>
  <conditionalFormatting sqref="AZ44">
    <cfRule type="cellIs" dxfId="2140" priority="1820" stopIfTrue="1" operator="equal">
      <formula>"x"</formula>
    </cfRule>
  </conditionalFormatting>
  <conditionalFormatting sqref="AZ44">
    <cfRule type="expression" dxfId="2139" priority="1821" stopIfTrue="1">
      <formula>B44=""</formula>
    </cfRule>
  </conditionalFormatting>
  <conditionalFormatting sqref="BA44">
    <cfRule type="cellIs" dxfId="2138" priority="1818" stopIfTrue="1" operator="equal">
      <formula>"x"</formula>
    </cfRule>
  </conditionalFormatting>
  <conditionalFormatting sqref="BA44">
    <cfRule type="expression" dxfId="2137" priority="1819" stopIfTrue="1">
      <formula>B44=""</formula>
    </cfRule>
  </conditionalFormatting>
  <conditionalFormatting sqref="Q43">
    <cfRule type="cellIs" dxfId="2136" priority="1816" stopIfTrue="1" operator="equal">
      <formula>"x"</formula>
    </cfRule>
  </conditionalFormatting>
  <conditionalFormatting sqref="Q43">
    <cfRule type="expression" dxfId="2135" priority="1817" stopIfTrue="1">
      <formula>B43=""</formula>
    </cfRule>
  </conditionalFormatting>
  <conditionalFormatting sqref="R43">
    <cfRule type="cellIs" dxfId="2134" priority="1814" stopIfTrue="1" operator="equal">
      <formula>"x"</formula>
    </cfRule>
  </conditionalFormatting>
  <conditionalFormatting sqref="R43">
    <cfRule type="expression" dxfId="2133" priority="1815" stopIfTrue="1">
      <formula>B43=""</formula>
    </cfRule>
  </conditionalFormatting>
  <conditionalFormatting sqref="S43">
    <cfRule type="cellIs" dxfId="2132" priority="1812" stopIfTrue="1" operator="equal">
      <formula>"x"</formula>
    </cfRule>
  </conditionalFormatting>
  <conditionalFormatting sqref="S43">
    <cfRule type="expression" dxfId="2131" priority="1813" stopIfTrue="1">
      <formula>B43=""</formula>
    </cfRule>
  </conditionalFormatting>
  <conditionalFormatting sqref="T43">
    <cfRule type="cellIs" dxfId="2130" priority="1810" stopIfTrue="1" operator="equal">
      <formula>"x"</formula>
    </cfRule>
  </conditionalFormatting>
  <conditionalFormatting sqref="T43">
    <cfRule type="expression" dxfId="2129" priority="1811" stopIfTrue="1">
      <formula>B43=""</formula>
    </cfRule>
  </conditionalFormatting>
  <conditionalFormatting sqref="U43">
    <cfRule type="cellIs" dxfId="2128" priority="1808" stopIfTrue="1" operator="equal">
      <formula>"x"</formula>
    </cfRule>
  </conditionalFormatting>
  <conditionalFormatting sqref="U43">
    <cfRule type="expression" dxfId="2127" priority="1809" stopIfTrue="1">
      <formula>B43=""</formula>
    </cfRule>
  </conditionalFormatting>
  <conditionalFormatting sqref="V43">
    <cfRule type="cellIs" dxfId="2126" priority="1806" stopIfTrue="1" operator="equal">
      <formula>"x"</formula>
    </cfRule>
  </conditionalFormatting>
  <conditionalFormatting sqref="V43">
    <cfRule type="expression" dxfId="2125" priority="1807" stopIfTrue="1">
      <formula>B43=""</formula>
    </cfRule>
  </conditionalFormatting>
  <conditionalFormatting sqref="W43">
    <cfRule type="cellIs" dxfId="2124" priority="1804" stopIfTrue="1" operator="equal">
      <formula>"x"</formula>
    </cfRule>
  </conditionalFormatting>
  <conditionalFormatting sqref="W43">
    <cfRule type="expression" dxfId="2123" priority="1805" stopIfTrue="1">
      <formula>B43=""</formula>
    </cfRule>
  </conditionalFormatting>
  <conditionalFormatting sqref="X43">
    <cfRule type="cellIs" dxfId="2122" priority="1802" stopIfTrue="1" operator="equal">
      <formula>"x"</formula>
    </cfRule>
  </conditionalFormatting>
  <conditionalFormatting sqref="X43">
    <cfRule type="expression" dxfId="2121" priority="1803" stopIfTrue="1">
      <formula>B43=""</formula>
    </cfRule>
  </conditionalFormatting>
  <conditionalFormatting sqref="Y43">
    <cfRule type="cellIs" dxfId="2120" priority="1800" stopIfTrue="1" operator="equal">
      <formula>"x"</formula>
    </cfRule>
  </conditionalFormatting>
  <conditionalFormatting sqref="Y43">
    <cfRule type="expression" dxfId="2119" priority="1801" stopIfTrue="1">
      <formula>B43=""</formula>
    </cfRule>
  </conditionalFormatting>
  <conditionalFormatting sqref="Z43">
    <cfRule type="cellIs" dxfId="2118" priority="1798" stopIfTrue="1" operator="equal">
      <formula>"x"</formula>
    </cfRule>
  </conditionalFormatting>
  <conditionalFormatting sqref="Z43">
    <cfRule type="expression" dxfId="2117" priority="1799" stopIfTrue="1">
      <formula>B43=""</formula>
    </cfRule>
  </conditionalFormatting>
  <conditionalFormatting sqref="AA43">
    <cfRule type="cellIs" dxfId="2116" priority="1796" stopIfTrue="1" operator="equal">
      <formula>"x"</formula>
    </cfRule>
  </conditionalFormatting>
  <conditionalFormatting sqref="AA43">
    <cfRule type="expression" dxfId="2115" priority="1797" stopIfTrue="1">
      <formula>B43=""</formula>
    </cfRule>
  </conditionalFormatting>
  <conditionalFormatting sqref="AB43">
    <cfRule type="cellIs" dxfId="2114" priority="1794" stopIfTrue="1" operator="equal">
      <formula>"x"</formula>
    </cfRule>
  </conditionalFormatting>
  <conditionalFormatting sqref="AB43">
    <cfRule type="expression" dxfId="2113" priority="1795" stopIfTrue="1">
      <formula>B43=""</formula>
    </cfRule>
  </conditionalFormatting>
  <conditionalFormatting sqref="AC43">
    <cfRule type="cellIs" dxfId="2112" priority="1792" stopIfTrue="1" operator="equal">
      <formula>"x"</formula>
    </cfRule>
  </conditionalFormatting>
  <conditionalFormatting sqref="AC43">
    <cfRule type="expression" dxfId="2111" priority="1793" stopIfTrue="1">
      <formula>B43=""</formula>
    </cfRule>
  </conditionalFormatting>
  <conditionalFormatting sqref="AD43">
    <cfRule type="cellIs" dxfId="2110" priority="1790" stopIfTrue="1" operator="equal">
      <formula>"x"</formula>
    </cfRule>
  </conditionalFormatting>
  <conditionalFormatting sqref="AD43">
    <cfRule type="expression" dxfId="2109" priority="1791" stopIfTrue="1">
      <formula>B43=""</formula>
    </cfRule>
  </conditionalFormatting>
  <conditionalFormatting sqref="AE43">
    <cfRule type="cellIs" dxfId="2108" priority="1788" stopIfTrue="1" operator="equal">
      <formula>"x"</formula>
    </cfRule>
  </conditionalFormatting>
  <conditionalFormatting sqref="AE43">
    <cfRule type="expression" dxfId="2107" priority="1789" stopIfTrue="1">
      <formula>B43=""</formula>
    </cfRule>
  </conditionalFormatting>
  <conditionalFormatting sqref="AF43">
    <cfRule type="cellIs" dxfId="2106" priority="1786" stopIfTrue="1" operator="equal">
      <formula>"x"</formula>
    </cfRule>
  </conditionalFormatting>
  <conditionalFormatting sqref="AF43">
    <cfRule type="expression" dxfId="2105" priority="1787" stopIfTrue="1">
      <formula>B43=""</formula>
    </cfRule>
  </conditionalFormatting>
  <conditionalFormatting sqref="AG43">
    <cfRule type="cellIs" dxfId="2104" priority="1784" stopIfTrue="1" operator="equal">
      <formula>"x"</formula>
    </cfRule>
  </conditionalFormatting>
  <conditionalFormatting sqref="AG43">
    <cfRule type="expression" dxfId="2103" priority="1785" stopIfTrue="1">
      <formula>B43=""</formula>
    </cfRule>
  </conditionalFormatting>
  <conditionalFormatting sqref="AH43">
    <cfRule type="cellIs" dxfId="2102" priority="1782" stopIfTrue="1" operator="equal">
      <formula>"x"</formula>
    </cfRule>
  </conditionalFormatting>
  <conditionalFormatting sqref="AH43">
    <cfRule type="expression" dxfId="2101" priority="1783" stopIfTrue="1">
      <formula>B43=""</formula>
    </cfRule>
  </conditionalFormatting>
  <conditionalFormatting sqref="AI43">
    <cfRule type="cellIs" dxfId="2100" priority="1780" stopIfTrue="1" operator="equal">
      <formula>"x"</formula>
    </cfRule>
  </conditionalFormatting>
  <conditionalFormatting sqref="AI43">
    <cfRule type="expression" dxfId="2099" priority="1781" stopIfTrue="1">
      <formula>B43=""</formula>
    </cfRule>
  </conditionalFormatting>
  <conditionalFormatting sqref="AJ43">
    <cfRule type="cellIs" dxfId="2098" priority="1778" stopIfTrue="1" operator="equal">
      <formula>"x"</formula>
    </cfRule>
  </conditionalFormatting>
  <conditionalFormatting sqref="AJ43">
    <cfRule type="expression" dxfId="2097" priority="1779" stopIfTrue="1">
      <formula>B43=""</formula>
    </cfRule>
  </conditionalFormatting>
  <conditionalFormatting sqref="AK43">
    <cfRule type="cellIs" dxfId="2096" priority="1776" stopIfTrue="1" operator="equal">
      <formula>"x"</formula>
    </cfRule>
  </conditionalFormatting>
  <conditionalFormatting sqref="AK43">
    <cfRule type="expression" dxfId="2095" priority="1777" stopIfTrue="1">
      <formula>B43=""</formula>
    </cfRule>
  </conditionalFormatting>
  <conditionalFormatting sqref="AL43">
    <cfRule type="cellIs" dxfId="2094" priority="1774" stopIfTrue="1" operator="equal">
      <formula>"x"</formula>
    </cfRule>
  </conditionalFormatting>
  <conditionalFormatting sqref="AL43">
    <cfRule type="expression" dxfId="2093" priority="1775" stopIfTrue="1">
      <formula>B43=""</formula>
    </cfRule>
  </conditionalFormatting>
  <conditionalFormatting sqref="AM43">
    <cfRule type="cellIs" dxfId="2092" priority="1772" stopIfTrue="1" operator="equal">
      <formula>"x"</formula>
    </cfRule>
  </conditionalFormatting>
  <conditionalFormatting sqref="AM43">
    <cfRule type="expression" dxfId="2091" priority="1773" stopIfTrue="1">
      <formula>B43=""</formula>
    </cfRule>
  </conditionalFormatting>
  <conditionalFormatting sqref="AN43">
    <cfRule type="cellIs" dxfId="2090" priority="1770" stopIfTrue="1" operator="equal">
      <formula>"x"</formula>
    </cfRule>
  </conditionalFormatting>
  <conditionalFormatting sqref="AN43">
    <cfRule type="expression" dxfId="2089" priority="1771" stopIfTrue="1">
      <formula>B43=""</formula>
    </cfRule>
  </conditionalFormatting>
  <conditionalFormatting sqref="AO43">
    <cfRule type="cellIs" dxfId="2088" priority="1768" stopIfTrue="1" operator="equal">
      <formula>"x"</formula>
    </cfRule>
  </conditionalFormatting>
  <conditionalFormatting sqref="AO43">
    <cfRule type="expression" dxfId="2087" priority="1769" stopIfTrue="1">
      <formula>B43=""</formula>
    </cfRule>
  </conditionalFormatting>
  <conditionalFormatting sqref="AP43">
    <cfRule type="cellIs" dxfId="2086" priority="1766" stopIfTrue="1" operator="equal">
      <formula>"x"</formula>
    </cfRule>
  </conditionalFormatting>
  <conditionalFormatting sqref="AP43">
    <cfRule type="expression" dxfId="2085" priority="1767" stopIfTrue="1">
      <formula>B43=""</formula>
    </cfRule>
  </conditionalFormatting>
  <conditionalFormatting sqref="AQ43">
    <cfRule type="cellIs" dxfId="2084" priority="1764" stopIfTrue="1" operator="equal">
      <formula>"x"</formula>
    </cfRule>
  </conditionalFormatting>
  <conditionalFormatting sqref="AQ43">
    <cfRule type="expression" dxfId="2083" priority="1765" stopIfTrue="1">
      <formula>B43=""</formula>
    </cfRule>
  </conditionalFormatting>
  <conditionalFormatting sqref="AR43">
    <cfRule type="cellIs" dxfId="2082" priority="1762" stopIfTrue="1" operator="equal">
      <formula>"x"</formula>
    </cfRule>
  </conditionalFormatting>
  <conditionalFormatting sqref="AR43">
    <cfRule type="expression" dxfId="2081" priority="1763" stopIfTrue="1">
      <formula>B43=""</formula>
    </cfRule>
  </conditionalFormatting>
  <conditionalFormatting sqref="AS43">
    <cfRule type="cellIs" dxfId="2080" priority="1760" stopIfTrue="1" operator="equal">
      <formula>"x"</formula>
    </cfRule>
  </conditionalFormatting>
  <conditionalFormatting sqref="AS43">
    <cfRule type="expression" dxfId="2079" priority="1761" stopIfTrue="1">
      <formula>B43=""</formula>
    </cfRule>
  </conditionalFormatting>
  <conditionalFormatting sqref="AT43">
    <cfRule type="cellIs" dxfId="2078" priority="1758" stopIfTrue="1" operator="equal">
      <formula>"x"</formula>
    </cfRule>
  </conditionalFormatting>
  <conditionalFormatting sqref="AT43">
    <cfRule type="expression" dxfId="2077" priority="1759" stopIfTrue="1">
      <formula>B43=""</formula>
    </cfRule>
  </conditionalFormatting>
  <conditionalFormatting sqref="AU43">
    <cfRule type="cellIs" dxfId="2076" priority="1756" stopIfTrue="1" operator="equal">
      <formula>"x"</formula>
    </cfRule>
  </conditionalFormatting>
  <conditionalFormatting sqref="AU43">
    <cfRule type="expression" dxfId="2075" priority="1757" stopIfTrue="1">
      <formula>B43=""</formula>
    </cfRule>
  </conditionalFormatting>
  <conditionalFormatting sqref="AV43">
    <cfRule type="cellIs" dxfId="2074" priority="1754" stopIfTrue="1" operator="equal">
      <formula>"x"</formula>
    </cfRule>
  </conditionalFormatting>
  <conditionalFormatting sqref="AV43">
    <cfRule type="expression" dxfId="2073" priority="1755" stopIfTrue="1">
      <formula>B43=""</formula>
    </cfRule>
  </conditionalFormatting>
  <conditionalFormatting sqref="AW43">
    <cfRule type="cellIs" dxfId="2072" priority="1752" stopIfTrue="1" operator="equal">
      <formula>"x"</formula>
    </cfRule>
  </conditionalFormatting>
  <conditionalFormatting sqref="AW43">
    <cfRule type="expression" dxfId="2071" priority="1753" stopIfTrue="1">
      <formula>B43=""</formula>
    </cfRule>
  </conditionalFormatting>
  <conditionalFormatting sqref="AX43">
    <cfRule type="cellIs" dxfId="2070" priority="1750" stopIfTrue="1" operator="equal">
      <formula>"x"</formula>
    </cfRule>
  </conditionalFormatting>
  <conditionalFormatting sqref="AX43">
    <cfRule type="expression" dxfId="2069" priority="1751" stopIfTrue="1">
      <formula>B43=""</formula>
    </cfRule>
  </conditionalFormatting>
  <conditionalFormatting sqref="AY43">
    <cfRule type="cellIs" dxfId="2068" priority="1748" stopIfTrue="1" operator="equal">
      <formula>"x"</formula>
    </cfRule>
  </conditionalFormatting>
  <conditionalFormatting sqref="AY43">
    <cfRule type="expression" dxfId="2067" priority="1749" stopIfTrue="1">
      <formula>B43=""</formula>
    </cfRule>
  </conditionalFormatting>
  <conditionalFormatting sqref="AZ43">
    <cfRule type="cellIs" dxfId="2066" priority="1746" stopIfTrue="1" operator="equal">
      <formula>"x"</formula>
    </cfRule>
  </conditionalFormatting>
  <conditionalFormatting sqref="AZ43">
    <cfRule type="expression" dxfId="2065" priority="1747" stopIfTrue="1">
      <formula>B43=""</formula>
    </cfRule>
  </conditionalFormatting>
  <conditionalFormatting sqref="BA43">
    <cfRule type="cellIs" dxfId="2064" priority="1744" stopIfTrue="1" operator="equal">
      <formula>"x"</formula>
    </cfRule>
  </conditionalFormatting>
  <conditionalFormatting sqref="BA43">
    <cfRule type="expression" dxfId="2063" priority="1745" stopIfTrue="1">
      <formula>B43=""</formula>
    </cfRule>
  </conditionalFormatting>
  <conditionalFormatting sqref="Q42">
    <cfRule type="cellIs" dxfId="2062" priority="1742" stopIfTrue="1" operator="equal">
      <formula>"x"</formula>
    </cfRule>
  </conditionalFormatting>
  <conditionalFormatting sqref="Q42">
    <cfRule type="expression" dxfId="2061" priority="1743" stopIfTrue="1">
      <formula>B42=""</formula>
    </cfRule>
  </conditionalFormatting>
  <conditionalFormatting sqref="R42">
    <cfRule type="cellIs" dxfId="2060" priority="1740" stopIfTrue="1" operator="equal">
      <formula>"x"</formula>
    </cfRule>
  </conditionalFormatting>
  <conditionalFormatting sqref="R42">
    <cfRule type="expression" dxfId="2059" priority="1741" stopIfTrue="1">
      <formula>B42=""</formula>
    </cfRule>
  </conditionalFormatting>
  <conditionalFormatting sqref="S42">
    <cfRule type="cellIs" dxfId="2058" priority="1738" stopIfTrue="1" operator="equal">
      <formula>"x"</formula>
    </cfRule>
  </conditionalFormatting>
  <conditionalFormatting sqref="S42">
    <cfRule type="expression" dxfId="2057" priority="1739" stopIfTrue="1">
      <formula>B42=""</formula>
    </cfRule>
  </conditionalFormatting>
  <conditionalFormatting sqref="T42">
    <cfRule type="cellIs" dxfId="2056" priority="1736" stopIfTrue="1" operator="equal">
      <formula>"x"</formula>
    </cfRule>
  </conditionalFormatting>
  <conditionalFormatting sqref="T42">
    <cfRule type="expression" dxfId="2055" priority="1737" stopIfTrue="1">
      <formula>B42=""</formula>
    </cfRule>
  </conditionalFormatting>
  <conditionalFormatting sqref="U42">
    <cfRule type="cellIs" dxfId="2054" priority="1734" stopIfTrue="1" operator="equal">
      <formula>"x"</formula>
    </cfRule>
  </conditionalFormatting>
  <conditionalFormatting sqref="U42">
    <cfRule type="expression" dxfId="2053" priority="1735" stopIfTrue="1">
      <formula>B42=""</formula>
    </cfRule>
  </conditionalFormatting>
  <conditionalFormatting sqref="V42">
    <cfRule type="cellIs" dxfId="2052" priority="1732" stopIfTrue="1" operator="equal">
      <formula>"x"</formula>
    </cfRule>
  </conditionalFormatting>
  <conditionalFormatting sqref="V42">
    <cfRule type="expression" dxfId="2051" priority="1733" stopIfTrue="1">
      <formula>B42=""</formula>
    </cfRule>
  </conditionalFormatting>
  <conditionalFormatting sqref="W42">
    <cfRule type="cellIs" dxfId="2050" priority="1730" stopIfTrue="1" operator="equal">
      <formula>"x"</formula>
    </cfRule>
  </conditionalFormatting>
  <conditionalFormatting sqref="W42">
    <cfRule type="expression" dxfId="2049" priority="1731" stopIfTrue="1">
      <formula>B42=""</formula>
    </cfRule>
  </conditionalFormatting>
  <conditionalFormatting sqref="X42">
    <cfRule type="cellIs" dxfId="2048" priority="1728" stopIfTrue="1" operator="equal">
      <formula>"x"</formula>
    </cfRule>
  </conditionalFormatting>
  <conditionalFormatting sqref="X42">
    <cfRule type="expression" dxfId="2047" priority="1729" stopIfTrue="1">
      <formula>B42=""</formula>
    </cfRule>
  </conditionalFormatting>
  <conditionalFormatting sqref="Y42">
    <cfRule type="cellIs" dxfId="2046" priority="1726" stopIfTrue="1" operator="equal">
      <formula>"x"</formula>
    </cfRule>
  </conditionalFormatting>
  <conditionalFormatting sqref="Y42">
    <cfRule type="expression" dxfId="2045" priority="1727" stopIfTrue="1">
      <formula>B42=""</formula>
    </cfRule>
  </conditionalFormatting>
  <conditionalFormatting sqref="Z42">
    <cfRule type="cellIs" dxfId="2044" priority="1724" stopIfTrue="1" operator="equal">
      <formula>"x"</formula>
    </cfRule>
  </conditionalFormatting>
  <conditionalFormatting sqref="Z42">
    <cfRule type="expression" dxfId="2043" priority="1725" stopIfTrue="1">
      <formula>B42=""</formula>
    </cfRule>
  </conditionalFormatting>
  <conditionalFormatting sqref="AA42">
    <cfRule type="cellIs" dxfId="2042" priority="1722" stopIfTrue="1" operator="equal">
      <formula>"x"</formula>
    </cfRule>
  </conditionalFormatting>
  <conditionalFormatting sqref="AA42">
    <cfRule type="expression" dxfId="2041" priority="1723" stopIfTrue="1">
      <formula>B42=""</formula>
    </cfRule>
  </conditionalFormatting>
  <conditionalFormatting sqref="AB42">
    <cfRule type="cellIs" dxfId="2040" priority="1720" stopIfTrue="1" operator="equal">
      <formula>"x"</formula>
    </cfRule>
  </conditionalFormatting>
  <conditionalFormatting sqref="AB42">
    <cfRule type="expression" dxfId="2039" priority="1721" stopIfTrue="1">
      <formula>B42=""</formula>
    </cfRule>
  </conditionalFormatting>
  <conditionalFormatting sqref="AC42">
    <cfRule type="cellIs" dxfId="2038" priority="1718" stopIfTrue="1" operator="equal">
      <formula>"x"</formula>
    </cfRule>
  </conditionalFormatting>
  <conditionalFormatting sqref="AC42">
    <cfRule type="expression" dxfId="2037" priority="1719" stopIfTrue="1">
      <formula>B42=""</formula>
    </cfRule>
  </conditionalFormatting>
  <conditionalFormatting sqref="AD42">
    <cfRule type="cellIs" dxfId="2036" priority="1716" stopIfTrue="1" operator="equal">
      <formula>"x"</formula>
    </cfRule>
  </conditionalFormatting>
  <conditionalFormatting sqref="AD42">
    <cfRule type="expression" dxfId="2035" priority="1717" stopIfTrue="1">
      <formula>B42=""</formula>
    </cfRule>
  </conditionalFormatting>
  <conditionalFormatting sqref="AE42">
    <cfRule type="cellIs" dxfId="2034" priority="1714" stopIfTrue="1" operator="equal">
      <formula>"x"</formula>
    </cfRule>
  </conditionalFormatting>
  <conditionalFormatting sqref="AE42">
    <cfRule type="expression" dxfId="2033" priority="1715" stopIfTrue="1">
      <formula>B42=""</formula>
    </cfRule>
  </conditionalFormatting>
  <conditionalFormatting sqref="AF42">
    <cfRule type="cellIs" dxfId="2032" priority="1712" stopIfTrue="1" operator="equal">
      <formula>"x"</formula>
    </cfRule>
  </conditionalFormatting>
  <conditionalFormatting sqref="AF42">
    <cfRule type="expression" dxfId="2031" priority="1713" stopIfTrue="1">
      <formula>B42=""</formula>
    </cfRule>
  </conditionalFormatting>
  <conditionalFormatting sqref="AG42">
    <cfRule type="cellIs" dxfId="2030" priority="1710" stopIfTrue="1" operator="equal">
      <formula>"x"</formula>
    </cfRule>
  </conditionalFormatting>
  <conditionalFormatting sqref="AG42">
    <cfRule type="expression" dxfId="2029" priority="1711" stopIfTrue="1">
      <formula>B42=""</formula>
    </cfRule>
  </conditionalFormatting>
  <conditionalFormatting sqref="AH42">
    <cfRule type="cellIs" dxfId="2028" priority="1708" stopIfTrue="1" operator="equal">
      <formula>"x"</formula>
    </cfRule>
  </conditionalFormatting>
  <conditionalFormatting sqref="AH42">
    <cfRule type="expression" dxfId="2027" priority="1709" stopIfTrue="1">
      <formula>B42=""</formula>
    </cfRule>
  </conditionalFormatting>
  <conditionalFormatting sqref="AI42">
    <cfRule type="cellIs" dxfId="2026" priority="1706" stopIfTrue="1" operator="equal">
      <formula>"x"</formula>
    </cfRule>
  </conditionalFormatting>
  <conditionalFormatting sqref="AI42">
    <cfRule type="expression" dxfId="2025" priority="1707" stopIfTrue="1">
      <formula>B42=""</formula>
    </cfRule>
  </conditionalFormatting>
  <conditionalFormatting sqref="AJ42">
    <cfRule type="cellIs" dxfId="2024" priority="1704" stopIfTrue="1" operator="equal">
      <formula>"x"</formula>
    </cfRule>
  </conditionalFormatting>
  <conditionalFormatting sqref="AJ42">
    <cfRule type="expression" dxfId="2023" priority="1705" stopIfTrue="1">
      <formula>B42=""</formula>
    </cfRule>
  </conditionalFormatting>
  <conditionalFormatting sqref="AK42">
    <cfRule type="cellIs" dxfId="2022" priority="1702" stopIfTrue="1" operator="equal">
      <formula>"x"</formula>
    </cfRule>
  </conditionalFormatting>
  <conditionalFormatting sqref="AK42">
    <cfRule type="expression" dxfId="2021" priority="1703" stopIfTrue="1">
      <formula>B42=""</formula>
    </cfRule>
  </conditionalFormatting>
  <conditionalFormatting sqref="AL42">
    <cfRule type="cellIs" dxfId="2020" priority="1700" stopIfTrue="1" operator="equal">
      <formula>"x"</formula>
    </cfRule>
  </conditionalFormatting>
  <conditionalFormatting sqref="AL42">
    <cfRule type="expression" dxfId="2019" priority="1701" stopIfTrue="1">
      <formula>B42=""</formula>
    </cfRule>
  </conditionalFormatting>
  <conditionalFormatting sqref="AM42">
    <cfRule type="cellIs" dxfId="2018" priority="1698" stopIfTrue="1" operator="equal">
      <formula>"x"</formula>
    </cfRule>
  </conditionalFormatting>
  <conditionalFormatting sqref="AM42">
    <cfRule type="expression" dxfId="2017" priority="1699" stopIfTrue="1">
      <formula>B42=""</formula>
    </cfRule>
  </conditionalFormatting>
  <conditionalFormatting sqref="AN42">
    <cfRule type="cellIs" dxfId="2016" priority="1696" stopIfTrue="1" operator="equal">
      <formula>"x"</formula>
    </cfRule>
  </conditionalFormatting>
  <conditionalFormatting sqref="AN42">
    <cfRule type="expression" dxfId="2015" priority="1697" stopIfTrue="1">
      <formula>B42=""</formula>
    </cfRule>
  </conditionalFormatting>
  <conditionalFormatting sqref="AO42">
    <cfRule type="cellIs" dxfId="2014" priority="1694" stopIfTrue="1" operator="equal">
      <formula>"x"</formula>
    </cfRule>
  </conditionalFormatting>
  <conditionalFormatting sqref="AO42">
    <cfRule type="expression" dxfId="2013" priority="1695" stopIfTrue="1">
      <formula>B42=""</formula>
    </cfRule>
  </conditionalFormatting>
  <conditionalFormatting sqref="AP42">
    <cfRule type="cellIs" dxfId="2012" priority="1692" stopIfTrue="1" operator="equal">
      <formula>"x"</formula>
    </cfRule>
  </conditionalFormatting>
  <conditionalFormatting sqref="AP42">
    <cfRule type="expression" dxfId="2011" priority="1693" stopIfTrue="1">
      <formula>B42=""</formula>
    </cfRule>
  </conditionalFormatting>
  <conditionalFormatting sqref="AQ42">
    <cfRule type="cellIs" dxfId="2010" priority="1690" stopIfTrue="1" operator="equal">
      <formula>"x"</formula>
    </cfRule>
  </conditionalFormatting>
  <conditionalFormatting sqref="AQ42">
    <cfRule type="expression" dxfId="2009" priority="1691" stopIfTrue="1">
      <formula>B42=""</formula>
    </cfRule>
  </conditionalFormatting>
  <conditionalFormatting sqref="AR42">
    <cfRule type="cellIs" dxfId="2008" priority="1688" stopIfTrue="1" operator="equal">
      <formula>"x"</formula>
    </cfRule>
  </conditionalFormatting>
  <conditionalFormatting sqref="AR42">
    <cfRule type="expression" dxfId="2007" priority="1689" stopIfTrue="1">
      <formula>B42=""</formula>
    </cfRule>
  </conditionalFormatting>
  <conditionalFormatting sqref="AS42">
    <cfRule type="cellIs" dxfId="2006" priority="1686" stopIfTrue="1" operator="equal">
      <formula>"x"</formula>
    </cfRule>
  </conditionalFormatting>
  <conditionalFormatting sqref="AS42">
    <cfRule type="expression" dxfId="2005" priority="1687" stopIfTrue="1">
      <formula>B42=""</formula>
    </cfRule>
  </conditionalFormatting>
  <conditionalFormatting sqref="AT42">
    <cfRule type="cellIs" dxfId="2004" priority="1684" stopIfTrue="1" operator="equal">
      <formula>"x"</formula>
    </cfRule>
  </conditionalFormatting>
  <conditionalFormatting sqref="AT42">
    <cfRule type="expression" dxfId="2003" priority="1685" stopIfTrue="1">
      <formula>B42=""</formula>
    </cfRule>
  </conditionalFormatting>
  <conditionalFormatting sqref="AU42">
    <cfRule type="cellIs" dxfId="2002" priority="1682" stopIfTrue="1" operator="equal">
      <formula>"x"</formula>
    </cfRule>
  </conditionalFormatting>
  <conditionalFormatting sqref="AU42">
    <cfRule type="expression" dxfId="2001" priority="1683" stopIfTrue="1">
      <formula>B42=""</formula>
    </cfRule>
  </conditionalFormatting>
  <conditionalFormatting sqref="AV42">
    <cfRule type="cellIs" dxfId="2000" priority="1680" stopIfTrue="1" operator="equal">
      <formula>"x"</formula>
    </cfRule>
  </conditionalFormatting>
  <conditionalFormatting sqref="AV42">
    <cfRule type="expression" dxfId="1999" priority="1681" stopIfTrue="1">
      <formula>B42=""</formula>
    </cfRule>
  </conditionalFormatting>
  <conditionalFormatting sqref="AW42">
    <cfRule type="cellIs" dxfId="1998" priority="1678" stopIfTrue="1" operator="equal">
      <formula>"x"</formula>
    </cfRule>
  </conditionalFormatting>
  <conditionalFormatting sqref="AW42">
    <cfRule type="expression" dxfId="1997" priority="1679" stopIfTrue="1">
      <formula>B42=""</formula>
    </cfRule>
  </conditionalFormatting>
  <conditionalFormatting sqref="AX42">
    <cfRule type="cellIs" dxfId="1996" priority="1676" stopIfTrue="1" operator="equal">
      <formula>"x"</formula>
    </cfRule>
  </conditionalFormatting>
  <conditionalFormatting sqref="AX42">
    <cfRule type="expression" dxfId="1995" priority="1677" stopIfTrue="1">
      <formula>B42=""</formula>
    </cfRule>
  </conditionalFormatting>
  <conditionalFormatting sqref="AY42">
    <cfRule type="cellIs" dxfId="1994" priority="1674" stopIfTrue="1" operator="equal">
      <formula>"x"</formula>
    </cfRule>
  </conditionalFormatting>
  <conditionalFormatting sqref="AY42">
    <cfRule type="expression" dxfId="1993" priority="1675" stopIfTrue="1">
      <formula>B42=""</formula>
    </cfRule>
  </conditionalFormatting>
  <conditionalFormatting sqref="AZ42">
    <cfRule type="cellIs" dxfId="1992" priority="1672" stopIfTrue="1" operator="equal">
      <formula>"x"</formula>
    </cfRule>
  </conditionalFormatting>
  <conditionalFormatting sqref="AZ42">
    <cfRule type="expression" dxfId="1991" priority="1673" stopIfTrue="1">
      <formula>B42=""</formula>
    </cfRule>
  </conditionalFormatting>
  <conditionalFormatting sqref="BA42">
    <cfRule type="cellIs" dxfId="1990" priority="1670" stopIfTrue="1" operator="equal">
      <formula>"x"</formula>
    </cfRule>
  </conditionalFormatting>
  <conditionalFormatting sqref="BA42">
    <cfRule type="expression" dxfId="1989" priority="1671" stopIfTrue="1">
      <formula>B42=""</formula>
    </cfRule>
  </conditionalFormatting>
  <conditionalFormatting sqref="Q41">
    <cfRule type="cellIs" dxfId="1988" priority="1668" stopIfTrue="1" operator="equal">
      <formula>"x"</formula>
    </cfRule>
  </conditionalFormatting>
  <conditionalFormatting sqref="Q41">
    <cfRule type="expression" dxfId="1987" priority="1669" stopIfTrue="1">
      <formula>B41=""</formula>
    </cfRule>
  </conditionalFormatting>
  <conditionalFormatting sqref="R41">
    <cfRule type="cellIs" dxfId="1986" priority="1666" stopIfTrue="1" operator="equal">
      <formula>"x"</formula>
    </cfRule>
  </conditionalFormatting>
  <conditionalFormatting sqref="R41">
    <cfRule type="expression" dxfId="1985" priority="1667" stopIfTrue="1">
      <formula>B41=""</formula>
    </cfRule>
  </conditionalFormatting>
  <conditionalFormatting sqref="S41">
    <cfRule type="cellIs" dxfId="1984" priority="1664" stopIfTrue="1" operator="equal">
      <formula>"x"</formula>
    </cfRule>
  </conditionalFormatting>
  <conditionalFormatting sqref="S41">
    <cfRule type="expression" dxfId="1983" priority="1665" stopIfTrue="1">
      <formula>B41=""</formula>
    </cfRule>
  </conditionalFormatting>
  <conditionalFormatting sqref="T41">
    <cfRule type="cellIs" dxfId="1982" priority="1662" stopIfTrue="1" operator="equal">
      <formula>"x"</formula>
    </cfRule>
  </conditionalFormatting>
  <conditionalFormatting sqref="T41">
    <cfRule type="expression" dxfId="1981" priority="1663" stopIfTrue="1">
      <formula>B41=""</formula>
    </cfRule>
  </conditionalFormatting>
  <conditionalFormatting sqref="U41">
    <cfRule type="cellIs" dxfId="1980" priority="1660" stopIfTrue="1" operator="equal">
      <formula>"x"</formula>
    </cfRule>
  </conditionalFormatting>
  <conditionalFormatting sqref="U41">
    <cfRule type="expression" dxfId="1979" priority="1661" stopIfTrue="1">
      <formula>B41=""</formula>
    </cfRule>
  </conditionalFormatting>
  <conditionalFormatting sqref="V41">
    <cfRule type="cellIs" dxfId="1978" priority="1658" stopIfTrue="1" operator="equal">
      <formula>"x"</formula>
    </cfRule>
  </conditionalFormatting>
  <conditionalFormatting sqref="V41">
    <cfRule type="expression" dxfId="1977" priority="1659" stopIfTrue="1">
      <formula>B41=""</formula>
    </cfRule>
  </conditionalFormatting>
  <conditionalFormatting sqref="W41">
    <cfRule type="cellIs" dxfId="1976" priority="1656" stopIfTrue="1" operator="equal">
      <formula>"x"</formula>
    </cfRule>
  </conditionalFormatting>
  <conditionalFormatting sqref="W41">
    <cfRule type="expression" dxfId="1975" priority="1657" stopIfTrue="1">
      <formula>B41=""</formula>
    </cfRule>
  </conditionalFormatting>
  <conditionalFormatting sqref="X41">
    <cfRule type="cellIs" dxfId="1974" priority="1654" stopIfTrue="1" operator="equal">
      <formula>"x"</formula>
    </cfRule>
  </conditionalFormatting>
  <conditionalFormatting sqref="X41">
    <cfRule type="expression" dxfId="1973" priority="1655" stopIfTrue="1">
      <formula>B41=""</formula>
    </cfRule>
  </conditionalFormatting>
  <conditionalFormatting sqref="Y41">
    <cfRule type="cellIs" dxfId="1972" priority="1652" stopIfTrue="1" operator="equal">
      <formula>"x"</formula>
    </cfRule>
  </conditionalFormatting>
  <conditionalFormatting sqref="Y41">
    <cfRule type="expression" dxfId="1971" priority="1653" stopIfTrue="1">
      <formula>B41=""</formula>
    </cfRule>
  </conditionalFormatting>
  <conditionalFormatting sqref="Z41">
    <cfRule type="cellIs" dxfId="1970" priority="1650" stopIfTrue="1" operator="equal">
      <formula>"x"</formula>
    </cfRule>
  </conditionalFormatting>
  <conditionalFormatting sqref="Z41">
    <cfRule type="expression" dxfId="1969" priority="1651" stopIfTrue="1">
      <formula>B41=""</formula>
    </cfRule>
  </conditionalFormatting>
  <conditionalFormatting sqref="AA41">
    <cfRule type="cellIs" dxfId="1968" priority="1648" stopIfTrue="1" operator="equal">
      <formula>"x"</formula>
    </cfRule>
  </conditionalFormatting>
  <conditionalFormatting sqref="AA41">
    <cfRule type="expression" dxfId="1967" priority="1649" stopIfTrue="1">
      <formula>B41=""</formula>
    </cfRule>
  </conditionalFormatting>
  <conditionalFormatting sqref="AB41">
    <cfRule type="cellIs" dxfId="1966" priority="1646" stopIfTrue="1" operator="equal">
      <formula>"x"</formula>
    </cfRule>
  </conditionalFormatting>
  <conditionalFormatting sqref="AB41">
    <cfRule type="expression" dxfId="1965" priority="1647" stopIfTrue="1">
      <formula>B41=""</formula>
    </cfRule>
  </conditionalFormatting>
  <conditionalFormatting sqref="AC41">
    <cfRule type="cellIs" dxfId="1964" priority="1644" stopIfTrue="1" operator="equal">
      <formula>"x"</formula>
    </cfRule>
  </conditionalFormatting>
  <conditionalFormatting sqref="AC41">
    <cfRule type="expression" dxfId="1963" priority="1645" stopIfTrue="1">
      <formula>B41=""</formula>
    </cfRule>
  </conditionalFormatting>
  <conditionalFormatting sqref="AD41">
    <cfRule type="cellIs" dxfId="1962" priority="1642" stopIfTrue="1" operator="equal">
      <formula>"x"</formula>
    </cfRule>
  </conditionalFormatting>
  <conditionalFormatting sqref="AD41">
    <cfRule type="expression" dxfId="1961" priority="1643" stopIfTrue="1">
      <formula>B41=""</formula>
    </cfRule>
  </conditionalFormatting>
  <conditionalFormatting sqref="AE41">
    <cfRule type="cellIs" dxfId="1960" priority="1640" stopIfTrue="1" operator="equal">
      <formula>"x"</formula>
    </cfRule>
  </conditionalFormatting>
  <conditionalFormatting sqref="AE41">
    <cfRule type="expression" dxfId="1959" priority="1641" stopIfTrue="1">
      <formula>B41=""</formula>
    </cfRule>
  </conditionalFormatting>
  <conditionalFormatting sqref="AF41">
    <cfRule type="cellIs" dxfId="1958" priority="1638" stopIfTrue="1" operator="equal">
      <formula>"x"</formula>
    </cfRule>
  </conditionalFormatting>
  <conditionalFormatting sqref="AF41">
    <cfRule type="expression" dxfId="1957" priority="1639" stopIfTrue="1">
      <formula>B41=""</formula>
    </cfRule>
  </conditionalFormatting>
  <conditionalFormatting sqref="AG41">
    <cfRule type="cellIs" dxfId="1956" priority="1636" stopIfTrue="1" operator="equal">
      <formula>"x"</formula>
    </cfRule>
  </conditionalFormatting>
  <conditionalFormatting sqref="AG41">
    <cfRule type="expression" dxfId="1955" priority="1637" stopIfTrue="1">
      <formula>B41=""</formula>
    </cfRule>
  </conditionalFormatting>
  <conditionalFormatting sqref="AH41">
    <cfRule type="cellIs" dxfId="1954" priority="1634" stopIfTrue="1" operator="equal">
      <formula>"x"</formula>
    </cfRule>
  </conditionalFormatting>
  <conditionalFormatting sqref="AH41">
    <cfRule type="expression" dxfId="1953" priority="1635" stopIfTrue="1">
      <formula>B41=""</formula>
    </cfRule>
  </conditionalFormatting>
  <conditionalFormatting sqref="AI41">
    <cfRule type="cellIs" dxfId="1952" priority="1632" stopIfTrue="1" operator="equal">
      <formula>"x"</formula>
    </cfRule>
  </conditionalFormatting>
  <conditionalFormatting sqref="AI41">
    <cfRule type="expression" dxfId="1951" priority="1633" stopIfTrue="1">
      <formula>B41=""</formula>
    </cfRule>
  </conditionalFormatting>
  <conditionalFormatting sqref="AJ41">
    <cfRule type="cellIs" dxfId="1950" priority="1630" stopIfTrue="1" operator="equal">
      <formula>"x"</formula>
    </cfRule>
  </conditionalFormatting>
  <conditionalFormatting sqref="AJ41">
    <cfRule type="expression" dxfId="1949" priority="1631" stopIfTrue="1">
      <formula>B41=""</formula>
    </cfRule>
  </conditionalFormatting>
  <conditionalFormatting sqref="AK41">
    <cfRule type="cellIs" dxfId="1948" priority="1628" stopIfTrue="1" operator="equal">
      <formula>"x"</formula>
    </cfRule>
  </conditionalFormatting>
  <conditionalFormatting sqref="AK41">
    <cfRule type="expression" dxfId="1947" priority="1629" stopIfTrue="1">
      <formula>B41=""</formula>
    </cfRule>
  </conditionalFormatting>
  <conditionalFormatting sqref="AL41">
    <cfRule type="cellIs" dxfId="1946" priority="1626" stopIfTrue="1" operator="equal">
      <formula>"x"</formula>
    </cfRule>
  </conditionalFormatting>
  <conditionalFormatting sqref="AL41">
    <cfRule type="expression" dxfId="1945" priority="1627" stopIfTrue="1">
      <formula>B41=""</formula>
    </cfRule>
  </conditionalFormatting>
  <conditionalFormatting sqref="AM41">
    <cfRule type="cellIs" dxfId="1944" priority="1624" stopIfTrue="1" operator="equal">
      <formula>"x"</formula>
    </cfRule>
  </conditionalFormatting>
  <conditionalFormatting sqref="AM41">
    <cfRule type="expression" dxfId="1943" priority="1625" stopIfTrue="1">
      <formula>B41=""</formula>
    </cfRule>
  </conditionalFormatting>
  <conditionalFormatting sqref="AN41">
    <cfRule type="cellIs" dxfId="1942" priority="1622" stopIfTrue="1" operator="equal">
      <formula>"x"</formula>
    </cfRule>
  </conditionalFormatting>
  <conditionalFormatting sqref="AN41">
    <cfRule type="expression" dxfId="1941" priority="1623" stopIfTrue="1">
      <formula>B41=""</formula>
    </cfRule>
  </conditionalFormatting>
  <conditionalFormatting sqref="AO41">
    <cfRule type="cellIs" dxfId="1940" priority="1620" stopIfTrue="1" operator="equal">
      <formula>"x"</formula>
    </cfRule>
  </conditionalFormatting>
  <conditionalFormatting sqref="AO41">
    <cfRule type="expression" dxfId="1939" priority="1621" stopIfTrue="1">
      <formula>B41=""</formula>
    </cfRule>
  </conditionalFormatting>
  <conditionalFormatting sqref="AP41">
    <cfRule type="cellIs" dxfId="1938" priority="1618" stopIfTrue="1" operator="equal">
      <formula>"x"</formula>
    </cfRule>
  </conditionalFormatting>
  <conditionalFormatting sqref="AP41">
    <cfRule type="expression" dxfId="1937" priority="1619" stopIfTrue="1">
      <formula>B41=""</formula>
    </cfRule>
  </conditionalFormatting>
  <conditionalFormatting sqref="AQ41">
    <cfRule type="cellIs" dxfId="1936" priority="1616" stopIfTrue="1" operator="equal">
      <formula>"x"</formula>
    </cfRule>
  </conditionalFormatting>
  <conditionalFormatting sqref="AQ41">
    <cfRule type="expression" dxfId="1935" priority="1617" stopIfTrue="1">
      <formula>B41=""</formula>
    </cfRule>
  </conditionalFormatting>
  <conditionalFormatting sqref="AR41">
    <cfRule type="cellIs" dxfId="1934" priority="1614" stopIfTrue="1" operator="equal">
      <formula>"x"</formula>
    </cfRule>
  </conditionalFormatting>
  <conditionalFormatting sqref="AR41">
    <cfRule type="expression" dxfId="1933" priority="1615" stopIfTrue="1">
      <formula>B41=""</formula>
    </cfRule>
  </conditionalFormatting>
  <conditionalFormatting sqref="AS41">
    <cfRule type="cellIs" dxfId="1932" priority="1612" stopIfTrue="1" operator="equal">
      <formula>"x"</formula>
    </cfRule>
  </conditionalFormatting>
  <conditionalFormatting sqref="AS41">
    <cfRule type="expression" dxfId="1931" priority="1613" stopIfTrue="1">
      <formula>B41=""</formula>
    </cfRule>
  </conditionalFormatting>
  <conditionalFormatting sqref="AT41">
    <cfRule type="cellIs" dxfId="1930" priority="1610" stopIfTrue="1" operator="equal">
      <formula>"x"</formula>
    </cfRule>
  </conditionalFormatting>
  <conditionalFormatting sqref="AT41">
    <cfRule type="expression" dxfId="1929" priority="1611" stopIfTrue="1">
      <formula>B41=""</formula>
    </cfRule>
  </conditionalFormatting>
  <conditionalFormatting sqref="AU41">
    <cfRule type="cellIs" dxfId="1928" priority="1608" stopIfTrue="1" operator="equal">
      <formula>"x"</formula>
    </cfRule>
  </conditionalFormatting>
  <conditionalFormatting sqref="AU41">
    <cfRule type="expression" dxfId="1927" priority="1609" stopIfTrue="1">
      <formula>B41=""</formula>
    </cfRule>
  </conditionalFormatting>
  <conditionalFormatting sqref="AV41">
    <cfRule type="cellIs" dxfId="1926" priority="1606" stopIfTrue="1" operator="equal">
      <formula>"x"</formula>
    </cfRule>
  </conditionalFormatting>
  <conditionalFormatting sqref="AV41">
    <cfRule type="expression" dxfId="1925" priority="1607" stopIfTrue="1">
      <formula>B41=""</formula>
    </cfRule>
  </conditionalFormatting>
  <conditionalFormatting sqref="AW41">
    <cfRule type="cellIs" dxfId="1924" priority="1604" stopIfTrue="1" operator="equal">
      <formula>"x"</formula>
    </cfRule>
  </conditionalFormatting>
  <conditionalFormatting sqref="AW41">
    <cfRule type="expression" dxfId="1923" priority="1605" stopIfTrue="1">
      <formula>B41=""</formula>
    </cfRule>
  </conditionalFormatting>
  <conditionalFormatting sqref="AX41">
    <cfRule type="cellIs" dxfId="1922" priority="1602" stopIfTrue="1" operator="equal">
      <formula>"x"</formula>
    </cfRule>
  </conditionalFormatting>
  <conditionalFormatting sqref="AX41">
    <cfRule type="expression" dxfId="1921" priority="1603" stopIfTrue="1">
      <formula>B41=""</formula>
    </cfRule>
  </conditionalFormatting>
  <conditionalFormatting sqref="AY41">
    <cfRule type="cellIs" dxfId="1920" priority="1600" stopIfTrue="1" operator="equal">
      <formula>"x"</formula>
    </cfRule>
  </conditionalFormatting>
  <conditionalFormatting sqref="AY41">
    <cfRule type="expression" dxfId="1919" priority="1601" stopIfTrue="1">
      <formula>B41=""</formula>
    </cfRule>
  </conditionalFormatting>
  <conditionalFormatting sqref="AZ41">
    <cfRule type="cellIs" dxfId="1918" priority="1598" stopIfTrue="1" operator="equal">
      <formula>"x"</formula>
    </cfRule>
  </conditionalFormatting>
  <conditionalFormatting sqref="AZ41">
    <cfRule type="expression" dxfId="1917" priority="1599" stopIfTrue="1">
      <formula>B41=""</formula>
    </cfRule>
  </conditionalFormatting>
  <conditionalFormatting sqref="BA41">
    <cfRule type="cellIs" dxfId="1916" priority="1596" stopIfTrue="1" operator="equal">
      <formula>"x"</formula>
    </cfRule>
  </conditionalFormatting>
  <conditionalFormatting sqref="BA41">
    <cfRule type="expression" dxfId="1915" priority="1597" stopIfTrue="1">
      <formula>B41=""</formula>
    </cfRule>
  </conditionalFormatting>
  <conditionalFormatting sqref="Q40">
    <cfRule type="cellIs" dxfId="1914" priority="1594" stopIfTrue="1" operator="equal">
      <formula>"x"</formula>
    </cfRule>
  </conditionalFormatting>
  <conditionalFormatting sqref="Q40">
    <cfRule type="expression" dxfId="1913" priority="1595" stopIfTrue="1">
      <formula>B40=""</formula>
    </cfRule>
  </conditionalFormatting>
  <conditionalFormatting sqref="R40">
    <cfRule type="cellIs" dxfId="1912" priority="1592" stopIfTrue="1" operator="equal">
      <formula>"x"</formula>
    </cfRule>
  </conditionalFormatting>
  <conditionalFormatting sqref="R40">
    <cfRule type="expression" dxfId="1911" priority="1593" stopIfTrue="1">
      <formula>B40=""</formula>
    </cfRule>
  </conditionalFormatting>
  <conditionalFormatting sqref="S40">
    <cfRule type="cellIs" dxfId="1910" priority="1590" stopIfTrue="1" operator="equal">
      <formula>"x"</formula>
    </cfRule>
  </conditionalFormatting>
  <conditionalFormatting sqref="S40">
    <cfRule type="expression" dxfId="1909" priority="1591" stopIfTrue="1">
      <formula>B40=""</formula>
    </cfRule>
  </conditionalFormatting>
  <conditionalFormatting sqref="T40">
    <cfRule type="cellIs" dxfId="1908" priority="1588" stopIfTrue="1" operator="equal">
      <formula>"x"</formula>
    </cfRule>
  </conditionalFormatting>
  <conditionalFormatting sqref="T40">
    <cfRule type="expression" dxfId="1907" priority="1589" stopIfTrue="1">
      <formula>B40=""</formula>
    </cfRule>
  </conditionalFormatting>
  <conditionalFormatting sqref="U40">
    <cfRule type="cellIs" dxfId="1906" priority="1586" stopIfTrue="1" operator="equal">
      <formula>"x"</formula>
    </cfRule>
  </conditionalFormatting>
  <conditionalFormatting sqref="U40">
    <cfRule type="expression" dxfId="1905" priority="1587" stopIfTrue="1">
      <formula>B40=""</formula>
    </cfRule>
  </conditionalFormatting>
  <conditionalFormatting sqref="V40">
    <cfRule type="cellIs" dxfId="1904" priority="1584" stopIfTrue="1" operator="equal">
      <formula>"x"</formula>
    </cfRule>
  </conditionalFormatting>
  <conditionalFormatting sqref="V40">
    <cfRule type="expression" dxfId="1903" priority="1585" stopIfTrue="1">
      <formula>B40=""</formula>
    </cfRule>
  </conditionalFormatting>
  <conditionalFormatting sqref="W40">
    <cfRule type="cellIs" dxfId="1902" priority="1582" stopIfTrue="1" operator="equal">
      <formula>"x"</formula>
    </cfRule>
  </conditionalFormatting>
  <conditionalFormatting sqref="W40">
    <cfRule type="expression" dxfId="1901" priority="1583" stopIfTrue="1">
      <formula>B40=""</formula>
    </cfRule>
  </conditionalFormatting>
  <conditionalFormatting sqref="X40">
    <cfRule type="cellIs" dxfId="1900" priority="1580" stopIfTrue="1" operator="equal">
      <formula>"x"</formula>
    </cfRule>
  </conditionalFormatting>
  <conditionalFormatting sqref="X40">
    <cfRule type="expression" dxfId="1899" priority="1581" stopIfTrue="1">
      <formula>B40=""</formula>
    </cfRule>
  </conditionalFormatting>
  <conditionalFormatting sqref="Y40">
    <cfRule type="cellIs" dxfId="1898" priority="1578" stopIfTrue="1" operator="equal">
      <formula>"x"</formula>
    </cfRule>
  </conditionalFormatting>
  <conditionalFormatting sqref="Y40">
    <cfRule type="expression" dxfId="1897" priority="1579" stopIfTrue="1">
      <formula>B40=""</formula>
    </cfRule>
  </conditionalFormatting>
  <conditionalFormatting sqref="Z40">
    <cfRule type="cellIs" dxfId="1896" priority="1576" stopIfTrue="1" operator="equal">
      <formula>"x"</formula>
    </cfRule>
  </conditionalFormatting>
  <conditionalFormatting sqref="Z40">
    <cfRule type="expression" dxfId="1895" priority="1577" stopIfTrue="1">
      <formula>B40=""</formula>
    </cfRule>
  </conditionalFormatting>
  <conditionalFormatting sqref="AA40">
    <cfRule type="cellIs" dxfId="1894" priority="1574" stopIfTrue="1" operator="equal">
      <formula>"x"</formula>
    </cfRule>
  </conditionalFormatting>
  <conditionalFormatting sqref="AA40">
    <cfRule type="expression" dxfId="1893" priority="1575" stopIfTrue="1">
      <formula>B40=""</formula>
    </cfRule>
  </conditionalFormatting>
  <conditionalFormatting sqref="AB40">
    <cfRule type="cellIs" dxfId="1892" priority="1572" stopIfTrue="1" operator="equal">
      <formula>"x"</formula>
    </cfRule>
  </conditionalFormatting>
  <conditionalFormatting sqref="AB40">
    <cfRule type="expression" dxfId="1891" priority="1573" stopIfTrue="1">
      <formula>B40=""</formula>
    </cfRule>
  </conditionalFormatting>
  <conditionalFormatting sqref="AC40">
    <cfRule type="cellIs" dxfId="1890" priority="1570" stopIfTrue="1" operator="equal">
      <formula>"x"</formula>
    </cfRule>
  </conditionalFormatting>
  <conditionalFormatting sqref="AC40">
    <cfRule type="expression" dxfId="1889" priority="1571" stopIfTrue="1">
      <formula>B40=""</formula>
    </cfRule>
  </conditionalFormatting>
  <conditionalFormatting sqref="AD40">
    <cfRule type="cellIs" dxfId="1888" priority="1568" stopIfTrue="1" operator="equal">
      <formula>"x"</formula>
    </cfRule>
  </conditionalFormatting>
  <conditionalFormatting sqref="AD40">
    <cfRule type="expression" dxfId="1887" priority="1569" stopIfTrue="1">
      <formula>B40=""</formula>
    </cfRule>
  </conditionalFormatting>
  <conditionalFormatting sqref="AE40">
    <cfRule type="cellIs" dxfId="1886" priority="1566" stopIfTrue="1" operator="equal">
      <formula>"x"</formula>
    </cfRule>
  </conditionalFormatting>
  <conditionalFormatting sqref="AE40">
    <cfRule type="expression" dxfId="1885" priority="1567" stopIfTrue="1">
      <formula>B40=""</formula>
    </cfRule>
  </conditionalFormatting>
  <conditionalFormatting sqref="AF40">
    <cfRule type="cellIs" dxfId="1884" priority="1564" stopIfTrue="1" operator="equal">
      <formula>"x"</formula>
    </cfRule>
  </conditionalFormatting>
  <conditionalFormatting sqref="AF40">
    <cfRule type="expression" dxfId="1883" priority="1565" stopIfTrue="1">
      <formula>B40=""</formula>
    </cfRule>
  </conditionalFormatting>
  <conditionalFormatting sqref="AG40">
    <cfRule type="cellIs" dxfId="1882" priority="1562" stopIfTrue="1" operator="equal">
      <formula>"x"</formula>
    </cfRule>
  </conditionalFormatting>
  <conditionalFormatting sqref="AG40">
    <cfRule type="expression" dxfId="1881" priority="1563" stopIfTrue="1">
      <formula>B40=""</formula>
    </cfRule>
  </conditionalFormatting>
  <conditionalFormatting sqref="AH40">
    <cfRule type="cellIs" dxfId="1880" priority="1560" stopIfTrue="1" operator="equal">
      <formula>"x"</formula>
    </cfRule>
  </conditionalFormatting>
  <conditionalFormatting sqref="AH40">
    <cfRule type="expression" dxfId="1879" priority="1561" stopIfTrue="1">
      <formula>B40=""</formula>
    </cfRule>
  </conditionalFormatting>
  <conditionalFormatting sqref="AI40">
    <cfRule type="cellIs" dxfId="1878" priority="1558" stopIfTrue="1" operator="equal">
      <formula>"x"</formula>
    </cfRule>
  </conditionalFormatting>
  <conditionalFormatting sqref="AI40">
    <cfRule type="expression" dxfId="1877" priority="1559" stopIfTrue="1">
      <formula>B40=""</formula>
    </cfRule>
  </conditionalFormatting>
  <conditionalFormatting sqref="AJ40">
    <cfRule type="cellIs" dxfId="1876" priority="1556" stopIfTrue="1" operator="equal">
      <formula>"x"</formula>
    </cfRule>
  </conditionalFormatting>
  <conditionalFormatting sqref="AJ40">
    <cfRule type="expression" dxfId="1875" priority="1557" stopIfTrue="1">
      <formula>B40=""</formula>
    </cfRule>
  </conditionalFormatting>
  <conditionalFormatting sqref="AK40">
    <cfRule type="cellIs" dxfId="1874" priority="1554" stopIfTrue="1" operator="equal">
      <formula>"x"</formula>
    </cfRule>
  </conditionalFormatting>
  <conditionalFormatting sqref="AK40">
    <cfRule type="expression" dxfId="1873" priority="1555" stopIfTrue="1">
      <formula>B40=""</formula>
    </cfRule>
  </conditionalFormatting>
  <conditionalFormatting sqref="AL40">
    <cfRule type="cellIs" dxfId="1872" priority="1552" stopIfTrue="1" operator="equal">
      <formula>"x"</formula>
    </cfRule>
  </conditionalFormatting>
  <conditionalFormatting sqref="AL40">
    <cfRule type="expression" dxfId="1871" priority="1553" stopIfTrue="1">
      <formula>B40=""</formula>
    </cfRule>
  </conditionalFormatting>
  <conditionalFormatting sqref="AM40">
    <cfRule type="cellIs" dxfId="1870" priority="1550" stopIfTrue="1" operator="equal">
      <formula>"x"</formula>
    </cfRule>
  </conditionalFormatting>
  <conditionalFormatting sqref="AM40">
    <cfRule type="expression" dxfId="1869" priority="1551" stopIfTrue="1">
      <formula>B40=""</formula>
    </cfRule>
  </conditionalFormatting>
  <conditionalFormatting sqref="AN40">
    <cfRule type="cellIs" dxfId="1868" priority="1548" stopIfTrue="1" operator="equal">
      <formula>"x"</formula>
    </cfRule>
  </conditionalFormatting>
  <conditionalFormatting sqref="AN40">
    <cfRule type="expression" dxfId="1867" priority="1549" stopIfTrue="1">
      <formula>B40=""</formula>
    </cfRule>
  </conditionalFormatting>
  <conditionalFormatting sqref="AO40">
    <cfRule type="cellIs" dxfId="1866" priority="1546" stopIfTrue="1" operator="equal">
      <formula>"x"</formula>
    </cfRule>
  </conditionalFormatting>
  <conditionalFormatting sqref="AO40">
    <cfRule type="expression" dxfId="1865" priority="1547" stopIfTrue="1">
      <formula>B40=""</formula>
    </cfRule>
  </conditionalFormatting>
  <conditionalFormatting sqref="AP40">
    <cfRule type="cellIs" dxfId="1864" priority="1544" stopIfTrue="1" operator="equal">
      <formula>"x"</formula>
    </cfRule>
  </conditionalFormatting>
  <conditionalFormatting sqref="AP40">
    <cfRule type="expression" dxfId="1863" priority="1545" stopIfTrue="1">
      <formula>B40=""</formula>
    </cfRule>
  </conditionalFormatting>
  <conditionalFormatting sqref="AQ40">
    <cfRule type="cellIs" dxfId="1862" priority="1542" stopIfTrue="1" operator="equal">
      <formula>"x"</formula>
    </cfRule>
  </conditionalFormatting>
  <conditionalFormatting sqref="AQ40">
    <cfRule type="expression" dxfId="1861" priority="1543" stopIfTrue="1">
      <formula>B40=""</formula>
    </cfRule>
  </conditionalFormatting>
  <conditionalFormatting sqref="AR40">
    <cfRule type="cellIs" dxfId="1860" priority="1540" stopIfTrue="1" operator="equal">
      <formula>"x"</formula>
    </cfRule>
  </conditionalFormatting>
  <conditionalFormatting sqref="AR40">
    <cfRule type="expression" dxfId="1859" priority="1541" stopIfTrue="1">
      <formula>B40=""</formula>
    </cfRule>
  </conditionalFormatting>
  <conditionalFormatting sqref="AS40">
    <cfRule type="cellIs" dxfId="1858" priority="1538" stopIfTrue="1" operator="equal">
      <formula>"x"</formula>
    </cfRule>
  </conditionalFormatting>
  <conditionalFormatting sqref="AS40">
    <cfRule type="expression" dxfId="1857" priority="1539" stopIfTrue="1">
      <formula>B40=""</formula>
    </cfRule>
  </conditionalFormatting>
  <conditionalFormatting sqref="AT40">
    <cfRule type="cellIs" dxfId="1856" priority="1536" stopIfTrue="1" operator="equal">
      <formula>"x"</formula>
    </cfRule>
  </conditionalFormatting>
  <conditionalFormatting sqref="AT40">
    <cfRule type="expression" dxfId="1855" priority="1537" stopIfTrue="1">
      <formula>B40=""</formula>
    </cfRule>
  </conditionalFormatting>
  <conditionalFormatting sqref="AU40">
    <cfRule type="cellIs" dxfId="1854" priority="1534" stopIfTrue="1" operator="equal">
      <formula>"x"</formula>
    </cfRule>
  </conditionalFormatting>
  <conditionalFormatting sqref="AU40">
    <cfRule type="expression" dxfId="1853" priority="1535" stopIfTrue="1">
      <formula>B40=""</formula>
    </cfRule>
  </conditionalFormatting>
  <conditionalFormatting sqref="AV40">
    <cfRule type="cellIs" dxfId="1852" priority="1532" stopIfTrue="1" operator="equal">
      <formula>"x"</formula>
    </cfRule>
  </conditionalFormatting>
  <conditionalFormatting sqref="AV40">
    <cfRule type="expression" dxfId="1851" priority="1533" stopIfTrue="1">
      <formula>B40=""</formula>
    </cfRule>
  </conditionalFormatting>
  <conditionalFormatting sqref="AW40">
    <cfRule type="cellIs" dxfId="1850" priority="1530" stopIfTrue="1" operator="equal">
      <formula>"x"</formula>
    </cfRule>
  </conditionalFormatting>
  <conditionalFormatting sqref="AW40">
    <cfRule type="expression" dxfId="1849" priority="1531" stopIfTrue="1">
      <formula>B40=""</formula>
    </cfRule>
  </conditionalFormatting>
  <conditionalFormatting sqref="AX40">
    <cfRule type="cellIs" dxfId="1848" priority="1528" stopIfTrue="1" operator="equal">
      <formula>"x"</formula>
    </cfRule>
  </conditionalFormatting>
  <conditionalFormatting sqref="AX40">
    <cfRule type="expression" dxfId="1847" priority="1529" stopIfTrue="1">
      <formula>B40=""</formula>
    </cfRule>
  </conditionalFormatting>
  <conditionalFormatting sqref="AY40">
    <cfRule type="cellIs" dxfId="1846" priority="1526" stopIfTrue="1" operator="equal">
      <formula>"x"</formula>
    </cfRule>
  </conditionalFormatting>
  <conditionalFormatting sqref="AY40">
    <cfRule type="expression" dxfId="1845" priority="1527" stopIfTrue="1">
      <formula>B40=""</formula>
    </cfRule>
  </conditionalFormatting>
  <conditionalFormatting sqref="AZ40">
    <cfRule type="cellIs" dxfId="1844" priority="1524" stopIfTrue="1" operator="equal">
      <formula>"x"</formula>
    </cfRule>
  </conditionalFormatting>
  <conditionalFormatting sqref="AZ40">
    <cfRule type="expression" dxfId="1843" priority="1525" stopIfTrue="1">
      <formula>B40=""</formula>
    </cfRule>
  </conditionalFormatting>
  <conditionalFormatting sqref="BA40">
    <cfRule type="cellIs" dxfId="1842" priority="1522" stopIfTrue="1" operator="equal">
      <formula>"x"</formula>
    </cfRule>
  </conditionalFormatting>
  <conditionalFormatting sqref="BA40">
    <cfRule type="expression" dxfId="1841" priority="1523" stopIfTrue="1">
      <formula>B40=""</formula>
    </cfRule>
  </conditionalFormatting>
  <conditionalFormatting sqref="Q38">
    <cfRule type="cellIs" dxfId="1840" priority="1520" stopIfTrue="1" operator="equal">
      <formula>"x"</formula>
    </cfRule>
  </conditionalFormatting>
  <conditionalFormatting sqref="Q38">
    <cfRule type="expression" dxfId="1839" priority="1521" stopIfTrue="1">
      <formula>B38=""</formula>
    </cfRule>
  </conditionalFormatting>
  <conditionalFormatting sqref="R38">
    <cfRule type="cellIs" dxfId="1838" priority="1518" stopIfTrue="1" operator="equal">
      <formula>"x"</formula>
    </cfRule>
  </conditionalFormatting>
  <conditionalFormatting sqref="R38">
    <cfRule type="expression" dxfId="1837" priority="1519" stopIfTrue="1">
      <formula>B38=""</formula>
    </cfRule>
  </conditionalFormatting>
  <conditionalFormatting sqref="S38">
    <cfRule type="cellIs" dxfId="1836" priority="1516" stopIfTrue="1" operator="equal">
      <formula>"x"</formula>
    </cfRule>
  </conditionalFormatting>
  <conditionalFormatting sqref="S38">
    <cfRule type="expression" dxfId="1835" priority="1517" stopIfTrue="1">
      <formula>B38=""</formula>
    </cfRule>
  </conditionalFormatting>
  <conditionalFormatting sqref="T38">
    <cfRule type="cellIs" dxfId="1834" priority="1514" stopIfTrue="1" operator="equal">
      <formula>"x"</formula>
    </cfRule>
  </conditionalFormatting>
  <conditionalFormatting sqref="T38">
    <cfRule type="expression" dxfId="1833" priority="1515" stopIfTrue="1">
      <formula>B38=""</formula>
    </cfRule>
  </conditionalFormatting>
  <conditionalFormatting sqref="U38">
    <cfRule type="cellIs" dxfId="1832" priority="1512" stopIfTrue="1" operator="equal">
      <formula>"x"</formula>
    </cfRule>
  </conditionalFormatting>
  <conditionalFormatting sqref="U38">
    <cfRule type="expression" dxfId="1831" priority="1513" stopIfTrue="1">
      <formula>B38=""</formula>
    </cfRule>
  </conditionalFormatting>
  <conditionalFormatting sqref="V38">
    <cfRule type="cellIs" dxfId="1830" priority="1510" stopIfTrue="1" operator="equal">
      <formula>"x"</formula>
    </cfRule>
  </conditionalFormatting>
  <conditionalFormatting sqref="V38">
    <cfRule type="expression" dxfId="1829" priority="1511" stopIfTrue="1">
      <formula>B38=""</formula>
    </cfRule>
  </conditionalFormatting>
  <conditionalFormatting sqref="W38">
    <cfRule type="cellIs" dxfId="1828" priority="1508" stopIfTrue="1" operator="equal">
      <formula>"x"</formula>
    </cfRule>
  </conditionalFormatting>
  <conditionalFormatting sqref="W38">
    <cfRule type="expression" dxfId="1827" priority="1509" stopIfTrue="1">
      <formula>B38=""</formula>
    </cfRule>
  </conditionalFormatting>
  <conditionalFormatting sqref="X38">
    <cfRule type="cellIs" dxfId="1826" priority="1506" stopIfTrue="1" operator="equal">
      <formula>"x"</formula>
    </cfRule>
  </conditionalFormatting>
  <conditionalFormatting sqref="X38">
    <cfRule type="expression" dxfId="1825" priority="1507" stopIfTrue="1">
      <formula>B38=""</formula>
    </cfRule>
  </conditionalFormatting>
  <conditionalFormatting sqref="Y38">
    <cfRule type="cellIs" dxfId="1824" priority="1504" stopIfTrue="1" operator="equal">
      <formula>"x"</formula>
    </cfRule>
  </conditionalFormatting>
  <conditionalFormatting sqref="Y38">
    <cfRule type="expression" dxfId="1823" priority="1505" stopIfTrue="1">
      <formula>B38=""</formula>
    </cfRule>
  </conditionalFormatting>
  <conditionalFormatting sqref="Z38">
    <cfRule type="cellIs" dxfId="1822" priority="1502" stopIfTrue="1" operator="equal">
      <formula>"x"</formula>
    </cfRule>
  </conditionalFormatting>
  <conditionalFormatting sqref="Z38">
    <cfRule type="expression" dxfId="1821" priority="1503" stopIfTrue="1">
      <formula>B38=""</formula>
    </cfRule>
  </conditionalFormatting>
  <conditionalFormatting sqref="AA38">
    <cfRule type="cellIs" dxfId="1820" priority="1500" stopIfTrue="1" operator="equal">
      <formula>"x"</formula>
    </cfRule>
  </conditionalFormatting>
  <conditionalFormatting sqref="AA38">
    <cfRule type="expression" dxfId="1819" priority="1501" stopIfTrue="1">
      <formula>B38=""</formula>
    </cfRule>
  </conditionalFormatting>
  <conditionalFormatting sqref="AB38">
    <cfRule type="cellIs" dxfId="1818" priority="1498" stopIfTrue="1" operator="equal">
      <formula>"x"</formula>
    </cfRule>
  </conditionalFormatting>
  <conditionalFormatting sqref="AB38">
    <cfRule type="expression" dxfId="1817" priority="1499" stopIfTrue="1">
      <formula>B38=""</formula>
    </cfRule>
  </conditionalFormatting>
  <conditionalFormatting sqref="AC38">
    <cfRule type="cellIs" dxfId="1816" priority="1496" stopIfTrue="1" operator="equal">
      <formula>"x"</formula>
    </cfRule>
  </conditionalFormatting>
  <conditionalFormatting sqref="AC38">
    <cfRule type="expression" dxfId="1815" priority="1497" stopIfTrue="1">
      <formula>B38=""</formula>
    </cfRule>
  </conditionalFormatting>
  <conditionalFormatting sqref="AD38">
    <cfRule type="cellIs" dxfId="1814" priority="1494" stopIfTrue="1" operator="equal">
      <formula>"x"</formula>
    </cfRule>
  </conditionalFormatting>
  <conditionalFormatting sqref="AD38">
    <cfRule type="expression" dxfId="1813" priority="1495" stopIfTrue="1">
      <formula>B38=""</formula>
    </cfRule>
  </conditionalFormatting>
  <conditionalFormatting sqref="AE38">
    <cfRule type="cellIs" dxfId="1812" priority="1492" stopIfTrue="1" operator="equal">
      <formula>"x"</formula>
    </cfRule>
  </conditionalFormatting>
  <conditionalFormatting sqref="AE38">
    <cfRule type="expression" dxfId="1811" priority="1493" stopIfTrue="1">
      <formula>B38=""</formula>
    </cfRule>
  </conditionalFormatting>
  <conditionalFormatting sqref="AF38">
    <cfRule type="cellIs" dxfId="1810" priority="1490" stopIfTrue="1" operator="equal">
      <formula>"x"</formula>
    </cfRule>
  </conditionalFormatting>
  <conditionalFormatting sqref="AF38">
    <cfRule type="expression" dxfId="1809" priority="1491" stopIfTrue="1">
      <formula>B38=""</formula>
    </cfRule>
  </conditionalFormatting>
  <conditionalFormatting sqref="AG38">
    <cfRule type="cellIs" dxfId="1808" priority="1488" stopIfTrue="1" operator="equal">
      <formula>"x"</formula>
    </cfRule>
  </conditionalFormatting>
  <conditionalFormatting sqref="AG38">
    <cfRule type="expression" dxfId="1807" priority="1489" stopIfTrue="1">
      <formula>B38=""</formula>
    </cfRule>
  </conditionalFormatting>
  <conditionalFormatting sqref="AH38">
    <cfRule type="cellIs" dxfId="1806" priority="1486" stopIfTrue="1" operator="equal">
      <formula>"x"</formula>
    </cfRule>
  </conditionalFormatting>
  <conditionalFormatting sqref="AH38">
    <cfRule type="expression" dxfId="1805" priority="1487" stopIfTrue="1">
      <formula>B38=""</formula>
    </cfRule>
  </conditionalFormatting>
  <conditionalFormatting sqref="AI38">
    <cfRule type="cellIs" dxfId="1804" priority="1484" stopIfTrue="1" operator="equal">
      <formula>"x"</formula>
    </cfRule>
  </conditionalFormatting>
  <conditionalFormatting sqref="AI38">
    <cfRule type="expression" dxfId="1803" priority="1485" stopIfTrue="1">
      <formula>B38=""</formula>
    </cfRule>
  </conditionalFormatting>
  <conditionalFormatting sqref="AJ38">
    <cfRule type="cellIs" dxfId="1802" priority="1482" stopIfTrue="1" operator="equal">
      <formula>"x"</formula>
    </cfRule>
  </conditionalFormatting>
  <conditionalFormatting sqref="AJ38">
    <cfRule type="expression" dxfId="1801" priority="1483" stopIfTrue="1">
      <formula>B38=""</formula>
    </cfRule>
  </conditionalFormatting>
  <conditionalFormatting sqref="AK38">
    <cfRule type="cellIs" dxfId="1800" priority="1480" stopIfTrue="1" operator="equal">
      <formula>"x"</formula>
    </cfRule>
  </conditionalFormatting>
  <conditionalFormatting sqref="AK38">
    <cfRule type="expression" dxfId="1799" priority="1481" stopIfTrue="1">
      <formula>B38=""</formula>
    </cfRule>
  </conditionalFormatting>
  <conditionalFormatting sqref="AL38">
    <cfRule type="cellIs" dxfId="1798" priority="1478" stopIfTrue="1" operator="equal">
      <formula>"x"</formula>
    </cfRule>
  </conditionalFormatting>
  <conditionalFormatting sqref="AL38">
    <cfRule type="expression" dxfId="1797" priority="1479" stopIfTrue="1">
      <formula>B38=""</formula>
    </cfRule>
  </conditionalFormatting>
  <conditionalFormatting sqref="AM38">
    <cfRule type="cellIs" dxfId="1796" priority="1476" stopIfTrue="1" operator="equal">
      <formula>"x"</formula>
    </cfRule>
  </conditionalFormatting>
  <conditionalFormatting sqref="AM38">
    <cfRule type="expression" dxfId="1795" priority="1477" stopIfTrue="1">
      <formula>B38=""</formula>
    </cfRule>
  </conditionalFormatting>
  <conditionalFormatting sqref="AN38">
    <cfRule type="cellIs" dxfId="1794" priority="1474" stopIfTrue="1" operator="equal">
      <formula>"x"</formula>
    </cfRule>
  </conditionalFormatting>
  <conditionalFormatting sqref="AN38">
    <cfRule type="expression" dxfId="1793" priority="1475" stopIfTrue="1">
      <formula>B38=""</formula>
    </cfRule>
  </conditionalFormatting>
  <conditionalFormatting sqref="AO38">
    <cfRule type="cellIs" dxfId="1792" priority="1472" stopIfTrue="1" operator="equal">
      <formula>"x"</formula>
    </cfRule>
  </conditionalFormatting>
  <conditionalFormatting sqref="AO38">
    <cfRule type="expression" dxfId="1791" priority="1473" stopIfTrue="1">
      <formula>B38=""</formula>
    </cfRule>
  </conditionalFormatting>
  <conditionalFormatting sqref="AP38">
    <cfRule type="cellIs" dxfId="1790" priority="1470" stopIfTrue="1" operator="equal">
      <formula>"x"</formula>
    </cfRule>
  </conditionalFormatting>
  <conditionalFormatting sqref="AP38">
    <cfRule type="expression" dxfId="1789" priority="1471" stopIfTrue="1">
      <formula>B38=""</formula>
    </cfRule>
  </conditionalFormatting>
  <conditionalFormatting sqref="AQ38">
    <cfRule type="cellIs" dxfId="1788" priority="1468" stopIfTrue="1" operator="equal">
      <formula>"x"</formula>
    </cfRule>
  </conditionalFormatting>
  <conditionalFormatting sqref="AQ38">
    <cfRule type="expression" dxfId="1787" priority="1469" stopIfTrue="1">
      <formula>B38=""</formula>
    </cfRule>
  </conditionalFormatting>
  <conditionalFormatting sqref="AR38">
    <cfRule type="cellIs" dxfId="1786" priority="1466" stopIfTrue="1" operator="equal">
      <formula>"x"</formula>
    </cfRule>
  </conditionalFormatting>
  <conditionalFormatting sqref="AR38">
    <cfRule type="expression" dxfId="1785" priority="1467" stopIfTrue="1">
      <formula>B38=""</formula>
    </cfRule>
  </conditionalFormatting>
  <conditionalFormatting sqref="AS38">
    <cfRule type="cellIs" dxfId="1784" priority="1464" stopIfTrue="1" operator="equal">
      <formula>"x"</formula>
    </cfRule>
  </conditionalFormatting>
  <conditionalFormatting sqref="AS38">
    <cfRule type="expression" dxfId="1783" priority="1465" stopIfTrue="1">
      <formula>B38=""</formula>
    </cfRule>
  </conditionalFormatting>
  <conditionalFormatting sqref="AT38">
    <cfRule type="cellIs" dxfId="1782" priority="1462" stopIfTrue="1" operator="equal">
      <formula>"x"</formula>
    </cfRule>
  </conditionalFormatting>
  <conditionalFormatting sqref="AT38">
    <cfRule type="expression" dxfId="1781" priority="1463" stopIfTrue="1">
      <formula>B38=""</formula>
    </cfRule>
  </conditionalFormatting>
  <conditionalFormatting sqref="AU38">
    <cfRule type="cellIs" dxfId="1780" priority="1460" stopIfTrue="1" operator="equal">
      <formula>"x"</formula>
    </cfRule>
  </conditionalFormatting>
  <conditionalFormatting sqref="AU38">
    <cfRule type="expression" dxfId="1779" priority="1461" stopIfTrue="1">
      <formula>B38=""</formula>
    </cfRule>
  </conditionalFormatting>
  <conditionalFormatting sqref="AV38">
    <cfRule type="cellIs" dxfId="1778" priority="1458" stopIfTrue="1" operator="equal">
      <formula>"x"</formula>
    </cfRule>
  </conditionalFormatting>
  <conditionalFormatting sqref="AV38">
    <cfRule type="expression" dxfId="1777" priority="1459" stopIfTrue="1">
      <formula>B38=""</formula>
    </cfRule>
  </conditionalFormatting>
  <conditionalFormatting sqref="AW38">
    <cfRule type="cellIs" dxfId="1776" priority="1456" stopIfTrue="1" operator="equal">
      <formula>"x"</formula>
    </cfRule>
  </conditionalFormatting>
  <conditionalFormatting sqref="AW38">
    <cfRule type="expression" dxfId="1775" priority="1457" stopIfTrue="1">
      <formula>B38=""</formula>
    </cfRule>
  </conditionalFormatting>
  <conditionalFormatting sqref="AX38">
    <cfRule type="cellIs" dxfId="1774" priority="1454" stopIfTrue="1" operator="equal">
      <formula>"x"</formula>
    </cfRule>
  </conditionalFormatting>
  <conditionalFormatting sqref="AX38">
    <cfRule type="expression" dxfId="1773" priority="1455" stopIfTrue="1">
      <formula>B38=""</formula>
    </cfRule>
  </conditionalFormatting>
  <conditionalFormatting sqref="AY38">
    <cfRule type="cellIs" dxfId="1772" priority="1452" stopIfTrue="1" operator="equal">
      <formula>"x"</formula>
    </cfRule>
  </conditionalFormatting>
  <conditionalFormatting sqref="AY38">
    <cfRule type="expression" dxfId="1771" priority="1453" stopIfTrue="1">
      <formula>B38=""</formula>
    </cfRule>
  </conditionalFormatting>
  <conditionalFormatting sqref="AZ38">
    <cfRule type="cellIs" dxfId="1770" priority="1450" stopIfTrue="1" operator="equal">
      <formula>"x"</formula>
    </cfRule>
  </conditionalFormatting>
  <conditionalFormatting sqref="AZ38">
    <cfRule type="expression" dxfId="1769" priority="1451" stopIfTrue="1">
      <formula>B38=""</formula>
    </cfRule>
  </conditionalFormatting>
  <conditionalFormatting sqref="BA38">
    <cfRule type="cellIs" dxfId="1768" priority="1448" stopIfTrue="1" operator="equal">
      <formula>"x"</formula>
    </cfRule>
  </conditionalFormatting>
  <conditionalFormatting sqref="BA38">
    <cfRule type="expression" dxfId="1767" priority="1449" stopIfTrue="1">
      <formula>B38=""</formula>
    </cfRule>
  </conditionalFormatting>
  <conditionalFormatting sqref="Q37">
    <cfRule type="cellIs" dxfId="1766" priority="1446" stopIfTrue="1" operator="equal">
      <formula>"x"</formula>
    </cfRule>
  </conditionalFormatting>
  <conditionalFormatting sqref="Q37">
    <cfRule type="expression" dxfId="1765" priority="1447" stopIfTrue="1">
      <formula>B37=""</formula>
    </cfRule>
  </conditionalFormatting>
  <conditionalFormatting sqref="R37">
    <cfRule type="cellIs" dxfId="1764" priority="1444" stopIfTrue="1" operator="equal">
      <formula>"x"</formula>
    </cfRule>
  </conditionalFormatting>
  <conditionalFormatting sqref="R37">
    <cfRule type="expression" dxfId="1763" priority="1445" stopIfTrue="1">
      <formula>B37=""</formula>
    </cfRule>
  </conditionalFormatting>
  <conditionalFormatting sqref="S37">
    <cfRule type="cellIs" dxfId="1762" priority="1442" stopIfTrue="1" operator="equal">
      <formula>"x"</formula>
    </cfRule>
  </conditionalFormatting>
  <conditionalFormatting sqref="S37">
    <cfRule type="expression" dxfId="1761" priority="1443" stopIfTrue="1">
      <formula>B37=""</formula>
    </cfRule>
  </conditionalFormatting>
  <conditionalFormatting sqref="T37">
    <cfRule type="cellIs" dxfId="1760" priority="1440" stopIfTrue="1" operator="equal">
      <formula>"x"</formula>
    </cfRule>
  </conditionalFormatting>
  <conditionalFormatting sqref="T37">
    <cfRule type="expression" dxfId="1759" priority="1441" stopIfTrue="1">
      <formula>B37=""</formula>
    </cfRule>
  </conditionalFormatting>
  <conditionalFormatting sqref="U37">
    <cfRule type="cellIs" dxfId="1758" priority="1438" stopIfTrue="1" operator="equal">
      <formula>"x"</formula>
    </cfRule>
  </conditionalFormatting>
  <conditionalFormatting sqref="U37">
    <cfRule type="expression" dxfId="1757" priority="1439" stopIfTrue="1">
      <formula>B37=""</formula>
    </cfRule>
  </conditionalFormatting>
  <conditionalFormatting sqref="V37">
    <cfRule type="cellIs" dxfId="1756" priority="1436" stopIfTrue="1" operator="equal">
      <formula>"x"</formula>
    </cfRule>
  </conditionalFormatting>
  <conditionalFormatting sqref="V37">
    <cfRule type="expression" dxfId="1755" priority="1437" stopIfTrue="1">
      <formula>B37=""</formula>
    </cfRule>
  </conditionalFormatting>
  <conditionalFormatting sqref="W37">
    <cfRule type="cellIs" dxfId="1754" priority="1434" stopIfTrue="1" operator="equal">
      <formula>"x"</formula>
    </cfRule>
  </conditionalFormatting>
  <conditionalFormatting sqref="W37">
    <cfRule type="expression" dxfId="1753" priority="1435" stopIfTrue="1">
      <formula>B37=""</formula>
    </cfRule>
  </conditionalFormatting>
  <conditionalFormatting sqref="X37">
    <cfRule type="cellIs" dxfId="1752" priority="1432" stopIfTrue="1" operator="equal">
      <formula>"x"</formula>
    </cfRule>
  </conditionalFormatting>
  <conditionalFormatting sqref="X37">
    <cfRule type="expression" dxfId="1751" priority="1433" stopIfTrue="1">
      <formula>B37=""</formula>
    </cfRule>
  </conditionalFormatting>
  <conditionalFormatting sqref="Y37">
    <cfRule type="cellIs" dxfId="1750" priority="1430" stopIfTrue="1" operator="equal">
      <formula>"x"</formula>
    </cfRule>
  </conditionalFormatting>
  <conditionalFormatting sqref="Y37">
    <cfRule type="expression" dxfId="1749" priority="1431" stopIfTrue="1">
      <formula>B37=""</formula>
    </cfRule>
  </conditionalFormatting>
  <conditionalFormatting sqref="Z37">
    <cfRule type="cellIs" dxfId="1748" priority="1428" stopIfTrue="1" operator="equal">
      <formula>"x"</formula>
    </cfRule>
  </conditionalFormatting>
  <conditionalFormatting sqref="Z37">
    <cfRule type="expression" dxfId="1747" priority="1429" stopIfTrue="1">
      <formula>B37=""</formula>
    </cfRule>
  </conditionalFormatting>
  <conditionalFormatting sqref="AA37">
    <cfRule type="cellIs" dxfId="1746" priority="1426" stopIfTrue="1" operator="equal">
      <formula>"x"</formula>
    </cfRule>
  </conditionalFormatting>
  <conditionalFormatting sqref="AA37">
    <cfRule type="expression" dxfId="1745" priority="1427" stopIfTrue="1">
      <formula>B37=""</formula>
    </cfRule>
  </conditionalFormatting>
  <conditionalFormatting sqref="AB37">
    <cfRule type="cellIs" dxfId="1744" priority="1424" stopIfTrue="1" operator="equal">
      <formula>"x"</formula>
    </cfRule>
  </conditionalFormatting>
  <conditionalFormatting sqref="AB37">
    <cfRule type="expression" dxfId="1743" priority="1425" stopIfTrue="1">
      <formula>B37=""</formula>
    </cfRule>
  </conditionalFormatting>
  <conditionalFormatting sqref="AC37">
    <cfRule type="cellIs" dxfId="1742" priority="1422" stopIfTrue="1" operator="equal">
      <formula>"x"</formula>
    </cfRule>
  </conditionalFormatting>
  <conditionalFormatting sqref="AC37">
    <cfRule type="expression" dxfId="1741" priority="1423" stopIfTrue="1">
      <formula>B37=""</formula>
    </cfRule>
  </conditionalFormatting>
  <conditionalFormatting sqref="AD37">
    <cfRule type="cellIs" dxfId="1740" priority="1420" stopIfTrue="1" operator="equal">
      <formula>"x"</formula>
    </cfRule>
  </conditionalFormatting>
  <conditionalFormatting sqref="AD37">
    <cfRule type="expression" dxfId="1739" priority="1421" stopIfTrue="1">
      <formula>B37=""</formula>
    </cfRule>
  </conditionalFormatting>
  <conditionalFormatting sqref="AE37">
    <cfRule type="cellIs" dxfId="1738" priority="1418" stopIfTrue="1" operator="equal">
      <formula>"x"</formula>
    </cfRule>
  </conditionalFormatting>
  <conditionalFormatting sqref="AE37">
    <cfRule type="expression" dxfId="1737" priority="1419" stopIfTrue="1">
      <formula>B37=""</formula>
    </cfRule>
  </conditionalFormatting>
  <conditionalFormatting sqref="AF37">
    <cfRule type="cellIs" dxfId="1736" priority="1416" stopIfTrue="1" operator="equal">
      <formula>"x"</formula>
    </cfRule>
  </conditionalFormatting>
  <conditionalFormatting sqref="AF37">
    <cfRule type="expression" dxfId="1735" priority="1417" stopIfTrue="1">
      <formula>B37=""</formula>
    </cfRule>
  </conditionalFormatting>
  <conditionalFormatting sqref="AG37">
    <cfRule type="cellIs" dxfId="1734" priority="1414" stopIfTrue="1" operator="equal">
      <formula>"x"</formula>
    </cfRule>
  </conditionalFormatting>
  <conditionalFormatting sqref="AG37">
    <cfRule type="expression" dxfId="1733" priority="1415" stopIfTrue="1">
      <formula>B37=""</formula>
    </cfRule>
  </conditionalFormatting>
  <conditionalFormatting sqref="AH37">
    <cfRule type="cellIs" dxfId="1732" priority="1412" stopIfTrue="1" operator="equal">
      <formula>"x"</formula>
    </cfRule>
  </conditionalFormatting>
  <conditionalFormatting sqref="AH37">
    <cfRule type="expression" dxfId="1731" priority="1413" stopIfTrue="1">
      <formula>B37=""</formula>
    </cfRule>
  </conditionalFormatting>
  <conditionalFormatting sqref="AI37">
    <cfRule type="cellIs" dxfId="1730" priority="1410" stopIfTrue="1" operator="equal">
      <formula>"x"</formula>
    </cfRule>
  </conditionalFormatting>
  <conditionalFormatting sqref="AI37">
    <cfRule type="expression" dxfId="1729" priority="1411" stopIfTrue="1">
      <formula>B37=""</formula>
    </cfRule>
  </conditionalFormatting>
  <conditionalFormatting sqref="AJ37">
    <cfRule type="cellIs" dxfId="1728" priority="1408" stopIfTrue="1" operator="equal">
      <formula>"x"</formula>
    </cfRule>
  </conditionalFormatting>
  <conditionalFormatting sqref="AJ37">
    <cfRule type="expression" dxfId="1727" priority="1409" stopIfTrue="1">
      <formula>B37=""</formula>
    </cfRule>
  </conditionalFormatting>
  <conditionalFormatting sqref="AK37">
    <cfRule type="cellIs" dxfId="1726" priority="1406" stopIfTrue="1" operator="equal">
      <formula>"x"</formula>
    </cfRule>
  </conditionalFormatting>
  <conditionalFormatting sqref="AK37">
    <cfRule type="expression" dxfId="1725" priority="1407" stopIfTrue="1">
      <formula>B37=""</formula>
    </cfRule>
  </conditionalFormatting>
  <conditionalFormatting sqref="AL37">
    <cfRule type="cellIs" dxfId="1724" priority="1404" stopIfTrue="1" operator="equal">
      <formula>"x"</formula>
    </cfRule>
  </conditionalFormatting>
  <conditionalFormatting sqref="AL37">
    <cfRule type="expression" dxfId="1723" priority="1405" stopIfTrue="1">
      <formula>B37=""</formula>
    </cfRule>
  </conditionalFormatting>
  <conditionalFormatting sqref="AM37">
    <cfRule type="cellIs" dxfId="1722" priority="1402" stopIfTrue="1" operator="equal">
      <formula>"x"</formula>
    </cfRule>
  </conditionalFormatting>
  <conditionalFormatting sqref="AM37">
    <cfRule type="expression" dxfId="1721" priority="1403" stopIfTrue="1">
      <formula>B37=""</formula>
    </cfRule>
  </conditionalFormatting>
  <conditionalFormatting sqref="AN37">
    <cfRule type="cellIs" dxfId="1720" priority="1400" stopIfTrue="1" operator="equal">
      <formula>"x"</formula>
    </cfRule>
  </conditionalFormatting>
  <conditionalFormatting sqref="AN37">
    <cfRule type="expression" dxfId="1719" priority="1401" stopIfTrue="1">
      <formula>B37=""</formula>
    </cfRule>
  </conditionalFormatting>
  <conditionalFormatting sqref="AO37">
    <cfRule type="cellIs" dxfId="1718" priority="1398" stopIfTrue="1" operator="equal">
      <formula>"x"</formula>
    </cfRule>
  </conditionalFormatting>
  <conditionalFormatting sqref="AO37">
    <cfRule type="expression" dxfId="1717" priority="1399" stopIfTrue="1">
      <formula>B37=""</formula>
    </cfRule>
  </conditionalFormatting>
  <conditionalFormatting sqref="AP37">
    <cfRule type="cellIs" dxfId="1716" priority="1396" stopIfTrue="1" operator="equal">
      <formula>"x"</formula>
    </cfRule>
  </conditionalFormatting>
  <conditionalFormatting sqref="AP37">
    <cfRule type="expression" dxfId="1715" priority="1397" stopIfTrue="1">
      <formula>B37=""</formula>
    </cfRule>
  </conditionalFormatting>
  <conditionalFormatting sqref="AQ37">
    <cfRule type="cellIs" dxfId="1714" priority="1394" stopIfTrue="1" operator="equal">
      <formula>"x"</formula>
    </cfRule>
  </conditionalFormatting>
  <conditionalFormatting sqref="AQ37">
    <cfRule type="expression" dxfId="1713" priority="1395" stopIfTrue="1">
      <formula>B37=""</formula>
    </cfRule>
  </conditionalFormatting>
  <conditionalFormatting sqref="AR37">
    <cfRule type="cellIs" dxfId="1712" priority="1392" stopIfTrue="1" operator="equal">
      <formula>"x"</formula>
    </cfRule>
  </conditionalFormatting>
  <conditionalFormatting sqref="AR37">
    <cfRule type="expression" dxfId="1711" priority="1393" stopIfTrue="1">
      <formula>B37=""</formula>
    </cfRule>
  </conditionalFormatting>
  <conditionalFormatting sqref="AS37">
    <cfRule type="cellIs" dxfId="1710" priority="1390" stopIfTrue="1" operator="equal">
      <formula>"x"</formula>
    </cfRule>
  </conditionalFormatting>
  <conditionalFormatting sqref="AS37">
    <cfRule type="expression" dxfId="1709" priority="1391" stopIfTrue="1">
      <formula>B37=""</formula>
    </cfRule>
  </conditionalFormatting>
  <conditionalFormatting sqref="AT37">
    <cfRule type="cellIs" dxfId="1708" priority="1388" stopIfTrue="1" operator="equal">
      <formula>"x"</formula>
    </cfRule>
  </conditionalFormatting>
  <conditionalFormatting sqref="AT37">
    <cfRule type="expression" dxfId="1707" priority="1389" stopIfTrue="1">
      <formula>B37=""</formula>
    </cfRule>
  </conditionalFormatting>
  <conditionalFormatting sqref="AU37">
    <cfRule type="cellIs" dxfId="1706" priority="1386" stopIfTrue="1" operator="equal">
      <formula>"x"</formula>
    </cfRule>
  </conditionalFormatting>
  <conditionalFormatting sqref="AU37">
    <cfRule type="expression" dxfId="1705" priority="1387" stopIfTrue="1">
      <formula>B37=""</formula>
    </cfRule>
  </conditionalFormatting>
  <conditionalFormatting sqref="AV37">
    <cfRule type="cellIs" dxfId="1704" priority="1384" stopIfTrue="1" operator="equal">
      <formula>"x"</formula>
    </cfRule>
  </conditionalFormatting>
  <conditionalFormatting sqref="AV37">
    <cfRule type="expression" dxfId="1703" priority="1385" stopIfTrue="1">
      <formula>B37=""</formula>
    </cfRule>
  </conditionalFormatting>
  <conditionalFormatting sqref="AW37">
    <cfRule type="cellIs" dxfId="1702" priority="1382" stopIfTrue="1" operator="equal">
      <formula>"x"</formula>
    </cfRule>
  </conditionalFormatting>
  <conditionalFormatting sqref="AW37">
    <cfRule type="expression" dxfId="1701" priority="1383" stopIfTrue="1">
      <formula>B37=""</formula>
    </cfRule>
  </conditionalFormatting>
  <conditionalFormatting sqref="AX37">
    <cfRule type="cellIs" dxfId="1700" priority="1380" stopIfTrue="1" operator="equal">
      <formula>"x"</formula>
    </cfRule>
  </conditionalFormatting>
  <conditionalFormatting sqref="AX37">
    <cfRule type="expression" dxfId="1699" priority="1381" stopIfTrue="1">
      <formula>B37=""</formula>
    </cfRule>
  </conditionalFormatting>
  <conditionalFormatting sqref="AY37">
    <cfRule type="cellIs" dxfId="1698" priority="1378" stopIfTrue="1" operator="equal">
      <formula>"x"</formula>
    </cfRule>
  </conditionalFormatting>
  <conditionalFormatting sqref="AY37">
    <cfRule type="expression" dxfId="1697" priority="1379" stopIfTrue="1">
      <formula>B37=""</formula>
    </cfRule>
  </conditionalFormatting>
  <conditionalFormatting sqref="AZ37">
    <cfRule type="cellIs" dxfId="1696" priority="1376" stopIfTrue="1" operator="equal">
      <formula>"x"</formula>
    </cfRule>
  </conditionalFormatting>
  <conditionalFormatting sqref="AZ37">
    <cfRule type="expression" dxfId="1695" priority="1377" stopIfTrue="1">
      <formula>B37=""</formula>
    </cfRule>
  </conditionalFormatting>
  <conditionalFormatting sqref="BA37">
    <cfRule type="cellIs" dxfId="1694" priority="1374" stopIfTrue="1" operator="equal">
      <formula>"x"</formula>
    </cfRule>
  </conditionalFormatting>
  <conditionalFormatting sqref="BA37">
    <cfRule type="expression" dxfId="1693" priority="1375" stopIfTrue="1">
      <formula>B37=""</formula>
    </cfRule>
  </conditionalFormatting>
  <conditionalFormatting sqref="Q36">
    <cfRule type="cellIs" dxfId="1692" priority="1372" stopIfTrue="1" operator="equal">
      <formula>"x"</formula>
    </cfRule>
  </conditionalFormatting>
  <conditionalFormatting sqref="Q36">
    <cfRule type="expression" dxfId="1691" priority="1373" stopIfTrue="1">
      <formula>B36=""</formula>
    </cfRule>
  </conditionalFormatting>
  <conditionalFormatting sqref="R36">
    <cfRule type="cellIs" dxfId="1690" priority="1370" stopIfTrue="1" operator="equal">
      <formula>"x"</formula>
    </cfRule>
  </conditionalFormatting>
  <conditionalFormatting sqref="R36">
    <cfRule type="expression" dxfId="1689" priority="1371" stopIfTrue="1">
      <formula>B36=""</formula>
    </cfRule>
  </conditionalFormatting>
  <conditionalFormatting sqref="S36">
    <cfRule type="cellIs" dxfId="1688" priority="1368" stopIfTrue="1" operator="equal">
      <formula>"x"</formula>
    </cfRule>
  </conditionalFormatting>
  <conditionalFormatting sqref="S36">
    <cfRule type="expression" dxfId="1687" priority="1369" stopIfTrue="1">
      <formula>B36=""</formula>
    </cfRule>
  </conditionalFormatting>
  <conditionalFormatting sqref="T36">
    <cfRule type="cellIs" dxfId="1686" priority="1366" stopIfTrue="1" operator="equal">
      <formula>"x"</formula>
    </cfRule>
  </conditionalFormatting>
  <conditionalFormatting sqref="T36">
    <cfRule type="expression" dxfId="1685" priority="1367" stopIfTrue="1">
      <formula>B36=""</formula>
    </cfRule>
  </conditionalFormatting>
  <conditionalFormatting sqref="U36">
    <cfRule type="cellIs" dxfId="1684" priority="1364" stopIfTrue="1" operator="equal">
      <formula>"x"</formula>
    </cfRule>
  </conditionalFormatting>
  <conditionalFormatting sqref="U36">
    <cfRule type="expression" dxfId="1683" priority="1365" stopIfTrue="1">
      <formula>B36=""</formula>
    </cfRule>
  </conditionalFormatting>
  <conditionalFormatting sqref="V36">
    <cfRule type="cellIs" dxfId="1682" priority="1362" stopIfTrue="1" operator="equal">
      <formula>"x"</formula>
    </cfRule>
  </conditionalFormatting>
  <conditionalFormatting sqref="V36">
    <cfRule type="expression" dxfId="1681" priority="1363" stopIfTrue="1">
      <formula>B36=""</formula>
    </cfRule>
  </conditionalFormatting>
  <conditionalFormatting sqref="W36">
    <cfRule type="cellIs" dxfId="1680" priority="1360" stopIfTrue="1" operator="equal">
      <formula>"x"</formula>
    </cfRule>
  </conditionalFormatting>
  <conditionalFormatting sqref="W36">
    <cfRule type="expression" dxfId="1679" priority="1361" stopIfTrue="1">
      <formula>B36=""</formula>
    </cfRule>
  </conditionalFormatting>
  <conditionalFormatting sqref="X36">
    <cfRule type="cellIs" dxfId="1678" priority="1358" stopIfTrue="1" operator="equal">
      <formula>"x"</formula>
    </cfRule>
  </conditionalFormatting>
  <conditionalFormatting sqref="X36">
    <cfRule type="expression" dxfId="1677" priority="1359" stopIfTrue="1">
      <formula>B36=""</formula>
    </cfRule>
  </conditionalFormatting>
  <conditionalFormatting sqref="Y36">
    <cfRule type="cellIs" dxfId="1676" priority="1356" stopIfTrue="1" operator="equal">
      <formula>"x"</formula>
    </cfRule>
  </conditionalFormatting>
  <conditionalFormatting sqref="Y36">
    <cfRule type="expression" dxfId="1675" priority="1357" stopIfTrue="1">
      <formula>B36=""</formula>
    </cfRule>
  </conditionalFormatting>
  <conditionalFormatting sqref="Z36">
    <cfRule type="cellIs" dxfId="1674" priority="1354" stopIfTrue="1" operator="equal">
      <formula>"x"</formula>
    </cfRule>
  </conditionalFormatting>
  <conditionalFormatting sqref="Z36">
    <cfRule type="expression" dxfId="1673" priority="1355" stopIfTrue="1">
      <formula>B36=""</formula>
    </cfRule>
  </conditionalFormatting>
  <conditionalFormatting sqref="AA36">
    <cfRule type="cellIs" dxfId="1672" priority="1352" stopIfTrue="1" operator="equal">
      <formula>"x"</formula>
    </cfRule>
  </conditionalFormatting>
  <conditionalFormatting sqref="AA36">
    <cfRule type="expression" dxfId="1671" priority="1353" stopIfTrue="1">
      <formula>B36=""</formula>
    </cfRule>
  </conditionalFormatting>
  <conditionalFormatting sqref="AB36">
    <cfRule type="cellIs" dxfId="1670" priority="1350" stopIfTrue="1" operator="equal">
      <formula>"x"</formula>
    </cfRule>
  </conditionalFormatting>
  <conditionalFormatting sqref="AB36">
    <cfRule type="expression" dxfId="1669" priority="1351" stopIfTrue="1">
      <formula>B36=""</formula>
    </cfRule>
  </conditionalFormatting>
  <conditionalFormatting sqref="AC36">
    <cfRule type="cellIs" dxfId="1668" priority="1348" stopIfTrue="1" operator="equal">
      <formula>"x"</formula>
    </cfRule>
  </conditionalFormatting>
  <conditionalFormatting sqref="AC36">
    <cfRule type="expression" dxfId="1667" priority="1349" stopIfTrue="1">
      <formula>B36=""</formula>
    </cfRule>
  </conditionalFormatting>
  <conditionalFormatting sqref="AD36">
    <cfRule type="cellIs" dxfId="1666" priority="1346" stopIfTrue="1" operator="equal">
      <formula>"x"</formula>
    </cfRule>
  </conditionalFormatting>
  <conditionalFormatting sqref="AD36">
    <cfRule type="expression" dxfId="1665" priority="1347" stopIfTrue="1">
      <formula>B36=""</formula>
    </cfRule>
  </conditionalFormatting>
  <conditionalFormatting sqref="AE36">
    <cfRule type="cellIs" dxfId="1664" priority="1344" stopIfTrue="1" operator="equal">
      <formula>"x"</formula>
    </cfRule>
  </conditionalFormatting>
  <conditionalFormatting sqref="AE36">
    <cfRule type="expression" dxfId="1663" priority="1345" stopIfTrue="1">
      <formula>B36=""</formula>
    </cfRule>
  </conditionalFormatting>
  <conditionalFormatting sqref="AF36">
    <cfRule type="cellIs" dxfId="1662" priority="1342" stopIfTrue="1" operator="equal">
      <formula>"x"</formula>
    </cfRule>
  </conditionalFormatting>
  <conditionalFormatting sqref="AF36">
    <cfRule type="expression" dxfId="1661" priority="1343" stopIfTrue="1">
      <formula>B36=""</formula>
    </cfRule>
  </conditionalFormatting>
  <conditionalFormatting sqref="AG36">
    <cfRule type="cellIs" dxfId="1660" priority="1340" stopIfTrue="1" operator="equal">
      <formula>"x"</formula>
    </cfRule>
  </conditionalFormatting>
  <conditionalFormatting sqref="AG36">
    <cfRule type="expression" dxfId="1659" priority="1341" stopIfTrue="1">
      <formula>B36=""</formula>
    </cfRule>
  </conditionalFormatting>
  <conditionalFormatting sqref="AH36">
    <cfRule type="cellIs" dxfId="1658" priority="1338" stopIfTrue="1" operator="equal">
      <formula>"x"</formula>
    </cfRule>
  </conditionalFormatting>
  <conditionalFormatting sqref="AH36">
    <cfRule type="expression" dxfId="1657" priority="1339" stopIfTrue="1">
      <formula>B36=""</formula>
    </cfRule>
  </conditionalFormatting>
  <conditionalFormatting sqref="AI36">
    <cfRule type="cellIs" dxfId="1656" priority="1336" stopIfTrue="1" operator="equal">
      <formula>"x"</formula>
    </cfRule>
  </conditionalFormatting>
  <conditionalFormatting sqref="AI36">
    <cfRule type="expression" dxfId="1655" priority="1337" stopIfTrue="1">
      <formula>B36=""</formula>
    </cfRule>
  </conditionalFormatting>
  <conditionalFormatting sqref="AJ36">
    <cfRule type="cellIs" dxfId="1654" priority="1334" stopIfTrue="1" operator="equal">
      <formula>"x"</formula>
    </cfRule>
  </conditionalFormatting>
  <conditionalFormatting sqref="AJ36">
    <cfRule type="expression" dxfId="1653" priority="1335" stopIfTrue="1">
      <formula>B36=""</formula>
    </cfRule>
  </conditionalFormatting>
  <conditionalFormatting sqref="AK36">
    <cfRule type="cellIs" dxfId="1652" priority="1332" stopIfTrue="1" operator="equal">
      <formula>"x"</formula>
    </cfRule>
  </conditionalFormatting>
  <conditionalFormatting sqref="AK36">
    <cfRule type="expression" dxfId="1651" priority="1333" stopIfTrue="1">
      <formula>B36=""</formula>
    </cfRule>
  </conditionalFormatting>
  <conditionalFormatting sqref="AL36">
    <cfRule type="cellIs" dxfId="1650" priority="1330" stopIfTrue="1" operator="equal">
      <formula>"x"</formula>
    </cfRule>
  </conditionalFormatting>
  <conditionalFormatting sqref="AL36">
    <cfRule type="expression" dxfId="1649" priority="1331" stopIfTrue="1">
      <formula>B36=""</formula>
    </cfRule>
  </conditionalFormatting>
  <conditionalFormatting sqref="AM36">
    <cfRule type="cellIs" dxfId="1648" priority="1328" stopIfTrue="1" operator="equal">
      <formula>"x"</formula>
    </cfRule>
  </conditionalFormatting>
  <conditionalFormatting sqref="AM36">
    <cfRule type="expression" dxfId="1647" priority="1329" stopIfTrue="1">
      <formula>B36=""</formula>
    </cfRule>
  </conditionalFormatting>
  <conditionalFormatting sqref="AN36">
    <cfRule type="cellIs" dxfId="1646" priority="1326" stopIfTrue="1" operator="equal">
      <formula>"x"</formula>
    </cfRule>
  </conditionalFormatting>
  <conditionalFormatting sqref="AN36">
    <cfRule type="expression" dxfId="1645" priority="1327" stopIfTrue="1">
      <formula>B36=""</formula>
    </cfRule>
  </conditionalFormatting>
  <conditionalFormatting sqref="AO36">
    <cfRule type="cellIs" dxfId="1644" priority="1324" stopIfTrue="1" operator="equal">
      <formula>"x"</formula>
    </cfRule>
  </conditionalFormatting>
  <conditionalFormatting sqref="AO36">
    <cfRule type="expression" dxfId="1643" priority="1325" stopIfTrue="1">
      <formula>B36=""</formula>
    </cfRule>
  </conditionalFormatting>
  <conditionalFormatting sqref="AP36">
    <cfRule type="cellIs" dxfId="1642" priority="1322" stopIfTrue="1" operator="equal">
      <formula>"x"</formula>
    </cfRule>
  </conditionalFormatting>
  <conditionalFormatting sqref="AP36">
    <cfRule type="expression" dxfId="1641" priority="1323" stopIfTrue="1">
      <formula>B36=""</formula>
    </cfRule>
  </conditionalFormatting>
  <conditionalFormatting sqref="AQ36">
    <cfRule type="cellIs" dxfId="1640" priority="1320" stopIfTrue="1" operator="equal">
      <formula>"x"</formula>
    </cfRule>
  </conditionalFormatting>
  <conditionalFormatting sqref="AQ36">
    <cfRule type="expression" dxfId="1639" priority="1321" stopIfTrue="1">
      <formula>B36=""</formula>
    </cfRule>
  </conditionalFormatting>
  <conditionalFormatting sqref="AR36">
    <cfRule type="cellIs" dxfId="1638" priority="1318" stopIfTrue="1" operator="equal">
      <formula>"x"</formula>
    </cfRule>
  </conditionalFormatting>
  <conditionalFormatting sqref="AR36">
    <cfRule type="expression" dxfId="1637" priority="1319" stopIfTrue="1">
      <formula>B36=""</formula>
    </cfRule>
  </conditionalFormatting>
  <conditionalFormatting sqref="AS36">
    <cfRule type="cellIs" dxfId="1636" priority="1316" stopIfTrue="1" operator="equal">
      <formula>"x"</formula>
    </cfRule>
  </conditionalFormatting>
  <conditionalFormatting sqref="AS36">
    <cfRule type="expression" dxfId="1635" priority="1317" stopIfTrue="1">
      <formula>B36=""</formula>
    </cfRule>
  </conditionalFormatting>
  <conditionalFormatting sqref="AT36">
    <cfRule type="cellIs" dxfId="1634" priority="1314" stopIfTrue="1" operator="equal">
      <formula>"x"</formula>
    </cfRule>
  </conditionalFormatting>
  <conditionalFormatting sqref="AT36">
    <cfRule type="expression" dxfId="1633" priority="1315" stopIfTrue="1">
      <formula>B36=""</formula>
    </cfRule>
  </conditionalFormatting>
  <conditionalFormatting sqref="AU36">
    <cfRule type="cellIs" dxfId="1632" priority="1312" stopIfTrue="1" operator="equal">
      <formula>"x"</formula>
    </cfRule>
  </conditionalFormatting>
  <conditionalFormatting sqref="AU36">
    <cfRule type="expression" dxfId="1631" priority="1313" stopIfTrue="1">
      <formula>B36=""</formula>
    </cfRule>
  </conditionalFormatting>
  <conditionalFormatting sqref="AV36">
    <cfRule type="cellIs" dxfId="1630" priority="1310" stopIfTrue="1" operator="equal">
      <formula>"x"</formula>
    </cfRule>
  </conditionalFormatting>
  <conditionalFormatting sqref="AV36">
    <cfRule type="expression" dxfId="1629" priority="1311" stopIfTrue="1">
      <formula>B36=""</formula>
    </cfRule>
  </conditionalFormatting>
  <conditionalFormatting sqref="AW36">
    <cfRule type="cellIs" dxfId="1628" priority="1308" stopIfTrue="1" operator="equal">
      <formula>"x"</formula>
    </cfRule>
  </conditionalFormatting>
  <conditionalFormatting sqref="AW36">
    <cfRule type="expression" dxfId="1627" priority="1309" stopIfTrue="1">
      <formula>B36=""</formula>
    </cfRule>
  </conditionalFormatting>
  <conditionalFormatting sqref="AX36">
    <cfRule type="cellIs" dxfId="1626" priority="1306" stopIfTrue="1" operator="equal">
      <formula>"x"</formula>
    </cfRule>
  </conditionalFormatting>
  <conditionalFormatting sqref="AX36">
    <cfRule type="expression" dxfId="1625" priority="1307" stopIfTrue="1">
      <formula>B36=""</formula>
    </cfRule>
  </conditionalFormatting>
  <conditionalFormatting sqref="AY36">
    <cfRule type="cellIs" dxfId="1624" priority="1304" stopIfTrue="1" operator="equal">
      <formula>"x"</formula>
    </cfRule>
  </conditionalFormatting>
  <conditionalFormatting sqref="AY36">
    <cfRule type="expression" dxfId="1623" priority="1305" stopIfTrue="1">
      <formula>B36=""</formula>
    </cfRule>
  </conditionalFormatting>
  <conditionalFormatting sqref="AZ36">
    <cfRule type="cellIs" dxfId="1622" priority="1302" stopIfTrue="1" operator="equal">
      <formula>"x"</formula>
    </cfRule>
  </conditionalFormatting>
  <conditionalFormatting sqref="AZ36">
    <cfRule type="expression" dxfId="1621" priority="1303" stopIfTrue="1">
      <formula>B36=""</formula>
    </cfRule>
  </conditionalFormatting>
  <conditionalFormatting sqref="BA36">
    <cfRule type="cellIs" dxfId="1620" priority="1300" stopIfTrue="1" operator="equal">
      <formula>"x"</formula>
    </cfRule>
  </conditionalFormatting>
  <conditionalFormatting sqref="BA36">
    <cfRule type="expression" dxfId="1619" priority="1301" stopIfTrue="1">
      <formula>B36=""</formula>
    </cfRule>
  </conditionalFormatting>
  <conditionalFormatting sqref="Q35">
    <cfRule type="cellIs" dxfId="1618" priority="1298" stopIfTrue="1" operator="equal">
      <formula>"x"</formula>
    </cfRule>
  </conditionalFormatting>
  <conditionalFormatting sqref="Q35">
    <cfRule type="expression" dxfId="1617" priority="1299" stopIfTrue="1">
      <formula>B35=""</formula>
    </cfRule>
  </conditionalFormatting>
  <conditionalFormatting sqref="R35">
    <cfRule type="cellIs" dxfId="1616" priority="1296" stopIfTrue="1" operator="equal">
      <formula>"x"</formula>
    </cfRule>
  </conditionalFormatting>
  <conditionalFormatting sqref="R35">
    <cfRule type="expression" dxfId="1615" priority="1297" stopIfTrue="1">
      <formula>B35=""</formula>
    </cfRule>
  </conditionalFormatting>
  <conditionalFormatting sqref="S35">
    <cfRule type="cellIs" dxfId="1614" priority="1294" stopIfTrue="1" operator="equal">
      <formula>"x"</formula>
    </cfRule>
  </conditionalFormatting>
  <conditionalFormatting sqref="S35">
    <cfRule type="expression" dxfId="1613" priority="1295" stopIfTrue="1">
      <formula>B35=""</formula>
    </cfRule>
  </conditionalFormatting>
  <conditionalFormatting sqref="T35">
    <cfRule type="cellIs" dxfId="1612" priority="1292" stopIfTrue="1" operator="equal">
      <formula>"x"</formula>
    </cfRule>
  </conditionalFormatting>
  <conditionalFormatting sqref="T35">
    <cfRule type="expression" dxfId="1611" priority="1293" stopIfTrue="1">
      <formula>B35=""</formula>
    </cfRule>
  </conditionalFormatting>
  <conditionalFormatting sqref="U35">
    <cfRule type="cellIs" dxfId="1610" priority="1290" stopIfTrue="1" operator="equal">
      <formula>"x"</formula>
    </cfRule>
  </conditionalFormatting>
  <conditionalFormatting sqref="U35">
    <cfRule type="expression" dxfId="1609" priority="1291" stopIfTrue="1">
      <formula>B35=""</formula>
    </cfRule>
  </conditionalFormatting>
  <conditionalFormatting sqref="V35">
    <cfRule type="cellIs" dxfId="1608" priority="1288" stopIfTrue="1" operator="equal">
      <formula>"x"</formula>
    </cfRule>
  </conditionalFormatting>
  <conditionalFormatting sqref="V35">
    <cfRule type="expression" dxfId="1607" priority="1289" stopIfTrue="1">
      <formula>B35=""</formula>
    </cfRule>
  </conditionalFormatting>
  <conditionalFormatting sqref="W35">
    <cfRule type="cellIs" dxfId="1606" priority="1286" stopIfTrue="1" operator="equal">
      <formula>"x"</formula>
    </cfRule>
  </conditionalFormatting>
  <conditionalFormatting sqref="W35">
    <cfRule type="expression" dxfId="1605" priority="1287" stopIfTrue="1">
      <formula>B35=""</formula>
    </cfRule>
  </conditionalFormatting>
  <conditionalFormatting sqref="X35">
    <cfRule type="cellIs" dxfId="1604" priority="1284" stopIfTrue="1" operator="equal">
      <formula>"x"</formula>
    </cfRule>
  </conditionalFormatting>
  <conditionalFormatting sqref="X35">
    <cfRule type="expression" dxfId="1603" priority="1285" stopIfTrue="1">
      <formula>B35=""</formula>
    </cfRule>
  </conditionalFormatting>
  <conditionalFormatting sqref="Y35">
    <cfRule type="cellIs" dxfId="1602" priority="1282" stopIfTrue="1" operator="equal">
      <formula>"x"</formula>
    </cfRule>
  </conditionalFormatting>
  <conditionalFormatting sqref="Y35">
    <cfRule type="expression" dxfId="1601" priority="1283" stopIfTrue="1">
      <formula>B35=""</formula>
    </cfRule>
  </conditionalFormatting>
  <conditionalFormatting sqref="Z35">
    <cfRule type="cellIs" dxfId="1600" priority="1280" stopIfTrue="1" operator="equal">
      <formula>"x"</formula>
    </cfRule>
  </conditionalFormatting>
  <conditionalFormatting sqref="Z35">
    <cfRule type="expression" dxfId="1599" priority="1281" stopIfTrue="1">
      <formula>B35=""</formula>
    </cfRule>
  </conditionalFormatting>
  <conditionalFormatting sqref="AA35">
    <cfRule type="cellIs" dxfId="1598" priority="1278" stopIfTrue="1" operator="equal">
      <formula>"x"</formula>
    </cfRule>
  </conditionalFormatting>
  <conditionalFormatting sqref="AA35">
    <cfRule type="expression" dxfId="1597" priority="1279" stopIfTrue="1">
      <formula>B35=""</formula>
    </cfRule>
  </conditionalFormatting>
  <conditionalFormatting sqref="AB35">
    <cfRule type="cellIs" dxfId="1596" priority="1276" stopIfTrue="1" operator="equal">
      <formula>"x"</formula>
    </cfRule>
  </conditionalFormatting>
  <conditionalFormatting sqref="AB35">
    <cfRule type="expression" dxfId="1595" priority="1277" stopIfTrue="1">
      <formula>B35=""</formula>
    </cfRule>
  </conditionalFormatting>
  <conditionalFormatting sqref="AC35">
    <cfRule type="cellIs" dxfId="1594" priority="1274" stopIfTrue="1" operator="equal">
      <formula>"x"</formula>
    </cfRule>
  </conditionalFormatting>
  <conditionalFormatting sqref="AC35">
    <cfRule type="expression" dxfId="1593" priority="1275" stopIfTrue="1">
      <formula>B35=""</formula>
    </cfRule>
  </conditionalFormatting>
  <conditionalFormatting sqref="AD35">
    <cfRule type="cellIs" dxfId="1592" priority="1272" stopIfTrue="1" operator="equal">
      <formula>"x"</formula>
    </cfRule>
  </conditionalFormatting>
  <conditionalFormatting sqref="AD35">
    <cfRule type="expression" dxfId="1591" priority="1273" stopIfTrue="1">
      <formula>B35=""</formula>
    </cfRule>
  </conditionalFormatting>
  <conditionalFormatting sqref="AE35">
    <cfRule type="cellIs" dxfId="1590" priority="1270" stopIfTrue="1" operator="equal">
      <formula>"x"</formula>
    </cfRule>
  </conditionalFormatting>
  <conditionalFormatting sqref="AE35">
    <cfRule type="expression" dxfId="1589" priority="1271" stopIfTrue="1">
      <formula>B35=""</formula>
    </cfRule>
  </conditionalFormatting>
  <conditionalFormatting sqref="AF35">
    <cfRule type="cellIs" dxfId="1588" priority="1268" stopIfTrue="1" operator="equal">
      <formula>"x"</formula>
    </cfRule>
  </conditionalFormatting>
  <conditionalFormatting sqref="AF35">
    <cfRule type="expression" dxfId="1587" priority="1269" stopIfTrue="1">
      <formula>B35=""</formula>
    </cfRule>
  </conditionalFormatting>
  <conditionalFormatting sqref="AG35">
    <cfRule type="cellIs" dxfId="1586" priority="1266" stopIfTrue="1" operator="equal">
      <formula>"x"</formula>
    </cfRule>
  </conditionalFormatting>
  <conditionalFormatting sqref="AG35">
    <cfRule type="expression" dxfId="1585" priority="1267" stopIfTrue="1">
      <formula>B35=""</formula>
    </cfRule>
  </conditionalFormatting>
  <conditionalFormatting sqref="AH35">
    <cfRule type="cellIs" dxfId="1584" priority="1264" stopIfTrue="1" operator="equal">
      <formula>"x"</formula>
    </cfRule>
  </conditionalFormatting>
  <conditionalFormatting sqref="AH35">
    <cfRule type="expression" dxfId="1583" priority="1265" stopIfTrue="1">
      <formula>B35=""</formula>
    </cfRule>
  </conditionalFormatting>
  <conditionalFormatting sqref="AI35">
    <cfRule type="cellIs" dxfId="1582" priority="1262" stopIfTrue="1" operator="equal">
      <formula>"x"</formula>
    </cfRule>
  </conditionalFormatting>
  <conditionalFormatting sqref="AI35">
    <cfRule type="expression" dxfId="1581" priority="1263" stopIfTrue="1">
      <formula>B35=""</formula>
    </cfRule>
  </conditionalFormatting>
  <conditionalFormatting sqref="AJ35">
    <cfRule type="cellIs" dxfId="1580" priority="1260" stopIfTrue="1" operator="equal">
      <formula>"x"</formula>
    </cfRule>
  </conditionalFormatting>
  <conditionalFormatting sqref="AJ35">
    <cfRule type="expression" dxfId="1579" priority="1261" stopIfTrue="1">
      <formula>B35=""</formula>
    </cfRule>
  </conditionalFormatting>
  <conditionalFormatting sqref="AK35">
    <cfRule type="cellIs" dxfId="1578" priority="1258" stopIfTrue="1" operator="equal">
      <formula>"x"</formula>
    </cfRule>
  </conditionalFormatting>
  <conditionalFormatting sqref="AK35">
    <cfRule type="expression" dxfId="1577" priority="1259" stopIfTrue="1">
      <formula>B35=""</formula>
    </cfRule>
  </conditionalFormatting>
  <conditionalFormatting sqref="AL35">
    <cfRule type="cellIs" dxfId="1576" priority="1256" stopIfTrue="1" operator="equal">
      <formula>"x"</formula>
    </cfRule>
  </conditionalFormatting>
  <conditionalFormatting sqref="AL35">
    <cfRule type="expression" dxfId="1575" priority="1257" stopIfTrue="1">
      <formula>B35=""</formula>
    </cfRule>
  </conditionalFormatting>
  <conditionalFormatting sqref="AM35">
    <cfRule type="cellIs" dxfId="1574" priority="1254" stopIfTrue="1" operator="equal">
      <formula>"x"</formula>
    </cfRule>
  </conditionalFormatting>
  <conditionalFormatting sqref="AM35">
    <cfRule type="expression" dxfId="1573" priority="1255" stopIfTrue="1">
      <formula>B35=""</formula>
    </cfRule>
  </conditionalFormatting>
  <conditionalFormatting sqref="AN35">
    <cfRule type="cellIs" dxfId="1572" priority="1252" stopIfTrue="1" operator="equal">
      <formula>"x"</formula>
    </cfRule>
  </conditionalFormatting>
  <conditionalFormatting sqref="AN35">
    <cfRule type="expression" dxfId="1571" priority="1253" stopIfTrue="1">
      <formula>B35=""</formula>
    </cfRule>
  </conditionalFormatting>
  <conditionalFormatting sqref="AO35">
    <cfRule type="cellIs" dxfId="1570" priority="1250" stopIfTrue="1" operator="equal">
      <formula>"x"</formula>
    </cfRule>
  </conditionalFormatting>
  <conditionalFormatting sqref="AO35">
    <cfRule type="expression" dxfId="1569" priority="1251" stopIfTrue="1">
      <formula>B35=""</formula>
    </cfRule>
  </conditionalFormatting>
  <conditionalFormatting sqref="AP35">
    <cfRule type="cellIs" dxfId="1568" priority="1248" stopIfTrue="1" operator="equal">
      <formula>"x"</formula>
    </cfRule>
  </conditionalFormatting>
  <conditionalFormatting sqref="AP35">
    <cfRule type="expression" dxfId="1567" priority="1249" stopIfTrue="1">
      <formula>B35=""</formula>
    </cfRule>
  </conditionalFormatting>
  <conditionalFormatting sqref="AQ35">
    <cfRule type="cellIs" dxfId="1566" priority="1246" stopIfTrue="1" operator="equal">
      <formula>"x"</formula>
    </cfRule>
  </conditionalFormatting>
  <conditionalFormatting sqref="AQ35">
    <cfRule type="expression" dxfId="1565" priority="1247" stopIfTrue="1">
      <formula>B35=""</formula>
    </cfRule>
  </conditionalFormatting>
  <conditionalFormatting sqref="AR35">
    <cfRule type="cellIs" dxfId="1564" priority="1244" stopIfTrue="1" operator="equal">
      <formula>"x"</formula>
    </cfRule>
  </conditionalFormatting>
  <conditionalFormatting sqref="AR35">
    <cfRule type="expression" dxfId="1563" priority="1245" stopIfTrue="1">
      <formula>B35=""</formula>
    </cfRule>
  </conditionalFormatting>
  <conditionalFormatting sqref="AS35">
    <cfRule type="cellIs" dxfId="1562" priority="1242" stopIfTrue="1" operator="equal">
      <formula>"x"</formula>
    </cfRule>
  </conditionalFormatting>
  <conditionalFormatting sqref="AS35">
    <cfRule type="expression" dxfId="1561" priority="1243" stopIfTrue="1">
      <formula>B35=""</formula>
    </cfRule>
  </conditionalFormatting>
  <conditionalFormatting sqref="AT35">
    <cfRule type="cellIs" dxfId="1560" priority="1240" stopIfTrue="1" operator="equal">
      <formula>"x"</formula>
    </cfRule>
  </conditionalFormatting>
  <conditionalFormatting sqref="AT35">
    <cfRule type="expression" dxfId="1559" priority="1241" stopIfTrue="1">
      <formula>B35=""</formula>
    </cfRule>
  </conditionalFormatting>
  <conditionalFormatting sqref="AU35">
    <cfRule type="cellIs" dxfId="1558" priority="1238" stopIfTrue="1" operator="equal">
      <formula>"x"</formula>
    </cfRule>
  </conditionalFormatting>
  <conditionalFormatting sqref="AU35">
    <cfRule type="expression" dxfId="1557" priority="1239" stopIfTrue="1">
      <formula>B35=""</formula>
    </cfRule>
  </conditionalFormatting>
  <conditionalFormatting sqref="AV35">
    <cfRule type="cellIs" dxfId="1556" priority="1236" stopIfTrue="1" operator="equal">
      <formula>"x"</formula>
    </cfRule>
  </conditionalFormatting>
  <conditionalFormatting sqref="AV35">
    <cfRule type="expression" dxfId="1555" priority="1237" stopIfTrue="1">
      <formula>B35=""</formula>
    </cfRule>
  </conditionalFormatting>
  <conditionalFormatting sqref="AW35">
    <cfRule type="cellIs" dxfId="1554" priority="1234" stopIfTrue="1" operator="equal">
      <formula>"x"</formula>
    </cfRule>
  </conditionalFormatting>
  <conditionalFormatting sqref="AW35">
    <cfRule type="expression" dxfId="1553" priority="1235" stopIfTrue="1">
      <formula>B35=""</formula>
    </cfRule>
  </conditionalFormatting>
  <conditionalFormatting sqref="AX35">
    <cfRule type="cellIs" dxfId="1552" priority="1232" stopIfTrue="1" operator="equal">
      <formula>"x"</formula>
    </cfRule>
  </conditionalFormatting>
  <conditionalFormatting sqref="AX35">
    <cfRule type="expression" dxfId="1551" priority="1233" stopIfTrue="1">
      <formula>B35=""</formula>
    </cfRule>
  </conditionalFormatting>
  <conditionalFormatting sqref="AY35">
    <cfRule type="cellIs" dxfId="1550" priority="1230" stopIfTrue="1" operator="equal">
      <formula>"x"</formula>
    </cfRule>
  </conditionalFormatting>
  <conditionalFormatting sqref="AY35">
    <cfRule type="expression" dxfId="1549" priority="1231" stopIfTrue="1">
      <formula>B35=""</formula>
    </cfRule>
  </conditionalFormatting>
  <conditionalFormatting sqref="AZ35">
    <cfRule type="cellIs" dxfId="1548" priority="1228" stopIfTrue="1" operator="equal">
      <formula>"x"</formula>
    </cfRule>
  </conditionalFormatting>
  <conditionalFormatting sqref="AZ35">
    <cfRule type="expression" dxfId="1547" priority="1229" stopIfTrue="1">
      <formula>B35=""</formula>
    </cfRule>
  </conditionalFormatting>
  <conditionalFormatting sqref="BA35">
    <cfRule type="cellIs" dxfId="1546" priority="1226" stopIfTrue="1" operator="equal">
      <formula>"x"</formula>
    </cfRule>
  </conditionalFormatting>
  <conditionalFormatting sqref="BA35">
    <cfRule type="expression" dxfId="1545" priority="1227" stopIfTrue="1">
      <formula>B35=""</formula>
    </cfRule>
  </conditionalFormatting>
  <conditionalFormatting sqref="Q34">
    <cfRule type="cellIs" dxfId="1544" priority="1224" stopIfTrue="1" operator="equal">
      <formula>"x"</formula>
    </cfRule>
  </conditionalFormatting>
  <conditionalFormatting sqref="Q34">
    <cfRule type="expression" dxfId="1543" priority="1225" stopIfTrue="1">
      <formula>B34=""</formula>
    </cfRule>
  </conditionalFormatting>
  <conditionalFormatting sqref="R34">
    <cfRule type="cellIs" dxfId="1542" priority="1222" stopIfTrue="1" operator="equal">
      <formula>"x"</formula>
    </cfRule>
  </conditionalFormatting>
  <conditionalFormatting sqref="R34">
    <cfRule type="expression" dxfId="1541" priority="1223" stopIfTrue="1">
      <formula>B34=""</formula>
    </cfRule>
  </conditionalFormatting>
  <conditionalFormatting sqref="S34">
    <cfRule type="cellIs" dxfId="1540" priority="1220" stopIfTrue="1" operator="equal">
      <formula>"x"</formula>
    </cfRule>
  </conditionalFormatting>
  <conditionalFormatting sqref="S34">
    <cfRule type="expression" dxfId="1539" priority="1221" stopIfTrue="1">
      <formula>B34=""</formula>
    </cfRule>
  </conditionalFormatting>
  <conditionalFormatting sqref="T34">
    <cfRule type="cellIs" dxfId="1538" priority="1218" stopIfTrue="1" operator="equal">
      <formula>"x"</formula>
    </cfRule>
  </conditionalFormatting>
  <conditionalFormatting sqref="T34">
    <cfRule type="expression" dxfId="1537" priority="1219" stopIfTrue="1">
      <formula>B34=""</formula>
    </cfRule>
  </conditionalFormatting>
  <conditionalFormatting sqref="U34">
    <cfRule type="cellIs" dxfId="1536" priority="1216" stopIfTrue="1" operator="equal">
      <formula>"x"</formula>
    </cfRule>
  </conditionalFormatting>
  <conditionalFormatting sqref="U34">
    <cfRule type="expression" dxfId="1535" priority="1217" stopIfTrue="1">
      <formula>B34=""</formula>
    </cfRule>
  </conditionalFormatting>
  <conditionalFormatting sqref="V34">
    <cfRule type="cellIs" dxfId="1534" priority="1214" stopIfTrue="1" operator="equal">
      <formula>"x"</formula>
    </cfRule>
  </conditionalFormatting>
  <conditionalFormatting sqref="V34">
    <cfRule type="expression" dxfId="1533" priority="1215" stopIfTrue="1">
      <formula>B34=""</formula>
    </cfRule>
  </conditionalFormatting>
  <conditionalFormatting sqref="W34">
    <cfRule type="cellIs" dxfId="1532" priority="1212" stopIfTrue="1" operator="equal">
      <formula>"x"</formula>
    </cfRule>
  </conditionalFormatting>
  <conditionalFormatting sqref="W34">
    <cfRule type="expression" dxfId="1531" priority="1213" stopIfTrue="1">
      <formula>B34=""</formula>
    </cfRule>
  </conditionalFormatting>
  <conditionalFormatting sqref="X34">
    <cfRule type="cellIs" dxfId="1530" priority="1210" stopIfTrue="1" operator="equal">
      <formula>"x"</formula>
    </cfRule>
  </conditionalFormatting>
  <conditionalFormatting sqref="X34">
    <cfRule type="expression" dxfId="1529" priority="1211" stopIfTrue="1">
      <formula>B34=""</formula>
    </cfRule>
  </conditionalFormatting>
  <conditionalFormatting sqref="Y34">
    <cfRule type="cellIs" dxfId="1528" priority="1208" stopIfTrue="1" operator="equal">
      <formula>"x"</formula>
    </cfRule>
  </conditionalFormatting>
  <conditionalFormatting sqref="Y34">
    <cfRule type="expression" dxfId="1527" priority="1209" stopIfTrue="1">
      <formula>B34=""</formula>
    </cfRule>
  </conditionalFormatting>
  <conditionalFormatting sqref="Z34">
    <cfRule type="cellIs" dxfId="1526" priority="1206" stopIfTrue="1" operator="equal">
      <formula>"x"</formula>
    </cfRule>
  </conditionalFormatting>
  <conditionalFormatting sqref="Z34">
    <cfRule type="expression" dxfId="1525" priority="1207" stopIfTrue="1">
      <formula>B34=""</formula>
    </cfRule>
  </conditionalFormatting>
  <conditionalFormatting sqref="AA34">
    <cfRule type="cellIs" dxfId="1524" priority="1204" stopIfTrue="1" operator="equal">
      <formula>"x"</formula>
    </cfRule>
  </conditionalFormatting>
  <conditionalFormatting sqref="AA34">
    <cfRule type="expression" dxfId="1523" priority="1205" stopIfTrue="1">
      <formula>B34=""</formula>
    </cfRule>
  </conditionalFormatting>
  <conditionalFormatting sqref="AB34">
    <cfRule type="cellIs" dxfId="1522" priority="1202" stopIfTrue="1" operator="equal">
      <formula>"x"</formula>
    </cfRule>
  </conditionalFormatting>
  <conditionalFormatting sqref="AB34">
    <cfRule type="expression" dxfId="1521" priority="1203" stopIfTrue="1">
      <formula>B34=""</formula>
    </cfRule>
  </conditionalFormatting>
  <conditionalFormatting sqref="AC34">
    <cfRule type="cellIs" dxfId="1520" priority="1200" stopIfTrue="1" operator="equal">
      <formula>"x"</formula>
    </cfRule>
  </conditionalFormatting>
  <conditionalFormatting sqref="AC34">
    <cfRule type="expression" dxfId="1519" priority="1201" stopIfTrue="1">
      <formula>B34=""</formula>
    </cfRule>
  </conditionalFormatting>
  <conditionalFormatting sqref="AD34">
    <cfRule type="cellIs" dxfId="1518" priority="1198" stopIfTrue="1" operator="equal">
      <formula>"x"</formula>
    </cfRule>
  </conditionalFormatting>
  <conditionalFormatting sqref="AD34">
    <cfRule type="expression" dxfId="1517" priority="1199" stopIfTrue="1">
      <formula>B34=""</formula>
    </cfRule>
  </conditionalFormatting>
  <conditionalFormatting sqref="AE34">
    <cfRule type="cellIs" dxfId="1516" priority="1196" stopIfTrue="1" operator="equal">
      <formula>"x"</formula>
    </cfRule>
  </conditionalFormatting>
  <conditionalFormatting sqref="AE34">
    <cfRule type="expression" dxfId="1515" priority="1197" stopIfTrue="1">
      <formula>B34=""</formula>
    </cfRule>
  </conditionalFormatting>
  <conditionalFormatting sqref="AF34">
    <cfRule type="cellIs" dxfId="1514" priority="1194" stopIfTrue="1" operator="equal">
      <formula>"x"</formula>
    </cfRule>
  </conditionalFormatting>
  <conditionalFormatting sqref="AF34">
    <cfRule type="expression" dxfId="1513" priority="1195" stopIfTrue="1">
      <formula>B34=""</formula>
    </cfRule>
  </conditionalFormatting>
  <conditionalFormatting sqref="AG34">
    <cfRule type="cellIs" dxfId="1512" priority="1192" stopIfTrue="1" operator="equal">
      <formula>"x"</formula>
    </cfRule>
  </conditionalFormatting>
  <conditionalFormatting sqref="AG34">
    <cfRule type="expression" dxfId="1511" priority="1193" stopIfTrue="1">
      <formula>B34=""</formula>
    </cfRule>
  </conditionalFormatting>
  <conditionalFormatting sqref="AH34">
    <cfRule type="cellIs" dxfId="1510" priority="1190" stopIfTrue="1" operator="equal">
      <formula>"x"</formula>
    </cfRule>
  </conditionalFormatting>
  <conditionalFormatting sqref="AH34">
    <cfRule type="expression" dxfId="1509" priority="1191" stopIfTrue="1">
      <formula>B34=""</formula>
    </cfRule>
  </conditionalFormatting>
  <conditionalFormatting sqref="AI34">
    <cfRule type="cellIs" dxfId="1508" priority="1188" stopIfTrue="1" operator="equal">
      <formula>"x"</formula>
    </cfRule>
  </conditionalFormatting>
  <conditionalFormatting sqref="AI34">
    <cfRule type="expression" dxfId="1507" priority="1189" stopIfTrue="1">
      <formula>B34=""</formula>
    </cfRule>
  </conditionalFormatting>
  <conditionalFormatting sqref="AJ34">
    <cfRule type="cellIs" dxfId="1506" priority="1186" stopIfTrue="1" operator="equal">
      <formula>"x"</formula>
    </cfRule>
  </conditionalFormatting>
  <conditionalFormatting sqref="AJ34">
    <cfRule type="expression" dxfId="1505" priority="1187" stopIfTrue="1">
      <formula>B34=""</formula>
    </cfRule>
  </conditionalFormatting>
  <conditionalFormatting sqref="AK34">
    <cfRule type="cellIs" dxfId="1504" priority="1184" stopIfTrue="1" operator="equal">
      <formula>"x"</formula>
    </cfRule>
  </conditionalFormatting>
  <conditionalFormatting sqref="AK34">
    <cfRule type="expression" dxfId="1503" priority="1185" stopIfTrue="1">
      <formula>B34=""</formula>
    </cfRule>
  </conditionalFormatting>
  <conditionalFormatting sqref="AL34">
    <cfRule type="cellIs" dxfId="1502" priority="1182" stopIfTrue="1" operator="equal">
      <formula>"x"</formula>
    </cfRule>
  </conditionalFormatting>
  <conditionalFormatting sqref="AL34">
    <cfRule type="expression" dxfId="1501" priority="1183" stopIfTrue="1">
      <formula>B34=""</formula>
    </cfRule>
  </conditionalFormatting>
  <conditionalFormatting sqref="AM34">
    <cfRule type="cellIs" dxfId="1500" priority="1180" stopIfTrue="1" operator="equal">
      <formula>"x"</formula>
    </cfRule>
  </conditionalFormatting>
  <conditionalFormatting sqref="AM34">
    <cfRule type="expression" dxfId="1499" priority="1181" stopIfTrue="1">
      <formula>B34=""</formula>
    </cfRule>
  </conditionalFormatting>
  <conditionalFormatting sqref="AN34">
    <cfRule type="cellIs" dxfId="1498" priority="1178" stopIfTrue="1" operator="equal">
      <formula>"x"</formula>
    </cfRule>
  </conditionalFormatting>
  <conditionalFormatting sqref="AN34">
    <cfRule type="expression" dxfId="1497" priority="1179" stopIfTrue="1">
      <formula>B34=""</formula>
    </cfRule>
  </conditionalFormatting>
  <conditionalFormatting sqref="AO34">
    <cfRule type="cellIs" dxfId="1496" priority="1176" stopIfTrue="1" operator="equal">
      <formula>"x"</formula>
    </cfRule>
  </conditionalFormatting>
  <conditionalFormatting sqref="AO34">
    <cfRule type="expression" dxfId="1495" priority="1177" stopIfTrue="1">
      <formula>B34=""</formula>
    </cfRule>
  </conditionalFormatting>
  <conditionalFormatting sqref="AP34">
    <cfRule type="cellIs" dxfId="1494" priority="1174" stopIfTrue="1" operator="equal">
      <formula>"x"</formula>
    </cfRule>
  </conditionalFormatting>
  <conditionalFormatting sqref="AP34">
    <cfRule type="expression" dxfId="1493" priority="1175" stopIfTrue="1">
      <formula>B34=""</formula>
    </cfRule>
  </conditionalFormatting>
  <conditionalFormatting sqref="AQ34">
    <cfRule type="cellIs" dxfId="1492" priority="1172" stopIfTrue="1" operator="equal">
      <formula>"x"</formula>
    </cfRule>
  </conditionalFormatting>
  <conditionalFormatting sqref="AQ34">
    <cfRule type="expression" dxfId="1491" priority="1173" stopIfTrue="1">
      <formula>B34=""</formula>
    </cfRule>
  </conditionalFormatting>
  <conditionalFormatting sqref="AR34">
    <cfRule type="cellIs" dxfId="1490" priority="1170" stopIfTrue="1" operator="equal">
      <formula>"x"</formula>
    </cfRule>
  </conditionalFormatting>
  <conditionalFormatting sqref="AR34">
    <cfRule type="expression" dxfId="1489" priority="1171" stopIfTrue="1">
      <formula>B34=""</formula>
    </cfRule>
  </conditionalFormatting>
  <conditionalFormatting sqref="AS34">
    <cfRule type="cellIs" dxfId="1488" priority="1168" stopIfTrue="1" operator="equal">
      <formula>"x"</formula>
    </cfRule>
  </conditionalFormatting>
  <conditionalFormatting sqref="AS34">
    <cfRule type="expression" dxfId="1487" priority="1169" stopIfTrue="1">
      <formula>B34=""</formula>
    </cfRule>
  </conditionalFormatting>
  <conditionalFormatting sqref="AT34">
    <cfRule type="cellIs" dxfId="1486" priority="1166" stopIfTrue="1" operator="equal">
      <formula>"x"</formula>
    </cfRule>
  </conditionalFormatting>
  <conditionalFormatting sqref="AT34">
    <cfRule type="expression" dxfId="1485" priority="1167" stopIfTrue="1">
      <formula>B34=""</formula>
    </cfRule>
  </conditionalFormatting>
  <conditionalFormatting sqref="AU34">
    <cfRule type="cellIs" dxfId="1484" priority="1164" stopIfTrue="1" operator="equal">
      <formula>"x"</formula>
    </cfRule>
  </conditionalFormatting>
  <conditionalFormatting sqref="AU34">
    <cfRule type="expression" dxfId="1483" priority="1165" stopIfTrue="1">
      <formula>B34=""</formula>
    </cfRule>
  </conditionalFormatting>
  <conditionalFormatting sqref="AV34">
    <cfRule type="cellIs" dxfId="1482" priority="1162" stopIfTrue="1" operator="equal">
      <formula>"x"</formula>
    </cfRule>
  </conditionalFormatting>
  <conditionalFormatting sqref="AV34">
    <cfRule type="expression" dxfId="1481" priority="1163" stopIfTrue="1">
      <formula>B34=""</formula>
    </cfRule>
  </conditionalFormatting>
  <conditionalFormatting sqref="AW34">
    <cfRule type="cellIs" dxfId="1480" priority="1160" stopIfTrue="1" operator="equal">
      <formula>"x"</formula>
    </cfRule>
  </conditionalFormatting>
  <conditionalFormatting sqref="AW34">
    <cfRule type="expression" dxfId="1479" priority="1161" stopIfTrue="1">
      <formula>B34=""</formula>
    </cfRule>
  </conditionalFormatting>
  <conditionalFormatting sqref="AX34">
    <cfRule type="cellIs" dxfId="1478" priority="1158" stopIfTrue="1" operator="equal">
      <formula>"x"</formula>
    </cfRule>
  </conditionalFormatting>
  <conditionalFormatting sqref="AX34">
    <cfRule type="expression" dxfId="1477" priority="1159" stopIfTrue="1">
      <formula>B34=""</formula>
    </cfRule>
  </conditionalFormatting>
  <conditionalFormatting sqref="AY34">
    <cfRule type="cellIs" dxfId="1476" priority="1156" stopIfTrue="1" operator="equal">
      <formula>"x"</formula>
    </cfRule>
  </conditionalFormatting>
  <conditionalFormatting sqref="AY34">
    <cfRule type="expression" dxfId="1475" priority="1157" stopIfTrue="1">
      <formula>B34=""</formula>
    </cfRule>
  </conditionalFormatting>
  <conditionalFormatting sqref="AZ34">
    <cfRule type="cellIs" dxfId="1474" priority="1154" stopIfTrue="1" operator="equal">
      <formula>"x"</formula>
    </cfRule>
  </conditionalFormatting>
  <conditionalFormatting sqref="AZ34">
    <cfRule type="expression" dxfId="1473" priority="1155" stopIfTrue="1">
      <formula>B34=""</formula>
    </cfRule>
  </conditionalFormatting>
  <conditionalFormatting sqref="BA34">
    <cfRule type="cellIs" dxfId="1472" priority="1152" stopIfTrue="1" operator="equal">
      <formula>"x"</formula>
    </cfRule>
  </conditionalFormatting>
  <conditionalFormatting sqref="BA34">
    <cfRule type="expression" dxfId="1471" priority="1153" stopIfTrue="1">
      <formula>B34=""</formula>
    </cfRule>
  </conditionalFormatting>
  <conditionalFormatting sqref="Q32">
    <cfRule type="cellIs" dxfId="1470" priority="1150" stopIfTrue="1" operator="equal">
      <formula>"x"</formula>
    </cfRule>
  </conditionalFormatting>
  <conditionalFormatting sqref="Q32">
    <cfRule type="expression" dxfId="1469" priority="1151" stopIfTrue="1">
      <formula>B32=""</formula>
    </cfRule>
  </conditionalFormatting>
  <conditionalFormatting sqref="R32">
    <cfRule type="cellIs" dxfId="1468" priority="1148" stopIfTrue="1" operator="equal">
      <formula>"x"</formula>
    </cfRule>
  </conditionalFormatting>
  <conditionalFormatting sqref="R32">
    <cfRule type="expression" dxfId="1467" priority="1149" stopIfTrue="1">
      <formula>B32=""</formula>
    </cfRule>
  </conditionalFormatting>
  <conditionalFormatting sqref="S32">
    <cfRule type="cellIs" dxfId="1466" priority="1146" stopIfTrue="1" operator="equal">
      <formula>"x"</formula>
    </cfRule>
  </conditionalFormatting>
  <conditionalFormatting sqref="S32">
    <cfRule type="expression" dxfId="1465" priority="1147" stopIfTrue="1">
      <formula>B32=""</formula>
    </cfRule>
  </conditionalFormatting>
  <conditionalFormatting sqref="T32">
    <cfRule type="cellIs" dxfId="1464" priority="1144" stopIfTrue="1" operator="equal">
      <formula>"x"</formula>
    </cfRule>
  </conditionalFormatting>
  <conditionalFormatting sqref="T32">
    <cfRule type="expression" dxfId="1463" priority="1145" stopIfTrue="1">
      <formula>B32=""</formula>
    </cfRule>
  </conditionalFormatting>
  <conditionalFormatting sqref="U32">
    <cfRule type="cellIs" dxfId="1462" priority="1142" stopIfTrue="1" operator="equal">
      <formula>"x"</formula>
    </cfRule>
  </conditionalFormatting>
  <conditionalFormatting sqref="U32">
    <cfRule type="expression" dxfId="1461" priority="1143" stopIfTrue="1">
      <formula>B32=""</formula>
    </cfRule>
  </conditionalFormatting>
  <conditionalFormatting sqref="V32">
    <cfRule type="cellIs" dxfId="1460" priority="1140" stopIfTrue="1" operator="equal">
      <formula>"x"</formula>
    </cfRule>
  </conditionalFormatting>
  <conditionalFormatting sqref="V32">
    <cfRule type="expression" dxfId="1459" priority="1141" stopIfTrue="1">
      <formula>B32=""</formula>
    </cfRule>
  </conditionalFormatting>
  <conditionalFormatting sqref="W32">
    <cfRule type="cellIs" dxfId="1458" priority="1138" stopIfTrue="1" operator="equal">
      <formula>"x"</formula>
    </cfRule>
  </conditionalFormatting>
  <conditionalFormatting sqref="W32">
    <cfRule type="expression" dxfId="1457" priority="1139" stopIfTrue="1">
      <formula>B32=""</formula>
    </cfRule>
  </conditionalFormatting>
  <conditionalFormatting sqref="X32">
    <cfRule type="cellIs" dxfId="1456" priority="1136" stopIfTrue="1" operator="equal">
      <formula>"x"</formula>
    </cfRule>
  </conditionalFormatting>
  <conditionalFormatting sqref="X32">
    <cfRule type="expression" dxfId="1455" priority="1137" stopIfTrue="1">
      <formula>B32=""</formula>
    </cfRule>
  </conditionalFormatting>
  <conditionalFormatting sqref="Y32">
    <cfRule type="cellIs" dxfId="1454" priority="1134" stopIfTrue="1" operator="equal">
      <formula>"x"</formula>
    </cfRule>
  </conditionalFormatting>
  <conditionalFormatting sqref="Y32">
    <cfRule type="expression" dxfId="1453" priority="1135" stopIfTrue="1">
      <formula>B32=""</formula>
    </cfRule>
  </conditionalFormatting>
  <conditionalFormatting sqref="Z32">
    <cfRule type="cellIs" dxfId="1452" priority="1132" stopIfTrue="1" operator="equal">
      <formula>"x"</formula>
    </cfRule>
  </conditionalFormatting>
  <conditionalFormatting sqref="Z32">
    <cfRule type="expression" dxfId="1451" priority="1133" stopIfTrue="1">
      <formula>B32=""</formula>
    </cfRule>
  </conditionalFormatting>
  <conditionalFormatting sqref="AA32">
    <cfRule type="cellIs" dxfId="1450" priority="1130" stopIfTrue="1" operator="equal">
      <formula>"x"</formula>
    </cfRule>
  </conditionalFormatting>
  <conditionalFormatting sqref="AA32">
    <cfRule type="expression" dxfId="1449" priority="1131" stopIfTrue="1">
      <formula>B32=""</formula>
    </cfRule>
  </conditionalFormatting>
  <conditionalFormatting sqref="AB32">
    <cfRule type="cellIs" dxfId="1448" priority="1128" stopIfTrue="1" operator="equal">
      <formula>"x"</formula>
    </cfRule>
  </conditionalFormatting>
  <conditionalFormatting sqref="AB32">
    <cfRule type="expression" dxfId="1447" priority="1129" stopIfTrue="1">
      <formula>B32=""</formula>
    </cfRule>
  </conditionalFormatting>
  <conditionalFormatting sqref="AC32">
    <cfRule type="cellIs" dxfId="1446" priority="1126" stopIfTrue="1" operator="equal">
      <formula>"x"</formula>
    </cfRule>
  </conditionalFormatting>
  <conditionalFormatting sqref="AC32">
    <cfRule type="expression" dxfId="1445" priority="1127" stopIfTrue="1">
      <formula>B32=""</formula>
    </cfRule>
  </conditionalFormatting>
  <conditionalFormatting sqref="AD32">
    <cfRule type="cellIs" dxfId="1444" priority="1124" stopIfTrue="1" operator="equal">
      <formula>"x"</formula>
    </cfRule>
  </conditionalFormatting>
  <conditionalFormatting sqref="AD32">
    <cfRule type="expression" dxfId="1443" priority="1125" stopIfTrue="1">
      <formula>B32=""</formula>
    </cfRule>
  </conditionalFormatting>
  <conditionalFormatting sqref="AE32">
    <cfRule type="cellIs" dxfId="1442" priority="1122" stopIfTrue="1" operator="equal">
      <formula>"x"</formula>
    </cfRule>
  </conditionalFormatting>
  <conditionalFormatting sqref="AE32">
    <cfRule type="expression" dxfId="1441" priority="1123" stopIfTrue="1">
      <formula>B32=""</formula>
    </cfRule>
  </conditionalFormatting>
  <conditionalFormatting sqref="AF32">
    <cfRule type="cellIs" dxfId="1440" priority="1120" stopIfTrue="1" operator="equal">
      <formula>"x"</formula>
    </cfRule>
  </conditionalFormatting>
  <conditionalFormatting sqref="AF32">
    <cfRule type="expression" dxfId="1439" priority="1121" stopIfTrue="1">
      <formula>B32=""</formula>
    </cfRule>
  </conditionalFormatting>
  <conditionalFormatting sqref="AG32">
    <cfRule type="cellIs" dxfId="1438" priority="1118" stopIfTrue="1" operator="equal">
      <formula>"x"</formula>
    </cfRule>
  </conditionalFormatting>
  <conditionalFormatting sqref="AG32">
    <cfRule type="expression" dxfId="1437" priority="1119" stopIfTrue="1">
      <formula>B32=""</formula>
    </cfRule>
  </conditionalFormatting>
  <conditionalFormatting sqref="AH32">
    <cfRule type="cellIs" dxfId="1436" priority="1116" stopIfTrue="1" operator="equal">
      <formula>"x"</formula>
    </cfRule>
  </conditionalFormatting>
  <conditionalFormatting sqref="AH32">
    <cfRule type="expression" dxfId="1435" priority="1117" stopIfTrue="1">
      <formula>B32=""</formula>
    </cfRule>
  </conditionalFormatting>
  <conditionalFormatting sqref="AI32">
    <cfRule type="cellIs" dxfId="1434" priority="1114" stopIfTrue="1" operator="equal">
      <formula>"x"</formula>
    </cfRule>
  </conditionalFormatting>
  <conditionalFormatting sqref="AI32">
    <cfRule type="expression" dxfId="1433" priority="1115" stopIfTrue="1">
      <formula>B32=""</formula>
    </cfRule>
  </conditionalFormatting>
  <conditionalFormatting sqref="AJ32">
    <cfRule type="cellIs" dxfId="1432" priority="1112" stopIfTrue="1" operator="equal">
      <formula>"x"</formula>
    </cfRule>
  </conditionalFormatting>
  <conditionalFormatting sqref="AJ32">
    <cfRule type="expression" dxfId="1431" priority="1113" stopIfTrue="1">
      <formula>B32=""</formula>
    </cfRule>
  </conditionalFormatting>
  <conditionalFormatting sqref="AK32">
    <cfRule type="cellIs" dxfId="1430" priority="1110" stopIfTrue="1" operator="equal">
      <formula>"x"</formula>
    </cfRule>
  </conditionalFormatting>
  <conditionalFormatting sqref="AK32">
    <cfRule type="expression" dxfId="1429" priority="1111" stopIfTrue="1">
      <formula>B32=""</formula>
    </cfRule>
  </conditionalFormatting>
  <conditionalFormatting sqref="AL32">
    <cfRule type="cellIs" dxfId="1428" priority="1108" stopIfTrue="1" operator="equal">
      <formula>"x"</formula>
    </cfRule>
  </conditionalFormatting>
  <conditionalFormatting sqref="AL32">
    <cfRule type="expression" dxfId="1427" priority="1109" stopIfTrue="1">
      <formula>B32=""</formula>
    </cfRule>
  </conditionalFormatting>
  <conditionalFormatting sqref="AM32">
    <cfRule type="cellIs" dxfId="1426" priority="1106" stopIfTrue="1" operator="equal">
      <formula>"x"</formula>
    </cfRule>
  </conditionalFormatting>
  <conditionalFormatting sqref="AM32">
    <cfRule type="expression" dxfId="1425" priority="1107" stopIfTrue="1">
      <formula>B32=""</formula>
    </cfRule>
  </conditionalFormatting>
  <conditionalFormatting sqref="AN32">
    <cfRule type="cellIs" dxfId="1424" priority="1104" stopIfTrue="1" operator="equal">
      <formula>"x"</formula>
    </cfRule>
  </conditionalFormatting>
  <conditionalFormatting sqref="AN32">
    <cfRule type="expression" dxfId="1423" priority="1105" stopIfTrue="1">
      <formula>B32=""</formula>
    </cfRule>
  </conditionalFormatting>
  <conditionalFormatting sqref="AO32">
    <cfRule type="cellIs" dxfId="1422" priority="1102" stopIfTrue="1" operator="equal">
      <formula>"x"</formula>
    </cfRule>
  </conditionalFormatting>
  <conditionalFormatting sqref="AO32">
    <cfRule type="expression" dxfId="1421" priority="1103" stopIfTrue="1">
      <formula>B32=""</formula>
    </cfRule>
  </conditionalFormatting>
  <conditionalFormatting sqref="AP32">
    <cfRule type="cellIs" dxfId="1420" priority="1100" stopIfTrue="1" operator="equal">
      <formula>"x"</formula>
    </cfRule>
  </conditionalFormatting>
  <conditionalFormatting sqref="AP32">
    <cfRule type="expression" dxfId="1419" priority="1101" stopIfTrue="1">
      <formula>B32=""</formula>
    </cfRule>
  </conditionalFormatting>
  <conditionalFormatting sqref="AQ32">
    <cfRule type="cellIs" dxfId="1418" priority="1098" stopIfTrue="1" operator="equal">
      <formula>"x"</formula>
    </cfRule>
  </conditionalFormatting>
  <conditionalFormatting sqref="AQ32">
    <cfRule type="expression" dxfId="1417" priority="1099" stopIfTrue="1">
      <formula>B32=""</formula>
    </cfRule>
  </conditionalFormatting>
  <conditionalFormatting sqref="AR32">
    <cfRule type="cellIs" dxfId="1416" priority="1096" stopIfTrue="1" operator="equal">
      <formula>"x"</formula>
    </cfRule>
  </conditionalFormatting>
  <conditionalFormatting sqref="AR32">
    <cfRule type="expression" dxfId="1415" priority="1097" stopIfTrue="1">
      <formula>B32=""</formula>
    </cfRule>
  </conditionalFormatting>
  <conditionalFormatting sqref="AS32">
    <cfRule type="cellIs" dxfId="1414" priority="1094" stopIfTrue="1" operator="equal">
      <formula>"x"</formula>
    </cfRule>
  </conditionalFormatting>
  <conditionalFormatting sqref="AS32">
    <cfRule type="expression" dxfId="1413" priority="1095" stopIfTrue="1">
      <formula>B32=""</formula>
    </cfRule>
  </conditionalFormatting>
  <conditionalFormatting sqref="AT32">
    <cfRule type="cellIs" dxfId="1412" priority="1092" stopIfTrue="1" operator="equal">
      <formula>"x"</formula>
    </cfRule>
  </conditionalFormatting>
  <conditionalFormatting sqref="AT32">
    <cfRule type="expression" dxfId="1411" priority="1093" stopIfTrue="1">
      <formula>B32=""</formula>
    </cfRule>
  </conditionalFormatting>
  <conditionalFormatting sqref="AU32">
    <cfRule type="cellIs" dxfId="1410" priority="1090" stopIfTrue="1" operator="equal">
      <formula>"x"</formula>
    </cfRule>
  </conditionalFormatting>
  <conditionalFormatting sqref="AU32">
    <cfRule type="expression" dxfId="1409" priority="1091" stopIfTrue="1">
      <formula>B32=""</formula>
    </cfRule>
  </conditionalFormatting>
  <conditionalFormatting sqref="AV32">
    <cfRule type="cellIs" dxfId="1408" priority="1088" stopIfTrue="1" operator="equal">
      <formula>"x"</formula>
    </cfRule>
  </conditionalFormatting>
  <conditionalFormatting sqref="AV32">
    <cfRule type="expression" dxfId="1407" priority="1089" stopIfTrue="1">
      <formula>B32=""</formula>
    </cfRule>
  </conditionalFormatting>
  <conditionalFormatting sqref="AW32">
    <cfRule type="cellIs" dxfId="1406" priority="1086" stopIfTrue="1" operator="equal">
      <formula>"x"</formula>
    </cfRule>
  </conditionalFormatting>
  <conditionalFormatting sqref="AW32">
    <cfRule type="expression" dxfId="1405" priority="1087" stopIfTrue="1">
      <formula>B32=""</formula>
    </cfRule>
  </conditionalFormatting>
  <conditionalFormatting sqref="AX32">
    <cfRule type="cellIs" dxfId="1404" priority="1084" stopIfTrue="1" operator="equal">
      <formula>"x"</formula>
    </cfRule>
  </conditionalFormatting>
  <conditionalFormatting sqref="AX32">
    <cfRule type="expression" dxfId="1403" priority="1085" stopIfTrue="1">
      <formula>B32=""</formula>
    </cfRule>
  </conditionalFormatting>
  <conditionalFormatting sqref="AY32">
    <cfRule type="cellIs" dxfId="1402" priority="1082" stopIfTrue="1" operator="equal">
      <formula>"x"</formula>
    </cfRule>
  </conditionalFormatting>
  <conditionalFormatting sqref="AY32">
    <cfRule type="expression" dxfId="1401" priority="1083" stopIfTrue="1">
      <formula>B32=""</formula>
    </cfRule>
  </conditionalFormatting>
  <conditionalFormatting sqref="AZ32">
    <cfRule type="cellIs" dxfId="1400" priority="1080" stopIfTrue="1" operator="equal">
      <formula>"x"</formula>
    </cfRule>
  </conditionalFormatting>
  <conditionalFormatting sqref="AZ32">
    <cfRule type="expression" dxfId="1399" priority="1081" stopIfTrue="1">
      <formula>B32=""</formula>
    </cfRule>
  </conditionalFormatting>
  <conditionalFormatting sqref="BA32">
    <cfRule type="cellIs" dxfId="1398" priority="1078" stopIfTrue="1" operator="equal">
      <formula>"x"</formula>
    </cfRule>
  </conditionalFormatting>
  <conditionalFormatting sqref="BA32">
    <cfRule type="expression" dxfId="1397" priority="1079" stopIfTrue="1">
      <formula>B32=""</formula>
    </cfRule>
  </conditionalFormatting>
  <conditionalFormatting sqref="Q31">
    <cfRule type="cellIs" dxfId="1396" priority="1076" stopIfTrue="1" operator="equal">
      <formula>"x"</formula>
    </cfRule>
  </conditionalFormatting>
  <conditionalFormatting sqref="Q31">
    <cfRule type="expression" dxfId="1395" priority="1077" stopIfTrue="1">
      <formula>B31=""</formula>
    </cfRule>
  </conditionalFormatting>
  <conditionalFormatting sqref="R31">
    <cfRule type="cellIs" dxfId="1394" priority="1074" stopIfTrue="1" operator="equal">
      <formula>"x"</formula>
    </cfRule>
  </conditionalFormatting>
  <conditionalFormatting sqref="R31">
    <cfRule type="expression" dxfId="1393" priority="1075" stopIfTrue="1">
      <formula>B31=""</formula>
    </cfRule>
  </conditionalFormatting>
  <conditionalFormatting sqref="S31">
    <cfRule type="cellIs" dxfId="1392" priority="1072" stopIfTrue="1" operator="equal">
      <formula>"x"</formula>
    </cfRule>
  </conditionalFormatting>
  <conditionalFormatting sqref="S31">
    <cfRule type="expression" dxfId="1391" priority="1073" stopIfTrue="1">
      <formula>B31=""</formula>
    </cfRule>
  </conditionalFormatting>
  <conditionalFormatting sqref="T31">
    <cfRule type="cellIs" dxfId="1390" priority="1070" stopIfTrue="1" operator="equal">
      <formula>"x"</formula>
    </cfRule>
  </conditionalFormatting>
  <conditionalFormatting sqref="T31">
    <cfRule type="expression" dxfId="1389" priority="1071" stopIfTrue="1">
      <formula>B31=""</formula>
    </cfRule>
  </conditionalFormatting>
  <conditionalFormatting sqref="U31">
    <cfRule type="cellIs" dxfId="1388" priority="1068" stopIfTrue="1" operator="equal">
      <formula>"x"</formula>
    </cfRule>
  </conditionalFormatting>
  <conditionalFormatting sqref="U31">
    <cfRule type="expression" dxfId="1387" priority="1069" stopIfTrue="1">
      <formula>B31=""</formula>
    </cfRule>
  </conditionalFormatting>
  <conditionalFormatting sqref="V31">
    <cfRule type="cellIs" dxfId="1386" priority="1066" stopIfTrue="1" operator="equal">
      <formula>"x"</formula>
    </cfRule>
  </conditionalFormatting>
  <conditionalFormatting sqref="V31">
    <cfRule type="expression" dxfId="1385" priority="1067" stopIfTrue="1">
      <formula>B31=""</formula>
    </cfRule>
  </conditionalFormatting>
  <conditionalFormatting sqref="W31">
    <cfRule type="cellIs" dxfId="1384" priority="1064" stopIfTrue="1" operator="equal">
      <formula>"x"</formula>
    </cfRule>
  </conditionalFormatting>
  <conditionalFormatting sqref="W31">
    <cfRule type="expression" dxfId="1383" priority="1065" stopIfTrue="1">
      <formula>B31=""</formula>
    </cfRule>
  </conditionalFormatting>
  <conditionalFormatting sqref="X31">
    <cfRule type="cellIs" dxfId="1382" priority="1062" stopIfTrue="1" operator="equal">
      <formula>"x"</formula>
    </cfRule>
  </conditionalFormatting>
  <conditionalFormatting sqref="X31">
    <cfRule type="expression" dxfId="1381" priority="1063" stopIfTrue="1">
      <formula>B31=""</formula>
    </cfRule>
  </conditionalFormatting>
  <conditionalFormatting sqref="Y31">
    <cfRule type="cellIs" dxfId="1380" priority="1060" stopIfTrue="1" operator="equal">
      <formula>"x"</formula>
    </cfRule>
  </conditionalFormatting>
  <conditionalFormatting sqref="Y31">
    <cfRule type="expression" dxfId="1379" priority="1061" stopIfTrue="1">
      <formula>B31=""</formula>
    </cfRule>
  </conditionalFormatting>
  <conditionalFormatting sqref="Z31">
    <cfRule type="cellIs" dxfId="1378" priority="1058" stopIfTrue="1" operator="equal">
      <formula>"x"</formula>
    </cfRule>
  </conditionalFormatting>
  <conditionalFormatting sqref="Z31">
    <cfRule type="expression" dxfId="1377" priority="1059" stopIfTrue="1">
      <formula>B31=""</formula>
    </cfRule>
  </conditionalFormatting>
  <conditionalFormatting sqref="AA31">
    <cfRule type="cellIs" dxfId="1376" priority="1056" stopIfTrue="1" operator="equal">
      <formula>"x"</formula>
    </cfRule>
  </conditionalFormatting>
  <conditionalFormatting sqref="AA31">
    <cfRule type="expression" dxfId="1375" priority="1057" stopIfTrue="1">
      <formula>B31=""</formula>
    </cfRule>
  </conditionalFormatting>
  <conditionalFormatting sqref="AB31">
    <cfRule type="cellIs" dxfId="1374" priority="1054" stopIfTrue="1" operator="equal">
      <formula>"x"</formula>
    </cfRule>
  </conditionalFormatting>
  <conditionalFormatting sqref="AB31">
    <cfRule type="expression" dxfId="1373" priority="1055" stopIfTrue="1">
      <formula>B31=""</formula>
    </cfRule>
  </conditionalFormatting>
  <conditionalFormatting sqref="AC31">
    <cfRule type="cellIs" dxfId="1372" priority="1052" stopIfTrue="1" operator="equal">
      <formula>"x"</formula>
    </cfRule>
  </conditionalFormatting>
  <conditionalFormatting sqref="AC31">
    <cfRule type="expression" dxfId="1371" priority="1053" stopIfTrue="1">
      <formula>B31=""</formula>
    </cfRule>
  </conditionalFormatting>
  <conditionalFormatting sqref="AD31">
    <cfRule type="cellIs" dxfId="1370" priority="1050" stopIfTrue="1" operator="equal">
      <formula>"x"</formula>
    </cfRule>
  </conditionalFormatting>
  <conditionalFormatting sqref="AD31">
    <cfRule type="expression" dxfId="1369" priority="1051" stopIfTrue="1">
      <formula>B31=""</formula>
    </cfRule>
  </conditionalFormatting>
  <conditionalFormatting sqref="AE31">
    <cfRule type="cellIs" dxfId="1368" priority="1048" stopIfTrue="1" operator="equal">
      <formula>"x"</formula>
    </cfRule>
  </conditionalFormatting>
  <conditionalFormatting sqref="AE31">
    <cfRule type="expression" dxfId="1367" priority="1049" stopIfTrue="1">
      <formula>B31=""</formula>
    </cfRule>
  </conditionalFormatting>
  <conditionalFormatting sqref="AF31">
    <cfRule type="cellIs" dxfId="1366" priority="1046" stopIfTrue="1" operator="equal">
      <formula>"x"</formula>
    </cfRule>
  </conditionalFormatting>
  <conditionalFormatting sqref="AF31">
    <cfRule type="expression" dxfId="1365" priority="1047" stopIfTrue="1">
      <formula>B31=""</formula>
    </cfRule>
  </conditionalFormatting>
  <conditionalFormatting sqref="AG31">
    <cfRule type="cellIs" dxfId="1364" priority="1044" stopIfTrue="1" operator="equal">
      <formula>"x"</formula>
    </cfRule>
  </conditionalFormatting>
  <conditionalFormatting sqref="AG31">
    <cfRule type="expression" dxfId="1363" priority="1045" stopIfTrue="1">
      <formula>B31=""</formula>
    </cfRule>
  </conditionalFormatting>
  <conditionalFormatting sqref="AH31">
    <cfRule type="cellIs" dxfId="1362" priority="1042" stopIfTrue="1" operator="equal">
      <formula>"x"</formula>
    </cfRule>
  </conditionalFormatting>
  <conditionalFormatting sqref="AH31">
    <cfRule type="expression" dxfId="1361" priority="1043" stopIfTrue="1">
      <formula>B31=""</formula>
    </cfRule>
  </conditionalFormatting>
  <conditionalFormatting sqref="AI31">
    <cfRule type="cellIs" dxfId="1360" priority="1040" stopIfTrue="1" operator="equal">
      <formula>"x"</formula>
    </cfRule>
  </conditionalFormatting>
  <conditionalFormatting sqref="AI31">
    <cfRule type="expression" dxfId="1359" priority="1041" stopIfTrue="1">
      <formula>B31=""</formula>
    </cfRule>
  </conditionalFormatting>
  <conditionalFormatting sqref="AJ31">
    <cfRule type="cellIs" dxfId="1358" priority="1038" stopIfTrue="1" operator="equal">
      <formula>"x"</formula>
    </cfRule>
  </conditionalFormatting>
  <conditionalFormatting sqref="AJ31">
    <cfRule type="expression" dxfId="1357" priority="1039" stopIfTrue="1">
      <formula>B31=""</formula>
    </cfRule>
  </conditionalFormatting>
  <conditionalFormatting sqref="AK31">
    <cfRule type="cellIs" dxfId="1356" priority="1036" stopIfTrue="1" operator="equal">
      <formula>"x"</formula>
    </cfRule>
  </conditionalFormatting>
  <conditionalFormatting sqref="AK31">
    <cfRule type="expression" dxfId="1355" priority="1037" stopIfTrue="1">
      <formula>B31=""</formula>
    </cfRule>
  </conditionalFormatting>
  <conditionalFormatting sqref="AL31">
    <cfRule type="cellIs" dxfId="1354" priority="1034" stopIfTrue="1" operator="equal">
      <formula>"x"</formula>
    </cfRule>
  </conditionalFormatting>
  <conditionalFormatting sqref="AL31">
    <cfRule type="expression" dxfId="1353" priority="1035" stopIfTrue="1">
      <formula>B31=""</formula>
    </cfRule>
  </conditionalFormatting>
  <conditionalFormatting sqref="AM31">
    <cfRule type="cellIs" dxfId="1352" priority="1032" stopIfTrue="1" operator="equal">
      <formula>"x"</formula>
    </cfRule>
  </conditionalFormatting>
  <conditionalFormatting sqref="AM31">
    <cfRule type="expression" dxfId="1351" priority="1033" stopIfTrue="1">
      <formula>B31=""</formula>
    </cfRule>
  </conditionalFormatting>
  <conditionalFormatting sqref="AN31">
    <cfRule type="cellIs" dxfId="1350" priority="1030" stopIfTrue="1" operator="equal">
      <formula>"x"</formula>
    </cfRule>
  </conditionalFormatting>
  <conditionalFormatting sqref="AN31">
    <cfRule type="expression" dxfId="1349" priority="1031" stopIfTrue="1">
      <formula>B31=""</formula>
    </cfRule>
  </conditionalFormatting>
  <conditionalFormatting sqref="AO31">
    <cfRule type="cellIs" dxfId="1348" priority="1028" stopIfTrue="1" operator="equal">
      <formula>"x"</formula>
    </cfRule>
  </conditionalFormatting>
  <conditionalFormatting sqref="AO31">
    <cfRule type="expression" dxfId="1347" priority="1029" stopIfTrue="1">
      <formula>B31=""</formula>
    </cfRule>
  </conditionalFormatting>
  <conditionalFormatting sqref="AP31">
    <cfRule type="cellIs" dxfId="1346" priority="1026" stopIfTrue="1" operator="equal">
      <formula>"x"</formula>
    </cfRule>
  </conditionalFormatting>
  <conditionalFormatting sqref="AP31">
    <cfRule type="expression" dxfId="1345" priority="1027" stopIfTrue="1">
      <formula>B31=""</formula>
    </cfRule>
  </conditionalFormatting>
  <conditionalFormatting sqref="AQ31">
    <cfRule type="cellIs" dxfId="1344" priority="1024" stopIfTrue="1" operator="equal">
      <formula>"x"</formula>
    </cfRule>
  </conditionalFormatting>
  <conditionalFormatting sqref="AQ31">
    <cfRule type="expression" dxfId="1343" priority="1025" stopIfTrue="1">
      <formula>B31=""</formula>
    </cfRule>
  </conditionalFormatting>
  <conditionalFormatting sqref="AR31">
    <cfRule type="cellIs" dxfId="1342" priority="1022" stopIfTrue="1" operator="equal">
      <formula>"x"</formula>
    </cfRule>
  </conditionalFormatting>
  <conditionalFormatting sqref="AR31">
    <cfRule type="expression" dxfId="1341" priority="1023" stopIfTrue="1">
      <formula>B31=""</formula>
    </cfRule>
  </conditionalFormatting>
  <conditionalFormatting sqref="AS31">
    <cfRule type="cellIs" dxfId="1340" priority="1020" stopIfTrue="1" operator="equal">
      <formula>"x"</formula>
    </cfRule>
  </conditionalFormatting>
  <conditionalFormatting sqref="AS31">
    <cfRule type="expression" dxfId="1339" priority="1021" stopIfTrue="1">
      <formula>B31=""</formula>
    </cfRule>
  </conditionalFormatting>
  <conditionalFormatting sqref="AT31">
    <cfRule type="cellIs" dxfId="1338" priority="1018" stopIfTrue="1" operator="equal">
      <formula>"x"</formula>
    </cfRule>
  </conditionalFormatting>
  <conditionalFormatting sqref="AT31">
    <cfRule type="expression" dxfId="1337" priority="1019" stopIfTrue="1">
      <formula>B31=""</formula>
    </cfRule>
  </conditionalFormatting>
  <conditionalFormatting sqref="AU31">
    <cfRule type="cellIs" dxfId="1336" priority="1016" stopIfTrue="1" operator="equal">
      <formula>"x"</formula>
    </cfRule>
  </conditionalFormatting>
  <conditionalFormatting sqref="AU31">
    <cfRule type="expression" dxfId="1335" priority="1017" stopIfTrue="1">
      <formula>B31=""</formula>
    </cfRule>
  </conditionalFormatting>
  <conditionalFormatting sqref="AV31">
    <cfRule type="cellIs" dxfId="1334" priority="1014" stopIfTrue="1" operator="equal">
      <formula>"x"</formula>
    </cfRule>
  </conditionalFormatting>
  <conditionalFormatting sqref="AV31">
    <cfRule type="expression" dxfId="1333" priority="1015" stopIfTrue="1">
      <formula>B31=""</formula>
    </cfRule>
  </conditionalFormatting>
  <conditionalFormatting sqref="AW31">
    <cfRule type="cellIs" dxfId="1332" priority="1012" stopIfTrue="1" operator="equal">
      <formula>"x"</formula>
    </cfRule>
  </conditionalFormatting>
  <conditionalFormatting sqref="AW31">
    <cfRule type="expression" dxfId="1331" priority="1013" stopIfTrue="1">
      <formula>B31=""</formula>
    </cfRule>
  </conditionalFormatting>
  <conditionalFormatting sqref="AX31">
    <cfRule type="cellIs" dxfId="1330" priority="1010" stopIfTrue="1" operator="equal">
      <formula>"x"</formula>
    </cfRule>
  </conditionalFormatting>
  <conditionalFormatting sqref="AX31">
    <cfRule type="expression" dxfId="1329" priority="1011" stopIfTrue="1">
      <formula>B31=""</formula>
    </cfRule>
  </conditionalFormatting>
  <conditionalFormatting sqref="AY31">
    <cfRule type="cellIs" dxfId="1328" priority="1008" stopIfTrue="1" operator="equal">
      <formula>"x"</formula>
    </cfRule>
  </conditionalFormatting>
  <conditionalFormatting sqref="AY31">
    <cfRule type="expression" dxfId="1327" priority="1009" stopIfTrue="1">
      <formula>B31=""</formula>
    </cfRule>
  </conditionalFormatting>
  <conditionalFormatting sqref="AZ31">
    <cfRule type="cellIs" dxfId="1326" priority="1006" stopIfTrue="1" operator="equal">
      <formula>"x"</formula>
    </cfRule>
  </conditionalFormatting>
  <conditionalFormatting sqref="AZ31">
    <cfRule type="expression" dxfId="1325" priority="1007" stopIfTrue="1">
      <formula>B31=""</formula>
    </cfRule>
  </conditionalFormatting>
  <conditionalFormatting sqref="BA31">
    <cfRule type="cellIs" dxfId="1324" priority="1004" stopIfTrue="1" operator="equal">
      <formula>"x"</formula>
    </cfRule>
  </conditionalFormatting>
  <conditionalFormatting sqref="BA31">
    <cfRule type="expression" dxfId="1323" priority="1005" stopIfTrue="1">
      <formula>B31=""</formula>
    </cfRule>
  </conditionalFormatting>
  <conditionalFormatting sqref="Q30">
    <cfRule type="cellIs" dxfId="1322" priority="1002" stopIfTrue="1" operator="equal">
      <formula>"x"</formula>
    </cfRule>
  </conditionalFormatting>
  <conditionalFormatting sqref="Q30">
    <cfRule type="expression" dxfId="1321" priority="1003" stopIfTrue="1">
      <formula>B30=""</formula>
    </cfRule>
  </conditionalFormatting>
  <conditionalFormatting sqref="R30">
    <cfRule type="cellIs" dxfId="1320" priority="1000" stopIfTrue="1" operator="equal">
      <formula>"x"</formula>
    </cfRule>
  </conditionalFormatting>
  <conditionalFormatting sqref="R30">
    <cfRule type="expression" dxfId="1319" priority="1001" stopIfTrue="1">
      <formula>B30=""</formula>
    </cfRule>
  </conditionalFormatting>
  <conditionalFormatting sqref="S30">
    <cfRule type="cellIs" dxfId="1318" priority="998" stopIfTrue="1" operator="equal">
      <formula>"x"</formula>
    </cfRule>
  </conditionalFormatting>
  <conditionalFormatting sqref="S30">
    <cfRule type="expression" dxfId="1317" priority="999" stopIfTrue="1">
      <formula>B30=""</formula>
    </cfRule>
  </conditionalFormatting>
  <conditionalFormatting sqref="T30">
    <cfRule type="cellIs" dxfId="1316" priority="996" stopIfTrue="1" operator="equal">
      <formula>"x"</formula>
    </cfRule>
  </conditionalFormatting>
  <conditionalFormatting sqref="T30">
    <cfRule type="expression" dxfId="1315" priority="997" stopIfTrue="1">
      <formula>B30=""</formula>
    </cfRule>
  </conditionalFormatting>
  <conditionalFormatting sqref="U30">
    <cfRule type="cellIs" dxfId="1314" priority="994" stopIfTrue="1" operator="equal">
      <formula>"x"</formula>
    </cfRule>
  </conditionalFormatting>
  <conditionalFormatting sqref="U30">
    <cfRule type="expression" dxfId="1313" priority="995" stopIfTrue="1">
      <formula>B30=""</formula>
    </cfRule>
  </conditionalFormatting>
  <conditionalFormatting sqref="V30">
    <cfRule type="cellIs" dxfId="1312" priority="992" stopIfTrue="1" operator="equal">
      <formula>"x"</formula>
    </cfRule>
  </conditionalFormatting>
  <conditionalFormatting sqref="V30">
    <cfRule type="expression" dxfId="1311" priority="993" stopIfTrue="1">
      <formula>B30=""</formula>
    </cfRule>
  </conditionalFormatting>
  <conditionalFormatting sqref="W30">
    <cfRule type="cellIs" dxfId="1310" priority="990" stopIfTrue="1" operator="equal">
      <formula>"x"</formula>
    </cfRule>
  </conditionalFormatting>
  <conditionalFormatting sqref="W30">
    <cfRule type="expression" dxfId="1309" priority="991" stopIfTrue="1">
      <formula>B30=""</formula>
    </cfRule>
  </conditionalFormatting>
  <conditionalFormatting sqref="X30">
    <cfRule type="cellIs" dxfId="1308" priority="988" stopIfTrue="1" operator="equal">
      <formula>"x"</formula>
    </cfRule>
  </conditionalFormatting>
  <conditionalFormatting sqref="X30">
    <cfRule type="expression" dxfId="1307" priority="989" stopIfTrue="1">
      <formula>B30=""</formula>
    </cfRule>
  </conditionalFormatting>
  <conditionalFormatting sqref="Y30">
    <cfRule type="cellIs" dxfId="1306" priority="986" stopIfTrue="1" operator="equal">
      <formula>"x"</formula>
    </cfRule>
  </conditionalFormatting>
  <conditionalFormatting sqref="Y30">
    <cfRule type="expression" dxfId="1305" priority="987" stopIfTrue="1">
      <formula>B30=""</formula>
    </cfRule>
  </conditionalFormatting>
  <conditionalFormatting sqref="Z30">
    <cfRule type="cellIs" dxfId="1304" priority="984" stopIfTrue="1" operator="equal">
      <formula>"x"</formula>
    </cfRule>
  </conditionalFormatting>
  <conditionalFormatting sqref="Z30">
    <cfRule type="expression" dxfId="1303" priority="985" stopIfTrue="1">
      <formula>B30=""</formula>
    </cfRule>
  </conditionalFormatting>
  <conditionalFormatting sqref="AA30">
    <cfRule type="cellIs" dxfId="1302" priority="982" stopIfTrue="1" operator="equal">
      <formula>"x"</formula>
    </cfRule>
  </conditionalFormatting>
  <conditionalFormatting sqref="AA30">
    <cfRule type="expression" dxfId="1301" priority="983" stopIfTrue="1">
      <formula>B30=""</formula>
    </cfRule>
  </conditionalFormatting>
  <conditionalFormatting sqref="AB30">
    <cfRule type="cellIs" dxfId="1300" priority="980" stopIfTrue="1" operator="equal">
      <formula>"x"</formula>
    </cfRule>
  </conditionalFormatting>
  <conditionalFormatting sqref="AB30">
    <cfRule type="expression" dxfId="1299" priority="981" stopIfTrue="1">
      <formula>B30=""</formula>
    </cfRule>
  </conditionalFormatting>
  <conditionalFormatting sqref="AC30">
    <cfRule type="cellIs" dxfId="1298" priority="978" stopIfTrue="1" operator="equal">
      <formula>"x"</formula>
    </cfRule>
  </conditionalFormatting>
  <conditionalFormatting sqref="AC30">
    <cfRule type="expression" dxfId="1297" priority="979" stopIfTrue="1">
      <formula>B30=""</formula>
    </cfRule>
  </conditionalFormatting>
  <conditionalFormatting sqref="AD30">
    <cfRule type="cellIs" dxfId="1296" priority="976" stopIfTrue="1" operator="equal">
      <formula>"x"</formula>
    </cfRule>
  </conditionalFormatting>
  <conditionalFormatting sqref="AD30">
    <cfRule type="expression" dxfId="1295" priority="977" stopIfTrue="1">
      <formula>B30=""</formula>
    </cfRule>
  </conditionalFormatting>
  <conditionalFormatting sqref="AE30">
    <cfRule type="cellIs" dxfId="1294" priority="974" stopIfTrue="1" operator="equal">
      <formula>"x"</formula>
    </cfRule>
  </conditionalFormatting>
  <conditionalFormatting sqref="AE30">
    <cfRule type="expression" dxfId="1293" priority="975" stopIfTrue="1">
      <formula>B30=""</formula>
    </cfRule>
  </conditionalFormatting>
  <conditionalFormatting sqref="AF30">
    <cfRule type="cellIs" dxfId="1292" priority="972" stopIfTrue="1" operator="equal">
      <formula>"x"</formula>
    </cfRule>
  </conditionalFormatting>
  <conditionalFormatting sqref="AF30">
    <cfRule type="expression" dxfId="1291" priority="973" stopIfTrue="1">
      <formula>B30=""</formula>
    </cfRule>
  </conditionalFormatting>
  <conditionalFormatting sqref="AG30">
    <cfRule type="cellIs" dxfId="1290" priority="970" stopIfTrue="1" operator="equal">
      <formula>"x"</formula>
    </cfRule>
  </conditionalFormatting>
  <conditionalFormatting sqref="AG30">
    <cfRule type="expression" dxfId="1289" priority="971" stopIfTrue="1">
      <formula>B30=""</formula>
    </cfRule>
  </conditionalFormatting>
  <conditionalFormatting sqref="AH30">
    <cfRule type="cellIs" dxfId="1288" priority="968" stopIfTrue="1" operator="equal">
      <formula>"x"</formula>
    </cfRule>
  </conditionalFormatting>
  <conditionalFormatting sqref="AH30">
    <cfRule type="expression" dxfId="1287" priority="969" stopIfTrue="1">
      <formula>B30=""</formula>
    </cfRule>
  </conditionalFormatting>
  <conditionalFormatting sqref="AI30">
    <cfRule type="cellIs" dxfId="1286" priority="966" stopIfTrue="1" operator="equal">
      <formula>"x"</formula>
    </cfRule>
  </conditionalFormatting>
  <conditionalFormatting sqref="AI30">
    <cfRule type="expression" dxfId="1285" priority="967" stopIfTrue="1">
      <formula>B30=""</formula>
    </cfRule>
  </conditionalFormatting>
  <conditionalFormatting sqref="AJ30">
    <cfRule type="cellIs" dxfId="1284" priority="964" stopIfTrue="1" operator="equal">
      <formula>"x"</formula>
    </cfRule>
  </conditionalFormatting>
  <conditionalFormatting sqref="AJ30">
    <cfRule type="expression" dxfId="1283" priority="965" stopIfTrue="1">
      <formula>B30=""</formula>
    </cfRule>
  </conditionalFormatting>
  <conditionalFormatting sqref="AK30">
    <cfRule type="cellIs" dxfId="1282" priority="962" stopIfTrue="1" operator="equal">
      <formula>"x"</formula>
    </cfRule>
  </conditionalFormatting>
  <conditionalFormatting sqref="AK30">
    <cfRule type="expression" dxfId="1281" priority="963" stopIfTrue="1">
      <formula>B30=""</formula>
    </cfRule>
  </conditionalFormatting>
  <conditionalFormatting sqref="AL30">
    <cfRule type="cellIs" dxfId="1280" priority="960" stopIfTrue="1" operator="equal">
      <formula>"x"</formula>
    </cfRule>
  </conditionalFormatting>
  <conditionalFormatting sqref="AL30">
    <cfRule type="expression" dxfId="1279" priority="961" stopIfTrue="1">
      <formula>B30=""</formula>
    </cfRule>
  </conditionalFormatting>
  <conditionalFormatting sqref="AM30">
    <cfRule type="cellIs" dxfId="1278" priority="958" stopIfTrue="1" operator="equal">
      <formula>"x"</formula>
    </cfRule>
  </conditionalFormatting>
  <conditionalFormatting sqref="AM30">
    <cfRule type="expression" dxfId="1277" priority="959" stopIfTrue="1">
      <formula>B30=""</formula>
    </cfRule>
  </conditionalFormatting>
  <conditionalFormatting sqref="AN30">
    <cfRule type="cellIs" dxfId="1276" priority="956" stopIfTrue="1" operator="equal">
      <formula>"x"</formula>
    </cfRule>
  </conditionalFormatting>
  <conditionalFormatting sqref="AN30">
    <cfRule type="expression" dxfId="1275" priority="957" stopIfTrue="1">
      <formula>B30=""</formula>
    </cfRule>
  </conditionalFormatting>
  <conditionalFormatting sqref="AO30">
    <cfRule type="cellIs" dxfId="1274" priority="954" stopIfTrue="1" operator="equal">
      <formula>"x"</formula>
    </cfRule>
  </conditionalFormatting>
  <conditionalFormatting sqref="AO30">
    <cfRule type="expression" dxfId="1273" priority="955" stopIfTrue="1">
      <formula>B30=""</formula>
    </cfRule>
  </conditionalFormatting>
  <conditionalFormatting sqref="AP30">
    <cfRule type="cellIs" dxfId="1272" priority="952" stopIfTrue="1" operator="equal">
      <formula>"x"</formula>
    </cfRule>
  </conditionalFormatting>
  <conditionalFormatting sqref="AP30">
    <cfRule type="expression" dxfId="1271" priority="953" stopIfTrue="1">
      <formula>B30=""</formula>
    </cfRule>
  </conditionalFormatting>
  <conditionalFormatting sqref="AQ30">
    <cfRule type="cellIs" dxfId="1270" priority="950" stopIfTrue="1" operator="equal">
      <formula>"x"</formula>
    </cfRule>
  </conditionalFormatting>
  <conditionalFormatting sqref="AQ30">
    <cfRule type="expression" dxfId="1269" priority="951" stopIfTrue="1">
      <formula>B30=""</formula>
    </cfRule>
  </conditionalFormatting>
  <conditionalFormatting sqref="AR30">
    <cfRule type="cellIs" dxfId="1268" priority="948" stopIfTrue="1" operator="equal">
      <formula>"x"</formula>
    </cfRule>
  </conditionalFormatting>
  <conditionalFormatting sqref="AR30">
    <cfRule type="expression" dxfId="1267" priority="949" stopIfTrue="1">
      <formula>B30=""</formula>
    </cfRule>
  </conditionalFormatting>
  <conditionalFormatting sqref="AS30">
    <cfRule type="cellIs" dxfId="1266" priority="946" stopIfTrue="1" operator="equal">
      <formula>"x"</formula>
    </cfRule>
  </conditionalFormatting>
  <conditionalFormatting sqref="AS30">
    <cfRule type="expression" dxfId="1265" priority="947" stopIfTrue="1">
      <formula>B30=""</formula>
    </cfRule>
  </conditionalFormatting>
  <conditionalFormatting sqref="AT30">
    <cfRule type="cellIs" dxfId="1264" priority="944" stopIfTrue="1" operator="equal">
      <formula>"x"</formula>
    </cfRule>
  </conditionalFormatting>
  <conditionalFormatting sqref="AT30">
    <cfRule type="expression" dxfId="1263" priority="945" stopIfTrue="1">
      <formula>B30=""</formula>
    </cfRule>
  </conditionalFormatting>
  <conditionalFormatting sqref="AU30">
    <cfRule type="cellIs" dxfId="1262" priority="942" stopIfTrue="1" operator="equal">
      <formula>"x"</formula>
    </cfRule>
  </conditionalFormatting>
  <conditionalFormatting sqref="AU30">
    <cfRule type="expression" dxfId="1261" priority="943" stopIfTrue="1">
      <formula>B30=""</formula>
    </cfRule>
  </conditionalFormatting>
  <conditionalFormatting sqref="AV30">
    <cfRule type="cellIs" dxfId="1260" priority="940" stopIfTrue="1" operator="equal">
      <formula>"x"</formula>
    </cfRule>
  </conditionalFormatting>
  <conditionalFormatting sqref="AV30">
    <cfRule type="expression" dxfId="1259" priority="941" stopIfTrue="1">
      <formula>B30=""</formula>
    </cfRule>
  </conditionalFormatting>
  <conditionalFormatting sqref="AW30">
    <cfRule type="cellIs" dxfId="1258" priority="938" stopIfTrue="1" operator="equal">
      <formula>"x"</formula>
    </cfRule>
  </conditionalFormatting>
  <conditionalFormatting sqref="AW30">
    <cfRule type="expression" dxfId="1257" priority="939" stopIfTrue="1">
      <formula>B30=""</formula>
    </cfRule>
  </conditionalFormatting>
  <conditionalFormatting sqref="AX30">
    <cfRule type="cellIs" dxfId="1256" priority="936" stopIfTrue="1" operator="equal">
      <formula>"x"</formula>
    </cfRule>
  </conditionalFormatting>
  <conditionalFormatting sqref="AX30">
    <cfRule type="expression" dxfId="1255" priority="937" stopIfTrue="1">
      <formula>B30=""</formula>
    </cfRule>
  </conditionalFormatting>
  <conditionalFormatting sqref="AY30">
    <cfRule type="cellIs" dxfId="1254" priority="934" stopIfTrue="1" operator="equal">
      <formula>"x"</formula>
    </cfRule>
  </conditionalFormatting>
  <conditionalFormatting sqref="AY30">
    <cfRule type="expression" dxfId="1253" priority="935" stopIfTrue="1">
      <formula>B30=""</formula>
    </cfRule>
  </conditionalFormatting>
  <conditionalFormatting sqref="AZ30">
    <cfRule type="cellIs" dxfId="1252" priority="932" stopIfTrue="1" operator="equal">
      <formula>"x"</formula>
    </cfRule>
  </conditionalFormatting>
  <conditionalFormatting sqref="AZ30">
    <cfRule type="expression" dxfId="1251" priority="933" stopIfTrue="1">
      <formula>B30=""</formula>
    </cfRule>
  </conditionalFormatting>
  <conditionalFormatting sqref="BA30">
    <cfRule type="cellIs" dxfId="1250" priority="930" stopIfTrue="1" operator="equal">
      <formula>"x"</formula>
    </cfRule>
  </conditionalFormatting>
  <conditionalFormatting sqref="BA30">
    <cfRule type="expression" dxfId="1249" priority="931" stopIfTrue="1">
      <formula>B30=""</formula>
    </cfRule>
  </conditionalFormatting>
  <conditionalFormatting sqref="Q29">
    <cfRule type="cellIs" dxfId="1248" priority="928" stopIfTrue="1" operator="equal">
      <formula>"x"</formula>
    </cfRule>
  </conditionalFormatting>
  <conditionalFormatting sqref="Q29">
    <cfRule type="expression" dxfId="1247" priority="929" stopIfTrue="1">
      <formula>B29=""</formula>
    </cfRule>
  </conditionalFormatting>
  <conditionalFormatting sqref="R29">
    <cfRule type="cellIs" dxfId="1246" priority="926" stopIfTrue="1" operator="equal">
      <formula>"x"</formula>
    </cfRule>
  </conditionalFormatting>
  <conditionalFormatting sqref="R29">
    <cfRule type="expression" dxfId="1245" priority="927" stopIfTrue="1">
      <formula>B29=""</formula>
    </cfRule>
  </conditionalFormatting>
  <conditionalFormatting sqref="S29">
    <cfRule type="cellIs" dxfId="1244" priority="924" stopIfTrue="1" operator="equal">
      <formula>"x"</formula>
    </cfRule>
  </conditionalFormatting>
  <conditionalFormatting sqref="S29">
    <cfRule type="expression" dxfId="1243" priority="925" stopIfTrue="1">
      <formula>B29=""</formula>
    </cfRule>
  </conditionalFormatting>
  <conditionalFormatting sqref="T29">
    <cfRule type="cellIs" dxfId="1242" priority="922" stopIfTrue="1" operator="equal">
      <formula>"x"</formula>
    </cfRule>
  </conditionalFormatting>
  <conditionalFormatting sqref="T29">
    <cfRule type="expression" dxfId="1241" priority="923" stopIfTrue="1">
      <formula>B29=""</formula>
    </cfRule>
  </conditionalFormatting>
  <conditionalFormatting sqref="U29">
    <cfRule type="cellIs" dxfId="1240" priority="920" stopIfTrue="1" operator="equal">
      <formula>"x"</formula>
    </cfRule>
  </conditionalFormatting>
  <conditionalFormatting sqref="U29">
    <cfRule type="expression" dxfId="1239" priority="921" stopIfTrue="1">
      <formula>B29=""</formula>
    </cfRule>
  </conditionalFormatting>
  <conditionalFormatting sqref="V29">
    <cfRule type="cellIs" dxfId="1238" priority="918" stopIfTrue="1" operator="equal">
      <formula>"x"</formula>
    </cfRule>
  </conditionalFormatting>
  <conditionalFormatting sqref="V29">
    <cfRule type="expression" dxfId="1237" priority="919" stopIfTrue="1">
      <formula>B29=""</formula>
    </cfRule>
  </conditionalFormatting>
  <conditionalFormatting sqref="W29">
    <cfRule type="cellIs" dxfId="1236" priority="916" stopIfTrue="1" operator="equal">
      <formula>"x"</formula>
    </cfRule>
  </conditionalFormatting>
  <conditionalFormatting sqref="W29">
    <cfRule type="expression" dxfId="1235" priority="917" stopIfTrue="1">
      <formula>B29=""</formula>
    </cfRule>
  </conditionalFormatting>
  <conditionalFormatting sqref="X29">
    <cfRule type="cellIs" dxfId="1234" priority="914" stopIfTrue="1" operator="equal">
      <formula>"x"</formula>
    </cfRule>
  </conditionalFormatting>
  <conditionalFormatting sqref="X29">
    <cfRule type="expression" dxfId="1233" priority="915" stopIfTrue="1">
      <formula>B29=""</formula>
    </cfRule>
  </conditionalFormatting>
  <conditionalFormatting sqref="Y29">
    <cfRule type="cellIs" dxfId="1232" priority="912" stopIfTrue="1" operator="equal">
      <formula>"x"</formula>
    </cfRule>
  </conditionalFormatting>
  <conditionalFormatting sqref="Y29">
    <cfRule type="expression" dxfId="1231" priority="913" stopIfTrue="1">
      <formula>B29=""</formula>
    </cfRule>
  </conditionalFormatting>
  <conditionalFormatting sqref="Z29">
    <cfRule type="cellIs" dxfId="1230" priority="910" stopIfTrue="1" operator="equal">
      <formula>"x"</formula>
    </cfRule>
  </conditionalFormatting>
  <conditionalFormatting sqref="Z29">
    <cfRule type="expression" dxfId="1229" priority="911" stopIfTrue="1">
      <formula>B29=""</formula>
    </cfRule>
  </conditionalFormatting>
  <conditionalFormatting sqref="AA29">
    <cfRule type="cellIs" dxfId="1228" priority="908" stopIfTrue="1" operator="equal">
      <formula>"x"</formula>
    </cfRule>
  </conditionalFormatting>
  <conditionalFormatting sqref="AA29">
    <cfRule type="expression" dxfId="1227" priority="909" stopIfTrue="1">
      <formula>B29=""</formula>
    </cfRule>
  </conditionalFormatting>
  <conditionalFormatting sqref="AB29">
    <cfRule type="cellIs" dxfId="1226" priority="906" stopIfTrue="1" operator="equal">
      <formula>"x"</formula>
    </cfRule>
  </conditionalFormatting>
  <conditionalFormatting sqref="AB29">
    <cfRule type="expression" dxfId="1225" priority="907" stopIfTrue="1">
      <formula>B29=""</formula>
    </cfRule>
  </conditionalFormatting>
  <conditionalFormatting sqref="AC29">
    <cfRule type="cellIs" dxfId="1224" priority="904" stopIfTrue="1" operator="equal">
      <formula>"x"</formula>
    </cfRule>
  </conditionalFormatting>
  <conditionalFormatting sqref="AC29">
    <cfRule type="expression" dxfId="1223" priority="905" stopIfTrue="1">
      <formula>B29=""</formula>
    </cfRule>
  </conditionalFormatting>
  <conditionalFormatting sqref="AD29">
    <cfRule type="cellIs" dxfId="1222" priority="902" stopIfTrue="1" operator="equal">
      <formula>"x"</formula>
    </cfRule>
  </conditionalFormatting>
  <conditionalFormatting sqref="AD29">
    <cfRule type="expression" dxfId="1221" priority="903" stopIfTrue="1">
      <formula>B29=""</formula>
    </cfRule>
  </conditionalFormatting>
  <conditionalFormatting sqref="AE29">
    <cfRule type="cellIs" dxfId="1220" priority="900" stopIfTrue="1" operator="equal">
      <formula>"x"</formula>
    </cfRule>
  </conditionalFormatting>
  <conditionalFormatting sqref="AE29">
    <cfRule type="expression" dxfId="1219" priority="901" stopIfTrue="1">
      <formula>B29=""</formula>
    </cfRule>
  </conditionalFormatting>
  <conditionalFormatting sqref="AF29">
    <cfRule type="cellIs" dxfId="1218" priority="898" stopIfTrue="1" operator="equal">
      <formula>"x"</formula>
    </cfRule>
  </conditionalFormatting>
  <conditionalFormatting sqref="AF29">
    <cfRule type="expression" dxfId="1217" priority="899" stopIfTrue="1">
      <formula>B29=""</formula>
    </cfRule>
  </conditionalFormatting>
  <conditionalFormatting sqref="AG29">
    <cfRule type="cellIs" dxfId="1216" priority="896" stopIfTrue="1" operator="equal">
      <formula>"x"</formula>
    </cfRule>
  </conditionalFormatting>
  <conditionalFormatting sqref="AG29">
    <cfRule type="expression" dxfId="1215" priority="897" stopIfTrue="1">
      <formula>B29=""</formula>
    </cfRule>
  </conditionalFormatting>
  <conditionalFormatting sqref="AH29">
    <cfRule type="cellIs" dxfId="1214" priority="894" stopIfTrue="1" operator="equal">
      <formula>"x"</formula>
    </cfRule>
  </conditionalFormatting>
  <conditionalFormatting sqref="AH29">
    <cfRule type="expression" dxfId="1213" priority="895" stopIfTrue="1">
      <formula>B29=""</formula>
    </cfRule>
  </conditionalFormatting>
  <conditionalFormatting sqref="AI29">
    <cfRule type="cellIs" dxfId="1212" priority="892" stopIfTrue="1" operator="equal">
      <formula>"x"</formula>
    </cfRule>
  </conditionalFormatting>
  <conditionalFormatting sqref="AI29">
    <cfRule type="expression" dxfId="1211" priority="893" stopIfTrue="1">
      <formula>B29=""</formula>
    </cfRule>
  </conditionalFormatting>
  <conditionalFormatting sqref="AJ29">
    <cfRule type="cellIs" dxfId="1210" priority="890" stopIfTrue="1" operator="equal">
      <formula>"x"</formula>
    </cfRule>
  </conditionalFormatting>
  <conditionalFormatting sqref="AJ29">
    <cfRule type="expression" dxfId="1209" priority="891" stopIfTrue="1">
      <formula>B29=""</formula>
    </cfRule>
  </conditionalFormatting>
  <conditionalFormatting sqref="AK29">
    <cfRule type="cellIs" dxfId="1208" priority="888" stopIfTrue="1" operator="equal">
      <formula>"x"</formula>
    </cfRule>
  </conditionalFormatting>
  <conditionalFormatting sqref="AK29">
    <cfRule type="expression" dxfId="1207" priority="889" stopIfTrue="1">
      <formula>B29=""</formula>
    </cfRule>
  </conditionalFormatting>
  <conditionalFormatting sqref="AL29">
    <cfRule type="cellIs" dxfId="1206" priority="886" stopIfTrue="1" operator="equal">
      <formula>"x"</formula>
    </cfRule>
  </conditionalFormatting>
  <conditionalFormatting sqref="AL29">
    <cfRule type="expression" dxfId="1205" priority="887" stopIfTrue="1">
      <formula>B29=""</formula>
    </cfRule>
  </conditionalFormatting>
  <conditionalFormatting sqref="AM29">
    <cfRule type="cellIs" dxfId="1204" priority="884" stopIfTrue="1" operator="equal">
      <formula>"x"</formula>
    </cfRule>
  </conditionalFormatting>
  <conditionalFormatting sqref="AM29">
    <cfRule type="expression" dxfId="1203" priority="885" stopIfTrue="1">
      <formula>B29=""</formula>
    </cfRule>
  </conditionalFormatting>
  <conditionalFormatting sqref="AN29">
    <cfRule type="cellIs" dxfId="1202" priority="882" stopIfTrue="1" operator="equal">
      <formula>"x"</formula>
    </cfRule>
  </conditionalFormatting>
  <conditionalFormatting sqref="AN29">
    <cfRule type="expression" dxfId="1201" priority="883" stopIfTrue="1">
      <formula>B29=""</formula>
    </cfRule>
  </conditionalFormatting>
  <conditionalFormatting sqref="AO29">
    <cfRule type="cellIs" dxfId="1200" priority="880" stopIfTrue="1" operator="equal">
      <formula>"x"</formula>
    </cfRule>
  </conditionalFormatting>
  <conditionalFormatting sqref="AO29">
    <cfRule type="expression" dxfId="1199" priority="881" stopIfTrue="1">
      <formula>B29=""</formula>
    </cfRule>
  </conditionalFormatting>
  <conditionalFormatting sqref="AP29">
    <cfRule type="cellIs" dxfId="1198" priority="878" stopIfTrue="1" operator="equal">
      <formula>"x"</formula>
    </cfRule>
  </conditionalFormatting>
  <conditionalFormatting sqref="AP29">
    <cfRule type="expression" dxfId="1197" priority="879" stopIfTrue="1">
      <formula>B29=""</formula>
    </cfRule>
  </conditionalFormatting>
  <conditionalFormatting sqref="AQ29">
    <cfRule type="cellIs" dxfId="1196" priority="876" stopIfTrue="1" operator="equal">
      <formula>"x"</formula>
    </cfRule>
  </conditionalFormatting>
  <conditionalFormatting sqref="AQ29">
    <cfRule type="expression" dxfId="1195" priority="877" stopIfTrue="1">
      <formula>B29=""</formula>
    </cfRule>
  </conditionalFormatting>
  <conditionalFormatting sqref="AR29">
    <cfRule type="cellIs" dxfId="1194" priority="874" stopIfTrue="1" operator="equal">
      <formula>"x"</formula>
    </cfRule>
  </conditionalFormatting>
  <conditionalFormatting sqref="AR29">
    <cfRule type="expression" dxfId="1193" priority="875" stopIfTrue="1">
      <formula>B29=""</formula>
    </cfRule>
  </conditionalFormatting>
  <conditionalFormatting sqref="AS29">
    <cfRule type="cellIs" dxfId="1192" priority="872" stopIfTrue="1" operator="equal">
      <formula>"x"</formula>
    </cfRule>
  </conditionalFormatting>
  <conditionalFormatting sqref="AS29">
    <cfRule type="expression" dxfId="1191" priority="873" stopIfTrue="1">
      <formula>B29=""</formula>
    </cfRule>
  </conditionalFormatting>
  <conditionalFormatting sqref="AT29">
    <cfRule type="cellIs" dxfId="1190" priority="870" stopIfTrue="1" operator="equal">
      <formula>"x"</formula>
    </cfRule>
  </conditionalFormatting>
  <conditionalFormatting sqref="AT29">
    <cfRule type="expression" dxfId="1189" priority="871" stopIfTrue="1">
      <formula>B29=""</formula>
    </cfRule>
  </conditionalFormatting>
  <conditionalFormatting sqref="AU29">
    <cfRule type="cellIs" dxfId="1188" priority="868" stopIfTrue="1" operator="equal">
      <formula>"x"</formula>
    </cfRule>
  </conditionalFormatting>
  <conditionalFormatting sqref="AU29">
    <cfRule type="expression" dxfId="1187" priority="869" stopIfTrue="1">
      <formula>B29=""</formula>
    </cfRule>
  </conditionalFormatting>
  <conditionalFormatting sqref="AV29">
    <cfRule type="cellIs" dxfId="1186" priority="866" stopIfTrue="1" operator="equal">
      <formula>"x"</formula>
    </cfRule>
  </conditionalFormatting>
  <conditionalFormatting sqref="AV29">
    <cfRule type="expression" dxfId="1185" priority="867" stopIfTrue="1">
      <formula>B29=""</formula>
    </cfRule>
  </conditionalFormatting>
  <conditionalFormatting sqref="AW29">
    <cfRule type="cellIs" dxfId="1184" priority="864" stopIfTrue="1" operator="equal">
      <formula>"x"</formula>
    </cfRule>
  </conditionalFormatting>
  <conditionalFormatting sqref="AW29">
    <cfRule type="expression" dxfId="1183" priority="865" stopIfTrue="1">
      <formula>B29=""</formula>
    </cfRule>
  </conditionalFormatting>
  <conditionalFormatting sqref="AX29">
    <cfRule type="cellIs" dxfId="1182" priority="862" stopIfTrue="1" operator="equal">
      <formula>"x"</formula>
    </cfRule>
  </conditionalFormatting>
  <conditionalFormatting sqref="AX29">
    <cfRule type="expression" dxfId="1181" priority="863" stopIfTrue="1">
      <formula>B29=""</formula>
    </cfRule>
  </conditionalFormatting>
  <conditionalFormatting sqref="AY29">
    <cfRule type="cellIs" dxfId="1180" priority="860" stopIfTrue="1" operator="equal">
      <formula>"x"</formula>
    </cfRule>
  </conditionalFormatting>
  <conditionalFormatting sqref="AY29">
    <cfRule type="expression" dxfId="1179" priority="861" stopIfTrue="1">
      <formula>B29=""</formula>
    </cfRule>
  </conditionalFormatting>
  <conditionalFormatting sqref="AZ29">
    <cfRule type="cellIs" dxfId="1178" priority="858" stopIfTrue="1" operator="equal">
      <formula>"x"</formula>
    </cfRule>
  </conditionalFormatting>
  <conditionalFormatting sqref="AZ29">
    <cfRule type="expression" dxfId="1177" priority="859" stopIfTrue="1">
      <formula>B29=""</formula>
    </cfRule>
  </conditionalFormatting>
  <conditionalFormatting sqref="BA29">
    <cfRule type="cellIs" dxfId="1176" priority="856" stopIfTrue="1" operator="equal">
      <formula>"x"</formula>
    </cfRule>
  </conditionalFormatting>
  <conditionalFormatting sqref="BA29">
    <cfRule type="expression" dxfId="1175" priority="857" stopIfTrue="1">
      <formula>B29=""</formula>
    </cfRule>
  </conditionalFormatting>
  <conditionalFormatting sqref="Q28">
    <cfRule type="cellIs" dxfId="1174" priority="854" stopIfTrue="1" operator="equal">
      <formula>"x"</formula>
    </cfRule>
  </conditionalFormatting>
  <conditionalFormatting sqref="Q28">
    <cfRule type="expression" dxfId="1173" priority="855" stopIfTrue="1">
      <formula>B28=""</formula>
    </cfRule>
  </conditionalFormatting>
  <conditionalFormatting sqref="R28">
    <cfRule type="cellIs" dxfId="1172" priority="852" stopIfTrue="1" operator="equal">
      <formula>"x"</formula>
    </cfRule>
  </conditionalFormatting>
  <conditionalFormatting sqref="R28">
    <cfRule type="expression" dxfId="1171" priority="853" stopIfTrue="1">
      <formula>B28=""</formula>
    </cfRule>
  </conditionalFormatting>
  <conditionalFormatting sqref="S28">
    <cfRule type="cellIs" dxfId="1170" priority="850" stopIfTrue="1" operator="equal">
      <formula>"x"</formula>
    </cfRule>
  </conditionalFormatting>
  <conditionalFormatting sqref="S28">
    <cfRule type="expression" dxfId="1169" priority="851" stopIfTrue="1">
      <formula>B28=""</formula>
    </cfRule>
  </conditionalFormatting>
  <conditionalFormatting sqref="T28">
    <cfRule type="cellIs" dxfId="1168" priority="848" stopIfTrue="1" operator="equal">
      <formula>"x"</formula>
    </cfRule>
  </conditionalFormatting>
  <conditionalFormatting sqref="T28">
    <cfRule type="expression" dxfId="1167" priority="849" stopIfTrue="1">
      <formula>B28=""</formula>
    </cfRule>
  </conditionalFormatting>
  <conditionalFormatting sqref="U28">
    <cfRule type="cellIs" dxfId="1166" priority="846" stopIfTrue="1" operator="equal">
      <formula>"x"</formula>
    </cfRule>
  </conditionalFormatting>
  <conditionalFormatting sqref="U28">
    <cfRule type="expression" dxfId="1165" priority="847" stopIfTrue="1">
      <formula>B28=""</formula>
    </cfRule>
  </conditionalFormatting>
  <conditionalFormatting sqref="V28">
    <cfRule type="cellIs" dxfId="1164" priority="844" stopIfTrue="1" operator="equal">
      <formula>"x"</formula>
    </cfRule>
  </conditionalFormatting>
  <conditionalFormatting sqref="V28">
    <cfRule type="expression" dxfId="1163" priority="845" stopIfTrue="1">
      <formula>B28=""</formula>
    </cfRule>
  </conditionalFormatting>
  <conditionalFormatting sqref="W28">
    <cfRule type="cellIs" dxfId="1162" priority="842" stopIfTrue="1" operator="equal">
      <formula>"x"</formula>
    </cfRule>
  </conditionalFormatting>
  <conditionalFormatting sqref="W28">
    <cfRule type="expression" dxfId="1161" priority="843" stopIfTrue="1">
      <formula>B28=""</formula>
    </cfRule>
  </conditionalFormatting>
  <conditionalFormatting sqref="X28">
    <cfRule type="cellIs" dxfId="1160" priority="840" stopIfTrue="1" operator="equal">
      <formula>"x"</formula>
    </cfRule>
  </conditionalFormatting>
  <conditionalFormatting sqref="X28">
    <cfRule type="expression" dxfId="1159" priority="841" stopIfTrue="1">
      <formula>B28=""</formula>
    </cfRule>
  </conditionalFormatting>
  <conditionalFormatting sqref="Y28">
    <cfRule type="cellIs" dxfId="1158" priority="838" stopIfTrue="1" operator="equal">
      <formula>"x"</formula>
    </cfRule>
  </conditionalFormatting>
  <conditionalFormatting sqref="Y28">
    <cfRule type="expression" dxfId="1157" priority="839" stopIfTrue="1">
      <formula>B28=""</formula>
    </cfRule>
  </conditionalFormatting>
  <conditionalFormatting sqref="Z28">
    <cfRule type="cellIs" dxfId="1156" priority="836" stopIfTrue="1" operator="equal">
      <formula>"x"</formula>
    </cfRule>
  </conditionalFormatting>
  <conditionalFormatting sqref="Z28">
    <cfRule type="expression" dxfId="1155" priority="837" stopIfTrue="1">
      <formula>B28=""</formula>
    </cfRule>
  </conditionalFormatting>
  <conditionalFormatting sqref="AA28">
    <cfRule type="cellIs" dxfId="1154" priority="834" stopIfTrue="1" operator="equal">
      <formula>"x"</formula>
    </cfRule>
  </conditionalFormatting>
  <conditionalFormatting sqref="AA28">
    <cfRule type="expression" dxfId="1153" priority="835" stopIfTrue="1">
      <formula>B28=""</formula>
    </cfRule>
  </conditionalFormatting>
  <conditionalFormatting sqref="AB28">
    <cfRule type="cellIs" dxfId="1152" priority="832" stopIfTrue="1" operator="equal">
      <formula>"x"</formula>
    </cfRule>
  </conditionalFormatting>
  <conditionalFormatting sqref="AB28">
    <cfRule type="expression" dxfId="1151" priority="833" stopIfTrue="1">
      <formula>B28=""</formula>
    </cfRule>
  </conditionalFormatting>
  <conditionalFormatting sqref="AC28">
    <cfRule type="cellIs" dxfId="1150" priority="830" stopIfTrue="1" operator="equal">
      <formula>"x"</formula>
    </cfRule>
  </conditionalFormatting>
  <conditionalFormatting sqref="AC28">
    <cfRule type="expression" dxfId="1149" priority="831" stopIfTrue="1">
      <formula>B28=""</formula>
    </cfRule>
  </conditionalFormatting>
  <conditionalFormatting sqref="AD28">
    <cfRule type="cellIs" dxfId="1148" priority="828" stopIfTrue="1" operator="equal">
      <formula>"x"</formula>
    </cfRule>
  </conditionalFormatting>
  <conditionalFormatting sqref="AD28">
    <cfRule type="expression" dxfId="1147" priority="829" stopIfTrue="1">
      <formula>B28=""</formula>
    </cfRule>
  </conditionalFormatting>
  <conditionalFormatting sqref="AE28">
    <cfRule type="cellIs" dxfId="1146" priority="826" stopIfTrue="1" operator="equal">
      <formula>"x"</formula>
    </cfRule>
  </conditionalFormatting>
  <conditionalFormatting sqref="AE28">
    <cfRule type="expression" dxfId="1145" priority="827" stopIfTrue="1">
      <formula>B28=""</formula>
    </cfRule>
  </conditionalFormatting>
  <conditionalFormatting sqref="AF28">
    <cfRule type="cellIs" dxfId="1144" priority="824" stopIfTrue="1" operator="equal">
      <formula>"x"</formula>
    </cfRule>
  </conditionalFormatting>
  <conditionalFormatting sqref="AF28">
    <cfRule type="expression" dxfId="1143" priority="825" stopIfTrue="1">
      <formula>B28=""</formula>
    </cfRule>
  </conditionalFormatting>
  <conditionalFormatting sqref="AG28">
    <cfRule type="cellIs" dxfId="1142" priority="822" stopIfTrue="1" operator="equal">
      <formula>"x"</formula>
    </cfRule>
  </conditionalFormatting>
  <conditionalFormatting sqref="AG28">
    <cfRule type="expression" dxfId="1141" priority="823" stopIfTrue="1">
      <formula>B28=""</formula>
    </cfRule>
  </conditionalFormatting>
  <conditionalFormatting sqref="AH28">
    <cfRule type="cellIs" dxfId="1140" priority="820" stopIfTrue="1" operator="equal">
      <formula>"x"</formula>
    </cfRule>
  </conditionalFormatting>
  <conditionalFormatting sqref="AH28">
    <cfRule type="expression" dxfId="1139" priority="821" stopIfTrue="1">
      <formula>B28=""</formula>
    </cfRule>
  </conditionalFormatting>
  <conditionalFormatting sqref="AI28">
    <cfRule type="cellIs" dxfId="1138" priority="818" stopIfTrue="1" operator="equal">
      <formula>"x"</formula>
    </cfRule>
  </conditionalFormatting>
  <conditionalFormatting sqref="AI28">
    <cfRule type="expression" dxfId="1137" priority="819" stopIfTrue="1">
      <formula>B28=""</formula>
    </cfRule>
  </conditionalFormatting>
  <conditionalFormatting sqref="AJ28">
    <cfRule type="cellIs" dxfId="1136" priority="816" stopIfTrue="1" operator="equal">
      <formula>"x"</formula>
    </cfRule>
  </conditionalFormatting>
  <conditionalFormatting sqref="AJ28">
    <cfRule type="expression" dxfId="1135" priority="817" stopIfTrue="1">
      <formula>B28=""</formula>
    </cfRule>
  </conditionalFormatting>
  <conditionalFormatting sqref="AK28">
    <cfRule type="cellIs" dxfId="1134" priority="814" stopIfTrue="1" operator="equal">
      <formula>"x"</formula>
    </cfRule>
  </conditionalFormatting>
  <conditionalFormatting sqref="AK28">
    <cfRule type="expression" dxfId="1133" priority="815" stopIfTrue="1">
      <formula>B28=""</formula>
    </cfRule>
  </conditionalFormatting>
  <conditionalFormatting sqref="AL28">
    <cfRule type="cellIs" dxfId="1132" priority="812" stopIfTrue="1" operator="equal">
      <formula>"x"</formula>
    </cfRule>
  </conditionalFormatting>
  <conditionalFormatting sqref="AL28">
    <cfRule type="expression" dxfId="1131" priority="813" stopIfTrue="1">
      <formula>B28=""</formula>
    </cfRule>
  </conditionalFormatting>
  <conditionalFormatting sqref="AM28">
    <cfRule type="cellIs" dxfId="1130" priority="810" stopIfTrue="1" operator="equal">
      <formula>"x"</formula>
    </cfRule>
  </conditionalFormatting>
  <conditionalFormatting sqref="AM28">
    <cfRule type="expression" dxfId="1129" priority="811" stopIfTrue="1">
      <formula>B28=""</formula>
    </cfRule>
  </conditionalFormatting>
  <conditionalFormatting sqref="AN28">
    <cfRule type="cellIs" dxfId="1128" priority="808" stopIfTrue="1" operator="equal">
      <formula>"x"</formula>
    </cfRule>
  </conditionalFormatting>
  <conditionalFormatting sqref="AN28">
    <cfRule type="expression" dxfId="1127" priority="809" stopIfTrue="1">
      <formula>B28=""</formula>
    </cfRule>
  </conditionalFormatting>
  <conditionalFormatting sqref="AO28">
    <cfRule type="cellIs" dxfId="1126" priority="806" stopIfTrue="1" operator="equal">
      <formula>"x"</formula>
    </cfRule>
  </conditionalFormatting>
  <conditionalFormatting sqref="AO28">
    <cfRule type="expression" dxfId="1125" priority="807" stopIfTrue="1">
      <formula>B28=""</formula>
    </cfRule>
  </conditionalFormatting>
  <conditionalFormatting sqref="AP28">
    <cfRule type="cellIs" dxfId="1124" priority="804" stopIfTrue="1" operator="equal">
      <formula>"x"</formula>
    </cfRule>
  </conditionalFormatting>
  <conditionalFormatting sqref="AP28">
    <cfRule type="expression" dxfId="1123" priority="805" stopIfTrue="1">
      <formula>B28=""</formula>
    </cfRule>
  </conditionalFormatting>
  <conditionalFormatting sqref="AQ28">
    <cfRule type="cellIs" dxfId="1122" priority="802" stopIfTrue="1" operator="equal">
      <formula>"x"</formula>
    </cfRule>
  </conditionalFormatting>
  <conditionalFormatting sqref="AQ28">
    <cfRule type="expression" dxfId="1121" priority="803" stopIfTrue="1">
      <formula>B28=""</formula>
    </cfRule>
  </conditionalFormatting>
  <conditionalFormatting sqref="AR28">
    <cfRule type="cellIs" dxfId="1120" priority="800" stopIfTrue="1" operator="equal">
      <formula>"x"</formula>
    </cfRule>
  </conditionalFormatting>
  <conditionalFormatting sqref="AR28">
    <cfRule type="expression" dxfId="1119" priority="801" stopIfTrue="1">
      <formula>B28=""</formula>
    </cfRule>
  </conditionalFormatting>
  <conditionalFormatting sqref="AS28">
    <cfRule type="cellIs" dxfId="1118" priority="798" stopIfTrue="1" operator="equal">
      <formula>"x"</formula>
    </cfRule>
  </conditionalFormatting>
  <conditionalFormatting sqref="AS28">
    <cfRule type="expression" dxfId="1117" priority="799" stopIfTrue="1">
      <formula>B28=""</formula>
    </cfRule>
  </conditionalFormatting>
  <conditionalFormatting sqref="AT28">
    <cfRule type="cellIs" dxfId="1116" priority="796" stopIfTrue="1" operator="equal">
      <formula>"x"</formula>
    </cfRule>
  </conditionalFormatting>
  <conditionalFormatting sqref="AT28">
    <cfRule type="expression" dxfId="1115" priority="797" stopIfTrue="1">
      <formula>B28=""</formula>
    </cfRule>
  </conditionalFormatting>
  <conditionalFormatting sqref="AU28">
    <cfRule type="cellIs" dxfId="1114" priority="794" stopIfTrue="1" operator="equal">
      <formula>"x"</formula>
    </cfRule>
  </conditionalFormatting>
  <conditionalFormatting sqref="AU28">
    <cfRule type="expression" dxfId="1113" priority="795" stopIfTrue="1">
      <formula>B28=""</formula>
    </cfRule>
  </conditionalFormatting>
  <conditionalFormatting sqref="AV28">
    <cfRule type="cellIs" dxfId="1112" priority="792" stopIfTrue="1" operator="equal">
      <formula>"x"</formula>
    </cfRule>
  </conditionalFormatting>
  <conditionalFormatting sqref="AV28">
    <cfRule type="expression" dxfId="1111" priority="793" stopIfTrue="1">
      <formula>B28=""</formula>
    </cfRule>
  </conditionalFormatting>
  <conditionalFormatting sqref="AW28">
    <cfRule type="cellIs" dxfId="1110" priority="790" stopIfTrue="1" operator="equal">
      <formula>"x"</formula>
    </cfRule>
  </conditionalFormatting>
  <conditionalFormatting sqref="AW28">
    <cfRule type="expression" dxfId="1109" priority="791" stopIfTrue="1">
      <formula>B28=""</formula>
    </cfRule>
  </conditionalFormatting>
  <conditionalFormatting sqref="AX28">
    <cfRule type="cellIs" dxfId="1108" priority="788" stopIfTrue="1" operator="equal">
      <formula>"x"</formula>
    </cfRule>
  </conditionalFormatting>
  <conditionalFormatting sqref="AX28">
    <cfRule type="expression" dxfId="1107" priority="789" stopIfTrue="1">
      <formula>B28=""</formula>
    </cfRule>
  </conditionalFormatting>
  <conditionalFormatting sqref="AY28">
    <cfRule type="cellIs" dxfId="1106" priority="786" stopIfTrue="1" operator="equal">
      <formula>"x"</formula>
    </cfRule>
  </conditionalFormatting>
  <conditionalFormatting sqref="AY28">
    <cfRule type="expression" dxfId="1105" priority="787" stopIfTrue="1">
      <formula>B28=""</formula>
    </cfRule>
  </conditionalFormatting>
  <conditionalFormatting sqref="AZ28">
    <cfRule type="cellIs" dxfId="1104" priority="784" stopIfTrue="1" operator="equal">
      <formula>"x"</formula>
    </cfRule>
  </conditionalFormatting>
  <conditionalFormatting sqref="AZ28">
    <cfRule type="expression" dxfId="1103" priority="785" stopIfTrue="1">
      <formula>B28=""</formula>
    </cfRule>
  </conditionalFormatting>
  <conditionalFormatting sqref="BA28">
    <cfRule type="cellIs" dxfId="1102" priority="782" stopIfTrue="1" operator="equal">
      <formula>"x"</formula>
    </cfRule>
  </conditionalFormatting>
  <conditionalFormatting sqref="BA28">
    <cfRule type="expression" dxfId="1101" priority="783" stopIfTrue="1">
      <formula>B28=""</formula>
    </cfRule>
  </conditionalFormatting>
  <conditionalFormatting sqref="Q26">
    <cfRule type="cellIs" dxfId="1100" priority="780" stopIfTrue="1" operator="equal">
      <formula>"x"</formula>
    </cfRule>
  </conditionalFormatting>
  <conditionalFormatting sqref="Q26">
    <cfRule type="expression" dxfId="1099" priority="781" stopIfTrue="1">
      <formula>B26=""</formula>
    </cfRule>
  </conditionalFormatting>
  <conditionalFormatting sqref="R26">
    <cfRule type="cellIs" dxfId="1098" priority="778" stopIfTrue="1" operator="equal">
      <formula>"x"</formula>
    </cfRule>
  </conditionalFormatting>
  <conditionalFormatting sqref="R26">
    <cfRule type="expression" dxfId="1097" priority="779" stopIfTrue="1">
      <formula>B26=""</formula>
    </cfRule>
  </conditionalFormatting>
  <conditionalFormatting sqref="S26">
    <cfRule type="cellIs" dxfId="1096" priority="776" stopIfTrue="1" operator="equal">
      <formula>"x"</formula>
    </cfRule>
  </conditionalFormatting>
  <conditionalFormatting sqref="S26">
    <cfRule type="expression" dxfId="1095" priority="777" stopIfTrue="1">
      <formula>B26=""</formula>
    </cfRule>
  </conditionalFormatting>
  <conditionalFormatting sqref="T26">
    <cfRule type="cellIs" dxfId="1094" priority="774" stopIfTrue="1" operator="equal">
      <formula>"x"</formula>
    </cfRule>
  </conditionalFormatting>
  <conditionalFormatting sqref="T26">
    <cfRule type="expression" dxfId="1093" priority="775" stopIfTrue="1">
      <formula>B26=""</formula>
    </cfRule>
  </conditionalFormatting>
  <conditionalFormatting sqref="U26">
    <cfRule type="cellIs" dxfId="1092" priority="772" stopIfTrue="1" operator="equal">
      <formula>"x"</formula>
    </cfRule>
  </conditionalFormatting>
  <conditionalFormatting sqref="U26">
    <cfRule type="expression" dxfId="1091" priority="773" stopIfTrue="1">
      <formula>B26=""</formula>
    </cfRule>
  </conditionalFormatting>
  <conditionalFormatting sqref="V26">
    <cfRule type="cellIs" dxfId="1090" priority="770" stopIfTrue="1" operator="equal">
      <formula>"x"</formula>
    </cfRule>
  </conditionalFormatting>
  <conditionalFormatting sqref="V26">
    <cfRule type="expression" dxfId="1089" priority="771" stopIfTrue="1">
      <formula>B26=""</formula>
    </cfRule>
  </conditionalFormatting>
  <conditionalFormatting sqref="W26">
    <cfRule type="cellIs" dxfId="1088" priority="768" stopIfTrue="1" operator="equal">
      <formula>"x"</formula>
    </cfRule>
  </conditionalFormatting>
  <conditionalFormatting sqref="W26">
    <cfRule type="expression" dxfId="1087" priority="769" stopIfTrue="1">
      <formula>B26=""</formula>
    </cfRule>
  </conditionalFormatting>
  <conditionalFormatting sqref="X26">
    <cfRule type="cellIs" dxfId="1086" priority="766" stopIfTrue="1" operator="equal">
      <formula>"x"</formula>
    </cfRule>
  </conditionalFormatting>
  <conditionalFormatting sqref="X26">
    <cfRule type="expression" dxfId="1085" priority="767" stopIfTrue="1">
      <formula>B26=""</formula>
    </cfRule>
  </conditionalFormatting>
  <conditionalFormatting sqref="Y26">
    <cfRule type="cellIs" dxfId="1084" priority="764" stopIfTrue="1" operator="equal">
      <formula>"x"</formula>
    </cfRule>
  </conditionalFormatting>
  <conditionalFormatting sqref="Y26">
    <cfRule type="expression" dxfId="1083" priority="765" stopIfTrue="1">
      <formula>B26=""</formula>
    </cfRule>
  </conditionalFormatting>
  <conditionalFormatting sqref="Z26">
    <cfRule type="cellIs" dxfId="1082" priority="762" stopIfTrue="1" operator="equal">
      <formula>"x"</formula>
    </cfRule>
  </conditionalFormatting>
  <conditionalFormatting sqref="Z26">
    <cfRule type="expression" dxfId="1081" priority="763" stopIfTrue="1">
      <formula>B26=""</formula>
    </cfRule>
  </conditionalFormatting>
  <conditionalFormatting sqref="AA26">
    <cfRule type="cellIs" dxfId="1080" priority="760" stopIfTrue="1" operator="equal">
      <formula>"x"</formula>
    </cfRule>
  </conditionalFormatting>
  <conditionalFormatting sqref="AA26">
    <cfRule type="expression" dxfId="1079" priority="761" stopIfTrue="1">
      <formula>B26=""</formula>
    </cfRule>
  </conditionalFormatting>
  <conditionalFormatting sqref="AB26">
    <cfRule type="cellIs" dxfId="1078" priority="758" stopIfTrue="1" operator="equal">
      <formula>"x"</formula>
    </cfRule>
  </conditionalFormatting>
  <conditionalFormatting sqref="AB26">
    <cfRule type="expression" dxfId="1077" priority="759" stopIfTrue="1">
      <formula>B26=""</formula>
    </cfRule>
  </conditionalFormatting>
  <conditionalFormatting sqref="AC26">
    <cfRule type="cellIs" dxfId="1076" priority="756" stopIfTrue="1" operator="equal">
      <formula>"x"</formula>
    </cfRule>
  </conditionalFormatting>
  <conditionalFormatting sqref="AC26">
    <cfRule type="expression" dxfId="1075" priority="757" stopIfTrue="1">
      <formula>B26=""</formula>
    </cfRule>
  </conditionalFormatting>
  <conditionalFormatting sqref="AD26">
    <cfRule type="cellIs" dxfId="1074" priority="754" stopIfTrue="1" operator="equal">
      <formula>"x"</formula>
    </cfRule>
  </conditionalFormatting>
  <conditionalFormatting sqref="AD26">
    <cfRule type="expression" dxfId="1073" priority="755" stopIfTrue="1">
      <formula>B26=""</formula>
    </cfRule>
  </conditionalFormatting>
  <conditionalFormatting sqref="AE26">
    <cfRule type="cellIs" dxfId="1072" priority="752" stopIfTrue="1" operator="equal">
      <formula>"x"</formula>
    </cfRule>
  </conditionalFormatting>
  <conditionalFormatting sqref="AE26">
    <cfRule type="expression" dxfId="1071" priority="753" stopIfTrue="1">
      <formula>B26=""</formula>
    </cfRule>
  </conditionalFormatting>
  <conditionalFormatting sqref="AF26">
    <cfRule type="cellIs" dxfId="1070" priority="750" stopIfTrue="1" operator="equal">
      <formula>"x"</formula>
    </cfRule>
  </conditionalFormatting>
  <conditionalFormatting sqref="AF26">
    <cfRule type="expression" dxfId="1069" priority="751" stopIfTrue="1">
      <formula>B26=""</formula>
    </cfRule>
  </conditionalFormatting>
  <conditionalFormatting sqref="AG26">
    <cfRule type="cellIs" dxfId="1068" priority="748" stopIfTrue="1" operator="equal">
      <formula>"x"</formula>
    </cfRule>
  </conditionalFormatting>
  <conditionalFormatting sqref="AG26">
    <cfRule type="expression" dxfId="1067" priority="749" stopIfTrue="1">
      <formula>B26=""</formula>
    </cfRule>
  </conditionalFormatting>
  <conditionalFormatting sqref="AH26">
    <cfRule type="cellIs" dxfId="1066" priority="746" stopIfTrue="1" operator="equal">
      <formula>"x"</formula>
    </cfRule>
  </conditionalFormatting>
  <conditionalFormatting sqref="AH26">
    <cfRule type="expression" dxfId="1065" priority="747" stopIfTrue="1">
      <formula>B26=""</formula>
    </cfRule>
  </conditionalFormatting>
  <conditionalFormatting sqref="AI26">
    <cfRule type="cellIs" dxfId="1064" priority="744" stopIfTrue="1" operator="equal">
      <formula>"x"</formula>
    </cfRule>
  </conditionalFormatting>
  <conditionalFormatting sqref="AI26">
    <cfRule type="expression" dxfId="1063" priority="745" stopIfTrue="1">
      <formula>B26=""</formula>
    </cfRule>
  </conditionalFormatting>
  <conditionalFormatting sqref="AJ26">
    <cfRule type="cellIs" dxfId="1062" priority="742" stopIfTrue="1" operator="equal">
      <formula>"x"</formula>
    </cfRule>
  </conditionalFormatting>
  <conditionalFormatting sqref="AJ26">
    <cfRule type="expression" dxfId="1061" priority="743" stopIfTrue="1">
      <formula>B26=""</formula>
    </cfRule>
  </conditionalFormatting>
  <conditionalFormatting sqref="AK26">
    <cfRule type="cellIs" dxfId="1060" priority="740" stopIfTrue="1" operator="equal">
      <formula>"x"</formula>
    </cfRule>
  </conditionalFormatting>
  <conditionalFormatting sqref="AK26">
    <cfRule type="expression" dxfId="1059" priority="741" stopIfTrue="1">
      <formula>B26=""</formula>
    </cfRule>
  </conditionalFormatting>
  <conditionalFormatting sqref="AL26">
    <cfRule type="cellIs" dxfId="1058" priority="738" stopIfTrue="1" operator="equal">
      <formula>"x"</formula>
    </cfRule>
  </conditionalFormatting>
  <conditionalFormatting sqref="AL26">
    <cfRule type="expression" dxfId="1057" priority="739" stopIfTrue="1">
      <formula>B26=""</formula>
    </cfRule>
  </conditionalFormatting>
  <conditionalFormatting sqref="AM26">
    <cfRule type="cellIs" dxfId="1056" priority="736" stopIfTrue="1" operator="equal">
      <formula>"x"</formula>
    </cfRule>
  </conditionalFormatting>
  <conditionalFormatting sqref="AM26">
    <cfRule type="expression" dxfId="1055" priority="737" stopIfTrue="1">
      <formula>B26=""</formula>
    </cfRule>
  </conditionalFormatting>
  <conditionalFormatting sqref="AN26">
    <cfRule type="cellIs" dxfId="1054" priority="734" stopIfTrue="1" operator="equal">
      <formula>"x"</formula>
    </cfRule>
  </conditionalFormatting>
  <conditionalFormatting sqref="AN26">
    <cfRule type="expression" dxfId="1053" priority="735" stopIfTrue="1">
      <formula>B26=""</formula>
    </cfRule>
  </conditionalFormatting>
  <conditionalFormatting sqref="AO26">
    <cfRule type="cellIs" dxfId="1052" priority="732" stopIfTrue="1" operator="equal">
      <formula>"x"</formula>
    </cfRule>
  </conditionalFormatting>
  <conditionalFormatting sqref="AO26">
    <cfRule type="expression" dxfId="1051" priority="733" stopIfTrue="1">
      <formula>B26=""</formula>
    </cfRule>
  </conditionalFormatting>
  <conditionalFormatting sqref="AP26">
    <cfRule type="cellIs" dxfId="1050" priority="730" stopIfTrue="1" operator="equal">
      <formula>"x"</formula>
    </cfRule>
  </conditionalFormatting>
  <conditionalFormatting sqref="AP26">
    <cfRule type="expression" dxfId="1049" priority="731" stopIfTrue="1">
      <formula>B26=""</formula>
    </cfRule>
  </conditionalFormatting>
  <conditionalFormatting sqref="AQ26">
    <cfRule type="cellIs" dxfId="1048" priority="728" stopIfTrue="1" operator="equal">
      <formula>"x"</formula>
    </cfRule>
  </conditionalFormatting>
  <conditionalFormatting sqref="AQ26">
    <cfRule type="expression" dxfId="1047" priority="729" stopIfTrue="1">
      <formula>B26=""</formula>
    </cfRule>
  </conditionalFormatting>
  <conditionalFormatting sqref="AR26">
    <cfRule type="cellIs" dxfId="1046" priority="726" stopIfTrue="1" operator="equal">
      <formula>"x"</formula>
    </cfRule>
  </conditionalFormatting>
  <conditionalFormatting sqref="AR26">
    <cfRule type="expression" dxfId="1045" priority="727" stopIfTrue="1">
      <formula>B26=""</formula>
    </cfRule>
  </conditionalFormatting>
  <conditionalFormatting sqref="AS26">
    <cfRule type="cellIs" dxfId="1044" priority="724" stopIfTrue="1" operator="equal">
      <formula>"x"</formula>
    </cfRule>
  </conditionalFormatting>
  <conditionalFormatting sqref="AS26">
    <cfRule type="expression" dxfId="1043" priority="725" stopIfTrue="1">
      <formula>B26=""</formula>
    </cfRule>
  </conditionalFormatting>
  <conditionalFormatting sqref="AT26">
    <cfRule type="cellIs" dxfId="1042" priority="722" stopIfTrue="1" operator="equal">
      <formula>"x"</formula>
    </cfRule>
  </conditionalFormatting>
  <conditionalFormatting sqref="AT26">
    <cfRule type="expression" dxfId="1041" priority="723" stopIfTrue="1">
      <formula>B26=""</formula>
    </cfRule>
  </conditionalFormatting>
  <conditionalFormatting sqref="AU26">
    <cfRule type="cellIs" dxfId="1040" priority="720" stopIfTrue="1" operator="equal">
      <formula>"x"</formula>
    </cfRule>
  </conditionalFormatting>
  <conditionalFormatting sqref="AU26">
    <cfRule type="expression" dxfId="1039" priority="721" stopIfTrue="1">
      <formula>B26=""</formula>
    </cfRule>
  </conditionalFormatting>
  <conditionalFormatting sqref="AV26">
    <cfRule type="cellIs" dxfId="1038" priority="718" stopIfTrue="1" operator="equal">
      <formula>"x"</formula>
    </cfRule>
  </conditionalFormatting>
  <conditionalFormatting sqref="AV26">
    <cfRule type="expression" dxfId="1037" priority="719" stopIfTrue="1">
      <formula>B26=""</formula>
    </cfRule>
  </conditionalFormatting>
  <conditionalFormatting sqref="AW26">
    <cfRule type="cellIs" dxfId="1036" priority="716" stopIfTrue="1" operator="equal">
      <formula>"x"</formula>
    </cfRule>
  </conditionalFormatting>
  <conditionalFormatting sqref="AW26">
    <cfRule type="expression" dxfId="1035" priority="717" stopIfTrue="1">
      <formula>B26=""</formula>
    </cfRule>
  </conditionalFormatting>
  <conditionalFormatting sqref="AX26">
    <cfRule type="cellIs" dxfId="1034" priority="714" stopIfTrue="1" operator="equal">
      <formula>"x"</formula>
    </cfRule>
  </conditionalFormatting>
  <conditionalFormatting sqref="AX26">
    <cfRule type="expression" dxfId="1033" priority="715" stopIfTrue="1">
      <formula>B26=""</formula>
    </cfRule>
  </conditionalFormatting>
  <conditionalFormatting sqref="AY26">
    <cfRule type="cellIs" dxfId="1032" priority="712" stopIfTrue="1" operator="equal">
      <formula>"x"</formula>
    </cfRule>
  </conditionalFormatting>
  <conditionalFormatting sqref="AY26">
    <cfRule type="expression" dxfId="1031" priority="713" stopIfTrue="1">
      <formula>B26=""</formula>
    </cfRule>
  </conditionalFormatting>
  <conditionalFormatting sqref="AZ26">
    <cfRule type="cellIs" dxfId="1030" priority="710" stopIfTrue="1" operator="equal">
      <formula>"x"</formula>
    </cfRule>
  </conditionalFormatting>
  <conditionalFormatting sqref="AZ26">
    <cfRule type="expression" dxfId="1029" priority="711" stopIfTrue="1">
      <formula>B26=""</formula>
    </cfRule>
  </conditionalFormatting>
  <conditionalFormatting sqref="BA26">
    <cfRule type="cellIs" dxfId="1028" priority="708" stopIfTrue="1" operator="equal">
      <formula>"x"</formula>
    </cfRule>
  </conditionalFormatting>
  <conditionalFormatting sqref="BA26">
    <cfRule type="expression" dxfId="1027" priority="709" stopIfTrue="1">
      <formula>B26=""</formula>
    </cfRule>
  </conditionalFormatting>
  <conditionalFormatting sqref="Q25">
    <cfRule type="cellIs" dxfId="1026" priority="706" stopIfTrue="1" operator="equal">
      <formula>"x"</formula>
    </cfRule>
  </conditionalFormatting>
  <conditionalFormatting sqref="Q25">
    <cfRule type="expression" dxfId="1025" priority="707" stopIfTrue="1">
      <formula>B25=""</formula>
    </cfRule>
  </conditionalFormatting>
  <conditionalFormatting sqref="R25">
    <cfRule type="cellIs" dxfId="1024" priority="704" stopIfTrue="1" operator="equal">
      <formula>"x"</formula>
    </cfRule>
  </conditionalFormatting>
  <conditionalFormatting sqref="R25">
    <cfRule type="expression" dxfId="1023" priority="705" stopIfTrue="1">
      <formula>B25=""</formula>
    </cfRule>
  </conditionalFormatting>
  <conditionalFormatting sqref="S25">
    <cfRule type="cellIs" dxfId="1022" priority="702" stopIfTrue="1" operator="equal">
      <formula>"x"</formula>
    </cfRule>
  </conditionalFormatting>
  <conditionalFormatting sqref="S25">
    <cfRule type="expression" dxfId="1021" priority="703" stopIfTrue="1">
      <formula>B25=""</formula>
    </cfRule>
  </conditionalFormatting>
  <conditionalFormatting sqref="T25">
    <cfRule type="cellIs" dxfId="1020" priority="700" stopIfTrue="1" operator="equal">
      <formula>"x"</formula>
    </cfRule>
  </conditionalFormatting>
  <conditionalFormatting sqref="T25">
    <cfRule type="expression" dxfId="1019" priority="701" stopIfTrue="1">
      <formula>B25=""</formula>
    </cfRule>
  </conditionalFormatting>
  <conditionalFormatting sqref="U25">
    <cfRule type="cellIs" dxfId="1018" priority="698" stopIfTrue="1" operator="equal">
      <formula>"x"</formula>
    </cfRule>
  </conditionalFormatting>
  <conditionalFormatting sqref="U25">
    <cfRule type="expression" dxfId="1017" priority="699" stopIfTrue="1">
      <formula>B25=""</formula>
    </cfRule>
  </conditionalFormatting>
  <conditionalFormatting sqref="V25">
    <cfRule type="cellIs" dxfId="1016" priority="696" stopIfTrue="1" operator="equal">
      <formula>"x"</formula>
    </cfRule>
  </conditionalFormatting>
  <conditionalFormatting sqref="V25">
    <cfRule type="expression" dxfId="1015" priority="697" stopIfTrue="1">
      <formula>B25=""</formula>
    </cfRule>
  </conditionalFormatting>
  <conditionalFormatting sqref="W25">
    <cfRule type="cellIs" dxfId="1014" priority="694" stopIfTrue="1" operator="equal">
      <formula>"x"</formula>
    </cfRule>
  </conditionalFormatting>
  <conditionalFormatting sqref="W25">
    <cfRule type="expression" dxfId="1013" priority="695" stopIfTrue="1">
      <formula>B25=""</formula>
    </cfRule>
  </conditionalFormatting>
  <conditionalFormatting sqref="X25">
    <cfRule type="cellIs" dxfId="1012" priority="692" stopIfTrue="1" operator="equal">
      <formula>"x"</formula>
    </cfRule>
  </conditionalFormatting>
  <conditionalFormatting sqref="X25">
    <cfRule type="expression" dxfId="1011" priority="693" stopIfTrue="1">
      <formula>B25=""</formula>
    </cfRule>
  </conditionalFormatting>
  <conditionalFormatting sqref="Y25">
    <cfRule type="cellIs" dxfId="1010" priority="690" stopIfTrue="1" operator="equal">
      <formula>"x"</formula>
    </cfRule>
  </conditionalFormatting>
  <conditionalFormatting sqref="Y25">
    <cfRule type="expression" dxfId="1009" priority="691" stopIfTrue="1">
      <formula>B25=""</formula>
    </cfRule>
  </conditionalFormatting>
  <conditionalFormatting sqref="Z25">
    <cfRule type="cellIs" dxfId="1008" priority="688" stopIfTrue="1" operator="equal">
      <formula>"x"</formula>
    </cfRule>
  </conditionalFormatting>
  <conditionalFormatting sqref="Z25">
    <cfRule type="expression" dxfId="1007" priority="689" stopIfTrue="1">
      <formula>B25=""</formula>
    </cfRule>
  </conditionalFormatting>
  <conditionalFormatting sqref="AA25">
    <cfRule type="cellIs" dxfId="1006" priority="686" stopIfTrue="1" operator="equal">
      <formula>"x"</formula>
    </cfRule>
  </conditionalFormatting>
  <conditionalFormatting sqref="AA25">
    <cfRule type="expression" dxfId="1005" priority="687" stopIfTrue="1">
      <formula>B25=""</formula>
    </cfRule>
  </conditionalFormatting>
  <conditionalFormatting sqref="AB25">
    <cfRule type="cellIs" dxfId="1004" priority="684" stopIfTrue="1" operator="equal">
      <formula>"x"</formula>
    </cfRule>
  </conditionalFormatting>
  <conditionalFormatting sqref="AB25">
    <cfRule type="expression" dxfId="1003" priority="685" stopIfTrue="1">
      <formula>B25=""</formula>
    </cfRule>
  </conditionalFormatting>
  <conditionalFormatting sqref="AC25">
    <cfRule type="cellIs" dxfId="1002" priority="682" stopIfTrue="1" operator="equal">
      <formula>"x"</formula>
    </cfRule>
  </conditionalFormatting>
  <conditionalFormatting sqref="AC25">
    <cfRule type="expression" dxfId="1001" priority="683" stopIfTrue="1">
      <formula>B25=""</formula>
    </cfRule>
  </conditionalFormatting>
  <conditionalFormatting sqref="AD25">
    <cfRule type="cellIs" dxfId="1000" priority="680" stopIfTrue="1" operator="equal">
      <formula>"x"</formula>
    </cfRule>
  </conditionalFormatting>
  <conditionalFormatting sqref="AD25">
    <cfRule type="expression" dxfId="999" priority="681" stopIfTrue="1">
      <formula>B25=""</formula>
    </cfRule>
  </conditionalFormatting>
  <conditionalFormatting sqref="AE25">
    <cfRule type="cellIs" dxfId="998" priority="678" stopIfTrue="1" operator="equal">
      <formula>"x"</formula>
    </cfRule>
  </conditionalFormatting>
  <conditionalFormatting sqref="AE25">
    <cfRule type="expression" dxfId="997" priority="679" stopIfTrue="1">
      <formula>B25=""</formula>
    </cfRule>
  </conditionalFormatting>
  <conditionalFormatting sqref="AF25">
    <cfRule type="cellIs" dxfId="996" priority="676" stopIfTrue="1" operator="equal">
      <formula>"x"</formula>
    </cfRule>
  </conditionalFormatting>
  <conditionalFormatting sqref="AF25">
    <cfRule type="expression" dxfId="995" priority="677" stopIfTrue="1">
      <formula>B25=""</formula>
    </cfRule>
  </conditionalFormatting>
  <conditionalFormatting sqref="AG25">
    <cfRule type="cellIs" dxfId="994" priority="674" stopIfTrue="1" operator="equal">
      <formula>"x"</formula>
    </cfRule>
  </conditionalFormatting>
  <conditionalFormatting sqref="AG25">
    <cfRule type="expression" dxfId="993" priority="675" stopIfTrue="1">
      <formula>B25=""</formula>
    </cfRule>
  </conditionalFormatting>
  <conditionalFormatting sqref="AH25">
    <cfRule type="cellIs" dxfId="992" priority="672" stopIfTrue="1" operator="equal">
      <formula>"x"</formula>
    </cfRule>
  </conditionalFormatting>
  <conditionalFormatting sqref="AH25">
    <cfRule type="expression" dxfId="991" priority="673" stopIfTrue="1">
      <formula>B25=""</formula>
    </cfRule>
  </conditionalFormatting>
  <conditionalFormatting sqref="AI25">
    <cfRule type="cellIs" dxfId="990" priority="670" stopIfTrue="1" operator="equal">
      <formula>"x"</formula>
    </cfRule>
  </conditionalFormatting>
  <conditionalFormatting sqref="AI25">
    <cfRule type="expression" dxfId="989" priority="671" stopIfTrue="1">
      <formula>B25=""</formula>
    </cfRule>
  </conditionalFormatting>
  <conditionalFormatting sqref="AJ25">
    <cfRule type="cellIs" dxfId="988" priority="668" stopIfTrue="1" operator="equal">
      <formula>"x"</formula>
    </cfRule>
  </conditionalFormatting>
  <conditionalFormatting sqref="AJ25">
    <cfRule type="expression" dxfId="987" priority="669" stopIfTrue="1">
      <formula>B25=""</formula>
    </cfRule>
  </conditionalFormatting>
  <conditionalFormatting sqref="AK25">
    <cfRule type="cellIs" dxfId="986" priority="666" stopIfTrue="1" operator="equal">
      <formula>"x"</formula>
    </cfRule>
  </conditionalFormatting>
  <conditionalFormatting sqref="AK25">
    <cfRule type="expression" dxfId="985" priority="667" stopIfTrue="1">
      <formula>B25=""</formula>
    </cfRule>
  </conditionalFormatting>
  <conditionalFormatting sqref="AL25">
    <cfRule type="cellIs" dxfId="984" priority="664" stopIfTrue="1" operator="equal">
      <formula>"x"</formula>
    </cfRule>
  </conditionalFormatting>
  <conditionalFormatting sqref="AL25">
    <cfRule type="expression" dxfId="983" priority="665" stopIfTrue="1">
      <formula>B25=""</formula>
    </cfRule>
  </conditionalFormatting>
  <conditionalFormatting sqref="AM25">
    <cfRule type="cellIs" dxfId="982" priority="662" stopIfTrue="1" operator="equal">
      <formula>"x"</formula>
    </cfRule>
  </conditionalFormatting>
  <conditionalFormatting sqref="AM25">
    <cfRule type="expression" dxfId="981" priority="663" stopIfTrue="1">
      <formula>B25=""</formula>
    </cfRule>
  </conditionalFormatting>
  <conditionalFormatting sqref="AN25">
    <cfRule type="cellIs" dxfId="980" priority="660" stopIfTrue="1" operator="equal">
      <formula>"x"</formula>
    </cfRule>
  </conditionalFormatting>
  <conditionalFormatting sqref="AN25">
    <cfRule type="expression" dxfId="979" priority="661" stopIfTrue="1">
      <formula>B25=""</formula>
    </cfRule>
  </conditionalFormatting>
  <conditionalFormatting sqref="AO25">
    <cfRule type="cellIs" dxfId="978" priority="658" stopIfTrue="1" operator="equal">
      <formula>"x"</formula>
    </cfRule>
  </conditionalFormatting>
  <conditionalFormatting sqref="AO25">
    <cfRule type="expression" dxfId="977" priority="659" stopIfTrue="1">
      <formula>B25=""</formula>
    </cfRule>
  </conditionalFormatting>
  <conditionalFormatting sqref="AP25">
    <cfRule type="cellIs" dxfId="976" priority="656" stopIfTrue="1" operator="equal">
      <formula>"x"</formula>
    </cfRule>
  </conditionalFormatting>
  <conditionalFormatting sqref="AP25">
    <cfRule type="expression" dxfId="975" priority="657" stopIfTrue="1">
      <formula>B25=""</formula>
    </cfRule>
  </conditionalFormatting>
  <conditionalFormatting sqref="AQ25">
    <cfRule type="cellIs" dxfId="974" priority="654" stopIfTrue="1" operator="equal">
      <formula>"x"</formula>
    </cfRule>
  </conditionalFormatting>
  <conditionalFormatting sqref="AQ25">
    <cfRule type="expression" dxfId="973" priority="655" stopIfTrue="1">
      <formula>B25=""</formula>
    </cfRule>
  </conditionalFormatting>
  <conditionalFormatting sqref="AR25">
    <cfRule type="cellIs" dxfId="972" priority="652" stopIfTrue="1" operator="equal">
      <formula>"x"</formula>
    </cfRule>
  </conditionalFormatting>
  <conditionalFormatting sqref="AR25">
    <cfRule type="expression" dxfId="971" priority="653" stopIfTrue="1">
      <formula>B25=""</formula>
    </cfRule>
  </conditionalFormatting>
  <conditionalFormatting sqref="AS25">
    <cfRule type="cellIs" dxfId="970" priority="650" stopIfTrue="1" operator="equal">
      <formula>"x"</formula>
    </cfRule>
  </conditionalFormatting>
  <conditionalFormatting sqref="AS25">
    <cfRule type="expression" dxfId="969" priority="651" stopIfTrue="1">
      <formula>B25=""</formula>
    </cfRule>
  </conditionalFormatting>
  <conditionalFormatting sqref="AT25">
    <cfRule type="cellIs" dxfId="968" priority="648" stopIfTrue="1" operator="equal">
      <formula>"x"</formula>
    </cfRule>
  </conditionalFormatting>
  <conditionalFormatting sqref="AT25">
    <cfRule type="expression" dxfId="967" priority="649" stopIfTrue="1">
      <formula>B25=""</formula>
    </cfRule>
  </conditionalFormatting>
  <conditionalFormatting sqref="AU25">
    <cfRule type="cellIs" dxfId="966" priority="646" stopIfTrue="1" operator="equal">
      <formula>"x"</formula>
    </cfRule>
  </conditionalFormatting>
  <conditionalFormatting sqref="AU25">
    <cfRule type="expression" dxfId="965" priority="647" stopIfTrue="1">
      <formula>B25=""</formula>
    </cfRule>
  </conditionalFormatting>
  <conditionalFormatting sqref="AV25">
    <cfRule type="cellIs" dxfId="964" priority="644" stopIfTrue="1" operator="equal">
      <formula>"x"</formula>
    </cfRule>
  </conditionalFormatting>
  <conditionalFormatting sqref="AV25">
    <cfRule type="expression" dxfId="963" priority="645" stopIfTrue="1">
      <formula>B25=""</formula>
    </cfRule>
  </conditionalFormatting>
  <conditionalFormatting sqref="AW25">
    <cfRule type="cellIs" dxfId="962" priority="642" stopIfTrue="1" operator="equal">
      <formula>"x"</formula>
    </cfRule>
  </conditionalFormatting>
  <conditionalFormatting sqref="AW25">
    <cfRule type="expression" dxfId="961" priority="643" stopIfTrue="1">
      <formula>B25=""</formula>
    </cfRule>
  </conditionalFormatting>
  <conditionalFormatting sqref="AX25">
    <cfRule type="cellIs" dxfId="960" priority="640" stopIfTrue="1" operator="equal">
      <formula>"x"</formula>
    </cfRule>
  </conditionalFormatting>
  <conditionalFormatting sqref="AX25">
    <cfRule type="expression" dxfId="959" priority="641" stopIfTrue="1">
      <formula>B25=""</formula>
    </cfRule>
  </conditionalFormatting>
  <conditionalFormatting sqref="AY25">
    <cfRule type="cellIs" dxfId="958" priority="638" stopIfTrue="1" operator="equal">
      <formula>"x"</formula>
    </cfRule>
  </conditionalFormatting>
  <conditionalFormatting sqref="AY25">
    <cfRule type="expression" dxfId="957" priority="639" stopIfTrue="1">
      <formula>B25=""</formula>
    </cfRule>
  </conditionalFormatting>
  <conditionalFormatting sqref="AZ25">
    <cfRule type="cellIs" dxfId="956" priority="636" stopIfTrue="1" operator="equal">
      <formula>"x"</formula>
    </cfRule>
  </conditionalFormatting>
  <conditionalFormatting sqref="AZ25">
    <cfRule type="expression" dxfId="955" priority="637" stopIfTrue="1">
      <formula>B25=""</formula>
    </cfRule>
  </conditionalFormatting>
  <conditionalFormatting sqref="BA25">
    <cfRule type="cellIs" dxfId="954" priority="634" stopIfTrue="1" operator="equal">
      <formula>"x"</formula>
    </cfRule>
  </conditionalFormatting>
  <conditionalFormatting sqref="BA25">
    <cfRule type="expression" dxfId="953" priority="635" stopIfTrue="1">
      <formula>B25=""</formula>
    </cfRule>
  </conditionalFormatting>
  <conditionalFormatting sqref="Q24">
    <cfRule type="cellIs" dxfId="952" priority="632" stopIfTrue="1" operator="equal">
      <formula>"x"</formula>
    </cfRule>
  </conditionalFormatting>
  <conditionalFormatting sqref="Q24">
    <cfRule type="expression" dxfId="951" priority="633" stopIfTrue="1">
      <formula>B24=""</formula>
    </cfRule>
  </conditionalFormatting>
  <conditionalFormatting sqref="R24">
    <cfRule type="cellIs" dxfId="950" priority="630" stopIfTrue="1" operator="equal">
      <formula>"x"</formula>
    </cfRule>
  </conditionalFormatting>
  <conditionalFormatting sqref="R24">
    <cfRule type="expression" dxfId="949" priority="631" stopIfTrue="1">
      <formula>B24=""</formula>
    </cfRule>
  </conditionalFormatting>
  <conditionalFormatting sqref="S24">
    <cfRule type="cellIs" dxfId="948" priority="628" stopIfTrue="1" operator="equal">
      <formula>"x"</formula>
    </cfRule>
  </conditionalFormatting>
  <conditionalFormatting sqref="S24">
    <cfRule type="expression" dxfId="947" priority="629" stopIfTrue="1">
      <formula>B24=""</formula>
    </cfRule>
  </conditionalFormatting>
  <conditionalFormatting sqref="T24">
    <cfRule type="cellIs" dxfId="946" priority="626" stopIfTrue="1" operator="equal">
      <formula>"x"</formula>
    </cfRule>
  </conditionalFormatting>
  <conditionalFormatting sqref="T24">
    <cfRule type="expression" dxfId="945" priority="627" stopIfTrue="1">
      <formula>B24=""</formula>
    </cfRule>
  </conditionalFormatting>
  <conditionalFormatting sqref="U24">
    <cfRule type="cellIs" dxfId="944" priority="624" stopIfTrue="1" operator="equal">
      <formula>"x"</formula>
    </cfRule>
  </conditionalFormatting>
  <conditionalFormatting sqref="U24">
    <cfRule type="expression" dxfId="943" priority="625" stopIfTrue="1">
      <formula>B24=""</formula>
    </cfRule>
  </conditionalFormatting>
  <conditionalFormatting sqref="V24">
    <cfRule type="cellIs" dxfId="942" priority="622" stopIfTrue="1" operator="equal">
      <formula>"x"</formula>
    </cfRule>
  </conditionalFormatting>
  <conditionalFormatting sqref="V24">
    <cfRule type="expression" dxfId="941" priority="623" stopIfTrue="1">
      <formula>B24=""</formula>
    </cfRule>
  </conditionalFormatting>
  <conditionalFormatting sqref="W24">
    <cfRule type="cellIs" dxfId="940" priority="620" stopIfTrue="1" operator="equal">
      <formula>"x"</formula>
    </cfRule>
  </conditionalFormatting>
  <conditionalFormatting sqref="W24">
    <cfRule type="expression" dxfId="939" priority="621" stopIfTrue="1">
      <formula>B24=""</formula>
    </cfRule>
  </conditionalFormatting>
  <conditionalFormatting sqref="X24">
    <cfRule type="cellIs" dxfId="938" priority="618" stopIfTrue="1" operator="equal">
      <formula>"x"</formula>
    </cfRule>
  </conditionalFormatting>
  <conditionalFormatting sqref="X24">
    <cfRule type="expression" dxfId="937" priority="619" stopIfTrue="1">
      <formula>B24=""</formula>
    </cfRule>
  </conditionalFormatting>
  <conditionalFormatting sqref="Y24">
    <cfRule type="cellIs" dxfId="936" priority="616" stopIfTrue="1" operator="equal">
      <formula>"x"</formula>
    </cfRule>
  </conditionalFormatting>
  <conditionalFormatting sqref="Y24">
    <cfRule type="expression" dxfId="935" priority="617" stopIfTrue="1">
      <formula>B24=""</formula>
    </cfRule>
  </conditionalFormatting>
  <conditionalFormatting sqref="Z24">
    <cfRule type="cellIs" dxfId="934" priority="614" stopIfTrue="1" operator="equal">
      <formula>"x"</formula>
    </cfRule>
  </conditionalFormatting>
  <conditionalFormatting sqref="Z24">
    <cfRule type="expression" dxfId="933" priority="615" stopIfTrue="1">
      <formula>B24=""</formula>
    </cfRule>
  </conditionalFormatting>
  <conditionalFormatting sqref="AA24">
    <cfRule type="cellIs" dxfId="932" priority="612" stopIfTrue="1" operator="equal">
      <formula>"x"</formula>
    </cfRule>
  </conditionalFormatting>
  <conditionalFormatting sqref="AA24">
    <cfRule type="expression" dxfId="931" priority="613" stopIfTrue="1">
      <formula>B24=""</formula>
    </cfRule>
  </conditionalFormatting>
  <conditionalFormatting sqref="AB24">
    <cfRule type="cellIs" dxfId="930" priority="610" stopIfTrue="1" operator="equal">
      <formula>"x"</formula>
    </cfRule>
  </conditionalFormatting>
  <conditionalFormatting sqref="AB24">
    <cfRule type="expression" dxfId="929" priority="611" stopIfTrue="1">
      <formula>B24=""</formula>
    </cfRule>
  </conditionalFormatting>
  <conditionalFormatting sqref="AC24">
    <cfRule type="cellIs" dxfId="928" priority="608" stopIfTrue="1" operator="equal">
      <formula>"x"</formula>
    </cfRule>
  </conditionalFormatting>
  <conditionalFormatting sqref="AC24">
    <cfRule type="expression" dxfId="927" priority="609" stopIfTrue="1">
      <formula>B24=""</formula>
    </cfRule>
  </conditionalFormatting>
  <conditionalFormatting sqref="AD24">
    <cfRule type="cellIs" dxfId="926" priority="606" stopIfTrue="1" operator="equal">
      <formula>"x"</formula>
    </cfRule>
  </conditionalFormatting>
  <conditionalFormatting sqref="AD24">
    <cfRule type="expression" dxfId="925" priority="607" stopIfTrue="1">
      <formula>B24=""</formula>
    </cfRule>
  </conditionalFormatting>
  <conditionalFormatting sqref="AE24">
    <cfRule type="cellIs" dxfId="924" priority="604" stopIfTrue="1" operator="equal">
      <formula>"x"</formula>
    </cfRule>
  </conditionalFormatting>
  <conditionalFormatting sqref="AE24">
    <cfRule type="expression" dxfId="923" priority="605" stopIfTrue="1">
      <formula>B24=""</formula>
    </cfRule>
  </conditionalFormatting>
  <conditionalFormatting sqref="AF24">
    <cfRule type="cellIs" dxfId="922" priority="602" stopIfTrue="1" operator="equal">
      <formula>"x"</formula>
    </cfRule>
  </conditionalFormatting>
  <conditionalFormatting sqref="AF24">
    <cfRule type="expression" dxfId="921" priority="603" stopIfTrue="1">
      <formula>B24=""</formula>
    </cfRule>
  </conditionalFormatting>
  <conditionalFormatting sqref="AG24">
    <cfRule type="cellIs" dxfId="920" priority="600" stopIfTrue="1" operator="equal">
      <formula>"x"</formula>
    </cfRule>
  </conditionalFormatting>
  <conditionalFormatting sqref="AG24">
    <cfRule type="expression" dxfId="919" priority="601" stopIfTrue="1">
      <formula>B24=""</formula>
    </cfRule>
  </conditionalFormatting>
  <conditionalFormatting sqref="AH24">
    <cfRule type="cellIs" dxfId="918" priority="598" stopIfTrue="1" operator="equal">
      <formula>"x"</formula>
    </cfRule>
  </conditionalFormatting>
  <conditionalFormatting sqref="AH24">
    <cfRule type="expression" dxfId="917" priority="599" stopIfTrue="1">
      <formula>B24=""</formula>
    </cfRule>
  </conditionalFormatting>
  <conditionalFormatting sqref="AI24">
    <cfRule type="cellIs" dxfId="916" priority="596" stopIfTrue="1" operator="equal">
      <formula>"x"</formula>
    </cfRule>
  </conditionalFormatting>
  <conditionalFormatting sqref="AI24">
    <cfRule type="expression" dxfId="915" priority="597" stopIfTrue="1">
      <formula>B24=""</formula>
    </cfRule>
  </conditionalFormatting>
  <conditionalFormatting sqref="AJ24">
    <cfRule type="cellIs" dxfId="914" priority="594" stopIfTrue="1" operator="equal">
      <formula>"x"</formula>
    </cfRule>
  </conditionalFormatting>
  <conditionalFormatting sqref="AJ24">
    <cfRule type="expression" dxfId="913" priority="595" stopIfTrue="1">
      <formula>B24=""</formula>
    </cfRule>
  </conditionalFormatting>
  <conditionalFormatting sqref="AK24">
    <cfRule type="cellIs" dxfId="912" priority="592" stopIfTrue="1" operator="equal">
      <formula>"x"</formula>
    </cfRule>
  </conditionalFormatting>
  <conditionalFormatting sqref="AK24">
    <cfRule type="expression" dxfId="911" priority="593" stopIfTrue="1">
      <formula>B24=""</formula>
    </cfRule>
  </conditionalFormatting>
  <conditionalFormatting sqref="AL24">
    <cfRule type="cellIs" dxfId="910" priority="590" stopIfTrue="1" operator="equal">
      <formula>"x"</formula>
    </cfRule>
  </conditionalFormatting>
  <conditionalFormatting sqref="AL24">
    <cfRule type="expression" dxfId="909" priority="591" stopIfTrue="1">
      <formula>B24=""</formula>
    </cfRule>
  </conditionalFormatting>
  <conditionalFormatting sqref="AM24">
    <cfRule type="cellIs" dxfId="908" priority="588" stopIfTrue="1" operator="equal">
      <formula>"x"</formula>
    </cfRule>
  </conditionalFormatting>
  <conditionalFormatting sqref="AM24">
    <cfRule type="expression" dxfId="907" priority="589" stopIfTrue="1">
      <formula>B24=""</formula>
    </cfRule>
  </conditionalFormatting>
  <conditionalFormatting sqref="AN24">
    <cfRule type="cellIs" dxfId="906" priority="586" stopIfTrue="1" operator="equal">
      <formula>"x"</formula>
    </cfRule>
  </conditionalFormatting>
  <conditionalFormatting sqref="AN24">
    <cfRule type="expression" dxfId="905" priority="587" stopIfTrue="1">
      <formula>B24=""</formula>
    </cfRule>
  </conditionalFormatting>
  <conditionalFormatting sqref="AO24">
    <cfRule type="cellIs" dxfId="904" priority="584" stopIfTrue="1" operator="equal">
      <formula>"x"</formula>
    </cfRule>
  </conditionalFormatting>
  <conditionalFormatting sqref="AO24">
    <cfRule type="expression" dxfId="903" priority="585" stopIfTrue="1">
      <formula>B24=""</formula>
    </cfRule>
  </conditionalFormatting>
  <conditionalFormatting sqref="AP24">
    <cfRule type="cellIs" dxfId="902" priority="582" stopIfTrue="1" operator="equal">
      <formula>"x"</formula>
    </cfRule>
  </conditionalFormatting>
  <conditionalFormatting sqref="AP24">
    <cfRule type="expression" dxfId="901" priority="583" stopIfTrue="1">
      <formula>B24=""</formula>
    </cfRule>
  </conditionalFormatting>
  <conditionalFormatting sqref="AQ24">
    <cfRule type="cellIs" dxfId="900" priority="580" stopIfTrue="1" operator="equal">
      <formula>"x"</formula>
    </cfRule>
  </conditionalFormatting>
  <conditionalFormatting sqref="AQ24">
    <cfRule type="expression" dxfId="899" priority="581" stopIfTrue="1">
      <formula>B24=""</formula>
    </cfRule>
  </conditionalFormatting>
  <conditionalFormatting sqref="AR24">
    <cfRule type="cellIs" dxfId="898" priority="578" stopIfTrue="1" operator="equal">
      <formula>"x"</formula>
    </cfRule>
  </conditionalFormatting>
  <conditionalFormatting sqref="AR24">
    <cfRule type="expression" dxfId="897" priority="579" stopIfTrue="1">
      <formula>B24=""</formula>
    </cfRule>
  </conditionalFormatting>
  <conditionalFormatting sqref="AS24">
    <cfRule type="cellIs" dxfId="896" priority="576" stopIfTrue="1" operator="equal">
      <formula>"x"</formula>
    </cfRule>
  </conditionalFormatting>
  <conditionalFormatting sqref="AS24">
    <cfRule type="expression" dxfId="895" priority="577" stopIfTrue="1">
      <formula>B24=""</formula>
    </cfRule>
  </conditionalFormatting>
  <conditionalFormatting sqref="AT24">
    <cfRule type="cellIs" dxfId="894" priority="574" stopIfTrue="1" operator="equal">
      <formula>"x"</formula>
    </cfRule>
  </conditionalFormatting>
  <conditionalFormatting sqref="AT24">
    <cfRule type="expression" dxfId="893" priority="575" stopIfTrue="1">
      <formula>B24=""</formula>
    </cfRule>
  </conditionalFormatting>
  <conditionalFormatting sqref="AU24">
    <cfRule type="cellIs" dxfId="892" priority="572" stopIfTrue="1" operator="equal">
      <formula>"x"</formula>
    </cfRule>
  </conditionalFormatting>
  <conditionalFormatting sqref="AU24">
    <cfRule type="expression" dxfId="891" priority="573" stopIfTrue="1">
      <formula>B24=""</formula>
    </cfRule>
  </conditionalFormatting>
  <conditionalFormatting sqref="AV24">
    <cfRule type="cellIs" dxfId="890" priority="570" stopIfTrue="1" operator="equal">
      <formula>"x"</formula>
    </cfRule>
  </conditionalFormatting>
  <conditionalFormatting sqref="AV24">
    <cfRule type="expression" dxfId="889" priority="571" stopIfTrue="1">
      <formula>B24=""</formula>
    </cfRule>
  </conditionalFormatting>
  <conditionalFormatting sqref="AW24">
    <cfRule type="cellIs" dxfId="888" priority="568" stopIfTrue="1" operator="equal">
      <formula>"x"</formula>
    </cfRule>
  </conditionalFormatting>
  <conditionalFormatting sqref="AW24">
    <cfRule type="expression" dxfId="887" priority="569" stopIfTrue="1">
      <formula>B24=""</formula>
    </cfRule>
  </conditionalFormatting>
  <conditionalFormatting sqref="AX24">
    <cfRule type="cellIs" dxfId="886" priority="566" stopIfTrue="1" operator="equal">
      <formula>"x"</formula>
    </cfRule>
  </conditionalFormatting>
  <conditionalFormatting sqref="AX24">
    <cfRule type="expression" dxfId="885" priority="567" stopIfTrue="1">
      <formula>B24=""</formula>
    </cfRule>
  </conditionalFormatting>
  <conditionalFormatting sqref="AY24">
    <cfRule type="cellIs" dxfId="884" priority="564" stopIfTrue="1" operator="equal">
      <formula>"x"</formula>
    </cfRule>
  </conditionalFormatting>
  <conditionalFormatting sqref="AY24">
    <cfRule type="expression" dxfId="883" priority="565" stopIfTrue="1">
      <formula>B24=""</formula>
    </cfRule>
  </conditionalFormatting>
  <conditionalFormatting sqref="AZ24">
    <cfRule type="cellIs" dxfId="882" priority="562" stopIfTrue="1" operator="equal">
      <formula>"x"</formula>
    </cfRule>
  </conditionalFormatting>
  <conditionalFormatting sqref="AZ24">
    <cfRule type="expression" dxfId="881" priority="563" stopIfTrue="1">
      <formula>B24=""</formula>
    </cfRule>
  </conditionalFormatting>
  <conditionalFormatting sqref="BA24">
    <cfRule type="cellIs" dxfId="880" priority="560" stopIfTrue="1" operator="equal">
      <formula>"x"</formula>
    </cfRule>
  </conditionalFormatting>
  <conditionalFormatting sqref="BA24">
    <cfRule type="expression" dxfId="879" priority="561" stopIfTrue="1">
      <formula>B24=""</formula>
    </cfRule>
  </conditionalFormatting>
  <conditionalFormatting sqref="Q23">
    <cfRule type="cellIs" dxfId="878" priority="558" stopIfTrue="1" operator="equal">
      <formula>"x"</formula>
    </cfRule>
  </conditionalFormatting>
  <conditionalFormatting sqref="Q23">
    <cfRule type="expression" dxfId="877" priority="559" stopIfTrue="1">
      <formula>B23=""</formula>
    </cfRule>
  </conditionalFormatting>
  <conditionalFormatting sqref="R23">
    <cfRule type="cellIs" dxfId="876" priority="556" stopIfTrue="1" operator="equal">
      <formula>"x"</formula>
    </cfRule>
  </conditionalFormatting>
  <conditionalFormatting sqref="R23">
    <cfRule type="expression" dxfId="875" priority="557" stopIfTrue="1">
      <formula>B23=""</formula>
    </cfRule>
  </conditionalFormatting>
  <conditionalFormatting sqref="S23">
    <cfRule type="cellIs" dxfId="874" priority="554" stopIfTrue="1" operator="equal">
      <formula>"x"</formula>
    </cfRule>
  </conditionalFormatting>
  <conditionalFormatting sqref="S23">
    <cfRule type="expression" dxfId="873" priority="555" stopIfTrue="1">
      <formula>B23=""</formula>
    </cfRule>
  </conditionalFormatting>
  <conditionalFormatting sqref="T23">
    <cfRule type="cellIs" dxfId="872" priority="552" stopIfTrue="1" operator="equal">
      <formula>"x"</formula>
    </cfRule>
  </conditionalFormatting>
  <conditionalFormatting sqref="T23">
    <cfRule type="expression" dxfId="871" priority="553" stopIfTrue="1">
      <formula>B23=""</formula>
    </cfRule>
  </conditionalFormatting>
  <conditionalFormatting sqref="U23">
    <cfRule type="cellIs" dxfId="870" priority="550" stopIfTrue="1" operator="equal">
      <formula>"x"</formula>
    </cfRule>
  </conditionalFormatting>
  <conditionalFormatting sqref="U23">
    <cfRule type="expression" dxfId="869" priority="551" stopIfTrue="1">
      <formula>B23=""</formula>
    </cfRule>
  </conditionalFormatting>
  <conditionalFormatting sqref="V23">
    <cfRule type="cellIs" dxfId="868" priority="548" stopIfTrue="1" operator="equal">
      <formula>"x"</formula>
    </cfRule>
  </conditionalFormatting>
  <conditionalFormatting sqref="V23">
    <cfRule type="expression" dxfId="867" priority="549" stopIfTrue="1">
      <formula>B23=""</formula>
    </cfRule>
  </conditionalFormatting>
  <conditionalFormatting sqref="W23">
    <cfRule type="cellIs" dxfId="866" priority="546" stopIfTrue="1" operator="equal">
      <formula>"x"</formula>
    </cfRule>
  </conditionalFormatting>
  <conditionalFormatting sqref="W23">
    <cfRule type="expression" dxfId="865" priority="547" stopIfTrue="1">
      <formula>B23=""</formula>
    </cfRule>
  </conditionalFormatting>
  <conditionalFormatting sqref="X23">
    <cfRule type="cellIs" dxfId="864" priority="544" stopIfTrue="1" operator="equal">
      <formula>"x"</formula>
    </cfRule>
  </conditionalFormatting>
  <conditionalFormatting sqref="X23">
    <cfRule type="expression" dxfId="863" priority="545" stopIfTrue="1">
      <formula>B23=""</formula>
    </cfRule>
  </conditionalFormatting>
  <conditionalFormatting sqref="Y23">
    <cfRule type="cellIs" dxfId="862" priority="542" stopIfTrue="1" operator="equal">
      <formula>"x"</formula>
    </cfRule>
  </conditionalFormatting>
  <conditionalFormatting sqref="Y23">
    <cfRule type="expression" dxfId="861" priority="543" stopIfTrue="1">
      <formula>B23=""</formula>
    </cfRule>
  </conditionalFormatting>
  <conditionalFormatting sqref="Z23">
    <cfRule type="cellIs" dxfId="860" priority="540" stopIfTrue="1" operator="equal">
      <formula>"x"</formula>
    </cfRule>
  </conditionalFormatting>
  <conditionalFormatting sqref="Z23">
    <cfRule type="expression" dxfId="859" priority="541" stopIfTrue="1">
      <formula>B23=""</formula>
    </cfRule>
  </conditionalFormatting>
  <conditionalFormatting sqref="AA23">
    <cfRule type="cellIs" dxfId="858" priority="538" stopIfTrue="1" operator="equal">
      <formula>"x"</formula>
    </cfRule>
  </conditionalFormatting>
  <conditionalFormatting sqref="AA23">
    <cfRule type="expression" dxfId="857" priority="539" stopIfTrue="1">
      <formula>B23=""</formula>
    </cfRule>
  </conditionalFormatting>
  <conditionalFormatting sqref="AB23">
    <cfRule type="cellIs" dxfId="856" priority="536" stopIfTrue="1" operator="equal">
      <formula>"x"</formula>
    </cfRule>
  </conditionalFormatting>
  <conditionalFormatting sqref="AB23">
    <cfRule type="expression" dxfId="855" priority="537" stopIfTrue="1">
      <formula>B23=""</formula>
    </cfRule>
  </conditionalFormatting>
  <conditionalFormatting sqref="AC23">
    <cfRule type="cellIs" dxfId="854" priority="534" stopIfTrue="1" operator="equal">
      <formula>"x"</formula>
    </cfRule>
  </conditionalFormatting>
  <conditionalFormatting sqref="AC23">
    <cfRule type="expression" dxfId="853" priority="535" stopIfTrue="1">
      <formula>B23=""</formula>
    </cfRule>
  </conditionalFormatting>
  <conditionalFormatting sqref="AD23">
    <cfRule type="cellIs" dxfId="852" priority="532" stopIfTrue="1" operator="equal">
      <formula>"x"</formula>
    </cfRule>
  </conditionalFormatting>
  <conditionalFormatting sqref="AD23">
    <cfRule type="expression" dxfId="851" priority="533" stopIfTrue="1">
      <formula>B23=""</formula>
    </cfRule>
  </conditionalFormatting>
  <conditionalFormatting sqref="AE23">
    <cfRule type="cellIs" dxfId="850" priority="530" stopIfTrue="1" operator="equal">
      <formula>"x"</formula>
    </cfRule>
  </conditionalFormatting>
  <conditionalFormatting sqref="AE23">
    <cfRule type="expression" dxfId="849" priority="531" stopIfTrue="1">
      <formula>B23=""</formula>
    </cfRule>
  </conditionalFormatting>
  <conditionalFormatting sqref="AF23">
    <cfRule type="cellIs" dxfId="848" priority="528" stopIfTrue="1" operator="equal">
      <formula>"x"</formula>
    </cfRule>
  </conditionalFormatting>
  <conditionalFormatting sqref="AF23">
    <cfRule type="expression" dxfId="847" priority="529" stopIfTrue="1">
      <formula>B23=""</formula>
    </cfRule>
  </conditionalFormatting>
  <conditionalFormatting sqref="AG23">
    <cfRule type="cellIs" dxfId="846" priority="526" stopIfTrue="1" operator="equal">
      <formula>"x"</formula>
    </cfRule>
  </conditionalFormatting>
  <conditionalFormatting sqref="AG23">
    <cfRule type="expression" dxfId="845" priority="527" stopIfTrue="1">
      <formula>B23=""</formula>
    </cfRule>
  </conditionalFormatting>
  <conditionalFormatting sqref="AH23">
    <cfRule type="cellIs" dxfId="844" priority="524" stopIfTrue="1" operator="equal">
      <formula>"x"</formula>
    </cfRule>
  </conditionalFormatting>
  <conditionalFormatting sqref="AH23">
    <cfRule type="expression" dxfId="843" priority="525" stopIfTrue="1">
      <formula>B23=""</formula>
    </cfRule>
  </conditionalFormatting>
  <conditionalFormatting sqref="AI23">
    <cfRule type="cellIs" dxfId="842" priority="522" stopIfTrue="1" operator="equal">
      <formula>"x"</formula>
    </cfRule>
  </conditionalFormatting>
  <conditionalFormatting sqref="AI23">
    <cfRule type="expression" dxfId="841" priority="523" stopIfTrue="1">
      <formula>B23=""</formula>
    </cfRule>
  </conditionalFormatting>
  <conditionalFormatting sqref="AJ23">
    <cfRule type="cellIs" dxfId="840" priority="520" stopIfTrue="1" operator="equal">
      <formula>"x"</formula>
    </cfRule>
  </conditionalFormatting>
  <conditionalFormatting sqref="AJ23">
    <cfRule type="expression" dxfId="839" priority="521" stopIfTrue="1">
      <formula>B23=""</formula>
    </cfRule>
  </conditionalFormatting>
  <conditionalFormatting sqref="AK23">
    <cfRule type="cellIs" dxfId="838" priority="518" stopIfTrue="1" operator="equal">
      <formula>"x"</formula>
    </cfRule>
  </conditionalFormatting>
  <conditionalFormatting sqref="AK23">
    <cfRule type="expression" dxfId="837" priority="519" stopIfTrue="1">
      <formula>B23=""</formula>
    </cfRule>
  </conditionalFormatting>
  <conditionalFormatting sqref="AL23">
    <cfRule type="cellIs" dxfId="836" priority="516" stopIfTrue="1" operator="equal">
      <formula>"x"</formula>
    </cfRule>
  </conditionalFormatting>
  <conditionalFormatting sqref="AL23">
    <cfRule type="expression" dxfId="835" priority="517" stopIfTrue="1">
      <formula>B23=""</formula>
    </cfRule>
  </conditionalFormatting>
  <conditionalFormatting sqref="AM23">
    <cfRule type="cellIs" dxfId="834" priority="514" stopIfTrue="1" operator="equal">
      <formula>"x"</formula>
    </cfRule>
  </conditionalFormatting>
  <conditionalFormatting sqref="AM23">
    <cfRule type="expression" dxfId="833" priority="515" stopIfTrue="1">
      <formula>B23=""</formula>
    </cfRule>
  </conditionalFormatting>
  <conditionalFormatting sqref="AN23">
    <cfRule type="cellIs" dxfId="832" priority="512" stopIfTrue="1" operator="equal">
      <formula>"x"</formula>
    </cfRule>
  </conditionalFormatting>
  <conditionalFormatting sqref="AN23">
    <cfRule type="expression" dxfId="831" priority="513" stopIfTrue="1">
      <formula>B23=""</formula>
    </cfRule>
  </conditionalFormatting>
  <conditionalFormatting sqref="AO23">
    <cfRule type="cellIs" dxfId="830" priority="510" stopIfTrue="1" operator="equal">
      <formula>"x"</formula>
    </cfRule>
  </conditionalFormatting>
  <conditionalFormatting sqref="AO23">
    <cfRule type="expression" dxfId="829" priority="511" stopIfTrue="1">
      <formula>B23=""</formula>
    </cfRule>
  </conditionalFormatting>
  <conditionalFormatting sqref="AP23">
    <cfRule type="cellIs" dxfId="828" priority="508" stopIfTrue="1" operator="equal">
      <formula>"x"</formula>
    </cfRule>
  </conditionalFormatting>
  <conditionalFormatting sqref="AP23">
    <cfRule type="expression" dxfId="827" priority="509" stopIfTrue="1">
      <formula>B23=""</formula>
    </cfRule>
  </conditionalFormatting>
  <conditionalFormatting sqref="AQ23">
    <cfRule type="cellIs" dxfId="826" priority="506" stopIfTrue="1" operator="equal">
      <formula>"x"</formula>
    </cfRule>
  </conditionalFormatting>
  <conditionalFormatting sqref="AQ23">
    <cfRule type="expression" dxfId="825" priority="507" stopIfTrue="1">
      <formula>B23=""</formula>
    </cfRule>
  </conditionalFormatting>
  <conditionalFormatting sqref="AR23">
    <cfRule type="cellIs" dxfId="824" priority="504" stopIfTrue="1" operator="equal">
      <formula>"x"</formula>
    </cfRule>
  </conditionalFormatting>
  <conditionalFormatting sqref="AR23">
    <cfRule type="expression" dxfId="823" priority="505" stopIfTrue="1">
      <formula>B23=""</formula>
    </cfRule>
  </conditionalFormatting>
  <conditionalFormatting sqref="AS23">
    <cfRule type="cellIs" dxfId="822" priority="502" stopIfTrue="1" operator="equal">
      <formula>"x"</formula>
    </cfRule>
  </conditionalFormatting>
  <conditionalFormatting sqref="AS23">
    <cfRule type="expression" dxfId="821" priority="503" stopIfTrue="1">
      <formula>B23=""</formula>
    </cfRule>
  </conditionalFormatting>
  <conditionalFormatting sqref="AT23">
    <cfRule type="cellIs" dxfId="820" priority="500" stopIfTrue="1" operator="equal">
      <formula>"x"</formula>
    </cfRule>
  </conditionalFormatting>
  <conditionalFormatting sqref="AT23">
    <cfRule type="expression" dxfId="819" priority="501" stopIfTrue="1">
      <formula>B23=""</formula>
    </cfRule>
  </conditionalFormatting>
  <conditionalFormatting sqref="AU23">
    <cfRule type="cellIs" dxfId="818" priority="498" stopIfTrue="1" operator="equal">
      <formula>"x"</formula>
    </cfRule>
  </conditionalFormatting>
  <conditionalFormatting sqref="AU23">
    <cfRule type="expression" dxfId="817" priority="499" stopIfTrue="1">
      <formula>B23=""</formula>
    </cfRule>
  </conditionalFormatting>
  <conditionalFormatting sqref="AV23">
    <cfRule type="cellIs" dxfId="816" priority="496" stopIfTrue="1" operator="equal">
      <formula>"x"</formula>
    </cfRule>
  </conditionalFormatting>
  <conditionalFormatting sqref="AV23">
    <cfRule type="expression" dxfId="815" priority="497" stopIfTrue="1">
      <formula>B23=""</formula>
    </cfRule>
  </conditionalFormatting>
  <conditionalFormatting sqref="AW23">
    <cfRule type="cellIs" dxfId="814" priority="494" stopIfTrue="1" operator="equal">
      <formula>"x"</formula>
    </cfRule>
  </conditionalFormatting>
  <conditionalFormatting sqref="AW23">
    <cfRule type="expression" dxfId="813" priority="495" stopIfTrue="1">
      <formula>B23=""</formula>
    </cfRule>
  </conditionalFormatting>
  <conditionalFormatting sqref="AX23">
    <cfRule type="cellIs" dxfId="812" priority="492" stopIfTrue="1" operator="equal">
      <formula>"x"</formula>
    </cfRule>
  </conditionalFormatting>
  <conditionalFormatting sqref="AX23">
    <cfRule type="expression" dxfId="811" priority="493" stopIfTrue="1">
      <formula>B23=""</formula>
    </cfRule>
  </conditionalFormatting>
  <conditionalFormatting sqref="AY23">
    <cfRule type="cellIs" dxfId="810" priority="490" stopIfTrue="1" operator="equal">
      <formula>"x"</formula>
    </cfRule>
  </conditionalFormatting>
  <conditionalFormatting sqref="AY23">
    <cfRule type="expression" dxfId="809" priority="491" stopIfTrue="1">
      <formula>B23=""</formula>
    </cfRule>
  </conditionalFormatting>
  <conditionalFormatting sqref="AZ23">
    <cfRule type="cellIs" dxfId="808" priority="488" stopIfTrue="1" operator="equal">
      <formula>"x"</formula>
    </cfRule>
  </conditionalFormatting>
  <conditionalFormatting sqref="AZ23">
    <cfRule type="expression" dxfId="807" priority="489" stopIfTrue="1">
      <formula>B23=""</formula>
    </cfRule>
  </conditionalFormatting>
  <conditionalFormatting sqref="BA23">
    <cfRule type="cellIs" dxfId="806" priority="486" stopIfTrue="1" operator="equal">
      <formula>"x"</formula>
    </cfRule>
  </conditionalFormatting>
  <conditionalFormatting sqref="BA23">
    <cfRule type="expression" dxfId="805" priority="487" stopIfTrue="1">
      <formula>B23=""</formula>
    </cfRule>
  </conditionalFormatting>
  <conditionalFormatting sqref="Q22">
    <cfRule type="cellIs" dxfId="804" priority="484" stopIfTrue="1" operator="equal">
      <formula>"x"</formula>
    </cfRule>
  </conditionalFormatting>
  <conditionalFormatting sqref="Q22">
    <cfRule type="expression" dxfId="803" priority="485" stopIfTrue="1">
      <formula>B22=""</formula>
    </cfRule>
  </conditionalFormatting>
  <conditionalFormatting sqref="R22">
    <cfRule type="cellIs" dxfId="802" priority="482" stopIfTrue="1" operator="equal">
      <formula>"x"</formula>
    </cfRule>
  </conditionalFormatting>
  <conditionalFormatting sqref="R22">
    <cfRule type="expression" dxfId="801" priority="483" stopIfTrue="1">
      <formula>B22=""</formula>
    </cfRule>
  </conditionalFormatting>
  <conditionalFormatting sqref="S22">
    <cfRule type="cellIs" dxfId="800" priority="480" stopIfTrue="1" operator="equal">
      <formula>"x"</formula>
    </cfRule>
  </conditionalFormatting>
  <conditionalFormatting sqref="S22">
    <cfRule type="expression" dxfId="799" priority="481" stopIfTrue="1">
      <formula>B22=""</formula>
    </cfRule>
  </conditionalFormatting>
  <conditionalFormatting sqref="T22">
    <cfRule type="cellIs" dxfId="798" priority="478" stopIfTrue="1" operator="equal">
      <formula>"x"</formula>
    </cfRule>
  </conditionalFormatting>
  <conditionalFormatting sqref="T22">
    <cfRule type="expression" dxfId="797" priority="479" stopIfTrue="1">
      <formula>B22=""</formula>
    </cfRule>
  </conditionalFormatting>
  <conditionalFormatting sqref="U22">
    <cfRule type="cellIs" dxfId="796" priority="476" stopIfTrue="1" operator="equal">
      <formula>"x"</formula>
    </cfRule>
  </conditionalFormatting>
  <conditionalFormatting sqref="U22">
    <cfRule type="expression" dxfId="795" priority="477" stopIfTrue="1">
      <formula>B22=""</formula>
    </cfRule>
  </conditionalFormatting>
  <conditionalFormatting sqref="V22">
    <cfRule type="cellIs" dxfId="794" priority="474" stopIfTrue="1" operator="equal">
      <formula>"x"</formula>
    </cfRule>
  </conditionalFormatting>
  <conditionalFormatting sqref="V22">
    <cfRule type="expression" dxfId="793" priority="475" stopIfTrue="1">
      <formula>B22=""</formula>
    </cfRule>
  </conditionalFormatting>
  <conditionalFormatting sqref="W22">
    <cfRule type="cellIs" dxfId="792" priority="472" stopIfTrue="1" operator="equal">
      <formula>"x"</formula>
    </cfRule>
  </conditionalFormatting>
  <conditionalFormatting sqref="W22">
    <cfRule type="expression" dxfId="791" priority="473" stopIfTrue="1">
      <formula>B22=""</formula>
    </cfRule>
  </conditionalFormatting>
  <conditionalFormatting sqref="X22">
    <cfRule type="cellIs" dxfId="790" priority="470" stopIfTrue="1" operator="equal">
      <formula>"x"</formula>
    </cfRule>
  </conditionalFormatting>
  <conditionalFormatting sqref="X22">
    <cfRule type="expression" dxfId="789" priority="471" stopIfTrue="1">
      <formula>B22=""</formula>
    </cfRule>
  </conditionalFormatting>
  <conditionalFormatting sqref="Y22">
    <cfRule type="cellIs" dxfId="788" priority="468" stopIfTrue="1" operator="equal">
      <formula>"x"</formula>
    </cfRule>
  </conditionalFormatting>
  <conditionalFormatting sqref="Y22">
    <cfRule type="expression" dxfId="787" priority="469" stopIfTrue="1">
      <formula>B22=""</formula>
    </cfRule>
  </conditionalFormatting>
  <conditionalFormatting sqref="Z22">
    <cfRule type="cellIs" dxfId="786" priority="466" stopIfTrue="1" operator="equal">
      <formula>"x"</formula>
    </cfRule>
  </conditionalFormatting>
  <conditionalFormatting sqref="Z22">
    <cfRule type="expression" dxfId="785" priority="467" stopIfTrue="1">
      <formula>B22=""</formula>
    </cfRule>
  </conditionalFormatting>
  <conditionalFormatting sqref="AA22">
    <cfRule type="cellIs" dxfId="784" priority="464" stopIfTrue="1" operator="equal">
      <formula>"x"</formula>
    </cfRule>
  </conditionalFormatting>
  <conditionalFormatting sqref="AA22">
    <cfRule type="expression" dxfId="783" priority="465" stopIfTrue="1">
      <formula>B22=""</formula>
    </cfRule>
  </conditionalFormatting>
  <conditionalFormatting sqref="AB22">
    <cfRule type="cellIs" dxfId="782" priority="462" stopIfTrue="1" operator="equal">
      <formula>"x"</formula>
    </cfRule>
  </conditionalFormatting>
  <conditionalFormatting sqref="AB22">
    <cfRule type="expression" dxfId="781" priority="463" stopIfTrue="1">
      <formula>B22=""</formula>
    </cfRule>
  </conditionalFormatting>
  <conditionalFormatting sqref="AC22">
    <cfRule type="cellIs" dxfId="780" priority="460" stopIfTrue="1" operator="equal">
      <formula>"x"</formula>
    </cfRule>
  </conditionalFormatting>
  <conditionalFormatting sqref="AC22">
    <cfRule type="expression" dxfId="779" priority="461" stopIfTrue="1">
      <formula>B22=""</formula>
    </cfRule>
  </conditionalFormatting>
  <conditionalFormatting sqref="AD22">
    <cfRule type="cellIs" dxfId="778" priority="458" stopIfTrue="1" operator="equal">
      <formula>"x"</formula>
    </cfRule>
  </conditionalFormatting>
  <conditionalFormatting sqref="AD22">
    <cfRule type="expression" dxfId="777" priority="459" stopIfTrue="1">
      <formula>B22=""</formula>
    </cfRule>
  </conditionalFormatting>
  <conditionalFormatting sqref="AE22">
    <cfRule type="cellIs" dxfId="776" priority="456" stopIfTrue="1" operator="equal">
      <formula>"x"</formula>
    </cfRule>
  </conditionalFormatting>
  <conditionalFormatting sqref="AE22">
    <cfRule type="expression" dxfId="775" priority="457" stopIfTrue="1">
      <formula>B22=""</formula>
    </cfRule>
  </conditionalFormatting>
  <conditionalFormatting sqref="AF22">
    <cfRule type="cellIs" dxfId="774" priority="454" stopIfTrue="1" operator="equal">
      <formula>"x"</formula>
    </cfRule>
  </conditionalFormatting>
  <conditionalFormatting sqref="AF22">
    <cfRule type="expression" dxfId="773" priority="455" stopIfTrue="1">
      <formula>B22=""</formula>
    </cfRule>
  </conditionalFormatting>
  <conditionalFormatting sqref="AG22">
    <cfRule type="cellIs" dxfId="772" priority="452" stopIfTrue="1" operator="equal">
      <formula>"x"</formula>
    </cfRule>
  </conditionalFormatting>
  <conditionalFormatting sqref="AG22">
    <cfRule type="expression" dxfId="771" priority="453" stopIfTrue="1">
      <formula>B22=""</formula>
    </cfRule>
  </conditionalFormatting>
  <conditionalFormatting sqref="AH22">
    <cfRule type="cellIs" dxfId="770" priority="450" stopIfTrue="1" operator="equal">
      <formula>"x"</formula>
    </cfRule>
  </conditionalFormatting>
  <conditionalFormatting sqref="AH22">
    <cfRule type="expression" dxfId="769" priority="451" stopIfTrue="1">
      <formula>B22=""</formula>
    </cfRule>
  </conditionalFormatting>
  <conditionalFormatting sqref="AI22">
    <cfRule type="cellIs" dxfId="768" priority="448" stopIfTrue="1" operator="equal">
      <formula>"x"</formula>
    </cfRule>
  </conditionalFormatting>
  <conditionalFormatting sqref="AI22">
    <cfRule type="expression" dxfId="767" priority="449" stopIfTrue="1">
      <formula>B22=""</formula>
    </cfRule>
  </conditionalFormatting>
  <conditionalFormatting sqref="AJ22">
    <cfRule type="cellIs" dxfId="766" priority="446" stopIfTrue="1" operator="equal">
      <formula>"x"</formula>
    </cfRule>
  </conditionalFormatting>
  <conditionalFormatting sqref="AJ22">
    <cfRule type="expression" dxfId="765" priority="447" stopIfTrue="1">
      <formula>B22=""</formula>
    </cfRule>
  </conditionalFormatting>
  <conditionalFormatting sqref="AK22">
    <cfRule type="cellIs" dxfId="764" priority="444" stopIfTrue="1" operator="equal">
      <formula>"x"</formula>
    </cfRule>
  </conditionalFormatting>
  <conditionalFormatting sqref="AK22">
    <cfRule type="expression" dxfId="763" priority="445" stopIfTrue="1">
      <formula>B22=""</formula>
    </cfRule>
  </conditionalFormatting>
  <conditionalFormatting sqref="AL22">
    <cfRule type="cellIs" dxfId="762" priority="442" stopIfTrue="1" operator="equal">
      <formula>"x"</formula>
    </cfRule>
  </conditionalFormatting>
  <conditionalFormatting sqref="AL22">
    <cfRule type="expression" dxfId="761" priority="443" stopIfTrue="1">
      <formula>B22=""</formula>
    </cfRule>
  </conditionalFormatting>
  <conditionalFormatting sqref="AM22">
    <cfRule type="cellIs" dxfId="760" priority="440" stopIfTrue="1" operator="equal">
      <formula>"x"</formula>
    </cfRule>
  </conditionalFormatting>
  <conditionalFormatting sqref="AM22">
    <cfRule type="expression" dxfId="759" priority="441" stopIfTrue="1">
      <formula>B22=""</formula>
    </cfRule>
  </conditionalFormatting>
  <conditionalFormatting sqref="AN22">
    <cfRule type="cellIs" dxfId="758" priority="438" stopIfTrue="1" operator="equal">
      <formula>"x"</formula>
    </cfRule>
  </conditionalFormatting>
  <conditionalFormatting sqref="AN22">
    <cfRule type="expression" dxfId="757" priority="439" stopIfTrue="1">
      <formula>B22=""</formula>
    </cfRule>
  </conditionalFormatting>
  <conditionalFormatting sqref="AO22">
    <cfRule type="cellIs" dxfId="756" priority="436" stopIfTrue="1" operator="equal">
      <formula>"x"</formula>
    </cfRule>
  </conditionalFormatting>
  <conditionalFormatting sqref="AO22">
    <cfRule type="expression" dxfId="755" priority="437" stopIfTrue="1">
      <formula>B22=""</formula>
    </cfRule>
  </conditionalFormatting>
  <conditionalFormatting sqref="AP22">
    <cfRule type="cellIs" dxfId="754" priority="434" stopIfTrue="1" operator="equal">
      <formula>"x"</formula>
    </cfRule>
  </conditionalFormatting>
  <conditionalFormatting sqref="AP22">
    <cfRule type="expression" dxfId="753" priority="435" stopIfTrue="1">
      <formula>B22=""</formula>
    </cfRule>
  </conditionalFormatting>
  <conditionalFormatting sqref="AQ22">
    <cfRule type="cellIs" dxfId="752" priority="432" stopIfTrue="1" operator="equal">
      <formula>"x"</formula>
    </cfRule>
  </conditionalFormatting>
  <conditionalFormatting sqref="AQ22">
    <cfRule type="expression" dxfId="751" priority="433" stopIfTrue="1">
      <formula>B22=""</formula>
    </cfRule>
  </conditionalFormatting>
  <conditionalFormatting sqref="AR22">
    <cfRule type="cellIs" dxfId="750" priority="430" stopIfTrue="1" operator="equal">
      <formula>"x"</formula>
    </cfRule>
  </conditionalFormatting>
  <conditionalFormatting sqref="AR22">
    <cfRule type="expression" dxfId="749" priority="431" stopIfTrue="1">
      <formula>B22=""</formula>
    </cfRule>
  </conditionalFormatting>
  <conditionalFormatting sqref="AS22">
    <cfRule type="cellIs" dxfId="748" priority="428" stopIfTrue="1" operator="equal">
      <formula>"x"</formula>
    </cfRule>
  </conditionalFormatting>
  <conditionalFormatting sqref="AS22">
    <cfRule type="expression" dxfId="747" priority="429" stopIfTrue="1">
      <formula>B22=""</formula>
    </cfRule>
  </conditionalFormatting>
  <conditionalFormatting sqref="AT22">
    <cfRule type="cellIs" dxfId="746" priority="426" stopIfTrue="1" operator="equal">
      <formula>"x"</formula>
    </cfRule>
  </conditionalFormatting>
  <conditionalFormatting sqref="AT22">
    <cfRule type="expression" dxfId="745" priority="427" stopIfTrue="1">
      <formula>B22=""</formula>
    </cfRule>
  </conditionalFormatting>
  <conditionalFormatting sqref="AU22">
    <cfRule type="cellIs" dxfId="744" priority="424" stopIfTrue="1" operator="equal">
      <formula>"x"</formula>
    </cfRule>
  </conditionalFormatting>
  <conditionalFormatting sqref="AU22">
    <cfRule type="expression" dxfId="743" priority="425" stopIfTrue="1">
      <formula>B22=""</formula>
    </cfRule>
  </conditionalFormatting>
  <conditionalFormatting sqref="AV22">
    <cfRule type="cellIs" dxfId="742" priority="422" stopIfTrue="1" operator="equal">
      <formula>"x"</formula>
    </cfRule>
  </conditionalFormatting>
  <conditionalFormatting sqref="AV22">
    <cfRule type="expression" dxfId="741" priority="423" stopIfTrue="1">
      <formula>B22=""</formula>
    </cfRule>
  </conditionalFormatting>
  <conditionalFormatting sqref="AW22">
    <cfRule type="cellIs" dxfId="740" priority="420" stopIfTrue="1" operator="equal">
      <formula>"x"</formula>
    </cfRule>
  </conditionalFormatting>
  <conditionalFormatting sqref="AW22">
    <cfRule type="expression" dxfId="739" priority="421" stopIfTrue="1">
      <formula>B22=""</formula>
    </cfRule>
  </conditionalFormatting>
  <conditionalFormatting sqref="AX22">
    <cfRule type="cellIs" dxfId="738" priority="418" stopIfTrue="1" operator="equal">
      <formula>"x"</formula>
    </cfRule>
  </conditionalFormatting>
  <conditionalFormatting sqref="AX22">
    <cfRule type="expression" dxfId="737" priority="419" stopIfTrue="1">
      <formula>B22=""</formula>
    </cfRule>
  </conditionalFormatting>
  <conditionalFormatting sqref="AY22">
    <cfRule type="cellIs" dxfId="736" priority="416" stopIfTrue="1" operator="equal">
      <formula>"x"</formula>
    </cfRule>
  </conditionalFormatting>
  <conditionalFormatting sqref="AY22">
    <cfRule type="expression" dxfId="735" priority="417" stopIfTrue="1">
      <formula>B22=""</formula>
    </cfRule>
  </conditionalFormatting>
  <conditionalFormatting sqref="AZ22">
    <cfRule type="cellIs" dxfId="734" priority="414" stopIfTrue="1" operator="equal">
      <formula>"x"</formula>
    </cfRule>
  </conditionalFormatting>
  <conditionalFormatting sqref="AZ22">
    <cfRule type="expression" dxfId="733" priority="415" stopIfTrue="1">
      <formula>B22=""</formula>
    </cfRule>
  </conditionalFormatting>
  <conditionalFormatting sqref="BA22">
    <cfRule type="cellIs" dxfId="732" priority="412" stopIfTrue="1" operator="equal">
      <formula>"x"</formula>
    </cfRule>
  </conditionalFormatting>
  <conditionalFormatting sqref="BA22">
    <cfRule type="expression" dxfId="731" priority="413" stopIfTrue="1">
      <formula>B22=""</formula>
    </cfRule>
  </conditionalFormatting>
  <conditionalFormatting sqref="Q45">
    <cfRule type="expression" dxfId="730" priority="409" stopIfTrue="1">
      <formula>B45=""</formula>
    </cfRule>
    <cfRule type="cellIs" dxfId="729" priority="411" stopIfTrue="1" operator="equal">
      <formula>"x"</formula>
    </cfRule>
  </conditionalFormatting>
  <conditionalFormatting sqref="R45">
    <cfRule type="expression" dxfId="728" priority="408" stopIfTrue="1">
      <formula>B45=""</formula>
    </cfRule>
    <cfRule type="cellIs" dxfId="727" priority="410" stopIfTrue="1" operator="equal">
      <formula>"x"</formula>
    </cfRule>
  </conditionalFormatting>
  <conditionalFormatting sqref="S45">
    <cfRule type="expression" dxfId="726" priority="406" stopIfTrue="1">
      <formula>B45=""</formula>
    </cfRule>
    <cfRule type="cellIs" dxfId="725" priority="407" stopIfTrue="1" operator="equal">
      <formula>"x"</formula>
    </cfRule>
  </conditionalFormatting>
  <conditionalFormatting sqref="T45">
    <cfRule type="expression" dxfId="724" priority="404" stopIfTrue="1">
      <formula>B45=""</formula>
    </cfRule>
    <cfRule type="cellIs" dxfId="723" priority="405" stopIfTrue="1" operator="equal">
      <formula>"x"</formula>
    </cfRule>
  </conditionalFormatting>
  <conditionalFormatting sqref="U45">
    <cfRule type="expression" dxfId="722" priority="402" stopIfTrue="1">
      <formula>B45=""</formula>
    </cfRule>
    <cfRule type="cellIs" dxfId="721" priority="403" stopIfTrue="1" operator="equal">
      <formula>"x"</formula>
    </cfRule>
  </conditionalFormatting>
  <conditionalFormatting sqref="V45">
    <cfRule type="expression" dxfId="720" priority="400" stopIfTrue="1">
      <formula>B45=""</formula>
    </cfRule>
    <cfRule type="cellIs" dxfId="719" priority="401" stopIfTrue="1" operator="equal">
      <formula>"x"</formula>
    </cfRule>
  </conditionalFormatting>
  <conditionalFormatting sqref="W45">
    <cfRule type="expression" dxfId="718" priority="398" stopIfTrue="1">
      <formula>B45=""</formula>
    </cfRule>
    <cfRule type="cellIs" dxfId="717" priority="399" stopIfTrue="1" operator="equal">
      <formula>"x"</formula>
    </cfRule>
  </conditionalFormatting>
  <conditionalFormatting sqref="X45">
    <cfRule type="expression" dxfId="716" priority="396" stopIfTrue="1">
      <formula>B45=""</formula>
    </cfRule>
    <cfRule type="cellIs" dxfId="715" priority="397" stopIfTrue="1" operator="equal">
      <formula>"x"</formula>
    </cfRule>
  </conditionalFormatting>
  <conditionalFormatting sqref="Y45">
    <cfRule type="expression" dxfId="714" priority="394" stopIfTrue="1">
      <formula>B45=""</formula>
    </cfRule>
    <cfRule type="cellIs" dxfId="713" priority="395" stopIfTrue="1" operator="equal">
      <formula>"x"</formula>
    </cfRule>
  </conditionalFormatting>
  <conditionalFormatting sqref="Z45">
    <cfRule type="expression" dxfId="712" priority="392" stopIfTrue="1">
      <formula>B45=""</formula>
    </cfRule>
    <cfRule type="cellIs" dxfId="711" priority="393" stopIfTrue="1" operator="equal">
      <formula>"x"</formula>
    </cfRule>
  </conditionalFormatting>
  <conditionalFormatting sqref="AA45">
    <cfRule type="expression" dxfId="710" priority="390" stopIfTrue="1">
      <formula>B45=""</formula>
    </cfRule>
    <cfRule type="cellIs" dxfId="709" priority="391" stopIfTrue="1" operator="equal">
      <formula>"x"</formula>
    </cfRule>
  </conditionalFormatting>
  <conditionalFormatting sqref="AB45">
    <cfRule type="expression" dxfId="708" priority="388" stopIfTrue="1">
      <formula>B45=""</formula>
    </cfRule>
    <cfRule type="cellIs" dxfId="707" priority="389" stopIfTrue="1" operator="equal">
      <formula>"x"</formula>
    </cfRule>
  </conditionalFormatting>
  <conditionalFormatting sqref="AC45">
    <cfRule type="expression" dxfId="706" priority="386" stopIfTrue="1">
      <formula>B45=""</formula>
    </cfRule>
    <cfRule type="cellIs" dxfId="705" priority="387" stopIfTrue="1" operator="equal">
      <formula>"x"</formula>
    </cfRule>
  </conditionalFormatting>
  <conditionalFormatting sqref="AD45">
    <cfRule type="expression" dxfId="704" priority="384" stopIfTrue="1">
      <formula>B45=""</formula>
    </cfRule>
    <cfRule type="cellIs" dxfId="703" priority="385" stopIfTrue="1" operator="equal">
      <formula>"x"</formula>
    </cfRule>
  </conditionalFormatting>
  <conditionalFormatting sqref="AE45">
    <cfRule type="expression" dxfId="702" priority="382" stopIfTrue="1">
      <formula>B45=""</formula>
    </cfRule>
    <cfRule type="cellIs" dxfId="701" priority="383" stopIfTrue="1" operator="equal">
      <formula>"x"</formula>
    </cfRule>
  </conditionalFormatting>
  <conditionalFormatting sqref="AF45">
    <cfRule type="expression" dxfId="700" priority="380" stopIfTrue="1">
      <formula>B45=""</formula>
    </cfRule>
    <cfRule type="cellIs" dxfId="699" priority="381" stopIfTrue="1" operator="equal">
      <formula>"x"</formula>
    </cfRule>
  </conditionalFormatting>
  <conditionalFormatting sqref="AG45">
    <cfRule type="expression" dxfId="698" priority="378" stopIfTrue="1">
      <formula>B45=""</formula>
    </cfRule>
    <cfRule type="cellIs" dxfId="697" priority="379" stopIfTrue="1" operator="equal">
      <formula>"x"</formula>
    </cfRule>
  </conditionalFormatting>
  <conditionalFormatting sqref="AH45">
    <cfRule type="expression" dxfId="696" priority="376" stopIfTrue="1">
      <formula>B45=""</formula>
    </cfRule>
    <cfRule type="cellIs" dxfId="695" priority="377" stopIfTrue="1" operator="equal">
      <formula>"x"</formula>
    </cfRule>
  </conditionalFormatting>
  <conditionalFormatting sqref="AI45">
    <cfRule type="expression" dxfId="694" priority="374" stopIfTrue="1">
      <formula>B45=""</formula>
    </cfRule>
    <cfRule type="cellIs" dxfId="693" priority="375" stopIfTrue="1" operator="equal">
      <formula>"x"</formula>
    </cfRule>
  </conditionalFormatting>
  <conditionalFormatting sqref="AJ45">
    <cfRule type="expression" dxfId="692" priority="372" stopIfTrue="1">
      <formula>B45=""</formula>
    </cfRule>
    <cfRule type="cellIs" dxfId="691" priority="373" stopIfTrue="1" operator="equal">
      <formula>"x"</formula>
    </cfRule>
  </conditionalFormatting>
  <conditionalFormatting sqref="AK45">
    <cfRule type="expression" dxfId="690" priority="370" stopIfTrue="1">
      <formula>B45=""</formula>
    </cfRule>
    <cfRule type="cellIs" dxfId="689" priority="371" stopIfTrue="1" operator="equal">
      <formula>"x"</formula>
    </cfRule>
  </conditionalFormatting>
  <conditionalFormatting sqref="AL45">
    <cfRule type="expression" dxfId="688" priority="368" stopIfTrue="1">
      <formula>B45=""</formula>
    </cfRule>
    <cfRule type="cellIs" dxfId="687" priority="369" stopIfTrue="1" operator="equal">
      <formula>"x"</formula>
    </cfRule>
  </conditionalFormatting>
  <conditionalFormatting sqref="AM45">
    <cfRule type="expression" dxfId="686" priority="366" stopIfTrue="1">
      <formula>B45=""</formula>
    </cfRule>
    <cfRule type="cellIs" dxfId="685" priority="367" stopIfTrue="1" operator="equal">
      <formula>"x"</formula>
    </cfRule>
  </conditionalFormatting>
  <conditionalFormatting sqref="AN45">
    <cfRule type="expression" dxfId="684" priority="364" stopIfTrue="1">
      <formula>B45=""</formula>
    </cfRule>
    <cfRule type="cellIs" dxfId="683" priority="365" stopIfTrue="1" operator="equal">
      <formula>"x"</formula>
    </cfRule>
  </conditionalFormatting>
  <conditionalFormatting sqref="AO45">
    <cfRule type="expression" dxfId="682" priority="362" stopIfTrue="1">
      <formula>B45=""</formula>
    </cfRule>
    <cfRule type="cellIs" dxfId="681" priority="363" stopIfTrue="1" operator="equal">
      <formula>"x"</formula>
    </cfRule>
  </conditionalFormatting>
  <conditionalFormatting sqref="AP45">
    <cfRule type="expression" dxfId="680" priority="360" stopIfTrue="1">
      <formula>B45=""</formula>
    </cfRule>
    <cfRule type="cellIs" dxfId="679" priority="361" stopIfTrue="1" operator="equal">
      <formula>"x"</formula>
    </cfRule>
  </conditionalFormatting>
  <conditionalFormatting sqref="AQ45">
    <cfRule type="expression" dxfId="678" priority="358" stopIfTrue="1">
      <formula>B45=""</formula>
    </cfRule>
    <cfRule type="cellIs" dxfId="677" priority="359" stopIfTrue="1" operator="equal">
      <formula>"x"</formula>
    </cfRule>
  </conditionalFormatting>
  <conditionalFormatting sqref="AR45">
    <cfRule type="expression" dxfId="676" priority="356" stopIfTrue="1">
      <formula>B45=""</formula>
    </cfRule>
    <cfRule type="cellIs" dxfId="675" priority="357" stopIfTrue="1" operator="equal">
      <formula>"x"</formula>
    </cfRule>
  </conditionalFormatting>
  <conditionalFormatting sqref="AS45">
    <cfRule type="expression" dxfId="674" priority="354" stopIfTrue="1">
      <formula>B45=""</formula>
    </cfRule>
    <cfRule type="cellIs" dxfId="673" priority="355" stopIfTrue="1" operator="equal">
      <formula>"x"</formula>
    </cfRule>
  </conditionalFormatting>
  <conditionalFormatting sqref="AT45">
    <cfRule type="expression" dxfId="672" priority="352" stopIfTrue="1">
      <formula>B45=""</formula>
    </cfRule>
    <cfRule type="cellIs" dxfId="671" priority="353" stopIfTrue="1" operator="equal">
      <formula>"x"</formula>
    </cfRule>
  </conditionalFormatting>
  <conditionalFormatting sqref="AU45">
    <cfRule type="expression" dxfId="670" priority="350" stopIfTrue="1">
      <formula>B45=""</formula>
    </cfRule>
    <cfRule type="cellIs" dxfId="669" priority="351" stopIfTrue="1" operator="equal">
      <formula>"x"</formula>
    </cfRule>
  </conditionalFormatting>
  <conditionalFormatting sqref="AV45">
    <cfRule type="expression" dxfId="668" priority="348" stopIfTrue="1">
      <formula>B45=""</formula>
    </cfRule>
    <cfRule type="cellIs" dxfId="667" priority="349" stopIfTrue="1" operator="equal">
      <formula>"x"</formula>
    </cfRule>
  </conditionalFormatting>
  <conditionalFormatting sqref="AW45">
    <cfRule type="expression" dxfId="666" priority="346" stopIfTrue="1">
      <formula>B45=""</formula>
    </cfRule>
    <cfRule type="cellIs" dxfId="665" priority="347" stopIfTrue="1" operator="equal">
      <formula>"x"</formula>
    </cfRule>
  </conditionalFormatting>
  <conditionalFormatting sqref="AX45">
    <cfRule type="expression" dxfId="664" priority="344" stopIfTrue="1">
      <formula>B45=""</formula>
    </cfRule>
    <cfRule type="cellIs" dxfId="663" priority="345" stopIfTrue="1" operator="equal">
      <formula>"x"</formula>
    </cfRule>
  </conditionalFormatting>
  <conditionalFormatting sqref="AY45">
    <cfRule type="expression" dxfId="662" priority="342" stopIfTrue="1">
      <formula>B45=""</formula>
    </cfRule>
    <cfRule type="cellIs" dxfId="661" priority="343" stopIfTrue="1" operator="equal">
      <formula>"x"</formula>
    </cfRule>
  </conditionalFormatting>
  <conditionalFormatting sqref="AZ45">
    <cfRule type="expression" dxfId="660" priority="340" stopIfTrue="1">
      <formula>B45=""</formula>
    </cfRule>
    <cfRule type="cellIs" dxfId="659" priority="341" stopIfTrue="1" operator="equal">
      <formula>"x"</formula>
    </cfRule>
  </conditionalFormatting>
  <conditionalFormatting sqref="BA45">
    <cfRule type="expression" dxfId="658" priority="338" stopIfTrue="1">
      <formula>B45=""</formula>
    </cfRule>
    <cfRule type="cellIs" dxfId="657" priority="339" stopIfTrue="1" operator="equal">
      <formula>"x"</formula>
    </cfRule>
  </conditionalFormatting>
  <conditionalFormatting sqref="Q39">
    <cfRule type="expression" dxfId="656" priority="335" stopIfTrue="1">
      <formula>B39=""</formula>
    </cfRule>
    <cfRule type="cellIs" dxfId="655" priority="337" stopIfTrue="1" operator="equal">
      <formula>"x"</formula>
    </cfRule>
  </conditionalFormatting>
  <conditionalFormatting sqref="R39">
    <cfRule type="expression" dxfId="654" priority="334" stopIfTrue="1">
      <formula>B39=""</formula>
    </cfRule>
    <cfRule type="cellIs" dxfId="653" priority="336" stopIfTrue="1" operator="equal">
      <formula>"x"</formula>
    </cfRule>
  </conditionalFormatting>
  <conditionalFormatting sqref="S39">
    <cfRule type="expression" dxfId="652" priority="332" stopIfTrue="1">
      <formula>B39=""</formula>
    </cfRule>
    <cfRule type="cellIs" dxfId="651" priority="333" stopIfTrue="1" operator="equal">
      <formula>"x"</formula>
    </cfRule>
  </conditionalFormatting>
  <conditionalFormatting sqref="T39">
    <cfRule type="expression" dxfId="650" priority="330" stopIfTrue="1">
      <formula>B39=""</formula>
    </cfRule>
    <cfRule type="cellIs" dxfId="649" priority="331" stopIfTrue="1" operator="equal">
      <formula>"x"</formula>
    </cfRule>
  </conditionalFormatting>
  <conditionalFormatting sqref="U39">
    <cfRule type="expression" dxfId="648" priority="328" stopIfTrue="1">
      <formula>B39=""</formula>
    </cfRule>
    <cfRule type="cellIs" dxfId="647" priority="329" stopIfTrue="1" operator="equal">
      <formula>"x"</formula>
    </cfRule>
  </conditionalFormatting>
  <conditionalFormatting sqref="V39">
    <cfRule type="expression" dxfId="646" priority="326" stopIfTrue="1">
      <formula>B39=""</formula>
    </cfRule>
    <cfRule type="cellIs" dxfId="645" priority="327" stopIfTrue="1" operator="equal">
      <formula>"x"</formula>
    </cfRule>
  </conditionalFormatting>
  <conditionalFormatting sqref="W39">
    <cfRule type="expression" dxfId="644" priority="324" stopIfTrue="1">
      <formula>B39=""</formula>
    </cfRule>
    <cfRule type="cellIs" dxfId="643" priority="325" stopIfTrue="1" operator="equal">
      <formula>"x"</formula>
    </cfRule>
  </conditionalFormatting>
  <conditionalFormatting sqref="X39">
    <cfRule type="expression" dxfId="642" priority="322" stopIfTrue="1">
      <formula>B39=""</formula>
    </cfRule>
    <cfRule type="cellIs" dxfId="641" priority="323" stopIfTrue="1" operator="equal">
      <formula>"x"</formula>
    </cfRule>
  </conditionalFormatting>
  <conditionalFormatting sqref="Y39">
    <cfRule type="expression" dxfId="640" priority="320" stopIfTrue="1">
      <formula>B39=""</formula>
    </cfRule>
    <cfRule type="cellIs" dxfId="639" priority="321" stopIfTrue="1" operator="equal">
      <formula>"x"</formula>
    </cfRule>
  </conditionalFormatting>
  <conditionalFormatting sqref="Z39">
    <cfRule type="expression" dxfId="638" priority="318" stopIfTrue="1">
      <formula>B39=""</formula>
    </cfRule>
    <cfRule type="cellIs" dxfId="637" priority="319" stopIfTrue="1" operator="equal">
      <formula>"x"</formula>
    </cfRule>
  </conditionalFormatting>
  <conditionalFormatting sqref="AA39">
    <cfRule type="expression" dxfId="636" priority="316" stopIfTrue="1">
      <formula>B39=""</formula>
    </cfRule>
    <cfRule type="cellIs" dxfId="635" priority="317" stopIfTrue="1" operator="equal">
      <formula>"x"</formula>
    </cfRule>
  </conditionalFormatting>
  <conditionalFormatting sqref="AB39">
    <cfRule type="expression" dxfId="634" priority="314" stopIfTrue="1">
      <formula>B39=""</formula>
    </cfRule>
    <cfRule type="cellIs" dxfId="633" priority="315" stopIfTrue="1" operator="equal">
      <formula>"x"</formula>
    </cfRule>
  </conditionalFormatting>
  <conditionalFormatting sqref="AC39">
    <cfRule type="expression" dxfId="632" priority="312" stopIfTrue="1">
      <formula>B39=""</formula>
    </cfRule>
    <cfRule type="cellIs" dxfId="631" priority="313" stopIfTrue="1" operator="equal">
      <formula>"x"</formula>
    </cfRule>
  </conditionalFormatting>
  <conditionalFormatting sqref="AD39">
    <cfRule type="expression" dxfId="630" priority="310" stopIfTrue="1">
      <formula>B39=""</formula>
    </cfRule>
    <cfRule type="cellIs" dxfId="629" priority="311" stopIfTrue="1" operator="equal">
      <formula>"x"</formula>
    </cfRule>
  </conditionalFormatting>
  <conditionalFormatting sqref="AE39">
    <cfRule type="expression" dxfId="628" priority="308" stopIfTrue="1">
      <formula>B39=""</formula>
    </cfRule>
    <cfRule type="cellIs" dxfId="627" priority="309" stopIfTrue="1" operator="equal">
      <formula>"x"</formula>
    </cfRule>
  </conditionalFormatting>
  <conditionalFormatting sqref="AF39">
    <cfRule type="expression" dxfId="626" priority="306" stopIfTrue="1">
      <formula>B39=""</formula>
    </cfRule>
    <cfRule type="cellIs" dxfId="625" priority="307" stopIfTrue="1" operator="equal">
      <formula>"x"</formula>
    </cfRule>
  </conditionalFormatting>
  <conditionalFormatting sqref="AG39">
    <cfRule type="expression" dxfId="624" priority="304" stopIfTrue="1">
      <formula>B39=""</formula>
    </cfRule>
    <cfRule type="cellIs" dxfId="623" priority="305" stopIfTrue="1" operator="equal">
      <formula>"x"</formula>
    </cfRule>
  </conditionalFormatting>
  <conditionalFormatting sqref="AH39">
    <cfRule type="expression" dxfId="622" priority="302" stopIfTrue="1">
      <formula>B39=""</formula>
    </cfRule>
    <cfRule type="cellIs" dxfId="621" priority="303" stopIfTrue="1" operator="equal">
      <formula>"x"</formula>
    </cfRule>
  </conditionalFormatting>
  <conditionalFormatting sqref="AI39">
    <cfRule type="expression" dxfId="620" priority="300" stopIfTrue="1">
      <formula>B39=""</formula>
    </cfRule>
    <cfRule type="cellIs" dxfId="619" priority="301" stopIfTrue="1" operator="equal">
      <formula>"x"</formula>
    </cfRule>
  </conditionalFormatting>
  <conditionalFormatting sqref="AJ39">
    <cfRule type="expression" dxfId="618" priority="298" stopIfTrue="1">
      <formula>B39=""</formula>
    </cfRule>
    <cfRule type="cellIs" dxfId="617" priority="299" stopIfTrue="1" operator="equal">
      <formula>"x"</formula>
    </cfRule>
  </conditionalFormatting>
  <conditionalFormatting sqref="AK39">
    <cfRule type="expression" dxfId="616" priority="296" stopIfTrue="1">
      <formula>B39=""</formula>
    </cfRule>
    <cfRule type="cellIs" dxfId="615" priority="297" stopIfTrue="1" operator="equal">
      <formula>"x"</formula>
    </cfRule>
  </conditionalFormatting>
  <conditionalFormatting sqref="AL39">
    <cfRule type="expression" dxfId="614" priority="294" stopIfTrue="1">
      <formula>B39=""</formula>
    </cfRule>
    <cfRule type="cellIs" dxfId="613" priority="295" stopIfTrue="1" operator="equal">
      <formula>"x"</formula>
    </cfRule>
  </conditionalFormatting>
  <conditionalFormatting sqref="AM39">
    <cfRule type="expression" dxfId="612" priority="292" stopIfTrue="1">
      <formula>B39=""</formula>
    </cfRule>
    <cfRule type="cellIs" dxfId="611" priority="293" stopIfTrue="1" operator="equal">
      <formula>"x"</formula>
    </cfRule>
  </conditionalFormatting>
  <conditionalFormatting sqref="AN39">
    <cfRule type="expression" dxfId="610" priority="290" stopIfTrue="1">
      <formula>B39=""</formula>
    </cfRule>
    <cfRule type="cellIs" dxfId="609" priority="291" stopIfTrue="1" operator="equal">
      <formula>"x"</formula>
    </cfRule>
  </conditionalFormatting>
  <conditionalFormatting sqref="AO39">
    <cfRule type="expression" dxfId="608" priority="288" stopIfTrue="1">
      <formula>B39=""</formula>
    </cfRule>
    <cfRule type="cellIs" dxfId="607" priority="289" stopIfTrue="1" operator="equal">
      <formula>"x"</formula>
    </cfRule>
  </conditionalFormatting>
  <conditionalFormatting sqref="AP39">
    <cfRule type="expression" dxfId="606" priority="286" stopIfTrue="1">
      <formula>B39=""</formula>
    </cfRule>
    <cfRule type="cellIs" dxfId="605" priority="287" stopIfTrue="1" operator="equal">
      <formula>"x"</formula>
    </cfRule>
  </conditionalFormatting>
  <conditionalFormatting sqref="AQ39">
    <cfRule type="expression" dxfId="604" priority="284" stopIfTrue="1">
      <formula>B39=""</formula>
    </cfRule>
    <cfRule type="cellIs" dxfId="603" priority="285" stopIfTrue="1" operator="equal">
      <formula>"x"</formula>
    </cfRule>
  </conditionalFormatting>
  <conditionalFormatting sqref="AR39">
    <cfRule type="expression" dxfId="602" priority="282" stopIfTrue="1">
      <formula>B39=""</formula>
    </cfRule>
    <cfRule type="cellIs" dxfId="601" priority="283" stopIfTrue="1" operator="equal">
      <formula>"x"</formula>
    </cfRule>
  </conditionalFormatting>
  <conditionalFormatting sqref="AS39">
    <cfRule type="expression" dxfId="600" priority="280" stopIfTrue="1">
      <formula>B39=""</formula>
    </cfRule>
    <cfRule type="cellIs" dxfId="599" priority="281" stopIfTrue="1" operator="equal">
      <formula>"x"</formula>
    </cfRule>
  </conditionalFormatting>
  <conditionalFormatting sqref="AT39">
    <cfRule type="expression" dxfId="598" priority="278" stopIfTrue="1">
      <formula>B39=""</formula>
    </cfRule>
    <cfRule type="cellIs" dxfId="597" priority="279" stopIfTrue="1" operator="equal">
      <formula>"x"</formula>
    </cfRule>
  </conditionalFormatting>
  <conditionalFormatting sqref="AU39">
    <cfRule type="expression" dxfId="596" priority="276" stopIfTrue="1">
      <formula>B39=""</formula>
    </cfRule>
    <cfRule type="cellIs" dxfId="595" priority="277" stopIfTrue="1" operator="equal">
      <formula>"x"</formula>
    </cfRule>
  </conditionalFormatting>
  <conditionalFormatting sqref="AV39">
    <cfRule type="expression" dxfId="594" priority="274" stopIfTrue="1">
      <formula>B39=""</formula>
    </cfRule>
    <cfRule type="cellIs" dxfId="593" priority="275" stopIfTrue="1" operator="equal">
      <formula>"x"</formula>
    </cfRule>
  </conditionalFormatting>
  <conditionalFormatting sqref="AW39">
    <cfRule type="expression" dxfId="592" priority="272" stopIfTrue="1">
      <formula>B39=""</formula>
    </cfRule>
    <cfRule type="cellIs" dxfId="591" priority="273" stopIfTrue="1" operator="equal">
      <formula>"x"</formula>
    </cfRule>
  </conditionalFormatting>
  <conditionalFormatting sqref="AX39">
    <cfRule type="expression" dxfId="590" priority="270" stopIfTrue="1">
      <formula>B39=""</formula>
    </cfRule>
    <cfRule type="cellIs" dxfId="589" priority="271" stopIfTrue="1" operator="equal">
      <formula>"x"</formula>
    </cfRule>
  </conditionalFormatting>
  <conditionalFormatting sqref="AY39">
    <cfRule type="expression" dxfId="588" priority="268" stopIfTrue="1">
      <formula>B39=""</formula>
    </cfRule>
    <cfRule type="cellIs" dxfId="587" priority="269" stopIfTrue="1" operator="equal">
      <formula>"x"</formula>
    </cfRule>
  </conditionalFormatting>
  <conditionalFormatting sqref="AZ39">
    <cfRule type="expression" dxfId="586" priority="266" stopIfTrue="1">
      <formula>B39=""</formula>
    </cfRule>
    <cfRule type="cellIs" dxfId="585" priority="267" stopIfTrue="1" operator="equal">
      <formula>"x"</formula>
    </cfRule>
  </conditionalFormatting>
  <conditionalFormatting sqref="BA39">
    <cfRule type="expression" dxfId="584" priority="264" stopIfTrue="1">
      <formula>B39=""</formula>
    </cfRule>
    <cfRule type="cellIs" dxfId="583" priority="265" stopIfTrue="1" operator="equal">
      <formula>"x"</formula>
    </cfRule>
  </conditionalFormatting>
  <conditionalFormatting sqref="Q33">
    <cfRule type="expression" dxfId="582" priority="261" stopIfTrue="1">
      <formula>B33=""</formula>
    </cfRule>
    <cfRule type="cellIs" dxfId="581" priority="263" stopIfTrue="1" operator="equal">
      <formula>"x"</formula>
    </cfRule>
  </conditionalFormatting>
  <conditionalFormatting sqref="R33">
    <cfRule type="expression" dxfId="580" priority="260" stopIfTrue="1">
      <formula>B33=""</formula>
    </cfRule>
    <cfRule type="cellIs" dxfId="579" priority="262" stopIfTrue="1" operator="equal">
      <formula>"x"</formula>
    </cfRule>
  </conditionalFormatting>
  <conditionalFormatting sqref="S33">
    <cfRule type="expression" dxfId="578" priority="258" stopIfTrue="1">
      <formula>B33=""</formula>
    </cfRule>
    <cfRule type="cellIs" dxfId="577" priority="259" stopIfTrue="1" operator="equal">
      <formula>"x"</formula>
    </cfRule>
  </conditionalFormatting>
  <conditionalFormatting sqref="T33">
    <cfRule type="expression" dxfId="576" priority="256" stopIfTrue="1">
      <formula>B33=""</formula>
    </cfRule>
    <cfRule type="cellIs" dxfId="575" priority="257" stopIfTrue="1" operator="equal">
      <formula>"x"</formula>
    </cfRule>
  </conditionalFormatting>
  <conditionalFormatting sqref="U33">
    <cfRule type="expression" dxfId="574" priority="254" stopIfTrue="1">
      <formula>B33=""</formula>
    </cfRule>
    <cfRule type="cellIs" dxfId="573" priority="255" stopIfTrue="1" operator="equal">
      <formula>"x"</formula>
    </cfRule>
  </conditionalFormatting>
  <conditionalFormatting sqref="V33">
    <cfRule type="expression" dxfId="572" priority="252" stopIfTrue="1">
      <formula>B33=""</formula>
    </cfRule>
    <cfRule type="cellIs" dxfId="571" priority="253" stopIfTrue="1" operator="equal">
      <formula>"x"</formula>
    </cfRule>
  </conditionalFormatting>
  <conditionalFormatting sqref="W33">
    <cfRule type="expression" dxfId="570" priority="250" stopIfTrue="1">
      <formula>B33=""</formula>
    </cfRule>
    <cfRule type="cellIs" dxfId="569" priority="251" stopIfTrue="1" operator="equal">
      <formula>"x"</formula>
    </cfRule>
  </conditionalFormatting>
  <conditionalFormatting sqref="X33">
    <cfRule type="expression" dxfId="568" priority="248" stopIfTrue="1">
      <formula>B33=""</formula>
    </cfRule>
    <cfRule type="cellIs" dxfId="567" priority="249" stopIfTrue="1" operator="equal">
      <formula>"x"</formula>
    </cfRule>
  </conditionalFormatting>
  <conditionalFormatting sqref="Y33">
    <cfRule type="expression" dxfId="566" priority="246" stopIfTrue="1">
      <formula>B33=""</formula>
    </cfRule>
    <cfRule type="cellIs" dxfId="565" priority="247" stopIfTrue="1" operator="equal">
      <formula>"x"</formula>
    </cfRule>
  </conditionalFormatting>
  <conditionalFormatting sqref="Z33">
    <cfRule type="expression" dxfId="564" priority="244" stopIfTrue="1">
      <formula>B33=""</formula>
    </cfRule>
    <cfRule type="cellIs" dxfId="563" priority="245" stopIfTrue="1" operator="equal">
      <formula>"x"</formula>
    </cfRule>
  </conditionalFormatting>
  <conditionalFormatting sqref="AA33">
    <cfRule type="expression" dxfId="562" priority="242" stopIfTrue="1">
      <formula>B33=""</formula>
    </cfRule>
    <cfRule type="cellIs" dxfId="561" priority="243" stopIfTrue="1" operator="equal">
      <formula>"x"</formula>
    </cfRule>
  </conditionalFormatting>
  <conditionalFormatting sqref="AB33">
    <cfRule type="expression" dxfId="560" priority="240" stopIfTrue="1">
      <formula>B33=""</formula>
    </cfRule>
    <cfRule type="cellIs" dxfId="559" priority="241" stopIfTrue="1" operator="equal">
      <formula>"x"</formula>
    </cfRule>
  </conditionalFormatting>
  <conditionalFormatting sqref="AC33">
    <cfRule type="expression" dxfId="558" priority="238" stopIfTrue="1">
      <formula>B33=""</formula>
    </cfRule>
    <cfRule type="cellIs" dxfId="557" priority="239" stopIfTrue="1" operator="equal">
      <formula>"x"</formula>
    </cfRule>
  </conditionalFormatting>
  <conditionalFormatting sqref="AD33">
    <cfRule type="expression" dxfId="556" priority="236" stopIfTrue="1">
      <formula>B33=""</formula>
    </cfRule>
    <cfRule type="cellIs" dxfId="555" priority="237" stopIfTrue="1" operator="equal">
      <formula>"x"</formula>
    </cfRule>
  </conditionalFormatting>
  <conditionalFormatting sqref="AE33">
    <cfRule type="expression" dxfId="554" priority="234" stopIfTrue="1">
      <formula>B33=""</formula>
    </cfRule>
    <cfRule type="cellIs" dxfId="553" priority="235" stopIfTrue="1" operator="equal">
      <formula>"x"</formula>
    </cfRule>
  </conditionalFormatting>
  <conditionalFormatting sqref="AF33">
    <cfRule type="expression" dxfId="552" priority="232" stopIfTrue="1">
      <formula>B33=""</formula>
    </cfRule>
    <cfRule type="cellIs" dxfId="551" priority="233" stopIfTrue="1" operator="equal">
      <formula>"x"</formula>
    </cfRule>
  </conditionalFormatting>
  <conditionalFormatting sqref="AG33">
    <cfRule type="expression" dxfId="550" priority="230" stopIfTrue="1">
      <formula>B33=""</formula>
    </cfRule>
    <cfRule type="cellIs" dxfId="549" priority="231" stopIfTrue="1" operator="equal">
      <formula>"x"</formula>
    </cfRule>
  </conditionalFormatting>
  <conditionalFormatting sqref="AH33">
    <cfRule type="expression" dxfId="548" priority="228" stopIfTrue="1">
      <formula>B33=""</formula>
    </cfRule>
    <cfRule type="cellIs" dxfId="547" priority="229" stopIfTrue="1" operator="equal">
      <formula>"x"</formula>
    </cfRule>
  </conditionalFormatting>
  <conditionalFormatting sqref="AI33">
    <cfRule type="expression" dxfId="546" priority="226" stopIfTrue="1">
      <formula>B33=""</formula>
    </cfRule>
    <cfRule type="cellIs" dxfId="545" priority="227" stopIfTrue="1" operator="equal">
      <formula>"x"</formula>
    </cfRule>
  </conditionalFormatting>
  <conditionalFormatting sqref="AJ33">
    <cfRule type="expression" dxfId="544" priority="224" stopIfTrue="1">
      <formula>B33=""</formula>
    </cfRule>
    <cfRule type="cellIs" dxfId="543" priority="225" stopIfTrue="1" operator="equal">
      <formula>"x"</formula>
    </cfRule>
  </conditionalFormatting>
  <conditionalFormatting sqref="AK33">
    <cfRule type="expression" dxfId="542" priority="222" stopIfTrue="1">
      <formula>B33=""</formula>
    </cfRule>
    <cfRule type="cellIs" dxfId="541" priority="223" stopIfTrue="1" operator="equal">
      <formula>"x"</formula>
    </cfRule>
  </conditionalFormatting>
  <conditionalFormatting sqref="AL33">
    <cfRule type="expression" dxfId="540" priority="220" stopIfTrue="1">
      <formula>B33=""</formula>
    </cfRule>
    <cfRule type="cellIs" dxfId="539" priority="221" stopIfTrue="1" operator="equal">
      <formula>"x"</formula>
    </cfRule>
  </conditionalFormatting>
  <conditionalFormatting sqref="AM33">
    <cfRule type="expression" dxfId="538" priority="218" stopIfTrue="1">
      <formula>B33=""</formula>
    </cfRule>
    <cfRule type="cellIs" dxfId="537" priority="219" stopIfTrue="1" operator="equal">
      <formula>"x"</formula>
    </cfRule>
  </conditionalFormatting>
  <conditionalFormatting sqref="AN33">
    <cfRule type="expression" dxfId="536" priority="216" stopIfTrue="1">
      <formula>B33=""</formula>
    </cfRule>
    <cfRule type="cellIs" dxfId="535" priority="217" stopIfTrue="1" operator="equal">
      <formula>"x"</formula>
    </cfRule>
  </conditionalFormatting>
  <conditionalFormatting sqref="AO33">
    <cfRule type="expression" dxfId="534" priority="214" stopIfTrue="1">
      <formula>B33=""</formula>
    </cfRule>
    <cfRule type="cellIs" dxfId="533" priority="215" stopIfTrue="1" operator="equal">
      <formula>"x"</formula>
    </cfRule>
  </conditionalFormatting>
  <conditionalFormatting sqref="AP33">
    <cfRule type="expression" dxfId="532" priority="212" stopIfTrue="1">
      <formula>B33=""</formula>
    </cfRule>
    <cfRule type="cellIs" dxfId="531" priority="213" stopIfTrue="1" operator="equal">
      <formula>"x"</formula>
    </cfRule>
  </conditionalFormatting>
  <conditionalFormatting sqref="AQ33">
    <cfRule type="expression" dxfId="530" priority="210" stopIfTrue="1">
      <formula>B33=""</formula>
    </cfRule>
    <cfRule type="cellIs" dxfId="529" priority="211" stopIfTrue="1" operator="equal">
      <formula>"x"</formula>
    </cfRule>
  </conditionalFormatting>
  <conditionalFormatting sqref="AR33">
    <cfRule type="expression" dxfId="528" priority="208" stopIfTrue="1">
      <formula>B33=""</formula>
    </cfRule>
    <cfRule type="cellIs" dxfId="527" priority="209" stopIfTrue="1" operator="equal">
      <formula>"x"</formula>
    </cfRule>
  </conditionalFormatting>
  <conditionalFormatting sqref="AS33">
    <cfRule type="expression" dxfId="526" priority="206" stopIfTrue="1">
      <formula>B33=""</formula>
    </cfRule>
    <cfRule type="cellIs" dxfId="525" priority="207" stopIfTrue="1" operator="equal">
      <formula>"x"</formula>
    </cfRule>
  </conditionalFormatting>
  <conditionalFormatting sqref="AT33">
    <cfRule type="expression" dxfId="524" priority="204" stopIfTrue="1">
      <formula>B33=""</formula>
    </cfRule>
    <cfRule type="cellIs" dxfId="523" priority="205" stopIfTrue="1" operator="equal">
      <formula>"x"</formula>
    </cfRule>
  </conditionalFormatting>
  <conditionalFormatting sqref="AU33">
    <cfRule type="expression" dxfId="522" priority="202" stopIfTrue="1">
      <formula>B33=""</formula>
    </cfRule>
    <cfRule type="cellIs" dxfId="521" priority="203" stopIfTrue="1" operator="equal">
      <formula>"x"</formula>
    </cfRule>
  </conditionalFormatting>
  <conditionalFormatting sqref="AV33">
    <cfRule type="expression" dxfId="520" priority="200" stopIfTrue="1">
      <formula>B33=""</formula>
    </cfRule>
    <cfRule type="cellIs" dxfId="519" priority="201" stopIfTrue="1" operator="equal">
      <formula>"x"</formula>
    </cfRule>
  </conditionalFormatting>
  <conditionalFormatting sqref="AW33">
    <cfRule type="expression" dxfId="518" priority="198" stopIfTrue="1">
      <formula>B33=""</formula>
    </cfRule>
    <cfRule type="cellIs" dxfId="517" priority="199" stopIfTrue="1" operator="equal">
      <formula>"x"</formula>
    </cfRule>
  </conditionalFormatting>
  <conditionalFormatting sqref="AX33">
    <cfRule type="expression" dxfId="516" priority="196" stopIfTrue="1">
      <formula>B33=""</formula>
    </cfRule>
    <cfRule type="cellIs" dxfId="515" priority="197" stopIfTrue="1" operator="equal">
      <formula>"x"</formula>
    </cfRule>
  </conditionalFormatting>
  <conditionalFormatting sqref="AY33">
    <cfRule type="expression" dxfId="514" priority="194" stopIfTrue="1">
      <formula>B33=""</formula>
    </cfRule>
    <cfRule type="cellIs" dxfId="513" priority="195" stopIfTrue="1" operator="equal">
      <formula>"x"</formula>
    </cfRule>
  </conditionalFormatting>
  <conditionalFormatting sqref="AZ33">
    <cfRule type="expression" dxfId="512" priority="192" stopIfTrue="1">
      <formula>B33=""</formula>
    </cfRule>
    <cfRule type="cellIs" dxfId="511" priority="193" stopIfTrue="1" operator="equal">
      <formula>"x"</formula>
    </cfRule>
  </conditionalFormatting>
  <conditionalFormatting sqref="BA33">
    <cfRule type="expression" dxfId="510" priority="190" stopIfTrue="1">
      <formula>B33=""</formula>
    </cfRule>
    <cfRule type="cellIs" dxfId="509" priority="191" stopIfTrue="1" operator="equal">
      <formula>"x"</formula>
    </cfRule>
  </conditionalFormatting>
  <conditionalFormatting sqref="Q27">
    <cfRule type="expression" dxfId="508" priority="187" stopIfTrue="1">
      <formula>B27=""</formula>
    </cfRule>
    <cfRule type="cellIs" dxfId="507" priority="189" stopIfTrue="1" operator="equal">
      <formula>"x"</formula>
    </cfRule>
  </conditionalFormatting>
  <conditionalFormatting sqref="R27">
    <cfRule type="expression" dxfId="506" priority="186" stopIfTrue="1">
      <formula>B27=""</formula>
    </cfRule>
    <cfRule type="cellIs" dxfId="505" priority="188" stopIfTrue="1" operator="equal">
      <formula>"x"</formula>
    </cfRule>
  </conditionalFormatting>
  <conditionalFormatting sqref="S27">
    <cfRule type="expression" dxfId="504" priority="184" stopIfTrue="1">
      <formula>B27=""</formula>
    </cfRule>
    <cfRule type="cellIs" dxfId="503" priority="185" stopIfTrue="1" operator="equal">
      <formula>"x"</formula>
    </cfRule>
  </conditionalFormatting>
  <conditionalFormatting sqref="T27">
    <cfRule type="expression" dxfId="502" priority="182" stopIfTrue="1">
      <formula>B27=""</formula>
    </cfRule>
    <cfRule type="cellIs" dxfId="501" priority="183" stopIfTrue="1" operator="equal">
      <formula>"x"</formula>
    </cfRule>
  </conditionalFormatting>
  <conditionalFormatting sqref="U27">
    <cfRule type="expression" dxfId="500" priority="180" stopIfTrue="1">
      <formula>B27=""</formula>
    </cfRule>
    <cfRule type="cellIs" dxfId="499" priority="181" stopIfTrue="1" operator="equal">
      <formula>"x"</formula>
    </cfRule>
  </conditionalFormatting>
  <conditionalFormatting sqref="V27">
    <cfRule type="expression" dxfId="498" priority="178" stopIfTrue="1">
      <formula>B27=""</formula>
    </cfRule>
    <cfRule type="cellIs" dxfId="497" priority="179" stopIfTrue="1" operator="equal">
      <formula>"x"</formula>
    </cfRule>
  </conditionalFormatting>
  <conditionalFormatting sqref="W27">
    <cfRule type="expression" dxfId="496" priority="176" stopIfTrue="1">
      <formula>B27=""</formula>
    </cfRule>
    <cfRule type="cellIs" dxfId="495" priority="177" stopIfTrue="1" operator="equal">
      <formula>"x"</formula>
    </cfRule>
  </conditionalFormatting>
  <conditionalFormatting sqref="X27">
    <cfRule type="expression" dxfId="494" priority="174" stopIfTrue="1">
      <formula>B27=""</formula>
    </cfRule>
    <cfRule type="cellIs" dxfId="493" priority="175" stopIfTrue="1" operator="equal">
      <formula>"x"</formula>
    </cfRule>
  </conditionalFormatting>
  <conditionalFormatting sqref="Y27">
    <cfRule type="expression" dxfId="492" priority="172" stopIfTrue="1">
      <formula>B27=""</formula>
    </cfRule>
    <cfRule type="cellIs" dxfId="491" priority="173" stopIfTrue="1" operator="equal">
      <formula>"x"</formula>
    </cfRule>
  </conditionalFormatting>
  <conditionalFormatting sqref="Z27">
    <cfRule type="expression" dxfId="490" priority="170" stopIfTrue="1">
      <formula>B27=""</formula>
    </cfRule>
    <cfRule type="cellIs" dxfId="489" priority="171" stopIfTrue="1" operator="equal">
      <formula>"x"</formula>
    </cfRule>
  </conditionalFormatting>
  <conditionalFormatting sqref="AA27">
    <cfRule type="expression" dxfId="488" priority="168" stopIfTrue="1">
      <formula>B27=""</formula>
    </cfRule>
    <cfRule type="cellIs" dxfId="487" priority="169" stopIfTrue="1" operator="equal">
      <formula>"x"</formula>
    </cfRule>
  </conditionalFormatting>
  <conditionalFormatting sqref="AB27">
    <cfRule type="expression" dxfId="486" priority="166" stopIfTrue="1">
      <formula>B27=""</formula>
    </cfRule>
    <cfRule type="cellIs" dxfId="485" priority="167" stopIfTrue="1" operator="equal">
      <formula>"x"</formula>
    </cfRule>
  </conditionalFormatting>
  <conditionalFormatting sqref="AC27">
    <cfRule type="expression" dxfId="484" priority="164" stopIfTrue="1">
      <formula>B27=""</formula>
    </cfRule>
    <cfRule type="cellIs" dxfId="483" priority="165" stopIfTrue="1" operator="equal">
      <formula>"x"</formula>
    </cfRule>
  </conditionalFormatting>
  <conditionalFormatting sqref="AD27">
    <cfRule type="expression" dxfId="482" priority="162" stopIfTrue="1">
      <formula>B27=""</formula>
    </cfRule>
    <cfRule type="cellIs" dxfId="481" priority="163" stopIfTrue="1" operator="equal">
      <formula>"x"</formula>
    </cfRule>
  </conditionalFormatting>
  <conditionalFormatting sqref="AE27">
    <cfRule type="expression" dxfId="480" priority="160" stopIfTrue="1">
      <formula>B27=""</formula>
    </cfRule>
    <cfRule type="cellIs" dxfId="479" priority="161" stopIfTrue="1" operator="equal">
      <formula>"x"</formula>
    </cfRule>
  </conditionalFormatting>
  <conditionalFormatting sqref="AF27">
    <cfRule type="expression" dxfId="478" priority="158" stopIfTrue="1">
      <formula>B27=""</formula>
    </cfRule>
    <cfRule type="cellIs" dxfId="477" priority="159" stopIfTrue="1" operator="equal">
      <formula>"x"</formula>
    </cfRule>
  </conditionalFormatting>
  <conditionalFormatting sqref="AG27">
    <cfRule type="expression" dxfId="476" priority="156" stopIfTrue="1">
      <formula>B27=""</formula>
    </cfRule>
    <cfRule type="cellIs" dxfId="475" priority="157" stopIfTrue="1" operator="equal">
      <formula>"x"</formula>
    </cfRule>
  </conditionalFormatting>
  <conditionalFormatting sqref="AH27">
    <cfRule type="expression" dxfId="474" priority="154" stopIfTrue="1">
      <formula>B27=""</formula>
    </cfRule>
    <cfRule type="cellIs" dxfId="473" priority="155" stopIfTrue="1" operator="equal">
      <formula>"x"</formula>
    </cfRule>
  </conditionalFormatting>
  <conditionalFormatting sqref="AI27">
    <cfRule type="expression" dxfId="472" priority="152" stopIfTrue="1">
      <formula>B27=""</formula>
    </cfRule>
    <cfRule type="cellIs" dxfId="471" priority="153" stopIfTrue="1" operator="equal">
      <formula>"x"</formula>
    </cfRule>
  </conditionalFormatting>
  <conditionalFormatting sqref="AJ27">
    <cfRule type="expression" dxfId="470" priority="150" stopIfTrue="1">
      <formula>B27=""</formula>
    </cfRule>
    <cfRule type="cellIs" dxfId="469" priority="151" stopIfTrue="1" operator="equal">
      <formula>"x"</formula>
    </cfRule>
  </conditionalFormatting>
  <conditionalFormatting sqref="AK27">
    <cfRule type="expression" dxfId="468" priority="148" stopIfTrue="1">
      <formula>B27=""</formula>
    </cfRule>
    <cfRule type="cellIs" dxfId="467" priority="149" stopIfTrue="1" operator="equal">
      <formula>"x"</formula>
    </cfRule>
  </conditionalFormatting>
  <conditionalFormatting sqref="AL27">
    <cfRule type="expression" dxfId="466" priority="146" stopIfTrue="1">
      <formula>B27=""</formula>
    </cfRule>
    <cfRule type="cellIs" dxfId="465" priority="147" stopIfTrue="1" operator="equal">
      <formula>"x"</formula>
    </cfRule>
  </conditionalFormatting>
  <conditionalFormatting sqref="AM27">
    <cfRule type="expression" dxfId="464" priority="144" stopIfTrue="1">
      <formula>B27=""</formula>
    </cfRule>
    <cfRule type="cellIs" dxfId="463" priority="145" stopIfTrue="1" operator="equal">
      <formula>"x"</formula>
    </cfRule>
  </conditionalFormatting>
  <conditionalFormatting sqref="AN27">
    <cfRule type="expression" dxfId="462" priority="142" stopIfTrue="1">
      <formula>B27=""</formula>
    </cfRule>
    <cfRule type="cellIs" dxfId="461" priority="143" stopIfTrue="1" operator="equal">
      <formula>"x"</formula>
    </cfRule>
  </conditionalFormatting>
  <conditionalFormatting sqref="AO27">
    <cfRule type="expression" dxfId="460" priority="140" stopIfTrue="1">
      <formula>B27=""</formula>
    </cfRule>
    <cfRule type="cellIs" dxfId="459" priority="141" stopIfTrue="1" operator="equal">
      <formula>"x"</formula>
    </cfRule>
  </conditionalFormatting>
  <conditionalFormatting sqref="AP27">
    <cfRule type="expression" dxfId="458" priority="138" stopIfTrue="1">
      <formula>B27=""</formula>
    </cfRule>
    <cfRule type="cellIs" dxfId="457" priority="139" stopIfTrue="1" operator="equal">
      <formula>"x"</formula>
    </cfRule>
  </conditionalFormatting>
  <conditionalFormatting sqref="AQ27">
    <cfRule type="expression" dxfId="456" priority="136" stopIfTrue="1">
      <formula>B27=""</formula>
    </cfRule>
    <cfRule type="cellIs" dxfId="455" priority="137" stopIfTrue="1" operator="equal">
      <formula>"x"</formula>
    </cfRule>
  </conditionalFormatting>
  <conditionalFormatting sqref="AR27">
    <cfRule type="expression" dxfId="454" priority="134" stopIfTrue="1">
      <formula>B27=""</formula>
    </cfRule>
    <cfRule type="cellIs" dxfId="453" priority="135" stopIfTrue="1" operator="equal">
      <formula>"x"</formula>
    </cfRule>
  </conditionalFormatting>
  <conditionalFormatting sqref="AS27">
    <cfRule type="expression" dxfId="452" priority="132" stopIfTrue="1">
      <formula>B27=""</formula>
    </cfRule>
    <cfRule type="cellIs" dxfId="451" priority="133" stopIfTrue="1" operator="equal">
      <formula>"x"</formula>
    </cfRule>
  </conditionalFormatting>
  <conditionalFormatting sqref="AT27">
    <cfRule type="expression" dxfId="450" priority="130" stopIfTrue="1">
      <formula>B27=""</formula>
    </cfRule>
    <cfRule type="cellIs" dxfId="449" priority="131" stopIfTrue="1" operator="equal">
      <formula>"x"</formula>
    </cfRule>
  </conditionalFormatting>
  <conditionalFormatting sqref="AU27">
    <cfRule type="expression" dxfId="448" priority="128" stopIfTrue="1">
      <formula>B27=""</formula>
    </cfRule>
    <cfRule type="cellIs" dxfId="447" priority="129" stopIfTrue="1" operator="equal">
      <formula>"x"</formula>
    </cfRule>
  </conditionalFormatting>
  <conditionalFormatting sqref="AV27">
    <cfRule type="expression" dxfId="446" priority="126" stopIfTrue="1">
      <formula>B27=""</formula>
    </cfRule>
    <cfRule type="cellIs" dxfId="445" priority="127" stopIfTrue="1" operator="equal">
      <formula>"x"</formula>
    </cfRule>
  </conditionalFormatting>
  <conditionalFormatting sqref="AW27">
    <cfRule type="expression" dxfId="444" priority="124" stopIfTrue="1">
      <formula>B27=""</formula>
    </cfRule>
    <cfRule type="cellIs" dxfId="443" priority="125" stopIfTrue="1" operator="equal">
      <formula>"x"</formula>
    </cfRule>
  </conditionalFormatting>
  <conditionalFormatting sqref="AX27">
    <cfRule type="expression" dxfId="442" priority="122" stopIfTrue="1">
      <formula>B27=""</formula>
    </cfRule>
    <cfRule type="cellIs" dxfId="441" priority="123" stopIfTrue="1" operator="equal">
      <formula>"x"</formula>
    </cfRule>
  </conditionalFormatting>
  <conditionalFormatting sqref="AY27">
    <cfRule type="expression" dxfId="440" priority="120" stopIfTrue="1">
      <formula>B27=""</formula>
    </cfRule>
    <cfRule type="cellIs" dxfId="439" priority="121" stopIfTrue="1" operator="equal">
      <formula>"x"</formula>
    </cfRule>
  </conditionalFormatting>
  <conditionalFormatting sqref="AZ27">
    <cfRule type="expression" dxfId="438" priority="118" stopIfTrue="1">
      <formula>B27=""</formula>
    </cfRule>
    <cfRule type="cellIs" dxfId="437" priority="119" stopIfTrue="1" operator="equal">
      <formula>"x"</formula>
    </cfRule>
  </conditionalFormatting>
  <conditionalFormatting sqref="BA27">
    <cfRule type="expression" dxfId="436" priority="116" stopIfTrue="1">
      <formula>B27=""</formula>
    </cfRule>
    <cfRule type="cellIs" dxfId="435" priority="117" stopIfTrue="1" operator="equal">
      <formula>"x"</formula>
    </cfRule>
  </conditionalFormatting>
  <conditionalFormatting sqref="Q21">
    <cfRule type="expression" dxfId="434" priority="113" stopIfTrue="1">
      <formula>B21=""</formula>
    </cfRule>
    <cfRule type="cellIs" dxfId="433" priority="115" stopIfTrue="1" operator="equal">
      <formula>"x"</formula>
    </cfRule>
  </conditionalFormatting>
  <conditionalFormatting sqref="R21">
    <cfRule type="expression" dxfId="432" priority="112" stopIfTrue="1">
      <formula>B21=""</formula>
    </cfRule>
    <cfRule type="cellIs" dxfId="431" priority="114" stopIfTrue="1" operator="equal">
      <formula>"x"</formula>
    </cfRule>
  </conditionalFormatting>
  <conditionalFormatting sqref="S21">
    <cfRule type="expression" dxfId="430" priority="110" stopIfTrue="1">
      <formula>B21=""</formula>
    </cfRule>
    <cfRule type="cellIs" dxfId="429" priority="111" stopIfTrue="1" operator="equal">
      <formula>"x"</formula>
    </cfRule>
  </conditionalFormatting>
  <conditionalFormatting sqref="T21">
    <cfRule type="expression" dxfId="428" priority="108" stopIfTrue="1">
      <formula>B21=""</formula>
    </cfRule>
    <cfRule type="cellIs" dxfId="427" priority="109" stopIfTrue="1" operator="equal">
      <formula>"x"</formula>
    </cfRule>
  </conditionalFormatting>
  <conditionalFormatting sqref="U21">
    <cfRule type="expression" dxfId="426" priority="106" stopIfTrue="1">
      <formula>B21=""</formula>
    </cfRule>
    <cfRule type="cellIs" dxfId="425" priority="107" stopIfTrue="1" operator="equal">
      <formula>"x"</formula>
    </cfRule>
  </conditionalFormatting>
  <conditionalFormatting sqref="V21">
    <cfRule type="expression" dxfId="424" priority="104" stopIfTrue="1">
      <formula>B21=""</formula>
    </cfRule>
    <cfRule type="cellIs" dxfId="423" priority="105" stopIfTrue="1" operator="equal">
      <formula>"x"</formula>
    </cfRule>
  </conditionalFormatting>
  <conditionalFormatting sqref="W21">
    <cfRule type="expression" dxfId="422" priority="102" stopIfTrue="1">
      <formula>B21=""</formula>
    </cfRule>
    <cfRule type="cellIs" dxfId="421" priority="103" stopIfTrue="1" operator="equal">
      <formula>"x"</formula>
    </cfRule>
  </conditionalFormatting>
  <conditionalFormatting sqref="X21">
    <cfRule type="expression" dxfId="420" priority="100" stopIfTrue="1">
      <formula>B21=""</formula>
    </cfRule>
    <cfRule type="cellIs" dxfId="419" priority="101" stopIfTrue="1" operator="equal">
      <formula>"x"</formula>
    </cfRule>
  </conditionalFormatting>
  <conditionalFormatting sqref="Y21">
    <cfRule type="expression" dxfId="418" priority="98" stopIfTrue="1">
      <formula>B21=""</formula>
    </cfRule>
    <cfRule type="cellIs" dxfId="417" priority="99" stopIfTrue="1" operator="equal">
      <formula>"x"</formula>
    </cfRule>
  </conditionalFormatting>
  <conditionalFormatting sqref="Z21">
    <cfRule type="expression" dxfId="416" priority="96" stopIfTrue="1">
      <formula>B21=""</formula>
    </cfRule>
    <cfRule type="cellIs" dxfId="415" priority="97" stopIfTrue="1" operator="equal">
      <formula>"x"</formula>
    </cfRule>
  </conditionalFormatting>
  <conditionalFormatting sqref="AA21">
    <cfRule type="expression" dxfId="414" priority="94" stopIfTrue="1">
      <formula>B21=""</formula>
    </cfRule>
    <cfRule type="cellIs" dxfId="413" priority="95" stopIfTrue="1" operator="equal">
      <formula>"x"</formula>
    </cfRule>
  </conditionalFormatting>
  <conditionalFormatting sqref="AB21">
    <cfRule type="expression" dxfId="412" priority="92" stopIfTrue="1">
      <formula>B21=""</formula>
    </cfRule>
    <cfRule type="cellIs" dxfId="411" priority="93" stopIfTrue="1" operator="equal">
      <formula>"x"</formula>
    </cfRule>
  </conditionalFormatting>
  <conditionalFormatting sqref="AC21">
    <cfRule type="expression" dxfId="410" priority="90" stopIfTrue="1">
      <formula>B21=""</formula>
    </cfRule>
    <cfRule type="cellIs" dxfId="409" priority="91" stopIfTrue="1" operator="equal">
      <formula>"x"</formula>
    </cfRule>
  </conditionalFormatting>
  <conditionalFormatting sqref="AD21">
    <cfRule type="expression" dxfId="408" priority="88" stopIfTrue="1">
      <formula>B21=""</formula>
    </cfRule>
    <cfRule type="cellIs" dxfId="407" priority="89" stopIfTrue="1" operator="equal">
      <formula>"x"</formula>
    </cfRule>
  </conditionalFormatting>
  <conditionalFormatting sqref="AE21">
    <cfRule type="expression" dxfId="406" priority="86" stopIfTrue="1">
      <formula>B21=""</formula>
    </cfRule>
    <cfRule type="cellIs" dxfId="405" priority="87" stopIfTrue="1" operator="equal">
      <formula>"x"</formula>
    </cfRule>
  </conditionalFormatting>
  <conditionalFormatting sqref="AF21">
    <cfRule type="expression" dxfId="404" priority="84" stopIfTrue="1">
      <formula>B21=""</formula>
    </cfRule>
    <cfRule type="cellIs" dxfId="403" priority="85" stopIfTrue="1" operator="equal">
      <formula>"x"</formula>
    </cfRule>
  </conditionalFormatting>
  <conditionalFormatting sqref="AG21">
    <cfRule type="expression" dxfId="402" priority="82" stopIfTrue="1">
      <formula>B21=""</formula>
    </cfRule>
    <cfRule type="cellIs" dxfId="401" priority="83" stopIfTrue="1" operator="equal">
      <formula>"x"</formula>
    </cfRule>
  </conditionalFormatting>
  <conditionalFormatting sqref="AH21">
    <cfRule type="expression" dxfId="400" priority="80" stopIfTrue="1">
      <formula>B21=""</formula>
    </cfRule>
    <cfRule type="cellIs" dxfId="399" priority="81" stopIfTrue="1" operator="equal">
      <formula>"x"</formula>
    </cfRule>
  </conditionalFormatting>
  <conditionalFormatting sqref="AI21">
    <cfRule type="expression" dxfId="398" priority="78" stopIfTrue="1">
      <formula>B21=""</formula>
    </cfRule>
    <cfRule type="cellIs" dxfId="397" priority="79" stopIfTrue="1" operator="equal">
      <formula>"x"</formula>
    </cfRule>
  </conditionalFormatting>
  <conditionalFormatting sqref="AJ21">
    <cfRule type="expression" dxfId="396" priority="76" stopIfTrue="1">
      <formula>B21=""</formula>
    </cfRule>
    <cfRule type="cellIs" dxfId="395" priority="77" stopIfTrue="1" operator="equal">
      <formula>"x"</formula>
    </cfRule>
  </conditionalFormatting>
  <conditionalFormatting sqref="AK21">
    <cfRule type="expression" dxfId="394" priority="74" stopIfTrue="1">
      <formula>B21=""</formula>
    </cfRule>
    <cfRule type="cellIs" dxfId="393" priority="75" stopIfTrue="1" operator="equal">
      <formula>"x"</formula>
    </cfRule>
  </conditionalFormatting>
  <conditionalFormatting sqref="AL21">
    <cfRule type="expression" dxfId="392" priority="72" stopIfTrue="1">
      <formula>B21=""</formula>
    </cfRule>
    <cfRule type="cellIs" dxfId="391" priority="73" stopIfTrue="1" operator="equal">
      <formula>"x"</formula>
    </cfRule>
  </conditionalFormatting>
  <conditionalFormatting sqref="AM21">
    <cfRule type="expression" dxfId="390" priority="70" stopIfTrue="1">
      <formula>B21=""</formula>
    </cfRule>
    <cfRule type="cellIs" dxfId="389" priority="71" stopIfTrue="1" operator="equal">
      <formula>"x"</formula>
    </cfRule>
  </conditionalFormatting>
  <conditionalFormatting sqref="AN21">
    <cfRule type="expression" dxfId="388" priority="68" stopIfTrue="1">
      <formula>B21=""</formula>
    </cfRule>
    <cfRule type="cellIs" dxfId="387" priority="69" stopIfTrue="1" operator="equal">
      <formula>"x"</formula>
    </cfRule>
  </conditionalFormatting>
  <conditionalFormatting sqref="AO21">
    <cfRule type="expression" dxfId="386" priority="66" stopIfTrue="1">
      <formula>B21=""</formula>
    </cfRule>
    <cfRule type="cellIs" dxfId="385" priority="67" stopIfTrue="1" operator="equal">
      <formula>"x"</formula>
    </cfRule>
  </conditionalFormatting>
  <conditionalFormatting sqref="AP21">
    <cfRule type="expression" dxfId="384" priority="64" stopIfTrue="1">
      <formula>B21=""</formula>
    </cfRule>
    <cfRule type="cellIs" dxfId="383" priority="65" stopIfTrue="1" operator="equal">
      <formula>"x"</formula>
    </cfRule>
  </conditionalFormatting>
  <conditionalFormatting sqref="AQ21">
    <cfRule type="expression" dxfId="382" priority="62" stopIfTrue="1">
      <formula>B21=""</formula>
    </cfRule>
    <cfRule type="cellIs" dxfId="381" priority="63" stopIfTrue="1" operator="equal">
      <formula>"x"</formula>
    </cfRule>
  </conditionalFormatting>
  <conditionalFormatting sqref="AR21">
    <cfRule type="expression" dxfId="380" priority="60" stopIfTrue="1">
      <formula>B21=""</formula>
    </cfRule>
    <cfRule type="cellIs" dxfId="379" priority="61" stopIfTrue="1" operator="equal">
      <formula>"x"</formula>
    </cfRule>
  </conditionalFormatting>
  <conditionalFormatting sqref="AS21">
    <cfRule type="expression" dxfId="378" priority="58" stopIfTrue="1">
      <formula>B21=""</formula>
    </cfRule>
    <cfRule type="cellIs" dxfId="377" priority="59" stopIfTrue="1" operator="equal">
      <formula>"x"</formula>
    </cfRule>
  </conditionalFormatting>
  <conditionalFormatting sqref="AT21">
    <cfRule type="expression" dxfId="376" priority="56" stopIfTrue="1">
      <formula>B21=""</formula>
    </cfRule>
    <cfRule type="cellIs" dxfId="375" priority="57" stopIfTrue="1" operator="equal">
      <formula>"x"</formula>
    </cfRule>
  </conditionalFormatting>
  <conditionalFormatting sqref="AU21">
    <cfRule type="expression" dxfId="374" priority="54" stopIfTrue="1">
      <formula>B21=""</formula>
    </cfRule>
    <cfRule type="cellIs" dxfId="373" priority="55" stopIfTrue="1" operator="equal">
      <formula>"x"</formula>
    </cfRule>
  </conditionalFormatting>
  <conditionalFormatting sqref="AV21">
    <cfRule type="expression" dxfId="372" priority="52" stopIfTrue="1">
      <formula>B21=""</formula>
    </cfRule>
    <cfRule type="cellIs" dxfId="371" priority="53" stopIfTrue="1" operator="equal">
      <formula>"x"</formula>
    </cfRule>
  </conditionalFormatting>
  <conditionalFormatting sqref="AW21">
    <cfRule type="expression" dxfId="370" priority="50" stopIfTrue="1">
      <formula>B21=""</formula>
    </cfRule>
    <cfRule type="cellIs" dxfId="369" priority="51" stopIfTrue="1" operator="equal">
      <formula>"x"</formula>
    </cfRule>
  </conditionalFormatting>
  <conditionalFormatting sqref="AX21">
    <cfRule type="expression" dxfId="368" priority="48" stopIfTrue="1">
      <formula>B21=""</formula>
    </cfRule>
    <cfRule type="cellIs" dxfId="367" priority="49" stopIfTrue="1" operator="equal">
      <formula>"x"</formula>
    </cfRule>
  </conditionalFormatting>
  <conditionalFormatting sqref="AY21">
    <cfRule type="expression" dxfId="366" priority="46" stopIfTrue="1">
      <formula>B21=""</formula>
    </cfRule>
    <cfRule type="cellIs" dxfId="365" priority="47" stopIfTrue="1" operator="equal">
      <formula>"x"</formula>
    </cfRule>
  </conditionalFormatting>
  <conditionalFormatting sqref="AZ21">
    <cfRule type="expression" dxfId="364" priority="44" stopIfTrue="1">
      <formula>B21=""</formula>
    </cfRule>
    <cfRule type="cellIs" dxfId="363" priority="45" stopIfTrue="1" operator="equal">
      <formula>"x"</formula>
    </cfRule>
  </conditionalFormatting>
  <conditionalFormatting sqref="BA21">
    <cfRule type="expression" dxfId="362" priority="42" stopIfTrue="1">
      <formula>B21=""</formula>
    </cfRule>
    <cfRule type="cellIs" dxfId="361" priority="43" stopIfTrue="1" operator="equal">
      <formula>"x"</formula>
    </cfRule>
  </conditionalFormatting>
  <conditionalFormatting sqref="B22:O26 B46:O50 B45:M45 B21:M21 B28:O32 B27:M27 B34:O38 B33:M33 B40:O44 B39:M39">
    <cfRule type="cellIs" dxfId="360" priority="38" stopIfTrue="1" operator="equal">
      <formula>""</formula>
    </cfRule>
  </conditionalFormatting>
  <conditionalFormatting sqref="N45:O45">
    <cfRule type="cellIs" dxfId="359" priority="37" stopIfTrue="1" operator="equal">
      <formula>0</formula>
    </cfRule>
  </conditionalFormatting>
  <conditionalFormatting sqref="N39:O39 N33:O33 N27:O27 N21:O21">
    <cfRule type="cellIs" dxfId="358" priority="36" stopIfTrue="1" operator="equal">
      <formula>0</formula>
    </cfRule>
  </conditionalFormatting>
  <conditionalFormatting sqref="H73:AP74 H76:AP77 H88:AP89 H100:AP101 H112:AP113 H136:AP137 H139:AP140 H151:AP152 H163:AP164 H175:AP176 H187:AP188 H199:AP200 H202:AP203 H214:AP215 H226:AP227 H238:AP239 H250:AP251 H262:AP263 H265:AP266 H277:AP278 H289:AP290 H301:AP302 H313:AP314 H325:AP326 H328:AP329 H340:AP341 H352:AP353 H364:AP365 H376:AP377">
    <cfRule type="cellIs" dxfId="357" priority="33" operator="notEqual">
      <formula>""</formula>
    </cfRule>
  </conditionalFormatting>
  <conditionalFormatting sqref="O79:AD80 O82:AD83 O85:AD86 AL85:BA86 AL82:BA83 AL79:BA80">
    <cfRule type="expression" dxfId="356" priority="32">
      <formula>$B$76&lt;&gt;""</formula>
    </cfRule>
  </conditionalFormatting>
  <conditionalFormatting sqref="O91:AD92 O94:AD95 O97:AD98 AL97:BA98 AL94:BA95 AL91:BA92">
    <cfRule type="expression" dxfId="355" priority="31">
      <formula>$B$88&lt;&gt;""</formula>
    </cfRule>
  </conditionalFormatting>
  <conditionalFormatting sqref="O103:AD104 O106:AD107 O109:AD110 AL109:BA110 AL106:BA107 AL103:BA104">
    <cfRule type="expression" dxfId="354" priority="30">
      <formula>$B$100&lt;&gt;""</formula>
    </cfRule>
  </conditionalFormatting>
  <conditionalFormatting sqref="O118:AD119 O121:AD122 AL121:BA122 AL118:BA119 AL115:BA116">
    <cfRule type="expression" dxfId="353" priority="29">
      <formula>$B$112&lt;&gt;""</formula>
    </cfRule>
  </conditionalFormatting>
  <conditionalFormatting sqref="O145:AD146 O148:AD149 AL148:BA149 AL145:BA146 AL142:BA143">
    <cfRule type="expression" dxfId="352" priority="27">
      <formula>$B$139&lt;&gt;""</formula>
    </cfRule>
  </conditionalFormatting>
  <conditionalFormatting sqref="O160:AD161 AL160:BA161 AL157:BA158 AL154:BA155">
    <cfRule type="expression" dxfId="351" priority="26">
      <formula>$B$151&lt;&gt;""</formula>
    </cfRule>
  </conditionalFormatting>
  <conditionalFormatting sqref="O166:AD167 O169:AD170 O172:AD173 AL172:BA173 AL169:BA170 AL166:BA167">
    <cfRule type="expression" dxfId="350" priority="25">
      <formula>$B$163&lt;&gt;""</formula>
    </cfRule>
  </conditionalFormatting>
  <conditionalFormatting sqref="O178:AD179 O181:AD182 O184:AD185 AL184:BA185 AL181:BA182 AL178:BA179">
    <cfRule type="expression" dxfId="349" priority="24">
      <formula>$B$175&lt;&gt;""</formula>
    </cfRule>
  </conditionalFormatting>
  <conditionalFormatting sqref="O190:AD191 O193:AD194 O196:AD197 AL196:BA197 AL193:BA194 AL190:BA191">
    <cfRule type="expression" dxfId="348" priority="23">
      <formula>$B$187&lt;&gt;""</formula>
    </cfRule>
  </conditionalFormatting>
  <conditionalFormatting sqref="O205:AD206 O208:AD209 O211:AD212 AL211:BA212 AL208:BA209 AL205:BA206">
    <cfRule type="expression" dxfId="347" priority="22">
      <formula>$B$202&lt;&gt;""</formula>
    </cfRule>
  </conditionalFormatting>
  <conditionalFormatting sqref="O217:AD218 O220:AD221 O223:AD224 AL223:BA224 AL220:BA221 AL217:BA218">
    <cfRule type="expression" dxfId="346" priority="21">
      <formula>$B$214&lt;&gt;""</formula>
    </cfRule>
  </conditionalFormatting>
  <conditionalFormatting sqref="O229:AD230 O232:AD233 O235:AD236 AL235:BA236 AL232:BA233 AL229:BA230">
    <cfRule type="expression" dxfId="345" priority="20">
      <formula>$B$226&lt;&gt;""</formula>
    </cfRule>
  </conditionalFormatting>
  <conditionalFormatting sqref="O241:AD242 O244:AD245 O247:AD248 AL247:BA248 AL244:BA245 AL241:BA242">
    <cfRule type="expression" dxfId="344" priority="19">
      <formula>$B$238&lt;&gt;""</formula>
    </cfRule>
  </conditionalFormatting>
  <conditionalFormatting sqref="O253:AD254 O256:AD257 O259:AD260 AL259:BA260 AL256:BA257 AL253:BA254">
    <cfRule type="expression" dxfId="343" priority="18">
      <formula>$B$250&lt;&gt;""</formula>
    </cfRule>
  </conditionalFormatting>
  <conditionalFormatting sqref="O268:AD269 O271:AD272 O274:AD275 AL274:BA275 AL271:BA272 AL268:BA269">
    <cfRule type="expression" dxfId="342" priority="17">
      <formula>$B$265&lt;&gt;""</formula>
    </cfRule>
  </conditionalFormatting>
  <conditionalFormatting sqref="O280:AD281 O283:AD284 O286:AD287 AL286:BA287 AL283:BA284 AL280:BA281">
    <cfRule type="expression" dxfId="341" priority="16">
      <formula>$B$277&lt;&gt;""</formula>
    </cfRule>
  </conditionalFormatting>
  <conditionalFormatting sqref="O292:AD293 O295:AD296 O298:AD299 AL298:BA299 AL295:BA296 AL292:BA293">
    <cfRule type="expression" dxfId="340" priority="15">
      <formula>$B$289&lt;&gt;""</formula>
    </cfRule>
  </conditionalFormatting>
  <conditionalFormatting sqref="O304:AD305 O307:AD308 O310:AD311 AL310:BA311 AL307:BA308 AL304:BA305">
    <cfRule type="expression" dxfId="339" priority="14">
      <formula>$B$301&lt;&gt;""</formula>
    </cfRule>
  </conditionalFormatting>
  <conditionalFormatting sqref="O316:AD317 O319:AD320 O322:AD323 AL322:BA323 AL319:BA320 AL316:BA317">
    <cfRule type="expression" dxfId="338" priority="13">
      <formula>$B$313&lt;&gt;""</formula>
    </cfRule>
  </conditionalFormatting>
  <conditionalFormatting sqref="O331:AD332 O334:AD335 O337:AD338 AL337:BA338 AL334:BA335 AL331:BA332">
    <cfRule type="expression" dxfId="337" priority="12">
      <formula>$B$328&lt;&gt;""</formula>
    </cfRule>
  </conditionalFormatting>
  <conditionalFormatting sqref="O343:AD344 O346:AD347 O349:AD350 AL349:BA350 AL346:BA347 AL343:BA344">
    <cfRule type="expression" dxfId="336" priority="11">
      <formula>$B$340&lt;&gt;""</formula>
    </cfRule>
  </conditionalFormatting>
  <conditionalFormatting sqref="O355:AD356 O358:AD359 O361:AD362 AL361:BA362 AL358:BA359 AL355:BA356">
    <cfRule type="expression" dxfId="335" priority="10">
      <formula>$B$352&lt;&gt;""</formula>
    </cfRule>
  </conditionalFormatting>
  <conditionalFormatting sqref="O367:AD368 O370:AD371 O373:AD374 AL373:BA374 AL370:BA371 AL367:BA368">
    <cfRule type="expression" dxfId="334" priority="9">
      <formula>$B$364&lt;&gt;""</formula>
    </cfRule>
  </conditionalFormatting>
  <conditionalFormatting sqref="O379:AD380 O382:AD383 O385:AD386 AL385:BA386 AL382:BA383 AL379:BA380">
    <cfRule type="expression" dxfId="333" priority="8">
      <formula>$B$376&lt;&gt;""</formula>
    </cfRule>
  </conditionalFormatting>
  <conditionalFormatting sqref="H124:AP125">
    <cfRule type="cellIs" dxfId="332" priority="7" operator="notEqual">
      <formula>""</formula>
    </cfRule>
  </conditionalFormatting>
  <conditionalFormatting sqref="O130:AD131 O133:AD134 AL133:BA134 AL130:BA131 AL127:BA128">
    <cfRule type="expression" dxfId="331" priority="6">
      <formula>$B$124&lt;&gt;""</formula>
    </cfRule>
  </conditionalFormatting>
  <conditionalFormatting sqref="O115:AD116">
    <cfRule type="expression" dxfId="330" priority="5">
      <formula>$B$88&lt;&gt;""</formula>
    </cfRule>
  </conditionalFormatting>
  <conditionalFormatting sqref="O127:AD128">
    <cfRule type="expression" dxfId="329" priority="4">
      <formula>$B$88&lt;&gt;""</formula>
    </cfRule>
  </conditionalFormatting>
  <conditionalFormatting sqref="O142:AD143">
    <cfRule type="expression" dxfId="328" priority="3">
      <formula>$B$76&lt;&gt;""</formula>
    </cfRule>
  </conditionalFormatting>
  <conditionalFormatting sqref="O154:AD155">
    <cfRule type="expression" dxfId="327" priority="2">
      <formula>$B$76&lt;&gt;""</formula>
    </cfRule>
  </conditionalFormatting>
  <conditionalFormatting sqref="O157:AD158">
    <cfRule type="expression" dxfId="326" priority="1">
      <formula>$B$88&lt;&gt;""</formula>
    </cfRule>
  </conditionalFormatting>
  <hyperlinks>
    <hyperlink ref="B2:BA4" location="MENU!A1" display="PLANO DE TRABALHO - CRONOGRAMA" xr:uid="{5ADA2B94-9FCF-47A0-A2AE-7B6F57948C3C}"/>
    <hyperlink ref="B65:BA67" location="MENU!A1" display="PLANO DE TRABALHO - CRONOGRAMA" xr:uid="{8F2F53A0-7BBF-4C67-A137-DC6FA6FF5155}"/>
  </hyperlinks>
  <pageMargins left="0.51181102362204722" right="0.51181102362204722" top="0.78740157480314965" bottom="0.78740157480314965" header="0.31496062992125984" footer="0.31496062992125984"/>
  <pageSetup paperSize="9" orientation="portrait" r:id="rId1"/>
  <rowBreaks count="4" manualBreakCount="4">
    <brk id="135" max="53" man="1"/>
    <brk id="198" max="53" man="1"/>
    <brk id="261" max="53" man="1"/>
    <brk id="324" max="53" man="1"/>
  </rowBreaks>
  <ignoredErrors>
    <ignoredError sqref="Q27:BA50" formula="1"/>
    <ignoredError sqref="N9:U13" unlockedFormula="1"/>
    <ignoredError sqref="BF21:BG22 BF24:BG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GP4181"/>
  <sheetViews>
    <sheetView showGridLines="0" showRowColHeaders="0" topLeftCell="A370" zoomScale="115" zoomScaleNormal="115" zoomScaleSheetLayoutView="100" workbookViewId="0">
      <selection activeCell="Q392" sqref="Q392"/>
    </sheetView>
  </sheetViews>
  <sheetFormatPr defaultColWidth="0" defaultRowHeight="12.75" zeroHeight="1"/>
  <cols>
    <col min="1" max="1" width="1.7109375" style="61" customWidth="1"/>
    <col min="2" max="54" width="1.7109375" style="22" customWidth="1"/>
    <col min="55" max="111" width="1.7109375" style="74" customWidth="1"/>
    <col min="112" max="198" width="1.7109375" style="74" hidden="1" customWidth="1"/>
    <col min="199" max="16384" width="9.140625" style="74" hidden="1"/>
  </cols>
  <sheetData>
    <row r="1" spans="2:111" ht="9" customHeight="1" thickBot="1">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2:111" ht="9" customHeight="1">
      <c r="B2" s="449" t="s">
        <v>280</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50"/>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2:111" ht="9" customHeight="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2"/>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row>
    <row r="4" spans="2:111" ht="9" customHeight="1">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4"/>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row>
    <row r="5" spans="2:111" ht="9" customHeight="1">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row>
    <row r="6" spans="2:111" ht="9" customHeight="1">
      <c r="B6" s="289" t="s">
        <v>282</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90"/>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row>
    <row r="7" spans="2:111" ht="9" customHeight="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2"/>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row>
    <row r="8" spans="2:111" ht="9" customHeight="1">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row>
    <row r="9" spans="2:111" ht="9" customHeight="1">
      <c r="B9" s="226" t="s">
        <v>90</v>
      </c>
      <c r="C9" s="226"/>
      <c r="D9" s="226"/>
      <c r="E9" s="226"/>
      <c r="F9" s="226"/>
      <c r="G9" s="226"/>
      <c r="H9" s="226"/>
      <c r="I9" s="226"/>
      <c r="J9" s="226"/>
      <c r="K9" s="226"/>
      <c r="L9" s="226"/>
      <c r="M9" s="5"/>
      <c r="N9" s="461">
        <f>'(I) Plano de Trabalho'!$O$212</f>
        <v>2540648.14</v>
      </c>
      <c r="O9" s="462"/>
      <c r="P9" s="462"/>
      <c r="Q9" s="462"/>
      <c r="R9" s="462"/>
      <c r="S9" s="462"/>
      <c r="T9" s="462"/>
      <c r="U9" s="462"/>
      <c r="V9" s="462"/>
      <c r="W9" s="462"/>
      <c r="X9" s="462"/>
      <c r="Y9" s="462"/>
      <c r="Z9" s="463"/>
      <c r="AA9" s="48"/>
      <c r="AB9" s="48"/>
      <c r="AC9" s="48"/>
      <c r="AD9" s="49"/>
      <c r="AE9" s="477" t="str">
        <f>IF($N$19="","",IF(($N$22+$N$19)&lt;&gt;$N$15," O valor da soma de Despesas Correntes e de Capital está diferente do Valor Global do Projeto!!!",""))</f>
        <v/>
      </c>
      <c r="AF9" s="477"/>
      <c r="AG9" s="477"/>
      <c r="AH9" s="477"/>
      <c r="AI9" s="477"/>
      <c r="AJ9" s="477"/>
      <c r="AK9" s="477"/>
      <c r="AL9" s="477"/>
      <c r="AM9" s="477"/>
      <c r="AN9" s="477"/>
      <c r="AO9" s="477"/>
      <c r="AP9" s="477"/>
      <c r="AQ9" s="477"/>
      <c r="AR9" s="477"/>
      <c r="AS9" s="477"/>
      <c r="AT9" s="477"/>
      <c r="AU9" s="477"/>
      <c r="AV9" s="477"/>
      <c r="AW9" s="477"/>
      <c r="AX9" s="477"/>
      <c r="AY9" s="477"/>
      <c r="AZ9" s="477"/>
      <c r="BA9" s="477"/>
      <c r="BC9" s="115"/>
      <c r="BD9" s="115"/>
      <c r="BE9" s="115"/>
      <c r="BF9" s="115"/>
      <c r="BG9" s="115"/>
      <c r="BH9" s="225" t="s">
        <v>330</v>
      </c>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115"/>
    </row>
    <row r="10" spans="2:111" ht="9" customHeight="1">
      <c r="B10" s="226"/>
      <c r="C10" s="226"/>
      <c r="D10" s="226"/>
      <c r="E10" s="226"/>
      <c r="F10" s="226"/>
      <c r="G10" s="226"/>
      <c r="H10" s="226"/>
      <c r="I10" s="226"/>
      <c r="J10" s="226"/>
      <c r="K10" s="226"/>
      <c r="L10" s="226"/>
      <c r="M10" s="5"/>
      <c r="N10" s="464"/>
      <c r="O10" s="465"/>
      <c r="P10" s="465"/>
      <c r="Q10" s="465"/>
      <c r="R10" s="465"/>
      <c r="S10" s="465"/>
      <c r="T10" s="465"/>
      <c r="U10" s="465"/>
      <c r="V10" s="465"/>
      <c r="W10" s="465"/>
      <c r="X10" s="465"/>
      <c r="Y10" s="465"/>
      <c r="Z10" s="466"/>
      <c r="AA10" s="48"/>
      <c r="AB10" s="48"/>
      <c r="AC10" s="48"/>
      <c r="AD10" s="49"/>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C10" s="115"/>
      <c r="BD10" s="115"/>
      <c r="BE10" s="115"/>
      <c r="BF10" s="115"/>
      <c r="BG10" s="11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115"/>
    </row>
    <row r="11" spans="2:111" ht="4.5" customHeight="1">
      <c r="B11" s="5"/>
      <c r="C11" s="5"/>
      <c r="D11" s="5"/>
      <c r="E11" s="5"/>
      <c r="F11" s="5"/>
      <c r="G11" s="5"/>
      <c r="H11" s="5"/>
      <c r="I11" s="5"/>
      <c r="J11" s="5"/>
      <c r="K11" s="5"/>
      <c r="L11" s="5"/>
      <c r="M11" s="5"/>
      <c r="N11" s="5"/>
      <c r="O11" s="5"/>
      <c r="P11" s="5"/>
      <c r="Q11" s="5"/>
      <c r="R11" s="5"/>
      <c r="S11" s="5"/>
      <c r="T11" s="5"/>
      <c r="U11" s="5"/>
      <c r="V11" s="5"/>
      <c r="W11" s="5"/>
      <c r="X11" s="5"/>
      <c r="Y11" s="5"/>
      <c r="Z11" s="5"/>
      <c r="AA11" s="50"/>
      <c r="AB11" s="50"/>
      <c r="AC11" s="50"/>
      <c r="AD11" s="49"/>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C11" s="115"/>
      <c r="BD11" s="115"/>
      <c r="BE11" s="115"/>
      <c r="BF11" s="115"/>
      <c r="BG11" s="11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115"/>
    </row>
    <row r="12" spans="2:111" ht="9" customHeight="1">
      <c r="B12" s="226" t="s">
        <v>277</v>
      </c>
      <c r="C12" s="226"/>
      <c r="D12" s="226"/>
      <c r="E12" s="226"/>
      <c r="F12" s="226"/>
      <c r="G12" s="226"/>
      <c r="H12" s="226"/>
      <c r="I12" s="226"/>
      <c r="J12" s="226"/>
      <c r="K12" s="226"/>
      <c r="L12" s="226"/>
      <c r="M12" s="5"/>
      <c r="N12" s="461">
        <f>'(I) Plano de Trabalho'!$O$215</f>
        <v>0</v>
      </c>
      <c r="O12" s="462"/>
      <c r="P12" s="462"/>
      <c r="Q12" s="462"/>
      <c r="R12" s="462"/>
      <c r="S12" s="462"/>
      <c r="T12" s="462"/>
      <c r="U12" s="462"/>
      <c r="V12" s="462"/>
      <c r="W12" s="462"/>
      <c r="X12" s="462"/>
      <c r="Y12" s="462"/>
      <c r="Z12" s="463"/>
      <c r="AA12" s="48"/>
      <c r="AB12" s="48"/>
      <c r="AC12" s="48"/>
      <c r="AD12" s="49"/>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C12" s="115"/>
      <c r="BD12" s="115"/>
      <c r="BE12" s="115"/>
      <c r="BF12" s="115"/>
      <c r="BG12" s="115"/>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115"/>
    </row>
    <row r="13" spans="2:111" ht="9" customHeight="1">
      <c r="B13" s="226"/>
      <c r="C13" s="226"/>
      <c r="D13" s="226"/>
      <c r="E13" s="226"/>
      <c r="F13" s="226"/>
      <c r="G13" s="226"/>
      <c r="H13" s="226"/>
      <c r="I13" s="226"/>
      <c r="J13" s="226"/>
      <c r="K13" s="226"/>
      <c r="L13" s="226"/>
      <c r="M13" s="5"/>
      <c r="N13" s="464"/>
      <c r="O13" s="465"/>
      <c r="P13" s="465"/>
      <c r="Q13" s="465"/>
      <c r="R13" s="465"/>
      <c r="S13" s="465"/>
      <c r="T13" s="465"/>
      <c r="U13" s="465"/>
      <c r="V13" s="465"/>
      <c r="W13" s="465"/>
      <c r="X13" s="465"/>
      <c r="Y13" s="465"/>
      <c r="Z13" s="466"/>
      <c r="AA13" s="48"/>
      <c r="AB13" s="48"/>
      <c r="AC13" s="48"/>
      <c r="AD13" s="49"/>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C13" s="115"/>
      <c r="BD13" s="115"/>
      <c r="BE13" s="115"/>
      <c r="BF13" s="115"/>
      <c r="BG13" s="115"/>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115"/>
    </row>
    <row r="14" spans="2:111" ht="4.5" customHeight="1">
      <c r="B14" s="5"/>
      <c r="C14" s="5"/>
      <c r="D14" s="5"/>
      <c r="E14" s="5"/>
      <c r="F14" s="5"/>
      <c r="G14" s="5"/>
      <c r="H14" s="5"/>
      <c r="I14" s="5"/>
      <c r="J14" s="5"/>
      <c r="K14" s="5"/>
      <c r="L14" s="5"/>
      <c r="M14" s="5"/>
      <c r="N14" s="5"/>
      <c r="O14" s="5"/>
      <c r="P14" s="5"/>
      <c r="Q14" s="5"/>
      <c r="R14" s="5"/>
      <c r="S14" s="5"/>
      <c r="T14" s="5"/>
      <c r="U14" s="5"/>
      <c r="V14" s="5"/>
      <c r="W14" s="5"/>
      <c r="X14" s="5"/>
      <c r="Y14" s="5"/>
      <c r="Z14" s="5"/>
      <c r="AA14" s="50"/>
      <c r="AB14" s="50"/>
      <c r="AC14" s="50"/>
      <c r="AD14" s="49"/>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C14" s="115"/>
      <c r="BD14" s="115"/>
      <c r="BE14" s="115"/>
      <c r="BF14" s="115"/>
      <c r="BG14" s="115"/>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115"/>
    </row>
    <row r="15" spans="2:111" ht="9" customHeight="1">
      <c r="B15" s="226" t="str">
        <f>IF(N9="","","Valor Global:")</f>
        <v>Valor Global:</v>
      </c>
      <c r="C15" s="226"/>
      <c r="D15" s="226"/>
      <c r="E15" s="226"/>
      <c r="F15" s="226"/>
      <c r="G15" s="226"/>
      <c r="H15" s="226"/>
      <c r="I15" s="226"/>
      <c r="J15" s="226"/>
      <c r="K15" s="226"/>
      <c r="L15" s="226"/>
      <c r="M15" s="5"/>
      <c r="N15" s="461">
        <f>'(I) Plano de Trabalho'!$O$218</f>
        <v>2540648.14</v>
      </c>
      <c r="O15" s="462"/>
      <c r="P15" s="462"/>
      <c r="Q15" s="462"/>
      <c r="R15" s="462"/>
      <c r="S15" s="462"/>
      <c r="T15" s="462"/>
      <c r="U15" s="462"/>
      <c r="V15" s="462"/>
      <c r="W15" s="462"/>
      <c r="X15" s="462"/>
      <c r="Y15" s="462"/>
      <c r="Z15" s="463"/>
      <c r="AA15" s="48"/>
      <c r="AB15" s="48"/>
      <c r="AC15" s="48"/>
      <c r="AD15" s="49"/>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C15" s="115"/>
      <c r="BD15" s="115"/>
      <c r="BE15" s="115"/>
      <c r="BF15" s="115"/>
      <c r="BG15" s="115"/>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115"/>
    </row>
    <row r="16" spans="2:111" ht="9" customHeight="1">
      <c r="B16" s="226"/>
      <c r="C16" s="226"/>
      <c r="D16" s="226"/>
      <c r="E16" s="226"/>
      <c r="F16" s="226"/>
      <c r="G16" s="226"/>
      <c r="H16" s="226"/>
      <c r="I16" s="226"/>
      <c r="J16" s="226"/>
      <c r="K16" s="226"/>
      <c r="L16" s="226"/>
      <c r="M16" s="5"/>
      <c r="N16" s="464"/>
      <c r="O16" s="465"/>
      <c r="P16" s="465"/>
      <c r="Q16" s="465"/>
      <c r="R16" s="465"/>
      <c r="S16" s="465"/>
      <c r="T16" s="465"/>
      <c r="U16" s="465"/>
      <c r="V16" s="465"/>
      <c r="W16" s="465"/>
      <c r="X16" s="465"/>
      <c r="Y16" s="465"/>
      <c r="Z16" s="466"/>
      <c r="AA16" s="48"/>
      <c r="AB16" s="48"/>
      <c r="AC16" s="48"/>
      <c r="AD16" s="49"/>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C16" s="115"/>
      <c r="BD16" s="115"/>
      <c r="BE16" s="115"/>
      <c r="BF16" s="115"/>
      <c r="BG16" s="115"/>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115"/>
    </row>
    <row r="17" spans="1:111" ht="9" customHeight="1">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C17" s="115"/>
      <c r="BD17" s="115"/>
      <c r="BE17" s="115"/>
      <c r="BF17" s="115"/>
      <c r="BG17" s="115"/>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115"/>
    </row>
    <row r="18" spans="1:111" ht="9" customHeight="1">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7"/>
      <c r="BA18" s="477"/>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row>
    <row r="19" spans="1:111" ht="9" customHeight="1">
      <c r="B19" s="226" t="s">
        <v>1</v>
      </c>
      <c r="C19" s="226"/>
      <c r="D19" s="226"/>
      <c r="E19" s="226"/>
      <c r="F19" s="226"/>
      <c r="G19" s="226"/>
      <c r="H19" s="226"/>
      <c r="I19" s="226"/>
      <c r="J19" s="226"/>
      <c r="K19" s="226"/>
      <c r="L19" s="226"/>
      <c r="N19" s="265">
        <v>2410832.52</v>
      </c>
      <c r="O19" s="266"/>
      <c r="P19" s="266"/>
      <c r="Q19" s="266"/>
      <c r="R19" s="266"/>
      <c r="S19" s="266"/>
      <c r="T19" s="266"/>
      <c r="U19" s="266"/>
      <c r="V19" s="266"/>
      <c r="W19" s="266"/>
      <c r="X19" s="266"/>
      <c r="Y19" s="266"/>
      <c r="Z19" s="26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C19" s="115"/>
      <c r="BD19" s="115"/>
      <c r="BE19" s="115"/>
      <c r="BF19" s="115"/>
      <c r="BG19" s="115"/>
      <c r="BH19" s="225" t="s">
        <v>329</v>
      </c>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115"/>
    </row>
    <row r="20" spans="1:111" ht="9" customHeight="1">
      <c r="B20" s="226"/>
      <c r="C20" s="226"/>
      <c r="D20" s="226"/>
      <c r="E20" s="226"/>
      <c r="F20" s="226"/>
      <c r="G20" s="226"/>
      <c r="H20" s="226"/>
      <c r="I20" s="226"/>
      <c r="J20" s="226"/>
      <c r="K20" s="226"/>
      <c r="L20" s="226"/>
      <c r="N20" s="268"/>
      <c r="O20" s="269"/>
      <c r="P20" s="269"/>
      <c r="Q20" s="269"/>
      <c r="R20" s="269"/>
      <c r="S20" s="269"/>
      <c r="T20" s="269"/>
      <c r="U20" s="269"/>
      <c r="V20" s="269"/>
      <c r="W20" s="269"/>
      <c r="X20" s="269"/>
      <c r="Y20" s="269"/>
      <c r="Z20" s="270"/>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C20" s="115"/>
      <c r="BD20" s="115"/>
      <c r="BE20" s="115"/>
      <c r="BF20" s="115"/>
      <c r="BG20" s="11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115"/>
    </row>
    <row r="21" spans="1:111" ht="4.5" customHeight="1">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C21" s="115"/>
      <c r="BD21" s="115"/>
      <c r="BE21" s="115"/>
      <c r="BF21" s="115"/>
      <c r="BG21" s="11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115"/>
    </row>
    <row r="22" spans="1:111" ht="9" customHeight="1">
      <c r="B22" s="226" t="s">
        <v>2</v>
      </c>
      <c r="C22" s="226"/>
      <c r="D22" s="226"/>
      <c r="E22" s="226"/>
      <c r="F22" s="226"/>
      <c r="G22" s="226"/>
      <c r="H22" s="226"/>
      <c r="I22" s="226"/>
      <c r="J22" s="226"/>
      <c r="K22" s="226"/>
      <c r="L22" s="226"/>
      <c r="N22" s="265">
        <v>129815.62</v>
      </c>
      <c r="O22" s="266"/>
      <c r="P22" s="266"/>
      <c r="Q22" s="266"/>
      <c r="R22" s="266"/>
      <c r="S22" s="266"/>
      <c r="T22" s="266"/>
      <c r="U22" s="266"/>
      <c r="V22" s="266"/>
      <c r="W22" s="266"/>
      <c r="X22" s="266"/>
      <c r="Y22" s="266"/>
      <c r="Z22" s="26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C22" s="115"/>
      <c r="BD22" s="115"/>
      <c r="BE22" s="115"/>
      <c r="BF22" s="115"/>
      <c r="BG22" s="11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115"/>
    </row>
    <row r="23" spans="1:111" ht="9" customHeight="1">
      <c r="B23" s="226"/>
      <c r="C23" s="226"/>
      <c r="D23" s="226"/>
      <c r="E23" s="226"/>
      <c r="F23" s="226"/>
      <c r="G23" s="226"/>
      <c r="H23" s="226"/>
      <c r="I23" s="226"/>
      <c r="J23" s="226"/>
      <c r="K23" s="226"/>
      <c r="L23" s="226"/>
      <c r="N23" s="268"/>
      <c r="O23" s="269"/>
      <c r="P23" s="269"/>
      <c r="Q23" s="269"/>
      <c r="R23" s="269"/>
      <c r="S23" s="269"/>
      <c r="T23" s="269"/>
      <c r="U23" s="269"/>
      <c r="V23" s="269"/>
      <c r="W23" s="269"/>
      <c r="X23" s="269"/>
      <c r="Y23" s="269"/>
      <c r="Z23" s="270"/>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C23" s="115"/>
      <c r="BD23" s="115"/>
      <c r="BE23" s="115"/>
      <c r="BF23" s="115"/>
      <c r="BG23" s="11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115"/>
    </row>
    <row r="24" spans="1:111" ht="20.100000000000001" customHeight="1">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row>
    <row r="25" spans="1:111" ht="20.100000000000001" customHeight="1">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82"/>
      <c r="DA25" s="115"/>
      <c r="DB25" s="115"/>
      <c r="DC25" s="115"/>
      <c r="DD25" s="115"/>
      <c r="DE25" s="115"/>
      <c r="DF25" s="115"/>
      <c r="DG25" s="115"/>
    </row>
    <row r="26" spans="1:111" ht="9" customHeight="1">
      <c r="B26" s="289" t="s">
        <v>283</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90"/>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row>
    <row r="27" spans="1:111" ht="9" customHeight="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2"/>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row>
    <row r="28" spans="1:111" ht="9" customHeight="1">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row>
    <row r="29" spans="1:111" ht="18" customHeight="1">
      <c r="A29" s="5"/>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10"/>
      <c r="AB29" s="455">
        <v>2019</v>
      </c>
      <c r="AC29" s="456"/>
      <c r="AD29" s="456"/>
      <c r="AE29" s="456"/>
      <c r="AF29" s="456"/>
      <c r="AG29" s="456">
        <v>2020</v>
      </c>
      <c r="AH29" s="456"/>
      <c r="AI29" s="456"/>
      <c r="AJ29" s="456"/>
      <c r="AK29" s="456"/>
      <c r="AL29" s="456">
        <v>2021</v>
      </c>
      <c r="AM29" s="456"/>
      <c r="AN29" s="456"/>
      <c r="AO29" s="456"/>
      <c r="AP29" s="456"/>
      <c r="AQ29" s="456">
        <v>2022</v>
      </c>
      <c r="AR29" s="456"/>
      <c r="AS29" s="456"/>
      <c r="AT29" s="456"/>
      <c r="AU29" s="457"/>
      <c r="AV29" s="455" t="s">
        <v>0</v>
      </c>
      <c r="AW29" s="456"/>
      <c r="AX29" s="456"/>
      <c r="AY29" s="456"/>
      <c r="AZ29" s="456"/>
      <c r="BA29" s="456"/>
      <c r="BC29" s="115"/>
      <c r="BD29" s="115"/>
      <c r="BE29" s="115"/>
      <c r="BF29" s="115"/>
      <c r="BG29" s="115"/>
      <c r="BH29" s="214" t="s">
        <v>328</v>
      </c>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115"/>
    </row>
    <row r="30" spans="1:111" ht="4.5" customHeight="1">
      <c r="A30" s="5"/>
      <c r="BC30" s="115"/>
      <c r="BD30" s="115"/>
      <c r="BE30" s="115"/>
      <c r="BF30" s="115"/>
      <c r="BG30" s="115"/>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115"/>
    </row>
    <row r="31" spans="1:111" ht="12" customHeight="1">
      <c r="A31" s="54">
        <f>IF(AV31=0,0,1)</f>
        <v>0</v>
      </c>
      <c r="B31" s="440" t="s">
        <v>179</v>
      </c>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B31" s="458"/>
      <c r="AC31" s="459"/>
      <c r="AD31" s="459"/>
      <c r="AE31" s="459"/>
      <c r="AF31" s="459"/>
      <c r="AG31" s="459"/>
      <c r="AH31" s="459"/>
      <c r="AI31" s="459"/>
      <c r="AJ31" s="459"/>
      <c r="AK31" s="459"/>
      <c r="AL31" s="459"/>
      <c r="AM31" s="459"/>
      <c r="AN31" s="459"/>
      <c r="AO31" s="459"/>
      <c r="AP31" s="459"/>
      <c r="AQ31" s="459"/>
      <c r="AR31" s="459"/>
      <c r="AS31" s="459"/>
      <c r="AT31" s="459"/>
      <c r="AU31" s="467"/>
      <c r="AV31" s="441">
        <f t="shared" ref="AV31:AV49" si="0">BB1622</f>
        <v>0</v>
      </c>
      <c r="AW31" s="442"/>
      <c r="AX31" s="442"/>
      <c r="AY31" s="442"/>
      <c r="AZ31" s="442"/>
      <c r="BA31" s="443"/>
      <c r="BB31" s="41" t="str">
        <f t="shared" ref="BB31:BB113" si="1">IF(AV31=0,"",1)</f>
        <v/>
      </c>
      <c r="BC31" s="115"/>
      <c r="BD31" s="115"/>
      <c r="BE31" s="115"/>
      <c r="BF31" s="115"/>
      <c r="BG31" s="115"/>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115"/>
    </row>
    <row r="32" spans="1:111" ht="12" customHeight="1">
      <c r="A32" s="54">
        <f>IF(AV32=0,0,IF(SUM($A$31:A31)&lt;&gt;0,(SUM($A$31:A31)+1),1))</f>
        <v>0</v>
      </c>
      <c r="B32" s="440" t="s">
        <v>180</v>
      </c>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B32" s="437"/>
      <c r="AC32" s="429"/>
      <c r="AD32" s="429"/>
      <c r="AE32" s="429"/>
      <c r="AF32" s="429"/>
      <c r="AG32" s="429"/>
      <c r="AH32" s="429"/>
      <c r="AI32" s="429"/>
      <c r="AJ32" s="429"/>
      <c r="AK32" s="429"/>
      <c r="AL32" s="429"/>
      <c r="AM32" s="429"/>
      <c r="AN32" s="429"/>
      <c r="AO32" s="429"/>
      <c r="AP32" s="429"/>
      <c r="AQ32" s="429"/>
      <c r="AR32" s="429"/>
      <c r="AS32" s="429"/>
      <c r="AT32" s="429"/>
      <c r="AU32" s="447"/>
      <c r="AV32" s="444">
        <f t="shared" si="0"/>
        <v>0</v>
      </c>
      <c r="AW32" s="445"/>
      <c r="AX32" s="445"/>
      <c r="AY32" s="445"/>
      <c r="AZ32" s="445"/>
      <c r="BA32" s="446"/>
      <c r="BB32" s="41" t="str">
        <f t="shared" si="1"/>
        <v/>
      </c>
      <c r="BC32" s="115"/>
      <c r="BD32" s="115"/>
      <c r="BE32" s="115"/>
      <c r="BF32" s="115"/>
      <c r="BG32" s="115"/>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115"/>
    </row>
    <row r="33" spans="1:111" ht="12" customHeight="1">
      <c r="A33" s="54">
        <f>IF(AV33=0,0,IF(SUM($A$31:A32)&lt;&gt;0,(SUM($A$31:A32)+1),1))</f>
        <v>0</v>
      </c>
      <c r="B33" s="440" t="s">
        <v>181</v>
      </c>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B33" s="437"/>
      <c r="AC33" s="429"/>
      <c r="AD33" s="429"/>
      <c r="AE33" s="429"/>
      <c r="AF33" s="429"/>
      <c r="AG33" s="429"/>
      <c r="AH33" s="429"/>
      <c r="AI33" s="429"/>
      <c r="AJ33" s="429"/>
      <c r="AK33" s="429"/>
      <c r="AL33" s="429"/>
      <c r="AM33" s="429"/>
      <c r="AN33" s="429"/>
      <c r="AO33" s="429"/>
      <c r="AP33" s="429"/>
      <c r="AQ33" s="429"/>
      <c r="AR33" s="429"/>
      <c r="AS33" s="429"/>
      <c r="AT33" s="429"/>
      <c r="AU33" s="447"/>
      <c r="AV33" s="444">
        <f t="shared" si="0"/>
        <v>0</v>
      </c>
      <c r="AW33" s="445"/>
      <c r="AX33" s="445"/>
      <c r="AY33" s="445"/>
      <c r="AZ33" s="445"/>
      <c r="BA33" s="446"/>
      <c r="BB33" s="41" t="str">
        <f t="shared" si="1"/>
        <v/>
      </c>
      <c r="BC33" s="115"/>
      <c r="BD33" s="115"/>
      <c r="BE33" s="115"/>
      <c r="BF33" s="115"/>
      <c r="BG33" s="115"/>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115"/>
    </row>
    <row r="34" spans="1:111" ht="12" customHeight="1">
      <c r="A34" s="54">
        <f>IF(AV34=0,0,IF(SUM($A$31:A33)&lt;&gt;0,(SUM($A$31:A33)+1),1))</f>
        <v>0</v>
      </c>
      <c r="B34" s="440" t="s">
        <v>182</v>
      </c>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B34" s="437"/>
      <c r="AC34" s="429"/>
      <c r="AD34" s="429"/>
      <c r="AE34" s="429"/>
      <c r="AF34" s="429"/>
      <c r="AG34" s="429"/>
      <c r="AH34" s="429"/>
      <c r="AI34" s="429"/>
      <c r="AJ34" s="429"/>
      <c r="AK34" s="429"/>
      <c r="AL34" s="429"/>
      <c r="AM34" s="429"/>
      <c r="AN34" s="429"/>
      <c r="AO34" s="429"/>
      <c r="AP34" s="429"/>
      <c r="AQ34" s="429"/>
      <c r="AR34" s="429"/>
      <c r="AS34" s="429"/>
      <c r="AT34" s="429"/>
      <c r="AU34" s="447"/>
      <c r="AV34" s="444">
        <f t="shared" si="0"/>
        <v>0</v>
      </c>
      <c r="AW34" s="445"/>
      <c r="AX34" s="445"/>
      <c r="AY34" s="445"/>
      <c r="AZ34" s="445"/>
      <c r="BA34" s="446"/>
      <c r="BB34" s="41" t="str">
        <f t="shared" si="1"/>
        <v/>
      </c>
      <c r="BC34" s="115"/>
      <c r="BD34" s="115"/>
      <c r="BE34" s="115"/>
      <c r="BF34" s="115"/>
      <c r="BG34" s="115"/>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115"/>
    </row>
    <row r="35" spans="1:111" ht="12" customHeight="1">
      <c r="A35" s="54">
        <f>IF(AV35=0,0,IF(SUM($A$31:A34)&lt;&gt;0,(SUM($A$31:A34)+1),1))</f>
        <v>0</v>
      </c>
      <c r="B35" s="440" t="s">
        <v>183</v>
      </c>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B35" s="437"/>
      <c r="AC35" s="429"/>
      <c r="AD35" s="429"/>
      <c r="AE35" s="429"/>
      <c r="AF35" s="429"/>
      <c r="AG35" s="429"/>
      <c r="AH35" s="429"/>
      <c r="AI35" s="429"/>
      <c r="AJ35" s="429"/>
      <c r="AK35" s="429"/>
      <c r="AL35" s="429"/>
      <c r="AM35" s="429"/>
      <c r="AN35" s="429"/>
      <c r="AO35" s="429"/>
      <c r="AP35" s="429"/>
      <c r="AQ35" s="429"/>
      <c r="AR35" s="429"/>
      <c r="AS35" s="429"/>
      <c r="AT35" s="429"/>
      <c r="AU35" s="447"/>
      <c r="AV35" s="444">
        <f t="shared" si="0"/>
        <v>0</v>
      </c>
      <c r="AW35" s="445"/>
      <c r="AX35" s="445"/>
      <c r="AY35" s="445"/>
      <c r="AZ35" s="445"/>
      <c r="BA35" s="446"/>
      <c r="BB35" s="41" t="str">
        <f t="shared" si="1"/>
        <v/>
      </c>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row>
    <row r="36" spans="1:111" ht="12" customHeight="1">
      <c r="A36" s="54">
        <f>IF(AV36=0,0,IF(SUM($A$31:A35)&lt;&gt;0,(SUM($A$31:A35)+1),1))</f>
        <v>0</v>
      </c>
      <c r="B36" s="440" t="s">
        <v>184</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B36" s="437"/>
      <c r="AC36" s="429"/>
      <c r="AD36" s="429"/>
      <c r="AE36" s="429"/>
      <c r="AF36" s="429"/>
      <c r="AG36" s="429"/>
      <c r="AH36" s="429"/>
      <c r="AI36" s="429"/>
      <c r="AJ36" s="429"/>
      <c r="AK36" s="429"/>
      <c r="AL36" s="429"/>
      <c r="AM36" s="429"/>
      <c r="AN36" s="429"/>
      <c r="AO36" s="429"/>
      <c r="AP36" s="429"/>
      <c r="AQ36" s="429"/>
      <c r="AR36" s="429"/>
      <c r="AS36" s="429"/>
      <c r="AT36" s="429"/>
      <c r="AU36" s="447"/>
      <c r="AV36" s="444">
        <f t="shared" si="0"/>
        <v>0</v>
      </c>
      <c r="AW36" s="445"/>
      <c r="AX36" s="445"/>
      <c r="AY36" s="445"/>
      <c r="AZ36" s="445"/>
      <c r="BA36" s="446"/>
      <c r="BB36" s="41" t="str">
        <f t="shared" si="1"/>
        <v/>
      </c>
      <c r="BC36" s="115"/>
      <c r="BD36" s="115"/>
      <c r="BE36" s="115"/>
      <c r="BF36" s="115"/>
      <c r="BG36" s="115"/>
      <c r="BH36" s="214" t="s">
        <v>398</v>
      </c>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115"/>
    </row>
    <row r="37" spans="1:111" ht="12" customHeight="1">
      <c r="A37" s="54">
        <f>IF(AV37=0,0,IF(SUM($A$31:A36)&lt;&gt;0,(SUM($A$31:A36)+1),1))</f>
        <v>0</v>
      </c>
      <c r="B37" s="440" t="s">
        <v>185</v>
      </c>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B37" s="437"/>
      <c r="AC37" s="429"/>
      <c r="AD37" s="429"/>
      <c r="AE37" s="429"/>
      <c r="AF37" s="429"/>
      <c r="AG37" s="429"/>
      <c r="AH37" s="429"/>
      <c r="AI37" s="429"/>
      <c r="AJ37" s="429"/>
      <c r="AK37" s="429"/>
      <c r="AL37" s="429"/>
      <c r="AM37" s="429"/>
      <c r="AN37" s="429"/>
      <c r="AO37" s="429"/>
      <c r="AP37" s="429"/>
      <c r="AQ37" s="429"/>
      <c r="AR37" s="429"/>
      <c r="AS37" s="429"/>
      <c r="AT37" s="429"/>
      <c r="AU37" s="447"/>
      <c r="AV37" s="444">
        <f t="shared" si="0"/>
        <v>0</v>
      </c>
      <c r="AW37" s="445"/>
      <c r="AX37" s="445"/>
      <c r="AY37" s="445"/>
      <c r="AZ37" s="445"/>
      <c r="BA37" s="446"/>
      <c r="BB37" s="41" t="str">
        <f t="shared" si="1"/>
        <v/>
      </c>
      <c r="BC37" s="115"/>
      <c r="BD37" s="115"/>
      <c r="BE37" s="115"/>
      <c r="BF37" s="115"/>
      <c r="BG37" s="115"/>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115"/>
    </row>
    <row r="38" spans="1:111" ht="12" customHeight="1">
      <c r="A38" s="54">
        <f>IF(AV38=0,0,IF(SUM($A$31:A37)&lt;&gt;0,(SUM($A$31:A37)+1),1))</f>
        <v>0</v>
      </c>
      <c r="B38" s="440" t="s">
        <v>186</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B38" s="437"/>
      <c r="AC38" s="429"/>
      <c r="AD38" s="429"/>
      <c r="AE38" s="429"/>
      <c r="AF38" s="429"/>
      <c r="AG38" s="429"/>
      <c r="AH38" s="429"/>
      <c r="AI38" s="429"/>
      <c r="AJ38" s="429"/>
      <c r="AK38" s="429"/>
      <c r="AL38" s="429"/>
      <c r="AM38" s="429"/>
      <c r="AN38" s="429"/>
      <c r="AO38" s="429"/>
      <c r="AP38" s="429"/>
      <c r="AQ38" s="429"/>
      <c r="AR38" s="429"/>
      <c r="AS38" s="429"/>
      <c r="AT38" s="429"/>
      <c r="AU38" s="447"/>
      <c r="AV38" s="444">
        <f t="shared" si="0"/>
        <v>0</v>
      </c>
      <c r="AW38" s="445"/>
      <c r="AX38" s="445"/>
      <c r="AY38" s="445"/>
      <c r="AZ38" s="445"/>
      <c r="BA38" s="446"/>
      <c r="BB38" s="41" t="str">
        <f t="shared" si="1"/>
        <v/>
      </c>
      <c r="BC38" s="115"/>
      <c r="BD38" s="115"/>
      <c r="BE38" s="115"/>
      <c r="BF38" s="115"/>
      <c r="BG38" s="115"/>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115"/>
    </row>
    <row r="39" spans="1:111" ht="12" customHeight="1">
      <c r="A39" s="54">
        <f>IF(AV39=0,0,IF(SUM($A$31:A38)&lt;&gt;0,(SUM($A$31:A38)+1),1))</f>
        <v>0</v>
      </c>
      <c r="B39" s="440" t="s">
        <v>187</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B39" s="437"/>
      <c r="AC39" s="429"/>
      <c r="AD39" s="429"/>
      <c r="AE39" s="429"/>
      <c r="AF39" s="429"/>
      <c r="AG39" s="429"/>
      <c r="AH39" s="429"/>
      <c r="AI39" s="429"/>
      <c r="AJ39" s="429"/>
      <c r="AK39" s="429"/>
      <c r="AL39" s="429"/>
      <c r="AM39" s="429"/>
      <c r="AN39" s="429"/>
      <c r="AO39" s="429"/>
      <c r="AP39" s="429"/>
      <c r="AQ39" s="429"/>
      <c r="AR39" s="429"/>
      <c r="AS39" s="429"/>
      <c r="AT39" s="429"/>
      <c r="AU39" s="447"/>
      <c r="AV39" s="444">
        <f t="shared" si="0"/>
        <v>0</v>
      </c>
      <c r="AW39" s="445"/>
      <c r="AX39" s="445"/>
      <c r="AY39" s="445"/>
      <c r="AZ39" s="445"/>
      <c r="BA39" s="446"/>
      <c r="BB39" s="41" t="str">
        <f t="shared" si="1"/>
        <v/>
      </c>
      <c r="BC39" s="115"/>
      <c r="BD39" s="115"/>
      <c r="BE39" s="115"/>
      <c r="BF39" s="115"/>
      <c r="BG39" s="115"/>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115"/>
    </row>
    <row r="40" spans="1:111" ht="12" customHeight="1">
      <c r="A40" s="54">
        <f>IF(AV40=0,0,IF(SUM($A$31:A39)&lt;&gt;0,(SUM($A$31:A39)+1),1))</f>
        <v>0</v>
      </c>
      <c r="B40" s="440" t="s">
        <v>188</v>
      </c>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B40" s="437"/>
      <c r="AC40" s="429"/>
      <c r="AD40" s="429"/>
      <c r="AE40" s="429"/>
      <c r="AF40" s="429"/>
      <c r="AG40" s="429"/>
      <c r="AH40" s="429"/>
      <c r="AI40" s="429"/>
      <c r="AJ40" s="429"/>
      <c r="AK40" s="429"/>
      <c r="AL40" s="429"/>
      <c r="AM40" s="429"/>
      <c r="AN40" s="429"/>
      <c r="AO40" s="429"/>
      <c r="AP40" s="429"/>
      <c r="AQ40" s="429"/>
      <c r="AR40" s="429"/>
      <c r="AS40" s="429"/>
      <c r="AT40" s="429"/>
      <c r="AU40" s="447"/>
      <c r="AV40" s="444">
        <f t="shared" si="0"/>
        <v>0</v>
      </c>
      <c r="AW40" s="445"/>
      <c r="AX40" s="445"/>
      <c r="AY40" s="445"/>
      <c r="AZ40" s="445"/>
      <c r="BA40" s="446"/>
      <c r="BB40" s="41" t="str">
        <f t="shared" si="1"/>
        <v/>
      </c>
      <c r="BC40" s="115"/>
      <c r="BD40" s="115"/>
      <c r="BE40" s="115"/>
      <c r="BF40" s="115"/>
      <c r="BG40" s="115"/>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115"/>
    </row>
    <row r="41" spans="1:111" ht="12" customHeight="1">
      <c r="A41" s="54">
        <f>IF(AV41=0,0,IF(SUM($A$31:A40)&lt;&gt;0,(SUM($A$31:A40)+1),1))</f>
        <v>0</v>
      </c>
      <c r="B41" s="460" t="s">
        <v>189</v>
      </c>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B41" s="437"/>
      <c r="AC41" s="429"/>
      <c r="AD41" s="429"/>
      <c r="AE41" s="429"/>
      <c r="AF41" s="429"/>
      <c r="AG41" s="429"/>
      <c r="AH41" s="429"/>
      <c r="AI41" s="429"/>
      <c r="AJ41" s="429"/>
      <c r="AK41" s="429"/>
      <c r="AL41" s="429"/>
      <c r="AM41" s="429"/>
      <c r="AN41" s="429"/>
      <c r="AO41" s="429"/>
      <c r="AP41" s="429"/>
      <c r="AQ41" s="429"/>
      <c r="AR41" s="429"/>
      <c r="AS41" s="429"/>
      <c r="AT41" s="429"/>
      <c r="AU41" s="447"/>
      <c r="AV41" s="444">
        <f t="shared" si="0"/>
        <v>0</v>
      </c>
      <c r="AW41" s="445"/>
      <c r="AX41" s="445"/>
      <c r="AY41" s="445"/>
      <c r="AZ41" s="445"/>
      <c r="BA41" s="446"/>
      <c r="BB41" s="41" t="str">
        <f t="shared" si="1"/>
        <v/>
      </c>
      <c r="BC41" s="115"/>
      <c r="BD41" s="115"/>
      <c r="BE41" s="115"/>
      <c r="BF41" s="115"/>
      <c r="BG41" s="115"/>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115"/>
    </row>
    <row r="42" spans="1:111" ht="12" customHeight="1">
      <c r="A42" s="54">
        <f>IF(AV42=0,0,IF(SUM($A$31:A41)&lt;&gt;0,(SUM($A$31:A41)+1),1))</f>
        <v>0</v>
      </c>
      <c r="B42" s="460" t="s">
        <v>190</v>
      </c>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B42" s="437"/>
      <c r="AC42" s="429"/>
      <c r="AD42" s="429"/>
      <c r="AE42" s="429"/>
      <c r="AF42" s="429"/>
      <c r="AG42" s="429"/>
      <c r="AH42" s="429"/>
      <c r="AI42" s="429"/>
      <c r="AJ42" s="429"/>
      <c r="AK42" s="429"/>
      <c r="AL42" s="429"/>
      <c r="AM42" s="429"/>
      <c r="AN42" s="429"/>
      <c r="AO42" s="429"/>
      <c r="AP42" s="429"/>
      <c r="AQ42" s="429"/>
      <c r="AR42" s="429"/>
      <c r="AS42" s="429"/>
      <c r="AT42" s="429"/>
      <c r="AU42" s="447"/>
      <c r="AV42" s="444">
        <f t="shared" si="0"/>
        <v>0</v>
      </c>
      <c r="AW42" s="445"/>
      <c r="AX42" s="445"/>
      <c r="AY42" s="445"/>
      <c r="AZ42" s="445"/>
      <c r="BA42" s="446"/>
      <c r="BB42" s="41" t="str">
        <f t="shared" si="1"/>
        <v/>
      </c>
      <c r="BC42" s="115"/>
      <c r="BD42" s="115"/>
      <c r="BE42" s="115"/>
      <c r="BF42" s="115"/>
      <c r="BG42" s="115"/>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115"/>
    </row>
    <row r="43" spans="1:111" ht="12" customHeight="1">
      <c r="A43" s="54">
        <f>IF(AV43=0,0,IF(SUM($A$31:A42)&lt;&gt;0,(SUM($A$31:A42)+1),1))</f>
        <v>0</v>
      </c>
      <c r="B43" s="460" t="s">
        <v>191</v>
      </c>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B43" s="437"/>
      <c r="AC43" s="429"/>
      <c r="AD43" s="429"/>
      <c r="AE43" s="429"/>
      <c r="AF43" s="429"/>
      <c r="AG43" s="429"/>
      <c r="AH43" s="429"/>
      <c r="AI43" s="429"/>
      <c r="AJ43" s="429"/>
      <c r="AK43" s="429"/>
      <c r="AL43" s="429"/>
      <c r="AM43" s="429"/>
      <c r="AN43" s="429"/>
      <c r="AO43" s="429"/>
      <c r="AP43" s="429"/>
      <c r="AQ43" s="429"/>
      <c r="AR43" s="429"/>
      <c r="AS43" s="429"/>
      <c r="AT43" s="429"/>
      <c r="AU43" s="447"/>
      <c r="AV43" s="444">
        <f t="shared" si="0"/>
        <v>0</v>
      </c>
      <c r="AW43" s="445"/>
      <c r="AX43" s="445"/>
      <c r="AY43" s="445"/>
      <c r="AZ43" s="445"/>
      <c r="BA43" s="446"/>
      <c r="BB43" s="41" t="str">
        <f t="shared" si="1"/>
        <v/>
      </c>
      <c r="BC43" s="115"/>
      <c r="BD43" s="115"/>
      <c r="BE43" s="115"/>
      <c r="BF43" s="115"/>
      <c r="BG43" s="115"/>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115"/>
    </row>
    <row r="44" spans="1:111" ht="12" customHeight="1">
      <c r="A44" s="54">
        <f>IF(AV44=0,0,IF(SUM($A$31:A43)&lt;&gt;0,(SUM($A$31:A43)+1),1))</f>
        <v>0</v>
      </c>
      <c r="B44" s="440" t="s">
        <v>192</v>
      </c>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B44" s="437"/>
      <c r="AC44" s="429"/>
      <c r="AD44" s="429"/>
      <c r="AE44" s="429"/>
      <c r="AF44" s="429"/>
      <c r="AG44" s="429"/>
      <c r="AH44" s="429"/>
      <c r="AI44" s="429"/>
      <c r="AJ44" s="429"/>
      <c r="AK44" s="429"/>
      <c r="AL44" s="429"/>
      <c r="AM44" s="429"/>
      <c r="AN44" s="429"/>
      <c r="AO44" s="429"/>
      <c r="AP44" s="429"/>
      <c r="AQ44" s="429"/>
      <c r="AR44" s="429"/>
      <c r="AS44" s="429"/>
      <c r="AT44" s="429"/>
      <c r="AU44" s="447"/>
      <c r="AV44" s="444">
        <f t="shared" si="0"/>
        <v>0</v>
      </c>
      <c r="AW44" s="445"/>
      <c r="AX44" s="445"/>
      <c r="AY44" s="445"/>
      <c r="AZ44" s="445"/>
      <c r="BA44" s="446"/>
      <c r="BB44" s="41" t="str">
        <f t="shared" si="1"/>
        <v/>
      </c>
      <c r="BC44" s="115"/>
      <c r="BD44" s="115"/>
      <c r="BE44" s="115"/>
      <c r="BF44" s="115"/>
      <c r="BG44" s="115"/>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115"/>
    </row>
    <row r="45" spans="1:111" ht="12" customHeight="1">
      <c r="A45" s="54">
        <f>IF(AV45=0,0,IF(SUM($A$31:A44)&lt;&gt;0,(SUM($A$31:A44)+1),1))</f>
        <v>0</v>
      </c>
      <c r="B45" s="440" t="s">
        <v>193</v>
      </c>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B45" s="437"/>
      <c r="AC45" s="429"/>
      <c r="AD45" s="429"/>
      <c r="AE45" s="429"/>
      <c r="AF45" s="429"/>
      <c r="AG45" s="429"/>
      <c r="AH45" s="429"/>
      <c r="AI45" s="429"/>
      <c r="AJ45" s="429"/>
      <c r="AK45" s="429"/>
      <c r="AL45" s="429"/>
      <c r="AM45" s="429"/>
      <c r="AN45" s="429"/>
      <c r="AO45" s="429"/>
      <c r="AP45" s="429"/>
      <c r="AQ45" s="429"/>
      <c r="AR45" s="429"/>
      <c r="AS45" s="429"/>
      <c r="AT45" s="429"/>
      <c r="AU45" s="447"/>
      <c r="AV45" s="444">
        <f t="shared" si="0"/>
        <v>0</v>
      </c>
      <c r="AW45" s="445"/>
      <c r="AX45" s="445"/>
      <c r="AY45" s="445"/>
      <c r="AZ45" s="445"/>
      <c r="BA45" s="446"/>
      <c r="BB45" s="41" t="str">
        <f t="shared" si="1"/>
        <v/>
      </c>
      <c r="BC45" s="115"/>
      <c r="BD45" s="115"/>
      <c r="BE45" s="115"/>
      <c r="BF45" s="115"/>
      <c r="BG45" s="115"/>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115"/>
    </row>
    <row r="46" spans="1:111" ht="12" customHeight="1">
      <c r="A46" s="54">
        <f>IF(AV46=0,0,IF(SUM($A$31:A45)&lt;&gt;0,(SUM($A$31:A45)+1),1))</f>
        <v>0</v>
      </c>
      <c r="B46" s="460" t="s">
        <v>194</v>
      </c>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B46" s="437"/>
      <c r="AC46" s="429"/>
      <c r="AD46" s="429"/>
      <c r="AE46" s="429"/>
      <c r="AF46" s="429"/>
      <c r="AG46" s="429"/>
      <c r="AH46" s="429"/>
      <c r="AI46" s="429"/>
      <c r="AJ46" s="429"/>
      <c r="AK46" s="429"/>
      <c r="AL46" s="429"/>
      <c r="AM46" s="429"/>
      <c r="AN46" s="429"/>
      <c r="AO46" s="429"/>
      <c r="AP46" s="429"/>
      <c r="AQ46" s="429"/>
      <c r="AR46" s="429"/>
      <c r="AS46" s="429"/>
      <c r="AT46" s="429"/>
      <c r="AU46" s="447"/>
      <c r="AV46" s="444">
        <f t="shared" si="0"/>
        <v>0</v>
      </c>
      <c r="AW46" s="445"/>
      <c r="AX46" s="445"/>
      <c r="AY46" s="445"/>
      <c r="AZ46" s="445"/>
      <c r="BA46" s="446"/>
      <c r="BB46" s="41" t="str">
        <f t="shared" si="1"/>
        <v/>
      </c>
      <c r="BC46" s="115"/>
      <c r="BD46" s="115"/>
      <c r="BE46" s="115"/>
      <c r="BF46" s="115"/>
      <c r="BG46" s="115"/>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115"/>
    </row>
    <row r="47" spans="1:111" ht="12" customHeight="1">
      <c r="A47" s="54">
        <f>IF(AV47=0,0,IF(SUM($A$31:A46)&lt;&gt;0,(SUM($A$31:A46)+1),1))</f>
        <v>0</v>
      </c>
      <c r="B47" s="440" t="s">
        <v>195</v>
      </c>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B47" s="437"/>
      <c r="AC47" s="429"/>
      <c r="AD47" s="429"/>
      <c r="AE47" s="429"/>
      <c r="AF47" s="429"/>
      <c r="AG47" s="429"/>
      <c r="AH47" s="429"/>
      <c r="AI47" s="429"/>
      <c r="AJ47" s="429"/>
      <c r="AK47" s="429"/>
      <c r="AL47" s="429"/>
      <c r="AM47" s="429"/>
      <c r="AN47" s="429"/>
      <c r="AO47" s="429"/>
      <c r="AP47" s="429"/>
      <c r="AQ47" s="429"/>
      <c r="AR47" s="429"/>
      <c r="AS47" s="429"/>
      <c r="AT47" s="429"/>
      <c r="AU47" s="447"/>
      <c r="AV47" s="444">
        <f t="shared" si="0"/>
        <v>0</v>
      </c>
      <c r="AW47" s="445"/>
      <c r="AX47" s="445"/>
      <c r="AY47" s="445"/>
      <c r="AZ47" s="445"/>
      <c r="BA47" s="446"/>
      <c r="BB47" s="41" t="str">
        <f t="shared" ref="BB47:BB61" si="2">IF(AV47=0,"",1)</f>
        <v/>
      </c>
      <c r="BC47" s="115"/>
      <c r="BD47" s="115"/>
      <c r="BE47" s="115"/>
      <c r="BF47" s="115"/>
      <c r="BG47" s="115"/>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115"/>
    </row>
    <row r="48" spans="1:111" ht="12" customHeight="1">
      <c r="A48" s="54">
        <f>IF(AV48=0,0,IF(SUM($A$31:A47)&lt;&gt;0,(SUM($A$31:A47)+1),1))</f>
        <v>0</v>
      </c>
      <c r="B48" s="460" t="s">
        <v>196</v>
      </c>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B48" s="437"/>
      <c r="AC48" s="429"/>
      <c r="AD48" s="429"/>
      <c r="AE48" s="429"/>
      <c r="AF48" s="429"/>
      <c r="AG48" s="429"/>
      <c r="AH48" s="429"/>
      <c r="AI48" s="429"/>
      <c r="AJ48" s="429"/>
      <c r="AK48" s="429"/>
      <c r="AL48" s="429"/>
      <c r="AM48" s="429"/>
      <c r="AN48" s="429"/>
      <c r="AO48" s="429"/>
      <c r="AP48" s="429"/>
      <c r="AQ48" s="429"/>
      <c r="AR48" s="429"/>
      <c r="AS48" s="429"/>
      <c r="AT48" s="429"/>
      <c r="AU48" s="447"/>
      <c r="AV48" s="444">
        <f t="shared" si="0"/>
        <v>0</v>
      </c>
      <c r="AW48" s="445"/>
      <c r="AX48" s="445"/>
      <c r="AY48" s="445"/>
      <c r="AZ48" s="445"/>
      <c r="BA48" s="446"/>
      <c r="BB48" s="41" t="str">
        <f t="shared" si="2"/>
        <v/>
      </c>
      <c r="BC48" s="115"/>
      <c r="BD48" s="115"/>
      <c r="BE48" s="115"/>
      <c r="BF48" s="115"/>
      <c r="BG48" s="115"/>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115"/>
    </row>
    <row r="49" spans="1:111" ht="12" customHeight="1">
      <c r="A49" s="54">
        <f>IF(AV49=0,0,IF(SUM($A$31:A48)&lt;&gt;0,(SUM($A$31:A48)+1),1))</f>
        <v>0</v>
      </c>
      <c r="B49" s="440" t="s">
        <v>197</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B49" s="437"/>
      <c r="AC49" s="429"/>
      <c r="AD49" s="429"/>
      <c r="AE49" s="429"/>
      <c r="AF49" s="429"/>
      <c r="AG49" s="429"/>
      <c r="AH49" s="429"/>
      <c r="AI49" s="429"/>
      <c r="AJ49" s="429"/>
      <c r="AK49" s="429"/>
      <c r="AL49" s="429"/>
      <c r="AM49" s="429"/>
      <c r="AN49" s="429"/>
      <c r="AO49" s="429"/>
      <c r="AP49" s="429"/>
      <c r="AQ49" s="429"/>
      <c r="AR49" s="429"/>
      <c r="AS49" s="429"/>
      <c r="AT49" s="429"/>
      <c r="AU49" s="447"/>
      <c r="AV49" s="444">
        <f t="shared" si="0"/>
        <v>0</v>
      </c>
      <c r="AW49" s="445"/>
      <c r="AX49" s="445"/>
      <c r="AY49" s="445"/>
      <c r="AZ49" s="445"/>
      <c r="BA49" s="446"/>
      <c r="BB49" s="41" t="str">
        <f t="shared" si="2"/>
        <v/>
      </c>
      <c r="BC49" s="115"/>
      <c r="BD49" s="115"/>
      <c r="BE49" s="115"/>
      <c r="BF49" s="115"/>
      <c r="BG49" s="115"/>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115"/>
    </row>
    <row r="50" spans="1:111" ht="12" customHeight="1">
      <c r="A50" s="54">
        <f>IF(AV50=0,0,IF(SUM($A$31:A49)&lt;&gt;0,(SUM($A$31:A49)+1),1))</f>
        <v>0</v>
      </c>
      <c r="B50" s="440" t="s">
        <v>198</v>
      </c>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B50" s="437"/>
      <c r="AC50" s="429"/>
      <c r="AD50" s="429"/>
      <c r="AE50" s="429"/>
      <c r="AF50" s="429"/>
      <c r="AG50" s="429"/>
      <c r="AH50" s="429"/>
      <c r="AI50" s="429"/>
      <c r="AJ50" s="429"/>
      <c r="AK50" s="429"/>
      <c r="AL50" s="429"/>
      <c r="AM50" s="429"/>
      <c r="AN50" s="429"/>
      <c r="AO50" s="429"/>
      <c r="AP50" s="429"/>
      <c r="AQ50" s="429"/>
      <c r="AR50" s="429"/>
      <c r="AS50" s="429"/>
      <c r="AT50" s="429"/>
      <c r="AU50" s="447"/>
      <c r="AV50" s="444">
        <f t="shared" ref="AV50:AV113" si="3">BB1641</f>
        <v>0</v>
      </c>
      <c r="AW50" s="445"/>
      <c r="AX50" s="445"/>
      <c r="AY50" s="445"/>
      <c r="AZ50" s="445"/>
      <c r="BA50" s="446"/>
      <c r="BB50" s="41" t="str">
        <f t="shared" si="2"/>
        <v/>
      </c>
      <c r="BC50" s="115"/>
      <c r="BD50" s="115"/>
      <c r="BE50" s="115"/>
      <c r="BF50" s="115"/>
      <c r="BG50" s="115"/>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115"/>
    </row>
    <row r="51" spans="1:111" ht="12" customHeight="1">
      <c r="A51" s="54">
        <f>IF(AV51=0,0,IF(SUM($A$31:A50)&lt;&gt;0,(SUM($A$31:A50)+1),1))</f>
        <v>0</v>
      </c>
      <c r="B51" s="440" t="s">
        <v>199</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B51" s="437"/>
      <c r="AC51" s="429"/>
      <c r="AD51" s="429"/>
      <c r="AE51" s="429"/>
      <c r="AF51" s="429"/>
      <c r="AG51" s="429"/>
      <c r="AH51" s="429"/>
      <c r="AI51" s="429"/>
      <c r="AJ51" s="429"/>
      <c r="AK51" s="429"/>
      <c r="AL51" s="429"/>
      <c r="AM51" s="429"/>
      <c r="AN51" s="429"/>
      <c r="AO51" s="429"/>
      <c r="AP51" s="429"/>
      <c r="AQ51" s="429"/>
      <c r="AR51" s="429"/>
      <c r="AS51" s="429"/>
      <c r="AT51" s="429"/>
      <c r="AU51" s="447"/>
      <c r="AV51" s="444">
        <f t="shared" si="3"/>
        <v>0</v>
      </c>
      <c r="AW51" s="445"/>
      <c r="AX51" s="445"/>
      <c r="AY51" s="445"/>
      <c r="AZ51" s="445"/>
      <c r="BA51" s="446"/>
      <c r="BB51" s="41" t="str">
        <f t="shared" si="2"/>
        <v/>
      </c>
      <c r="BC51" s="115"/>
      <c r="BD51" s="115"/>
      <c r="BE51" s="115"/>
      <c r="BF51" s="115"/>
      <c r="BG51" s="115"/>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115"/>
    </row>
    <row r="52" spans="1:111" ht="12" customHeight="1">
      <c r="A52" s="54">
        <f>IF(AV52=0,0,IF(SUM($A$31:A51)&lt;&gt;0,(SUM($A$31:A51)+1),1))</f>
        <v>0</v>
      </c>
      <c r="B52" s="440" t="s">
        <v>200</v>
      </c>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B52" s="437"/>
      <c r="AC52" s="429"/>
      <c r="AD52" s="429"/>
      <c r="AE52" s="429"/>
      <c r="AF52" s="429"/>
      <c r="AG52" s="429"/>
      <c r="AH52" s="429"/>
      <c r="AI52" s="429"/>
      <c r="AJ52" s="429"/>
      <c r="AK52" s="429"/>
      <c r="AL52" s="429"/>
      <c r="AM52" s="429"/>
      <c r="AN52" s="429"/>
      <c r="AO52" s="429"/>
      <c r="AP52" s="429"/>
      <c r="AQ52" s="429"/>
      <c r="AR52" s="429"/>
      <c r="AS52" s="429"/>
      <c r="AT52" s="429"/>
      <c r="AU52" s="447"/>
      <c r="AV52" s="444">
        <f t="shared" si="3"/>
        <v>0</v>
      </c>
      <c r="AW52" s="445"/>
      <c r="AX52" s="445"/>
      <c r="AY52" s="445"/>
      <c r="AZ52" s="445"/>
      <c r="BA52" s="446"/>
      <c r="BB52" s="41" t="str">
        <f t="shared" si="2"/>
        <v/>
      </c>
      <c r="BC52" s="115"/>
      <c r="BD52" s="115"/>
      <c r="BE52" s="115"/>
      <c r="BF52" s="115"/>
      <c r="BG52" s="115"/>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115"/>
    </row>
    <row r="53" spans="1:111" ht="12" customHeight="1">
      <c r="A53" s="54">
        <f>IF(AV53=0,0,IF(SUM($A$31:A52)&lt;&gt;0,(SUM($A$31:A52)+1),1))</f>
        <v>0</v>
      </c>
      <c r="B53" s="440" t="s">
        <v>201</v>
      </c>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B53" s="437"/>
      <c r="AC53" s="429"/>
      <c r="AD53" s="429"/>
      <c r="AE53" s="429"/>
      <c r="AF53" s="429"/>
      <c r="AG53" s="429"/>
      <c r="AH53" s="429"/>
      <c r="AI53" s="429"/>
      <c r="AJ53" s="429"/>
      <c r="AK53" s="429"/>
      <c r="AL53" s="429"/>
      <c r="AM53" s="429"/>
      <c r="AN53" s="429"/>
      <c r="AO53" s="429"/>
      <c r="AP53" s="429"/>
      <c r="AQ53" s="429"/>
      <c r="AR53" s="429"/>
      <c r="AS53" s="429"/>
      <c r="AT53" s="429"/>
      <c r="AU53" s="447"/>
      <c r="AV53" s="444">
        <f t="shared" si="3"/>
        <v>0</v>
      </c>
      <c r="AW53" s="445"/>
      <c r="AX53" s="445"/>
      <c r="AY53" s="445"/>
      <c r="AZ53" s="445"/>
      <c r="BA53" s="446"/>
      <c r="BB53" s="41" t="str">
        <f t="shared" si="2"/>
        <v/>
      </c>
      <c r="BC53" s="115"/>
      <c r="BD53" s="115"/>
      <c r="BE53" s="115"/>
      <c r="BF53" s="115"/>
      <c r="BG53" s="115"/>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115"/>
    </row>
    <row r="54" spans="1:111" ht="12" customHeight="1">
      <c r="A54" s="54">
        <f>IF(AV54=0,0,IF(SUM($A$31:A53)&lt;&gt;0,(SUM($A$31:A53)+1),1))</f>
        <v>0</v>
      </c>
      <c r="B54" s="440" t="s">
        <v>202</v>
      </c>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B54" s="437"/>
      <c r="AC54" s="429"/>
      <c r="AD54" s="429"/>
      <c r="AE54" s="429"/>
      <c r="AF54" s="429"/>
      <c r="AG54" s="429"/>
      <c r="AH54" s="429"/>
      <c r="AI54" s="429"/>
      <c r="AJ54" s="429"/>
      <c r="AK54" s="429"/>
      <c r="AL54" s="429"/>
      <c r="AM54" s="429"/>
      <c r="AN54" s="429"/>
      <c r="AO54" s="429"/>
      <c r="AP54" s="429"/>
      <c r="AQ54" s="429"/>
      <c r="AR54" s="429"/>
      <c r="AS54" s="429"/>
      <c r="AT54" s="429"/>
      <c r="AU54" s="447"/>
      <c r="AV54" s="444">
        <f t="shared" si="3"/>
        <v>0</v>
      </c>
      <c r="AW54" s="445"/>
      <c r="AX54" s="445"/>
      <c r="AY54" s="445"/>
      <c r="AZ54" s="445"/>
      <c r="BA54" s="446"/>
      <c r="BB54" s="41" t="str">
        <f t="shared" si="2"/>
        <v/>
      </c>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row>
    <row r="55" spans="1:111" ht="12" customHeight="1">
      <c r="A55" s="54">
        <f>IF(AV55=0,0,IF(SUM($A$31:A54)&lt;&gt;0,(SUM($A$31:A54)+1),1))</f>
        <v>0</v>
      </c>
      <c r="B55" s="440" t="s">
        <v>203</v>
      </c>
      <c r="C55" s="440"/>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B55" s="437"/>
      <c r="AC55" s="429"/>
      <c r="AD55" s="429"/>
      <c r="AE55" s="429"/>
      <c r="AF55" s="429"/>
      <c r="AG55" s="429"/>
      <c r="AH55" s="429"/>
      <c r="AI55" s="429"/>
      <c r="AJ55" s="429"/>
      <c r="AK55" s="429"/>
      <c r="AL55" s="429"/>
      <c r="AM55" s="429"/>
      <c r="AN55" s="429"/>
      <c r="AO55" s="429"/>
      <c r="AP55" s="429"/>
      <c r="AQ55" s="429"/>
      <c r="AR55" s="429"/>
      <c r="AS55" s="429"/>
      <c r="AT55" s="429"/>
      <c r="AU55" s="447"/>
      <c r="AV55" s="444">
        <f t="shared" si="3"/>
        <v>0</v>
      </c>
      <c r="AW55" s="445"/>
      <c r="AX55" s="445"/>
      <c r="AY55" s="445"/>
      <c r="AZ55" s="445"/>
      <c r="BA55" s="446"/>
      <c r="BB55" s="41" t="str">
        <f t="shared" si="2"/>
        <v/>
      </c>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row>
    <row r="56" spans="1:111" ht="12" customHeight="1">
      <c r="A56" s="54">
        <f>IF(AV56=0,0,IF(SUM($A$31:A55)&lt;&gt;0,(SUM($A$31:A55)+1),1))</f>
        <v>0</v>
      </c>
      <c r="B56" s="440" t="s">
        <v>204</v>
      </c>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B56" s="437"/>
      <c r="AC56" s="429"/>
      <c r="AD56" s="429"/>
      <c r="AE56" s="429"/>
      <c r="AF56" s="429"/>
      <c r="AG56" s="429"/>
      <c r="AH56" s="429"/>
      <c r="AI56" s="429"/>
      <c r="AJ56" s="429"/>
      <c r="AK56" s="429"/>
      <c r="AL56" s="429"/>
      <c r="AM56" s="429"/>
      <c r="AN56" s="429"/>
      <c r="AO56" s="429"/>
      <c r="AP56" s="429"/>
      <c r="AQ56" s="429"/>
      <c r="AR56" s="429"/>
      <c r="AS56" s="429"/>
      <c r="AT56" s="429"/>
      <c r="AU56" s="447"/>
      <c r="AV56" s="444">
        <f t="shared" si="3"/>
        <v>0</v>
      </c>
      <c r="AW56" s="445"/>
      <c r="AX56" s="445"/>
      <c r="AY56" s="445"/>
      <c r="AZ56" s="445"/>
      <c r="BA56" s="446"/>
      <c r="BB56" s="41" t="str">
        <f t="shared" si="2"/>
        <v/>
      </c>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row>
    <row r="57" spans="1:111" ht="12" customHeight="1">
      <c r="A57" s="54">
        <f>IF(AV57=0,0,IF(SUM($A$31:A56)&lt;&gt;0,(SUM($A$31:A56)+1),1))</f>
        <v>0</v>
      </c>
      <c r="B57" s="440" t="s">
        <v>205</v>
      </c>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B57" s="437"/>
      <c r="AC57" s="429"/>
      <c r="AD57" s="429"/>
      <c r="AE57" s="429"/>
      <c r="AF57" s="429"/>
      <c r="AG57" s="429"/>
      <c r="AH57" s="429"/>
      <c r="AI57" s="429"/>
      <c r="AJ57" s="429"/>
      <c r="AK57" s="429"/>
      <c r="AL57" s="429"/>
      <c r="AM57" s="429"/>
      <c r="AN57" s="429"/>
      <c r="AO57" s="429"/>
      <c r="AP57" s="429"/>
      <c r="AQ57" s="429"/>
      <c r="AR57" s="429"/>
      <c r="AS57" s="429"/>
      <c r="AT57" s="429"/>
      <c r="AU57" s="447"/>
      <c r="AV57" s="444">
        <f t="shared" si="3"/>
        <v>0</v>
      </c>
      <c r="AW57" s="445"/>
      <c r="AX57" s="445"/>
      <c r="AY57" s="445"/>
      <c r="AZ57" s="445"/>
      <c r="BA57" s="446"/>
      <c r="BB57" s="41" t="str">
        <f t="shared" si="2"/>
        <v/>
      </c>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row>
    <row r="58" spans="1:111" ht="12" customHeight="1">
      <c r="A58" s="54">
        <f>IF(AV58=0,0,IF(SUM($A$31:A57)&lt;&gt;0,(SUM($A$31:A57)+1),1))</f>
        <v>0</v>
      </c>
      <c r="B58" s="460" t="s">
        <v>206</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B58" s="437"/>
      <c r="AC58" s="429"/>
      <c r="AD58" s="429"/>
      <c r="AE58" s="429"/>
      <c r="AF58" s="429"/>
      <c r="AG58" s="429"/>
      <c r="AH58" s="429"/>
      <c r="AI58" s="429"/>
      <c r="AJ58" s="429"/>
      <c r="AK58" s="429"/>
      <c r="AL58" s="429"/>
      <c r="AM58" s="429"/>
      <c r="AN58" s="429"/>
      <c r="AO58" s="429"/>
      <c r="AP58" s="429"/>
      <c r="AQ58" s="429"/>
      <c r="AR58" s="429"/>
      <c r="AS58" s="429"/>
      <c r="AT58" s="429"/>
      <c r="AU58" s="447"/>
      <c r="AV58" s="444">
        <f t="shared" si="3"/>
        <v>0</v>
      </c>
      <c r="AW58" s="445"/>
      <c r="AX58" s="445"/>
      <c r="AY58" s="445"/>
      <c r="AZ58" s="445"/>
      <c r="BA58" s="446"/>
      <c r="BB58" s="41" t="str">
        <f t="shared" si="2"/>
        <v/>
      </c>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row>
    <row r="59" spans="1:111" ht="12" customHeight="1">
      <c r="A59" s="54">
        <f>IF(AV59=0,0,IF(SUM($A$31:A58)&lt;&gt;0,(SUM($A$31:A58)+1),1))</f>
        <v>0</v>
      </c>
      <c r="B59" s="460" t="s">
        <v>207</v>
      </c>
      <c r="C59" s="460"/>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B59" s="437"/>
      <c r="AC59" s="429"/>
      <c r="AD59" s="429"/>
      <c r="AE59" s="429"/>
      <c r="AF59" s="429"/>
      <c r="AG59" s="429"/>
      <c r="AH59" s="429"/>
      <c r="AI59" s="429"/>
      <c r="AJ59" s="429"/>
      <c r="AK59" s="429"/>
      <c r="AL59" s="429"/>
      <c r="AM59" s="429"/>
      <c r="AN59" s="429"/>
      <c r="AO59" s="429"/>
      <c r="AP59" s="429"/>
      <c r="AQ59" s="429"/>
      <c r="AR59" s="429"/>
      <c r="AS59" s="429"/>
      <c r="AT59" s="429"/>
      <c r="AU59" s="447"/>
      <c r="AV59" s="444">
        <f t="shared" si="3"/>
        <v>0</v>
      </c>
      <c r="AW59" s="445"/>
      <c r="AX59" s="445"/>
      <c r="AY59" s="445"/>
      <c r="AZ59" s="445"/>
      <c r="BA59" s="446"/>
      <c r="BB59" s="41" t="str">
        <f t="shared" si="2"/>
        <v/>
      </c>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row>
    <row r="60" spans="1:111" ht="12" customHeight="1">
      <c r="A60" s="54">
        <f>IF(AV60=0,0,IF(SUM($A$31:A59)&lt;&gt;0,(SUM($A$31:A59)+1),1))</f>
        <v>1</v>
      </c>
      <c r="B60" s="460" t="s">
        <v>208</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B60" s="437"/>
      <c r="AC60" s="429"/>
      <c r="AD60" s="429"/>
      <c r="AE60" s="429"/>
      <c r="AF60" s="429"/>
      <c r="AG60" s="429"/>
      <c r="AH60" s="429"/>
      <c r="AI60" s="429"/>
      <c r="AJ60" s="429"/>
      <c r="AK60" s="429"/>
      <c r="AL60" s="429"/>
      <c r="AM60" s="429"/>
      <c r="AN60" s="429"/>
      <c r="AO60" s="429"/>
      <c r="AP60" s="429"/>
      <c r="AQ60" s="429">
        <v>25935</v>
      </c>
      <c r="AR60" s="429"/>
      <c r="AS60" s="429"/>
      <c r="AT60" s="429"/>
      <c r="AU60" s="447"/>
      <c r="AV60" s="444">
        <f t="shared" si="3"/>
        <v>25935</v>
      </c>
      <c r="AW60" s="445"/>
      <c r="AX60" s="445"/>
      <c r="AY60" s="445"/>
      <c r="AZ60" s="445"/>
      <c r="BA60" s="446"/>
      <c r="BB60" s="41">
        <f t="shared" si="2"/>
        <v>1</v>
      </c>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row>
    <row r="61" spans="1:111" ht="12" customHeight="1">
      <c r="A61" s="54">
        <f>IF(AV61=0,0,IF(SUM($A$31:A60)&lt;&gt;0,(SUM($A$31:A60)+1),1))</f>
        <v>0</v>
      </c>
      <c r="B61" s="460" t="s">
        <v>209</v>
      </c>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B61" s="437"/>
      <c r="AC61" s="429"/>
      <c r="AD61" s="429"/>
      <c r="AE61" s="429"/>
      <c r="AF61" s="429"/>
      <c r="AG61" s="429"/>
      <c r="AH61" s="429"/>
      <c r="AI61" s="429"/>
      <c r="AJ61" s="429"/>
      <c r="AK61" s="429"/>
      <c r="AL61" s="429"/>
      <c r="AM61" s="429"/>
      <c r="AN61" s="429"/>
      <c r="AO61" s="429"/>
      <c r="AP61" s="429"/>
      <c r="AQ61" s="429"/>
      <c r="AR61" s="429"/>
      <c r="AS61" s="429"/>
      <c r="AT61" s="429"/>
      <c r="AU61" s="447"/>
      <c r="AV61" s="444">
        <f t="shared" si="3"/>
        <v>0</v>
      </c>
      <c r="AW61" s="445"/>
      <c r="AX61" s="445"/>
      <c r="AY61" s="445"/>
      <c r="AZ61" s="445"/>
      <c r="BA61" s="446"/>
      <c r="BB61" s="41" t="str">
        <f t="shared" si="2"/>
        <v/>
      </c>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row>
    <row r="62" spans="1:111" ht="12" customHeight="1">
      <c r="A62" s="54">
        <f>IF(AV62=0,0,IF(SUM($A$31:A61)&lt;&gt;0,(SUM($A$31:A61)+1),1))</f>
        <v>0</v>
      </c>
      <c r="B62" s="440" t="s">
        <v>210</v>
      </c>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B62" s="437"/>
      <c r="AC62" s="429"/>
      <c r="AD62" s="429"/>
      <c r="AE62" s="429"/>
      <c r="AF62" s="429"/>
      <c r="AG62" s="429"/>
      <c r="AH62" s="429"/>
      <c r="AI62" s="429"/>
      <c r="AJ62" s="429"/>
      <c r="AK62" s="429"/>
      <c r="AL62" s="429"/>
      <c r="AM62" s="429"/>
      <c r="AN62" s="429"/>
      <c r="AO62" s="429"/>
      <c r="AP62" s="429"/>
      <c r="AQ62" s="429"/>
      <c r="AR62" s="429"/>
      <c r="AS62" s="429"/>
      <c r="AT62" s="429"/>
      <c r="AU62" s="447"/>
      <c r="AV62" s="444">
        <f t="shared" si="3"/>
        <v>0</v>
      </c>
      <c r="AW62" s="445"/>
      <c r="AX62" s="445"/>
      <c r="AY62" s="445"/>
      <c r="AZ62" s="445"/>
      <c r="BA62" s="446"/>
      <c r="BB62" s="41" t="str">
        <f t="shared" si="1"/>
        <v/>
      </c>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row>
    <row r="63" spans="1:111" ht="12" customHeight="1">
      <c r="A63" s="54">
        <f>IF(AV63=0,0,IF(SUM($A$31:A62)&lt;&gt;0,(SUM($A$31:A62)+1),1))</f>
        <v>0</v>
      </c>
      <c r="B63" s="460" t="s">
        <v>211</v>
      </c>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B63" s="437"/>
      <c r="AC63" s="429"/>
      <c r="AD63" s="429"/>
      <c r="AE63" s="429"/>
      <c r="AF63" s="429"/>
      <c r="AG63" s="429"/>
      <c r="AH63" s="429"/>
      <c r="AI63" s="429"/>
      <c r="AJ63" s="429"/>
      <c r="AK63" s="429"/>
      <c r="AL63" s="429"/>
      <c r="AM63" s="429"/>
      <c r="AN63" s="429"/>
      <c r="AO63" s="429"/>
      <c r="AP63" s="429"/>
      <c r="AQ63" s="429"/>
      <c r="AR63" s="429"/>
      <c r="AS63" s="429"/>
      <c r="AT63" s="429"/>
      <c r="AU63" s="447"/>
      <c r="AV63" s="444">
        <f t="shared" si="3"/>
        <v>0</v>
      </c>
      <c r="AW63" s="445"/>
      <c r="AX63" s="445"/>
      <c r="AY63" s="445"/>
      <c r="AZ63" s="445"/>
      <c r="BA63" s="446"/>
      <c r="BB63" s="41" t="str">
        <f t="shared" si="1"/>
        <v/>
      </c>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row>
    <row r="64" spans="1:111" ht="12" customHeight="1">
      <c r="A64" s="54">
        <f>IF(AV64=0,0,IF(SUM($A$31:A63)&lt;&gt;0,(SUM($A$31:A63)+1),1))</f>
        <v>0</v>
      </c>
      <c r="B64" s="460" t="s">
        <v>212</v>
      </c>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B64" s="437"/>
      <c r="AC64" s="429"/>
      <c r="AD64" s="429"/>
      <c r="AE64" s="429"/>
      <c r="AF64" s="429"/>
      <c r="AG64" s="429"/>
      <c r="AH64" s="429"/>
      <c r="AI64" s="429"/>
      <c r="AJ64" s="429"/>
      <c r="AK64" s="429"/>
      <c r="AL64" s="429"/>
      <c r="AM64" s="429"/>
      <c r="AN64" s="429"/>
      <c r="AO64" s="429"/>
      <c r="AP64" s="429"/>
      <c r="AQ64" s="429"/>
      <c r="AR64" s="429"/>
      <c r="AS64" s="429"/>
      <c r="AT64" s="429"/>
      <c r="AU64" s="447"/>
      <c r="AV64" s="444">
        <f t="shared" si="3"/>
        <v>0</v>
      </c>
      <c r="AW64" s="445"/>
      <c r="AX64" s="445"/>
      <c r="AY64" s="445"/>
      <c r="AZ64" s="445"/>
      <c r="BA64" s="446"/>
      <c r="BB64" s="41" t="str">
        <f t="shared" si="1"/>
        <v/>
      </c>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row>
    <row r="65" spans="1:111" ht="12" customHeight="1">
      <c r="A65" s="54">
        <f>IF(AV65=0,0,IF(SUM($A$31:A64)&lt;&gt;0,(SUM($A$31:A64)+1),1))</f>
        <v>0</v>
      </c>
      <c r="B65" s="440" t="s">
        <v>213</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B65" s="437"/>
      <c r="AC65" s="429"/>
      <c r="AD65" s="429"/>
      <c r="AE65" s="429"/>
      <c r="AF65" s="429"/>
      <c r="AG65" s="429"/>
      <c r="AH65" s="429"/>
      <c r="AI65" s="429"/>
      <c r="AJ65" s="429"/>
      <c r="AK65" s="429"/>
      <c r="AL65" s="429"/>
      <c r="AM65" s="429"/>
      <c r="AN65" s="429"/>
      <c r="AO65" s="429"/>
      <c r="AP65" s="429"/>
      <c r="AQ65" s="429"/>
      <c r="AR65" s="429"/>
      <c r="AS65" s="429"/>
      <c r="AT65" s="429"/>
      <c r="AU65" s="447"/>
      <c r="AV65" s="444">
        <f t="shared" si="3"/>
        <v>0</v>
      </c>
      <c r="AW65" s="445"/>
      <c r="AX65" s="445"/>
      <c r="AY65" s="445"/>
      <c r="AZ65" s="445"/>
      <c r="BA65" s="446"/>
      <c r="BB65" s="41" t="str">
        <f t="shared" si="1"/>
        <v/>
      </c>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row>
    <row r="66" spans="1:111" ht="12" customHeight="1">
      <c r="A66" s="54">
        <f>IF(AV66=0,0,IF(SUM($A$31:A65)&lt;&gt;0,(SUM($A$31:A65)+1),1))</f>
        <v>0</v>
      </c>
      <c r="B66" s="440" t="s">
        <v>214</v>
      </c>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B66" s="437"/>
      <c r="AC66" s="429"/>
      <c r="AD66" s="429"/>
      <c r="AE66" s="429"/>
      <c r="AF66" s="429"/>
      <c r="AG66" s="429"/>
      <c r="AH66" s="429"/>
      <c r="AI66" s="429"/>
      <c r="AJ66" s="429"/>
      <c r="AK66" s="429"/>
      <c r="AL66" s="429"/>
      <c r="AM66" s="429"/>
      <c r="AN66" s="429"/>
      <c r="AO66" s="429"/>
      <c r="AP66" s="429"/>
      <c r="AQ66" s="429"/>
      <c r="AR66" s="429"/>
      <c r="AS66" s="429"/>
      <c r="AT66" s="429"/>
      <c r="AU66" s="447"/>
      <c r="AV66" s="444">
        <f t="shared" si="3"/>
        <v>0</v>
      </c>
      <c r="AW66" s="445"/>
      <c r="AX66" s="445"/>
      <c r="AY66" s="445"/>
      <c r="AZ66" s="445"/>
      <c r="BA66" s="446"/>
      <c r="BB66" s="41" t="str">
        <f t="shared" si="1"/>
        <v/>
      </c>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row>
    <row r="67" spans="1:111" ht="12" customHeight="1">
      <c r="A67" s="54">
        <f>IF(AV67=0,0,IF(SUM($A$31:A66)&lt;&gt;0,(SUM($A$31:A66)+1),1))</f>
        <v>2</v>
      </c>
      <c r="B67" s="460" t="s">
        <v>215</v>
      </c>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B67" s="437"/>
      <c r="AC67" s="429"/>
      <c r="AD67" s="429"/>
      <c r="AE67" s="429"/>
      <c r="AF67" s="429"/>
      <c r="AG67" s="429"/>
      <c r="AH67" s="429"/>
      <c r="AI67" s="429"/>
      <c r="AJ67" s="429"/>
      <c r="AK67" s="429"/>
      <c r="AL67" s="429">
        <v>215925</v>
      </c>
      <c r="AM67" s="429"/>
      <c r="AN67" s="429"/>
      <c r="AO67" s="429"/>
      <c r="AP67" s="429"/>
      <c r="AQ67" s="429"/>
      <c r="AR67" s="429"/>
      <c r="AS67" s="429"/>
      <c r="AT67" s="429"/>
      <c r="AU67" s="447"/>
      <c r="AV67" s="444">
        <f t="shared" si="3"/>
        <v>215925</v>
      </c>
      <c r="AW67" s="445"/>
      <c r="AX67" s="445"/>
      <c r="AY67" s="445"/>
      <c r="AZ67" s="445"/>
      <c r="BA67" s="446"/>
      <c r="BB67" s="41">
        <f t="shared" si="1"/>
        <v>1</v>
      </c>
      <c r="BC67" s="115"/>
      <c r="BD67" s="115"/>
      <c r="BE67" s="115"/>
      <c r="BF67" s="115"/>
      <c r="BG67" s="115"/>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115"/>
    </row>
    <row r="68" spans="1:111" ht="12" customHeight="1">
      <c r="A68" s="54">
        <f>IF(AV68=0,0,IF(SUM($A$31:A67)&lt;&gt;0,(SUM($A$31:A67)+1),1))</f>
        <v>4</v>
      </c>
      <c r="B68" s="460" t="s">
        <v>216</v>
      </c>
      <c r="C68" s="460"/>
      <c r="D68" s="460"/>
      <c r="E68" s="460"/>
      <c r="F68" s="460"/>
      <c r="G68" s="460"/>
      <c r="H68" s="460"/>
      <c r="I68" s="460"/>
      <c r="J68" s="460"/>
      <c r="K68" s="460"/>
      <c r="L68" s="460"/>
      <c r="M68" s="460"/>
      <c r="N68" s="460"/>
      <c r="O68" s="460"/>
      <c r="P68" s="460"/>
      <c r="Q68" s="460"/>
      <c r="R68" s="460"/>
      <c r="S68" s="460"/>
      <c r="T68" s="460"/>
      <c r="U68" s="460"/>
      <c r="V68" s="460"/>
      <c r="W68" s="460"/>
      <c r="X68" s="460"/>
      <c r="Y68" s="460"/>
      <c r="Z68" s="460"/>
      <c r="AB68" s="437">
        <v>1043255</v>
      </c>
      <c r="AC68" s="429"/>
      <c r="AD68" s="429"/>
      <c r="AE68" s="429"/>
      <c r="AF68" s="429"/>
      <c r="AG68" s="429">
        <v>518940</v>
      </c>
      <c r="AH68" s="429"/>
      <c r="AI68" s="429"/>
      <c r="AJ68" s="429"/>
      <c r="AK68" s="429"/>
      <c r="AL68" s="429"/>
      <c r="AM68" s="429"/>
      <c r="AN68" s="429"/>
      <c r="AO68" s="429"/>
      <c r="AP68" s="429"/>
      <c r="AQ68" s="429">
        <v>606777.52</v>
      </c>
      <c r="AR68" s="429"/>
      <c r="AS68" s="429"/>
      <c r="AT68" s="429"/>
      <c r="AU68" s="447"/>
      <c r="AV68" s="444">
        <f t="shared" si="3"/>
        <v>2168972.52</v>
      </c>
      <c r="AW68" s="445"/>
      <c r="AX68" s="445"/>
      <c r="AY68" s="445"/>
      <c r="AZ68" s="445"/>
      <c r="BA68" s="446"/>
      <c r="BB68" s="41">
        <f t="shared" si="1"/>
        <v>1</v>
      </c>
      <c r="BC68" s="115"/>
      <c r="BD68" s="115"/>
      <c r="BE68" s="115"/>
      <c r="BF68" s="115"/>
      <c r="BG68" s="115"/>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115"/>
    </row>
    <row r="69" spans="1:111" ht="12" customHeight="1">
      <c r="A69" s="54">
        <f>IF(AV69=0,0,IF(SUM($A$31:A68)&lt;&gt;0,(SUM($A$31:A68)+1),1))</f>
        <v>0</v>
      </c>
      <c r="B69" s="440" t="s">
        <v>217</v>
      </c>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B69" s="437"/>
      <c r="AC69" s="429"/>
      <c r="AD69" s="429"/>
      <c r="AE69" s="429"/>
      <c r="AF69" s="429"/>
      <c r="AG69" s="429"/>
      <c r="AH69" s="429"/>
      <c r="AI69" s="429"/>
      <c r="AJ69" s="429"/>
      <c r="AK69" s="429"/>
      <c r="AL69" s="429"/>
      <c r="AM69" s="429"/>
      <c r="AN69" s="429"/>
      <c r="AO69" s="429"/>
      <c r="AP69" s="429"/>
      <c r="AQ69" s="429"/>
      <c r="AR69" s="429"/>
      <c r="AS69" s="429"/>
      <c r="AT69" s="429"/>
      <c r="AU69" s="447"/>
      <c r="AV69" s="444">
        <f t="shared" si="3"/>
        <v>0</v>
      </c>
      <c r="AW69" s="445"/>
      <c r="AX69" s="445"/>
      <c r="AY69" s="445"/>
      <c r="AZ69" s="445"/>
      <c r="BA69" s="446"/>
      <c r="BB69" s="41" t="str">
        <f t="shared" si="1"/>
        <v/>
      </c>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row>
    <row r="70" spans="1:111" ht="12" customHeight="1">
      <c r="A70" s="54">
        <f>IF(AV70=0,0,IF(SUM($A$31:A69)&lt;&gt;0,(SUM($A$31:A69)+1),1))</f>
        <v>0</v>
      </c>
      <c r="B70" s="440" t="s">
        <v>218</v>
      </c>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440"/>
      <c r="AB70" s="437"/>
      <c r="AC70" s="429"/>
      <c r="AD70" s="429"/>
      <c r="AE70" s="429"/>
      <c r="AF70" s="429"/>
      <c r="AG70" s="429"/>
      <c r="AH70" s="429"/>
      <c r="AI70" s="429"/>
      <c r="AJ70" s="429"/>
      <c r="AK70" s="429"/>
      <c r="AL70" s="429"/>
      <c r="AM70" s="429"/>
      <c r="AN70" s="429"/>
      <c r="AO70" s="429"/>
      <c r="AP70" s="429"/>
      <c r="AQ70" s="429"/>
      <c r="AR70" s="429"/>
      <c r="AS70" s="429"/>
      <c r="AT70" s="429"/>
      <c r="AU70" s="447"/>
      <c r="AV70" s="444">
        <f t="shared" si="3"/>
        <v>0</v>
      </c>
      <c r="AW70" s="445"/>
      <c r="AX70" s="445"/>
      <c r="AY70" s="445"/>
      <c r="AZ70" s="445"/>
      <c r="BA70" s="446"/>
      <c r="BB70" s="41" t="str">
        <f t="shared" si="1"/>
        <v/>
      </c>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row>
    <row r="71" spans="1:111" ht="12" customHeight="1">
      <c r="A71" s="54">
        <f>IF(AV71=0,0,IF(SUM($A$31:A70)&lt;&gt;0,(SUM($A$31:A70)+1),1))</f>
        <v>0</v>
      </c>
      <c r="B71" s="440" t="s">
        <v>219</v>
      </c>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440"/>
      <c r="AB71" s="437"/>
      <c r="AC71" s="429"/>
      <c r="AD71" s="429"/>
      <c r="AE71" s="429"/>
      <c r="AF71" s="429"/>
      <c r="AG71" s="429"/>
      <c r="AH71" s="429"/>
      <c r="AI71" s="429"/>
      <c r="AJ71" s="429"/>
      <c r="AK71" s="429"/>
      <c r="AL71" s="429"/>
      <c r="AM71" s="429"/>
      <c r="AN71" s="429"/>
      <c r="AO71" s="429"/>
      <c r="AP71" s="429"/>
      <c r="AQ71" s="429"/>
      <c r="AR71" s="429"/>
      <c r="AS71" s="429"/>
      <c r="AT71" s="429"/>
      <c r="AU71" s="447"/>
      <c r="AV71" s="444">
        <f t="shared" si="3"/>
        <v>0</v>
      </c>
      <c r="AW71" s="445"/>
      <c r="AX71" s="445"/>
      <c r="AY71" s="445"/>
      <c r="AZ71" s="445"/>
      <c r="BA71" s="446"/>
      <c r="BB71" s="41" t="str">
        <f t="shared" si="1"/>
        <v/>
      </c>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row>
    <row r="72" spans="1:111" ht="12" customHeight="1">
      <c r="A72" s="54">
        <f>IF(AV72=0,0,IF(SUM($A$31:A71)&lt;&gt;0,(SUM($A$31:A71)+1),1))</f>
        <v>0</v>
      </c>
      <c r="B72" s="440" t="s">
        <v>220</v>
      </c>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B72" s="437"/>
      <c r="AC72" s="429"/>
      <c r="AD72" s="429"/>
      <c r="AE72" s="429"/>
      <c r="AF72" s="429"/>
      <c r="AG72" s="429"/>
      <c r="AH72" s="429"/>
      <c r="AI72" s="429"/>
      <c r="AJ72" s="429"/>
      <c r="AK72" s="429"/>
      <c r="AL72" s="429"/>
      <c r="AM72" s="429"/>
      <c r="AN72" s="429"/>
      <c r="AO72" s="429"/>
      <c r="AP72" s="429"/>
      <c r="AQ72" s="429"/>
      <c r="AR72" s="429"/>
      <c r="AS72" s="429"/>
      <c r="AT72" s="429"/>
      <c r="AU72" s="447"/>
      <c r="AV72" s="444">
        <f t="shared" si="3"/>
        <v>0</v>
      </c>
      <c r="AW72" s="445"/>
      <c r="AX72" s="445"/>
      <c r="AY72" s="445"/>
      <c r="AZ72" s="445"/>
      <c r="BA72" s="446"/>
      <c r="BB72" s="41" t="str">
        <f t="shared" si="1"/>
        <v/>
      </c>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row>
    <row r="73" spans="1:111" ht="12" customHeight="1">
      <c r="A73" s="54">
        <f>IF(AV73=0,0,IF(SUM($A$31:A72)&lt;&gt;0,(SUM($A$31:A72)+1),1))</f>
        <v>0</v>
      </c>
      <c r="B73" s="440" t="s">
        <v>221</v>
      </c>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B73" s="437"/>
      <c r="AC73" s="429"/>
      <c r="AD73" s="429"/>
      <c r="AE73" s="429"/>
      <c r="AF73" s="429"/>
      <c r="AG73" s="429"/>
      <c r="AH73" s="429"/>
      <c r="AI73" s="429"/>
      <c r="AJ73" s="429"/>
      <c r="AK73" s="429"/>
      <c r="AL73" s="429"/>
      <c r="AM73" s="429"/>
      <c r="AN73" s="429"/>
      <c r="AO73" s="429"/>
      <c r="AP73" s="429"/>
      <c r="AQ73" s="429"/>
      <c r="AR73" s="429"/>
      <c r="AS73" s="429"/>
      <c r="AT73" s="429"/>
      <c r="AU73" s="447"/>
      <c r="AV73" s="444">
        <f t="shared" si="3"/>
        <v>0</v>
      </c>
      <c r="AW73" s="445"/>
      <c r="AX73" s="445"/>
      <c r="AY73" s="445"/>
      <c r="AZ73" s="445"/>
      <c r="BA73" s="446"/>
      <c r="BB73" s="41" t="str">
        <f t="shared" si="1"/>
        <v/>
      </c>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row>
    <row r="74" spans="1:111" ht="12" customHeight="1">
      <c r="A74" s="54">
        <f>IF(AV74=0,0,IF(SUM($A$31:A73)&lt;&gt;0,(SUM($A$31:A73)+1),1))</f>
        <v>0</v>
      </c>
      <c r="B74" s="460" t="s">
        <v>222</v>
      </c>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B74" s="437"/>
      <c r="AC74" s="429"/>
      <c r="AD74" s="429"/>
      <c r="AE74" s="429"/>
      <c r="AF74" s="429"/>
      <c r="AG74" s="429"/>
      <c r="AH74" s="429"/>
      <c r="AI74" s="429"/>
      <c r="AJ74" s="429"/>
      <c r="AK74" s="429"/>
      <c r="AL74" s="429"/>
      <c r="AM74" s="429"/>
      <c r="AN74" s="429"/>
      <c r="AO74" s="429"/>
      <c r="AP74" s="429"/>
      <c r="AQ74" s="429"/>
      <c r="AR74" s="429"/>
      <c r="AS74" s="429"/>
      <c r="AT74" s="429"/>
      <c r="AU74" s="447"/>
      <c r="AV74" s="444">
        <f t="shared" si="3"/>
        <v>0</v>
      </c>
      <c r="AW74" s="445"/>
      <c r="AX74" s="445"/>
      <c r="AY74" s="445"/>
      <c r="AZ74" s="445"/>
      <c r="BA74" s="446"/>
      <c r="BB74" s="41" t="str">
        <f t="shared" si="1"/>
        <v/>
      </c>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row>
    <row r="75" spans="1:111" ht="12" customHeight="1">
      <c r="A75" s="54">
        <f>IF(AV75=0,0,IF(SUM($A$31:A74)&lt;&gt;0,(SUM($A$31:A74)+1),1))</f>
        <v>0</v>
      </c>
      <c r="B75" s="440" t="s">
        <v>223</v>
      </c>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B75" s="437"/>
      <c r="AC75" s="429"/>
      <c r="AD75" s="429"/>
      <c r="AE75" s="429"/>
      <c r="AF75" s="429"/>
      <c r="AG75" s="429"/>
      <c r="AH75" s="429"/>
      <c r="AI75" s="429"/>
      <c r="AJ75" s="429"/>
      <c r="AK75" s="429"/>
      <c r="AL75" s="429"/>
      <c r="AM75" s="429"/>
      <c r="AN75" s="429"/>
      <c r="AO75" s="429"/>
      <c r="AP75" s="429"/>
      <c r="AQ75" s="429"/>
      <c r="AR75" s="429"/>
      <c r="AS75" s="429"/>
      <c r="AT75" s="429"/>
      <c r="AU75" s="447"/>
      <c r="AV75" s="444">
        <f t="shared" si="3"/>
        <v>0</v>
      </c>
      <c r="AW75" s="445"/>
      <c r="AX75" s="445"/>
      <c r="AY75" s="445"/>
      <c r="AZ75" s="445"/>
      <c r="BA75" s="446"/>
      <c r="BB75" s="41" t="str">
        <f t="shared" si="1"/>
        <v/>
      </c>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row>
    <row r="76" spans="1:111" ht="12" customHeight="1">
      <c r="A76" s="54">
        <f>IF(AV76=0,0,IF(SUM($A$31:A75)&lt;&gt;0,(SUM($A$31:A75)+1),1))</f>
        <v>0</v>
      </c>
      <c r="B76" s="440" t="s">
        <v>224</v>
      </c>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B76" s="437"/>
      <c r="AC76" s="429"/>
      <c r="AD76" s="429"/>
      <c r="AE76" s="429"/>
      <c r="AF76" s="429"/>
      <c r="AG76" s="429"/>
      <c r="AH76" s="429"/>
      <c r="AI76" s="429"/>
      <c r="AJ76" s="429"/>
      <c r="AK76" s="429"/>
      <c r="AL76" s="429"/>
      <c r="AM76" s="429"/>
      <c r="AN76" s="429"/>
      <c r="AO76" s="429"/>
      <c r="AP76" s="429"/>
      <c r="AQ76" s="429"/>
      <c r="AR76" s="429"/>
      <c r="AS76" s="429"/>
      <c r="AT76" s="429"/>
      <c r="AU76" s="447"/>
      <c r="AV76" s="444">
        <f t="shared" si="3"/>
        <v>0</v>
      </c>
      <c r="AW76" s="445"/>
      <c r="AX76" s="445"/>
      <c r="AY76" s="445"/>
      <c r="AZ76" s="445"/>
      <c r="BA76" s="446"/>
      <c r="BB76" s="41" t="str">
        <f t="shared" si="1"/>
        <v/>
      </c>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row>
    <row r="77" spans="1:111" ht="12" customHeight="1">
      <c r="A77" s="54">
        <f>IF(AV77=0,0,IF(SUM($A$31:A76)&lt;&gt;0,(SUM($A$31:A76)+1),1))</f>
        <v>0</v>
      </c>
      <c r="B77" s="460" t="s">
        <v>225</v>
      </c>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B77" s="437"/>
      <c r="AC77" s="429"/>
      <c r="AD77" s="429"/>
      <c r="AE77" s="429"/>
      <c r="AF77" s="429"/>
      <c r="AG77" s="429"/>
      <c r="AH77" s="429"/>
      <c r="AI77" s="429"/>
      <c r="AJ77" s="429"/>
      <c r="AK77" s="429"/>
      <c r="AL77" s="429"/>
      <c r="AM77" s="429"/>
      <c r="AN77" s="429"/>
      <c r="AO77" s="429"/>
      <c r="AP77" s="429"/>
      <c r="AQ77" s="429"/>
      <c r="AR77" s="429"/>
      <c r="AS77" s="429"/>
      <c r="AT77" s="429"/>
      <c r="AU77" s="447"/>
      <c r="AV77" s="444">
        <f t="shared" si="3"/>
        <v>0</v>
      </c>
      <c r="AW77" s="445"/>
      <c r="AX77" s="445"/>
      <c r="AY77" s="445"/>
      <c r="AZ77" s="445"/>
      <c r="BA77" s="446"/>
      <c r="BB77" s="41" t="str">
        <f t="shared" ref="BB77:BB91" si="4">IF(AV77=0,"",1)</f>
        <v/>
      </c>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row>
    <row r="78" spans="1:111" ht="12" customHeight="1">
      <c r="A78" s="54">
        <f>IF(AV78=0,0,IF(SUM($A$31:A77)&lt;&gt;0,(SUM($A$31:A77)+1),1))</f>
        <v>8</v>
      </c>
      <c r="B78" s="460" t="s">
        <v>226</v>
      </c>
      <c r="C78" s="460"/>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B78" s="437"/>
      <c r="AC78" s="429"/>
      <c r="AD78" s="429"/>
      <c r="AE78" s="429"/>
      <c r="AF78" s="429"/>
      <c r="AG78" s="429">
        <v>129815.62</v>
      </c>
      <c r="AH78" s="429"/>
      <c r="AI78" s="429"/>
      <c r="AJ78" s="429"/>
      <c r="AK78" s="429"/>
      <c r="AL78" s="429"/>
      <c r="AM78" s="429"/>
      <c r="AN78" s="429"/>
      <c r="AO78" s="429"/>
      <c r="AP78" s="429"/>
      <c r="AQ78" s="429"/>
      <c r="AR78" s="429"/>
      <c r="AS78" s="429"/>
      <c r="AT78" s="429"/>
      <c r="AU78" s="447"/>
      <c r="AV78" s="444">
        <f t="shared" si="3"/>
        <v>129815.62</v>
      </c>
      <c r="AW78" s="445"/>
      <c r="AX78" s="445"/>
      <c r="AY78" s="445"/>
      <c r="AZ78" s="445"/>
      <c r="BA78" s="446"/>
      <c r="BB78" s="41">
        <f t="shared" si="4"/>
        <v>1</v>
      </c>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row>
    <row r="79" spans="1:111" ht="12" customHeight="1">
      <c r="A79" s="54">
        <f>IF(AV79=0,0,IF(SUM($A$31:A78)&lt;&gt;0,(SUM($A$31:A78)+1),1))</f>
        <v>0</v>
      </c>
      <c r="B79" s="440" t="s">
        <v>227</v>
      </c>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B79" s="437"/>
      <c r="AC79" s="429"/>
      <c r="AD79" s="429"/>
      <c r="AE79" s="429"/>
      <c r="AF79" s="429"/>
      <c r="AG79" s="429"/>
      <c r="AH79" s="429"/>
      <c r="AI79" s="429"/>
      <c r="AJ79" s="429"/>
      <c r="AK79" s="429"/>
      <c r="AL79" s="429"/>
      <c r="AM79" s="429"/>
      <c r="AN79" s="429"/>
      <c r="AO79" s="429"/>
      <c r="AP79" s="429"/>
      <c r="AQ79" s="429"/>
      <c r="AR79" s="429"/>
      <c r="AS79" s="429"/>
      <c r="AT79" s="429"/>
      <c r="AU79" s="447"/>
      <c r="AV79" s="444">
        <f t="shared" si="3"/>
        <v>0</v>
      </c>
      <c r="AW79" s="445"/>
      <c r="AX79" s="445"/>
      <c r="AY79" s="445"/>
      <c r="AZ79" s="445"/>
      <c r="BA79" s="446"/>
      <c r="BB79" s="41" t="str">
        <f t="shared" si="4"/>
        <v/>
      </c>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row>
    <row r="80" spans="1:111" ht="12" customHeight="1">
      <c r="A80" s="54">
        <f>IF(AV80=0,0,IF(SUM($A$31:A79)&lt;&gt;0,(SUM($A$31:A79)+1),1))</f>
        <v>0</v>
      </c>
      <c r="B80" s="440" t="s">
        <v>228</v>
      </c>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B80" s="437"/>
      <c r="AC80" s="429"/>
      <c r="AD80" s="429"/>
      <c r="AE80" s="429"/>
      <c r="AF80" s="429"/>
      <c r="AG80" s="429"/>
      <c r="AH80" s="429"/>
      <c r="AI80" s="429"/>
      <c r="AJ80" s="429"/>
      <c r="AK80" s="429"/>
      <c r="AL80" s="429"/>
      <c r="AM80" s="429"/>
      <c r="AN80" s="429"/>
      <c r="AO80" s="429"/>
      <c r="AP80" s="429"/>
      <c r="AQ80" s="429"/>
      <c r="AR80" s="429"/>
      <c r="AS80" s="429"/>
      <c r="AT80" s="429"/>
      <c r="AU80" s="447"/>
      <c r="AV80" s="444">
        <f t="shared" si="3"/>
        <v>0</v>
      </c>
      <c r="AW80" s="445"/>
      <c r="AX80" s="445"/>
      <c r="AY80" s="445"/>
      <c r="AZ80" s="445"/>
      <c r="BA80" s="446"/>
      <c r="BB80" s="41" t="str">
        <f t="shared" si="4"/>
        <v/>
      </c>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row>
    <row r="81" spans="1:111" ht="12" customHeight="1">
      <c r="A81" s="54">
        <f>IF(AV81=0,0,IF(SUM($A$31:A80)&lt;&gt;0,(SUM($A$31:A80)+1),1))</f>
        <v>0</v>
      </c>
      <c r="B81" s="440" t="s">
        <v>229</v>
      </c>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B81" s="437"/>
      <c r="AC81" s="429"/>
      <c r="AD81" s="429"/>
      <c r="AE81" s="429"/>
      <c r="AF81" s="429"/>
      <c r="AG81" s="429"/>
      <c r="AH81" s="429"/>
      <c r="AI81" s="429"/>
      <c r="AJ81" s="429"/>
      <c r="AK81" s="429"/>
      <c r="AL81" s="429"/>
      <c r="AM81" s="429"/>
      <c r="AN81" s="429"/>
      <c r="AO81" s="429"/>
      <c r="AP81" s="429"/>
      <c r="AQ81" s="429"/>
      <c r="AR81" s="429"/>
      <c r="AS81" s="429"/>
      <c r="AT81" s="429"/>
      <c r="AU81" s="447"/>
      <c r="AV81" s="444">
        <f t="shared" si="3"/>
        <v>0</v>
      </c>
      <c r="AW81" s="445"/>
      <c r="AX81" s="445"/>
      <c r="AY81" s="445"/>
      <c r="AZ81" s="445"/>
      <c r="BA81" s="446"/>
      <c r="BB81" s="41" t="str">
        <f t="shared" si="4"/>
        <v/>
      </c>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row>
    <row r="82" spans="1:111" ht="12" customHeight="1">
      <c r="A82" s="54">
        <f>IF(AV82=0,0,IF(SUM($A$31:A81)&lt;&gt;0,(SUM($A$31:A81)+1),1))</f>
        <v>0</v>
      </c>
      <c r="B82" s="440" t="s">
        <v>230</v>
      </c>
      <c r="C82" s="440"/>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B82" s="437"/>
      <c r="AC82" s="429"/>
      <c r="AD82" s="429"/>
      <c r="AE82" s="429"/>
      <c r="AF82" s="429"/>
      <c r="AG82" s="429"/>
      <c r="AH82" s="429"/>
      <c r="AI82" s="429"/>
      <c r="AJ82" s="429"/>
      <c r="AK82" s="429"/>
      <c r="AL82" s="429"/>
      <c r="AM82" s="429"/>
      <c r="AN82" s="429"/>
      <c r="AO82" s="429"/>
      <c r="AP82" s="429"/>
      <c r="AQ82" s="429"/>
      <c r="AR82" s="429"/>
      <c r="AS82" s="429"/>
      <c r="AT82" s="429"/>
      <c r="AU82" s="447"/>
      <c r="AV82" s="444">
        <f t="shared" si="3"/>
        <v>0</v>
      </c>
      <c r="AW82" s="445"/>
      <c r="AX82" s="445"/>
      <c r="AY82" s="445"/>
      <c r="AZ82" s="445"/>
      <c r="BA82" s="446"/>
      <c r="BB82" s="41" t="str">
        <f t="shared" si="4"/>
        <v/>
      </c>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row>
    <row r="83" spans="1:111" ht="12" customHeight="1">
      <c r="A83" s="54">
        <f>IF(AV83=0,0,IF(SUM($A$31:A82)&lt;&gt;0,(SUM($A$31:A82)+1),1))</f>
        <v>0</v>
      </c>
      <c r="B83" s="440" t="s">
        <v>231</v>
      </c>
      <c r="C83" s="440"/>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B83" s="437"/>
      <c r="AC83" s="429"/>
      <c r="AD83" s="429"/>
      <c r="AE83" s="429"/>
      <c r="AF83" s="429"/>
      <c r="AG83" s="429"/>
      <c r="AH83" s="429"/>
      <c r="AI83" s="429"/>
      <c r="AJ83" s="429"/>
      <c r="AK83" s="429"/>
      <c r="AL83" s="429"/>
      <c r="AM83" s="429"/>
      <c r="AN83" s="429"/>
      <c r="AO83" s="429"/>
      <c r="AP83" s="429"/>
      <c r="AQ83" s="429"/>
      <c r="AR83" s="429"/>
      <c r="AS83" s="429"/>
      <c r="AT83" s="429"/>
      <c r="AU83" s="447"/>
      <c r="AV83" s="444">
        <f t="shared" si="3"/>
        <v>0</v>
      </c>
      <c r="AW83" s="445"/>
      <c r="AX83" s="445"/>
      <c r="AY83" s="445"/>
      <c r="AZ83" s="445"/>
      <c r="BA83" s="446"/>
      <c r="BB83" s="41" t="str">
        <f t="shared" si="4"/>
        <v/>
      </c>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row>
    <row r="84" spans="1:111" ht="12" customHeight="1">
      <c r="A84" s="54">
        <f>IF(AV84=0,0,IF(SUM($A$31:A83)&lt;&gt;0,(SUM($A$31:A83)+1),1))</f>
        <v>0</v>
      </c>
      <c r="B84" s="440" t="s">
        <v>232</v>
      </c>
      <c r="C84" s="440"/>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B84" s="437"/>
      <c r="AC84" s="429"/>
      <c r="AD84" s="429"/>
      <c r="AE84" s="429"/>
      <c r="AF84" s="429"/>
      <c r="AG84" s="429"/>
      <c r="AH84" s="429"/>
      <c r="AI84" s="429"/>
      <c r="AJ84" s="429"/>
      <c r="AK84" s="429"/>
      <c r="AL84" s="429"/>
      <c r="AM84" s="429"/>
      <c r="AN84" s="429"/>
      <c r="AO84" s="429"/>
      <c r="AP84" s="429"/>
      <c r="AQ84" s="429"/>
      <c r="AR84" s="429"/>
      <c r="AS84" s="429"/>
      <c r="AT84" s="429"/>
      <c r="AU84" s="447"/>
      <c r="AV84" s="444">
        <f t="shared" si="3"/>
        <v>0</v>
      </c>
      <c r="AW84" s="445"/>
      <c r="AX84" s="445"/>
      <c r="AY84" s="445"/>
      <c r="AZ84" s="445"/>
      <c r="BA84" s="446"/>
      <c r="BB84" s="41" t="str">
        <f t="shared" si="4"/>
        <v/>
      </c>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row>
    <row r="85" spans="1:111" ht="12" customHeight="1">
      <c r="A85" s="54">
        <f>IF(AV85=0,0,IF(SUM($A$31:A84)&lt;&gt;0,(SUM($A$31:A84)+1),1))</f>
        <v>0</v>
      </c>
      <c r="B85" s="440" t="s">
        <v>233</v>
      </c>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B85" s="437"/>
      <c r="AC85" s="429"/>
      <c r="AD85" s="429"/>
      <c r="AE85" s="429"/>
      <c r="AF85" s="429"/>
      <c r="AG85" s="429"/>
      <c r="AH85" s="429"/>
      <c r="AI85" s="429"/>
      <c r="AJ85" s="429"/>
      <c r="AK85" s="429"/>
      <c r="AL85" s="429"/>
      <c r="AM85" s="429"/>
      <c r="AN85" s="429"/>
      <c r="AO85" s="429"/>
      <c r="AP85" s="429"/>
      <c r="AQ85" s="429"/>
      <c r="AR85" s="429"/>
      <c r="AS85" s="429"/>
      <c r="AT85" s="429"/>
      <c r="AU85" s="447"/>
      <c r="AV85" s="444">
        <f t="shared" si="3"/>
        <v>0</v>
      </c>
      <c r="AW85" s="445"/>
      <c r="AX85" s="445"/>
      <c r="AY85" s="445"/>
      <c r="AZ85" s="445"/>
      <c r="BA85" s="446"/>
      <c r="BB85" s="41" t="str">
        <f t="shared" si="4"/>
        <v/>
      </c>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row>
    <row r="86" spans="1:111" ht="12" customHeight="1">
      <c r="A86" s="54">
        <f>IF(AV86=0,0,IF(SUM($A$31:A85)&lt;&gt;0,(SUM($A$31:A85)+1),1))</f>
        <v>0</v>
      </c>
      <c r="B86" s="440" t="s">
        <v>234</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B86" s="437"/>
      <c r="AC86" s="429"/>
      <c r="AD86" s="429"/>
      <c r="AE86" s="429"/>
      <c r="AF86" s="429"/>
      <c r="AG86" s="429"/>
      <c r="AH86" s="429"/>
      <c r="AI86" s="429"/>
      <c r="AJ86" s="429"/>
      <c r="AK86" s="429"/>
      <c r="AL86" s="429"/>
      <c r="AM86" s="429"/>
      <c r="AN86" s="429"/>
      <c r="AO86" s="429"/>
      <c r="AP86" s="429"/>
      <c r="AQ86" s="429"/>
      <c r="AR86" s="429"/>
      <c r="AS86" s="429"/>
      <c r="AT86" s="429"/>
      <c r="AU86" s="447"/>
      <c r="AV86" s="444">
        <f t="shared" si="3"/>
        <v>0</v>
      </c>
      <c r="AW86" s="445"/>
      <c r="AX86" s="445"/>
      <c r="AY86" s="445"/>
      <c r="AZ86" s="445"/>
      <c r="BA86" s="446"/>
      <c r="BB86" s="41" t="str">
        <f t="shared" si="4"/>
        <v/>
      </c>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row>
    <row r="87" spans="1:111" ht="12" customHeight="1">
      <c r="A87" s="54">
        <f>IF(AV87=0,0,IF(SUM($A$31:A86)&lt;&gt;0,(SUM($A$31:A86)+1),1))</f>
        <v>0</v>
      </c>
      <c r="B87" s="440" t="s">
        <v>235</v>
      </c>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B87" s="437"/>
      <c r="AC87" s="429"/>
      <c r="AD87" s="429"/>
      <c r="AE87" s="429"/>
      <c r="AF87" s="429"/>
      <c r="AG87" s="429"/>
      <c r="AH87" s="429"/>
      <c r="AI87" s="429"/>
      <c r="AJ87" s="429"/>
      <c r="AK87" s="429"/>
      <c r="AL87" s="429"/>
      <c r="AM87" s="429"/>
      <c r="AN87" s="429"/>
      <c r="AO87" s="429"/>
      <c r="AP87" s="429"/>
      <c r="AQ87" s="429"/>
      <c r="AR87" s="429"/>
      <c r="AS87" s="429"/>
      <c r="AT87" s="429"/>
      <c r="AU87" s="447"/>
      <c r="AV87" s="444">
        <f t="shared" si="3"/>
        <v>0</v>
      </c>
      <c r="AW87" s="445"/>
      <c r="AX87" s="445"/>
      <c r="AY87" s="445"/>
      <c r="AZ87" s="445"/>
      <c r="BA87" s="446"/>
      <c r="BB87" s="41" t="str">
        <f t="shared" si="4"/>
        <v/>
      </c>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row>
    <row r="88" spans="1:111" ht="12" customHeight="1">
      <c r="A88" s="54">
        <f>IF(AV88=0,0,IF(SUM($A$31:A87)&lt;&gt;0,(SUM($A$31:A87)+1),1))</f>
        <v>0</v>
      </c>
      <c r="B88" s="440" t="s">
        <v>236</v>
      </c>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B88" s="437"/>
      <c r="AC88" s="429"/>
      <c r="AD88" s="429"/>
      <c r="AE88" s="429"/>
      <c r="AF88" s="429"/>
      <c r="AG88" s="429"/>
      <c r="AH88" s="429"/>
      <c r="AI88" s="429"/>
      <c r="AJ88" s="429"/>
      <c r="AK88" s="429"/>
      <c r="AL88" s="429"/>
      <c r="AM88" s="429"/>
      <c r="AN88" s="429"/>
      <c r="AO88" s="429"/>
      <c r="AP88" s="429"/>
      <c r="AQ88" s="429"/>
      <c r="AR88" s="429"/>
      <c r="AS88" s="429"/>
      <c r="AT88" s="429"/>
      <c r="AU88" s="447"/>
      <c r="AV88" s="444">
        <f t="shared" si="3"/>
        <v>0</v>
      </c>
      <c r="AW88" s="445"/>
      <c r="AX88" s="445"/>
      <c r="AY88" s="445"/>
      <c r="AZ88" s="445"/>
      <c r="BA88" s="446"/>
      <c r="BB88" s="41" t="str">
        <f t="shared" si="4"/>
        <v/>
      </c>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row>
    <row r="89" spans="1:111" ht="12" customHeight="1">
      <c r="A89" s="54">
        <f>IF(AV89=0,0,IF(SUM($A$31:A88)&lt;&gt;0,(SUM($A$31:A88)+1),1))</f>
        <v>0</v>
      </c>
      <c r="B89" s="440" t="s">
        <v>237</v>
      </c>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440"/>
      <c r="AB89" s="437"/>
      <c r="AC89" s="429"/>
      <c r="AD89" s="429"/>
      <c r="AE89" s="429"/>
      <c r="AF89" s="429"/>
      <c r="AG89" s="429"/>
      <c r="AH89" s="429"/>
      <c r="AI89" s="429"/>
      <c r="AJ89" s="429"/>
      <c r="AK89" s="429"/>
      <c r="AL89" s="429"/>
      <c r="AM89" s="429"/>
      <c r="AN89" s="429"/>
      <c r="AO89" s="429"/>
      <c r="AP89" s="429"/>
      <c r="AQ89" s="429"/>
      <c r="AR89" s="429"/>
      <c r="AS89" s="429"/>
      <c r="AT89" s="429"/>
      <c r="AU89" s="447"/>
      <c r="AV89" s="444">
        <f t="shared" si="3"/>
        <v>0</v>
      </c>
      <c r="AW89" s="445"/>
      <c r="AX89" s="445"/>
      <c r="AY89" s="445"/>
      <c r="AZ89" s="445"/>
      <c r="BA89" s="446"/>
      <c r="BB89" s="41" t="str">
        <f t="shared" si="4"/>
        <v/>
      </c>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row>
    <row r="90" spans="1:111" ht="12" customHeight="1">
      <c r="A90" s="54">
        <f>IF(AV90=0,0,IF(SUM($A$31:A89)&lt;&gt;0,(SUM($A$31:A89)+1),1))</f>
        <v>0</v>
      </c>
      <c r="B90" s="440" t="s">
        <v>238</v>
      </c>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B90" s="437"/>
      <c r="AC90" s="429"/>
      <c r="AD90" s="429"/>
      <c r="AE90" s="429"/>
      <c r="AF90" s="429"/>
      <c r="AG90" s="429"/>
      <c r="AH90" s="429"/>
      <c r="AI90" s="429"/>
      <c r="AJ90" s="429"/>
      <c r="AK90" s="429"/>
      <c r="AL90" s="429"/>
      <c r="AM90" s="429"/>
      <c r="AN90" s="429"/>
      <c r="AO90" s="429"/>
      <c r="AP90" s="429"/>
      <c r="AQ90" s="429"/>
      <c r="AR90" s="429"/>
      <c r="AS90" s="429"/>
      <c r="AT90" s="429"/>
      <c r="AU90" s="447"/>
      <c r="AV90" s="444">
        <f t="shared" si="3"/>
        <v>0</v>
      </c>
      <c r="AW90" s="445"/>
      <c r="AX90" s="445"/>
      <c r="AY90" s="445"/>
      <c r="AZ90" s="445"/>
      <c r="BA90" s="446"/>
      <c r="BB90" s="41" t="str">
        <f t="shared" si="4"/>
        <v/>
      </c>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row>
    <row r="91" spans="1:111" ht="12" customHeight="1">
      <c r="A91" s="54">
        <f>IF(AV91=0,0,IF(SUM($A$31:A90)&lt;&gt;0,(SUM($A$31:A90)+1),1))</f>
        <v>0</v>
      </c>
      <c r="B91" s="440" t="s">
        <v>239</v>
      </c>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440"/>
      <c r="AB91" s="437"/>
      <c r="AC91" s="429"/>
      <c r="AD91" s="429"/>
      <c r="AE91" s="429"/>
      <c r="AF91" s="429"/>
      <c r="AG91" s="429"/>
      <c r="AH91" s="429"/>
      <c r="AI91" s="429"/>
      <c r="AJ91" s="429"/>
      <c r="AK91" s="429"/>
      <c r="AL91" s="429"/>
      <c r="AM91" s="429"/>
      <c r="AN91" s="429"/>
      <c r="AO91" s="429"/>
      <c r="AP91" s="429"/>
      <c r="AQ91" s="429"/>
      <c r="AR91" s="429"/>
      <c r="AS91" s="429"/>
      <c r="AT91" s="429"/>
      <c r="AU91" s="447"/>
      <c r="AV91" s="444">
        <f t="shared" si="3"/>
        <v>0</v>
      </c>
      <c r="AW91" s="445"/>
      <c r="AX91" s="445"/>
      <c r="AY91" s="445"/>
      <c r="AZ91" s="445"/>
      <c r="BA91" s="446"/>
      <c r="BB91" s="41" t="str">
        <f t="shared" si="4"/>
        <v/>
      </c>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row>
    <row r="92" spans="1:111" ht="12" customHeight="1">
      <c r="A92" s="54">
        <f>IF(AV92=0,0,IF(SUM($A$31:A91)&lt;&gt;0,(SUM($A$31:A91)+1),1))</f>
        <v>0</v>
      </c>
      <c r="B92" s="440" t="s">
        <v>240</v>
      </c>
      <c r="C92" s="440"/>
      <c r="D92" s="440"/>
      <c r="E92" s="440"/>
      <c r="F92" s="440"/>
      <c r="G92" s="440"/>
      <c r="H92" s="440"/>
      <c r="I92" s="440"/>
      <c r="J92" s="440"/>
      <c r="K92" s="440"/>
      <c r="L92" s="440"/>
      <c r="M92" s="440"/>
      <c r="N92" s="440"/>
      <c r="O92" s="440"/>
      <c r="P92" s="440"/>
      <c r="Q92" s="440"/>
      <c r="R92" s="440"/>
      <c r="S92" s="440"/>
      <c r="T92" s="440"/>
      <c r="U92" s="440"/>
      <c r="V92" s="440"/>
      <c r="W92" s="440"/>
      <c r="X92" s="440"/>
      <c r="Y92" s="440"/>
      <c r="Z92" s="440"/>
      <c r="AB92" s="437"/>
      <c r="AC92" s="429"/>
      <c r="AD92" s="429"/>
      <c r="AE92" s="429"/>
      <c r="AF92" s="429"/>
      <c r="AG92" s="429"/>
      <c r="AH92" s="429"/>
      <c r="AI92" s="429"/>
      <c r="AJ92" s="429"/>
      <c r="AK92" s="429"/>
      <c r="AL92" s="429"/>
      <c r="AM92" s="429"/>
      <c r="AN92" s="429"/>
      <c r="AO92" s="429"/>
      <c r="AP92" s="429"/>
      <c r="AQ92" s="429"/>
      <c r="AR92" s="429"/>
      <c r="AS92" s="429"/>
      <c r="AT92" s="429"/>
      <c r="AU92" s="447"/>
      <c r="AV92" s="444">
        <f t="shared" si="3"/>
        <v>0</v>
      </c>
      <c r="AW92" s="445"/>
      <c r="AX92" s="445"/>
      <c r="AY92" s="445"/>
      <c r="AZ92" s="445"/>
      <c r="BA92" s="446"/>
      <c r="BB92" s="41" t="str">
        <f t="shared" si="1"/>
        <v/>
      </c>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row>
    <row r="93" spans="1:111" ht="12" customHeight="1">
      <c r="A93" s="54">
        <f>IF(AV93=0,0,IF(SUM($A$31:A92)&lt;&gt;0,(SUM($A$31:A92)+1),1))</f>
        <v>0</v>
      </c>
      <c r="B93" s="440" t="s">
        <v>241</v>
      </c>
      <c r="C93" s="440"/>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B93" s="437"/>
      <c r="AC93" s="429"/>
      <c r="AD93" s="429"/>
      <c r="AE93" s="429"/>
      <c r="AF93" s="429"/>
      <c r="AG93" s="429"/>
      <c r="AH93" s="429"/>
      <c r="AI93" s="429"/>
      <c r="AJ93" s="429"/>
      <c r="AK93" s="429"/>
      <c r="AL93" s="429"/>
      <c r="AM93" s="429"/>
      <c r="AN93" s="429"/>
      <c r="AO93" s="429"/>
      <c r="AP93" s="429"/>
      <c r="AQ93" s="429"/>
      <c r="AR93" s="429"/>
      <c r="AS93" s="429"/>
      <c r="AT93" s="429"/>
      <c r="AU93" s="447"/>
      <c r="AV93" s="444">
        <f t="shared" si="3"/>
        <v>0</v>
      </c>
      <c r="AW93" s="445"/>
      <c r="AX93" s="445"/>
      <c r="AY93" s="445"/>
      <c r="AZ93" s="445"/>
      <c r="BA93" s="446"/>
      <c r="BB93" s="41" t="str">
        <f t="shared" si="1"/>
        <v/>
      </c>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row>
    <row r="94" spans="1:111" ht="12" customHeight="1">
      <c r="A94" s="54">
        <f>IF(AV94=0,0,IF(SUM($A$31:A93)&lt;&gt;0,(SUM($A$31:A93)+1),1))</f>
        <v>0</v>
      </c>
      <c r="B94" s="440" t="s">
        <v>242</v>
      </c>
      <c r="C94" s="440"/>
      <c r="D94" s="440"/>
      <c r="E94" s="440"/>
      <c r="F94" s="440"/>
      <c r="G94" s="440"/>
      <c r="H94" s="440"/>
      <c r="I94" s="440"/>
      <c r="J94" s="440"/>
      <c r="K94" s="440"/>
      <c r="L94" s="440"/>
      <c r="M94" s="440"/>
      <c r="N94" s="440"/>
      <c r="O94" s="440"/>
      <c r="P94" s="440"/>
      <c r="Q94" s="440"/>
      <c r="R94" s="440"/>
      <c r="S94" s="440"/>
      <c r="T94" s="440"/>
      <c r="U94" s="440"/>
      <c r="V94" s="440"/>
      <c r="W94" s="440"/>
      <c r="X94" s="440"/>
      <c r="Y94" s="440"/>
      <c r="Z94" s="440"/>
      <c r="AB94" s="437"/>
      <c r="AC94" s="429"/>
      <c r="AD94" s="429"/>
      <c r="AE94" s="429"/>
      <c r="AF94" s="429"/>
      <c r="AG94" s="429"/>
      <c r="AH94" s="429"/>
      <c r="AI94" s="429"/>
      <c r="AJ94" s="429"/>
      <c r="AK94" s="429"/>
      <c r="AL94" s="429"/>
      <c r="AM94" s="429"/>
      <c r="AN94" s="429"/>
      <c r="AO94" s="429"/>
      <c r="AP94" s="429"/>
      <c r="AQ94" s="429"/>
      <c r="AR94" s="429"/>
      <c r="AS94" s="429"/>
      <c r="AT94" s="429"/>
      <c r="AU94" s="447"/>
      <c r="AV94" s="444">
        <f t="shared" si="3"/>
        <v>0</v>
      </c>
      <c r="AW94" s="445"/>
      <c r="AX94" s="445"/>
      <c r="AY94" s="445"/>
      <c r="AZ94" s="445"/>
      <c r="BA94" s="446"/>
      <c r="BB94" s="41" t="str">
        <f t="shared" si="1"/>
        <v/>
      </c>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row>
    <row r="95" spans="1:111" ht="12" customHeight="1">
      <c r="A95" s="54">
        <f>IF(AV95=0,0,IF(SUM($A$31:A94)&lt;&gt;0,(SUM($A$31:A94)+1),1))</f>
        <v>0</v>
      </c>
      <c r="B95" s="440" t="s">
        <v>243</v>
      </c>
      <c r="C95" s="440"/>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B95" s="437"/>
      <c r="AC95" s="429"/>
      <c r="AD95" s="429"/>
      <c r="AE95" s="429"/>
      <c r="AF95" s="429"/>
      <c r="AG95" s="429"/>
      <c r="AH95" s="429"/>
      <c r="AI95" s="429"/>
      <c r="AJ95" s="429"/>
      <c r="AK95" s="429"/>
      <c r="AL95" s="429"/>
      <c r="AM95" s="429"/>
      <c r="AN95" s="429"/>
      <c r="AO95" s="429"/>
      <c r="AP95" s="429"/>
      <c r="AQ95" s="429"/>
      <c r="AR95" s="429"/>
      <c r="AS95" s="429"/>
      <c r="AT95" s="429"/>
      <c r="AU95" s="447"/>
      <c r="AV95" s="444">
        <f t="shared" si="3"/>
        <v>0</v>
      </c>
      <c r="AW95" s="445"/>
      <c r="AX95" s="445"/>
      <c r="AY95" s="445"/>
      <c r="AZ95" s="445"/>
      <c r="BA95" s="446"/>
      <c r="BB95" s="41" t="str">
        <f t="shared" si="1"/>
        <v/>
      </c>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row>
    <row r="96" spans="1:111" ht="12" customHeight="1">
      <c r="A96" s="54">
        <f>IF(AV96=0,0,IF(SUM($A$31:A95)&lt;&gt;0,(SUM($A$31:A95)+1),1))</f>
        <v>0</v>
      </c>
      <c r="B96" s="440" t="s">
        <v>244</v>
      </c>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B96" s="437"/>
      <c r="AC96" s="429"/>
      <c r="AD96" s="429"/>
      <c r="AE96" s="429"/>
      <c r="AF96" s="429"/>
      <c r="AG96" s="429"/>
      <c r="AH96" s="429"/>
      <c r="AI96" s="429"/>
      <c r="AJ96" s="429"/>
      <c r="AK96" s="429"/>
      <c r="AL96" s="429"/>
      <c r="AM96" s="429"/>
      <c r="AN96" s="429"/>
      <c r="AO96" s="429"/>
      <c r="AP96" s="429"/>
      <c r="AQ96" s="429"/>
      <c r="AR96" s="429"/>
      <c r="AS96" s="429"/>
      <c r="AT96" s="429"/>
      <c r="AU96" s="447"/>
      <c r="AV96" s="444">
        <f t="shared" si="3"/>
        <v>0</v>
      </c>
      <c r="AW96" s="445"/>
      <c r="AX96" s="445"/>
      <c r="AY96" s="445"/>
      <c r="AZ96" s="445"/>
      <c r="BA96" s="446"/>
      <c r="BB96" s="41" t="str">
        <f t="shared" si="1"/>
        <v/>
      </c>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row>
    <row r="97" spans="1:111" ht="12" customHeight="1">
      <c r="A97" s="54">
        <f>IF(AV97=0,0,IF(SUM($A$31:A96)&lt;&gt;0,(SUM($A$31:A96)+1),1))</f>
        <v>0</v>
      </c>
      <c r="B97" s="440" t="s">
        <v>245</v>
      </c>
      <c r="C97" s="440"/>
      <c r="D97" s="440"/>
      <c r="E97" s="440"/>
      <c r="F97" s="440"/>
      <c r="G97" s="440"/>
      <c r="H97" s="440"/>
      <c r="I97" s="440"/>
      <c r="J97" s="440"/>
      <c r="K97" s="440"/>
      <c r="L97" s="440"/>
      <c r="M97" s="440"/>
      <c r="N97" s="440"/>
      <c r="O97" s="440"/>
      <c r="P97" s="440"/>
      <c r="Q97" s="440"/>
      <c r="R97" s="440"/>
      <c r="S97" s="440"/>
      <c r="T97" s="440"/>
      <c r="U97" s="440"/>
      <c r="V97" s="440"/>
      <c r="W97" s="440"/>
      <c r="X97" s="440"/>
      <c r="Y97" s="440"/>
      <c r="Z97" s="440"/>
      <c r="AB97" s="437"/>
      <c r="AC97" s="429"/>
      <c r="AD97" s="429"/>
      <c r="AE97" s="429"/>
      <c r="AF97" s="429"/>
      <c r="AG97" s="429"/>
      <c r="AH97" s="429"/>
      <c r="AI97" s="429"/>
      <c r="AJ97" s="429"/>
      <c r="AK97" s="429"/>
      <c r="AL97" s="429"/>
      <c r="AM97" s="429"/>
      <c r="AN97" s="429"/>
      <c r="AO97" s="429"/>
      <c r="AP97" s="429"/>
      <c r="AQ97" s="429"/>
      <c r="AR97" s="429"/>
      <c r="AS97" s="429"/>
      <c r="AT97" s="429"/>
      <c r="AU97" s="447"/>
      <c r="AV97" s="444">
        <f t="shared" si="3"/>
        <v>0</v>
      </c>
      <c r="AW97" s="445"/>
      <c r="AX97" s="445"/>
      <c r="AY97" s="445"/>
      <c r="AZ97" s="445"/>
      <c r="BA97" s="446"/>
      <c r="BB97" s="41" t="str">
        <f t="shared" si="1"/>
        <v/>
      </c>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row>
    <row r="98" spans="1:111" ht="12" customHeight="1">
      <c r="A98" s="54">
        <f>IF(AV98=0,0,IF(SUM($A$31:A97)&lt;&gt;0,(SUM($A$31:A97)+1),1))</f>
        <v>0</v>
      </c>
      <c r="B98" s="440" t="s">
        <v>246</v>
      </c>
      <c r="C98" s="440"/>
      <c r="D98" s="440"/>
      <c r="E98" s="440"/>
      <c r="F98" s="440"/>
      <c r="G98" s="440"/>
      <c r="H98" s="440"/>
      <c r="I98" s="440"/>
      <c r="J98" s="440"/>
      <c r="K98" s="440"/>
      <c r="L98" s="440"/>
      <c r="M98" s="440"/>
      <c r="N98" s="440"/>
      <c r="O98" s="440"/>
      <c r="P98" s="440"/>
      <c r="Q98" s="440"/>
      <c r="R98" s="440"/>
      <c r="S98" s="440"/>
      <c r="T98" s="440"/>
      <c r="U98" s="440"/>
      <c r="V98" s="440"/>
      <c r="W98" s="440"/>
      <c r="X98" s="440"/>
      <c r="Y98" s="440"/>
      <c r="Z98" s="440"/>
      <c r="AB98" s="437"/>
      <c r="AC98" s="429"/>
      <c r="AD98" s="429"/>
      <c r="AE98" s="429"/>
      <c r="AF98" s="429"/>
      <c r="AG98" s="429"/>
      <c r="AH98" s="429"/>
      <c r="AI98" s="429"/>
      <c r="AJ98" s="429"/>
      <c r="AK98" s="429"/>
      <c r="AL98" s="429"/>
      <c r="AM98" s="429"/>
      <c r="AN98" s="429"/>
      <c r="AO98" s="429"/>
      <c r="AP98" s="429"/>
      <c r="AQ98" s="429"/>
      <c r="AR98" s="429"/>
      <c r="AS98" s="429"/>
      <c r="AT98" s="429"/>
      <c r="AU98" s="447"/>
      <c r="AV98" s="444">
        <f t="shared" si="3"/>
        <v>0</v>
      </c>
      <c r="AW98" s="445"/>
      <c r="AX98" s="445"/>
      <c r="AY98" s="445"/>
      <c r="AZ98" s="445"/>
      <c r="BA98" s="446"/>
      <c r="BB98" s="41" t="str">
        <f t="shared" si="1"/>
        <v/>
      </c>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row>
    <row r="99" spans="1:111" ht="12" customHeight="1">
      <c r="A99" s="54">
        <f>IF(AV99=0,0,IF(SUM($A$31:A98)&lt;&gt;0,(SUM($A$31:A98)+1),1))</f>
        <v>0</v>
      </c>
      <c r="B99" s="440" t="s">
        <v>247</v>
      </c>
      <c r="C99" s="440"/>
      <c r="D99" s="440"/>
      <c r="E99" s="440"/>
      <c r="F99" s="440"/>
      <c r="G99" s="440"/>
      <c r="H99" s="440"/>
      <c r="I99" s="440"/>
      <c r="J99" s="440"/>
      <c r="K99" s="440"/>
      <c r="L99" s="440"/>
      <c r="M99" s="440"/>
      <c r="N99" s="440"/>
      <c r="O99" s="440"/>
      <c r="P99" s="440"/>
      <c r="Q99" s="440"/>
      <c r="R99" s="440"/>
      <c r="S99" s="440"/>
      <c r="T99" s="440"/>
      <c r="U99" s="440"/>
      <c r="V99" s="440"/>
      <c r="W99" s="440"/>
      <c r="X99" s="440"/>
      <c r="Y99" s="440"/>
      <c r="Z99" s="440"/>
      <c r="AB99" s="437"/>
      <c r="AC99" s="429"/>
      <c r="AD99" s="429"/>
      <c r="AE99" s="429"/>
      <c r="AF99" s="429"/>
      <c r="AG99" s="429"/>
      <c r="AH99" s="429"/>
      <c r="AI99" s="429"/>
      <c r="AJ99" s="429"/>
      <c r="AK99" s="429"/>
      <c r="AL99" s="429"/>
      <c r="AM99" s="429"/>
      <c r="AN99" s="429"/>
      <c r="AO99" s="429"/>
      <c r="AP99" s="429"/>
      <c r="AQ99" s="429"/>
      <c r="AR99" s="429"/>
      <c r="AS99" s="429"/>
      <c r="AT99" s="429"/>
      <c r="AU99" s="447"/>
      <c r="AV99" s="444">
        <f t="shared" si="3"/>
        <v>0</v>
      </c>
      <c r="AW99" s="445"/>
      <c r="AX99" s="445"/>
      <c r="AY99" s="445"/>
      <c r="AZ99" s="445"/>
      <c r="BA99" s="446"/>
      <c r="BB99" s="41" t="str">
        <f t="shared" si="1"/>
        <v/>
      </c>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row>
    <row r="100" spans="1:111" ht="12" customHeight="1">
      <c r="A100" s="54">
        <f>IF(AV100=0,0,IF(SUM($A$31:A99)&lt;&gt;0,(SUM($A$31:A99)+1),1))</f>
        <v>0</v>
      </c>
      <c r="B100" s="440" t="s">
        <v>248</v>
      </c>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B100" s="437"/>
      <c r="AC100" s="429"/>
      <c r="AD100" s="429"/>
      <c r="AE100" s="429"/>
      <c r="AF100" s="429"/>
      <c r="AG100" s="429"/>
      <c r="AH100" s="429"/>
      <c r="AI100" s="429"/>
      <c r="AJ100" s="429"/>
      <c r="AK100" s="429"/>
      <c r="AL100" s="429"/>
      <c r="AM100" s="429"/>
      <c r="AN100" s="429"/>
      <c r="AO100" s="429"/>
      <c r="AP100" s="429"/>
      <c r="AQ100" s="429"/>
      <c r="AR100" s="429"/>
      <c r="AS100" s="429"/>
      <c r="AT100" s="429"/>
      <c r="AU100" s="447"/>
      <c r="AV100" s="444">
        <f t="shared" si="3"/>
        <v>0</v>
      </c>
      <c r="AW100" s="445"/>
      <c r="AX100" s="445"/>
      <c r="AY100" s="445"/>
      <c r="AZ100" s="445"/>
      <c r="BA100" s="446"/>
      <c r="BB100" s="41" t="str">
        <f t="shared" si="1"/>
        <v/>
      </c>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row>
    <row r="101" spans="1:111" ht="12" customHeight="1">
      <c r="A101" s="54">
        <f>IF(AV101=0,0,IF(SUM($A$31:A100)&lt;&gt;0,(SUM($A$31:A100)+1),1))</f>
        <v>0</v>
      </c>
      <c r="B101" s="440" t="s">
        <v>249</v>
      </c>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c r="Z101" s="440"/>
      <c r="AB101" s="437"/>
      <c r="AC101" s="429"/>
      <c r="AD101" s="429"/>
      <c r="AE101" s="429"/>
      <c r="AF101" s="429"/>
      <c r="AG101" s="429"/>
      <c r="AH101" s="429"/>
      <c r="AI101" s="429"/>
      <c r="AJ101" s="429"/>
      <c r="AK101" s="429"/>
      <c r="AL101" s="429"/>
      <c r="AM101" s="429"/>
      <c r="AN101" s="429"/>
      <c r="AO101" s="429"/>
      <c r="AP101" s="429"/>
      <c r="AQ101" s="429"/>
      <c r="AR101" s="429"/>
      <c r="AS101" s="429"/>
      <c r="AT101" s="429"/>
      <c r="AU101" s="447"/>
      <c r="AV101" s="444">
        <f t="shared" si="3"/>
        <v>0</v>
      </c>
      <c r="AW101" s="445"/>
      <c r="AX101" s="445"/>
      <c r="AY101" s="445"/>
      <c r="AZ101" s="445"/>
      <c r="BA101" s="446"/>
      <c r="BB101" s="41" t="str">
        <f t="shared" ref="BB101:BB106" si="5">IF(AV101=0,"",1)</f>
        <v/>
      </c>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row>
    <row r="102" spans="1:111" ht="12" customHeight="1">
      <c r="A102" s="54">
        <f>IF(AV102=0,0,IF(SUM($A$31:A101)&lt;&gt;0,(SUM($A$31:A101)+1),1))</f>
        <v>0</v>
      </c>
      <c r="B102" s="440" t="s">
        <v>250</v>
      </c>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B102" s="437"/>
      <c r="AC102" s="429"/>
      <c r="AD102" s="429"/>
      <c r="AE102" s="429"/>
      <c r="AF102" s="429"/>
      <c r="AG102" s="429"/>
      <c r="AH102" s="429"/>
      <c r="AI102" s="429"/>
      <c r="AJ102" s="429"/>
      <c r="AK102" s="429"/>
      <c r="AL102" s="429"/>
      <c r="AM102" s="429"/>
      <c r="AN102" s="429"/>
      <c r="AO102" s="429"/>
      <c r="AP102" s="429"/>
      <c r="AQ102" s="429"/>
      <c r="AR102" s="429"/>
      <c r="AS102" s="429"/>
      <c r="AT102" s="429"/>
      <c r="AU102" s="447"/>
      <c r="AV102" s="444">
        <f t="shared" si="3"/>
        <v>0</v>
      </c>
      <c r="AW102" s="445"/>
      <c r="AX102" s="445"/>
      <c r="AY102" s="445"/>
      <c r="AZ102" s="445"/>
      <c r="BA102" s="446"/>
      <c r="BB102" s="41" t="str">
        <f t="shared" si="5"/>
        <v/>
      </c>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row>
    <row r="103" spans="1:111" ht="12" customHeight="1">
      <c r="A103" s="54">
        <f>IF(AV103=0,0,IF(SUM($A$31:A102)&lt;&gt;0,(SUM($A$31:A102)+1),1))</f>
        <v>0</v>
      </c>
      <c r="B103" s="440" t="s">
        <v>251</v>
      </c>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c r="Z103" s="440"/>
      <c r="AB103" s="437"/>
      <c r="AC103" s="429"/>
      <c r="AD103" s="429"/>
      <c r="AE103" s="429"/>
      <c r="AF103" s="429"/>
      <c r="AG103" s="429"/>
      <c r="AH103" s="429"/>
      <c r="AI103" s="429"/>
      <c r="AJ103" s="429"/>
      <c r="AK103" s="429"/>
      <c r="AL103" s="429"/>
      <c r="AM103" s="429"/>
      <c r="AN103" s="429"/>
      <c r="AO103" s="429"/>
      <c r="AP103" s="429"/>
      <c r="AQ103" s="429"/>
      <c r="AR103" s="429"/>
      <c r="AS103" s="429"/>
      <c r="AT103" s="429"/>
      <c r="AU103" s="447"/>
      <c r="AV103" s="444">
        <f t="shared" si="3"/>
        <v>0</v>
      </c>
      <c r="AW103" s="445"/>
      <c r="AX103" s="445"/>
      <c r="AY103" s="445"/>
      <c r="AZ103" s="445"/>
      <c r="BA103" s="446"/>
      <c r="BB103" s="41" t="str">
        <f t="shared" si="5"/>
        <v/>
      </c>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row>
    <row r="104" spans="1:111" ht="12" customHeight="1">
      <c r="A104" s="54">
        <f>IF(AV104=0,0,IF(SUM($A$31:A103)&lt;&gt;0,(SUM($A$31:A103)+1),1))</f>
        <v>0</v>
      </c>
      <c r="B104" s="440" t="s">
        <v>252</v>
      </c>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B104" s="437"/>
      <c r="AC104" s="429"/>
      <c r="AD104" s="429"/>
      <c r="AE104" s="429"/>
      <c r="AF104" s="429"/>
      <c r="AG104" s="429"/>
      <c r="AH104" s="429"/>
      <c r="AI104" s="429"/>
      <c r="AJ104" s="429"/>
      <c r="AK104" s="429"/>
      <c r="AL104" s="429"/>
      <c r="AM104" s="429"/>
      <c r="AN104" s="429"/>
      <c r="AO104" s="429"/>
      <c r="AP104" s="429"/>
      <c r="AQ104" s="429"/>
      <c r="AR104" s="429"/>
      <c r="AS104" s="429"/>
      <c r="AT104" s="429"/>
      <c r="AU104" s="447"/>
      <c r="AV104" s="444">
        <f t="shared" si="3"/>
        <v>0</v>
      </c>
      <c r="AW104" s="445"/>
      <c r="AX104" s="445"/>
      <c r="AY104" s="445"/>
      <c r="AZ104" s="445"/>
      <c r="BA104" s="446"/>
      <c r="BB104" s="41" t="str">
        <f t="shared" si="5"/>
        <v/>
      </c>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row>
    <row r="105" spans="1:111" ht="12" customHeight="1">
      <c r="A105" s="54">
        <f>IF(AV105=0,0,IF(SUM($A$31:A104)&lt;&gt;0,(SUM($A$31:A104)+1),1))</f>
        <v>0</v>
      </c>
      <c r="B105" s="440" t="s">
        <v>253</v>
      </c>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B105" s="437"/>
      <c r="AC105" s="429"/>
      <c r="AD105" s="429"/>
      <c r="AE105" s="429"/>
      <c r="AF105" s="429"/>
      <c r="AG105" s="429"/>
      <c r="AH105" s="429"/>
      <c r="AI105" s="429"/>
      <c r="AJ105" s="429"/>
      <c r="AK105" s="429"/>
      <c r="AL105" s="429"/>
      <c r="AM105" s="429"/>
      <c r="AN105" s="429"/>
      <c r="AO105" s="429"/>
      <c r="AP105" s="429"/>
      <c r="AQ105" s="429"/>
      <c r="AR105" s="429"/>
      <c r="AS105" s="429"/>
      <c r="AT105" s="429"/>
      <c r="AU105" s="447"/>
      <c r="AV105" s="444">
        <f t="shared" si="3"/>
        <v>0</v>
      </c>
      <c r="AW105" s="445"/>
      <c r="AX105" s="445"/>
      <c r="AY105" s="445"/>
      <c r="AZ105" s="445"/>
      <c r="BA105" s="446"/>
      <c r="BB105" s="41" t="str">
        <f t="shared" si="5"/>
        <v/>
      </c>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row>
    <row r="106" spans="1:111" ht="12" customHeight="1">
      <c r="A106" s="54">
        <f>IF(AV106=0,0,IF(SUM($A$31:A105)&lt;&gt;0,(SUM($A$31:A105)+1),1))</f>
        <v>0</v>
      </c>
      <c r="B106" s="440" t="s">
        <v>254</v>
      </c>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c r="Z106" s="440"/>
      <c r="AB106" s="437"/>
      <c r="AC106" s="429"/>
      <c r="AD106" s="429"/>
      <c r="AE106" s="429"/>
      <c r="AF106" s="429"/>
      <c r="AG106" s="429"/>
      <c r="AH106" s="429"/>
      <c r="AI106" s="429"/>
      <c r="AJ106" s="429"/>
      <c r="AK106" s="429"/>
      <c r="AL106" s="429"/>
      <c r="AM106" s="429"/>
      <c r="AN106" s="429"/>
      <c r="AO106" s="429"/>
      <c r="AP106" s="429"/>
      <c r="AQ106" s="429"/>
      <c r="AR106" s="429"/>
      <c r="AS106" s="429"/>
      <c r="AT106" s="429"/>
      <c r="AU106" s="447"/>
      <c r="AV106" s="444">
        <f t="shared" si="3"/>
        <v>0</v>
      </c>
      <c r="AW106" s="445"/>
      <c r="AX106" s="445"/>
      <c r="AY106" s="445"/>
      <c r="AZ106" s="445"/>
      <c r="BA106" s="446"/>
      <c r="BB106" s="41" t="str">
        <f t="shared" si="5"/>
        <v/>
      </c>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row>
    <row r="107" spans="1:111" ht="12" customHeight="1">
      <c r="A107" s="54">
        <f>IF(AV107=0,0,IF(SUM($A$31:A106)&lt;&gt;0,(SUM($A$31:A106)+1),1))</f>
        <v>0</v>
      </c>
      <c r="B107" s="440" t="s">
        <v>255</v>
      </c>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B107" s="437"/>
      <c r="AC107" s="429"/>
      <c r="AD107" s="429"/>
      <c r="AE107" s="429"/>
      <c r="AF107" s="429"/>
      <c r="AG107" s="429"/>
      <c r="AH107" s="429"/>
      <c r="AI107" s="429"/>
      <c r="AJ107" s="429"/>
      <c r="AK107" s="429"/>
      <c r="AL107" s="429"/>
      <c r="AM107" s="429"/>
      <c r="AN107" s="429"/>
      <c r="AO107" s="429"/>
      <c r="AP107" s="429"/>
      <c r="AQ107" s="429"/>
      <c r="AR107" s="429"/>
      <c r="AS107" s="429"/>
      <c r="AT107" s="429"/>
      <c r="AU107" s="447"/>
      <c r="AV107" s="444">
        <f t="shared" si="3"/>
        <v>0</v>
      </c>
      <c r="AW107" s="445"/>
      <c r="AX107" s="445"/>
      <c r="AY107" s="445"/>
      <c r="AZ107" s="445"/>
      <c r="BA107" s="446"/>
      <c r="BB107" s="41" t="str">
        <f t="shared" si="1"/>
        <v/>
      </c>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row>
    <row r="108" spans="1:111" ht="12" customHeight="1">
      <c r="A108" s="54">
        <f>IF(AV108=0,0,IF(SUM($A$31:A107)&lt;&gt;0,(SUM($A$31:A107)+1),1))</f>
        <v>0</v>
      </c>
      <c r="B108" s="440" t="s">
        <v>256</v>
      </c>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c r="Z108" s="440"/>
      <c r="AB108" s="437"/>
      <c r="AC108" s="429"/>
      <c r="AD108" s="429"/>
      <c r="AE108" s="429"/>
      <c r="AF108" s="429"/>
      <c r="AG108" s="429"/>
      <c r="AH108" s="429"/>
      <c r="AI108" s="429"/>
      <c r="AJ108" s="429"/>
      <c r="AK108" s="429"/>
      <c r="AL108" s="429"/>
      <c r="AM108" s="429"/>
      <c r="AN108" s="429"/>
      <c r="AO108" s="429"/>
      <c r="AP108" s="429"/>
      <c r="AQ108" s="429"/>
      <c r="AR108" s="429"/>
      <c r="AS108" s="429"/>
      <c r="AT108" s="429"/>
      <c r="AU108" s="447"/>
      <c r="AV108" s="444">
        <f t="shared" si="3"/>
        <v>0</v>
      </c>
      <c r="AW108" s="445"/>
      <c r="AX108" s="445"/>
      <c r="AY108" s="445"/>
      <c r="AZ108" s="445"/>
      <c r="BA108" s="446"/>
      <c r="BB108" s="41" t="str">
        <f t="shared" si="1"/>
        <v/>
      </c>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row>
    <row r="109" spans="1:111" ht="12" customHeight="1">
      <c r="A109" s="54">
        <f>IF(AV109=0,0,IF(SUM($A$31:A108)&lt;&gt;0,(SUM($A$31:A108)+1),1))</f>
        <v>0</v>
      </c>
      <c r="B109" s="440" t="s">
        <v>257</v>
      </c>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B109" s="437"/>
      <c r="AC109" s="429"/>
      <c r="AD109" s="429"/>
      <c r="AE109" s="429"/>
      <c r="AF109" s="429"/>
      <c r="AG109" s="429"/>
      <c r="AH109" s="429"/>
      <c r="AI109" s="429"/>
      <c r="AJ109" s="429"/>
      <c r="AK109" s="429"/>
      <c r="AL109" s="429"/>
      <c r="AM109" s="429"/>
      <c r="AN109" s="429"/>
      <c r="AO109" s="429"/>
      <c r="AP109" s="429"/>
      <c r="AQ109" s="429"/>
      <c r="AR109" s="429"/>
      <c r="AS109" s="429"/>
      <c r="AT109" s="429"/>
      <c r="AU109" s="447"/>
      <c r="AV109" s="444">
        <f t="shared" si="3"/>
        <v>0</v>
      </c>
      <c r="AW109" s="445"/>
      <c r="AX109" s="445"/>
      <c r="AY109" s="445"/>
      <c r="AZ109" s="445"/>
      <c r="BA109" s="446"/>
      <c r="BB109" s="41" t="str">
        <f t="shared" si="1"/>
        <v/>
      </c>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row>
    <row r="110" spans="1:111" ht="12" customHeight="1">
      <c r="A110" s="54">
        <f>IF(AV110=0,0,IF(SUM($A$31:A109)&lt;&gt;0,(SUM($A$31:A109)+1),1))</f>
        <v>0</v>
      </c>
      <c r="B110" s="440" t="s">
        <v>258</v>
      </c>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B110" s="437"/>
      <c r="AC110" s="429"/>
      <c r="AD110" s="429"/>
      <c r="AE110" s="429"/>
      <c r="AF110" s="429"/>
      <c r="AG110" s="429"/>
      <c r="AH110" s="429"/>
      <c r="AI110" s="429"/>
      <c r="AJ110" s="429"/>
      <c r="AK110" s="429"/>
      <c r="AL110" s="429"/>
      <c r="AM110" s="429"/>
      <c r="AN110" s="429"/>
      <c r="AO110" s="429"/>
      <c r="AP110" s="429"/>
      <c r="AQ110" s="429"/>
      <c r="AR110" s="429"/>
      <c r="AS110" s="429"/>
      <c r="AT110" s="429"/>
      <c r="AU110" s="447"/>
      <c r="AV110" s="444">
        <f t="shared" si="3"/>
        <v>0</v>
      </c>
      <c r="AW110" s="445"/>
      <c r="AX110" s="445"/>
      <c r="AY110" s="445"/>
      <c r="AZ110" s="445"/>
      <c r="BA110" s="446"/>
      <c r="BB110" s="41" t="str">
        <f t="shared" si="1"/>
        <v/>
      </c>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row>
    <row r="111" spans="1:111" ht="12" customHeight="1">
      <c r="A111" s="54">
        <f>IF(AV111=0,0,IF(SUM($A$31:A110)&lt;&gt;0,(SUM($A$31:A110)+1),1))</f>
        <v>0</v>
      </c>
      <c r="B111" s="440" t="s">
        <v>259</v>
      </c>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B111" s="437"/>
      <c r="AC111" s="429"/>
      <c r="AD111" s="429"/>
      <c r="AE111" s="429"/>
      <c r="AF111" s="429"/>
      <c r="AG111" s="429"/>
      <c r="AH111" s="429"/>
      <c r="AI111" s="429"/>
      <c r="AJ111" s="429"/>
      <c r="AK111" s="429"/>
      <c r="AL111" s="429"/>
      <c r="AM111" s="429"/>
      <c r="AN111" s="429"/>
      <c r="AO111" s="429"/>
      <c r="AP111" s="429"/>
      <c r="AQ111" s="429"/>
      <c r="AR111" s="429"/>
      <c r="AS111" s="429"/>
      <c r="AT111" s="429"/>
      <c r="AU111" s="447"/>
      <c r="AV111" s="444">
        <f t="shared" si="3"/>
        <v>0</v>
      </c>
      <c r="AW111" s="445"/>
      <c r="AX111" s="445"/>
      <c r="AY111" s="445"/>
      <c r="AZ111" s="445"/>
      <c r="BA111" s="446"/>
      <c r="BB111" s="41" t="str">
        <f t="shared" si="1"/>
        <v/>
      </c>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row>
    <row r="112" spans="1:111" ht="12" customHeight="1">
      <c r="A112" s="54">
        <f>IF(AV112=0,0,IF(SUM($A$31:A111)&lt;&gt;0,(SUM($A$31:A111)+1),1))</f>
        <v>0</v>
      </c>
      <c r="B112" s="440" t="s">
        <v>260</v>
      </c>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B112" s="437"/>
      <c r="AC112" s="429"/>
      <c r="AD112" s="429"/>
      <c r="AE112" s="429"/>
      <c r="AF112" s="429"/>
      <c r="AG112" s="429"/>
      <c r="AH112" s="429"/>
      <c r="AI112" s="429"/>
      <c r="AJ112" s="429"/>
      <c r="AK112" s="429"/>
      <c r="AL112" s="429"/>
      <c r="AM112" s="429"/>
      <c r="AN112" s="429"/>
      <c r="AO112" s="429"/>
      <c r="AP112" s="429"/>
      <c r="AQ112" s="429"/>
      <c r="AR112" s="429"/>
      <c r="AS112" s="429"/>
      <c r="AT112" s="429"/>
      <c r="AU112" s="447"/>
      <c r="AV112" s="444">
        <f t="shared" si="3"/>
        <v>0</v>
      </c>
      <c r="AW112" s="445"/>
      <c r="AX112" s="445"/>
      <c r="AY112" s="445"/>
      <c r="AZ112" s="445"/>
      <c r="BA112" s="446"/>
      <c r="BB112" s="41" t="str">
        <f t="shared" si="1"/>
        <v/>
      </c>
      <c r="BC112" s="115"/>
      <c r="BD112" s="115"/>
      <c r="BE112" s="115"/>
      <c r="BF112" s="115"/>
      <c r="BG112" s="115"/>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83"/>
      <c r="CN112" s="83"/>
      <c r="CO112" s="83"/>
      <c r="CP112" s="83"/>
      <c r="CQ112" s="83"/>
      <c r="CR112" s="83"/>
      <c r="CS112" s="83"/>
      <c r="CT112" s="83"/>
      <c r="CU112" s="83"/>
      <c r="CV112" s="83"/>
      <c r="CW112" s="83"/>
      <c r="CX112" s="83"/>
      <c r="CY112" s="83"/>
      <c r="CZ112" s="83"/>
      <c r="DA112" s="83"/>
      <c r="DB112" s="83"/>
      <c r="DC112" s="83"/>
      <c r="DD112" s="83"/>
      <c r="DE112" s="83"/>
      <c r="DF112" s="83"/>
      <c r="DG112" s="115"/>
    </row>
    <row r="113" spans="1:111" ht="12" customHeight="1">
      <c r="A113" s="54">
        <f>IF(AV113=0,0,IF(SUM($A$31:A112)&lt;&gt;0,(SUM($A$31:A112)+1),1))</f>
        <v>0</v>
      </c>
      <c r="B113" s="440" t="s">
        <v>261</v>
      </c>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B113" s="438"/>
      <c r="AC113" s="439"/>
      <c r="AD113" s="439"/>
      <c r="AE113" s="439"/>
      <c r="AF113" s="439"/>
      <c r="AG113" s="439"/>
      <c r="AH113" s="439"/>
      <c r="AI113" s="439"/>
      <c r="AJ113" s="439"/>
      <c r="AK113" s="439"/>
      <c r="AL113" s="439"/>
      <c r="AM113" s="439"/>
      <c r="AN113" s="439"/>
      <c r="AO113" s="439"/>
      <c r="AP113" s="439"/>
      <c r="AQ113" s="439"/>
      <c r="AR113" s="439"/>
      <c r="AS113" s="439"/>
      <c r="AT113" s="439"/>
      <c r="AU113" s="448"/>
      <c r="AV113" s="468">
        <f t="shared" si="3"/>
        <v>0</v>
      </c>
      <c r="AW113" s="469"/>
      <c r="AX113" s="469"/>
      <c r="AY113" s="469"/>
      <c r="AZ113" s="469"/>
      <c r="BA113" s="470"/>
      <c r="BB113" s="41" t="str">
        <f t="shared" si="1"/>
        <v/>
      </c>
      <c r="BC113" s="115"/>
      <c r="BD113" s="115"/>
      <c r="BE113" s="115"/>
      <c r="BF113" s="115"/>
      <c r="BG113" s="115"/>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83"/>
      <c r="CN113" s="83"/>
      <c r="CO113" s="83"/>
      <c r="CP113" s="83"/>
      <c r="CQ113" s="83"/>
      <c r="CR113" s="83"/>
      <c r="CS113" s="83"/>
      <c r="CT113" s="83"/>
      <c r="CU113" s="83"/>
      <c r="CV113" s="83"/>
      <c r="CW113" s="83"/>
      <c r="CX113" s="83"/>
      <c r="CY113" s="83"/>
      <c r="CZ113" s="83"/>
      <c r="DA113" s="83"/>
      <c r="DB113" s="83"/>
      <c r="DC113" s="83"/>
      <c r="DD113" s="83"/>
      <c r="DE113" s="83"/>
      <c r="DF113" s="83"/>
      <c r="DG113" s="115"/>
    </row>
    <row r="114" spans="1:111" ht="4.5" customHeight="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C114" s="115"/>
      <c r="BD114" s="115"/>
      <c r="BE114" s="115"/>
      <c r="BF114" s="115"/>
      <c r="BG114" s="115"/>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83"/>
      <c r="CN114" s="83"/>
      <c r="CO114" s="83"/>
      <c r="CP114" s="83"/>
      <c r="CQ114" s="83"/>
      <c r="CR114" s="83"/>
      <c r="CS114" s="83"/>
      <c r="CT114" s="83"/>
      <c r="CU114" s="83"/>
      <c r="CV114" s="83"/>
      <c r="CW114" s="83"/>
      <c r="CX114" s="83"/>
      <c r="CY114" s="83"/>
      <c r="CZ114" s="83"/>
      <c r="DA114" s="83"/>
      <c r="DB114" s="83"/>
      <c r="DC114" s="83"/>
      <c r="DD114" s="83"/>
      <c r="DE114" s="83"/>
      <c r="DF114" s="83"/>
      <c r="DG114" s="115"/>
    </row>
    <row r="115" spans="1:111" ht="18" customHeight="1">
      <c r="Q115" s="471" t="s">
        <v>270</v>
      </c>
      <c r="R115" s="471"/>
      <c r="S115" s="471"/>
      <c r="T115" s="471"/>
      <c r="U115" s="471"/>
      <c r="V115" s="471"/>
      <c r="W115" s="471"/>
      <c r="X115" s="471"/>
      <c r="Y115" s="471"/>
      <c r="Z115" s="471"/>
      <c r="AB115" s="426">
        <f>SUM($AB$31:$AF$113)</f>
        <v>1043255</v>
      </c>
      <c r="AC115" s="427"/>
      <c r="AD115" s="427"/>
      <c r="AE115" s="427"/>
      <c r="AF115" s="427"/>
      <c r="AG115" s="427">
        <f>SUM($AG$31:$AK$113)</f>
        <v>648755.62</v>
      </c>
      <c r="AH115" s="427"/>
      <c r="AI115" s="427"/>
      <c r="AJ115" s="427"/>
      <c r="AK115" s="427"/>
      <c r="AL115" s="427">
        <f>SUM($AL$31:$AP$113)</f>
        <v>215925</v>
      </c>
      <c r="AM115" s="427"/>
      <c r="AN115" s="427"/>
      <c r="AO115" s="427"/>
      <c r="AP115" s="427"/>
      <c r="AQ115" s="427">
        <f>SUM($AQ$31:$AU$113)</f>
        <v>632712.52</v>
      </c>
      <c r="AR115" s="427"/>
      <c r="AS115" s="427"/>
      <c r="AT115" s="427"/>
      <c r="AU115" s="428"/>
      <c r="AV115" s="426">
        <f>SUM(AV31:BA113)</f>
        <v>2540648.14</v>
      </c>
      <c r="AW115" s="427"/>
      <c r="AX115" s="427"/>
      <c r="AY115" s="427"/>
      <c r="AZ115" s="427"/>
      <c r="BA115" s="427"/>
      <c r="BC115" s="115"/>
      <c r="BD115" s="115"/>
      <c r="BE115" s="115"/>
      <c r="BF115" s="115"/>
      <c r="BG115" s="115"/>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83"/>
      <c r="CN115" s="83"/>
      <c r="CO115" s="83"/>
      <c r="CP115" s="83"/>
      <c r="CQ115" s="83"/>
      <c r="CR115" s="83"/>
      <c r="CS115" s="83"/>
      <c r="CT115" s="83"/>
      <c r="CU115" s="83"/>
      <c r="CV115" s="83"/>
      <c r="CW115" s="83"/>
      <c r="CX115" s="83"/>
      <c r="CY115" s="83"/>
      <c r="CZ115" s="83"/>
      <c r="DA115" s="83"/>
      <c r="DB115" s="83"/>
      <c r="DC115" s="83"/>
      <c r="DD115" s="83"/>
      <c r="DE115" s="83"/>
      <c r="DF115" s="83"/>
      <c r="DG115" s="115"/>
    </row>
    <row r="116" spans="1:111" ht="4.5" customHeight="1">
      <c r="Q116" s="52"/>
      <c r="R116" s="52"/>
      <c r="S116" s="52"/>
      <c r="T116" s="52"/>
      <c r="U116" s="52"/>
      <c r="V116" s="52"/>
      <c r="W116" s="52"/>
      <c r="X116" s="52"/>
      <c r="Y116" s="52"/>
      <c r="Z116" s="52"/>
      <c r="BC116" s="115"/>
      <c r="BD116" s="115"/>
      <c r="BE116" s="115"/>
      <c r="BF116" s="115"/>
      <c r="BG116" s="115"/>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83"/>
      <c r="CN116" s="83"/>
      <c r="CO116" s="83"/>
      <c r="CP116" s="83"/>
      <c r="CQ116" s="83"/>
      <c r="CR116" s="83"/>
      <c r="CS116" s="83"/>
      <c r="CT116" s="83"/>
      <c r="CU116" s="83"/>
      <c r="CV116" s="83"/>
      <c r="CW116" s="83"/>
      <c r="CX116" s="83"/>
      <c r="CY116" s="83"/>
      <c r="CZ116" s="83"/>
      <c r="DA116" s="83"/>
      <c r="DB116" s="83"/>
      <c r="DC116" s="83"/>
      <c r="DD116" s="83"/>
      <c r="DE116" s="83"/>
      <c r="DF116" s="83"/>
      <c r="DG116" s="115"/>
    </row>
    <row r="117" spans="1:111" ht="18" customHeight="1">
      <c r="Q117" s="430" t="s">
        <v>1</v>
      </c>
      <c r="R117" s="430"/>
      <c r="S117" s="430"/>
      <c r="T117" s="430"/>
      <c r="U117" s="430"/>
      <c r="V117" s="430"/>
      <c r="W117" s="430"/>
      <c r="X117" s="430"/>
      <c r="Y117" s="430"/>
      <c r="Z117" s="430"/>
      <c r="AB117" s="426">
        <f>SUM(AB31:AF113)-(AB78+AB77)</f>
        <v>1043255</v>
      </c>
      <c r="AC117" s="427"/>
      <c r="AD117" s="427"/>
      <c r="AE117" s="427"/>
      <c r="AF117" s="427"/>
      <c r="AG117" s="427">
        <f>SUM(AG31:AK113)-(AG78+AG77)</f>
        <v>518940</v>
      </c>
      <c r="AH117" s="427"/>
      <c r="AI117" s="427"/>
      <c r="AJ117" s="427"/>
      <c r="AK117" s="427"/>
      <c r="AL117" s="427">
        <f>SUM(AL31:AP113)-(AL78+AL77)</f>
        <v>215925</v>
      </c>
      <c r="AM117" s="427"/>
      <c r="AN117" s="427"/>
      <c r="AO117" s="427"/>
      <c r="AP117" s="427"/>
      <c r="AQ117" s="427">
        <f>SUM(AQ31:AU113)-(AQ78+AQ77)</f>
        <v>632712.52</v>
      </c>
      <c r="AR117" s="427"/>
      <c r="AS117" s="427"/>
      <c r="AT117" s="427"/>
      <c r="AU117" s="428"/>
      <c r="AV117" s="426">
        <f>SUM(AB117:AU117)</f>
        <v>2410832.52</v>
      </c>
      <c r="AW117" s="427"/>
      <c r="AX117" s="427"/>
      <c r="AY117" s="427"/>
      <c r="AZ117" s="427"/>
      <c r="BA117" s="427"/>
      <c r="BC117" s="115"/>
      <c r="BD117" s="115"/>
      <c r="BE117" s="115"/>
      <c r="BF117" s="115"/>
      <c r="BG117" s="115"/>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83"/>
      <c r="CN117" s="83"/>
      <c r="CO117" s="83"/>
      <c r="CP117" s="83"/>
      <c r="CQ117" s="83"/>
      <c r="CR117" s="83"/>
      <c r="CS117" s="83"/>
      <c r="CT117" s="83"/>
      <c r="CU117" s="83"/>
      <c r="CV117" s="83"/>
      <c r="CW117" s="83"/>
      <c r="CX117" s="83"/>
      <c r="CY117" s="83"/>
      <c r="CZ117" s="83"/>
      <c r="DA117" s="83"/>
      <c r="DB117" s="83"/>
      <c r="DC117" s="83"/>
      <c r="DD117" s="83"/>
      <c r="DE117" s="83"/>
      <c r="DF117" s="83"/>
      <c r="DG117" s="115"/>
    </row>
    <row r="118" spans="1:111" ht="4.5" customHeight="1">
      <c r="Q118" s="52"/>
      <c r="R118" s="52"/>
      <c r="S118" s="52"/>
      <c r="T118" s="52"/>
      <c r="U118" s="52"/>
      <c r="V118" s="52"/>
      <c r="W118" s="52"/>
      <c r="X118" s="52"/>
      <c r="Y118" s="52"/>
      <c r="Z118" s="52"/>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C118" s="115"/>
      <c r="BD118" s="115"/>
      <c r="BE118" s="115"/>
      <c r="BF118" s="115"/>
      <c r="BG118" s="115"/>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83"/>
      <c r="CN118" s="83"/>
      <c r="CO118" s="83"/>
      <c r="CP118" s="83"/>
      <c r="CQ118" s="83"/>
      <c r="CR118" s="83"/>
      <c r="CS118" s="83"/>
      <c r="CT118" s="83"/>
      <c r="CU118" s="83"/>
      <c r="CV118" s="83"/>
      <c r="CW118" s="83"/>
      <c r="CX118" s="83"/>
      <c r="CY118" s="83"/>
      <c r="CZ118" s="83"/>
      <c r="DA118" s="83"/>
      <c r="DB118" s="83"/>
      <c r="DC118" s="83"/>
      <c r="DD118" s="83"/>
      <c r="DE118" s="83"/>
      <c r="DF118" s="83"/>
      <c r="DG118" s="115"/>
    </row>
    <row r="119" spans="1:111" ht="18" customHeight="1">
      <c r="Q119" s="430" t="s">
        <v>2</v>
      </c>
      <c r="R119" s="430"/>
      <c r="S119" s="430"/>
      <c r="T119" s="430"/>
      <c r="U119" s="430"/>
      <c r="V119" s="430"/>
      <c r="W119" s="430"/>
      <c r="X119" s="430"/>
      <c r="Y119" s="430"/>
      <c r="Z119" s="430"/>
      <c r="AB119" s="426">
        <f>AB78+AB77</f>
        <v>0</v>
      </c>
      <c r="AC119" s="427"/>
      <c r="AD119" s="427"/>
      <c r="AE119" s="427"/>
      <c r="AF119" s="427"/>
      <c r="AG119" s="427">
        <f>AG78+AG77</f>
        <v>129815.62</v>
      </c>
      <c r="AH119" s="427"/>
      <c r="AI119" s="427"/>
      <c r="AJ119" s="427"/>
      <c r="AK119" s="427"/>
      <c r="AL119" s="427">
        <f>AL78+AL77</f>
        <v>0</v>
      </c>
      <c r="AM119" s="427"/>
      <c r="AN119" s="427"/>
      <c r="AO119" s="427"/>
      <c r="AP119" s="427"/>
      <c r="AQ119" s="427">
        <f>AQ78+AQ77</f>
        <v>0</v>
      </c>
      <c r="AR119" s="427"/>
      <c r="AS119" s="427"/>
      <c r="AT119" s="427"/>
      <c r="AU119" s="428"/>
      <c r="AV119" s="426">
        <f>SUM(AB119:AU119)</f>
        <v>129815.62</v>
      </c>
      <c r="AW119" s="427"/>
      <c r="AX119" s="427"/>
      <c r="AY119" s="427"/>
      <c r="AZ119" s="427"/>
      <c r="BA119" s="427"/>
      <c r="BC119" s="115"/>
      <c r="BD119" s="115"/>
      <c r="BE119" s="115"/>
      <c r="BF119" s="115"/>
      <c r="BG119" s="115"/>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83"/>
      <c r="CN119" s="83"/>
      <c r="CO119" s="83"/>
      <c r="CP119" s="83"/>
      <c r="CQ119" s="83"/>
      <c r="CR119" s="83"/>
      <c r="CS119" s="83"/>
      <c r="CT119" s="83"/>
      <c r="CU119" s="83"/>
      <c r="CV119" s="83"/>
      <c r="CW119" s="83"/>
      <c r="CX119" s="83"/>
      <c r="CY119" s="83"/>
      <c r="CZ119" s="83"/>
      <c r="DA119" s="83"/>
      <c r="DB119" s="83"/>
      <c r="DC119" s="83"/>
      <c r="DD119" s="83"/>
      <c r="DE119" s="83"/>
      <c r="DF119" s="83"/>
      <c r="DG119" s="115"/>
    </row>
    <row r="120" spans="1:111" ht="4.5" customHeight="1">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BC120" s="115"/>
      <c r="BD120" s="115"/>
      <c r="BE120" s="115"/>
      <c r="BF120" s="115"/>
      <c r="BG120" s="115"/>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83"/>
      <c r="CN120" s="83"/>
      <c r="CO120" s="83"/>
      <c r="CP120" s="83"/>
      <c r="CQ120" s="83"/>
      <c r="CR120" s="83"/>
      <c r="CS120" s="83"/>
      <c r="CT120" s="83"/>
      <c r="CU120" s="83"/>
      <c r="CV120" s="83"/>
      <c r="CW120" s="83"/>
      <c r="CX120" s="83"/>
      <c r="CY120" s="83"/>
      <c r="CZ120" s="83"/>
      <c r="DA120" s="83"/>
      <c r="DB120" s="83"/>
      <c r="DC120" s="83"/>
      <c r="DD120" s="83"/>
      <c r="DE120" s="83"/>
      <c r="DF120" s="83"/>
      <c r="DG120" s="115"/>
    </row>
    <row r="121" spans="1:111" ht="4.5" customHeight="1">
      <c r="BC121" s="115"/>
      <c r="BD121" s="115"/>
      <c r="BE121" s="115"/>
      <c r="BF121" s="115"/>
      <c r="BG121" s="115"/>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c r="DD121" s="83"/>
      <c r="DE121" s="83"/>
      <c r="DF121" s="83"/>
      <c r="DG121" s="115"/>
    </row>
    <row r="122" spans="1:111" ht="9" customHeight="1">
      <c r="B122" s="474" t="str">
        <f>IF($AV$115=0,"",IF($AV$115&lt;&gt;$N$15,CONCATENATE(" O valor da soma das despesas descritas no Item &lt;9. Plano de Aplicação Detalhado&gt; está diferente do Valor Global do Projeto em R$ ",($N$15-$AV$115)),""))</f>
        <v/>
      </c>
      <c r="C122" s="474"/>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4"/>
      <c r="AD122" s="474"/>
      <c r="AE122" s="474"/>
      <c r="AF122" s="474"/>
      <c r="AG122" s="474"/>
      <c r="AH122" s="474"/>
      <c r="AI122" s="474"/>
      <c r="AJ122" s="474"/>
      <c r="AK122" s="474"/>
      <c r="AL122" s="474"/>
      <c r="AM122" s="474"/>
      <c r="AN122" s="474"/>
      <c r="AO122" s="474"/>
      <c r="AP122" s="474"/>
      <c r="AQ122" s="474"/>
      <c r="AR122" s="474"/>
      <c r="AS122" s="474"/>
      <c r="AT122" s="474"/>
      <c r="AU122" s="474"/>
      <c r="AV122" s="474"/>
      <c r="AW122" s="474"/>
      <c r="AX122" s="474"/>
      <c r="AY122" s="474"/>
      <c r="AZ122" s="474"/>
      <c r="BA122" s="474"/>
      <c r="BC122" s="115"/>
      <c r="BD122" s="115"/>
      <c r="BE122" s="115"/>
      <c r="BF122" s="115"/>
      <c r="BG122" s="115"/>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83"/>
      <c r="CN122" s="83"/>
      <c r="CO122" s="83"/>
      <c r="CP122" s="83"/>
      <c r="CQ122" s="83"/>
      <c r="CR122" s="83"/>
      <c r="CS122" s="83"/>
      <c r="CT122" s="83"/>
      <c r="CU122" s="83"/>
      <c r="CV122" s="83"/>
      <c r="CW122" s="83"/>
      <c r="CX122" s="83"/>
      <c r="CY122" s="83"/>
      <c r="CZ122" s="83"/>
      <c r="DA122" s="83"/>
      <c r="DB122" s="83"/>
      <c r="DC122" s="83"/>
      <c r="DD122" s="83"/>
      <c r="DE122" s="83"/>
      <c r="DF122" s="83"/>
      <c r="DG122" s="115"/>
    </row>
    <row r="123" spans="1:111" ht="9" customHeight="1">
      <c r="B123" s="474"/>
      <c r="C123" s="474"/>
      <c r="D123" s="474"/>
      <c r="E123" s="474"/>
      <c r="F123" s="474"/>
      <c r="G123" s="474"/>
      <c r="H123" s="474"/>
      <c r="I123" s="474"/>
      <c r="J123" s="474"/>
      <c r="K123" s="474"/>
      <c r="L123" s="474"/>
      <c r="M123" s="474"/>
      <c r="N123" s="474"/>
      <c r="O123" s="474"/>
      <c r="P123" s="474"/>
      <c r="Q123" s="474"/>
      <c r="R123" s="474"/>
      <c r="S123" s="474"/>
      <c r="T123" s="474"/>
      <c r="U123" s="474"/>
      <c r="V123" s="474"/>
      <c r="W123" s="474"/>
      <c r="X123" s="474"/>
      <c r="Y123" s="474"/>
      <c r="Z123" s="474"/>
      <c r="AA123" s="474"/>
      <c r="AB123" s="474"/>
      <c r="AC123" s="474"/>
      <c r="AD123" s="474"/>
      <c r="AE123" s="474"/>
      <c r="AF123" s="474"/>
      <c r="AG123" s="474"/>
      <c r="AH123" s="474"/>
      <c r="AI123" s="474"/>
      <c r="AJ123" s="474"/>
      <c r="AK123" s="474"/>
      <c r="AL123" s="474"/>
      <c r="AM123" s="474"/>
      <c r="AN123" s="474"/>
      <c r="AO123" s="474"/>
      <c r="AP123" s="474"/>
      <c r="AQ123" s="474"/>
      <c r="AR123" s="474"/>
      <c r="AS123" s="474"/>
      <c r="AT123" s="474"/>
      <c r="AU123" s="474"/>
      <c r="AV123" s="474"/>
      <c r="AW123" s="474"/>
      <c r="AX123" s="474"/>
      <c r="AY123" s="474"/>
      <c r="AZ123" s="474"/>
      <c r="BA123" s="474"/>
      <c r="BC123" s="115"/>
      <c r="BD123" s="115"/>
      <c r="BE123" s="115"/>
      <c r="BF123" s="115"/>
      <c r="BG123" s="115"/>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83"/>
      <c r="CN123" s="83"/>
      <c r="CO123" s="83"/>
      <c r="CP123" s="83"/>
      <c r="CQ123" s="83"/>
      <c r="CR123" s="83"/>
      <c r="CS123" s="83"/>
      <c r="CT123" s="83"/>
      <c r="CU123" s="83"/>
      <c r="CV123" s="83"/>
      <c r="CW123" s="83"/>
      <c r="CX123" s="83"/>
      <c r="CY123" s="83"/>
      <c r="CZ123" s="83"/>
      <c r="DA123" s="83"/>
      <c r="DB123" s="83"/>
      <c r="DC123" s="83"/>
      <c r="DD123" s="83"/>
      <c r="DE123" s="83"/>
      <c r="DF123" s="83"/>
      <c r="DG123" s="115"/>
    </row>
    <row r="124" spans="1:111" ht="9" customHeight="1">
      <c r="B124" s="474"/>
      <c r="C124" s="474"/>
      <c r="D124" s="474"/>
      <c r="E124" s="474"/>
      <c r="F124" s="474"/>
      <c r="G124" s="474"/>
      <c r="H124" s="474"/>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474"/>
      <c r="AJ124" s="474"/>
      <c r="AK124" s="474"/>
      <c r="AL124" s="474"/>
      <c r="AM124" s="474"/>
      <c r="AN124" s="474"/>
      <c r="AO124" s="474"/>
      <c r="AP124" s="474"/>
      <c r="AQ124" s="474"/>
      <c r="AR124" s="474"/>
      <c r="AS124" s="474"/>
      <c r="AT124" s="474"/>
      <c r="AU124" s="474"/>
      <c r="AV124" s="474"/>
      <c r="AW124" s="474"/>
      <c r="AX124" s="474"/>
      <c r="AY124" s="474"/>
      <c r="AZ124" s="474"/>
      <c r="BA124" s="474"/>
      <c r="BC124" s="115"/>
      <c r="BD124" s="115"/>
      <c r="BE124" s="115"/>
      <c r="BF124" s="115"/>
      <c r="BG124" s="115"/>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83"/>
      <c r="CN124" s="83"/>
      <c r="CO124" s="83"/>
      <c r="CP124" s="83"/>
      <c r="CQ124" s="83"/>
      <c r="CR124" s="83"/>
      <c r="CS124" s="83"/>
      <c r="CT124" s="83"/>
      <c r="CU124" s="83"/>
      <c r="CV124" s="83"/>
      <c r="CW124" s="83"/>
      <c r="CX124" s="83"/>
      <c r="CY124" s="83"/>
      <c r="CZ124" s="83"/>
      <c r="DA124" s="83"/>
      <c r="DB124" s="83"/>
      <c r="DC124" s="83"/>
      <c r="DD124" s="83"/>
      <c r="DE124" s="83"/>
      <c r="DF124" s="83"/>
      <c r="DG124" s="115"/>
    </row>
    <row r="125" spans="1:111" ht="9" customHeight="1">
      <c r="B125" s="474"/>
      <c r="C125" s="474"/>
      <c r="D125" s="474"/>
      <c r="E125" s="474"/>
      <c r="F125" s="474"/>
      <c r="G125" s="474"/>
      <c r="H125" s="474"/>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74"/>
      <c r="AK125" s="474"/>
      <c r="AL125" s="474"/>
      <c r="AM125" s="474"/>
      <c r="AN125" s="474"/>
      <c r="AO125" s="474"/>
      <c r="AP125" s="474"/>
      <c r="AQ125" s="474"/>
      <c r="AR125" s="474"/>
      <c r="AS125" s="474"/>
      <c r="AT125" s="474"/>
      <c r="AU125" s="474"/>
      <c r="AV125" s="474"/>
      <c r="AW125" s="474"/>
      <c r="AX125" s="474"/>
      <c r="AY125" s="474"/>
      <c r="AZ125" s="474"/>
      <c r="BA125" s="474"/>
      <c r="BC125" s="115"/>
      <c r="BD125" s="115"/>
      <c r="BE125" s="115"/>
      <c r="BF125" s="115"/>
      <c r="BG125" s="115"/>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83"/>
      <c r="CN125" s="83"/>
      <c r="CO125" s="83"/>
      <c r="CP125" s="83"/>
      <c r="CQ125" s="83"/>
      <c r="CR125" s="83"/>
      <c r="CS125" s="83"/>
      <c r="CT125" s="83"/>
      <c r="CU125" s="83"/>
      <c r="CV125" s="83"/>
      <c r="CW125" s="83"/>
      <c r="CX125" s="83"/>
      <c r="CY125" s="83"/>
      <c r="CZ125" s="83"/>
      <c r="DA125" s="83"/>
      <c r="DB125" s="83"/>
      <c r="DC125" s="83"/>
      <c r="DD125" s="83"/>
      <c r="DE125" s="83"/>
      <c r="DF125" s="83"/>
      <c r="DG125" s="115"/>
    </row>
    <row r="126" spans="1:111" ht="9" customHeight="1">
      <c r="B126" s="474"/>
      <c r="C126" s="474"/>
      <c r="D126" s="474"/>
      <c r="E126" s="474"/>
      <c r="F126" s="474"/>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c r="AO126" s="474"/>
      <c r="AP126" s="474"/>
      <c r="AQ126" s="474"/>
      <c r="AR126" s="474"/>
      <c r="AS126" s="474"/>
      <c r="AT126" s="474"/>
      <c r="AU126" s="474"/>
      <c r="AV126" s="474"/>
      <c r="AW126" s="474"/>
      <c r="AX126" s="474"/>
      <c r="AY126" s="474"/>
      <c r="AZ126" s="474"/>
      <c r="BA126" s="474"/>
      <c r="BC126" s="115"/>
      <c r="BD126" s="115"/>
      <c r="BE126" s="115"/>
      <c r="BF126" s="115"/>
      <c r="BG126" s="115"/>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83"/>
      <c r="CN126" s="83"/>
      <c r="CO126" s="83"/>
      <c r="CP126" s="83"/>
      <c r="CQ126" s="83"/>
      <c r="CR126" s="83"/>
      <c r="CS126" s="83"/>
      <c r="CT126" s="83"/>
      <c r="CU126" s="83"/>
      <c r="CV126" s="83"/>
      <c r="CW126" s="83"/>
      <c r="CX126" s="83"/>
      <c r="CY126" s="83"/>
      <c r="CZ126" s="83"/>
      <c r="DA126" s="83"/>
      <c r="DB126" s="83"/>
      <c r="DC126" s="83"/>
      <c r="DD126" s="83"/>
      <c r="DE126" s="83"/>
      <c r="DF126" s="83"/>
      <c r="DG126" s="115"/>
    </row>
    <row r="127" spans="1:111" ht="4.5" customHeight="1">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BC127" s="115"/>
      <c r="BD127" s="115"/>
      <c r="BE127" s="115"/>
      <c r="BF127" s="115"/>
      <c r="BG127" s="115"/>
      <c r="BH127" s="83"/>
      <c r="BI127" s="83"/>
      <c r="BJ127" s="83"/>
      <c r="BK127" s="83"/>
      <c r="BL127" s="83"/>
      <c r="BM127" s="83"/>
      <c r="BN127" s="83"/>
      <c r="BO127" s="83"/>
      <c r="BP127" s="83"/>
      <c r="BQ127" s="83"/>
      <c r="BR127" s="83"/>
      <c r="BS127" s="83"/>
      <c r="BT127" s="83"/>
      <c r="BU127" s="83"/>
      <c r="BV127" s="83"/>
      <c r="BW127" s="83"/>
      <c r="BX127" s="83"/>
      <c r="BY127" s="83"/>
      <c r="BZ127" s="83"/>
      <c r="CA127" s="83"/>
      <c r="CB127" s="83"/>
      <c r="CC127" s="83"/>
      <c r="CD127" s="83"/>
      <c r="CE127" s="83"/>
      <c r="CF127" s="83"/>
      <c r="CG127" s="83"/>
      <c r="CH127" s="83"/>
      <c r="CI127" s="83"/>
      <c r="CJ127" s="83"/>
      <c r="CK127" s="83"/>
      <c r="CL127" s="83"/>
      <c r="CM127" s="83"/>
      <c r="CN127" s="83"/>
      <c r="CO127" s="83"/>
      <c r="CP127" s="83"/>
      <c r="CQ127" s="83"/>
      <c r="CR127" s="83"/>
      <c r="CS127" s="83"/>
      <c r="CT127" s="83"/>
      <c r="CU127" s="83"/>
      <c r="CV127" s="83"/>
      <c r="CW127" s="83"/>
      <c r="CX127" s="83"/>
      <c r="CY127" s="83"/>
      <c r="CZ127" s="83"/>
      <c r="DA127" s="83"/>
      <c r="DB127" s="83"/>
      <c r="DC127" s="83"/>
      <c r="DD127" s="83"/>
      <c r="DE127" s="83"/>
      <c r="DF127" s="83"/>
      <c r="DG127" s="115"/>
    </row>
    <row r="128" spans="1:111" ht="4.5" customHeight="1">
      <c r="BC128" s="115"/>
      <c r="BD128" s="115"/>
      <c r="BE128" s="115"/>
      <c r="BF128" s="115"/>
      <c r="BG128" s="115"/>
      <c r="BH128" s="83"/>
      <c r="BI128" s="83"/>
      <c r="BJ128" s="83"/>
      <c r="BK128" s="83"/>
      <c r="BL128" s="83"/>
      <c r="BM128" s="83"/>
      <c r="BN128" s="83"/>
      <c r="BO128" s="83"/>
      <c r="BP128" s="83"/>
      <c r="BQ128" s="83"/>
      <c r="BR128" s="83"/>
      <c r="BS128" s="83"/>
      <c r="BT128" s="83"/>
      <c r="BU128" s="83"/>
      <c r="BV128" s="83"/>
      <c r="BW128" s="83"/>
      <c r="BX128" s="83"/>
      <c r="BY128" s="83"/>
      <c r="BZ128" s="83"/>
      <c r="CA128" s="83"/>
      <c r="CB128" s="83"/>
      <c r="CC128" s="83"/>
      <c r="CD128" s="83"/>
      <c r="CE128" s="83"/>
      <c r="CF128" s="83"/>
      <c r="CG128" s="83"/>
      <c r="CH128" s="83"/>
      <c r="CI128" s="83"/>
      <c r="CJ128" s="83"/>
      <c r="CK128" s="83"/>
      <c r="CL128" s="83"/>
      <c r="CM128" s="83"/>
      <c r="CN128" s="83"/>
      <c r="CO128" s="83"/>
      <c r="CP128" s="83"/>
      <c r="CQ128" s="83"/>
      <c r="CR128" s="83"/>
      <c r="CS128" s="83"/>
      <c r="CT128" s="83"/>
      <c r="CU128" s="83"/>
      <c r="CV128" s="83"/>
      <c r="CW128" s="83"/>
      <c r="CX128" s="83"/>
      <c r="CY128" s="83"/>
      <c r="CZ128" s="83"/>
      <c r="DA128" s="83"/>
      <c r="DB128" s="83"/>
      <c r="DC128" s="83"/>
      <c r="DD128" s="83"/>
      <c r="DE128" s="83"/>
      <c r="DF128" s="83"/>
      <c r="DG128" s="115"/>
    </row>
    <row r="129" spans="1:111" ht="9" customHeight="1">
      <c r="B129" s="474" t="str">
        <f>IF($AV$115=0,"",IF($N$15&lt;&gt;(SUM($AB$115:$AU$115)),CONCATENATE(" O valor da soma das despesas descritas no Item &lt;7. Cronograma de Desembolso&gt; está diferente do Valor Global do Projeto em R$ ",(SUM($AB$115:$AU$115)-$N$15)),""))</f>
        <v/>
      </c>
      <c r="C129" s="474"/>
      <c r="D129" s="474"/>
      <c r="E129" s="474"/>
      <c r="F129" s="474"/>
      <c r="G129" s="474"/>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474"/>
      <c r="AY129" s="474"/>
      <c r="AZ129" s="474"/>
      <c r="BA129" s="474"/>
      <c r="BC129" s="115"/>
      <c r="BD129" s="115"/>
      <c r="BE129" s="115"/>
      <c r="BF129" s="115"/>
      <c r="BG129" s="115"/>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115"/>
    </row>
    <row r="130" spans="1:111" ht="9" customHeight="1">
      <c r="B130" s="474"/>
      <c r="C130" s="474"/>
      <c r="D130" s="474"/>
      <c r="E130" s="474"/>
      <c r="F130" s="474"/>
      <c r="G130" s="474"/>
      <c r="H130" s="474"/>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AX130" s="474"/>
      <c r="AY130" s="474"/>
      <c r="AZ130" s="474"/>
      <c r="BA130" s="474"/>
      <c r="BC130" s="115"/>
      <c r="BD130" s="115"/>
      <c r="BE130" s="115"/>
      <c r="BF130" s="115"/>
      <c r="BG130" s="115"/>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115"/>
    </row>
    <row r="131" spans="1:111" ht="9" customHeight="1">
      <c r="B131" s="474"/>
      <c r="C131" s="474"/>
      <c r="D131" s="474"/>
      <c r="E131" s="474"/>
      <c r="F131" s="474"/>
      <c r="G131" s="474"/>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474"/>
      <c r="AY131" s="474"/>
      <c r="AZ131" s="474"/>
      <c r="BA131" s="474"/>
      <c r="BC131" s="115"/>
      <c r="BD131" s="115"/>
      <c r="BE131" s="115"/>
      <c r="BF131" s="115"/>
      <c r="BG131" s="115"/>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83"/>
      <c r="CN131" s="83"/>
      <c r="CO131" s="83"/>
      <c r="CP131" s="83"/>
      <c r="CQ131" s="83"/>
      <c r="CR131" s="83"/>
      <c r="CS131" s="83"/>
      <c r="CT131" s="83"/>
      <c r="CU131" s="83"/>
      <c r="CV131" s="83"/>
      <c r="CW131" s="83"/>
      <c r="CX131" s="83"/>
      <c r="CY131" s="83"/>
      <c r="CZ131" s="83"/>
      <c r="DA131" s="83"/>
      <c r="DB131" s="83"/>
      <c r="DC131" s="83"/>
      <c r="DD131" s="83"/>
      <c r="DE131" s="83"/>
      <c r="DF131" s="83"/>
      <c r="DG131" s="115"/>
    </row>
    <row r="132" spans="1:111" ht="9" customHeight="1">
      <c r="B132" s="474"/>
      <c r="C132" s="474"/>
      <c r="D132" s="474"/>
      <c r="E132" s="474"/>
      <c r="F132" s="474"/>
      <c r="G132" s="474"/>
      <c r="H132" s="474"/>
      <c r="I132" s="474"/>
      <c r="J132" s="474"/>
      <c r="K132" s="474"/>
      <c r="L132" s="474"/>
      <c r="M132" s="474"/>
      <c r="N132" s="474"/>
      <c r="O132" s="474"/>
      <c r="P132" s="474"/>
      <c r="Q132" s="474"/>
      <c r="R132" s="474"/>
      <c r="S132" s="474"/>
      <c r="T132" s="474"/>
      <c r="U132" s="474"/>
      <c r="V132" s="474"/>
      <c r="W132" s="474"/>
      <c r="X132" s="474"/>
      <c r="Y132" s="474"/>
      <c r="Z132" s="474"/>
      <c r="AA132" s="474"/>
      <c r="AB132" s="474"/>
      <c r="AC132" s="474"/>
      <c r="AD132" s="474"/>
      <c r="AE132" s="474"/>
      <c r="AF132" s="474"/>
      <c r="AG132" s="474"/>
      <c r="AH132" s="474"/>
      <c r="AI132" s="474"/>
      <c r="AJ132" s="474"/>
      <c r="AK132" s="474"/>
      <c r="AL132" s="474"/>
      <c r="AM132" s="474"/>
      <c r="AN132" s="474"/>
      <c r="AO132" s="474"/>
      <c r="AP132" s="474"/>
      <c r="AQ132" s="474"/>
      <c r="AR132" s="474"/>
      <c r="AS132" s="474"/>
      <c r="AT132" s="474"/>
      <c r="AU132" s="474"/>
      <c r="AV132" s="474"/>
      <c r="AW132" s="474"/>
      <c r="AX132" s="474"/>
      <c r="AY132" s="474"/>
      <c r="AZ132" s="474"/>
      <c r="BA132" s="474"/>
      <c r="BC132" s="115"/>
      <c r="BD132" s="115"/>
      <c r="BE132" s="115"/>
      <c r="BF132" s="115"/>
      <c r="BG132" s="115"/>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83"/>
      <c r="CN132" s="83"/>
      <c r="CO132" s="83"/>
      <c r="CP132" s="83"/>
      <c r="CQ132" s="83"/>
      <c r="CR132" s="83"/>
      <c r="CS132" s="83"/>
      <c r="CT132" s="83"/>
      <c r="CU132" s="83"/>
      <c r="CV132" s="83"/>
      <c r="CW132" s="83"/>
      <c r="CX132" s="83"/>
      <c r="CY132" s="83"/>
      <c r="CZ132" s="83"/>
      <c r="DA132" s="83"/>
      <c r="DB132" s="83"/>
      <c r="DC132" s="83"/>
      <c r="DD132" s="83"/>
      <c r="DE132" s="83"/>
      <c r="DF132" s="83"/>
      <c r="DG132" s="115"/>
    </row>
    <row r="133" spans="1:111" ht="9" customHeight="1">
      <c r="B133" s="474"/>
      <c r="C133" s="474"/>
      <c r="D133" s="474"/>
      <c r="E133" s="474"/>
      <c r="F133" s="474"/>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474"/>
      <c r="AM133" s="474"/>
      <c r="AN133" s="474"/>
      <c r="AO133" s="474"/>
      <c r="AP133" s="474"/>
      <c r="AQ133" s="474"/>
      <c r="AR133" s="474"/>
      <c r="AS133" s="474"/>
      <c r="AT133" s="474"/>
      <c r="AU133" s="474"/>
      <c r="AV133" s="474"/>
      <c r="AW133" s="474"/>
      <c r="AX133" s="474"/>
      <c r="AY133" s="474"/>
      <c r="AZ133" s="474"/>
      <c r="BA133" s="474"/>
      <c r="BC133" s="115"/>
      <c r="BD133" s="115"/>
      <c r="BE133" s="115"/>
      <c r="BF133" s="115"/>
      <c r="BG133" s="115"/>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83"/>
      <c r="CN133" s="83"/>
      <c r="CO133" s="83"/>
      <c r="CP133" s="83"/>
      <c r="CQ133" s="83"/>
      <c r="CR133" s="83"/>
      <c r="CS133" s="83"/>
      <c r="CT133" s="83"/>
      <c r="CU133" s="83"/>
      <c r="CV133" s="83"/>
      <c r="CW133" s="83"/>
      <c r="CX133" s="83"/>
      <c r="CY133" s="83"/>
      <c r="CZ133" s="83"/>
      <c r="DA133" s="83"/>
      <c r="DB133" s="83"/>
      <c r="DC133" s="83"/>
      <c r="DD133" s="83"/>
      <c r="DE133" s="83"/>
      <c r="DF133" s="83"/>
      <c r="DG133" s="115"/>
    </row>
    <row r="134" spans="1:111" ht="19.5" customHeight="1">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row>
    <row r="135" spans="1:111" ht="19.5" customHeight="1">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row>
    <row r="136" spans="1:111" ht="9" customHeight="1">
      <c r="B136" s="473" t="s">
        <v>396</v>
      </c>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3"/>
      <c r="AY136" s="473"/>
      <c r="AZ136" s="473"/>
      <c r="BA136" s="473"/>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row>
    <row r="137" spans="1:111" ht="9" customHeight="1">
      <c r="B137" s="473"/>
      <c r="C137" s="473"/>
      <c r="D137" s="473"/>
      <c r="E137" s="473"/>
      <c r="F137" s="473"/>
      <c r="G137" s="473"/>
      <c r="H137" s="473"/>
      <c r="I137" s="473"/>
      <c r="J137" s="473"/>
      <c r="K137" s="473"/>
      <c r="L137" s="473"/>
      <c r="M137" s="473"/>
      <c r="N137" s="473"/>
      <c r="O137" s="473"/>
      <c r="P137" s="473"/>
      <c r="Q137" s="473"/>
      <c r="R137" s="473"/>
      <c r="S137" s="473"/>
      <c r="T137" s="473"/>
      <c r="U137" s="473"/>
      <c r="V137" s="473"/>
      <c r="W137" s="473"/>
      <c r="X137" s="473"/>
      <c r="Y137" s="473"/>
      <c r="Z137" s="473"/>
      <c r="AA137" s="473"/>
      <c r="AB137" s="473"/>
      <c r="AC137" s="473"/>
      <c r="AD137" s="473"/>
      <c r="AE137" s="473"/>
      <c r="AF137" s="473"/>
      <c r="AG137" s="473"/>
      <c r="AH137" s="473"/>
      <c r="AI137" s="473"/>
      <c r="AJ137" s="473"/>
      <c r="AK137" s="473"/>
      <c r="AL137" s="473"/>
      <c r="AM137" s="473"/>
      <c r="AN137" s="473"/>
      <c r="AO137" s="473"/>
      <c r="AP137" s="473"/>
      <c r="AQ137" s="473"/>
      <c r="AR137" s="473"/>
      <c r="AS137" s="473"/>
      <c r="AT137" s="473"/>
      <c r="AU137" s="473"/>
      <c r="AV137" s="473"/>
      <c r="AW137" s="473"/>
      <c r="AX137" s="473"/>
      <c r="AY137" s="473"/>
      <c r="AZ137" s="473"/>
      <c r="BA137" s="473"/>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row>
    <row r="138" spans="1:111" ht="9" customHeight="1">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row>
    <row r="139" spans="1:111" ht="18" customHeight="1">
      <c r="A139" s="5"/>
      <c r="B139" s="478"/>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206"/>
      <c r="AB139" s="479">
        <v>2019</v>
      </c>
      <c r="AC139" s="479"/>
      <c r="AD139" s="479"/>
      <c r="AE139" s="479"/>
      <c r="AF139" s="479"/>
      <c r="AG139" s="479">
        <v>2020</v>
      </c>
      <c r="AH139" s="479"/>
      <c r="AI139" s="479"/>
      <c r="AJ139" s="479"/>
      <c r="AK139" s="479"/>
      <c r="AL139" s="479">
        <v>2021</v>
      </c>
      <c r="AM139" s="479"/>
      <c r="AN139" s="479"/>
      <c r="AO139" s="479"/>
      <c r="AP139" s="479"/>
      <c r="AQ139" s="479">
        <v>2022</v>
      </c>
      <c r="AR139" s="479"/>
      <c r="AS139" s="479"/>
      <c r="AT139" s="479"/>
      <c r="AU139" s="479"/>
      <c r="AV139" s="479" t="s">
        <v>0</v>
      </c>
      <c r="AW139" s="479"/>
      <c r="AX139" s="479"/>
      <c r="AY139" s="479"/>
      <c r="AZ139" s="479"/>
      <c r="BA139" s="479"/>
      <c r="BC139" s="115"/>
      <c r="BD139" s="115"/>
      <c r="BE139" s="115"/>
      <c r="BF139" s="115"/>
      <c r="BG139" s="115"/>
      <c r="BH139" s="214" t="s">
        <v>402</v>
      </c>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115"/>
    </row>
    <row r="140" spans="1:111" ht="4.5" customHeight="1">
      <c r="A140" s="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C140" s="115"/>
      <c r="BD140" s="115"/>
      <c r="BE140" s="115"/>
      <c r="BF140" s="115"/>
      <c r="BG140" s="115"/>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115"/>
    </row>
    <row r="141" spans="1:111" ht="12" customHeight="1">
      <c r="A141" s="54"/>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5"/>
      <c r="Z141" s="425"/>
      <c r="AA141" s="205"/>
      <c r="AB141" s="423"/>
      <c r="AC141" s="423"/>
      <c r="AD141" s="423"/>
      <c r="AE141" s="423"/>
      <c r="AF141" s="423"/>
      <c r="AG141" s="423"/>
      <c r="AH141" s="423"/>
      <c r="AI141" s="423"/>
      <c r="AJ141" s="423"/>
      <c r="AK141" s="423"/>
      <c r="AL141" s="423"/>
      <c r="AM141" s="423"/>
      <c r="AN141" s="423"/>
      <c r="AO141" s="423"/>
      <c r="AP141" s="423"/>
      <c r="AQ141" s="423"/>
      <c r="AR141" s="423"/>
      <c r="AS141" s="423"/>
      <c r="AT141" s="423"/>
      <c r="AU141" s="423"/>
      <c r="AV141" s="424" t="str">
        <f>IF(TYPE(IF(SUM(AB141:AU141)&gt;(VLOOKUP($B141,$B$31:$BA$113,47,FALSE)),"Valor Maior",SUM(AB141:AU141)))=16,"",IF(SUM(AB141:AU141)&gt;(VLOOKUP($B141,$B$31:$BA$113,47,FALSE)),"Valor Maior",SUM(AB141:AU141)))</f>
        <v/>
      </c>
      <c r="AW141" s="424"/>
      <c r="AX141" s="424"/>
      <c r="AY141" s="424"/>
      <c r="AZ141" s="424"/>
      <c r="BA141" s="424"/>
      <c r="BB141" s="41">
        <f t="shared" ref="BB141:BB145" si="6">IF(AV141=0,"",1)</f>
        <v>1</v>
      </c>
      <c r="BC141" s="115"/>
      <c r="BD141" s="115"/>
      <c r="BE141" s="115"/>
      <c r="BF141" s="115"/>
      <c r="BG141" s="115"/>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115"/>
    </row>
    <row r="142" spans="1:111" ht="12" customHeight="1">
      <c r="A142" s="54"/>
      <c r="B142" s="425"/>
      <c r="C142" s="425"/>
      <c r="D142" s="425"/>
      <c r="E142" s="425"/>
      <c r="F142" s="425"/>
      <c r="G142" s="425"/>
      <c r="H142" s="425"/>
      <c r="I142" s="425"/>
      <c r="J142" s="425"/>
      <c r="K142" s="425"/>
      <c r="L142" s="425"/>
      <c r="M142" s="425"/>
      <c r="N142" s="425"/>
      <c r="O142" s="425"/>
      <c r="P142" s="425"/>
      <c r="Q142" s="425"/>
      <c r="R142" s="425"/>
      <c r="S142" s="425"/>
      <c r="T142" s="425"/>
      <c r="U142" s="425"/>
      <c r="V142" s="425"/>
      <c r="W142" s="425"/>
      <c r="X142" s="425"/>
      <c r="Y142" s="425"/>
      <c r="Z142" s="425"/>
      <c r="AA142" s="205"/>
      <c r="AB142" s="423"/>
      <c r="AC142" s="423"/>
      <c r="AD142" s="423"/>
      <c r="AE142" s="423"/>
      <c r="AF142" s="423"/>
      <c r="AG142" s="423"/>
      <c r="AH142" s="423"/>
      <c r="AI142" s="423"/>
      <c r="AJ142" s="423"/>
      <c r="AK142" s="423"/>
      <c r="AL142" s="423"/>
      <c r="AM142" s="423"/>
      <c r="AN142" s="423"/>
      <c r="AO142" s="423"/>
      <c r="AP142" s="423"/>
      <c r="AQ142" s="423"/>
      <c r="AR142" s="423"/>
      <c r="AS142" s="423"/>
      <c r="AT142" s="423"/>
      <c r="AU142" s="423"/>
      <c r="AV142" s="424" t="str">
        <f>IF(TYPE(IF(SUM(AB142:AU142)&gt;(VLOOKUP($B142,$B$31:$BA$113,47,FALSE)),"Valor Maior",SUM(AB142:AU142)))=16,"",IF(SUM(AB142:AU142)&gt;(VLOOKUP($B142,$B$31:$BA$113,47,FALSE)),"Valor Maior",SUM(AB142:AU142)))</f>
        <v/>
      </c>
      <c r="AW142" s="424"/>
      <c r="AX142" s="424"/>
      <c r="AY142" s="424"/>
      <c r="AZ142" s="424"/>
      <c r="BA142" s="424"/>
      <c r="BB142" s="41">
        <f t="shared" si="6"/>
        <v>1</v>
      </c>
      <c r="BC142" s="115"/>
      <c r="BD142" s="115"/>
      <c r="BE142" s="115"/>
      <c r="BF142" s="115"/>
      <c r="BG142" s="115"/>
      <c r="BH142" s="214" t="s">
        <v>406</v>
      </c>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115"/>
    </row>
    <row r="143" spans="1:111" ht="12" customHeight="1">
      <c r="A143" s="54"/>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205"/>
      <c r="AB143" s="423"/>
      <c r="AC143" s="423"/>
      <c r="AD143" s="423"/>
      <c r="AE143" s="423"/>
      <c r="AF143" s="423"/>
      <c r="AG143" s="423"/>
      <c r="AH143" s="423"/>
      <c r="AI143" s="423"/>
      <c r="AJ143" s="423"/>
      <c r="AK143" s="423"/>
      <c r="AL143" s="423"/>
      <c r="AM143" s="423"/>
      <c r="AN143" s="423"/>
      <c r="AO143" s="423"/>
      <c r="AP143" s="423"/>
      <c r="AQ143" s="423"/>
      <c r="AR143" s="423"/>
      <c r="AS143" s="423"/>
      <c r="AT143" s="423"/>
      <c r="AU143" s="423"/>
      <c r="AV143" s="424" t="str">
        <f>IF(TYPE(IF(SUM(AB143:AU143)&gt;(VLOOKUP($B143,$B$31:$BA$113,47,FALSE)),"Valor Maior",SUM(AB143:AU143)))=16,"",IF(SUM(AB143:AU143)&gt;(VLOOKUP($B143,$B$31:$BA$113,47,FALSE)),"Valor Maior",SUM(AB143:AU143)))</f>
        <v/>
      </c>
      <c r="AW143" s="424"/>
      <c r="AX143" s="424"/>
      <c r="AY143" s="424"/>
      <c r="AZ143" s="424"/>
      <c r="BA143" s="424"/>
      <c r="BB143" s="41">
        <f t="shared" si="6"/>
        <v>1</v>
      </c>
      <c r="BC143" s="115"/>
      <c r="BD143" s="115"/>
      <c r="BE143" s="115"/>
      <c r="BF143" s="115"/>
      <c r="BG143" s="115"/>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115"/>
    </row>
    <row r="144" spans="1:111" ht="12" customHeight="1">
      <c r="A144" s="54"/>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205"/>
      <c r="AB144" s="423"/>
      <c r="AC144" s="423"/>
      <c r="AD144" s="423"/>
      <c r="AE144" s="423"/>
      <c r="AF144" s="423"/>
      <c r="AG144" s="423"/>
      <c r="AH144" s="423"/>
      <c r="AI144" s="423"/>
      <c r="AJ144" s="423"/>
      <c r="AK144" s="423"/>
      <c r="AL144" s="423"/>
      <c r="AM144" s="423"/>
      <c r="AN144" s="423"/>
      <c r="AO144" s="423"/>
      <c r="AP144" s="423"/>
      <c r="AQ144" s="423"/>
      <c r="AR144" s="423"/>
      <c r="AS144" s="423"/>
      <c r="AT144" s="423"/>
      <c r="AU144" s="423"/>
      <c r="AV144" s="424" t="str">
        <f>IF(TYPE(IF(SUM(AB144:AU144)&gt;(VLOOKUP($B144,$B$31:$BA$113,47,FALSE)),"Valor Maior",SUM(AB144:AU144)))=16,"",IF(SUM(AB144:AU144)&gt;(VLOOKUP($B144,$B$31:$BA$113,47,FALSE)),"Valor Maior",SUM(AB144:AU144)))</f>
        <v/>
      </c>
      <c r="AW144" s="424"/>
      <c r="AX144" s="424"/>
      <c r="AY144" s="424"/>
      <c r="AZ144" s="424"/>
      <c r="BA144" s="424"/>
      <c r="BB144" s="41">
        <f t="shared" si="6"/>
        <v>1</v>
      </c>
      <c r="BC144" s="115"/>
      <c r="BD144" s="115"/>
      <c r="BE144" s="115"/>
      <c r="BF144" s="115"/>
      <c r="BG144" s="115"/>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115"/>
    </row>
    <row r="145" spans="1:111" ht="12" customHeight="1">
      <c r="A145" s="54"/>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205"/>
      <c r="AB145" s="423"/>
      <c r="AC145" s="423"/>
      <c r="AD145" s="423"/>
      <c r="AE145" s="423"/>
      <c r="AF145" s="423"/>
      <c r="AG145" s="423"/>
      <c r="AH145" s="423"/>
      <c r="AI145" s="423"/>
      <c r="AJ145" s="423"/>
      <c r="AK145" s="423"/>
      <c r="AL145" s="423"/>
      <c r="AM145" s="423"/>
      <c r="AN145" s="423"/>
      <c r="AO145" s="423"/>
      <c r="AP145" s="423"/>
      <c r="AQ145" s="423"/>
      <c r="AR145" s="423"/>
      <c r="AS145" s="423"/>
      <c r="AT145" s="423"/>
      <c r="AU145" s="423"/>
      <c r="AV145" s="424" t="str">
        <f>IF(TYPE(IF(SUM(AB145:AU145)&gt;(VLOOKUP($B145,$B$31:$BA$113,47,FALSE)),"Valor Maior",SUM(AB145:AU145)))=16,"",IF(SUM(AB145:AU145)&gt;(VLOOKUP($B145,$B$31:$BA$113,47,FALSE)),"Valor Maior",SUM(AB145:AU145)))</f>
        <v/>
      </c>
      <c r="AW145" s="424"/>
      <c r="AX145" s="424"/>
      <c r="AY145" s="424"/>
      <c r="AZ145" s="424"/>
      <c r="BA145" s="424"/>
      <c r="BB145" s="41">
        <f t="shared" si="6"/>
        <v>1</v>
      </c>
      <c r="BC145" s="115"/>
      <c r="BD145" s="115"/>
      <c r="BE145" s="115"/>
      <c r="BF145" s="115"/>
      <c r="BG145" s="115"/>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115"/>
    </row>
    <row r="146" spans="1:111" ht="4.5" customHeight="1">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7"/>
      <c r="AY146" s="207"/>
      <c r="AZ146" s="207"/>
      <c r="BA146" s="207"/>
      <c r="BC146" s="115"/>
      <c r="BD146" s="115"/>
      <c r="BE146" s="115"/>
      <c r="BF146" s="115"/>
      <c r="BG146" s="115"/>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83"/>
      <c r="CN146" s="83"/>
      <c r="CO146" s="83"/>
      <c r="CP146" s="83"/>
      <c r="CQ146" s="83"/>
      <c r="CR146" s="83"/>
      <c r="CS146" s="83"/>
      <c r="CT146" s="83"/>
      <c r="CU146" s="83"/>
      <c r="CV146" s="83"/>
      <c r="CW146" s="83"/>
      <c r="CX146" s="83"/>
      <c r="CY146" s="83"/>
      <c r="CZ146" s="83"/>
      <c r="DA146" s="83"/>
      <c r="DB146" s="83"/>
      <c r="DC146" s="83"/>
      <c r="DD146" s="83"/>
      <c r="DE146" s="83"/>
      <c r="DF146" s="83"/>
      <c r="DG146" s="115"/>
    </row>
    <row r="147" spans="1:111" ht="18" customHeight="1">
      <c r="B147" s="205"/>
      <c r="C147" s="205"/>
      <c r="D147" s="205"/>
      <c r="E147" s="205"/>
      <c r="F147" s="205"/>
      <c r="G147" s="205"/>
      <c r="H147" s="205"/>
      <c r="I147" s="205"/>
      <c r="J147" s="205"/>
      <c r="K147" s="205"/>
      <c r="L147" s="205"/>
      <c r="M147" s="205"/>
      <c r="N147" s="205"/>
      <c r="O147" s="475" t="s">
        <v>399</v>
      </c>
      <c r="P147" s="475"/>
      <c r="Q147" s="475"/>
      <c r="R147" s="475"/>
      <c r="S147" s="475"/>
      <c r="T147" s="475"/>
      <c r="U147" s="475"/>
      <c r="V147" s="475"/>
      <c r="W147" s="475"/>
      <c r="X147" s="475"/>
      <c r="Y147" s="475"/>
      <c r="Z147" s="475"/>
      <c r="AA147" s="205"/>
      <c r="AB147" s="472">
        <f>SUM(AB141:AF145)</f>
        <v>0</v>
      </c>
      <c r="AC147" s="472"/>
      <c r="AD147" s="472"/>
      <c r="AE147" s="472"/>
      <c r="AF147" s="472"/>
      <c r="AG147" s="472">
        <f>SUM(AG141:AK145)</f>
        <v>0</v>
      </c>
      <c r="AH147" s="472"/>
      <c r="AI147" s="472"/>
      <c r="AJ147" s="472"/>
      <c r="AK147" s="472"/>
      <c r="AL147" s="472">
        <f>SUM(AL141:AP145)</f>
        <v>0</v>
      </c>
      <c r="AM147" s="472"/>
      <c r="AN147" s="472"/>
      <c r="AO147" s="472"/>
      <c r="AP147" s="472"/>
      <c r="AQ147" s="472">
        <f>SUM(AQ141:AU145)</f>
        <v>0</v>
      </c>
      <c r="AR147" s="472"/>
      <c r="AS147" s="472"/>
      <c r="AT147" s="472"/>
      <c r="AU147" s="472"/>
      <c r="AV147" s="472">
        <f>SUM(AB147:AU147)</f>
        <v>0</v>
      </c>
      <c r="AW147" s="472"/>
      <c r="AX147" s="472"/>
      <c r="AY147" s="472"/>
      <c r="AZ147" s="472"/>
      <c r="BA147" s="472"/>
      <c r="BC147" s="115"/>
      <c r="BD147" s="115"/>
      <c r="BE147" s="115"/>
      <c r="BF147" s="115"/>
      <c r="BG147" s="115"/>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83"/>
      <c r="CN147" s="83"/>
      <c r="CO147" s="83"/>
      <c r="CP147" s="83"/>
      <c r="CQ147" s="83"/>
      <c r="CR147" s="83"/>
      <c r="CS147" s="83"/>
      <c r="CT147" s="83"/>
      <c r="CU147" s="83"/>
      <c r="CV147" s="83"/>
      <c r="CW147" s="83"/>
      <c r="CX147" s="83"/>
      <c r="CY147" s="83"/>
      <c r="CZ147" s="83"/>
      <c r="DA147" s="83"/>
      <c r="DB147" s="83"/>
      <c r="DC147" s="83"/>
      <c r="DD147" s="83"/>
      <c r="DE147" s="83"/>
      <c r="DF147" s="83"/>
      <c r="DG147" s="115"/>
    </row>
    <row r="148" spans="1:111" ht="4.5" customHeight="1">
      <c r="B148" s="205"/>
      <c r="C148" s="205"/>
      <c r="D148" s="205"/>
      <c r="E148" s="205"/>
      <c r="F148" s="205"/>
      <c r="G148" s="205"/>
      <c r="H148" s="205"/>
      <c r="I148" s="205"/>
      <c r="J148" s="205"/>
      <c r="K148" s="205"/>
      <c r="L148" s="205"/>
      <c r="M148" s="205"/>
      <c r="N148" s="205"/>
      <c r="O148" s="208"/>
      <c r="P148" s="208"/>
      <c r="Q148" s="209"/>
      <c r="R148" s="209"/>
      <c r="S148" s="209"/>
      <c r="T148" s="209"/>
      <c r="U148" s="209"/>
      <c r="V148" s="209"/>
      <c r="W148" s="209"/>
      <c r="X148" s="209"/>
      <c r="Y148" s="209"/>
      <c r="Z148" s="209"/>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C148" s="115"/>
      <c r="BD148" s="115"/>
      <c r="BE148" s="115"/>
      <c r="BF148" s="115"/>
      <c r="BG148" s="115"/>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83"/>
      <c r="CN148" s="83"/>
      <c r="CO148" s="83"/>
      <c r="CP148" s="83"/>
      <c r="CQ148" s="83"/>
      <c r="CR148" s="83"/>
      <c r="CS148" s="83"/>
      <c r="CT148" s="83"/>
      <c r="CU148" s="83"/>
      <c r="CV148" s="83"/>
      <c r="CW148" s="83"/>
      <c r="CX148" s="83"/>
      <c r="CY148" s="83"/>
      <c r="CZ148" s="83"/>
      <c r="DA148" s="83"/>
      <c r="DB148" s="83"/>
      <c r="DC148" s="83"/>
      <c r="DD148" s="83"/>
      <c r="DE148" s="83"/>
      <c r="DF148" s="83"/>
      <c r="DG148" s="115"/>
    </row>
    <row r="149" spans="1:111" ht="18" customHeight="1">
      <c r="B149" s="205"/>
      <c r="C149" s="205"/>
      <c r="D149" s="205"/>
      <c r="E149" s="205"/>
      <c r="F149" s="205"/>
      <c r="G149" s="205"/>
      <c r="H149" s="205"/>
      <c r="I149" s="205"/>
      <c r="J149" s="205"/>
      <c r="K149" s="205"/>
      <c r="L149" s="205"/>
      <c r="M149" s="205"/>
      <c r="N149" s="205"/>
      <c r="O149" s="475" t="s">
        <v>400</v>
      </c>
      <c r="P149" s="475"/>
      <c r="Q149" s="475"/>
      <c r="R149" s="475"/>
      <c r="S149" s="475"/>
      <c r="T149" s="475"/>
      <c r="U149" s="475"/>
      <c r="V149" s="475"/>
      <c r="W149" s="475"/>
      <c r="X149" s="475"/>
      <c r="Y149" s="475"/>
      <c r="Z149" s="475"/>
      <c r="AA149" s="205"/>
      <c r="AB149" s="472">
        <f>AB115-AB147</f>
        <v>1043255</v>
      </c>
      <c r="AC149" s="472"/>
      <c r="AD149" s="472"/>
      <c r="AE149" s="472"/>
      <c r="AF149" s="472"/>
      <c r="AG149" s="472">
        <f>AG115-AG147</f>
        <v>648755.62</v>
      </c>
      <c r="AH149" s="472"/>
      <c r="AI149" s="472"/>
      <c r="AJ149" s="472"/>
      <c r="AK149" s="472"/>
      <c r="AL149" s="472">
        <f>AL115-AL147</f>
        <v>215925</v>
      </c>
      <c r="AM149" s="472"/>
      <c r="AN149" s="472"/>
      <c r="AO149" s="472"/>
      <c r="AP149" s="472"/>
      <c r="AQ149" s="472">
        <f>AQ115-AQ147</f>
        <v>632712.52</v>
      </c>
      <c r="AR149" s="472"/>
      <c r="AS149" s="472"/>
      <c r="AT149" s="472"/>
      <c r="AU149" s="472"/>
      <c r="AV149" s="472">
        <f>SUM(AB149:AU149)</f>
        <v>2540648.14</v>
      </c>
      <c r="AW149" s="472"/>
      <c r="AX149" s="472"/>
      <c r="AY149" s="472"/>
      <c r="AZ149" s="472"/>
      <c r="BA149" s="472"/>
      <c r="BC149" s="115"/>
      <c r="BD149" s="115"/>
      <c r="BE149" s="115"/>
      <c r="BF149" s="115"/>
      <c r="BG149" s="115"/>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83"/>
      <c r="CN149" s="83"/>
      <c r="CO149" s="83"/>
      <c r="CP149" s="83"/>
      <c r="CQ149" s="83"/>
      <c r="CR149" s="83"/>
      <c r="CS149" s="83"/>
      <c r="CT149" s="83"/>
      <c r="CU149" s="83"/>
      <c r="CV149" s="83"/>
      <c r="CW149" s="83"/>
      <c r="CX149" s="83"/>
      <c r="CY149" s="83"/>
      <c r="CZ149" s="83"/>
      <c r="DA149" s="83"/>
      <c r="DB149" s="83"/>
      <c r="DC149" s="83"/>
      <c r="DD149" s="83"/>
      <c r="DE149" s="83"/>
      <c r="DF149" s="83"/>
      <c r="DG149" s="115"/>
    </row>
    <row r="150" spans="1:111" ht="4.5" customHeight="1">
      <c r="B150" s="205"/>
      <c r="C150" s="205"/>
      <c r="D150" s="205"/>
      <c r="E150" s="205"/>
      <c r="F150" s="205"/>
      <c r="G150" s="205"/>
      <c r="H150" s="205"/>
      <c r="I150" s="205"/>
      <c r="J150" s="205"/>
      <c r="K150" s="205"/>
      <c r="L150" s="205"/>
      <c r="M150" s="205"/>
      <c r="N150" s="205"/>
      <c r="O150" s="208"/>
      <c r="P150" s="208"/>
      <c r="Q150" s="209"/>
      <c r="R150" s="209"/>
      <c r="S150" s="209"/>
      <c r="T150" s="209"/>
      <c r="U150" s="209"/>
      <c r="V150" s="209"/>
      <c r="W150" s="209"/>
      <c r="X150" s="209"/>
      <c r="Y150" s="209"/>
      <c r="Z150" s="209"/>
      <c r="AA150" s="205"/>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C150" s="115"/>
      <c r="BD150" s="115"/>
      <c r="BE150" s="115"/>
      <c r="BF150" s="115"/>
      <c r="BG150" s="115"/>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83"/>
      <c r="CN150" s="83"/>
      <c r="CO150" s="83"/>
      <c r="CP150" s="83"/>
      <c r="CQ150" s="83"/>
      <c r="CR150" s="83"/>
      <c r="CS150" s="83"/>
      <c r="CT150" s="83"/>
      <c r="CU150" s="83"/>
      <c r="CV150" s="83"/>
      <c r="CW150" s="83"/>
      <c r="CX150" s="83"/>
      <c r="CY150" s="83"/>
      <c r="CZ150" s="83"/>
      <c r="DA150" s="83"/>
      <c r="DB150" s="83"/>
      <c r="DC150" s="83"/>
      <c r="DD150" s="83"/>
      <c r="DE150" s="83"/>
      <c r="DF150" s="83"/>
      <c r="DG150" s="115"/>
    </row>
    <row r="151" spans="1:111" ht="18" customHeight="1">
      <c r="B151" s="205"/>
      <c r="C151" s="205"/>
      <c r="D151" s="205"/>
      <c r="E151" s="205"/>
      <c r="F151" s="205"/>
      <c r="G151" s="205"/>
      <c r="H151" s="205"/>
      <c r="I151" s="205"/>
      <c r="J151" s="205"/>
      <c r="K151" s="205"/>
      <c r="L151" s="205"/>
      <c r="M151" s="205"/>
      <c r="N151" s="205"/>
      <c r="O151" s="475" t="s">
        <v>401</v>
      </c>
      <c r="P151" s="475"/>
      <c r="Q151" s="475"/>
      <c r="R151" s="475"/>
      <c r="S151" s="475"/>
      <c r="T151" s="475"/>
      <c r="U151" s="475"/>
      <c r="V151" s="475"/>
      <c r="W151" s="475"/>
      <c r="X151" s="475"/>
      <c r="Y151" s="475"/>
      <c r="Z151" s="475"/>
      <c r="AA151" s="205"/>
      <c r="AB151" s="472">
        <f>AB147+AB149</f>
        <v>1043255</v>
      </c>
      <c r="AC151" s="472"/>
      <c r="AD151" s="472"/>
      <c r="AE151" s="472"/>
      <c r="AF151" s="472"/>
      <c r="AG151" s="472">
        <f>AG147+AG149</f>
        <v>648755.62</v>
      </c>
      <c r="AH151" s="472"/>
      <c r="AI151" s="472"/>
      <c r="AJ151" s="472"/>
      <c r="AK151" s="472"/>
      <c r="AL151" s="472">
        <f>AL147+AL149</f>
        <v>215925</v>
      </c>
      <c r="AM151" s="472"/>
      <c r="AN151" s="472"/>
      <c r="AO151" s="472"/>
      <c r="AP151" s="472"/>
      <c r="AQ151" s="472">
        <f>AQ147+AQ149</f>
        <v>632712.52</v>
      </c>
      <c r="AR151" s="472"/>
      <c r="AS151" s="472"/>
      <c r="AT151" s="472"/>
      <c r="AU151" s="472"/>
      <c r="AV151" s="472">
        <f>SUM(AB151:AU151)</f>
        <v>2540648.14</v>
      </c>
      <c r="AW151" s="472"/>
      <c r="AX151" s="472"/>
      <c r="AY151" s="472"/>
      <c r="AZ151" s="472"/>
      <c r="BA151" s="472"/>
      <c r="BC151" s="115"/>
      <c r="BD151" s="115"/>
      <c r="BE151" s="115"/>
      <c r="BF151" s="115"/>
      <c r="BG151" s="115"/>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83"/>
      <c r="CN151" s="83"/>
      <c r="CO151" s="83"/>
      <c r="CP151" s="83"/>
      <c r="CQ151" s="83"/>
      <c r="CR151" s="83"/>
      <c r="CS151" s="83"/>
      <c r="CT151" s="83"/>
      <c r="CU151" s="83"/>
      <c r="CV151" s="83"/>
      <c r="CW151" s="83"/>
      <c r="CX151" s="83"/>
      <c r="CY151" s="83"/>
      <c r="CZ151" s="83"/>
      <c r="DA151" s="83"/>
      <c r="DB151" s="83"/>
      <c r="DC151" s="83"/>
      <c r="DD151" s="83"/>
      <c r="DE151" s="83"/>
      <c r="DF151" s="83"/>
      <c r="DG151" s="115"/>
    </row>
    <row r="152" spans="1:111" ht="4.5" customHeight="1">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BC152" s="115"/>
      <c r="BD152" s="115"/>
      <c r="BE152" s="115"/>
      <c r="BF152" s="115"/>
      <c r="BG152" s="115"/>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83"/>
      <c r="CN152" s="83"/>
      <c r="CO152" s="83"/>
      <c r="CP152" s="83"/>
      <c r="CQ152" s="83"/>
      <c r="CR152" s="83"/>
      <c r="CS152" s="83"/>
      <c r="CT152" s="83"/>
      <c r="CU152" s="83"/>
      <c r="CV152" s="83"/>
      <c r="CW152" s="83"/>
      <c r="CX152" s="83"/>
      <c r="CY152" s="83"/>
      <c r="CZ152" s="83"/>
      <c r="DA152" s="83"/>
      <c r="DB152" s="83"/>
      <c r="DC152" s="83"/>
      <c r="DD152" s="83"/>
      <c r="DE152" s="83"/>
      <c r="DF152" s="83"/>
      <c r="DG152" s="115"/>
    </row>
    <row r="153" spans="1:111" ht="4.5" customHeight="1">
      <c r="BC153" s="115"/>
      <c r="BD153" s="115"/>
      <c r="BE153" s="115"/>
      <c r="BF153" s="115"/>
      <c r="BG153" s="115"/>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83"/>
      <c r="CN153" s="83"/>
      <c r="CO153" s="83"/>
      <c r="CP153" s="83"/>
      <c r="CQ153" s="83"/>
      <c r="CR153" s="83"/>
      <c r="CS153" s="83"/>
      <c r="CT153" s="83"/>
      <c r="CU153" s="83"/>
      <c r="CV153" s="83"/>
      <c r="CW153" s="83"/>
      <c r="CX153" s="83"/>
      <c r="CY153" s="83"/>
      <c r="CZ153" s="83"/>
      <c r="DA153" s="83"/>
      <c r="DB153" s="83"/>
      <c r="DC153" s="83"/>
      <c r="DD153" s="83"/>
      <c r="DE153" s="83"/>
      <c r="DF153" s="83"/>
      <c r="DG153" s="115"/>
    </row>
    <row r="154" spans="1:111" ht="9" customHeight="1">
      <c r="B154" s="474" t="str">
        <f>IF($AV$115=0,"",IF($AV$147&lt;&gt;$N$12,CONCATENATE("O valor da soma das despesas descritas no Item &lt;8. Declaração da Contrapartida&gt; está diferente do Valor de Contrapartida do Projeto em R$ ",($N$12-$AV$147)),""))</f>
        <v/>
      </c>
      <c r="C154" s="474"/>
      <c r="D154" s="474"/>
      <c r="E154" s="474"/>
      <c r="F154" s="474"/>
      <c r="G154" s="474"/>
      <c r="H154" s="474"/>
      <c r="I154" s="474"/>
      <c r="J154" s="474"/>
      <c r="K154" s="474"/>
      <c r="L154" s="474"/>
      <c r="M154" s="474"/>
      <c r="N154" s="474"/>
      <c r="O154" s="474"/>
      <c r="P154" s="474"/>
      <c r="Q154" s="474"/>
      <c r="R154" s="474"/>
      <c r="S154" s="474"/>
      <c r="T154" s="474"/>
      <c r="U154" s="474"/>
      <c r="V154" s="474"/>
      <c r="W154" s="474"/>
      <c r="X154" s="474"/>
      <c r="Y154" s="474"/>
      <c r="Z154" s="474"/>
      <c r="AA154" s="474"/>
      <c r="AB154" s="474"/>
      <c r="AC154" s="474"/>
      <c r="AD154" s="474"/>
      <c r="AE154" s="474"/>
      <c r="AF154" s="474"/>
      <c r="AG154" s="474"/>
      <c r="AH154" s="474"/>
      <c r="AI154" s="474"/>
      <c r="AJ154" s="474"/>
      <c r="AK154" s="474"/>
      <c r="AL154" s="474"/>
      <c r="AM154" s="474"/>
      <c r="AN154" s="474"/>
      <c r="AO154" s="474"/>
      <c r="AP154" s="474"/>
      <c r="AQ154" s="474"/>
      <c r="AR154" s="474"/>
      <c r="AS154" s="474"/>
      <c r="AT154" s="474"/>
      <c r="AU154" s="474"/>
      <c r="AV154" s="474"/>
      <c r="AW154" s="474"/>
      <c r="AX154" s="474"/>
      <c r="AY154" s="474"/>
      <c r="AZ154" s="474"/>
      <c r="BA154" s="474"/>
      <c r="BC154" s="115"/>
      <c r="BD154" s="115"/>
      <c r="BE154" s="115"/>
      <c r="BF154" s="115"/>
      <c r="BG154" s="115"/>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83"/>
      <c r="CN154" s="83"/>
      <c r="CO154" s="83"/>
      <c r="CP154" s="83"/>
      <c r="CQ154" s="83"/>
      <c r="CR154" s="83"/>
      <c r="CS154" s="83"/>
      <c r="CT154" s="83"/>
      <c r="CU154" s="83"/>
      <c r="CV154" s="83"/>
      <c r="CW154" s="83"/>
      <c r="CX154" s="83"/>
      <c r="CY154" s="83"/>
      <c r="CZ154" s="83"/>
      <c r="DA154" s="83"/>
      <c r="DB154" s="83"/>
      <c r="DC154" s="83"/>
      <c r="DD154" s="83"/>
      <c r="DE154" s="83"/>
      <c r="DF154" s="83"/>
      <c r="DG154" s="115"/>
    </row>
    <row r="155" spans="1:111" ht="9" customHeight="1">
      <c r="B155" s="474"/>
      <c r="C155" s="474"/>
      <c r="D155" s="474"/>
      <c r="E155" s="474"/>
      <c r="F155" s="474"/>
      <c r="G155" s="474"/>
      <c r="H155" s="474"/>
      <c r="I155" s="474"/>
      <c r="J155" s="474"/>
      <c r="K155" s="474"/>
      <c r="L155" s="474"/>
      <c r="M155" s="474"/>
      <c r="N155" s="474"/>
      <c r="O155" s="474"/>
      <c r="P155" s="474"/>
      <c r="Q155" s="474"/>
      <c r="R155" s="474"/>
      <c r="S155" s="474"/>
      <c r="T155" s="474"/>
      <c r="U155" s="474"/>
      <c r="V155" s="474"/>
      <c r="W155" s="474"/>
      <c r="X155" s="474"/>
      <c r="Y155" s="474"/>
      <c r="Z155" s="474"/>
      <c r="AA155" s="474"/>
      <c r="AB155" s="474"/>
      <c r="AC155" s="474"/>
      <c r="AD155" s="474"/>
      <c r="AE155" s="474"/>
      <c r="AF155" s="474"/>
      <c r="AG155" s="474"/>
      <c r="AH155" s="474"/>
      <c r="AI155" s="474"/>
      <c r="AJ155" s="474"/>
      <c r="AK155" s="474"/>
      <c r="AL155" s="474"/>
      <c r="AM155" s="474"/>
      <c r="AN155" s="474"/>
      <c r="AO155" s="474"/>
      <c r="AP155" s="474"/>
      <c r="AQ155" s="474"/>
      <c r="AR155" s="474"/>
      <c r="AS155" s="474"/>
      <c r="AT155" s="474"/>
      <c r="AU155" s="474"/>
      <c r="AV155" s="474"/>
      <c r="AW155" s="474"/>
      <c r="AX155" s="474"/>
      <c r="AY155" s="474"/>
      <c r="AZ155" s="474"/>
      <c r="BA155" s="474"/>
      <c r="BC155" s="115"/>
      <c r="BD155" s="115"/>
      <c r="BE155" s="115"/>
      <c r="BF155" s="115"/>
      <c r="BG155" s="115"/>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83"/>
      <c r="CN155" s="83"/>
      <c r="CO155" s="83"/>
      <c r="CP155" s="83"/>
      <c r="CQ155" s="83"/>
      <c r="CR155" s="83"/>
      <c r="CS155" s="83"/>
      <c r="CT155" s="83"/>
      <c r="CU155" s="83"/>
      <c r="CV155" s="83"/>
      <c r="CW155" s="83"/>
      <c r="CX155" s="83"/>
      <c r="CY155" s="83"/>
      <c r="CZ155" s="83"/>
      <c r="DA155" s="83"/>
      <c r="DB155" s="83"/>
      <c r="DC155" s="83"/>
      <c r="DD155" s="83"/>
      <c r="DE155" s="83"/>
      <c r="DF155" s="83"/>
      <c r="DG155" s="115"/>
    </row>
    <row r="156" spans="1:111" ht="9" customHeight="1">
      <c r="B156" s="474"/>
      <c r="C156" s="474"/>
      <c r="D156" s="474"/>
      <c r="E156" s="474"/>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4"/>
      <c r="AL156" s="474"/>
      <c r="AM156" s="474"/>
      <c r="AN156" s="474"/>
      <c r="AO156" s="474"/>
      <c r="AP156" s="474"/>
      <c r="AQ156" s="474"/>
      <c r="AR156" s="474"/>
      <c r="AS156" s="474"/>
      <c r="AT156" s="474"/>
      <c r="AU156" s="474"/>
      <c r="AV156" s="474"/>
      <c r="AW156" s="474"/>
      <c r="AX156" s="474"/>
      <c r="AY156" s="474"/>
      <c r="AZ156" s="474"/>
      <c r="BA156" s="474"/>
      <c r="BC156" s="115"/>
      <c r="BD156" s="115"/>
      <c r="BE156" s="115"/>
      <c r="BF156" s="115"/>
      <c r="BG156" s="115"/>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83"/>
      <c r="CN156" s="83"/>
      <c r="CO156" s="83"/>
      <c r="CP156" s="83"/>
      <c r="CQ156" s="83"/>
      <c r="CR156" s="83"/>
      <c r="CS156" s="83"/>
      <c r="CT156" s="83"/>
      <c r="CU156" s="83"/>
      <c r="CV156" s="83"/>
      <c r="CW156" s="83"/>
      <c r="CX156" s="83"/>
      <c r="CY156" s="83"/>
      <c r="CZ156" s="83"/>
      <c r="DA156" s="83"/>
      <c r="DB156" s="83"/>
      <c r="DC156" s="83"/>
      <c r="DD156" s="83"/>
      <c r="DE156" s="83"/>
      <c r="DF156" s="83"/>
      <c r="DG156" s="115"/>
    </row>
    <row r="157" spans="1:111" ht="9" customHeight="1">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4"/>
      <c r="AL157" s="474"/>
      <c r="AM157" s="474"/>
      <c r="AN157" s="474"/>
      <c r="AO157" s="474"/>
      <c r="AP157" s="474"/>
      <c r="AQ157" s="474"/>
      <c r="AR157" s="474"/>
      <c r="AS157" s="474"/>
      <c r="AT157" s="474"/>
      <c r="AU157" s="474"/>
      <c r="AV157" s="474"/>
      <c r="AW157" s="474"/>
      <c r="AX157" s="474"/>
      <c r="AY157" s="474"/>
      <c r="AZ157" s="474"/>
      <c r="BA157" s="474"/>
      <c r="BC157" s="115"/>
      <c r="BD157" s="115"/>
      <c r="BE157" s="115"/>
      <c r="BF157" s="115"/>
      <c r="BG157" s="115"/>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83"/>
      <c r="CN157" s="83"/>
      <c r="CO157" s="83"/>
      <c r="CP157" s="83"/>
      <c r="CQ157" s="83"/>
      <c r="CR157" s="83"/>
      <c r="CS157" s="83"/>
      <c r="CT157" s="83"/>
      <c r="CU157" s="83"/>
      <c r="CV157" s="83"/>
      <c r="CW157" s="83"/>
      <c r="CX157" s="83"/>
      <c r="CY157" s="83"/>
      <c r="CZ157" s="83"/>
      <c r="DA157" s="83"/>
      <c r="DB157" s="83"/>
      <c r="DC157" s="83"/>
      <c r="DD157" s="83"/>
      <c r="DE157" s="83"/>
      <c r="DF157" s="83"/>
      <c r="DG157" s="115"/>
    </row>
    <row r="158" spans="1:111" ht="9" customHeight="1">
      <c r="B158" s="474"/>
      <c r="C158" s="474"/>
      <c r="D158" s="474"/>
      <c r="E158" s="474"/>
      <c r="F158" s="474"/>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4"/>
      <c r="AL158" s="474"/>
      <c r="AM158" s="474"/>
      <c r="AN158" s="474"/>
      <c r="AO158" s="474"/>
      <c r="AP158" s="474"/>
      <c r="AQ158" s="474"/>
      <c r="AR158" s="474"/>
      <c r="AS158" s="474"/>
      <c r="AT158" s="474"/>
      <c r="AU158" s="474"/>
      <c r="AV158" s="474"/>
      <c r="AW158" s="474"/>
      <c r="AX158" s="474"/>
      <c r="AY158" s="474"/>
      <c r="AZ158" s="474"/>
      <c r="BA158" s="474"/>
      <c r="BC158" s="115"/>
      <c r="BD158" s="115"/>
      <c r="BE158" s="115"/>
      <c r="BF158" s="115"/>
      <c r="BG158" s="115"/>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83"/>
      <c r="CN158" s="83"/>
      <c r="CO158" s="83"/>
      <c r="CP158" s="83"/>
      <c r="CQ158" s="83"/>
      <c r="CR158" s="83"/>
      <c r="CS158" s="83"/>
      <c r="CT158" s="83"/>
      <c r="CU158" s="83"/>
      <c r="CV158" s="83"/>
      <c r="CW158" s="83"/>
      <c r="CX158" s="83"/>
      <c r="CY158" s="83"/>
      <c r="CZ158" s="83"/>
      <c r="DA158" s="83"/>
      <c r="DB158" s="83"/>
      <c r="DC158" s="83"/>
      <c r="DD158" s="83"/>
      <c r="DE158" s="83"/>
      <c r="DF158" s="83"/>
      <c r="DG158" s="115"/>
    </row>
    <row r="159" spans="1:111" ht="19.5" customHeight="1">
      <c r="BC159" s="115"/>
      <c r="BD159" s="115"/>
      <c r="BE159" s="115"/>
      <c r="BF159" s="115"/>
      <c r="BG159" s="115"/>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83"/>
      <c r="CN159" s="83"/>
      <c r="CO159" s="83"/>
      <c r="CP159" s="83"/>
      <c r="CQ159" s="83"/>
      <c r="CR159" s="83"/>
      <c r="CS159" s="83"/>
      <c r="CT159" s="83"/>
      <c r="CU159" s="83"/>
      <c r="CV159" s="83"/>
      <c r="CW159" s="83"/>
      <c r="CX159" s="83"/>
      <c r="CY159" s="83"/>
      <c r="CZ159" s="83"/>
      <c r="DA159" s="83"/>
      <c r="DB159" s="83"/>
      <c r="DC159" s="83"/>
      <c r="DD159" s="83"/>
      <c r="DE159" s="83"/>
      <c r="DF159" s="83"/>
      <c r="DG159" s="83"/>
    </row>
    <row r="160" spans="1:111" ht="19.5" customHeight="1">
      <c r="BC160" s="115"/>
      <c r="BD160" s="115"/>
      <c r="BE160" s="115"/>
      <c r="BF160" s="115"/>
      <c r="BG160" s="115"/>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83"/>
      <c r="CN160" s="83"/>
      <c r="CO160" s="83"/>
      <c r="CP160" s="83"/>
      <c r="CQ160" s="83"/>
      <c r="CR160" s="83"/>
      <c r="CS160" s="83"/>
      <c r="CT160" s="83"/>
      <c r="CU160" s="83"/>
      <c r="CV160" s="83"/>
      <c r="CW160" s="83"/>
      <c r="CX160" s="83"/>
      <c r="CY160" s="83"/>
      <c r="CZ160" s="83"/>
      <c r="DA160" s="83"/>
      <c r="DB160" s="83"/>
      <c r="DC160" s="83"/>
      <c r="DD160" s="83"/>
      <c r="DE160" s="83"/>
      <c r="DF160" s="83"/>
      <c r="DG160" s="83"/>
    </row>
    <row r="161" spans="2:111" ht="9" customHeight="1">
      <c r="B161" s="289" t="s">
        <v>397</v>
      </c>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89"/>
      <c r="AY161" s="289"/>
      <c r="AZ161" s="289"/>
      <c r="BA161" s="290"/>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row>
    <row r="162" spans="2:111" ht="9" customHeight="1">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2"/>
      <c r="BC162" s="115"/>
      <c r="BD162" s="115"/>
      <c r="BE162" s="115"/>
      <c r="BF162" s="115"/>
      <c r="BG162" s="115"/>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c r="CI162" s="83"/>
      <c r="CJ162" s="83"/>
      <c r="CK162" s="83"/>
      <c r="CL162" s="83"/>
      <c r="CM162" s="83"/>
      <c r="CN162" s="83"/>
      <c r="CO162" s="83"/>
      <c r="CP162" s="83"/>
      <c r="CQ162" s="83"/>
      <c r="CR162" s="83"/>
      <c r="CS162" s="83"/>
      <c r="CT162" s="83"/>
      <c r="CU162" s="83"/>
      <c r="CV162" s="83"/>
      <c r="CW162" s="83"/>
      <c r="CX162" s="83"/>
      <c r="CY162" s="83"/>
      <c r="CZ162" s="83"/>
      <c r="DA162" s="83"/>
      <c r="DB162" s="83"/>
      <c r="DC162" s="83"/>
      <c r="DD162" s="83"/>
      <c r="DE162" s="83"/>
      <c r="DF162" s="83"/>
      <c r="DG162" s="115"/>
    </row>
    <row r="163" spans="2:111" ht="9" customHeight="1">
      <c r="BC163" s="115"/>
      <c r="BD163" s="115"/>
      <c r="BE163" s="115"/>
      <c r="BF163" s="115"/>
      <c r="BG163" s="115"/>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83"/>
      <c r="CN163" s="83"/>
      <c r="CO163" s="83"/>
      <c r="CP163" s="83"/>
      <c r="CQ163" s="83"/>
      <c r="CR163" s="83"/>
      <c r="CS163" s="83"/>
      <c r="CT163" s="83"/>
      <c r="CU163" s="83"/>
      <c r="CV163" s="83"/>
      <c r="CW163" s="83"/>
      <c r="CX163" s="83"/>
      <c r="CY163" s="83"/>
      <c r="CZ163" s="83"/>
      <c r="DA163" s="83"/>
      <c r="DB163" s="83"/>
      <c r="DC163" s="83"/>
      <c r="DD163" s="83"/>
      <c r="DE163" s="83"/>
      <c r="DF163" s="83"/>
      <c r="DG163" s="115"/>
    </row>
    <row r="164" spans="2:111" ht="9" customHeight="1">
      <c r="B164" s="55"/>
      <c r="C164" s="55"/>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7"/>
      <c r="AL164" s="57"/>
      <c r="AM164" s="57"/>
      <c r="AN164" s="57"/>
      <c r="AO164" s="58"/>
      <c r="AP164" s="58"/>
      <c r="AQ164" s="58"/>
      <c r="AR164" s="58"/>
      <c r="AS164" s="59"/>
      <c r="AT164" s="59"/>
      <c r="AU164" s="59"/>
      <c r="AV164" s="59"/>
      <c r="AW164" s="58"/>
      <c r="AX164" s="58"/>
      <c r="AY164" s="58"/>
      <c r="AZ164" s="58"/>
      <c r="BA164" s="58"/>
      <c r="BC164" s="115"/>
      <c r="BD164" s="115"/>
      <c r="BE164" s="115"/>
      <c r="BF164" s="115"/>
      <c r="BG164" s="115"/>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83"/>
      <c r="CN164" s="83"/>
      <c r="CO164" s="83"/>
      <c r="CP164" s="83"/>
      <c r="CQ164" s="83"/>
      <c r="CR164" s="83"/>
      <c r="CS164" s="83"/>
      <c r="CT164" s="83"/>
      <c r="CU164" s="83"/>
      <c r="CV164" s="83"/>
      <c r="CW164" s="83"/>
      <c r="CX164" s="83"/>
      <c r="CY164" s="83"/>
      <c r="CZ164" s="83"/>
      <c r="DA164" s="83"/>
      <c r="DB164" s="83"/>
      <c r="DC164" s="83"/>
      <c r="DD164" s="83"/>
      <c r="DE164" s="83"/>
      <c r="DF164" s="83"/>
      <c r="DG164" s="115"/>
    </row>
    <row r="165" spans="2:111" ht="9" customHeight="1">
      <c r="B165" s="215" t="s">
        <v>394</v>
      </c>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AA165" s="431">
        <v>19</v>
      </c>
      <c r="AB165" s="432"/>
      <c r="AC165" s="432"/>
      <c r="AD165" s="433"/>
      <c r="AJ165" s="56"/>
      <c r="AO165" s="58"/>
      <c r="AP165" s="58"/>
      <c r="AQ165" s="58"/>
      <c r="AR165" s="58"/>
      <c r="AS165" s="59"/>
      <c r="AT165" s="59"/>
      <c r="AU165" s="59"/>
      <c r="AV165" s="59"/>
      <c r="AW165" s="58"/>
      <c r="AX165" s="58"/>
      <c r="AY165" s="58"/>
      <c r="AZ165" s="58"/>
      <c r="BA165" s="58"/>
      <c r="BC165" s="115"/>
      <c r="BD165" s="115"/>
      <c r="BE165" s="115"/>
      <c r="BF165" s="115"/>
      <c r="BG165" s="115"/>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83"/>
      <c r="CN165" s="83"/>
      <c r="CO165" s="83"/>
      <c r="CP165" s="83"/>
      <c r="CQ165" s="83"/>
      <c r="CR165" s="83"/>
      <c r="CS165" s="83"/>
      <c r="CT165" s="83"/>
      <c r="CU165" s="83"/>
      <c r="CV165" s="83"/>
      <c r="CW165" s="83"/>
      <c r="CX165" s="83"/>
      <c r="CY165" s="83"/>
      <c r="CZ165" s="83"/>
      <c r="DA165" s="83"/>
      <c r="DB165" s="83"/>
      <c r="DC165" s="83"/>
      <c r="DD165" s="83"/>
      <c r="DE165" s="83"/>
      <c r="DF165" s="83"/>
      <c r="DG165" s="115"/>
    </row>
    <row r="166" spans="2:111" ht="9" customHeight="1">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AA166" s="434"/>
      <c r="AB166" s="435"/>
      <c r="AC166" s="435"/>
      <c r="AD166" s="436"/>
      <c r="AJ166" s="56"/>
      <c r="AO166" s="58"/>
      <c r="AP166" s="58"/>
      <c r="AQ166" s="58"/>
      <c r="AR166" s="58"/>
      <c r="AS166" s="59"/>
      <c r="AT166" s="59"/>
      <c r="AU166" s="59"/>
      <c r="AV166" s="59"/>
      <c r="AW166" s="58"/>
      <c r="AX166" s="58"/>
      <c r="AY166" s="58"/>
      <c r="AZ166" s="58"/>
      <c r="BA166" s="58"/>
      <c r="BC166" s="115"/>
      <c r="BD166" s="115"/>
      <c r="BE166" s="115"/>
      <c r="BF166" s="115"/>
      <c r="BG166" s="115"/>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83"/>
      <c r="CN166" s="83"/>
      <c r="CO166" s="83"/>
      <c r="CP166" s="83"/>
      <c r="CQ166" s="83"/>
      <c r="CR166" s="83"/>
      <c r="CS166" s="83"/>
      <c r="CT166" s="83"/>
      <c r="CU166" s="83"/>
      <c r="CV166" s="83"/>
      <c r="CW166" s="83"/>
      <c r="CX166" s="83"/>
      <c r="CY166" s="83"/>
      <c r="CZ166" s="83"/>
      <c r="DA166" s="83"/>
      <c r="DB166" s="83"/>
      <c r="DC166" s="83"/>
      <c r="DD166" s="83"/>
      <c r="DE166" s="83"/>
      <c r="DF166" s="83"/>
      <c r="DG166" s="115"/>
    </row>
    <row r="167" spans="2:111" ht="15" customHeight="1">
      <c r="B167" s="55"/>
      <c r="C167" s="55"/>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7"/>
      <c r="AL167" s="57"/>
      <c r="AM167" s="57"/>
      <c r="AN167" s="57"/>
      <c r="AO167" s="58"/>
      <c r="AP167" s="58"/>
      <c r="AQ167" s="58"/>
      <c r="AR167" s="58"/>
      <c r="AS167" s="59"/>
      <c r="AT167" s="59"/>
      <c r="AU167" s="59"/>
      <c r="AV167" s="59"/>
      <c r="AW167" s="58"/>
      <c r="AX167" s="58"/>
      <c r="AY167" s="58"/>
      <c r="AZ167" s="58"/>
      <c r="BA167" s="58"/>
      <c r="BC167" s="115"/>
      <c r="BD167" s="115"/>
      <c r="BE167" s="115"/>
      <c r="BF167" s="115"/>
      <c r="BG167" s="11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15"/>
    </row>
    <row r="168" spans="2:111" ht="15" customHeight="1">
      <c r="B168" s="55"/>
      <c r="C168" s="422" t="str">
        <f>IF($AA$165&gt;=1,"DESPESA 1","")</f>
        <v>DESPESA 1</v>
      </c>
      <c r="D168" s="422"/>
      <c r="E168" s="422"/>
      <c r="F168" s="422"/>
      <c r="G168" s="422"/>
      <c r="H168" s="422"/>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141"/>
      <c r="AL168" s="141"/>
      <c r="AM168" s="141"/>
      <c r="AN168" s="141"/>
      <c r="AO168" s="140"/>
      <c r="AP168" s="140"/>
      <c r="AQ168" s="140"/>
      <c r="AR168" s="140"/>
      <c r="AS168" s="142"/>
      <c r="AT168" s="142"/>
      <c r="AU168" s="142"/>
      <c r="AV168" s="142"/>
      <c r="AW168" s="140"/>
      <c r="AX168" s="140"/>
      <c r="AY168" s="140"/>
      <c r="AZ168" s="140"/>
      <c r="BA168" s="140"/>
      <c r="BC168" s="115"/>
      <c r="BD168" s="115"/>
      <c r="BE168" s="115"/>
      <c r="BF168" s="115"/>
      <c r="BG168" s="11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15"/>
    </row>
    <row r="169" spans="2:111" ht="4.5" customHeight="1">
      <c r="BC169" s="115"/>
      <c r="BD169" s="115"/>
      <c r="BE169" s="115"/>
      <c r="BF169" s="115"/>
      <c r="BG169" s="11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15"/>
    </row>
    <row r="170" spans="2:111" ht="9" customHeight="1">
      <c r="C170" s="416" t="str">
        <f>IF(C168="","","Descrição da Despesa:")</f>
        <v>Descrição da Despesa:</v>
      </c>
      <c r="D170" s="416"/>
      <c r="E170" s="416"/>
      <c r="F170" s="416"/>
      <c r="G170" s="416"/>
      <c r="H170" s="416"/>
      <c r="I170" s="60"/>
      <c r="J170" s="421" t="s">
        <v>562</v>
      </c>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c r="AO170" s="421"/>
      <c r="AP170" s="421"/>
      <c r="AQ170" s="421"/>
      <c r="AR170" s="421"/>
      <c r="AS170" s="421"/>
      <c r="AT170" s="421"/>
      <c r="AU170" s="421"/>
      <c r="AV170" s="421"/>
      <c r="AW170" s="421"/>
      <c r="AX170" s="421"/>
      <c r="AY170" s="421"/>
      <c r="AZ170" s="421"/>
      <c r="BA170" s="421"/>
      <c r="BC170" s="115"/>
      <c r="BD170" s="115"/>
      <c r="BE170" s="115"/>
      <c r="BF170" s="115"/>
      <c r="BG170" s="115"/>
      <c r="BH170" s="225" t="s">
        <v>395</v>
      </c>
      <c r="BI170" s="225"/>
      <c r="BJ170" s="225"/>
      <c r="BK170" s="225"/>
      <c r="BL170" s="225"/>
      <c r="BM170" s="225"/>
      <c r="BN170" s="225"/>
      <c r="BO170" s="225"/>
      <c r="BP170" s="225"/>
      <c r="BQ170" s="225"/>
      <c r="BR170" s="225"/>
      <c r="BS170" s="225"/>
      <c r="BT170" s="225"/>
      <c r="BU170" s="225"/>
      <c r="BV170" s="225"/>
      <c r="BW170" s="225"/>
      <c r="BX170" s="225"/>
      <c r="BY170" s="225"/>
      <c r="BZ170" s="225"/>
      <c r="CA170" s="225"/>
      <c r="CB170" s="225"/>
      <c r="CC170" s="225"/>
      <c r="CD170" s="225"/>
      <c r="CE170" s="225"/>
      <c r="CF170" s="225"/>
      <c r="CG170" s="225"/>
      <c r="CH170" s="225"/>
      <c r="CI170" s="225"/>
      <c r="CJ170" s="225"/>
      <c r="CK170" s="225"/>
      <c r="CL170" s="225"/>
      <c r="CM170" s="225"/>
      <c r="CN170" s="225"/>
      <c r="CO170" s="225"/>
      <c r="CP170" s="225"/>
      <c r="CQ170" s="225"/>
      <c r="CR170" s="225"/>
      <c r="CS170" s="225"/>
      <c r="CT170" s="225"/>
      <c r="CU170" s="225"/>
      <c r="CV170" s="225"/>
      <c r="CW170" s="225"/>
      <c r="CX170" s="225"/>
      <c r="CY170" s="225"/>
      <c r="CZ170" s="225"/>
      <c r="DA170" s="225"/>
      <c r="DB170" s="225"/>
      <c r="DC170" s="225"/>
      <c r="DD170" s="225"/>
      <c r="DE170" s="225"/>
      <c r="DF170" s="225"/>
      <c r="DG170" s="115"/>
    </row>
    <row r="171" spans="2:111" ht="9" customHeight="1">
      <c r="C171" s="416"/>
      <c r="D171" s="416"/>
      <c r="E171" s="416"/>
      <c r="F171" s="416"/>
      <c r="G171" s="416"/>
      <c r="H171" s="416"/>
      <c r="I171" s="60"/>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c r="AP171" s="421"/>
      <c r="AQ171" s="421"/>
      <c r="AR171" s="421"/>
      <c r="AS171" s="421"/>
      <c r="AT171" s="421"/>
      <c r="AU171" s="421"/>
      <c r="AV171" s="421"/>
      <c r="AW171" s="421"/>
      <c r="AX171" s="421"/>
      <c r="AY171" s="421"/>
      <c r="AZ171" s="421"/>
      <c r="BA171" s="421"/>
      <c r="BC171" s="115"/>
      <c r="BD171" s="115"/>
      <c r="BE171" s="115"/>
      <c r="BF171" s="115"/>
      <c r="BG171" s="11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c r="CM171" s="225"/>
      <c r="CN171" s="225"/>
      <c r="CO171" s="225"/>
      <c r="CP171" s="225"/>
      <c r="CQ171" s="225"/>
      <c r="CR171" s="225"/>
      <c r="CS171" s="225"/>
      <c r="CT171" s="225"/>
      <c r="CU171" s="225"/>
      <c r="CV171" s="225"/>
      <c r="CW171" s="225"/>
      <c r="CX171" s="225"/>
      <c r="CY171" s="225"/>
      <c r="CZ171" s="225"/>
      <c r="DA171" s="225"/>
      <c r="DB171" s="225"/>
      <c r="DC171" s="225"/>
      <c r="DD171" s="225"/>
      <c r="DE171" s="225"/>
      <c r="DF171" s="225"/>
      <c r="DG171" s="115"/>
    </row>
    <row r="172" spans="2:111" ht="9" customHeight="1">
      <c r="C172" s="416"/>
      <c r="D172" s="416"/>
      <c r="E172" s="416"/>
      <c r="F172" s="416"/>
      <c r="G172" s="416"/>
      <c r="H172" s="416"/>
      <c r="I172" s="60"/>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C172" s="115"/>
      <c r="BD172" s="115"/>
      <c r="BE172" s="115"/>
      <c r="BF172" s="115"/>
      <c r="BG172" s="115"/>
      <c r="BH172" s="225"/>
      <c r="BI172" s="225"/>
      <c r="BJ172" s="225"/>
      <c r="BK172" s="225"/>
      <c r="BL172" s="225"/>
      <c r="BM172" s="225"/>
      <c r="BN172" s="225"/>
      <c r="BO172" s="225"/>
      <c r="BP172" s="225"/>
      <c r="BQ172" s="225"/>
      <c r="BR172" s="225"/>
      <c r="BS172" s="225"/>
      <c r="BT172" s="225"/>
      <c r="BU172" s="225"/>
      <c r="BV172" s="225"/>
      <c r="BW172" s="225"/>
      <c r="BX172" s="225"/>
      <c r="BY172" s="225"/>
      <c r="BZ172" s="225"/>
      <c r="CA172" s="225"/>
      <c r="CB172" s="225"/>
      <c r="CC172" s="225"/>
      <c r="CD172" s="225"/>
      <c r="CE172" s="225"/>
      <c r="CF172" s="225"/>
      <c r="CG172" s="225"/>
      <c r="CH172" s="225"/>
      <c r="CI172" s="225"/>
      <c r="CJ172" s="225"/>
      <c r="CK172" s="225"/>
      <c r="CL172" s="225"/>
      <c r="CM172" s="225"/>
      <c r="CN172" s="225"/>
      <c r="CO172" s="225"/>
      <c r="CP172" s="225"/>
      <c r="CQ172" s="225"/>
      <c r="CR172" s="225"/>
      <c r="CS172" s="225"/>
      <c r="CT172" s="225"/>
      <c r="CU172" s="225"/>
      <c r="CV172" s="225"/>
      <c r="CW172" s="225"/>
      <c r="CX172" s="225"/>
      <c r="CY172" s="225"/>
      <c r="CZ172" s="225"/>
      <c r="DA172" s="225"/>
      <c r="DB172" s="225"/>
      <c r="DC172" s="225"/>
      <c r="DD172" s="225"/>
      <c r="DE172" s="225"/>
      <c r="DF172" s="225"/>
      <c r="DG172" s="115"/>
    </row>
    <row r="173" spans="2:111" ht="4.5" customHeight="1">
      <c r="BC173" s="115"/>
      <c r="BD173" s="115"/>
      <c r="BE173" s="115"/>
      <c r="BF173" s="115"/>
      <c r="BG173" s="115"/>
      <c r="BH173" s="225"/>
      <c r="BI173" s="225"/>
      <c r="BJ173" s="225"/>
      <c r="BK173" s="225"/>
      <c r="BL173" s="225"/>
      <c r="BM173" s="225"/>
      <c r="BN173" s="225"/>
      <c r="BO173" s="225"/>
      <c r="BP173" s="225"/>
      <c r="BQ173" s="225"/>
      <c r="BR173" s="225"/>
      <c r="BS173" s="225"/>
      <c r="BT173" s="225"/>
      <c r="BU173" s="225"/>
      <c r="BV173" s="225"/>
      <c r="BW173" s="225"/>
      <c r="BX173" s="225"/>
      <c r="BY173" s="225"/>
      <c r="BZ173" s="225"/>
      <c r="CA173" s="225"/>
      <c r="CB173" s="225"/>
      <c r="CC173" s="225"/>
      <c r="CD173" s="225"/>
      <c r="CE173" s="225"/>
      <c r="CF173" s="225"/>
      <c r="CG173" s="225"/>
      <c r="CH173" s="225"/>
      <c r="CI173" s="225"/>
      <c r="CJ173" s="225"/>
      <c r="CK173" s="225"/>
      <c r="CL173" s="225"/>
      <c r="CM173" s="225"/>
      <c r="CN173" s="225"/>
      <c r="CO173" s="225"/>
      <c r="CP173" s="225"/>
      <c r="CQ173" s="225"/>
      <c r="CR173" s="225"/>
      <c r="CS173" s="225"/>
      <c r="CT173" s="225"/>
      <c r="CU173" s="225"/>
      <c r="CV173" s="225"/>
      <c r="CW173" s="225"/>
      <c r="CX173" s="225"/>
      <c r="CY173" s="225"/>
      <c r="CZ173" s="225"/>
      <c r="DA173" s="225"/>
      <c r="DB173" s="225"/>
      <c r="DC173" s="225"/>
      <c r="DD173" s="225"/>
      <c r="DE173" s="225"/>
      <c r="DF173" s="225"/>
      <c r="DG173" s="115"/>
    </row>
    <row r="174" spans="2:111" ht="9" customHeight="1">
      <c r="C174" s="416" t="str">
        <f>IF(C168="","","Elemento de Despesa:")</f>
        <v>Elemento de Despesa:</v>
      </c>
      <c r="D174" s="416"/>
      <c r="E174" s="416"/>
      <c r="F174" s="416"/>
      <c r="G174" s="416"/>
      <c r="H174" s="416"/>
      <c r="J174" s="421" t="s">
        <v>216</v>
      </c>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1"/>
      <c r="AY174" s="421"/>
      <c r="AZ174" s="421"/>
      <c r="BA174" s="421"/>
      <c r="BC174" s="115"/>
      <c r="BD174" s="115"/>
      <c r="BE174" s="115"/>
      <c r="BF174" s="115"/>
      <c r="BG174" s="115"/>
      <c r="BH174" s="225"/>
      <c r="BI174" s="225"/>
      <c r="BJ174" s="225"/>
      <c r="BK174" s="225"/>
      <c r="BL174" s="225"/>
      <c r="BM174" s="225"/>
      <c r="BN174" s="225"/>
      <c r="BO174" s="225"/>
      <c r="BP174" s="225"/>
      <c r="BQ174" s="225"/>
      <c r="BR174" s="225"/>
      <c r="BS174" s="225"/>
      <c r="BT174" s="225"/>
      <c r="BU174" s="225"/>
      <c r="BV174" s="225"/>
      <c r="BW174" s="225"/>
      <c r="BX174" s="225"/>
      <c r="BY174" s="225"/>
      <c r="BZ174" s="225"/>
      <c r="CA174" s="225"/>
      <c r="CB174" s="225"/>
      <c r="CC174" s="225"/>
      <c r="CD174" s="225"/>
      <c r="CE174" s="225"/>
      <c r="CF174" s="225"/>
      <c r="CG174" s="225"/>
      <c r="CH174" s="225"/>
      <c r="CI174" s="225"/>
      <c r="CJ174" s="225"/>
      <c r="CK174" s="225"/>
      <c r="CL174" s="225"/>
      <c r="CM174" s="225"/>
      <c r="CN174" s="225"/>
      <c r="CO174" s="225"/>
      <c r="CP174" s="225"/>
      <c r="CQ174" s="225"/>
      <c r="CR174" s="225"/>
      <c r="CS174" s="225"/>
      <c r="CT174" s="225"/>
      <c r="CU174" s="225"/>
      <c r="CV174" s="225"/>
      <c r="CW174" s="225"/>
      <c r="CX174" s="225"/>
      <c r="CY174" s="225"/>
      <c r="CZ174" s="225"/>
      <c r="DA174" s="225"/>
      <c r="DB174" s="225"/>
      <c r="DC174" s="225"/>
      <c r="DD174" s="225"/>
      <c r="DE174" s="225"/>
      <c r="DF174" s="225"/>
      <c r="DG174" s="115"/>
    </row>
    <row r="175" spans="2:111" ht="9" customHeight="1">
      <c r="C175" s="416"/>
      <c r="D175" s="416"/>
      <c r="E175" s="416"/>
      <c r="F175" s="416"/>
      <c r="G175" s="416"/>
      <c r="H175" s="416"/>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c r="AN175" s="421"/>
      <c r="AO175" s="421"/>
      <c r="AP175" s="421"/>
      <c r="AQ175" s="421"/>
      <c r="AR175" s="421"/>
      <c r="AS175" s="421"/>
      <c r="AT175" s="421"/>
      <c r="AU175" s="421"/>
      <c r="AV175" s="421"/>
      <c r="AW175" s="421"/>
      <c r="AX175" s="421"/>
      <c r="AY175" s="421"/>
      <c r="AZ175" s="421"/>
      <c r="BA175" s="421"/>
      <c r="BC175" s="115"/>
      <c r="BD175" s="115"/>
      <c r="BE175" s="115"/>
      <c r="BF175" s="115"/>
      <c r="BG175" s="115"/>
      <c r="BH175" s="225"/>
      <c r="BI175" s="225"/>
      <c r="BJ175" s="225"/>
      <c r="BK175" s="225"/>
      <c r="BL175" s="225"/>
      <c r="BM175" s="225"/>
      <c r="BN175" s="225"/>
      <c r="BO175" s="225"/>
      <c r="BP175" s="225"/>
      <c r="BQ175" s="225"/>
      <c r="BR175" s="225"/>
      <c r="BS175" s="225"/>
      <c r="BT175" s="225"/>
      <c r="BU175" s="225"/>
      <c r="BV175" s="225"/>
      <c r="BW175" s="225"/>
      <c r="BX175" s="225"/>
      <c r="BY175" s="225"/>
      <c r="BZ175" s="225"/>
      <c r="CA175" s="225"/>
      <c r="CB175" s="225"/>
      <c r="CC175" s="225"/>
      <c r="CD175" s="225"/>
      <c r="CE175" s="225"/>
      <c r="CF175" s="225"/>
      <c r="CG175" s="225"/>
      <c r="CH175" s="225"/>
      <c r="CI175" s="225"/>
      <c r="CJ175" s="225"/>
      <c r="CK175" s="225"/>
      <c r="CL175" s="225"/>
      <c r="CM175" s="225"/>
      <c r="CN175" s="225"/>
      <c r="CO175" s="225"/>
      <c r="CP175" s="225"/>
      <c r="CQ175" s="225"/>
      <c r="CR175" s="225"/>
      <c r="CS175" s="225"/>
      <c r="CT175" s="225"/>
      <c r="CU175" s="225"/>
      <c r="CV175" s="225"/>
      <c r="CW175" s="225"/>
      <c r="CX175" s="225"/>
      <c r="CY175" s="225"/>
      <c r="CZ175" s="225"/>
      <c r="DA175" s="225"/>
      <c r="DB175" s="225"/>
      <c r="DC175" s="225"/>
      <c r="DD175" s="225"/>
      <c r="DE175" s="225"/>
      <c r="DF175" s="225"/>
      <c r="DG175" s="115"/>
    </row>
    <row r="176" spans="2:111" ht="9" customHeight="1">
      <c r="C176" s="416"/>
      <c r="D176" s="416"/>
      <c r="E176" s="416"/>
      <c r="F176" s="416"/>
      <c r="G176" s="416"/>
      <c r="H176" s="416"/>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C176" s="115"/>
      <c r="BD176" s="115"/>
      <c r="BE176" s="115"/>
      <c r="BF176" s="115"/>
      <c r="BG176" s="115"/>
      <c r="BH176" s="225"/>
      <c r="BI176" s="225"/>
      <c r="BJ176" s="225"/>
      <c r="BK176" s="225"/>
      <c r="BL176" s="225"/>
      <c r="BM176" s="225"/>
      <c r="BN176" s="225"/>
      <c r="BO176" s="225"/>
      <c r="BP176" s="225"/>
      <c r="BQ176" s="225"/>
      <c r="BR176" s="225"/>
      <c r="BS176" s="225"/>
      <c r="BT176" s="225"/>
      <c r="BU176" s="225"/>
      <c r="BV176" s="225"/>
      <c r="BW176" s="225"/>
      <c r="BX176" s="225"/>
      <c r="BY176" s="225"/>
      <c r="BZ176" s="225"/>
      <c r="CA176" s="225"/>
      <c r="CB176" s="225"/>
      <c r="CC176" s="225"/>
      <c r="CD176" s="225"/>
      <c r="CE176" s="225"/>
      <c r="CF176" s="225"/>
      <c r="CG176" s="225"/>
      <c r="CH176" s="225"/>
      <c r="CI176" s="225"/>
      <c r="CJ176" s="225"/>
      <c r="CK176" s="225"/>
      <c r="CL176" s="225"/>
      <c r="CM176" s="225"/>
      <c r="CN176" s="225"/>
      <c r="CO176" s="225"/>
      <c r="CP176" s="225"/>
      <c r="CQ176" s="225"/>
      <c r="CR176" s="225"/>
      <c r="CS176" s="225"/>
      <c r="CT176" s="225"/>
      <c r="CU176" s="225"/>
      <c r="CV176" s="225"/>
      <c r="CW176" s="225"/>
      <c r="CX176" s="225"/>
      <c r="CY176" s="225"/>
      <c r="CZ176" s="225"/>
      <c r="DA176" s="225"/>
      <c r="DB176" s="225"/>
      <c r="DC176" s="225"/>
      <c r="DD176" s="225"/>
      <c r="DE176" s="225"/>
      <c r="DF176" s="225"/>
      <c r="DG176" s="115"/>
    </row>
    <row r="177" spans="1:111" ht="4.5" customHeight="1">
      <c r="BC177" s="115"/>
      <c r="BD177" s="115"/>
      <c r="BE177" s="115"/>
      <c r="BF177" s="115"/>
      <c r="BG177" s="115"/>
      <c r="BH177" s="225"/>
      <c r="BI177" s="225"/>
      <c r="BJ177" s="225"/>
      <c r="BK177" s="225"/>
      <c r="BL177" s="225"/>
      <c r="BM177" s="225"/>
      <c r="BN177" s="225"/>
      <c r="BO177" s="225"/>
      <c r="BP177" s="225"/>
      <c r="BQ177" s="225"/>
      <c r="BR177" s="225"/>
      <c r="BS177" s="225"/>
      <c r="BT177" s="225"/>
      <c r="BU177" s="225"/>
      <c r="BV177" s="225"/>
      <c r="BW177" s="225"/>
      <c r="BX177" s="225"/>
      <c r="BY177" s="225"/>
      <c r="BZ177" s="225"/>
      <c r="CA177" s="225"/>
      <c r="CB177" s="225"/>
      <c r="CC177" s="225"/>
      <c r="CD177" s="225"/>
      <c r="CE177" s="225"/>
      <c r="CF177" s="225"/>
      <c r="CG177" s="225"/>
      <c r="CH177" s="225"/>
      <c r="CI177" s="225"/>
      <c r="CJ177" s="225"/>
      <c r="CK177" s="225"/>
      <c r="CL177" s="225"/>
      <c r="CM177" s="225"/>
      <c r="CN177" s="225"/>
      <c r="CO177" s="225"/>
      <c r="CP177" s="225"/>
      <c r="CQ177" s="225"/>
      <c r="CR177" s="225"/>
      <c r="CS177" s="225"/>
      <c r="CT177" s="225"/>
      <c r="CU177" s="225"/>
      <c r="CV177" s="225"/>
      <c r="CW177" s="225"/>
      <c r="CX177" s="225"/>
      <c r="CY177" s="225"/>
      <c r="CZ177" s="225"/>
      <c r="DA177" s="225"/>
      <c r="DB177" s="225"/>
      <c r="DC177" s="225"/>
      <c r="DD177" s="225"/>
      <c r="DE177" s="225"/>
      <c r="DF177" s="225"/>
      <c r="DG177" s="115"/>
    </row>
    <row r="178" spans="1:111" ht="9" customHeight="1">
      <c r="A178" s="61" t="str">
        <f>CONCATENATE(Q178,AC178)</f>
        <v>11</v>
      </c>
      <c r="J178" s="416" t="str">
        <f>IF(C168="","","Meta Vinculada:")</f>
        <v>Meta Vinculada:</v>
      </c>
      <c r="K178" s="416"/>
      <c r="L178" s="416"/>
      <c r="M178" s="416"/>
      <c r="N178" s="416"/>
      <c r="O178" s="416"/>
      <c r="Q178" s="417">
        <v>1</v>
      </c>
      <c r="R178" s="417"/>
      <c r="S178" s="417"/>
      <c r="T178" s="417"/>
      <c r="U178" s="56"/>
      <c r="V178" s="416" t="str">
        <f>IF(C168="","","Etapa Vinculada:")</f>
        <v>Etapa Vinculada:</v>
      </c>
      <c r="W178" s="416"/>
      <c r="X178" s="416"/>
      <c r="Y178" s="416"/>
      <c r="Z178" s="416"/>
      <c r="AA178" s="416"/>
      <c r="AC178" s="417">
        <v>1</v>
      </c>
      <c r="AD178" s="417"/>
      <c r="AE178" s="417"/>
      <c r="AF178" s="417"/>
      <c r="AG178" s="56"/>
      <c r="AH178" s="56"/>
      <c r="AI178" s="56"/>
      <c r="AJ178" s="56"/>
      <c r="AK178" s="141"/>
      <c r="AL178" s="141"/>
      <c r="AM178" s="141"/>
      <c r="AN178" s="141"/>
      <c r="AO178" s="140"/>
      <c r="AP178" s="140"/>
      <c r="AQ178" s="140"/>
      <c r="AR178" s="140"/>
      <c r="AS178" s="142"/>
      <c r="AT178" s="142"/>
      <c r="AU178" s="142"/>
      <c r="AV178" s="142"/>
      <c r="AW178" s="140"/>
      <c r="AX178" s="140"/>
      <c r="AY178" s="140"/>
      <c r="AZ178" s="140"/>
      <c r="BA178" s="140"/>
      <c r="BC178" s="115"/>
      <c r="BD178" s="115"/>
      <c r="BE178" s="115"/>
      <c r="BF178" s="115"/>
      <c r="BG178" s="115"/>
      <c r="BH178" s="225"/>
      <c r="BI178" s="225"/>
      <c r="BJ178" s="225"/>
      <c r="BK178" s="225"/>
      <c r="BL178" s="225"/>
      <c r="BM178" s="225"/>
      <c r="BN178" s="225"/>
      <c r="BO178" s="225"/>
      <c r="BP178" s="225"/>
      <c r="BQ178" s="225"/>
      <c r="BR178" s="225"/>
      <c r="BS178" s="225"/>
      <c r="BT178" s="225"/>
      <c r="BU178" s="225"/>
      <c r="BV178" s="225"/>
      <c r="BW178" s="225"/>
      <c r="BX178" s="225"/>
      <c r="BY178" s="225"/>
      <c r="BZ178" s="225"/>
      <c r="CA178" s="225"/>
      <c r="CB178" s="225"/>
      <c r="CC178" s="225"/>
      <c r="CD178" s="225"/>
      <c r="CE178" s="225"/>
      <c r="CF178" s="225"/>
      <c r="CG178" s="225"/>
      <c r="CH178" s="225"/>
      <c r="CI178" s="225"/>
      <c r="CJ178" s="225"/>
      <c r="CK178" s="225"/>
      <c r="CL178" s="225"/>
      <c r="CM178" s="225"/>
      <c r="CN178" s="225"/>
      <c r="CO178" s="225"/>
      <c r="CP178" s="225"/>
      <c r="CQ178" s="225"/>
      <c r="CR178" s="225"/>
      <c r="CS178" s="225"/>
      <c r="CT178" s="225"/>
      <c r="CU178" s="225"/>
      <c r="CV178" s="225"/>
      <c r="CW178" s="225"/>
      <c r="CX178" s="225"/>
      <c r="CY178" s="225"/>
      <c r="CZ178" s="225"/>
      <c r="DA178" s="225"/>
      <c r="DB178" s="225"/>
      <c r="DC178" s="225"/>
      <c r="DD178" s="225"/>
      <c r="DE178" s="225"/>
      <c r="DF178" s="225"/>
      <c r="DG178" s="115"/>
    </row>
    <row r="179" spans="1:111" ht="9" customHeight="1">
      <c r="B179" s="55"/>
      <c r="C179" s="55"/>
      <c r="D179" s="56"/>
      <c r="E179" s="56"/>
      <c r="F179" s="56"/>
      <c r="G179" s="56"/>
      <c r="H179" s="56"/>
      <c r="I179" s="56"/>
      <c r="J179" s="416"/>
      <c r="K179" s="416"/>
      <c r="L179" s="416"/>
      <c r="M179" s="416"/>
      <c r="N179" s="416"/>
      <c r="O179" s="416"/>
      <c r="Q179" s="417"/>
      <c r="R179" s="417"/>
      <c r="S179" s="417"/>
      <c r="T179" s="417"/>
      <c r="U179" s="56"/>
      <c r="V179" s="416"/>
      <c r="W179" s="416"/>
      <c r="X179" s="416"/>
      <c r="Y179" s="416"/>
      <c r="Z179" s="416"/>
      <c r="AA179" s="416"/>
      <c r="AC179" s="417"/>
      <c r="AD179" s="417"/>
      <c r="AE179" s="417"/>
      <c r="AF179" s="417"/>
      <c r="AG179" s="56"/>
      <c r="AH179" s="56"/>
      <c r="AI179" s="56"/>
      <c r="AJ179" s="56"/>
      <c r="AK179" s="57"/>
      <c r="AL179" s="57"/>
      <c r="AM179" s="57"/>
      <c r="AN179" s="57"/>
      <c r="AO179" s="58"/>
      <c r="AP179" s="58"/>
      <c r="AQ179" s="58"/>
      <c r="AR179" s="58"/>
      <c r="AS179" s="59"/>
      <c r="AT179" s="59"/>
      <c r="AU179" s="59"/>
      <c r="AV179" s="59"/>
      <c r="AW179" s="58"/>
      <c r="AX179" s="58"/>
      <c r="AY179" s="58"/>
      <c r="AZ179" s="58"/>
      <c r="BA179" s="58"/>
      <c r="BC179" s="115"/>
      <c r="BD179" s="115"/>
      <c r="BE179" s="115"/>
      <c r="BF179" s="115"/>
      <c r="BG179" s="115"/>
      <c r="BH179" s="225"/>
      <c r="BI179" s="225"/>
      <c r="BJ179" s="225"/>
      <c r="BK179" s="225"/>
      <c r="BL179" s="225"/>
      <c r="BM179" s="225"/>
      <c r="BN179" s="225"/>
      <c r="BO179" s="225"/>
      <c r="BP179" s="225"/>
      <c r="BQ179" s="225"/>
      <c r="BR179" s="225"/>
      <c r="BS179" s="225"/>
      <c r="BT179" s="225"/>
      <c r="BU179" s="225"/>
      <c r="BV179" s="225"/>
      <c r="BW179" s="225"/>
      <c r="BX179" s="225"/>
      <c r="BY179" s="225"/>
      <c r="BZ179" s="225"/>
      <c r="CA179" s="225"/>
      <c r="CB179" s="225"/>
      <c r="CC179" s="225"/>
      <c r="CD179" s="225"/>
      <c r="CE179" s="225"/>
      <c r="CF179" s="225"/>
      <c r="CG179" s="225"/>
      <c r="CH179" s="225"/>
      <c r="CI179" s="225"/>
      <c r="CJ179" s="225"/>
      <c r="CK179" s="225"/>
      <c r="CL179" s="225"/>
      <c r="CM179" s="225"/>
      <c r="CN179" s="225"/>
      <c r="CO179" s="225"/>
      <c r="CP179" s="225"/>
      <c r="CQ179" s="225"/>
      <c r="CR179" s="225"/>
      <c r="CS179" s="225"/>
      <c r="CT179" s="225"/>
      <c r="CU179" s="225"/>
      <c r="CV179" s="225"/>
      <c r="CW179" s="225"/>
      <c r="CX179" s="225"/>
      <c r="CY179" s="225"/>
      <c r="CZ179" s="225"/>
      <c r="DA179" s="225"/>
      <c r="DB179" s="225"/>
      <c r="DC179" s="225"/>
      <c r="DD179" s="225"/>
      <c r="DE179" s="225"/>
      <c r="DF179" s="225"/>
      <c r="DG179" s="115"/>
    </row>
    <row r="180" spans="1:111" ht="9" customHeight="1">
      <c r="Q180" s="417"/>
      <c r="R180" s="417"/>
      <c r="S180" s="417"/>
      <c r="T180" s="417"/>
      <c r="AC180" s="417"/>
      <c r="AD180" s="417"/>
      <c r="AE180" s="417"/>
      <c r="AF180" s="417"/>
      <c r="BC180" s="115"/>
      <c r="BD180" s="115"/>
      <c r="BE180" s="115"/>
      <c r="BF180" s="115"/>
      <c r="BG180" s="115"/>
      <c r="BH180" s="225"/>
      <c r="BI180" s="225"/>
      <c r="BJ180" s="225"/>
      <c r="BK180" s="225"/>
      <c r="BL180" s="225"/>
      <c r="BM180" s="225"/>
      <c r="BN180" s="225"/>
      <c r="BO180" s="225"/>
      <c r="BP180" s="225"/>
      <c r="BQ180" s="225"/>
      <c r="BR180" s="225"/>
      <c r="BS180" s="225"/>
      <c r="BT180" s="225"/>
      <c r="BU180" s="225"/>
      <c r="BV180" s="225"/>
      <c r="BW180" s="225"/>
      <c r="BX180" s="225"/>
      <c r="BY180" s="225"/>
      <c r="BZ180" s="225"/>
      <c r="CA180" s="225"/>
      <c r="CB180" s="225"/>
      <c r="CC180" s="225"/>
      <c r="CD180" s="225"/>
      <c r="CE180" s="225"/>
      <c r="CF180" s="225"/>
      <c r="CG180" s="225"/>
      <c r="CH180" s="225"/>
      <c r="CI180" s="225"/>
      <c r="CJ180" s="225"/>
      <c r="CK180" s="225"/>
      <c r="CL180" s="225"/>
      <c r="CM180" s="225"/>
      <c r="CN180" s="225"/>
      <c r="CO180" s="225"/>
      <c r="CP180" s="225"/>
      <c r="CQ180" s="225"/>
      <c r="CR180" s="225"/>
      <c r="CS180" s="225"/>
      <c r="CT180" s="225"/>
      <c r="CU180" s="225"/>
      <c r="CV180" s="225"/>
      <c r="CW180" s="225"/>
      <c r="CX180" s="225"/>
      <c r="CY180" s="225"/>
      <c r="CZ180" s="225"/>
      <c r="DA180" s="225"/>
      <c r="DB180" s="225"/>
      <c r="DC180" s="225"/>
      <c r="DD180" s="225"/>
      <c r="DE180" s="225"/>
      <c r="DF180" s="225"/>
      <c r="DG180" s="115"/>
    </row>
    <row r="181" spans="1:111" ht="4.5" customHeight="1">
      <c r="BC181" s="115"/>
      <c r="BD181" s="115"/>
      <c r="BE181" s="115"/>
      <c r="BF181" s="115"/>
      <c r="BG181" s="115"/>
      <c r="BH181" s="225"/>
      <c r="BI181" s="225"/>
      <c r="BJ181" s="225"/>
      <c r="BK181" s="225"/>
      <c r="BL181" s="225"/>
      <c r="BM181" s="225"/>
      <c r="BN181" s="225"/>
      <c r="BO181" s="225"/>
      <c r="BP181" s="225"/>
      <c r="BQ181" s="225"/>
      <c r="BR181" s="225"/>
      <c r="BS181" s="225"/>
      <c r="BT181" s="225"/>
      <c r="BU181" s="225"/>
      <c r="BV181" s="225"/>
      <c r="BW181" s="225"/>
      <c r="BX181" s="225"/>
      <c r="BY181" s="225"/>
      <c r="BZ181" s="225"/>
      <c r="CA181" s="225"/>
      <c r="CB181" s="225"/>
      <c r="CC181" s="225"/>
      <c r="CD181" s="225"/>
      <c r="CE181" s="225"/>
      <c r="CF181" s="225"/>
      <c r="CG181" s="225"/>
      <c r="CH181" s="225"/>
      <c r="CI181" s="225"/>
      <c r="CJ181" s="225"/>
      <c r="CK181" s="225"/>
      <c r="CL181" s="225"/>
      <c r="CM181" s="225"/>
      <c r="CN181" s="225"/>
      <c r="CO181" s="225"/>
      <c r="CP181" s="225"/>
      <c r="CQ181" s="225"/>
      <c r="CR181" s="225"/>
      <c r="CS181" s="225"/>
      <c r="CT181" s="225"/>
      <c r="CU181" s="225"/>
      <c r="CV181" s="225"/>
      <c r="CW181" s="225"/>
      <c r="CX181" s="225"/>
      <c r="CY181" s="225"/>
      <c r="CZ181" s="225"/>
      <c r="DA181" s="225"/>
      <c r="DB181" s="225"/>
      <c r="DC181" s="225"/>
      <c r="DD181" s="225"/>
      <c r="DE181" s="225"/>
      <c r="DF181" s="225"/>
      <c r="DG181" s="115"/>
    </row>
    <row r="182" spans="1:111" ht="9" customHeight="1">
      <c r="A182" s="154"/>
      <c r="B182" s="154"/>
      <c r="C182" s="154"/>
      <c r="D182" s="154"/>
      <c r="E182" s="154"/>
      <c r="F182" s="154"/>
      <c r="G182" s="154"/>
      <c r="H182" s="154"/>
      <c r="I182" s="154"/>
      <c r="J182" s="416" t="str">
        <f>IF(C168="","","Quantidade:")</f>
        <v>Quantidade:</v>
      </c>
      <c r="K182" s="416"/>
      <c r="L182" s="416"/>
      <c r="M182" s="416"/>
      <c r="N182" s="416"/>
      <c r="O182" s="416"/>
      <c r="P182" s="154"/>
      <c r="Q182" s="417">
        <v>164</v>
      </c>
      <c r="R182" s="417"/>
      <c r="S182" s="417"/>
      <c r="T182" s="417"/>
      <c r="U182" s="154"/>
      <c r="V182" s="416" t="str">
        <f>IF(C168="","","Unidade:")</f>
        <v>Unidade:</v>
      </c>
      <c r="W182" s="416"/>
      <c r="X182" s="416"/>
      <c r="Y182" s="416"/>
      <c r="Z182" s="416"/>
      <c r="AA182" s="416"/>
      <c r="AB182" s="154"/>
      <c r="AC182" s="418" t="s">
        <v>569</v>
      </c>
      <c r="AD182" s="418"/>
      <c r="AE182" s="418"/>
      <c r="AF182" s="418"/>
      <c r="AG182" s="418"/>
      <c r="AH182" s="418"/>
      <c r="AI182" s="418"/>
      <c r="AJ182" s="418"/>
      <c r="AK182" s="418"/>
      <c r="AL182" s="418"/>
      <c r="AM182" s="418"/>
      <c r="AN182" s="418"/>
      <c r="AO182" s="418"/>
      <c r="AP182" s="418"/>
      <c r="AQ182" s="418"/>
      <c r="AR182" s="418"/>
      <c r="AS182" s="418"/>
      <c r="AT182" s="418"/>
      <c r="AU182" s="418"/>
      <c r="AV182" s="418"/>
      <c r="AW182" s="418"/>
      <c r="AX182" s="418"/>
      <c r="AY182" s="418"/>
      <c r="AZ182" s="418"/>
      <c r="BA182" s="418"/>
      <c r="BB182" s="154"/>
      <c r="BC182" s="115"/>
      <c r="BD182" s="115"/>
      <c r="BE182" s="115"/>
      <c r="BF182" s="115"/>
      <c r="BG182" s="115"/>
      <c r="BH182" s="225"/>
      <c r="BI182" s="225"/>
      <c r="BJ182" s="225"/>
      <c r="BK182" s="225"/>
      <c r="BL182" s="225"/>
      <c r="BM182" s="225"/>
      <c r="BN182" s="225"/>
      <c r="BO182" s="225"/>
      <c r="BP182" s="225"/>
      <c r="BQ182" s="225"/>
      <c r="BR182" s="225"/>
      <c r="BS182" s="225"/>
      <c r="BT182" s="225"/>
      <c r="BU182" s="225"/>
      <c r="BV182" s="225"/>
      <c r="BW182" s="225"/>
      <c r="BX182" s="225"/>
      <c r="BY182" s="225"/>
      <c r="BZ182" s="225"/>
      <c r="CA182" s="225"/>
      <c r="CB182" s="225"/>
      <c r="CC182" s="225"/>
      <c r="CD182" s="225"/>
      <c r="CE182" s="225"/>
      <c r="CF182" s="225"/>
      <c r="CG182" s="225"/>
      <c r="CH182" s="225"/>
      <c r="CI182" s="225"/>
      <c r="CJ182" s="225"/>
      <c r="CK182" s="225"/>
      <c r="CL182" s="225"/>
      <c r="CM182" s="225"/>
      <c r="CN182" s="225"/>
      <c r="CO182" s="225"/>
      <c r="CP182" s="225"/>
      <c r="CQ182" s="225"/>
      <c r="CR182" s="225"/>
      <c r="CS182" s="225"/>
      <c r="CT182" s="225"/>
      <c r="CU182" s="225"/>
      <c r="CV182" s="225"/>
      <c r="CW182" s="225"/>
      <c r="CX182" s="225"/>
      <c r="CY182" s="225"/>
      <c r="CZ182" s="225"/>
      <c r="DA182" s="225"/>
      <c r="DB182" s="225"/>
      <c r="DC182" s="225"/>
      <c r="DD182" s="225"/>
      <c r="DE182" s="225"/>
      <c r="DF182" s="225"/>
      <c r="DG182" s="115"/>
    </row>
    <row r="183" spans="1:111" ht="9" customHeight="1">
      <c r="A183" s="154"/>
      <c r="B183" s="154"/>
      <c r="C183" s="154"/>
      <c r="D183" s="154"/>
      <c r="E183" s="154"/>
      <c r="F183" s="154"/>
      <c r="G183" s="154"/>
      <c r="H183" s="154"/>
      <c r="I183" s="154"/>
      <c r="J183" s="416"/>
      <c r="K183" s="416"/>
      <c r="L183" s="416"/>
      <c r="M183" s="416"/>
      <c r="N183" s="416"/>
      <c r="O183" s="416"/>
      <c r="P183" s="154"/>
      <c r="Q183" s="417"/>
      <c r="R183" s="417"/>
      <c r="S183" s="417"/>
      <c r="T183" s="417"/>
      <c r="U183" s="154"/>
      <c r="V183" s="416"/>
      <c r="W183" s="416"/>
      <c r="X183" s="416"/>
      <c r="Y183" s="416"/>
      <c r="Z183" s="416"/>
      <c r="AA183" s="416"/>
      <c r="AB183" s="154"/>
      <c r="AC183" s="418"/>
      <c r="AD183" s="418"/>
      <c r="AE183" s="418"/>
      <c r="AF183" s="418"/>
      <c r="AG183" s="418"/>
      <c r="AH183" s="418"/>
      <c r="AI183" s="418"/>
      <c r="AJ183" s="418"/>
      <c r="AK183" s="418"/>
      <c r="AL183" s="418"/>
      <c r="AM183" s="418"/>
      <c r="AN183" s="418"/>
      <c r="AO183" s="418"/>
      <c r="AP183" s="418"/>
      <c r="AQ183" s="418"/>
      <c r="AR183" s="418"/>
      <c r="AS183" s="418"/>
      <c r="AT183" s="418"/>
      <c r="AU183" s="418"/>
      <c r="AV183" s="418"/>
      <c r="AW183" s="418"/>
      <c r="AX183" s="418"/>
      <c r="AY183" s="418"/>
      <c r="AZ183" s="418"/>
      <c r="BA183" s="418"/>
      <c r="BB183" s="154"/>
      <c r="BC183" s="115"/>
      <c r="BD183" s="115"/>
      <c r="BE183" s="115"/>
      <c r="BF183" s="115"/>
      <c r="BG183" s="115"/>
      <c r="BH183" s="225"/>
      <c r="BI183" s="225"/>
      <c r="BJ183" s="225"/>
      <c r="BK183" s="225"/>
      <c r="BL183" s="225"/>
      <c r="BM183" s="225"/>
      <c r="BN183" s="225"/>
      <c r="BO183" s="225"/>
      <c r="BP183" s="225"/>
      <c r="BQ183" s="225"/>
      <c r="BR183" s="225"/>
      <c r="BS183" s="225"/>
      <c r="BT183" s="225"/>
      <c r="BU183" s="225"/>
      <c r="BV183" s="225"/>
      <c r="BW183" s="225"/>
      <c r="BX183" s="225"/>
      <c r="BY183" s="225"/>
      <c r="BZ183" s="225"/>
      <c r="CA183" s="225"/>
      <c r="CB183" s="225"/>
      <c r="CC183" s="225"/>
      <c r="CD183" s="225"/>
      <c r="CE183" s="225"/>
      <c r="CF183" s="225"/>
      <c r="CG183" s="225"/>
      <c r="CH183" s="225"/>
      <c r="CI183" s="225"/>
      <c r="CJ183" s="225"/>
      <c r="CK183" s="225"/>
      <c r="CL183" s="225"/>
      <c r="CM183" s="225"/>
      <c r="CN183" s="225"/>
      <c r="CO183" s="225"/>
      <c r="CP183" s="225"/>
      <c r="CQ183" s="225"/>
      <c r="CR183" s="225"/>
      <c r="CS183" s="225"/>
      <c r="CT183" s="225"/>
      <c r="CU183" s="225"/>
      <c r="CV183" s="225"/>
      <c r="CW183" s="225"/>
      <c r="CX183" s="225"/>
      <c r="CY183" s="225"/>
      <c r="CZ183" s="225"/>
      <c r="DA183" s="225"/>
      <c r="DB183" s="225"/>
      <c r="DC183" s="225"/>
      <c r="DD183" s="225"/>
      <c r="DE183" s="225"/>
      <c r="DF183" s="225"/>
      <c r="DG183" s="115"/>
    </row>
    <row r="184" spans="1:111" ht="9" customHeight="1">
      <c r="A184" s="154"/>
      <c r="B184" s="154"/>
      <c r="C184" s="154"/>
      <c r="D184" s="154"/>
      <c r="E184" s="154"/>
      <c r="F184" s="154"/>
      <c r="G184" s="154"/>
      <c r="H184" s="154"/>
      <c r="I184" s="154"/>
      <c r="J184" s="154"/>
      <c r="K184" s="154"/>
      <c r="L184" s="154"/>
      <c r="M184" s="154"/>
      <c r="N184" s="154"/>
      <c r="O184" s="154"/>
      <c r="P184" s="154"/>
      <c r="Q184" s="417"/>
      <c r="R184" s="417"/>
      <c r="S184" s="417"/>
      <c r="T184" s="417"/>
      <c r="U184" s="154"/>
      <c r="V184" s="154"/>
      <c r="W184" s="154"/>
      <c r="X184" s="154"/>
      <c r="Y184" s="154"/>
      <c r="Z184" s="154"/>
      <c r="AA184" s="154"/>
      <c r="AB184" s="154"/>
      <c r="AC184" s="418"/>
      <c r="AD184" s="418"/>
      <c r="AE184" s="418"/>
      <c r="AF184" s="418"/>
      <c r="AG184" s="418"/>
      <c r="AH184" s="418"/>
      <c r="AI184" s="418"/>
      <c r="AJ184" s="418"/>
      <c r="AK184" s="418"/>
      <c r="AL184" s="418"/>
      <c r="AM184" s="418"/>
      <c r="AN184" s="418"/>
      <c r="AO184" s="418"/>
      <c r="AP184" s="418"/>
      <c r="AQ184" s="418"/>
      <c r="AR184" s="418"/>
      <c r="AS184" s="418"/>
      <c r="AT184" s="418"/>
      <c r="AU184" s="418"/>
      <c r="AV184" s="418"/>
      <c r="AW184" s="418"/>
      <c r="AX184" s="418"/>
      <c r="AY184" s="418"/>
      <c r="AZ184" s="418"/>
      <c r="BA184" s="418"/>
      <c r="BB184" s="154"/>
      <c r="BC184" s="115"/>
      <c r="BD184" s="115"/>
      <c r="BE184" s="115"/>
      <c r="BF184" s="115"/>
      <c r="BG184" s="115"/>
      <c r="BH184" s="225"/>
      <c r="BI184" s="225"/>
      <c r="BJ184" s="225"/>
      <c r="BK184" s="225"/>
      <c r="BL184" s="225"/>
      <c r="BM184" s="225"/>
      <c r="BN184" s="225"/>
      <c r="BO184" s="225"/>
      <c r="BP184" s="225"/>
      <c r="BQ184" s="225"/>
      <c r="BR184" s="225"/>
      <c r="BS184" s="225"/>
      <c r="BT184" s="225"/>
      <c r="BU184" s="225"/>
      <c r="BV184" s="225"/>
      <c r="BW184" s="225"/>
      <c r="BX184" s="225"/>
      <c r="BY184" s="225"/>
      <c r="BZ184" s="225"/>
      <c r="CA184" s="225"/>
      <c r="CB184" s="225"/>
      <c r="CC184" s="225"/>
      <c r="CD184" s="225"/>
      <c r="CE184" s="225"/>
      <c r="CF184" s="225"/>
      <c r="CG184" s="225"/>
      <c r="CH184" s="225"/>
      <c r="CI184" s="225"/>
      <c r="CJ184" s="225"/>
      <c r="CK184" s="225"/>
      <c r="CL184" s="225"/>
      <c r="CM184" s="225"/>
      <c r="CN184" s="225"/>
      <c r="CO184" s="225"/>
      <c r="CP184" s="225"/>
      <c r="CQ184" s="225"/>
      <c r="CR184" s="225"/>
      <c r="CS184" s="225"/>
      <c r="CT184" s="225"/>
      <c r="CU184" s="225"/>
      <c r="CV184" s="225"/>
      <c r="CW184" s="225"/>
      <c r="CX184" s="225"/>
      <c r="CY184" s="225"/>
      <c r="CZ184" s="225"/>
      <c r="DA184" s="225"/>
      <c r="DB184" s="225"/>
      <c r="DC184" s="225"/>
      <c r="DD184" s="225"/>
      <c r="DE184" s="225"/>
      <c r="DF184" s="225"/>
      <c r="DG184" s="115"/>
    </row>
    <row r="185" spans="1:111" ht="4.5" customHeight="1">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15"/>
      <c r="BD185" s="115"/>
      <c r="BE185" s="115"/>
      <c r="BF185" s="115"/>
      <c r="BG185" s="115"/>
      <c r="BH185" s="225"/>
      <c r="BI185" s="225"/>
      <c r="BJ185" s="225"/>
      <c r="BK185" s="225"/>
      <c r="BL185" s="225"/>
      <c r="BM185" s="225"/>
      <c r="BN185" s="225"/>
      <c r="BO185" s="225"/>
      <c r="BP185" s="225"/>
      <c r="BQ185" s="225"/>
      <c r="BR185" s="225"/>
      <c r="BS185" s="225"/>
      <c r="BT185" s="225"/>
      <c r="BU185" s="225"/>
      <c r="BV185" s="225"/>
      <c r="BW185" s="225"/>
      <c r="BX185" s="225"/>
      <c r="BY185" s="225"/>
      <c r="BZ185" s="225"/>
      <c r="CA185" s="225"/>
      <c r="CB185" s="225"/>
      <c r="CC185" s="225"/>
      <c r="CD185" s="225"/>
      <c r="CE185" s="225"/>
      <c r="CF185" s="225"/>
      <c r="CG185" s="225"/>
      <c r="CH185" s="225"/>
      <c r="CI185" s="225"/>
      <c r="CJ185" s="225"/>
      <c r="CK185" s="225"/>
      <c r="CL185" s="225"/>
      <c r="CM185" s="225"/>
      <c r="CN185" s="225"/>
      <c r="CO185" s="225"/>
      <c r="CP185" s="225"/>
      <c r="CQ185" s="225"/>
      <c r="CR185" s="225"/>
      <c r="CS185" s="225"/>
      <c r="CT185" s="225"/>
      <c r="CU185" s="225"/>
      <c r="CV185" s="225"/>
      <c r="CW185" s="225"/>
      <c r="CX185" s="225"/>
      <c r="CY185" s="225"/>
      <c r="CZ185" s="225"/>
      <c r="DA185" s="225"/>
      <c r="DB185" s="225"/>
      <c r="DC185" s="225"/>
      <c r="DD185" s="225"/>
      <c r="DE185" s="225"/>
      <c r="DF185" s="225"/>
      <c r="DG185" s="115"/>
    </row>
    <row r="186" spans="1:111" ht="9" customHeight="1">
      <c r="A186" s="154"/>
      <c r="B186" s="154"/>
      <c r="C186" s="154"/>
      <c r="D186" s="154"/>
      <c r="E186" s="154"/>
      <c r="F186" s="154"/>
      <c r="G186" s="154"/>
      <c r="H186" s="154"/>
      <c r="I186" s="154"/>
      <c r="J186" s="416" t="str">
        <f>IF(C168="","","Valor Unitário (R$):")</f>
        <v>Valor Unitário (R$):</v>
      </c>
      <c r="K186" s="416"/>
      <c r="L186" s="416"/>
      <c r="M186" s="416"/>
      <c r="N186" s="416"/>
      <c r="O186" s="416"/>
      <c r="P186" s="154"/>
      <c r="Q186" s="419">
        <v>685</v>
      </c>
      <c r="R186" s="419"/>
      <c r="S186" s="419"/>
      <c r="T186" s="419"/>
      <c r="U186" s="419"/>
      <c r="V186" s="419"/>
      <c r="W186" s="419"/>
      <c r="X186" s="419"/>
      <c r="Y186" s="154"/>
      <c r="Z186" s="416" t="str">
        <f>IF(C168="","",IF(J174="52 Equipamentos e Material Permanente","Tempo de Uso:",""))</f>
        <v/>
      </c>
      <c r="AA186" s="416"/>
      <c r="AB186" s="416"/>
      <c r="AC186" s="416"/>
      <c r="AD186" s="416"/>
      <c r="AE186" s="416"/>
      <c r="AF186" s="154"/>
      <c r="AG186" s="420"/>
      <c r="AH186" s="420"/>
      <c r="AI186" s="420"/>
      <c r="AJ186" s="420"/>
      <c r="AK186" s="420"/>
      <c r="AL186" s="420"/>
      <c r="AM186" s="420"/>
      <c r="AN186" s="420"/>
      <c r="AO186" s="420"/>
      <c r="AP186" s="420"/>
      <c r="AQ186" s="420"/>
      <c r="AR186" s="420"/>
      <c r="AS186" s="420"/>
      <c r="AT186" s="420"/>
      <c r="AU186" s="420"/>
      <c r="AV186" s="420"/>
      <c r="AW186" s="420"/>
      <c r="AX186" s="420"/>
      <c r="AY186" s="420"/>
      <c r="AZ186" s="420"/>
      <c r="BA186" s="420"/>
      <c r="BB186" s="154"/>
      <c r="BC186" s="115"/>
      <c r="BD186" s="115"/>
      <c r="BE186" s="115"/>
      <c r="BF186" s="115"/>
      <c r="BG186" s="115"/>
      <c r="BH186" s="225"/>
      <c r="BI186" s="225"/>
      <c r="BJ186" s="225"/>
      <c r="BK186" s="225"/>
      <c r="BL186" s="225"/>
      <c r="BM186" s="225"/>
      <c r="BN186" s="225"/>
      <c r="BO186" s="225"/>
      <c r="BP186" s="225"/>
      <c r="BQ186" s="225"/>
      <c r="BR186" s="225"/>
      <c r="BS186" s="225"/>
      <c r="BT186" s="225"/>
      <c r="BU186" s="225"/>
      <c r="BV186" s="225"/>
      <c r="BW186" s="225"/>
      <c r="BX186" s="225"/>
      <c r="BY186" s="225"/>
      <c r="BZ186" s="225"/>
      <c r="CA186" s="225"/>
      <c r="CB186" s="225"/>
      <c r="CC186" s="225"/>
      <c r="CD186" s="225"/>
      <c r="CE186" s="225"/>
      <c r="CF186" s="225"/>
      <c r="CG186" s="225"/>
      <c r="CH186" s="225"/>
      <c r="CI186" s="225"/>
      <c r="CJ186" s="225"/>
      <c r="CK186" s="225"/>
      <c r="CL186" s="225"/>
      <c r="CM186" s="225"/>
      <c r="CN186" s="225"/>
      <c r="CO186" s="225"/>
      <c r="CP186" s="225"/>
      <c r="CQ186" s="225"/>
      <c r="CR186" s="225"/>
      <c r="CS186" s="225"/>
      <c r="CT186" s="225"/>
      <c r="CU186" s="225"/>
      <c r="CV186" s="225"/>
      <c r="CW186" s="225"/>
      <c r="CX186" s="225"/>
      <c r="CY186" s="225"/>
      <c r="CZ186" s="225"/>
      <c r="DA186" s="225"/>
      <c r="DB186" s="225"/>
      <c r="DC186" s="225"/>
      <c r="DD186" s="225"/>
      <c r="DE186" s="225"/>
      <c r="DF186" s="225"/>
      <c r="DG186" s="115"/>
    </row>
    <row r="187" spans="1:111" ht="9" customHeight="1">
      <c r="A187" s="154"/>
      <c r="B187" s="154"/>
      <c r="C187" s="154"/>
      <c r="D187" s="154"/>
      <c r="E187" s="154"/>
      <c r="F187" s="154"/>
      <c r="G187" s="154"/>
      <c r="H187" s="154"/>
      <c r="I187" s="154"/>
      <c r="J187" s="416"/>
      <c r="K187" s="416"/>
      <c r="L187" s="416"/>
      <c r="M187" s="416"/>
      <c r="N187" s="416"/>
      <c r="O187" s="416"/>
      <c r="P187" s="154"/>
      <c r="Q187" s="419"/>
      <c r="R187" s="419"/>
      <c r="S187" s="419"/>
      <c r="T187" s="419"/>
      <c r="U187" s="419"/>
      <c r="V187" s="419"/>
      <c r="W187" s="419"/>
      <c r="X187" s="419"/>
      <c r="Y187" s="154"/>
      <c r="Z187" s="416"/>
      <c r="AA187" s="416"/>
      <c r="AB187" s="416"/>
      <c r="AC187" s="416"/>
      <c r="AD187" s="416"/>
      <c r="AE187" s="416"/>
      <c r="AF187" s="154"/>
      <c r="AG187" s="420"/>
      <c r="AH187" s="420"/>
      <c r="AI187" s="420"/>
      <c r="AJ187" s="420"/>
      <c r="AK187" s="420"/>
      <c r="AL187" s="420"/>
      <c r="AM187" s="420"/>
      <c r="AN187" s="420"/>
      <c r="AO187" s="420"/>
      <c r="AP187" s="420"/>
      <c r="AQ187" s="420"/>
      <c r="AR187" s="420"/>
      <c r="AS187" s="420"/>
      <c r="AT187" s="420"/>
      <c r="AU187" s="420"/>
      <c r="AV187" s="420"/>
      <c r="AW187" s="420"/>
      <c r="AX187" s="420"/>
      <c r="AY187" s="420"/>
      <c r="AZ187" s="420"/>
      <c r="BA187" s="420"/>
      <c r="BB187" s="154"/>
      <c r="BC187" s="115"/>
      <c r="BD187" s="115"/>
      <c r="BE187" s="115"/>
      <c r="BF187" s="115"/>
      <c r="BG187" s="115"/>
      <c r="BH187" s="225"/>
      <c r="BI187" s="225"/>
      <c r="BJ187" s="225"/>
      <c r="BK187" s="225"/>
      <c r="BL187" s="225"/>
      <c r="BM187" s="225"/>
      <c r="BN187" s="225"/>
      <c r="BO187" s="225"/>
      <c r="BP187" s="225"/>
      <c r="BQ187" s="225"/>
      <c r="BR187" s="225"/>
      <c r="BS187" s="225"/>
      <c r="BT187" s="225"/>
      <c r="BU187" s="225"/>
      <c r="BV187" s="225"/>
      <c r="BW187" s="225"/>
      <c r="BX187" s="225"/>
      <c r="BY187" s="225"/>
      <c r="BZ187" s="225"/>
      <c r="CA187" s="225"/>
      <c r="CB187" s="225"/>
      <c r="CC187" s="225"/>
      <c r="CD187" s="225"/>
      <c r="CE187" s="225"/>
      <c r="CF187" s="225"/>
      <c r="CG187" s="225"/>
      <c r="CH187" s="225"/>
      <c r="CI187" s="225"/>
      <c r="CJ187" s="225"/>
      <c r="CK187" s="225"/>
      <c r="CL187" s="225"/>
      <c r="CM187" s="225"/>
      <c r="CN187" s="225"/>
      <c r="CO187" s="225"/>
      <c r="CP187" s="225"/>
      <c r="CQ187" s="225"/>
      <c r="CR187" s="225"/>
      <c r="CS187" s="225"/>
      <c r="CT187" s="225"/>
      <c r="CU187" s="225"/>
      <c r="CV187" s="225"/>
      <c r="CW187" s="225"/>
      <c r="CX187" s="225"/>
      <c r="CY187" s="225"/>
      <c r="CZ187" s="225"/>
      <c r="DA187" s="225"/>
      <c r="DB187" s="225"/>
      <c r="DC187" s="225"/>
      <c r="DD187" s="225"/>
      <c r="DE187" s="225"/>
      <c r="DF187" s="225"/>
      <c r="DG187" s="115"/>
    </row>
    <row r="188" spans="1:111" ht="9" customHeight="1">
      <c r="A188" s="154"/>
      <c r="B188" s="154"/>
      <c r="C188" s="154"/>
      <c r="D188" s="154"/>
      <c r="E188" s="154"/>
      <c r="F188" s="154"/>
      <c r="G188" s="154"/>
      <c r="H188" s="154"/>
      <c r="I188" s="154"/>
      <c r="J188" s="154"/>
      <c r="K188" s="154"/>
      <c r="L188" s="154"/>
      <c r="M188" s="154"/>
      <c r="N188" s="154"/>
      <c r="O188" s="154"/>
      <c r="P188" s="154"/>
      <c r="Q188" s="419"/>
      <c r="R188" s="419"/>
      <c r="S188" s="419"/>
      <c r="T188" s="419"/>
      <c r="U188" s="419"/>
      <c r="V188" s="419"/>
      <c r="W188" s="419"/>
      <c r="X188" s="419"/>
      <c r="Y188" s="154"/>
      <c r="Z188" s="154"/>
      <c r="AA188" s="154"/>
      <c r="AB188" s="154"/>
      <c r="AC188" s="154"/>
      <c r="AD188" s="154"/>
      <c r="AE188" s="154"/>
      <c r="AF188" s="154"/>
      <c r="AG188" s="420"/>
      <c r="AH188" s="420"/>
      <c r="AI188" s="420"/>
      <c r="AJ188" s="420"/>
      <c r="AK188" s="420"/>
      <c r="AL188" s="420"/>
      <c r="AM188" s="420"/>
      <c r="AN188" s="420"/>
      <c r="AO188" s="420"/>
      <c r="AP188" s="420"/>
      <c r="AQ188" s="420"/>
      <c r="AR188" s="420"/>
      <c r="AS188" s="420"/>
      <c r="AT188" s="420"/>
      <c r="AU188" s="420"/>
      <c r="AV188" s="420"/>
      <c r="AW188" s="420"/>
      <c r="AX188" s="420"/>
      <c r="AY188" s="420"/>
      <c r="AZ188" s="420"/>
      <c r="BA188" s="420"/>
      <c r="BB188" s="154"/>
      <c r="BC188" s="115"/>
      <c r="BD188" s="115"/>
      <c r="BE188" s="115"/>
      <c r="BF188" s="115"/>
      <c r="BG188" s="115"/>
      <c r="BH188" s="225"/>
      <c r="BI188" s="225"/>
      <c r="BJ188" s="225"/>
      <c r="BK188" s="225"/>
      <c r="BL188" s="225"/>
      <c r="BM188" s="225"/>
      <c r="BN188" s="225"/>
      <c r="BO188" s="225"/>
      <c r="BP188" s="225"/>
      <c r="BQ188" s="225"/>
      <c r="BR188" s="225"/>
      <c r="BS188" s="225"/>
      <c r="BT188" s="225"/>
      <c r="BU188" s="225"/>
      <c r="BV188" s="225"/>
      <c r="BW188" s="225"/>
      <c r="BX188" s="225"/>
      <c r="BY188" s="225"/>
      <c r="BZ188" s="225"/>
      <c r="CA188" s="225"/>
      <c r="CB188" s="225"/>
      <c r="CC188" s="225"/>
      <c r="CD188" s="225"/>
      <c r="CE188" s="225"/>
      <c r="CF188" s="225"/>
      <c r="CG188" s="225"/>
      <c r="CH188" s="225"/>
      <c r="CI188" s="225"/>
      <c r="CJ188" s="225"/>
      <c r="CK188" s="225"/>
      <c r="CL188" s="225"/>
      <c r="CM188" s="225"/>
      <c r="CN188" s="225"/>
      <c r="CO188" s="225"/>
      <c r="CP188" s="225"/>
      <c r="CQ188" s="225"/>
      <c r="CR188" s="225"/>
      <c r="CS188" s="225"/>
      <c r="CT188" s="225"/>
      <c r="CU188" s="225"/>
      <c r="CV188" s="225"/>
      <c r="CW188" s="225"/>
      <c r="CX188" s="225"/>
      <c r="CY188" s="225"/>
      <c r="CZ188" s="225"/>
      <c r="DA188" s="225"/>
      <c r="DB188" s="225"/>
      <c r="DC188" s="225"/>
      <c r="DD188" s="225"/>
      <c r="DE188" s="225"/>
      <c r="DF188" s="225"/>
      <c r="DG188" s="115"/>
    </row>
    <row r="189" spans="1:111" ht="4.5" customHeight="1">
      <c r="A189" s="154"/>
      <c r="B189" s="154"/>
      <c r="C189" s="154"/>
      <c r="D189" s="154"/>
      <c r="E189" s="154"/>
      <c r="F189" s="154"/>
      <c r="G189" s="154"/>
      <c r="H189" s="154"/>
      <c r="I189" s="154"/>
      <c r="J189" s="154"/>
      <c r="K189" s="154"/>
      <c r="L189" s="154"/>
      <c r="M189" s="154"/>
      <c r="N189" s="154"/>
      <c r="O189" s="154"/>
      <c r="P189" s="154"/>
      <c r="Q189" s="154">
        <v>1</v>
      </c>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15"/>
      <c r="BD189" s="115"/>
      <c r="BE189" s="115"/>
      <c r="BF189" s="115"/>
      <c r="BG189" s="115"/>
      <c r="BH189" s="225"/>
      <c r="BI189" s="225"/>
      <c r="BJ189" s="225"/>
      <c r="BK189" s="225"/>
      <c r="BL189" s="225"/>
      <c r="BM189" s="225"/>
      <c r="BN189" s="225"/>
      <c r="BO189" s="225"/>
      <c r="BP189" s="225"/>
      <c r="BQ189" s="225"/>
      <c r="BR189" s="225"/>
      <c r="BS189" s="225"/>
      <c r="BT189" s="225"/>
      <c r="BU189" s="225"/>
      <c r="BV189" s="225"/>
      <c r="BW189" s="225"/>
      <c r="BX189" s="225"/>
      <c r="BY189" s="225"/>
      <c r="BZ189" s="225"/>
      <c r="CA189" s="225"/>
      <c r="CB189" s="225"/>
      <c r="CC189" s="225"/>
      <c r="CD189" s="225"/>
      <c r="CE189" s="225"/>
      <c r="CF189" s="225"/>
      <c r="CG189" s="225"/>
      <c r="CH189" s="225"/>
      <c r="CI189" s="225"/>
      <c r="CJ189" s="225"/>
      <c r="CK189" s="225"/>
      <c r="CL189" s="225"/>
      <c r="CM189" s="225"/>
      <c r="CN189" s="225"/>
      <c r="CO189" s="225"/>
      <c r="CP189" s="225"/>
      <c r="CQ189" s="225"/>
      <c r="CR189" s="225"/>
      <c r="CS189" s="225"/>
      <c r="CT189" s="225"/>
      <c r="CU189" s="225"/>
      <c r="CV189" s="225"/>
      <c r="CW189" s="225"/>
      <c r="CX189" s="225"/>
      <c r="CY189" s="225"/>
      <c r="CZ189" s="225"/>
      <c r="DA189" s="225"/>
      <c r="DB189" s="225"/>
      <c r="DC189" s="225"/>
      <c r="DD189" s="225"/>
      <c r="DE189" s="225"/>
      <c r="DF189" s="225"/>
      <c r="DG189" s="115"/>
    </row>
    <row r="190" spans="1:111" ht="9" customHeight="1">
      <c r="A190" s="154"/>
      <c r="B190" s="154"/>
      <c r="C190" s="154"/>
      <c r="D190" s="154"/>
      <c r="E190" s="154"/>
      <c r="F190" s="154"/>
      <c r="G190" s="154"/>
      <c r="H190" s="154"/>
      <c r="I190" s="154"/>
      <c r="J190" s="416" t="str">
        <f>IF(C168="","","Valor Total (R$):")</f>
        <v>Valor Total (R$):</v>
      </c>
      <c r="K190" s="416"/>
      <c r="L190" s="416"/>
      <c r="M190" s="416"/>
      <c r="N190" s="416"/>
      <c r="O190" s="416"/>
      <c r="P190" s="154"/>
      <c r="Q190" s="419">
        <f>IF(Q186="","",Q182*Q186)</f>
        <v>112340</v>
      </c>
      <c r="R190" s="419"/>
      <c r="S190" s="419"/>
      <c r="T190" s="419"/>
      <c r="U190" s="419"/>
      <c r="V190" s="419"/>
      <c r="W190" s="419"/>
      <c r="X190" s="419"/>
      <c r="Y190" s="154"/>
      <c r="Z190" s="416" t="str">
        <f>IF(C168="","",IF(J174="52 Equipamentos e Material Permanente","Justificativa e Utilização:",""))</f>
        <v/>
      </c>
      <c r="AA190" s="416"/>
      <c r="AB190" s="416"/>
      <c r="AC190" s="416"/>
      <c r="AD190" s="416"/>
      <c r="AE190" s="416"/>
      <c r="AF190" s="154"/>
      <c r="AG190" s="420"/>
      <c r="AH190" s="420"/>
      <c r="AI190" s="420"/>
      <c r="AJ190" s="420"/>
      <c r="AK190" s="420"/>
      <c r="AL190" s="420"/>
      <c r="AM190" s="420"/>
      <c r="AN190" s="420"/>
      <c r="AO190" s="420"/>
      <c r="AP190" s="420"/>
      <c r="AQ190" s="420"/>
      <c r="AR190" s="420"/>
      <c r="AS190" s="420"/>
      <c r="AT190" s="420"/>
      <c r="AU190" s="420"/>
      <c r="AV190" s="420"/>
      <c r="AW190" s="420"/>
      <c r="AX190" s="420"/>
      <c r="AY190" s="420"/>
      <c r="AZ190" s="420"/>
      <c r="BA190" s="420"/>
      <c r="BB190" s="154"/>
      <c r="BC190" s="115"/>
      <c r="BD190" s="115"/>
      <c r="BE190" s="115"/>
      <c r="BF190" s="115"/>
      <c r="BG190" s="115"/>
      <c r="BH190" s="225"/>
      <c r="BI190" s="225"/>
      <c r="BJ190" s="225"/>
      <c r="BK190" s="225"/>
      <c r="BL190" s="225"/>
      <c r="BM190" s="225"/>
      <c r="BN190" s="225"/>
      <c r="BO190" s="225"/>
      <c r="BP190" s="225"/>
      <c r="BQ190" s="225"/>
      <c r="BR190" s="225"/>
      <c r="BS190" s="225"/>
      <c r="BT190" s="225"/>
      <c r="BU190" s="225"/>
      <c r="BV190" s="225"/>
      <c r="BW190" s="225"/>
      <c r="BX190" s="225"/>
      <c r="BY190" s="225"/>
      <c r="BZ190" s="225"/>
      <c r="CA190" s="225"/>
      <c r="CB190" s="225"/>
      <c r="CC190" s="225"/>
      <c r="CD190" s="225"/>
      <c r="CE190" s="225"/>
      <c r="CF190" s="225"/>
      <c r="CG190" s="225"/>
      <c r="CH190" s="225"/>
      <c r="CI190" s="225"/>
      <c r="CJ190" s="225"/>
      <c r="CK190" s="225"/>
      <c r="CL190" s="225"/>
      <c r="CM190" s="225"/>
      <c r="CN190" s="225"/>
      <c r="CO190" s="225"/>
      <c r="CP190" s="225"/>
      <c r="CQ190" s="225"/>
      <c r="CR190" s="225"/>
      <c r="CS190" s="225"/>
      <c r="CT190" s="225"/>
      <c r="CU190" s="225"/>
      <c r="CV190" s="225"/>
      <c r="CW190" s="225"/>
      <c r="CX190" s="225"/>
      <c r="CY190" s="225"/>
      <c r="CZ190" s="225"/>
      <c r="DA190" s="225"/>
      <c r="DB190" s="225"/>
      <c r="DC190" s="225"/>
      <c r="DD190" s="225"/>
      <c r="DE190" s="225"/>
      <c r="DF190" s="225"/>
      <c r="DG190" s="115"/>
    </row>
    <row r="191" spans="1:111" ht="9" customHeight="1">
      <c r="A191" s="154"/>
      <c r="B191" s="154"/>
      <c r="C191" s="154"/>
      <c r="D191" s="154"/>
      <c r="E191" s="154"/>
      <c r="F191" s="154"/>
      <c r="G191" s="154"/>
      <c r="H191" s="154"/>
      <c r="I191" s="154"/>
      <c r="J191" s="416"/>
      <c r="K191" s="416"/>
      <c r="L191" s="416"/>
      <c r="M191" s="416"/>
      <c r="N191" s="416"/>
      <c r="O191" s="416"/>
      <c r="P191" s="154"/>
      <c r="Q191" s="419"/>
      <c r="R191" s="419"/>
      <c r="S191" s="419"/>
      <c r="T191" s="419"/>
      <c r="U191" s="419"/>
      <c r="V191" s="419"/>
      <c r="W191" s="419"/>
      <c r="X191" s="419"/>
      <c r="Y191" s="154"/>
      <c r="Z191" s="416"/>
      <c r="AA191" s="416"/>
      <c r="AB191" s="416"/>
      <c r="AC191" s="416"/>
      <c r="AD191" s="416"/>
      <c r="AE191" s="416"/>
      <c r="AF191" s="154"/>
      <c r="AG191" s="420"/>
      <c r="AH191" s="420"/>
      <c r="AI191" s="420"/>
      <c r="AJ191" s="420"/>
      <c r="AK191" s="420"/>
      <c r="AL191" s="420"/>
      <c r="AM191" s="420"/>
      <c r="AN191" s="420"/>
      <c r="AO191" s="420"/>
      <c r="AP191" s="420"/>
      <c r="AQ191" s="420"/>
      <c r="AR191" s="420"/>
      <c r="AS191" s="420"/>
      <c r="AT191" s="420"/>
      <c r="AU191" s="420"/>
      <c r="AV191" s="420"/>
      <c r="AW191" s="420"/>
      <c r="AX191" s="420"/>
      <c r="AY191" s="420"/>
      <c r="AZ191" s="420"/>
      <c r="BA191" s="420"/>
      <c r="BB191" s="154"/>
      <c r="BC191" s="115"/>
      <c r="BD191" s="115"/>
      <c r="BE191" s="115"/>
      <c r="BF191" s="115"/>
      <c r="BG191" s="115"/>
      <c r="BH191" s="225"/>
      <c r="BI191" s="225"/>
      <c r="BJ191" s="225"/>
      <c r="BK191" s="225"/>
      <c r="BL191" s="225"/>
      <c r="BM191" s="225"/>
      <c r="BN191" s="225"/>
      <c r="BO191" s="225"/>
      <c r="BP191" s="225"/>
      <c r="BQ191" s="225"/>
      <c r="BR191" s="225"/>
      <c r="BS191" s="225"/>
      <c r="BT191" s="225"/>
      <c r="BU191" s="225"/>
      <c r="BV191" s="225"/>
      <c r="BW191" s="225"/>
      <c r="BX191" s="225"/>
      <c r="BY191" s="225"/>
      <c r="BZ191" s="225"/>
      <c r="CA191" s="225"/>
      <c r="CB191" s="225"/>
      <c r="CC191" s="225"/>
      <c r="CD191" s="225"/>
      <c r="CE191" s="225"/>
      <c r="CF191" s="225"/>
      <c r="CG191" s="225"/>
      <c r="CH191" s="225"/>
      <c r="CI191" s="225"/>
      <c r="CJ191" s="225"/>
      <c r="CK191" s="225"/>
      <c r="CL191" s="225"/>
      <c r="CM191" s="225"/>
      <c r="CN191" s="225"/>
      <c r="CO191" s="225"/>
      <c r="CP191" s="225"/>
      <c r="CQ191" s="225"/>
      <c r="CR191" s="225"/>
      <c r="CS191" s="225"/>
      <c r="CT191" s="225"/>
      <c r="CU191" s="225"/>
      <c r="CV191" s="225"/>
      <c r="CW191" s="225"/>
      <c r="CX191" s="225"/>
      <c r="CY191" s="225"/>
      <c r="CZ191" s="225"/>
      <c r="DA191" s="225"/>
      <c r="DB191" s="225"/>
      <c r="DC191" s="225"/>
      <c r="DD191" s="225"/>
      <c r="DE191" s="225"/>
      <c r="DF191" s="225"/>
      <c r="DG191" s="115"/>
    </row>
    <row r="192" spans="1:111" ht="9" customHeight="1">
      <c r="A192" s="154"/>
      <c r="B192" s="154"/>
      <c r="C192" s="154"/>
      <c r="D192" s="154"/>
      <c r="E192" s="154"/>
      <c r="F192" s="154"/>
      <c r="G192" s="154"/>
      <c r="H192" s="154"/>
      <c r="I192" s="154"/>
      <c r="J192" s="154"/>
      <c r="K192" s="154"/>
      <c r="L192" s="154"/>
      <c r="M192" s="154"/>
      <c r="N192" s="154"/>
      <c r="O192" s="154"/>
      <c r="P192" s="154"/>
      <c r="Q192" s="419"/>
      <c r="R192" s="419"/>
      <c r="S192" s="419"/>
      <c r="T192" s="419"/>
      <c r="U192" s="419"/>
      <c r="V192" s="419"/>
      <c r="W192" s="419"/>
      <c r="X192" s="419"/>
      <c r="Y192" s="154"/>
      <c r="Z192" s="154"/>
      <c r="AA192" s="154"/>
      <c r="AB192" s="154"/>
      <c r="AC192" s="154"/>
      <c r="AD192" s="154"/>
      <c r="AE192" s="154"/>
      <c r="AF192" s="154"/>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154"/>
      <c r="BC192" s="115"/>
      <c r="BD192" s="115"/>
      <c r="BE192" s="115"/>
      <c r="BF192" s="115"/>
      <c r="BG192" s="115"/>
      <c r="BH192" s="225"/>
      <c r="BI192" s="225"/>
      <c r="BJ192" s="225"/>
      <c r="BK192" s="225"/>
      <c r="BL192" s="225"/>
      <c r="BM192" s="225"/>
      <c r="BN192" s="225"/>
      <c r="BO192" s="225"/>
      <c r="BP192" s="225"/>
      <c r="BQ192" s="225"/>
      <c r="BR192" s="225"/>
      <c r="BS192" s="225"/>
      <c r="BT192" s="225"/>
      <c r="BU192" s="225"/>
      <c r="BV192" s="225"/>
      <c r="BW192" s="225"/>
      <c r="BX192" s="225"/>
      <c r="BY192" s="225"/>
      <c r="BZ192" s="225"/>
      <c r="CA192" s="225"/>
      <c r="CB192" s="225"/>
      <c r="CC192" s="225"/>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c r="DF192" s="225"/>
      <c r="DG192" s="115"/>
    </row>
    <row r="193" spans="1:111" ht="9" customHeight="1">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420"/>
      <c r="AH193" s="420"/>
      <c r="AI193" s="420"/>
      <c r="AJ193" s="420"/>
      <c r="AK193" s="420"/>
      <c r="AL193" s="420"/>
      <c r="AM193" s="420"/>
      <c r="AN193" s="420"/>
      <c r="AO193" s="420"/>
      <c r="AP193" s="420"/>
      <c r="AQ193" s="420"/>
      <c r="AR193" s="420"/>
      <c r="AS193" s="420"/>
      <c r="AT193" s="420"/>
      <c r="AU193" s="420"/>
      <c r="AV193" s="420"/>
      <c r="AW193" s="420"/>
      <c r="AX193" s="420"/>
      <c r="AY193" s="420"/>
      <c r="AZ193" s="420"/>
      <c r="BA193" s="420"/>
      <c r="BB193" s="154"/>
      <c r="BC193" s="115"/>
      <c r="BD193" s="115"/>
      <c r="BE193" s="115"/>
      <c r="BF193" s="115"/>
      <c r="BG193" s="115"/>
      <c r="BH193" s="225"/>
      <c r="BI193" s="225"/>
      <c r="BJ193" s="225"/>
      <c r="BK193" s="225"/>
      <c r="BL193" s="225"/>
      <c r="BM193" s="225"/>
      <c r="BN193" s="225"/>
      <c r="BO193" s="225"/>
      <c r="BP193" s="225"/>
      <c r="BQ193" s="225"/>
      <c r="BR193" s="225"/>
      <c r="BS193" s="225"/>
      <c r="BT193" s="225"/>
      <c r="BU193" s="225"/>
      <c r="BV193" s="225"/>
      <c r="BW193" s="225"/>
      <c r="BX193" s="225"/>
      <c r="BY193" s="225"/>
      <c r="BZ193" s="225"/>
      <c r="CA193" s="225"/>
      <c r="CB193" s="225"/>
      <c r="CC193" s="225"/>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c r="DF193" s="225"/>
      <c r="DG193" s="115"/>
    </row>
    <row r="194" spans="1:111" ht="9" customHeight="1">
      <c r="A194" s="154"/>
      <c r="B194" s="154"/>
      <c r="C194" s="154"/>
      <c r="D194" s="154"/>
      <c r="E194" s="154"/>
      <c r="F194" s="154"/>
      <c r="G194" s="154"/>
      <c r="H194" s="154"/>
      <c r="I194" s="154"/>
      <c r="J194" s="416"/>
      <c r="K194" s="416"/>
      <c r="L194" s="416"/>
      <c r="M194" s="416"/>
      <c r="N194" s="416"/>
      <c r="O194" s="416"/>
      <c r="P194" s="154"/>
      <c r="Q194" s="154"/>
      <c r="R194" s="154"/>
      <c r="S194" s="154"/>
      <c r="T194" s="154"/>
      <c r="U194" s="154"/>
      <c r="V194" s="154"/>
      <c r="W194" s="154"/>
      <c r="X194" s="154"/>
      <c r="Y194" s="154"/>
      <c r="Z194" s="154"/>
      <c r="AA194" s="154"/>
      <c r="AB194" s="154"/>
      <c r="AC194" s="154"/>
      <c r="AD194" s="154"/>
      <c r="AE194" s="154"/>
      <c r="AF194" s="154"/>
      <c r="AG194" s="420"/>
      <c r="AH194" s="420"/>
      <c r="AI194" s="420"/>
      <c r="AJ194" s="420"/>
      <c r="AK194" s="420"/>
      <c r="AL194" s="420"/>
      <c r="AM194" s="420"/>
      <c r="AN194" s="420"/>
      <c r="AO194" s="420"/>
      <c r="AP194" s="420"/>
      <c r="AQ194" s="420"/>
      <c r="AR194" s="420"/>
      <c r="AS194" s="420"/>
      <c r="AT194" s="420"/>
      <c r="AU194" s="420"/>
      <c r="AV194" s="420"/>
      <c r="AW194" s="420"/>
      <c r="AX194" s="420"/>
      <c r="AY194" s="420"/>
      <c r="AZ194" s="420"/>
      <c r="BA194" s="420"/>
      <c r="BB194" s="154"/>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row>
    <row r="195" spans="1:111" ht="9" customHeight="1">
      <c r="A195" s="154"/>
      <c r="B195" s="154"/>
      <c r="C195" s="154"/>
      <c r="D195" s="154"/>
      <c r="E195" s="154"/>
      <c r="F195" s="154"/>
      <c r="G195" s="154"/>
      <c r="H195" s="154"/>
      <c r="I195" s="154"/>
      <c r="J195" s="416"/>
      <c r="K195" s="416"/>
      <c r="L195" s="416"/>
      <c r="M195" s="416"/>
      <c r="N195" s="416"/>
      <c r="O195" s="416"/>
      <c r="P195" s="154"/>
      <c r="Q195" s="154"/>
      <c r="R195" s="154"/>
      <c r="S195" s="154"/>
      <c r="T195" s="154"/>
      <c r="U195" s="154"/>
      <c r="V195" s="154"/>
      <c r="W195" s="154"/>
      <c r="X195" s="154"/>
      <c r="Y195" s="154"/>
      <c r="Z195" s="154"/>
      <c r="AA195" s="154"/>
      <c r="AB195" s="154"/>
      <c r="AC195" s="154"/>
      <c r="AD195" s="154"/>
      <c r="AE195" s="154"/>
      <c r="AF195" s="154"/>
      <c r="AG195" s="420"/>
      <c r="AH195" s="420"/>
      <c r="AI195" s="420"/>
      <c r="AJ195" s="420"/>
      <c r="AK195" s="420"/>
      <c r="AL195" s="420"/>
      <c r="AM195" s="420"/>
      <c r="AN195" s="420"/>
      <c r="AO195" s="420"/>
      <c r="AP195" s="420"/>
      <c r="AQ195" s="420"/>
      <c r="AR195" s="420"/>
      <c r="AS195" s="420"/>
      <c r="AT195" s="420"/>
      <c r="AU195" s="420"/>
      <c r="AV195" s="420"/>
      <c r="AW195" s="420"/>
      <c r="AX195" s="420"/>
      <c r="AY195" s="420"/>
      <c r="AZ195" s="420"/>
      <c r="BA195" s="420"/>
      <c r="BB195" s="154"/>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row>
    <row r="196" spans="1:111" ht="14.25" customHeight="1">
      <c r="B196" s="55"/>
      <c r="C196" s="55"/>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141"/>
      <c r="AL196" s="141"/>
      <c r="AM196" s="141"/>
      <c r="AN196" s="141"/>
      <c r="AO196" s="140"/>
      <c r="AP196" s="140"/>
      <c r="AQ196" s="140"/>
      <c r="AR196" s="140"/>
      <c r="AS196" s="142"/>
      <c r="AT196" s="142"/>
      <c r="AU196" s="142"/>
      <c r="AV196" s="142"/>
      <c r="AW196" s="140"/>
      <c r="AX196" s="140"/>
      <c r="AY196" s="140"/>
      <c r="AZ196" s="140"/>
      <c r="BA196" s="140"/>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row>
    <row r="197" spans="1:111" ht="15" customHeight="1">
      <c r="B197" s="55"/>
      <c r="C197" s="422" t="str">
        <f>IF($AA$165&gt;=2,"DESPESA 2","")</f>
        <v>DESPESA 2</v>
      </c>
      <c r="D197" s="422"/>
      <c r="E197" s="422"/>
      <c r="F197" s="422"/>
      <c r="G197" s="422"/>
      <c r="H197" s="422"/>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141"/>
      <c r="AL197" s="141"/>
      <c r="AM197" s="141"/>
      <c r="AN197" s="141"/>
      <c r="AO197" s="140"/>
      <c r="AP197" s="140"/>
      <c r="AQ197" s="140"/>
      <c r="AR197" s="140"/>
      <c r="AS197" s="142"/>
      <c r="AT197" s="142"/>
      <c r="AU197" s="142"/>
      <c r="AV197" s="142"/>
      <c r="AW197" s="140"/>
      <c r="AX197" s="140"/>
      <c r="AY197" s="140"/>
      <c r="AZ197" s="140"/>
      <c r="BA197" s="140"/>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row>
    <row r="198" spans="1:111" ht="4.5" customHeight="1">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row>
    <row r="199" spans="1:111" ht="9" customHeight="1">
      <c r="C199" s="416" t="str">
        <f>IF(C197="","","Descrição da Despesa:")</f>
        <v>Descrição da Despesa:</v>
      </c>
      <c r="D199" s="416"/>
      <c r="E199" s="416"/>
      <c r="F199" s="416"/>
      <c r="G199" s="416"/>
      <c r="H199" s="416"/>
      <c r="I199" s="60"/>
      <c r="J199" s="421" t="s">
        <v>563</v>
      </c>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421"/>
      <c r="AP199" s="421"/>
      <c r="AQ199" s="421"/>
      <c r="AR199" s="421"/>
      <c r="AS199" s="421"/>
      <c r="AT199" s="421"/>
      <c r="AU199" s="421"/>
      <c r="AV199" s="421"/>
      <c r="AW199" s="421"/>
      <c r="AX199" s="421"/>
      <c r="AY199" s="421"/>
      <c r="AZ199" s="421"/>
      <c r="BA199" s="421"/>
      <c r="BC199" s="115"/>
      <c r="BD199" s="115"/>
      <c r="BE199" s="88"/>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90"/>
      <c r="DG199" s="115"/>
    </row>
    <row r="200" spans="1:111" ht="9" customHeight="1">
      <c r="C200" s="416"/>
      <c r="D200" s="416"/>
      <c r="E200" s="416"/>
      <c r="F200" s="416"/>
      <c r="G200" s="416"/>
      <c r="H200" s="416"/>
      <c r="I200" s="60"/>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1"/>
      <c r="AY200" s="421"/>
      <c r="AZ200" s="421"/>
      <c r="BA200" s="421"/>
      <c r="BC200" s="115"/>
      <c r="BD200" s="115"/>
      <c r="BE200" s="91"/>
      <c r="BF200" s="92"/>
      <c r="BG200" s="92"/>
      <c r="BH200" s="390" t="s">
        <v>318</v>
      </c>
      <c r="BI200" s="390"/>
      <c r="BJ200" s="390"/>
      <c r="BK200" s="390"/>
      <c r="BL200" s="390"/>
      <c r="BM200" s="390"/>
      <c r="BN200" s="390"/>
      <c r="BO200" s="390"/>
      <c r="BP200" s="390"/>
      <c r="BQ200" s="390"/>
      <c r="BR200" s="390"/>
      <c r="BS200" s="390"/>
      <c r="BT200" s="390"/>
      <c r="BU200" s="390"/>
      <c r="BV200" s="390"/>
      <c r="BW200" s="390"/>
      <c r="BX200" s="390"/>
      <c r="BY200" s="390"/>
      <c r="BZ200" s="390"/>
      <c r="CA200" s="390"/>
      <c r="CB200" s="390"/>
      <c r="CC200" s="390"/>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c r="DE200" s="92"/>
      <c r="DF200" s="93"/>
      <c r="DG200" s="115"/>
    </row>
    <row r="201" spans="1:111" ht="9" customHeight="1">
      <c r="C201" s="416"/>
      <c r="D201" s="416"/>
      <c r="E201" s="416"/>
      <c r="F201" s="416"/>
      <c r="G201" s="416"/>
      <c r="H201" s="416"/>
      <c r="I201" s="60"/>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421"/>
      <c r="AP201" s="421"/>
      <c r="AQ201" s="421"/>
      <c r="AR201" s="421"/>
      <c r="AS201" s="421"/>
      <c r="AT201" s="421"/>
      <c r="AU201" s="421"/>
      <c r="AV201" s="421"/>
      <c r="AW201" s="421"/>
      <c r="AX201" s="421"/>
      <c r="AY201" s="421"/>
      <c r="AZ201" s="421"/>
      <c r="BA201" s="421"/>
      <c r="BC201" s="115"/>
      <c r="BD201" s="115"/>
      <c r="BE201" s="91"/>
      <c r="BF201" s="92"/>
      <c r="BG201" s="92"/>
      <c r="BH201" s="390"/>
      <c r="BI201" s="390"/>
      <c r="BJ201" s="390"/>
      <c r="BK201" s="390"/>
      <c r="BL201" s="390"/>
      <c r="BM201" s="390"/>
      <c r="BN201" s="390"/>
      <c r="BO201" s="390"/>
      <c r="BP201" s="390"/>
      <c r="BQ201" s="390"/>
      <c r="BR201" s="390"/>
      <c r="BS201" s="390"/>
      <c r="BT201" s="390"/>
      <c r="BU201" s="390"/>
      <c r="BV201" s="390"/>
      <c r="BW201" s="390"/>
      <c r="BX201" s="390"/>
      <c r="BY201" s="390"/>
      <c r="BZ201" s="390"/>
      <c r="CA201" s="390"/>
      <c r="CB201" s="390"/>
      <c r="CC201" s="390"/>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c r="DD201" s="92"/>
      <c r="DE201" s="92"/>
      <c r="DF201" s="93"/>
      <c r="DG201" s="115"/>
    </row>
    <row r="202" spans="1:111" ht="4.5" customHeight="1">
      <c r="BC202" s="115"/>
      <c r="BD202" s="115"/>
      <c r="BE202" s="91"/>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3"/>
      <c r="DG202" s="115"/>
    </row>
    <row r="203" spans="1:111" ht="9" customHeight="1">
      <c r="C203" s="416" t="str">
        <f>IF(C197="","","Elemento de Despesa:")</f>
        <v>Elemento de Despesa:</v>
      </c>
      <c r="D203" s="416"/>
      <c r="E203" s="416"/>
      <c r="F203" s="416"/>
      <c r="G203" s="416"/>
      <c r="H203" s="416"/>
      <c r="J203" s="421" t="s">
        <v>216</v>
      </c>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c r="AS203" s="421"/>
      <c r="AT203" s="421"/>
      <c r="AU203" s="421"/>
      <c r="AV203" s="421"/>
      <c r="AW203" s="421"/>
      <c r="AX203" s="421"/>
      <c r="AY203" s="421"/>
      <c r="AZ203" s="421"/>
      <c r="BA203" s="421"/>
      <c r="BC203" s="115"/>
      <c r="BD203" s="115"/>
      <c r="BE203" s="91"/>
      <c r="BF203" s="383" t="s">
        <v>310</v>
      </c>
      <c r="BG203" s="384"/>
      <c r="BH203" s="381" t="s">
        <v>331</v>
      </c>
      <c r="BI203" s="381"/>
      <c r="BJ203" s="381"/>
      <c r="BK203" s="381"/>
      <c r="BL203" s="381"/>
      <c r="BM203" s="381"/>
      <c r="BN203" s="381"/>
      <c r="BO203" s="381"/>
      <c r="BP203" s="381"/>
      <c r="BQ203" s="381"/>
      <c r="BR203" s="381"/>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94"/>
      <c r="DG203" s="115"/>
    </row>
    <row r="204" spans="1:111" ht="9" customHeight="1">
      <c r="C204" s="416"/>
      <c r="D204" s="416"/>
      <c r="E204" s="416"/>
      <c r="F204" s="416"/>
      <c r="G204" s="416"/>
      <c r="H204" s="416"/>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1"/>
      <c r="AY204" s="421"/>
      <c r="AZ204" s="421"/>
      <c r="BA204" s="421"/>
      <c r="BC204" s="115"/>
      <c r="BD204" s="115"/>
      <c r="BE204" s="91"/>
      <c r="BF204" s="384"/>
      <c r="BG204" s="384"/>
      <c r="BH204" s="381"/>
      <c r="BI204" s="381"/>
      <c r="BJ204" s="381"/>
      <c r="BK204" s="381"/>
      <c r="BL204" s="381"/>
      <c r="BM204" s="381"/>
      <c r="BN204" s="381"/>
      <c r="BO204" s="381"/>
      <c r="BP204" s="381"/>
      <c r="BQ204" s="381"/>
      <c r="BR204" s="381"/>
      <c r="BS204" s="381"/>
      <c r="BT204" s="381"/>
      <c r="BU204" s="381"/>
      <c r="BV204" s="381"/>
      <c r="BW204" s="381"/>
      <c r="BX204" s="381"/>
      <c r="BY204" s="381"/>
      <c r="BZ204" s="381"/>
      <c r="CA204" s="381"/>
      <c r="CB204" s="381"/>
      <c r="CC204" s="381"/>
      <c r="CD204" s="381"/>
      <c r="CE204" s="381"/>
      <c r="CF204" s="381"/>
      <c r="CG204" s="381"/>
      <c r="CH204" s="381"/>
      <c r="CI204" s="381"/>
      <c r="CJ204" s="381"/>
      <c r="CK204" s="381"/>
      <c r="CL204" s="381"/>
      <c r="CM204" s="381"/>
      <c r="CN204" s="381"/>
      <c r="CO204" s="381"/>
      <c r="CP204" s="381"/>
      <c r="CQ204" s="381"/>
      <c r="CR204" s="381"/>
      <c r="CS204" s="381"/>
      <c r="CT204" s="381"/>
      <c r="CU204" s="381"/>
      <c r="CV204" s="381"/>
      <c r="CW204" s="381"/>
      <c r="CX204" s="381"/>
      <c r="CY204" s="381"/>
      <c r="CZ204" s="381"/>
      <c r="DA204" s="381"/>
      <c r="DB204" s="381"/>
      <c r="DC204" s="381"/>
      <c r="DD204" s="381"/>
      <c r="DE204" s="381"/>
      <c r="DF204" s="94"/>
      <c r="DG204" s="115"/>
    </row>
    <row r="205" spans="1:111" ht="9" customHeight="1">
      <c r="C205" s="416"/>
      <c r="D205" s="416"/>
      <c r="E205" s="416"/>
      <c r="F205" s="416"/>
      <c r="G205" s="416"/>
      <c r="H205" s="416"/>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c r="AP205" s="421"/>
      <c r="AQ205" s="421"/>
      <c r="AR205" s="421"/>
      <c r="AS205" s="421"/>
      <c r="AT205" s="421"/>
      <c r="AU205" s="421"/>
      <c r="AV205" s="421"/>
      <c r="AW205" s="421"/>
      <c r="AX205" s="421"/>
      <c r="AY205" s="421"/>
      <c r="AZ205" s="421"/>
      <c r="BA205" s="421"/>
      <c r="BC205" s="115"/>
      <c r="BD205" s="115"/>
      <c r="BE205" s="91"/>
      <c r="BF205" s="92"/>
      <c r="BG205" s="92"/>
      <c r="BH205" s="381"/>
      <c r="BI205" s="381"/>
      <c r="BJ205" s="381"/>
      <c r="BK205" s="381"/>
      <c r="BL205" s="381"/>
      <c r="BM205" s="381"/>
      <c r="BN205" s="381"/>
      <c r="BO205" s="381"/>
      <c r="BP205" s="381"/>
      <c r="BQ205" s="381"/>
      <c r="BR205" s="381"/>
      <c r="BS205" s="381"/>
      <c r="BT205" s="381"/>
      <c r="BU205" s="381"/>
      <c r="BV205" s="381"/>
      <c r="BW205" s="381"/>
      <c r="BX205" s="381"/>
      <c r="BY205" s="381"/>
      <c r="BZ205" s="381"/>
      <c r="CA205" s="381"/>
      <c r="CB205" s="381"/>
      <c r="CC205" s="381"/>
      <c r="CD205" s="381"/>
      <c r="CE205" s="381"/>
      <c r="CF205" s="381"/>
      <c r="CG205" s="381"/>
      <c r="CH205" s="381"/>
      <c r="CI205" s="381"/>
      <c r="CJ205" s="381"/>
      <c r="CK205" s="381"/>
      <c r="CL205" s="381"/>
      <c r="CM205" s="381"/>
      <c r="CN205" s="381"/>
      <c r="CO205" s="381"/>
      <c r="CP205" s="381"/>
      <c r="CQ205" s="381"/>
      <c r="CR205" s="381"/>
      <c r="CS205" s="381"/>
      <c r="CT205" s="381"/>
      <c r="CU205" s="381"/>
      <c r="CV205" s="381"/>
      <c r="CW205" s="381"/>
      <c r="CX205" s="381"/>
      <c r="CY205" s="381"/>
      <c r="CZ205" s="381"/>
      <c r="DA205" s="381"/>
      <c r="DB205" s="381"/>
      <c r="DC205" s="381"/>
      <c r="DD205" s="381"/>
      <c r="DE205" s="381"/>
      <c r="DF205" s="94"/>
      <c r="DG205" s="115"/>
    </row>
    <row r="206" spans="1:111" ht="4.5" customHeight="1">
      <c r="BC206" s="115"/>
      <c r="BD206" s="115"/>
      <c r="BE206" s="116"/>
      <c r="BF206" s="117"/>
      <c r="BG206" s="117"/>
      <c r="BH206" s="381"/>
      <c r="BI206" s="381"/>
      <c r="BJ206" s="381"/>
      <c r="BK206" s="381"/>
      <c r="BL206" s="381"/>
      <c r="BM206" s="381"/>
      <c r="BN206" s="381"/>
      <c r="BO206" s="381"/>
      <c r="BP206" s="381"/>
      <c r="BQ206" s="381"/>
      <c r="BR206" s="381"/>
      <c r="BS206" s="381"/>
      <c r="BT206" s="381"/>
      <c r="BU206" s="381"/>
      <c r="BV206" s="381"/>
      <c r="BW206" s="381"/>
      <c r="BX206" s="381"/>
      <c r="BY206" s="381"/>
      <c r="BZ206" s="381"/>
      <c r="CA206" s="381"/>
      <c r="CB206" s="381"/>
      <c r="CC206" s="381"/>
      <c r="CD206" s="381"/>
      <c r="CE206" s="381"/>
      <c r="CF206" s="381"/>
      <c r="CG206" s="381"/>
      <c r="CH206" s="381"/>
      <c r="CI206" s="381"/>
      <c r="CJ206" s="381"/>
      <c r="CK206" s="381"/>
      <c r="CL206" s="381"/>
      <c r="CM206" s="381"/>
      <c r="CN206" s="381"/>
      <c r="CO206" s="381"/>
      <c r="CP206" s="381"/>
      <c r="CQ206" s="381"/>
      <c r="CR206" s="381"/>
      <c r="CS206" s="381"/>
      <c r="CT206" s="381"/>
      <c r="CU206" s="381"/>
      <c r="CV206" s="381"/>
      <c r="CW206" s="381"/>
      <c r="CX206" s="381"/>
      <c r="CY206" s="381"/>
      <c r="CZ206" s="381"/>
      <c r="DA206" s="381"/>
      <c r="DB206" s="381"/>
      <c r="DC206" s="381"/>
      <c r="DD206" s="381"/>
      <c r="DE206" s="381"/>
      <c r="DF206" s="118"/>
      <c r="DG206" s="115"/>
    </row>
    <row r="207" spans="1:111" ht="9" customHeight="1">
      <c r="A207" s="61" t="str">
        <f>CONCATENATE(Q207,AC207)</f>
        <v>12</v>
      </c>
      <c r="J207" s="416" t="str">
        <f>IF(C197="","","Meta Vinculada:")</f>
        <v>Meta Vinculada:</v>
      </c>
      <c r="K207" s="416"/>
      <c r="L207" s="416"/>
      <c r="M207" s="416"/>
      <c r="N207" s="416"/>
      <c r="O207" s="416"/>
      <c r="Q207" s="417">
        <v>1</v>
      </c>
      <c r="R207" s="417"/>
      <c r="S207" s="417"/>
      <c r="T207" s="417"/>
      <c r="U207" s="56"/>
      <c r="V207" s="416" t="str">
        <f>IF(C197="","","Etapa Vinculada:")</f>
        <v>Etapa Vinculada:</v>
      </c>
      <c r="W207" s="416"/>
      <c r="X207" s="416"/>
      <c r="Y207" s="416"/>
      <c r="Z207" s="416"/>
      <c r="AA207" s="416"/>
      <c r="AC207" s="417">
        <v>2</v>
      </c>
      <c r="AD207" s="417"/>
      <c r="AE207" s="417"/>
      <c r="AF207" s="417"/>
      <c r="AG207" s="56"/>
      <c r="AH207" s="56"/>
      <c r="AI207" s="56"/>
      <c r="AJ207" s="56"/>
      <c r="AK207" s="141"/>
      <c r="AL207" s="141"/>
      <c r="AM207" s="141"/>
      <c r="AN207" s="141"/>
      <c r="AO207" s="140"/>
      <c r="AP207" s="140"/>
      <c r="AQ207" s="140"/>
      <c r="AR207" s="140"/>
      <c r="AS207" s="142"/>
      <c r="AT207" s="142"/>
      <c r="AU207" s="142"/>
      <c r="AV207" s="142"/>
      <c r="AW207" s="140"/>
      <c r="AX207" s="140"/>
      <c r="AY207" s="140"/>
      <c r="AZ207" s="140"/>
      <c r="BA207" s="140"/>
      <c r="BC207" s="115"/>
      <c r="BD207" s="115"/>
      <c r="BE207" s="116"/>
      <c r="BF207" s="117"/>
      <c r="BG207" s="117"/>
      <c r="BH207" s="381"/>
      <c r="BI207" s="381"/>
      <c r="BJ207" s="381"/>
      <c r="BK207" s="381"/>
      <c r="BL207" s="381"/>
      <c r="BM207" s="381"/>
      <c r="BN207" s="381"/>
      <c r="BO207" s="381"/>
      <c r="BP207" s="381"/>
      <c r="BQ207" s="381"/>
      <c r="BR207" s="381"/>
      <c r="BS207" s="381"/>
      <c r="BT207" s="381"/>
      <c r="BU207" s="381"/>
      <c r="BV207" s="381"/>
      <c r="BW207" s="381"/>
      <c r="BX207" s="381"/>
      <c r="BY207" s="381"/>
      <c r="BZ207" s="381"/>
      <c r="CA207" s="381"/>
      <c r="CB207" s="381"/>
      <c r="CC207" s="381"/>
      <c r="CD207" s="381"/>
      <c r="CE207" s="381"/>
      <c r="CF207" s="381"/>
      <c r="CG207" s="381"/>
      <c r="CH207" s="381"/>
      <c r="CI207" s="381"/>
      <c r="CJ207" s="381"/>
      <c r="CK207" s="381"/>
      <c r="CL207" s="381"/>
      <c r="CM207" s="381"/>
      <c r="CN207" s="381"/>
      <c r="CO207" s="381"/>
      <c r="CP207" s="381"/>
      <c r="CQ207" s="381"/>
      <c r="CR207" s="381"/>
      <c r="CS207" s="381"/>
      <c r="CT207" s="381"/>
      <c r="CU207" s="381"/>
      <c r="CV207" s="381"/>
      <c r="CW207" s="381"/>
      <c r="CX207" s="381"/>
      <c r="CY207" s="381"/>
      <c r="CZ207" s="381"/>
      <c r="DA207" s="381"/>
      <c r="DB207" s="381"/>
      <c r="DC207" s="381"/>
      <c r="DD207" s="381"/>
      <c r="DE207" s="381"/>
      <c r="DF207" s="118"/>
      <c r="DG207" s="115"/>
    </row>
    <row r="208" spans="1:111" ht="9" customHeight="1">
      <c r="B208" s="55"/>
      <c r="C208" s="55"/>
      <c r="D208" s="56"/>
      <c r="E208" s="56"/>
      <c r="F208" s="56"/>
      <c r="G208" s="56"/>
      <c r="H208" s="56"/>
      <c r="I208" s="56"/>
      <c r="J208" s="416"/>
      <c r="K208" s="416"/>
      <c r="L208" s="416"/>
      <c r="M208" s="416"/>
      <c r="N208" s="416"/>
      <c r="O208" s="416"/>
      <c r="Q208" s="417"/>
      <c r="R208" s="417"/>
      <c r="S208" s="417"/>
      <c r="T208" s="417"/>
      <c r="U208" s="56"/>
      <c r="V208" s="416"/>
      <c r="W208" s="416"/>
      <c r="X208" s="416"/>
      <c r="Y208" s="416"/>
      <c r="Z208" s="416"/>
      <c r="AA208" s="416"/>
      <c r="AC208" s="417"/>
      <c r="AD208" s="417"/>
      <c r="AE208" s="417"/>
      <c r="AF208" s="417"/>
      <c r="AG208" s="56"/>
      <c r="AH208" s="56"/>
      <c r="AI208" s="56"/>
      <c r="AJ208" s="56"/>
      <c r="AK208" s="141"/>
      <c r="AL208" s="141"/>
      <c r="AM208" s="141"/>
      <c r="AN208" s="141"/>
      <c r="AO208" s="140"/>
      <c r="AP208" s="140"/>
      <c r="AQ208" s="140"/>
      <c r="AR208" s="140"/>
      <c r="AS208" s="142"/>
      <c r="AT208" s="142"/>
      <c r="AU208" s="142"/>
      <c r="AV208" s="142"/>
      <c r="AW208" s="140"/>
      <c r="AX208" s="140"/>
      <c r="AY208" s="140"/>
      <c r="AZ208" s="140"/>
      <c r="BA208" s="140"/>
      <c r="BC208" s="115"/>
      <c r="BD208" s="115"/>
      <c r="BE208" s="116"/>
      <c r="BF208" s="117"/>
      <c r="BG208" s="117"/>
      <c r="BH208" s="381"/>
      <c r="BI208" s="381"/>
      <c r="BJ208" s="381"/>
      <c r="BK208" s="381"/>
      <c r="BL208" s="381"/>
      <c r="BM208" s="381"/>
      <c r="BN208" s="381"/>
      <c r="BO208" s="381"/>
      <c r="BP208" s="381"/>
      <c r="BQ208" s="381"/>
      <c r="BR208" s="381"/>
      <c r="BS208" s="381"/>
      <c r="BT208" s="381"/>
      <c r="BU208" s="381"/>
      <c r="BV208" s="381"/>
      <c r="BW208" s="381"/>
      <c r="BX208" s="381"/>
      <c r="BY208" s="381"/>
      <c r="BZ208" s="381"/>
      <c r="CA208" s="381"/>
      <c r="CB208" s="381"/>
      <c r="CC208" s="381"/>
      <c r="CD208" s="381"/>
      <c r="CE208" s="381"/>
      <c r="CF208" s="381"/>
      <c r="CG208" s="381"/>
      <c r="CH208" s="381"/>
      <c r="CI208" s="381"/>
      <c r="CJ208" s="381"/>
      <c r="CK208" s="381"/>
      <c r="CL208" s="381"/>
      <c r="CM208" s="381"/>
      <c r="CN208" s="381"/>
      <c r="CO208" s="381"/>
      <c r="CP208" s="381"/>
      <c r="CQ208" s="381"/>
      <c r="CR208" s="381"/>
      <c r="CS208" s="381"/>
      <c r="CT208" s="381"/>
      <c r="CU208" s="381"/>
      <c r="CV208" s="381"/>
      <c r="CW208" s="381"/>
      <c r="CX208" s="381"/>
      <c r="CY208" s="381"/>
      <c r="CZ208" s="381"/>
      <c r="DA208" s="381"/>
      <c r="DB208" s="381"/>
      <c r="DC208" s="381"/>
      <c r="DD208" s="381"/>
      <c r="DE208" s="381"/>
      <c r="DF208" s="118"/>
      <c r="DG208" s="115"/>
    </row>
    <row r="209" spans="1:111" ht="9" customHeight="1">
      <c r="Q209" s="417"/>
      <c r="R209" s="417"/>
      <c r="S209" s="417"/>
      <c r="T209" s="417"/>
      <c r="AC209" s="417"/>
      <c r="AD209" s="417"/>
      <c r="AE209" s="417"/>
      <c r="AF209" s="417"/>
      <c r="BC209" s="115"/>
      <c r="BD209" s="115"/>
      <c r="BE209" s="116"/>
      <c r="BF209" s="117"/>
      <c r="BG209" s="117"/>
      <c r="BH209" s="381"/>
      <c r="BI209" s="381"/>
      <c r="BJ209" s="381"/>
      <c r="BK209" s="381"/>
      <c r="BL209" s="381"/>
      <c r="BM209" s="381"/>
      <c r="BN209" s="381"/>
      <c r="BO209" s="381"/>
      <c r="BP209" s="381"/>
      <c r="BQ209" s="381"/>
      <c r="BR209" s="381"/>
      <c r="BS209" s="381"/>
      <c r="BT209" s="381"/>
      <c r="BU209" s="381"/>
      <c r="BV209" s="381"/>
      <c r="BW209" s="381"/>
      <c r="BX209" s="381"/>
      <c r="BY209" s="381"/>
      <c r="BZ209" s="381"/>
      <c r="CA209" s="381"/>
      <c r="CB209" s="381"/>
      <c r="CC209" s="381"/>
      <c r="CD209" s="381"/>
      <c r="CE209" s="381"/>
      <c r="CF209" s="381"/>
      <c r="CG209" s="381"/>
      <c r="CH209" s="381"/>
      <c r="CI209" s="381"/>
      <c r="CJ209" s="381"/>
      <c r="CK209" s="381"/>
      <c r="CL209" s="381"/>
      <c r="CM209" s="381"/>
      <c r="CN209" s="381"/>
      <c r="CO209" s="381"/>
      <c r="CP209" s="381"/>
      <c r="CQ209" s="381"/>
      <c r="CR209" s="381"/>
      <c r="CS209" s="381"/>
      <c r="CT209" s="381"/>
      <c r="CU209" s="381"/>
      <c r="CV209" s="381"/>
      <c r="CW209" s="381"/>
      <c r="CX209" s="381"/>
      <c r="CY209" s="381"/>
      <c r="CZ209" s="381"/>
      <c r="DA209" s="381"/>
      <c r="DB209" s="381"/>
      <c r="DC209" s="381"/>
      <c r="DD209" s="381"/>
      <c r="DE209" s="381"/>
      <c r="DF209" s="118"/>
      <c r="DG209" s="115"/>
    </row>
    <row r="210" spans="1:111" ht="4.5" customHeight="1">
      <c r="BC210" s="115"/>
      <c r="BD210" s="115"/>
      <c r="BE210" s="116"/>
      <c r="BF210" s="117"/>
      <c r="BG210" s="117"/>
      <c r="BH210" s="381"/>
      <c r="BI210" s="381"/>
      <c r="BJ210" s="381"/>
      <c r="BK210" s="381"/>
      <c r="BL210" s="381"/>
      <c r="BM210" s="381"/>
      <c r="BN210" s="381"/>
      <c r="BO210" s="381"/>
      <c r="BP210" s="381"/>
      <c r="BQ210" s="381"/>
      <c r="BR210" s="381"/>
      <c r="BS210" s="381"/>
      <c r="BT210" s="381"/>
      <c r="BU210" s="381"/>
      <c r="BV210" s="381"/>
      <c r="BW210" s="381"/>
      <c r="BX210" s="381"/>
      <c r="BY210" s="381"/>
      <c r="BZ210" s="381"/>
      <c r="CA210" s="381"/>
      <c r="CB210" s="381"/>
      <c r="CC210" s="381"/>
      <c r="CD210" s="381"/>
      <c r="CE210" s="381"/>
      <c r="CF210" s="381"/>
      <c r="CG210" s="381"/>
      <c r="CH210" s="381"/>
      <c r="CI210" s="381"/>
      <c r="CJ210" s="381"/>
      <c r="CK210" s="381"/>
      <c r="CL210" s="381"/>
      <c r="CM210" s="381"/>
      <c r="CN210" s="381"/>
      <c r="CO210" s="381"/>
      <c r="CP210" s="381"/>
      <c r="CQ210" s="381"/>
      <c r="CR210" s="381"/>
      <c r="CS210" s="381"/>
      <c r="CT210" s="381"/>
      <c r="CU210" s="381"/>
      <c r="CV210" s="381"/>
      <c r="CW210" s="381"/>
      <c r="CX210" s="381"/>
      <c r="CY210" s="381"/>
      <c r="CZ210" s="381"/>
      <c r="DA210" s="381"/>
      <c r="DB210" s="381"/>
      <c r="DC210" s="381"/>
      <c r="DD210" s="381"/>
      <c r="DE210" s="381"/>
      <c r="DF210" s="118"/>
      <c r="DG210" s="115"/>
    </row>
    <row r="211" spans="1:111" ht="9" customHeight="1">
      <c r="A211" s="154"/>
      <c r="B211" s="154"/>
      <c r="C211" s="154"/>
      <c r="D211" s="154"/>
      <c r="E211" s="154"/>
      <c r="F211" s="154"/>
      <c r="G211" s="154"/>
      <c r="H211" s="154"/>
      <c r="I211" s="154"/>
      <c r="J211" s="416" t="str">
        <f>IF(C197="","","Quantidade:")</f>
        <v>Quantidade:</v>
      </c>
      <c r="K211" s="416"/>
      <c r="L211" s="416"/>
      <c r="M211" s="416"/>
      <c r="N211" s="416"/>
      <c r="O211" s="416"/>
      <c r="P211" s="154"/>
      <c r="Q211" s="417">
        <v>492</v>
      </c>
      <c r="R211" s="417"/>
      <c r="S211" s="417"/>
      <c r="T211" s="417"/>
      <c r="U211" s="154"/>
      <c r="V211" s="416" t="str">
        <f>IF(C197="","","Unidade:")</f>
        <v>Unidade:</v>
      </c>
      <c r="W211" s="416"/>
      <c r="X211" s="416"/>
      <c r="Y211" s="416"/>
      <c r="Z211" s="416"/>
      <c r="AA211" s="416"/>
      <c r="AB211" s="154"/>
      <c r="AC211" s="418" t="s">
        <v>569</v>
      </c>
      <c r="AD211" s="418"/>
      <c r="AE211" s="418"/>
      <c r="AF211" s="418"/>
      <c r="AG211" s="418"/>
      <c r="AH211" s="418"/>
      <c r="AI211" s="418"/>
      <c r="AJ211" s="418"/>
      <c r="AK211" s="418"/>
      <c r="AL211" s="418"/>
      <c r="AM211" s="418"/>
      <c r="AN211" s="418"/>
      <c r="AO211" s="418"/>
      <c r="AP211" s="418"/>
      <c r="AQ211" s="418"/>
      <c r="AR211" s="418"/>
      <c r="AS211" s="418"/>
      <c r="AT211" s="418"/>
      <c r="AU211" s="418"/>
      <c r="AV211" s="418"/>
      <c r="AW211" s="418"/>
      <c r="AX211" s="418"/>
      <c r="AY211" s="418"/>
      <c r="AZ211" s="418"/>
      <c r="BA211" s="418"/>
      <c r="BB211" s="154"/>
      <c r="BC211" s="115"/>
      <c r="BD211" s="115"/>
      <c r="BE211" s="116"/>
      <c r="BF211" s="117"/>
      <c r="BG211" s="117"/>
      <c r="BH211" s="381"/>
      <c r="BI211" s="381"/>
      <c r="BJ211" s="381"/>
      <c r="BK211" s="381"/>
      <c r="BL211" s="381"/>
      <c r="BM211" s="381"/>
      <c r="BN211" s="381"/>
      <c r="BO211" s="381"/>
      <c r="BP211" s="381"/>
      <c r="BQ211" s="381"/>
      <c r="BR211" s="381"/>
      <c r="BS211" s="381"/>
      <c r="BT211" s="381"/>
      <c r="BU211" s="381"/>
      <c r="BV211" s="381"/>
      <c r="BW211" s="381"/>
      <c r="BX211" s="381"/>
      <c r="BY211" s="381"/>
      <c r="BZ211" s="381"/>
      <c r="CA211" s="381"/>
      <c r="CB211" s="381"/>
      <c r="CC211" s="381"/>
      <c r="CD211" s="381"/>
      <c r="CE211" s="381"/>
      <c r="CF211" s="381"/>
      <c r="CG211" s="381"/>
      <c r="CH211" s="381"/>
      <c r="CI211" s="381"/>
      <c r="CJ211" s="381"/>
      <c r="CK211" s="381"/>
      <c r="CL211" s="381"/>
      <c r="CM211" s="381"/>
      <c r="CN211" s="381"/>
      <c r="CO211" s="381"/>
      <c r="CP211" s="381"/>
      <c r="CQ211" s="381"/>
      <c r="CR211" s="381"/>
      <c r="CS211" s="381"/>
      <c r="CT211" s="381"/>
      <c r="CU211" s="381"/>
      <c r="CV211" s="381"/>
      <c r="CW211" s="381"/>
      <c r="CX211" s="381"/>
      <c r="CY211" s="381"/>
      <c r="CZ211" s="381"/>
      <c r="DA211" s="381"/>
      <c r="DB211" s="381"/>
      <c r="DC211" s="381"/>
      <c r="DD211" s="381"/>
      <c r="DE211" s="381"/>
      <c r="DF211" s="118"/>
      <c r="DG211" s="115"/>
    </row>
    <row r="212" spans="1:111" ht="9" customHeight="1">
      <c r="A212" s="154"/>
      <c r="B212" s="154"/>
      <c r="C212" s="154"/>
      <c r="D212" s="154"/>
      <c r="E212" s="154"/>
      <c r="F212" s="154"/>
      <c r="G212" s="154"/>
      <c r="H212" s="154"/>
      <c r="I212" s="154"/>
      <c r="J212" s="416"/>
      <c r="K212" s="416"/>
      <c r="L212" s="416"/>
      <c r="M212" s="416"/>
      <c r="N212" s="416"/>
      <c r="O212" s="416"/>
      <c r="P212" s="154"/>
      <c r="Q212" s="417"/>
      <c r="R212" s="417"/>
      <c r="S212" s="417"/>
      <c r="T212" s="417"/>
      <c r="U212" s="154"/>
      <c r="V212" s="416"/>
      <c r="W212" s="416"/>
      <c r="X212" s="416"/>
      <c r="Y212" s="416"/>
      <c r="Z212" s="416"/>
      <c r="AA212" s="416"/>
      <c r="AB212" s="154"/>
      <c r="AC212" s="418"/>
      <c r="AD212" s="418"/>
      <c r="AE212" s="418"/>
      <c r="AF212" s="418"/>
      <c r="AG212" s="418"/>
      <c r="AH212" s="418"/>
      <c r="AI212" s="418"/>
      <c r="AJ212" s="418"/>
      <c r="AK212" s="418"/>
      <c r="AL212" s="418"/>
      <c r="AM212" s="418"/>
      <c r="AN212" s="418"/>
      <c r="AO212" s="418"/>
      <c r="AP212" s="418"/>
      <c r="AQ212" s="418"/>
      <c r="AR212" s="418"/>
      <c r="AS212" s="418"/>
      <c r="AT212" s="418"/>
      <c r="AU212" s="418"/>
      <c r="AV212" s="418"/>
      <c r="AW212" s="418"/>
      <c r="AX212" s="418"/>
      <c r="AY212" s="418"/>
      <c r="AZ212" s="418"/>
      <c r="BA212" s="418"/>
      <c r="BB212" s="154"/>
      <c r="BC212" s="115"/>
      <c r="BD212" s="115"/>
      <c r="BE212" s="116"/>
      <c r="BF212" s="117"/>
      <c r="BG212" s="117"/>
      <c r="BH212" s="117"/>
      <c r="BI212" s="117"/>
      <c r="BJ212" s="117"/>
      <c r="BK212" s="117"/>
      <c r="BL212" s="117"/>
      <c r="BM212" s="117"/>
      <c r="BN212" s="117"/>
      <c r="BO212" s="117"/>
      <c r="BP212" s="117"/>
      <c r="BQ212" s="117"/>
      <c r="BR212" s="117"/>
      <c r="BS212" s="117"/>
      <c r="BT212" s="117"/>
      <c r="BU212" s="117"/>
      <c r="BV212" s="117"/>
      <c r="BW212" s="117"/>
      <c r="BX212" s="117"/>
      <c r="BY212" s="117"/>
      <c r="BZ212" s="117"/>
      <c r="CA212" s="117"/>
      <c r="CB212" s="117"/>
      <c r="CC212" s="117"/>
      <c r="CD212" s="117"/>
      <c r="CE212" s="117"/>
      <c r="CF212" s="117"/>
      <c r="CG212" s="117"/>
      <c r="CH212" s="117"/>
      <c r="CI212" s="117"/>
      <c r="CJ212" s="117"/>
      <c r="CK212" s="117"/>
      <c r="CL212" s="117"/>
      <c r="CM212" s="117"/>
      <c r="CN212" s="117"/>
      <c r="CO212" s="117"/>
      <c r="CP212" s="117"/>
      <c r="CQ212" s="117"/>
      <c r="CR212" s="117"/>
      <c r="CS212" s="117"/>
      <c r="CT212" s="117"/>
      <c r="CU212" s="117"/>
      <c r="CV212" s="117"/>
      <c r="CW212" s="117"/>
      <c r="CX212" s="117"/>
      <c r="CY212" s="117"/>
      <c r="CZ212" s="117"/>
      <c r="DA212" s="117"/>
      <c r="DB212" s="117"/>
      <c r="DC212" s="117"/>
      <c r="DD212" s="117"/>
      <c r="DE212" s="117"/>
      <c r="DF212" s="118"/>
      <c r="DG212" s="115"/>
    </row>
    <row r="213" spans="1:111" ht="9" customHeight="1">
      <c r="A213" s="154"/>
      <c r="B213" s="154"/>
      <c r="C213" s="154"/>
      <c r="D213" s="154"/>
      <c r="E213" s="154"/>
      <c r="F213" s="154"/>
      <c r="G213" s="154"/>
      <c r="H213" s="154"/>
      <c r="I213" s="154"/>
      <c r="J213" s="154"/>
      <c r="K213" s="154"/>
      <c r="L213" s="154"/>
      <c r="M213" s="154"/>
      <c r="N213" s="154"/>
      <c r="O213" s="154"/>
      <c r="P213" s="154"/>
      <c r="Q213" s="417"/>
      <c r="R213" s="417"/>
      <c r="S213" s="417"/>
      <c r="T213" s="417"/>
      <c r="U213" s="154"/>
      <c r="V213" s="154"/>
      <c r="W213" s="154"/>
      <c r="X213" s="154"/>
      <c r="Y213" s="154"/>
      <c r="Z213" s="154"/>
      <c r="AA213" s="154"/>
      <c r="AB213" s="154"/>
      <c r="AC213" s="418"/>
      <c r="AD213" s="418"/>
      <c r="AE213" s="418"/>
      <c r="AF213" s="418"/>
      <c r="AG213" s="418"/>
      <c r="AH213" s="418"/>
      <c r="AI213" s="418"/>
      <c r="AJ213" s="418"/>
      <c r="AK213" s="418"/>
      <c r="AL213" s="418"/>
      <c r="AM213" s="418"/>
      <c r="AN213" s="418"/>
      <c r="AO213" s="418"/>
      <c r="AP213" s="418"/>
      <c r="AQ213" s="418"/>
      <c r="AR213" s="418"/>
      <c r="AS213" s="418"/>
      <c r="AT213" s="418"/>
      <c r="AU213" s="418"/>
      <c r="AV213" s="418"/>
      <c r="AW213" s="418"/>
      <c r="AX213" s="418"/>
      <c r="AY213" s="418"/>
      <c r="AZ213" s="418"/>
      <c r="BA213" s="418"/>
      <c r="BB213" s="154"/>
      <c r="BC213" s="115"/>
      <c r="BD213" s="115"/>
      <c r="BE213" s="116"/>
      <c r="BF213" s="383" t="s">
        <v>311</v>
      </c>
      <c r="BG213" s="384"/>
      <c r="BH213" s="381" t="s">
        <v>332</v>
      </c>
      <c r="BI213" s="381"/>
      <c r="BJ213" s="381"/>
      <c r="BK213" s="381"/>
      <c r="BL213" s="381"/>
      <c r="BM213" s="381"/>
      <c r="BN213" s="381"/>
      <c r="BO213" s="381"/>
      <c r="BP213" s="381"/>
      <c r="BQ213" s="381"/>
      <c r="BR213" s="381"/>
      <c r="BS213" s="381"/>
      <c r="BT213" s="381"/>
      <c r="BU213" s="381"/>
      <c r="BV213" s="381"/>
      <c r="BW213" s="381"/>
      <c r="BX213" s="381"/>
      <c r="BY213" s="381"/>
      <c r="BZ213" s="381"/>
      <c r="CA213" s="381"/>
      <c r="CB213" s="381"/>
      <c r="CC213" s="381"/>
      <c r="CD213" s="381"/>
      <c r="CE213" s="381"/>
      <c r="CF213" s="381"/>
      <c r="CG213" s="381"/>
      <c r="CH213" s="381"/>
      <c r="CI213" s="381"/>
      <c r="CJ213" s="381"/>
      <c r="CK213" s="381"/>
      <c r="CL213" s="381"/>
      <c r="CM213" s="381"/>
      <c r="CN213" s="381"/>
      <c r="CO213" s="381"/>
      <c r="CP213" s="381"/>
      <c r="CQ213" s="381"/>
      <c r="CR213" s="381"/>
      <c r="CS213" s="381"/>
      <c r="CT213" s="381"/>
      <c r="CU213" s="381"/>
      <c r="CV213" s="381"/>
      <c r="CW213" s="381"/>
      <c r="CX213" s="381"/>
      <c r="CY213" s="381"/>
      <c r="CZ213" s="381"/>
      <c r="DA213" s="381"/>
      <c r="DB213" s="381"/>
      <c r="DC213" s="381"/>
      <c r="DD213" s="381"/>
      <c r="DE213" s="381"/>
      <c r="DF213" s="118"/>
      <c r="DG213" s="115"/>
    </row>
    <row r="214" spans="1:111" ht="4.5" customHeight="1">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15"/>
      <c r="BD214" s="115"/>
      <c r="BE214" s="116"/>
      <c r="BF214" s="384"/>
      <c r="BG214" s="384"/>
      <c r="BH214" s="381"/>
      <c r="BI214" s="381"/>
      <c r="BJ214" s="381"/>
      <c r="BK214" s="381"/>
      <c r="BL214" s="381"/>
      <c r="BM214" s="381"/>
      <c r="BN214" s="381"/>
      <c r="BO214" s="381"/>
      <c r="BP214" s="381"/>
      <c r="BQ214" s="381"/>
      <c r="BR214" s="381"/>
      <c r="BS214" s="381"/>
      <c r="BT214" s="381"/>
      <c r="BU214" s="381"/>
      <c r="BV214" s="381"/>
      <c r="BW214" s="381"/>
      <c r="BX214" s="381"/>
      <c r="BY214" s="381"/>
      <c r="BZ214" s="381"/>
      <c r="CA214" s="381"/>
      <c r="CB214" s="381"/>
      <c r="CC214" s="381"/>
      <c r="CD214" s="381"/>
      <c r="CE214" s="381"/>
      <c r="CF214" s="381"/>
      <c r="CG214" s="381"/>
      <c r="CH214" s="381"/>
      <c r="CI214" s="381"/>
      <c r="CJ214" s="381"/>
      <c r="CK214" s="381"/>
      <c r="CL214" s="381"/>
      <c r="CM214" s="381"/>
      <c r="CN214" s="381"/>
      <c r="CO214" s="381"/>
      <c r="CP214" s="381"/>
      <c r="CQ214" s="381"/>
      <c r="CR214" s="381"/>
      <c r="CS214" s="381"/>
      <c r="CT214" s="381"/>
      <c r="CU214" s="381"/>
      <c r="CV214" s="381"/>
      <c r="CW214" s="381"/>
      <c r="CX214" s="381"/>
      <c r="CY214" s="381"/>
      <c r="CZ214" s="381"/>
      <c r="DA214" s="381"/>
      <c r="DB214" s="381"/>
      <c r="DC214" s="381"/>
      <c r="DD214" s="381"/>
      <c r="DE214" s="381"/>
      <c r="DF214" s="118"/>
      <c r="DG214" s="115"/>
    </row>
    <row r="215" spans="1:111" ht="9" customHeight="1">
      <c r="A215" s="154"/>
      <c r="B215" s="154"/>
      <c r="C215" s="154"/>
      <c r="D215" s="154"/>
      <c r="E215" s="154"/>
      <c r="F215" s="154"/>
      <c r="G215" s="154"/>
      <c r="H215" s="154"/>
      <c r="I215" s="154"/>
      <c r="J215" s="416" t="str">
        <f>IF(C197="","","Valor Unitário (R$):")</f>
        <v>Valor Unitário (R$):</v>
      </c>
      <c r="K215" s="416"/>
      <c r="L215" s="416"/>
      <c r="M215" s="416"/>
      <c r="N215" s="416"/>
      <c r="O215" s="416"/>
      <c r="P215" s="154"/>
      <c r="Q215" s="419">
        <v>685</v>
      </c>
      <c r="R215" s="419"/>
      <c r="S215" s="419"/>
      <c r="T215" s="419"/>
      <c r="U215" s="419"/>
      <c r="V215" s="419"/>
      <c r="W215" s="419"/>
      <c r="X215" s="419"/>
      <c r="Y215" s="154"/>
      <c r="Z215" s="416" t="str">
        <f>IF(C197="","",IF(J203="52 Equipamentos e Material Permanente","Tempo de Uso:",""))</f>
        <v/>
      </c>
      <c r="AA215" s="416"/>
      <c r="AB215" s="416"/>
      <c r="AC215" s="416"/>
      <c r="AD215" s="416"/>
      <c r="AE215" s="416"/>
      <c r="AF215" s="154"/>
      <c r="AG215" s="420"/>
      <c r="AH215" s="420"/>
      <c r="AI215" s="420"/>
      <c r="AJ215" s="420"/>
      <c r="AK215" s="420"/>
      <c r="AL215" s="420"/>
      <c r="AM215" s="420"/>
      <c r="AN215" s="420"/>
      <c r="AO215" s="420"/>
      <c r="AP215" s="420"/>
      <c r="AQ215" s="420"/>
      <c r="AR215" s="420"/>
      <c r="AS215" s="420"/>
      <c r="AT215" s="420"/>
      <c r="AU215" s="420"/>
      <c r="AV215" s="420"/>
      <c r="AW215" s="420"/>
      <c r="AX215" s="420"/>
      <c r="AY215" s="420"/>
      <c r="AZ215" s="420"/>
      <c r="BA215" s="420"/>
      <c r="BB215" s="154"/>
      <c r="BC215" s="115"/>
      <c r="BD215" s="115"/>
      <c r="BE215" s="116"/>
      <c r="BF215" s="117"/>
      <c r="BG215" s="117"/>
      <c r="BH215" s="381"/>
      <c r="BI215" s="381"/>
      <c r="BJ215" s="381"/>
      <c r="BK215" s="381"/>
      <c r="BL215" s="381"/>
      <c r="BM215" s="381"/>
      <c r="BN215" s="381"/>
      <c r="BO215" s="381"/>
      <c r="BP215" s="381"/>
      <c r="BQ215" s="381"/>
      <c r="BR215" s="381"/>
      <c r="BS215" s="381"/>
      <c r="BT215" s="381"/>
      <c r="BU215" s="381"/>
      <c r="BV215" s="381"/>
      <c r="BW215" s="381"/>
      <c r="BX215" s="381"/>
      <c r="BY215" s="381"/>
      <c r="BZ215" s="381"/>
      <c r="CA215" s="381"/>
      <c r="CB215" s="381"/>
      <c r="CC215" s="381"/>
      <c r="CD215" s="381"/>
      <c r="CE215" s="381"/>
      <c r="CF215" s="381"/>
      <c r="CG215" s="381"/>
      <c r="CH215" s="381"/>
      <c r="CI215" s="381"/>
      <c r="CJ215" s="381"/>
      <c r="CK215" s="381"/>
      <c r="CL215" s="381"/>
      <c r="CM215" s="381"/>
      <c r="CN215" s="381"/>
      <c r="CO215" s="381"/>
      <c r="CP215" s="381"/>
      <c r="CQ215" s="381"/>
      <c r="CR215" s="381"/>
      <c r="CS215" s="381"/>
      <c r="CT215" s="381"/>
      <c r="CU215" s="381"/>
      <c r="CV215" s="381"/>
      <c r="CW215" s="381"/>
      <c r="CX215" s="381"/>
      <c r="CY215" s="381"/>
      <c r="CZ215" s="381"/>
      <c r="DA215" s="381"/>
      <c r="DB215" s="381"/>
      <c r="DC215" s="381"/>
      <c r="DD215" s="381"/>
      <c r="DE215" s="381"/>
      <c r="DF215" s="118"/>
      <c r="DG215" s="115"/>
    </row>
    <row r="216" spans="1:111" ht="9" customHeight="1">
      <c r="A216" s="154"/>
      <c r="B216" s="154"/>
      <c r="C216" s="154"/>
      <c r="D216" s="154"/>
      <c r="E216" s="154"/>
      <c r="F216" s="154"/>
      <c r="G216" s="154"/>
      <c r="H216" s="154"/>
      <c r="I216" s="154"/>
      <c r="J216" s="416"/>
      <c r="K216" s="416"/>
      <c r="L216" s="416"/>
      <c r="M216" s="416"/>
      <c r="N216" s="416"/>
      <c r="O216" s="416"/>
      <c r="P216" s="154"/>
      <c r="Q216" s="419"/>
      <c r="R216" s="419"/>
      <c r="S216" s="419"/>
      <c r="T216" s="419"/>
      <c r="U216" s="419"/>
      <c r="V216" s="419"/>
      <c r="W216" s="419"/>
      <c r="X216" s="419"/>
      <c r="Y216" s="154"/>
      <c r="Z216" s="416"/>
      <c r="AA216" s="416"/>
      <c r="AB216" s="416"/>
      <c r="AC216" s="416"/>
      <c r="AD216" s="416"/>
      <c r="AE216" s="416"/>
      <c r="AF216" s="154"/>
      <c r="AG216" s="420"/>
      <c r="AH216" s="420"/>
      <c r="AI216" s="420"/>
      <c r="AJ216" s="420"/>
      <c r="AK216" s="420"/>
      <c r="AL216" s="420"/>
      <c r="AM216" s="420"/>
      <c r="AN216" s="420"/>
      <c r="AO216" s="420"/>
      <c r="AP216" s="420"/>
      <c r="AQ216" s="420"/>
      <c r="AR216" s="420"/>
      <c r="AS216" s="420"/>
      <c r="AT216" s="420"/>
      <c r="AU216" s="420"/>
      <c r="AV216" s="420"/>
      <c r="AW216" s="420"/>
      <c r="AX216" s="420"/>
      <c r="AY216" s="420"/>
      <c r="AZ216" s="420"/>
      <c r="BA216" s="420"/>
      <c r="BB216" s="154"/>
      <c r="BC216" s="115"/>
      <c r="BD216" s="115"/>
      <c r="BE216" s="116"/>
      <c r="BF216" s="117"/>
      <c r="BG216" s="117"/>
      <c r="BH216" s="381"/>
      <c r="BI216" s="381"/>
      <c r="BJ216" s="381"/>
      <c r="BK216" s="381"/>
      <c r="BL216" s="381"/>
      <c r="BM216" s="381"/>
      <c r="BN216" s="381"/>
      <c r="BO216" s="381"/>
      <c r="BP216" s="381"/>
      <c r="BQ216" s="381"/>
      <c r="BR216" s="381"/>
      <c r="BS216" s="381"/>
      <c r="BT216" s="381"/>
      <c r="BU216" s="381"/>
      <c r="BV216" s="381"/>
      <c r="BW216" s="381"/>
      <c r="BX216" s="381"/>
      <c r="BY216" s="381"/>
      <c r="BZ216" s="381"/>
      <c r="CA216" s="381"/>
      <c r="CB216" s="381"/>
      <c r="CC216" s="381"/>
      <c r="CD216" s="381"/>
      <c r="CE216" s="381"/>
      <c r="CF216" s="381"/>
      <c r="CG216" s="381"/>
      <c r="CH216" s="381"/>
      <c r="CI216" s="381"/>
      <c r="CJ216" s="381"/>
      <c r="CK216" s="381"/>
      <c r="CL216" s="381"/>
      <c r="CM216" s="381"/>
      <c r="CN216" s="381"/>
      <c r="CO216" s="381"/>
      <c r="CP216" s="381"/>
      <c r="CQ216" s="381"/>
      <c r="CR216" s="381"/>
      <c r="CS216" s="381"/>
      <c r="CT216" s="381"/>
      <c r="CU216" s="381"/>
      <c r="CV216" s="381"/>
      <c r="CW216" s="381"/>
      <c r="CX216" s="381"/>
      <c r="CY216" s="381"/>
      <c r="CZ216" s="381"/>
      <c r="DA216" s="381"/>
      <c r="DB216" s="381"/>
      <c r="DC216" s="381"/>
      <c r="DD216" s="381"/>
      <c r="DE216" s="381"/>
      <c r="DF216" s="118"/>
      <c r="DG216" s="115"/>
    </row>
    <row r="217" spans="1:111" ht="9" customHeight="1">
      <c r="A217" s="154"/>
      <c r="B217" s="154"/>
      <c r="C217" s="154"/>
      <c r="D217" s="154"/>
      <c r="E217" s="154"/>
      <c r="F217" s="154"/>
      <c r="G217" s="154"/>
      <c r="H217" s="154"/>
      <c r="I217" s="154"/>
      <c r="J217" s="154"/>
      <c r="K217" s="154"/>
      <c r="L217" s="154"/>
      <c r="M217" s="154"/>
      <c r="N217" s="154"/>
      <c r="O217" s="154"/>
      <c r="P217" s="154"/>
      <c r="Q217" s="419"/>
      <c r="R217" s="419"/>
      <c r="S217" s="419"/>
      <c r="T217" s="419"/>
      <c r="U217" s="419"/>
      <c r="V217" s="419"/>
      <c r="W217" s="419"/>
      <c r="X217" s="419"/>
      <c r="Y217" s="154"/>
      <c r="Z217" s="154"/>
      <c r="AA217" s="154"/>
      <c r="AB217" s="154"/>
      <c r="AC217" s="154"/>
      <c r="AD217" s="154"/>
      <c r="AE217" s="154"/>
      <c r="AF217" s="154"/>
      <c r="AG217" s="420"/>
      <c r="AH217" s="420"/>
      <c r="AI217" s="420"/>
      <c r="AJ217" s="420"/>
      <c r="AK217" s="420"/>
      <c r="AL217" s="420"/>
      <c r="AM217" s="420"/>
      <c r="AN217" s="420"/>
      <c r="AO217" s="420"/>
      <c r="AP217" s="420"/>
      <c r="AQ217" s="420"/>
      <c r="AR217" s="420"/>
      <c r="AS217" s="420"/>
      <c r="AT217" s="420"/>
      <c r="AU217" s="420"/>
      <c r="AV217" s="420"/>
      <c r="AW217" s="420"/>
      <c r="AX217" s="420"/>
      <c r="AY217" s="420"/>
      <c r="AZ217" s="420"/>
      <c r="BA217" s="420"/>
      <c r="BB217" s="154"/>
      <c r="BC217" s="115"/>
      <c r="BD217" s="115"/>
      <c r="BE217" s="116"/>
      <c r="BF217" s="117"/>
      <c r="BG217" s="117"/>
      <c r="BH217" s="381"/>
      <c r="BI217" s="381"/>
      <c r="BJ217" s="381"/>
      <c r="BK217" s="381"/>
      <c r="BL217" s="381"/>
      <c r="BM217" s="381"/>
      <c r="BN217" s="381"/>
      <c r="BO217" s="381"/>
      <c r="BP217" s="381"/>
      <c r="BQ217" s="381"/>
      <c r="BR217" s="381"/>
      <c r="BS217" s="381"/>
      <c r="BT217" s="381"/>
      <c r="BU217" s="381"/>
      <c r="BV217" s="381"/>
      <c r="BW217" s="381"/>
      <c r="BX217" s="381"/>
      <c r="BY217" s="381"/>
      <c r="BZ217" s="381"/>
      <c r="CA217" s="381"/>
      <c r="CB217" s="381"/>
      <c r="CC217" s="381"/>
      <c r="CD217" s="381"/>
      <c r="CE217" s="381"/>
      <c r="CF217" s="381"/>
      <c r="CG217" s="381"/>
      <c r="CH217" s="381"/>
      <c r="CI217" s="381"/>
      <c r="CJ217" s="381"/>
      <c r="CK217" s="381"/>
      <c r="CL217" s="381"/>
      <c r="CM217" s="381"/>
      <c r="CN217" s="381"/>
      <c r="CO217" s="381"/>
      <c r="CP217" s="381"/>
      <c r="CQ217" s="381"/>
      <c r="CR217" s="381"/>
      <c r="CS217" s="381"/>
      <c r="CT217" s="381"/>
      <c r="CU217" s="381"/>
      <c r="CV217" s="381"/>
      <c r="CW217" s="381"/>
      <c r="CX217" s="381"/>
      <c r="CY217" s="381"/>
      <c r="CZ217" s="381"/>
      <c r="DA217" s="381"/>
      <c r="DB217" s="381"/>
      <c r="DC217" s="381"/>
      <c r="DD217" s="381"/>
      <c r="DE217" s="381"/>
      <c r="DF217" s="118"/>
      <c r="DG217" s="115"/>
    </row>
    <row r="218" spans="1:111" ht="4.5" customHeight="1">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15"/>
      <c r="BD218" s="115"/>
      <c r="BE218" s="11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c r="CR218" s="96"/>
      <c r="CS218" s="96"/>
      <c r="CT218" s="96"/>
      <c r="CU218" s="96"/>
      <c r="CV218" s="96"/>
      <c r="CW218" s="96"/>
      <c r="CX218" s="96"/>
      <c r="CY218" s="96"/>
      <c r="CZ218" s="96"/>
      <c r="DA218" s="96"/>
      <c r="DB218" s="96"/>
      <c r="DC218" s="96"/>
      <c r="DD218" s="96"/>
      <c r="DE218" s="96"/>
      <c r="DF218" s="118"/>
      <c r="DG218" s="115"/>
    </row>
    <row r="219" spans="1:111" ht="9" customHeight="1">
      <c r="A219" s="154"/>
      <c r="B219" s="154"/>
      <c r="C219" s="154"/>
      <c r="D219" s="154"/>
      <c r="E219" s="154"/>
      <c r="F219" s="154"/>
      <c r="G219" s="154"/>
      <c r="H219" s="154"/>
      <c r="I219" s="154"/>
      <c r="J219" s="416" t="str">
        <f>IF(C197="","","Valor Total (R$):")</f>
        <v>Valor Total (R$):</v>
      </c>
      <c r="K219" s="416"/>
      <c r="L219" s="416"/>
      <c r="M219" s="416"/>
      <c r="N219" s="416"/>
      <c r="O219" s="416"/>
      <c r="P219" s="154"/>
      <c r="Q219" s="419">
        <f>IF(Q215="","",Q211*Q215)</f>
        <v>337020</v>
      </c>
      <c r="R219" s="419"/>
      <c r="S219" s="419"/>
      <c r="T219" s="419"/>
      <c r="U219" s="419"/>
      <c r="V219" s="419"/>
      <c r="W219" s="419"/>
      <c r="X219" s="419"/>
      <c r="Y219" s="154"/>
      <c r="Z219" s="416" t="str">
        <f>IF(C197="","",IF(J203="52 Equipamentos e Material Permanente","Justificativa e Utilização:",""))</f>
        <v/>
      </c>
      <c r="AA219" s="416"/>
      <c r="AB219" s="416"/>
      <c r="AC219" s="416"/>
      <c r="AD219" s="416"/>
      <c r="AE219" s="416"/>
      <c r="AF219" s="154"/>
      <c r="AG219" s="420"/>
      <c r="AH219" s="420"/>
      <c r="AI219" s="420"/>
      <c r="AJ219" s="420"/>
      <c r="AK219" s="420"/>
      <c r="AL219" s="420"/>
      <c r="AM219" s="420"/>
      <c r="AN219" s="420"/>
      <c r="AO219" s="420"/>
      <c r="AP219" s="420"/>
      <c r="AQ219" s="420"/>
      <c r="AR219" s="420"/>
      <c r="AS219" s="420"/>
      <c r="AT219" s="420"/>
      <c r="AU219" s="420"/>
      <c r="AV219" s="420"/>
      <c r="AW219" s="420"/>
      <c r="AX219" s="420"/>
      <c r="AY219" s="420"/>
      <c r="AZ219" s="420"/>
      <c r="BA219" s="420"/>
      <c r="BB219" s="154"/>
      <c r="BC219" s="115"/>
      <c r="BD219" s="115"/>
      <c r="BE219" s="116"/>
      <c r="BF219" s="383" t="s">
        <v>312</v>
      </c>
      <c r="BG219" s="384"/>
      <c r="BH219" s="381" t="s">
        <v>333</v>
      </c>
      <c r="BI219" s="381"/>
      <c r="BJ219" s="381"/>
      <c r="BK219" s="381"/>
      <c r="BL219" s="381"/>
      <c r="BM219" s="381"/>
      <c r="BN219" s="381"/>
      <c r="BO219" s="381"/>
      <c r="BP219" s="381"/>
      <c r="BQ219" s="381"/>
      <c r="BR219" s="381"/>
      <c r="BS219" s="381"/>
      <c r="BT219" s="381"/>
      <c r="BU219" s="381"/>
      <c r="BV219" s="381"/>
      <c r="BW219" s="381"/>
      <c r="BX219" s="381"/>
      <c r="BY219" s="381"/>
      <c r="BZ219" s="381"/>
      <c r="CA219" s="381"/>
      <c r="CB219" s="381"/>
      <c r="CC219" s="381"/>
      <c r="CD219" s="381"/>
      <c r="CE219" s="381"/>
      <c r="CF219" s="381"/>
      <c r="CG219" s="381"/>
      <c r="CH219" s="381"/>
      <c r="CI219" s="381"/>
      <c r="CJ219" s="381"/>
      <c r="CK219" s="381"/>
      <c r="CL219" s="381"/>
      <c r="CM219" s="381"/>
      <c r="CN219" s="381"/>
      <c r="CO219" s="381"/>
      <c r="CP219" s="381"/>
      <c r="CQ219" s="381"/>
      <c r="CR219" s="381"/>
      <c r="CS219" s="381"/>
      <c r="CT219" s="381"/>
      <c r="CU219" s="381"/>
      <c r="CV219" s="381"/>
      <c r="CW219" s="381"/>
      <c r="CX219" s="381"/>
      <c r="CY219" s="381"/>
      <c r="CZ219" s="381"/>
      <c r="DA219" s="381"/>
      <c r="DB219" s="381"/>
      <c r="DC219" s="381"/>
      <c r="DD219" s="381"/>
      <c r="DE219" s="381"/>
      <c r="DF219" s="118"/>
      <c r="DG219" s="115"/>
    </row>
    <row r="220" spans="1:111" ht="9" customHeight="1">
      <c r="A220" s="154"/>
      <c r="B220" s="154"/>
      <c r="C220" s="154"/>
      <c r="D220" s="154"/>
      <c r="E220" s="154"/>
      <c r="F220" s="154"/>
      <c r="G220" s="154"/>
      <c r="H220" s="154"/>
      <c r="I220" s="154"/>
      <c r="J220" s="416"/>
      <c r="K220" s="416"/>
      <c r="L220" s="416"/>
      <c r="M220" s="416"/>
      <c r="N220" s="416"/>
      <c r="O220" s="416"/>
      <c r="P220" s="154"/>
      <c r="Q220" s="419"/>
      <c r="R220" s="419"/>
      <c r="S220" s="419"/>
      <c r="T220" s="419"/>
      <c r="U220" s="419"/>
      <c r="V220" s="419"/>
      <c r="W220" s="419"/>
      <c r="X220" s="419"/>
      <c r="Y220" s="154"/>
      <c r="Z220" s="416"/>
      <c r="AA220" s="416"/>
      <c r="AB220" s="416"/>
      <c r="AC220" s="416"/>
      <c r="AD220" s="416"/>
      <c r="AE220" s="416"/>
      <c r="AF220" s="154"/>
      <c r="AG220" s="420"/>
      <c r="AH220" s="420"/>
      <c r="AI220" s="420"/>
      <c r="AJ220" s="420"/>
      <c r="AK220" s="420"/>
      <c r="AL220" s="420"/>
      <c r="AM220" s="420"/>
      <c r="AN220" s="420"/>
      <c r="AO220" s="420"/>
      <c r="AP220" s="420"/>
      <c r="AQ220" s="420"/>
      <c r="AR220" s="420"/>
      <c r="AS220" s="420"/>
      <c r="AT220" s="420"/>
      <c r="AU220" s="420"/>
      <c r="AV220" s="420"/>
      <c r="AW220" s="420"/>
      <c r="AX220" s="420"/>
      <c r="AY220" s="420"/>
      <c r="AZ220" s="420"/>
      <c r="BA220" s="420"/>
      <c r="BB220" s="154"/>
      <c r="BC220" s="115"/>
      <c r="BD220" s="115"/>
      <c r="BE220" s="116"/>
      <c r="BF220" s="384"/>
      <c r="BG220" s="384"/>
      <c r="BH220" s="381"/>
      <c r="BI220" s="381"/>
      <c r="BJ220" s="381"/>
      <c r="BK220" s="381"/>
      <c r="BL220" s="381"/>
      <c r="BM220" s="381"/>
      <c r="BN220" s="381"/>
      <c r="BO220" s="381"/>
      <c r="BP220" s="381"/>
      <c r="BQ220" s="381"/>
      <c r="BR220" s="381"/>
      <c r="BS220" s="381"/>
      <c r="BT220" s="381"/>
      <c r="BU220" s="381"/>
      <c r="BV220" s="381"/>
      <c r="BW220" s="381"/>
      <c r="BX220" s="381"/>
      <c r="BY220" s="381"/>
      <c r="BZ220" s="381"/>
      <c r="CA220" s="381"/>
      <c r="CB220" s="381"/>
      <c r="CC220" s="381"/>
      <c r="CD220" s="381"/>
      <c r="CE220" s="381"/>
      <c r="CF220" s="381"/>
      <c r="CG220" s="381"/>
      <c r="CH220" s="381"/>
      <c r="CI220" s="381"/>
      <c r="CJ220" s="381"/>
      <c r="CK220" s="381"/>
      <c r="CL220" s="381"/>
      <c r="CM220" s="381"/>
      <c r="CN220" s="381"/>
      <c r="CO220" s="381"/>
      <c r="CP220" s="381"/>
      <c r="CQ220" s="381"/>
      <c r="CR220" s="381"/>
      <c r="CS220" s="381"/>
      <c r="CT220" s="381"/>
      <c r="CU220" s="381"/>
      <c r="CV220" s="381"/>
      <c r="CW220" s="381"/>
      <c r="CX220" s="381"/>
      <c r="CY220" s="381"/>
      <c r="CZ220" s="381"/>
      <c r="DA220" s="381"/>
      <c r="DB220" s="381"/>
      <c r="DC220" s="381"/>
      <c r="DD220" s="381"/>
      <c r="DE220" s="381"/>
      <c r="DF220" s="118"/>
      <c r="DG220" s="115"/>
    </row>
    <row r="221" spans="1:111" ht="9" customHeight="1">
      <c r="A221" s="154"/>
      <c r="B221" s="154"/>
      <c r="C221" s="154"/>
      <c r="D221" s="154"/>
      <c r="E221" s="154"/>
      <c r="F221" s="154"/>
      <c r="G221" s="154"/>
      <c r="H221" s="154"/>
      <c r="I221" s="154"/>
      <c r="J221" s="154"/>
      <c r="K221" s="154"/>
      <c r="L221" s="154"/>
      <c r="M221" s="154"/>
      <c r="N221" s="154"/>
      <c r="O221" s="154"/>
      <c r="P221" s="154"/>
      <c r="Q221" s="419"/>
      <c r="R221" s="419"/>
      <c r="S221" s="419"/>
      <c r="T221" s="419"/>
      <c r="U221" s="419"/>
      <c r="V221" s="419"/>
      <c r="W221" s="419"/>
      <c r="X221" s="419"/>
      <c r="Y221" s="154"/>
      <c r="Z221" s="154"/>
      <c r="AA221" s="154"/>
      <c r="AB221" s="154"/>
      <c r="AC221" s="154"/>
      <c r="AD221" s="154"/>
      <c r="AE221" s="154"/>
      <c r="AF221" s="154"/>
      <c r="AG221" s="420"/>
      <c r="AH221" s="420"/>
      <c r="AI221" s="420"/>
      <c r="AJ221" s="420"/>
      <c r="AK221" s="420"/>
      <c r="AL221" s="420"/>
      <c r="AM221" s="420"/>
      <c r="AN221" s="420"/>
      <c r="AO221" s="420"/>
      <c r="AP221" s="420"/>
      <c r="AQ221" s="420"/>
      <c r="AR221" s="420"/>
      <c r="AS221" s="420"/>
      <c r="AT221" s="420"/>
      <c r="AU221" s="420"/>
      <c r="AV221" s="420"/>
      <c r="AW221" s="420"/>
      <c r="AX221" s="420"/>
      <c r="AY221" s="420"/>
      <c r="AZ221" s="420"/>
      <c r="BA221" s="420"/>
      <c r="BB221" s="154"/>
      <c r="BC221" s="115"/>
      <c r="BD221" s="115"/>
      <c r="BE221" s="116"/>
      <c r="BF221" s="117"/>
      <c r="BG221" s="117"/>
      <c r="BH221" s="381"/>
      <c r="BI221" s="381"/>
      <c r="BJ221" s="381"/>
      <c r="BK221" s="381"/>
      <c r="BL221" s="381"/>
      <c r="BM221" s="381"/>
      <c r="BN221" s="381"/>
      <c r="BO221" s="381"/>
      <c r="BP221" s="381"/>
      <c r="BQ221" s="381"/>
      <c r="BR221" s="381"/>
      <c r="BS221" s="381"/>
      <c r="BT221" s="381"/>
      <c r="BU221" s="381"/>
      <c r="BV221" s="381"/>
      <c r="BW221" s="381"/>
      <c r="BX221" s="381"/>
      <c r="BY221" s="381"/>
      <c r="BZ221" s="381"/>
      <c r="CA221" s="381"/>
      <c r="CB221" s="381"/>
      <c r="CC221" s="381"/>
      <c r="CD221" s="381"/>
      <c r="CE221" s="381"/>
      <c r="CF221" s="381"/>
      <c r="CG221" s="381"/>
      <c r="CH221" s="381"/>
      <c r="CI221" s="381"/>
      <c r="CJ221" s="381"/>
      <c r="CK221" s="381"/>
      <c r="CL221" s="381"/>
      <c r="CM221" s="381"/>
      <c r="CN221" s="381"/>
      <c r="CO221" s="381"/>
      <c r="CP221" s="381"/>
      <c r="CQ221" s="381"/>
      <c r="CR221" s="381"/>
      <c r="CS221" s="381"/>
      <c r="CT221" s="381"/>
      <c r="CU221" s="381"/>
      <c r="CV221" s="381"/>
      <c r="CW221" s="381"/>
      <c r="CX221" s="381"/>
      <c r="CY221" s="381"/>
      <c r="CZ221" s="381"/>
      <c r="DA221" s="381"/>
      <c r="DB221" s="381"/>
      <c r="DC221" s="381"/>
      <c r="DD221" s="381"/>
      <c r="DE221" s="381"/>
      <c r="DF221" s="118"/>
      <c r="DG221" s="115"/>
    </row>
    <row r="222" spans="1:111" ht="9" customHeight="1">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420"/>
      <c r="AH222" s="420"/>
      <c r="AI222" s="420"/>
      <c r="AJ222" s="420"/>
      <c r="AK222" s="420"/>
      <c r="AL222" s="420"/>
      <c r="AM222" s="420"/>
      <c r="AN222" s="420"/>
      <c r="AO222" s="420"/>
      <c r="AP222" s="420"/>
      <c r="AQ222" s="420"/>
      <c r="AR222" s="420"/>
      <c r="AS222" s="420"/>
      <c r="AT222" s="420"/>
      <c r="AU222" s="420"/>
      <c r="AV222" s="420"/>
      <c r="AW222" s="420"/>
      <c r="AX222" s="420"/>
      <c r="AY222" s="420"/>
      <c r="AZ222" s="420"/>
      <c r="BA222" s="420"/>
      <c r="BB222" s="154"/>
      <c r="BC222" s="115"/>
      <c r="BD222" s="115"/>
      <c r="BE222" s="116"/>
      <c r="BF222" s="117"/>
      <c r="BG222" s="117"/>
      <c r="BH222" s="381"/>
      <c r="BI222" s="381"/>
      <c r="BJ222" s="381"/>
      <c r="BK222" s="381"/>
      <c r="BL222" s="381"/>
      <c r="BM222" s="381"/>
      <c r="BN222" s="381"/>
      <c r="BO222" s="381"/>
      <c r="BP222" s="381"/>
      <c r="BQ222" s="381"/>
      <c r="BR222" s="381"/>
      <c r="BS222" s="381"/>
      <c r="BT222" s="381"/>
      <c r="BU222" s="381"/>
      <c r="BV222" s="381"/>
      <c r="BW222" s="381"/>
      <c r="BX222" s="381"/>
      <c r="BY222" s="381"/>
      <c r="BZ222" s="381"/>
      <c r="CA222" s="381"/>
      <c r="CB222" s="381"/>
      <c r="CC222" s="381"/>
      <c r="CD222" s="381"/>
      <c r="CE222" s="381"/>
      <c r="CF222" s="381"/>
      <c r="CG222" s="381"/>
      <c r="CH222" s="381"/>
      <c r="CI222" s="381"/>
      <c r="CJ222" s="381"/>
      <c r="CK222" s="381"/>
      <c r="CL222" s="381"/>
      <c r="CM222" s="381"/>
      <c r="CN222" s="381"/>
      <c r="CO222" s="381"/>
      <c r="CP222" s="381"/>
      <c r="CQ222" s="381"/>
      <c r="CR222" s="381"/>
      <c r="CS222" s="381"/>
      <c r="CT222" s="381"/>
      <c r="CU222" s="381"/>
      <c r="CV222" s="381"/>
      <c r="CW222" s="381"/>
      <c r="CX222" s="381"/>
      <c r="CY222" s="381"/>
      <c r="CZ222" s="381"/>
      <c r="DA222" s="381"/>
      <c r="DB222" s="381"/>
      <c r="DC222" s="381"/>
      <c r="DD222" s="381"/>
      <c r="DE222" s="381"/>
      <c r="DF222" s="118"/>
      <c r="DG222" s="115"/>
    </row>
    <row r="223" spans="1:111" ht="9" customHeight="1">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420"/>
      <c r="AH223" s="420"/>
      <c r="AI223" s="420"/>
      <c r="AJ223" s="420"/>
      <c r="AK223" s="420"/>
      <c r="AL223" s="420"/>
      <c r="AM223" s="420"/>
      <c r="AN223" s="420"/>
      <c r="AO223" s="420"/>
      <c r="AP223" s="420"/>
      <c r="AQ223" s="420"/>
      <c r="AR223" s="420"/>
      <c r="AS223" s="420"/>
      <c r="AT223" s="420"/>
      <c r="AU223" s="420"/>
      <c r="AV223" s="420"/>
      <c r="AW223" s="420"/>
      <c r="AX223" s="420"/>
      <c r="AY223" s="420"/>
      <c r="AZ223" s="420"/>
      <c r="BA223" s="420"/>
      <c r="BB223" s="154"/>
      <c r="BC223" s="115"/>
      <c r="BD223" s="115"/>
      <c r="BE223" s="116"/>
      <c r="BF223" s="117"/>
      <c r="BG223" s="117"/>
      <c r="BH223" s="381"/>
      <c r="BI223" s="381"/>
      <c r="BJ223" s="381"/>
      <c r="BK223" s="381"/>
      <c r="BL223" s="381"/>
      <c r="BM223" s="381"/>
      <c r="BN223" s="381"/>
      <c r="BO223" s="381"/>
      <c r="BP223" s="381"/>
      <c r="BQ223" s="381"/>
      <c r="BR223" s="381"/>
      <c r="BS223" s="381"/>
      <c r="BT223" s="381"/>
      <c r="BU223" s="381"/>
      <c r="BV223" s="381"/>
      <c r="BW223" s="381"/>
      <c r="BX223" s="381"/>
      <c r="BY223" s="381"/>
      <c r="BZ223" s="381"/>
      <c r="CA223" s="381"/>
      <c r="CB223" s="381"/>
      <c r="CC223" s="381"/>
      <c r="CD223" s="381"/>
      <c r="CE223" s="381"/>
      <c r="CF223" s="381"/>
      <c r="CG223" s="381"/>
      <c r="CH223" s="381"/>
      <c r="CI223" s="381"/>
      <c r="CJ223" s="381"/>
      <c r="CK223" s="381"/>
      <c r="CL223" s="381"/>
      <c r="CM223" s="381"/>
      <c r="CN223" s="381"/>
      <c r="CO223" s="381"/>
      <c r="CP223" s="381"/>
      <c r="CQ223" s="381"/>
      <c r="CR223" s="381"/>
      <c r="CS223" s="381"/>
      <c r="CT223" s="381"/>
      <c r="CU223" s="381"/>
      <c r="CV223" s="381"/>
      <c r="CW223" s="381"/>
      <c r="CX223" s="381"/>
      <c r="CY223" s="381"/>
      <c r="CZ223" s="381"/>
      <c r="DA223" s="381"/>
      <c r="DB223" s="381"/>
      <c r="DC223" s="381"/>
      <c r="DD223" s="381"/>
      <c r="DE223" s="381"/>
      <c r="DF223" s="118"/>
      <c r="DG223" s="115"/>
    </row>
    <row r="224" spans="1:111" ht="9"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420"/>
      <c r="AH224" s="420"/>
      <c r="AI224" s="420"/>
      <c r="AJ224" s="420"/>
      <c r="AK224" s="420"/>
      <c r="AL224" s="420"/>
      <c r="AM224" s="420"/>
      <c r="AN224" s="420"/>
      <c r="AO224" s="420"/>
      <c r="AP224" s="420"/>
      <c r="AQ224" s="420"/>
      <c r="AR224" s="420"/>
      <c r="AS224" s="420"/>
      <c r="AT224" s="420"/>
      <c r="AU224" s="420"/>
      <c r="AV224" s="420"/>
      <c r="AW224" s="420"/>
      <c r="AX224" s="420"/>
      <c r="AY224" s="420"/>
      <c r="AZ224" s="420"/>
      <c r="BA224" s="420"/>
      <c r="BB224" s="154"/>
      <c r="BC224" s="115"/>
      <c r="BD224" s="115"/>
      <c r="BE224" s="116"/>
      <c r="BF224" s="96"/>
      <c r="BG224" s="96"/>
      <c r="BH224" s="381"/>
      <c r="BI224" s="381"/>
      <c r="BJ224" s="381"/>
      <c r="BK224" s="381"/>
      <c r="BL224" s="381"/>
      <c r="BM224" s="381"/>
      <c r="BN224" s="381"/>
      <c r="BO224" s="381"/>
      <c r="BP224" s="381"/>
      <c r="BQ224" s="381"/>
      <c r="BR224" s="381"/>
      <c r="BS224" s="381"/>
      <c r="BT224" s="381"/>
      <c r="BU224" s="381"/>
      <c r="BV224" s="381"/>
      <c r="BW224" s="381"/>
      <c r="BX224" s="381"/>
      <c r="BY224" s="381"/>
      <c r="BZ224" s="381"/>
      <c r="CA224" s="381"/>
      <c r="CB224" s="381"/>
      <c r="CC224" s="381"/>
      <c r="CD224" s="381"/>
      <c r="CE224" s="381"/>
      <c r="CF224" s="381"/>
      <c r="CG224" s="381"/>
      <c r="CH224" s="381"/>
      <c r="CI224" s="381"/>
      <c r="CJ224" s="381"/>
      <c r="CK224" s="381"/>
      <c r="CL224" s="381"/>
      <c r="CM224" s="381"/>
      <c r="CN224" s="381"/>
      <c r="CO224" s="381"/>
      <c r="CP224" s="381"/>
      <c r="CQ224" s="381"/>
      <c r="CR224" s="381"/>
      <c r="CS224" s="381"/>
      <c r="CT224" s="381"/>
      <c r="CU224" s="381"/>
      <c r="CV224" s="381"/>
      <c r="CW224" s="381"/>
      <c r="CX224" s="381"/>
      <c r="CY224" s="381"/>
      <c r="CZ224" s="381"/>
      <c r="DA224" s="381"/>
      <c r="DB224" s="381"/>
      <c r="DC224" s="381"/>
      <c r="DD224" s="381"/>
      <c r="DE224" s="381"/>
      <c r="DF224" s="118"/>
      <c r="DG224" s="115"/>
    </row>
    <row r="225" spans="1:111" ht="15" customHeight="1">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15"/>
      <c r="BD225" s="115"/>
      <c r="BE225" s="116"/>
      <c r="BF225" s="96"/>
      <c r="BG225" s="96"/>
      <c r="BH225" s="381"/>
      <c r="BI225" s="381"/>
      <c r="BJ225" s="381"/>
      <c r="BK225" s="381"/>
      <c r="BL225" s="381"/>
      <c r="BM225" s="381"/>
      <c r="BN225" s="381"/>
      <c r="BO225" s="381"/>
      <c r="BP225" s="381"/>
      <c r="BQ225" s="381"/>
      <c r="BR225" s="381"/>
      <c r="BS225" s="381"/>
      <c r="BT225" s="381"/>
      <c r="BU225" s="381"/>
      <c r="BV225" s="381"/>
      <c r="BW225" s="381"/>
      <c r="BX225" s="381"/>
      <c r="BY225" s="381"/>
      <c r="BZ225" s="381"/>
      <c r="CA225" s="381"/>
      <c r="CB225" s="381"/>
      <c r="CC225" s="381"/>
      <c r="CD225" s="381"/>
      <c r="CE225" s="381"/>
      <c r="CF225" s="381"/>
      <c r="CG225" s="381"/>
      <c r="CH225" s="381"/>
      <c r="CI225" s="381"/>
      <c r="CJ225" s="381"/>
      <c r="CK225" s="381"/>
      <c r="CL225" s="381"/>
      <c r="CM225" s="381"/>
      <c r="CN225" s="381"/>
      <c r="CO225" s="381"/>
      <c r="CP225" s="381"/>
      <c r="CQ225" s="381"/>
      <c r="CR225" s="381"/>
      <c r="CS225" s="381"/>
      <c r="CT225" s="381"/>
      <c r="CU225" s="381"/>
      <c r="CV225" s="381"/>
      <c r="CW225" s="381"/>
      <c r="CX225" s="381"/>
      <c r="CY225" s="381"/>
      <c r="CZ225" s="381"/>
      <c r="DA225" s="381"/>
      <c r="DB225" s="381"/>
      <c r="DC225" s="381"/>
      <c r="DD225" s="381"/>
      <c r="DE225" s="381"/>
      <c r="DF225" s="118"/>
      <c r="DG225" s="115"/>
    </row>
    <row r="226" spans="1:111" ht="15" customHeight="1">
      <c r="B226" s="55"/>
      <c r="C226" s="422" t="str">
        <f>IF($AA$165&gt;=3,"DESPESA 3","")</f>
        <v>DESPESA 3</v>
      </c>
      <c r="D226" s="422"/>
      <c r="E226" s="422"/>
      <c r="F226" s="422"/>
      <c r="G226" s="422"/>
      <c r="H226" s="422"/>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141"/>
      <c r="AL226" s="141"/>
      <c r="AM226" s="141"/>
      <c r="AN226" s="141"/>
      <c r="AO226" s="140"/>
      <c r="AP226" s="140"/>
      <c r="AQ226" s="140"/>
      <c r="AR226" s="140"/>
      <c r="AS226" s="142"/>
      <c r="AT226" s="142"/>
      <c r="AU226" s="142"/>
      <c r="AV226" s="142"/>
      <c r="AW226" s="140"/>
      <c r="AX226" s="140"/>
      <c r="AY226" s="140"/>
      <c r="AZ226" s="140"/>
      <c r="BA226" s="140"/>
      <c r="BC226" s="115"/>
      <c r="BD226" s="115"/>
      <c r="BE226" s="116"/>
      <c r="BF226" s="96"/>
      <c r="BG226" s="96"/>
      <c r="BH226" s="381"/>
      <c r="BI226" s="381"/>
      <c r="BJ226" s="381"/>
      <c r="BK226" s="381"/>
      <c r="BL226" s="381"/>
      <c r="BM226" s="381"/>
      <c r="BN226" s="381"/>
      <c r="BO226" s="381"/>
      <c r="BP226" s="381"/>
      <c r="BQ226" s="381"/>
      <c r="BR226" s="381"/>
      <c r="BS226" s="381"/>
      <c r="BT226" s="381"/>
      <c r="BU226" s="381"/>
      <c r="BV226" s="381"/>
      <c r="BW226" s="381"/>
      <c r="BX226" s="381"/>
      <c r="BY226" s="381"/>
      <c r="BZ226" s="381"/>
      <c r="CA226" s="381"/>
      <c r="CB226" s="381"/>
      <c r="CC226" s="381"/>
      <c r="CD226" s="381"/>
      <c r="CE226" s="381"/>
      <c r="CF226" s="381"/>
      <c r="CG226" s="381"/>
      <c r="CH226" s="381"/>
      <c r="CI226" s="381"/>
      <c r="CJ226" s="381"/>
      <c r="CK226" s="381"/>
      <c r="CL226" s="381"/>
      <c r="CM226" s="381"/>
      <c r="CN226" s="381"/>
      <c r="CO226" s="381"/>
      <c r="CP226" s="381"/>
      <c r="CQ226" s="381"/>
      <c r="CR226" s="381"/>
      <c r="CS226" s="381"/>
      <c r="CT226" s="381"/>
      <c r="CU226" s="381"/>
      <c r="CV226" s="381"/>
      <c r="CW226" s="381"/>
      <c r="CX226" s="381"/>
      <c r="CY226" s="381"/>
      <c r="CZ226" s="381"/>
      <c r="DA226" s="381"/>
      <c r="DB226" s="381"/>
      <c r="DC226" s="381"/>
      <c r="DD226" s="381"/>
      <c r="DE226" s="381"/>
      <c r="DF226" s="118"/>
      <c r="DG226" s="115"/>
    </row>
    <row r="227" spans="1:111" ht="4.5" customHeight="1">
      <c r="BC227" s="115"/>
      <c r="BD227" s="115"/>
      <c r="BE227" s="116"/>
      <c r="BF227" s="117"/>
      <c r="BG227" s="117"/>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c r="DA227" s="96"/>
      <c r="DB227" s="96"/>
      <c r="DC227" s="96"/>
      <c r="DD227" s="96"/>
      <c r="DE227" s="96"/>
      <c r="DF227" s="118"/>
      <c r="DG227" s="115"/>
    </row>
    <row r="228" spans="1:111" ht="9" customHeight="1">
      <c r="C228" s="416" t="str">
        <f>IF(C226="","","Descrição da Despesa:")</f>
        <v>Descrição da Despesa:</v>
      </c>
      <c r="D228" s="416"/>
      <c r="E228" s="416"/>
      <c r="F228" s="416"/>
      <c r="G228" s="416"/>
      <c r="H228" s="416"/>
      <c r="I228" s="60"/>
      <c r="J228" s="421" t="s">
        <v>564</v>
      </c>
      <c r="K228" s="421"/>
      <c r="L228" s="421"/>
      <c r="M228" s="421"/>
      <c r="N228" s="421"/>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21"/>
      <c r="AN228" s="421"/>
      <c r="AO228" s="421"/>
      <c r="AP228" s="421"/>
      <c r="AQ228" s="421"/>
      <c r="AR228" s="421"/>
      <c r="AS228" s="421"/>
      <c r="AT228" s="421"/>
      <c r="AU228" s="421"/>
      <c r="AV228" s="421"/>
      <c r="AW228" s="421"/>
      <c r="AX228" s="421"/>
      <c r="AY228" s="421"/>
      <c r="AZ228" s="421"/>
      <c r="BA228" s="421"/>
      <c r="BC228" s="115"/>
      <c r="BD228" s="115"/>
      <c r="BE228" s="116"/>
      <c r="BF228" s="383" t="s">
        <v>316</v>
      </c>
      <c r="BG228" s="384"/>
      <c r="BH228" s="381" t="s">
        <v>334</v>
      </c>
      <c r="BI228" s="381"/>
      <c r="BJ228" s="381"/>
      <c r="BK228" s="381"/>
      <c r="BL228" s="381"/>
      <c r="BM228" s="381"/>
      <c r="BN228" s="381"/>
      <c r="BO228" s="381"/>
      <c r="BP228" s="381"/>
      <c r="BQ228" s="381"/>
      <c r="BR228" s="381"/>
      <c r="BS228" s="381"/>
      <c r="BT228" s="381"/>
      <c r="BU228" s="381"/>
      <c r="BV228" s="381"/>
      <c r="BW228" s="381"/>
      <c r="BX228" s="381"/>
      <c r="BY228" s="381"/>
      <c r="BZ228" s="381"/>
      <c r="CA228" s="381"/>
      <c r="CB228" s="381"/>
      <c r="CC228" s="381"/>
      <c r="CD228" s="381"/>
      <c r="CE228" s="381"/>
      <c r="CF228" s="381"/>
      <c r="CG228" s="381"/>
      <c r="CH228" s="381"/>
      <c r="CI228" s="381"/>
      <c r="CJ228" s="381"/>
      <c r="CK228" s="381"/>
      <c r="CL228" s="381"/>
      <c r="CM228" s="381"/>
      <c r="CN228" s="381"/>
      <c r="CO228" s="381"/>
      <c r="CP228" s="381"/>
      <c r="CQ228" s="381"/>
      <c r="CR228" s="381"/>
      <c r="CS228" s="381"/>
      <c r="CT228" s="381"/>
      <c r="CU228" s="381"/>
      <c r="CV228" s="381"/>
      <c r="CW228" s="381"/>
      <c r="CX228" s="381"/>
      <c r="CY228" s="381"/>
      <c r="CZ228" s="381"/>
      <c r="DA228" s="381"/>
      <c r="DB228" s="381"/>
      <c r="DC228" s="381"/>
      <c r="DD228" s="381"/>
      <c r="DE228" s="381"/>
      <c r="DF228" s="118"/>
      <c r="DG228" s="115"/>
    </row>
    <row r="229" spans="1:111" ht="9" customHeight="1">
      <c r="C229" s="416"/>
      <c r="D229" s="416"/>
      <c r="E229" s="416"/>
      <c r="F229" s="416"/>
      <c r="G229" s="416"/>
      <c r="H229" s="416"/>
      <c r="I229" s="60"/>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c r="AU229" s="421"/>
      <c r="AV229" s="421"/>
      <c r="AW229" s="421"/>
      <c r="AX229" s="421"/>
      <c r="AY229" s="421"/>
      <c r="AZ229" s="421"/>
      <c r="BA229" s="421"/>
      <c r="BC229" s="115"/>
      <c r="BD229" s="115"/>
      <c r="BE229" s="116"/>
      <c r="BF229" s="384"/>
      <c r="BG229" s="384"/>
      <c r="BH229" s="381"/>
      <c r="BI229" s="381"/>
      <c r="BJ229" s="381"/>
      <c r="BK229" s="381"/>
      <c r="BL229" s="381"/>
      <c r="BM229" s="381"/>
      <c r="BN229" s="381"/>
      <c r="BO229" s="381"/>
      <c r="BP229" s="381"/>
      <c r="BQ229" s="381"/>
      <c r="BR229" s="381"/>
      <c r="BS229" s="381"/>
      <c r="BT229" s="381"/>
      <c r="BU229" s="381"/>
      <c r="BV229" s="381"/>
      <c r="BW229" s="381"/>
      <c r="BX229" s="381"/>
      <c r="BY229" s="381"/>
      <c r="BZ229" s="381"/>
      <c r="CA229" s="381"/>
      <c r="CB229" s="381"/>
      <c r="CC229" s="381"/>
      <c r="CD229" s="381"/>
      <c r="CE229" s="381"/>
      <c r="CF229" s="381"/>
      <c r="CG229" s="381"/>
      <c r="CH229" s="381"/>
      <c r="CI229" s="381"/>
      <c r="CJ229" s="381"/>
      <c r="CK229" s="381"/>
      <c r="CL229" s="381"/>
      <c r="CM229" s="381"/>
      <c r="CN229" s="381"/>
      <c r="CO229" s="381"/>
      <c r="CP229" s="381"/>
      <c r="CQ229" s="381"/>
      <c r="CR229" s="381"/>
      <c r="CS229" s="381"/>
      <c r="CT229" s="381"/>
      <c r="CU229" s="381"/>
      <c r="CV229" s="381"/>
      <c r="CW229" s="381"/>
      <c r="CX229" s="381"/>
      <c r="CY229" s="381"/>
      <c r="CZ229" s="381"/>
      <c r="DA229" s="381"/>
      <c r="DB229" s="381"/>
      <c r="DC229" s="381"/>
      <c r="DD229" s="381"/>
      <c r="DE229" s="381"/>
      <c r="DF229" s="118"/>
      <c r="DG229" s="115"/>
    </row>
    <row r="230" spans="1:111" ht="9" customHeight="1">
      <c r="C230" s="416"/>
      <c r="D230" s="416"/>
      <c r="E230" s="416"/>
      <c r="F230" s="416"/>
      <c r="G230" s="416"/>
      <c r="H230" s="416"/>
      <c r="I230" s="60"/>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c r="AN230" s="421"/>
      <c r="AO230" s="421"/>
      <c r="AP230" s="421"/>
      <c r="AQ230" s="421"/>
      <c r="AR230" s="421"/>
      <c r="AS230" s="421"/>
      <c r="AT230" s="421"/>
      <c r="AU230" s="421"/>
      <c r="AV230" s="421"/>
      <c r="AW230" s="421"/>
      <c r="AX230" s="421"/>
      <c r="AY230" s="421"/>
      <c r="AZ230" s="421"/>
      <c r="BA230" s="421"/>
      <c r="BC230" s="115"/>
      <c r="BD230" s="115"/>
      <c r="BE230" s="116"/>
      <c r="BF230" s="117"/>
      <c r="BG230" s="117"/>
      <c r="BH230" s="381"/>
      <c r="BI230" s="381"/>
      <c r="BJ230" s="381"/>
      <c r="BK230" s="381"/>
      <c r="BL230" s="381"/>
      <c r="BM230" s="381"/>
      <c r="BN230" s="381"/>
      <c r="BO230" s="381"/>
      <c r="BP230" s="381"/>
      <c r="BQ230" s="381"/>
      <c r="BR230" s="381"/>
      <c r="BS230" s="381"/>
      <c r="BT230" s="381"/>
      <c r="BU230" s="381"/>
      <c r="BV230" s="381"/>
      <c r="BW230" s="381"/>
      <c r="BX230" s="381"/>
      <c r="BY230" s="381"/>
      <c r="BZ230" s="381"/>
      <c r="CA230" s="381"/>
      <c r="CB230" s="381"/>
      <c r="CC230" s="381"/>
      <c r="CD230" s="381"/>
      <c r="CE230" s="381"/>
      <c r="CF230" s="381"/>
      <c r="CG230" s="381"/>
      <c r="CH230" s="381"/>
      <c r="CI230" s="381"/>
      <c r="CJ230" s="381"/>
      <c r="CK230" s="381"/>
      <c r="CL230" s="381"/>
      <c r="CM230" s="381"/>
      <c r="CN230" s="381"/>
      <c r="CO230" s="381"/>
      <c r="CP230" s="381"/>
      <c r="CQ230" s="381"/>
      <c r="CR230" s="381"/>
      <c r="CS230" s="381"/>
      <c r="CT230" s="381"/>
      <c r="CU230" s="381"/>
      <c r="CV230" s="381"/>
      <c r="CW230" s="381"/>
      <c r="CX230" s="381"/>
      <c r="CY230" s="381"/>
      <c r="CZ230" s="381"/>
      <c r="DA230" s="381"/>
      <c r="DB230" s="381"/>
      <c r="DC230" s="381"/>
      <c r="DD230" s="381"/>
      <c r="DE230" s="381"/>
      <c r="DF230" s="118"/>
      <c r="DG230" s="115"/>
    </row>
    <row r="231" spans="1:111" ht="4.5" customHeight="1">
      <c r="BC231" s="115"/>
      <c r="BD231" s="115"/>
      <c r="BE231" s="116"/>
      <c r="BF231" s="117"/>
      <c r="BG231" s="117"/>
      <c r="BH231" s="381"/>
      <c r="BI231" s="381"/>
      <c r="BJ231" s="381"/>
      <c r="BK231" s="381"/>
      <c r="BL231" s="381"/>
      <c r="BM231" s="381"/>
      <c r="BN231" s="381"/>
      <c r="BO231" s="381"/>
      <c r="BP231" s="381"/>
      <c r="BQ231" s="381"/>
      <c r="BR231" s="381"/>
      <c r="BS231" s="381"/>
      <c r="BT231" s="381"/>
      <c r="BU231" s="381"/>
      <c r="BV231" s="381"/>
      <c r="BW231" s="381"/>
      <c r="BX231" s="381"/>
      <c r="BY231" s="381"/>
      <c r="BZ231" s="381"/>
      <c r="CA231" s="381"/>
      <c r="CB231" s="381"/>
      <c r="CC231" s="381"/>
      <c r="CD231" s="381"/>
      <c r="CE231" s="381"/>
      <c r="CF231" s="381"/>
      <c r="CG231" s="381"/>
      <c r="CH231" s="381"/>
      <c r="CI231" s="381"/>
      <c r="CJ231" s="381"/>
      <c r="CK231" s="381"/>
      <c r="CL231" s="381"/>
      <c r="CM231" s="381"/>
      <c r="CN231" s="381"/>
      <c r="CO231" s="381"/>
      <c r="CP231" s="381"/>
      <c r="CQ231" s="381"/>
      <c r="CR231" s="381"/>
      <c r="CS231" s="381"/>
      <c r="CT231" s="381"/>
      <c r="CU231" s="381"/>
      <c r="CV231" s="381"/>
      <c r="CW231" s="381"/>
      <c r="CX231" s="381"/>
      <c r="CY231" s="381"/>
      <c r="CZ231" s="381"/>
      <c r="DA231" s="381"/>
      <c r="DB231" s="381"/>
      <c r="DC231" s="381"/>
      <c r="DD231" s="381"/>
      <c r="DE231" s="381"/>
      <c r="DF231" s="118"/>
      <c r="DG231" s="115"/>
    </row>
    <row r="232" spans="1:111" ht="9" customHeight="1">
      <c r="C232" s="416" t="str">
        <f>IF(C226="","","Elemento de Despesa:")</f>
        <v>Elemento de Despesa:</v>
      </c>
      <c r="D232" s="416"/>
      <c r="E232" s="416"/>
      <c r="F232" s="416"/>
      <c r="G232" s="416"/>
      <c r="H232" s="416"/>
      <c r="J232" s="421" t="s">
        <v>216</v>
      </c>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c r="AP232" s="421"/>
      <c r="AQ232" s="421"/>
      <c r="AR232" s="421"/>
      <c r="AS232" s="421"/>
      <c r="AT232" s="421"/>
      <c r="AU232" s="421"/>
      <c r="AV232" s="421"/>
      <c r="AW232" s="421"/>
      <c r="AX232" s="421"/>
      <c r="AY232" s="421"/>
      <c r="AZ232" s="421"/>
      <c r="BA232" s="421"/>
      <c r="BC232" s="115"/>
      <c r="BD232" s="115"/>
      <c r="BE232" s="116"/>
      <c r="BF232" s="117"/>
      <c r="BG232" s="117"/>
      <c r="BH232" s="381"/>
      <c r="BI232" s="381"/>
      <c r="BJ232" s="381"/>
      <c r="BK232" s="381"/>
      <c r="BL232" s="381"/>
      <c r="BM232" s="381"/>
      <c r="BN232" s="381"/>
      <c r="BO232" s="381"/>
      <c r="BP232" s="381"/>
      <c r="BQ232" s="381"/>
      <c r="BR232" s="381"/>
      <c r="BS232" s="381"/>
      <c r="BT232" s="381"/>
      <c r="BU232" s="381"/>
      <c r="BV232" s="381"/>
      <c r="BW232" s="381"/>
      <c r="BX232" s="381"/>
      <c r="BY232" s="381"/>
      <c r="BZ232" s="381"/>
      <c r="CA232" s="381"/>
      <c r="CB232" s="381"/>
      <c r="CC232" s="381"/>
      <c r="CD232" s="381"/>
      <c r="CE232" s="381"/>
      <c r="CF232" s="381"/>
      <c r="CG232" s="381"/>
      <c r="CH232" s="381"/>
      <c r="CI232" s="381"/>
      <c r="CJ232" s="381"/>
      <c r="CK232" s="381"/>
      <c r="CL232" s="381"/>
      <c r="CM232" s="381"/>
      <c r="CN232" s="381"/>
      <c r="CO232" s="381"/>
      <c r="CP232" s="381"/>
      <c r="CQ232" s="381"/>
      <c r="CR232" s="381"/>
      <c r="CS232" s="381"/>
      <c r="CT232" s="381"/>
      <c r="CU232" s="381"/>
      <c r="CV232" s="381"/>
      <c r="CW232" s="381"/>
      <c r="CX232" s="381"/>
      <c r="CY232" s="381"/>
      <c r="CZ232" s="381"/>
      <c r="DA232" s="381"/>
      <c r="DB232" s="381"/>
      <c r="DC232" s="381"/>
      <c r="DD232" s="381"/>
      <c r="DE232" s="381"/>
      <c r="DF232" s="118"/>
      <c r="DG232" s="115"/>
    </row>
    <row r="233" spans="1:111" ht="9" customHeight="1">
      <c r="C233" s="416"/>
      <c r="D233" s="416"/>
      <c r="E233" s="416"/>
      <c r="F233" s="416"/>
      <c r="G233" s="416"/>
      <c r="H233" s="416"/>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c r="AF233" s="421"/>
      <c r="AG233" s="421"/>
      <c r="AH233" s="421"/>
      <c r="AI233" s="421"/>
      <c r="AJ233" s="421"/>
      <c r="AK233" s="421"/>
      <c r="AL233" s="421"/>
      <c r="AM233" s="421"/>
      <c r="AN233" s="421"/>
      <c r="AO233" s="421"/>
      <c r="AP233" s="421"/>
      <c r="AQ233" s="421"/>
      <c r="AR233" s="421"/>
      <c r="AS233" s="421"/>
      <c r="AT233" s="421"/>
      <c r="AU233" s="421"/>
      <c r="AV233" s="421"/>
      <c r="AW233" s="421"/>
      <c r="AX233" s="421"/>
      <c r="AY233" s="421"/>
      <c r="AZ233" s="421"/>
      <c r="BA233" s="421"/>
      <c r="BC233" s="115"/>
      <c r="BD233" s="115"/>
      <c r="BE233" s="116"/>
      <c r="BF233" s="96"/>
      <c r="BG233" s="96"/>
      <c r="BH233" s="96"/>
      <c r="BI233" s="96"/>
      <c r="BJ233" s="96"/>
      <c r="BK233" s="96"/>
      <c r="BL233" s="96"/>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6"/>
      <c r="CY233" s="96"/>
      <c r="CZ233" s="96"/>
      <c r="DA233" s="96"/>
      <c r="DB233" s="96"/>
      <c r="DC233" s="96"/>
      <c r="DD233" s="96"/>
      <c r="DE233" s="96"/>
      <c r="DF233" s="118"/>
      <c r="DG233" s="115"/>
    </row>
    <row r="234" spans="1:111" ht="9" customHeight="1">
      <c r="C234" s="416"/>
      <c r="D234" s="416"/>
      <c r="E234" s="416"/>
      <c r="F234" s="416"/>
      <c r="G234" s="416"/>
      <c r="H234" s="416"/>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c r="AU234" s="421"/>
      <c r="AV234" s="421"/>
      <c r="AW234" s="421"/>
      <c r="AX234" s="421"/>
      <c r="AY234" s="421"/>
      <c r="AZ234" s="421"/>
      <c r="BA234" s="421"/>
      <c r="BC234" s="115"/>
      <c r="BD234" s="115"/>
      <c r="BE234" s="116"/>
      <c r="BF234" s="383" t="s">
        <v>319</v>
      </c>
      <c r="BG234" s="384"/>
      <c r="BH234" s="381" t="s">
        <v>335</v>
      </c>
      <c r="BI234" s="381"/>
      <c r="BJ234" s="381"/>
      <c r="BK234" s="381"/>
      <c r="BL234" s="381"/>
      <c r="BM234" s="381"/>
      <c r="BN234" s="381"/>
      <c r="BO234" s="381"/>
      <c r="BP234" s="381"/>
      <c r="BQ234" s="381"/>
      <c r="BR234" s="381"/>
      <c r="BS234" s="381"/>
      <c r="BT234" s="381"/>
      <c r="BU234" s="381"/>
      <c r="BV234" s="381"/>
      <c r="BW234" s="381"/>
      <c r="BX234" s="381"/>
      <c r="BY234" s="381"/>
      <c r="BZ234" s="381"/>
      <c r="CA234" s="381"/>
      <c r="CB234" s="381"/>
      <c r="CC234" s="381"/>
      <c r="CD234" s="381"/>
      <c r="CE234" s="381"/>
      <c r="CF234" s="381"/>
      <c r="CG234" s="381"/>
      <c r="CH234" s="381"/>
      <c r="CI234" s="381"/>
      <c r="CJ234" s="381"/>
      <c r="CK234" s="381"/>
      <c r="CL234" s="381"/>
      <c r="CM234" s="381"/>
      <c r="CN234" s="381"/>
      <c r="CO234" s="381"/>
      <c r="CP234" s="381"/>
      <c r="CQ234" s="381"/>
      <c r="CR234" s="381"/>
      <c r="CS234" s="381"/>
      <c r="CT234" s="381"/>
      <c r="CU234" s="381"/>
      <c r="CV234" s="381"/>
      <c r="CW234" s="381"/>
      <c r="CX234" s="381"/>
      <c r="CY234" s="381"/>
      <c r="CZ234" s="381"/>
      <c r="DA234" s="381"/>
      <c r="DB234" s="381"/>
      <c r="DC234" s="381"/>
      <c r="DD234" s="381"/>
      <c r="DE234" s="381"/>
      <c r="DF234" s="118"/>
      <c r="DG234" s="115"/>
    </row>
    <row r="235" spans="1:111" ht="4.5" customHeight="1">
      <c r="BC235" s="115"/>
      <c r="BD235" s="115"/>
      <c r="BE235" s="116"/>
      <c r="BF235" s="384"/>
      <c r="BG235" s="384"/>
      <c r="BH235" s="381"/>
      <c r="BI235" s="381"/>
      <c r="BJ235" s="381"/>
      <c r="BK235" s="381"/>
      <c r="BL235" s="381"/>
      <c r="BM235" s="381"/>
      <c r="BN235" s="381"/>
      <c r="BO235" s="381"/>
      <c r="BP235" s="381"/>
      <c r="BQ235" s="381"/>
      <c r="BR235" s="381"/>
      <c r="BS235" s="381"/>
      <c r="BT235" s="381"/>
      <c r="BU235" s="381"/>
      <c r="BV235" s="381"/>
      <c r="BW235" s="381"/>
      <c r="BX235" s="381"/>
      <c r="BY235" s="381"/>
      <c r="BZ235" s="381"/>
      <c r="CA235" s="381"/>
      <c r="CB235" s="381"/>
      <c r="CC235" s="381"/>
      <c r="CD235" s="381"/>
      <c r="CE235" s="381"/>
      <c r="CF235" s="381"/>
      <c r="CG235" s="381"/>
      <c r="CH235" s="381"/>
      <c r="CI235" s="381"/>
      <c r="CJ235" s="381"/>
      <c r="CK235" s="381"/>
      <c r="CL235" s="381"/>
      <c r="CM235" s="381"/>
      <c r="CN235" s="381"/>
      <c r="CO235" s="381"/>
      <c r="CP235" s="381"/>
      <c r="CQ235" s="381"/>
      <c r="CR235" s="381"/>
      <c r="CS235" s="381"/>
      <c r="CT235" s="381"/>
      <c r="CU235" s="381"/>
      <c r="CV235" s="381"/>
      <c r="CW235" s="381"/>
      <c r="CX235" s="381"/>
      <c r="CY235" s="381"/>
      <c r="CZ235" s="381"/>
      <c r="DA235" s="381"/>
      <c r="DB235" s="381"/>
      <c r="DC235" s="381"/>
      <c r="DD235" s="381"/>
      <c r="DE235" s="381"/>
      <c r="DF235" s="118"/>
      <c r="DG235" s="115"/>
    </row>
    <row r="236" spans="1:111" ht="9" customHeight="1">
      <c r="A236" s="61" t="str">
        <f>CONCATENATE(Q236,AC236)</f>
        <v>13</v>
      </c>
      <c r="J236" s="416" t="str">
        <f>IF(C226="","","Meta Vinculada:")</f>
        <v>Meta Vinculada:</v>
      </c>
      <c r="K236" s="416"/>
      <c r="L236" s="416"/>
      <c r="M236" s="416"/>
      <c r="N236" s="416"/>
      <c r="O236" s="416"/>
      <c r="Q236" s="417">
        <v>1</v>
      </c>
      <c r="R236" s="417"/>
      <c r="S236" s="417"/>
      <c r="T236" s="417"/>
      <c r="U236" s="56"/>
      <c r="V236" s="416" t="str">
        <f>IF(C226="","","Etapa Vinculada:")</f>
        <v>Etapa Vinculada:</v>
      </c>
      <c r="W236" s="416"/>
      <c r="X236" s="416"/>
      <c r="Y236" s="416"/>
      <c r="Z236" s="416"/>
      <c r="AA236" s="416"/>
      <c r="AC236" s="417">
        <v>3</v>
      </c>
      <c r="AD236" s="417"/>
      <c r="AE236" s="417"/>
      <c r="AF236" s="417"/>
      <c r="AG236" s="56"/>
      <c r="AH236" s="56"/>
      <c r="AI236" s="56"/>
      <c r="AJ236" s="56"/>
      <c r="AK236" s="141"/>
      <c r="AL236" s="141"/>
      <c r="AM236" s="141"/>
      <c r="AN236" s="141"/>
      <c r="AO236" s="140"/>
      <c r="AP236" s="140"/>
      <c r="AQ236" s="140"/>
      <c r="AR236" s="140"/>
      <c r="AS236" s="142"/>
      <c r="AT236" s="142"/>
      <c r="AU236" s="142"/>
      <c r="AV236" s="142"/>
      <c r="AW236" s="140"/>
      <c r="AX236" s="140"/>
      <c r="AY236" s="140"/>
      <c r="AZ236" s="140"/>
      <c r="BA236" s="140"/>
      <c r="BC236" s="115"/>
      <c r="BD236" s="115"/>
      <c r="BE236" s="116"/>
      <c r="BF236" s="117"/>
      <c r="BG236" s="117"/>
      <c r="BH236" s="381"/>
      <c r="BI236" s="381"/>
      <c r="BJ236" s="381"/>
      <c r="BK236" s="381"/>
      <c r="BL236" s="381"/>
      <c r="BM236" s="381"/>
      <c r="BN236" s="381"/>
      <c r="BO236" s="381"/>
      <c r="BP236" s="381"/>
      <c r="BQ236" s="381"/>
      <c r="BR236" s="381"/>
      <c r="BS236" s="381"/>
      <c r="BT236" s="381"/>
      <c r="BU236" s="381"/>
      <c r="BV236" s="381"/>
      <c r="BW236" s="381"/>
      <c r="BX236" s="381"/>
      <c r="BY236" s="381"/>
      <c r="BZ236" s="381"/>
      <c r="CA236" s="381"/>
      <c r="CB236" s="381"/>
      <c r="CC236" s="381"/>
      <c r="CD236" s="381"/>
      <c r="CE236" s="381"/>
      <c r="CF236" s="381"/>
      <c r="CG236" s="381"/>
      <c r="CH236" s="381"/>
      <c r="CI236" s="381"/>
      <c r="CJ236" s="381"/>
      <c r="CK236" s="381"/>
      <c r="CL236" s="381"/>
      <c r="CM236" s="381"/>
      <c r="CN236" s="381"/>
      <c r="CO236" s="381"/>
      <c r="CP236" s="381"/>
      <c r="CQ236" s="381"/>
      <c r="CR236" s="381"/>
      <c r="CS236" s="381"/>
      <c r="CT236" s="381"/>
      <c r="CU236" s="381"/>
      <c r="CV236" s="381"/>
      <c r="CW236" s="381"/>
      <c r="CX236" s="381"/>
      <c r="CY236" s="381"/>
      <c r="CZ236" s="381"/>
      <c r="DA236" s="381"/>
      <c r="DB236" s="381"/>
      <c r="DC236" s="381"/>
      <c r="DD236" s="381"/>
      <c r="DE236" s="381"/>
      <c r="DF236" s="118"/>
      <c r="DG236" s="115"/>
    </row>
    <row r="237" spans="1:111" ht="9" customHeight="1">
      <c r="B237" s="55"/>
      <c r="C237" s="55"/>
      <c r="D237" s="56"/>
      <c r="E237" s="56"/>
      <c r="F237" s="56"/>
      <c r="G237" s="56"/>
      <c r="H237" s="56"/>
      <c r="I237" s="56"/>
      <c r="J237" s="416"/>
      <c r="K237" s="416"/>
      <c r="L237" s="416"/>
      <c r="M237" s="416"/>
      <c r="N237" s="416"/>
      <c r="O237" s="416"/>
      <c r="Q237" s="417"/>
      <c r="R237" s="417"/>
      <c r="S237" s="417"/>
      <c r="T237" s="417"/>
      <c r="U237" s="56"/>
      <c r="V237" s="416"/>
      <c r="W237" s="416"/>
      <c r="X237" s="416"/>
      <c r="Y237" s="416"/>
      <c r="Z237" s="416"/>
      <c r="AA237" s="416"/>
      <c r="AC237" s="417"/>
      <c r="AD237" s="417"/>
      <c r="AE237" s="417"/>
      <c r="AF237" s="417"/>
      <c r="AG237" s="56"/>
      <c r="AH237" s="56"/>
      <c r="AI237" s="56"/>
      <c r="AJ237" s="56"/>
      <c r="AK237" s="141"/>
      <c r="AL237" s="141"/>
      <c r="AM237" s="141"/>
      <c r="AN237" s="141"/>
      <c r="AO237" s="140"/>
      <c r="AP237" s="140"/>
      <c r="AQ237" s="140"/>
      <c r="AR237" s="140"/>
      <c r="AS237" s="142"/>
      <c r="AT237" s="142"/>
      <c r="AU237" s="142"/>
      <c r="AV237" s="142"/>
      <c r="AW237" s="140"/>
      <c r="AX237" s="140"/>
      <c r="AY237" s="140"/>
      <c r="AZ237" s="140"/>
      <c r="BA237" s="140"/>
      <c r="BC237" s="115"/>
      <c r="BD237" s="115"/>
      <c r="BE237" s="116"/>
      <c r="BF237" s="117"/>
      <c r="BG237" s="117"/>
      <c r="BH237" s="381"/>
      <c r="BI237" s="381"/>
      <c r="BJ237" s="381"/>
      <c r="BK237" s="381"/>
      <c r="BL237" s="381"/>
      <c r="BM237" s="381"/>
      <c r="BN237" s="381"/>
      <c r="BO237" s="381"/>
      <c r="BP237" s="381"/>
      <c r="BQ237" s="381"/>
      <c r="BR237" s="381"/>
      <c r="BS237" s="381"/>
      <c r="BT237" s="381"/>
      <c r="BU237" s="381"/>
      <c r="BV237" s="381"/>
      <c r="BW237" s="381"/>
      <c r="BX237" s="381"/>
      <c r="BY237" s="381"/>
      <c r="BZ237" s="381"/>
      <c r="CA237" s="381"/>
      <c r="CB237" s="381"/>
      <c r="CC237" s="381"/>
      <c r="CD237" s="381"/>
      <c r="CE237" s="381"/>
      <c r="CF237" s="381"/>
      <c r="CG237" s="381"/>
      <c r="CH237" s="381"/>
      <c r="CI237" s="381"/>
      <c r="CJ237" s="381"/>
      <c r="CK237" s="381"/>
      <c r="CL237" s="381"/>
      <c r="CM237" s="381"/>
      <c r="CN237" s="381"/>
      <c r="CO237" s="381"/>
      <c r="CP237" s="381"/>
      <c r="CQ237" s="381"/>
      <c r="CR237" s="381"/>
      <c r="CS237" s="381"/>
      <c r="CT237" s="381"/>
      <c r="CU237" s="381"/>
      <c r="CV237" s="381"/>
      <c r="CW237" s="381"/>
      <c r="CX237" s="381"/>
      <c r="CY237" s="381"/>
      <c r="CZ237" s="381"/>
      <c r="DA237" s="381"/>
      <c r="DB237" s="381"/>
      <c r="DC237" s="381"/>
      <c r="DD237" s="381"/>
      <c r="DE237" s="381"/>
      <c r="DF237" s="118"/>
      <c r="DG237" s="115"/>
    </row>
    <row r="238" spans="1:111" ht="9" customHeight="1">
      <c r="Q238" s="417"/>
      <c r="R238" s="417"/>
      <c r="S238" s="417"/>
      <c r="T238" s="417"/>
      <c r="AC238" s="417"/>
      <c r="AD238" s="417"/>
      <c r="AE238" s="417"/>
      <c r="AF238" s="417"/>
      <c r="BC238" s="115"/>
      <c r="BD238" s="115"/>
      <c r="BE238" s="119"/>
      <c r="BF238" s="120"/>
      <c r="BG238" s="120"/>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121"/>
      <c r="DG238" s="115"/>
    </row>
    <row r="239" spans="1:111" ht="4.5" customHeight="1">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row>
    <row r="240" spans="1:111" ht="9" customHeight="1">
      <c r="A240" s="154"/>
      <c r="B240" s="154"/>
      <c r="C240" s="154"/>
      <c r="D240" s="154"/>
      <c r="E240" s="154"/>
      <c r="F240" s="154"/>
      <c r="G240" s="154"/>
      <c r="H240" s="154"/>
      <c r="I240" s="154"/>
      <c r="J240" s="416" t="str">
        <f>IF(C226="","","Quantidade:")</f>
        <v>Quantidade:</v>
      </c>
      <c r="K240" s="416"/>
      <c r="L240" s="416"/>
      <c r="M240" s="416"/>
      <c r="N240" s="416"/>
      <c r="O240" s="416"/>
      <c r="P240" s="154"/>
      <c r="Q240" s="417">
        <v>54</v>
      </c>
      <c r="R240" s="417"/>
      <c r="S240" s="417"/>
      <c r="T240" s="417"/>
      <c r="U240" s="154"/>
      <c r="V240" s="416" t="str">
        <f>IF(C226="","","Unidade:")</f>
        <v>Unidade:</v>
      </c>
      <c r="W240" s="416"/>
      <c r="X240" s="416"/>
      <c r="Y240" s="416"/>
      <c r="Z240" s="416"/>
      <c r="AA240" s="416"/>
      <c r="AB240" s="154"/>
      <c r="AC240" s="418" t="s">
        <v>569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8"/>
      <c r="AY240" s="418"/>
      <c r="AZ240" s="418"/>
      <c r="BA240" s="418"/>
      <c r="BB240" s="154"/>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row>
    <row r="241" spans="1:111" ht="9" customHeight="1">
      <c r="A241" s="154"/>
      <c r="B241" s="154"/>
      <c r="C241" s="154"/>
      <c r="D241" s="154"/>
      <c r="E241" s="154"/>
      <c r="F241" s="154"/>
      <c r="G241" s="154"/>
      <c r="H241" s="154"/>
      <c r="I241" s="154"/>
      <c r="J241" s="416"/>
      <c r="K241" s="416"/>
      <c r="L241" s="416"/>
      <c r="M241" s="416"/>
      <c r="N241" s="416"/>
      <c r="O241" s="416"/>
      <c r="P241" s="154"/>
      <c r="Q241" s="417"/>
      <c r="R241" s="417"/>
      <c r="S241" s="417"/>
      <c r="T241" s="417"/>
      <c r="U241" s="154"/>
      <c r="V241" s="416"/>
      <c r="W241" s="416"/>
      <c r="X241" s="416"/>
      <c r="Y241" s="416"/>
      <c r="Z241" s="416"/>
      <c r="AA241" s="416"/>
      <c r="AB241" s="154"/>
      <c r="AC241" s="418"/>
      <c r="AD241" s="418"/>
      <c r="AE241" s="418"/>
      <c r="AF241" s="418"/>
      <c r="AG241" s="418"/>
      <c r="AH241" s="418"/>
      <c r="AI241" s="418"/>
      <c r="AJ241" s="418"/>
      <c r="AK241" s="418"/>
      <c r="AL241" s="418"/>
      <c r="AM241" s="418"/>
      <c r="AN241" s="418"/>
      <c r="AO241" s="418"/>
      <c r="AP241" s="418"/>
      <c r="AQ241" s="418"/>
      <c r="AR241" s="418"/>
      <c r="AS241" s="418"/>
      <c r="AT241" s="418"/>
      <c r="AU241" s="418"/>
      <c r="AV241" s="418"/>
      <c r="AW241" s="418"/>
      <c r="AX241" s="418"/>
      <c r="AY241" s="418"/>
      <c r="AZ241" s="418"/>
      <c r="BA241" s="418"/>
      <c r="BB241" s="154"/>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row>
    <row r="242" spans="1:111" ht="9" customHeight="1">
      <c r="A242" s="154"/>
      <c r="B242" s="154"/>
      <c r="C242" s="154"/>
      <c r="D242" s="154"/>
      <c r="E242" s="154"/>
      <c r="F242" s="154"/>
      <c r="G242" s="154"/>
      <c r="H242" s="154"/>
      <c r="I242" s="154"/>
      <c r="J242" s="154"/>
      <c r="K242" s="154"/>
      <c r="L242" s="154"/>
      <c r="M242" s="154"/>
      <c r="N242" s="154"/>
      <c r="O242" s="154"/>
      <c r="P242" s="154"/>
      <c r="Q242" s="417"/>
      <c r="R242" s="417"/>
      <c r="S242" s="417"/>
      <c r="T242" s="417"/>
      <c r="U242" s="154"/>
      <c r="V242" s="154"/>
      <c r="W242" s="154"/>
      <c r="X242" s="154"/>
      <c r="Y242" s="154"/>
      <c r="Z242" s="154"/>
      <c r="AA242" s="154"/>
      <c r="AB242" s="154"/>
      <c r="AC242" s="418"/>
      <c r="AD242" s="418"/>
      <c r="AE242" s="418"/>
      <c r="AF242" s="418"/>
      <c r="AG242" s="418"/>
      <c r="AH242" s="418"/>
      <c r="AI242" s="418"/>
      <c r="AJ242" s="418"/>
      <c r="AK242" s="418"/>
      <c r="AL242" s="418"/>
      <c r="AM242" s="418"/>
      <c r="AN242" s="418"/>
      <c r="AO242" s="418"/>
      <c r="AP242" s="418"/>
      <c r="AQ242" s="418"/>
      <c r="AR242" s="418"/>
      <c r="AS242" s="418"/>
      <c r="AT242" s="418"/>
      <c r="AU242" s="418"/>
      <c r="AV242" s="418"/>
      <c r="AW242" s="418"/>
      <c r="AX242" s="418"/>
      <c r="AY242" s="418"/>
      <c r="AZ242" s="418"/>
      <c r="BA242" s="418"/>
      <c r="BB242" s="154"/>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row>
    <row r="243" spans="1:111" ht="4.5" customHeight="1">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row>
    <row r="244" spans="1:111" ht="9" customHeight="1">
      <c r="A244" s="154"/>
      <c r="B244" s="154"/>
      <c r="C244" s="154"/>
      <c r="D244" s="154"/>
      <c r="E244" s="154"/>
      <c r="F244" s="154"/>
      <c r="G244" s="154"/>
      <c r="H244" s="154"/>
      <c r="I244" s="154"/>
      <c r="J244" s="416" t="str">
        <f>IF(C226="","","Valor Unitário (R$):")</f>
        <v>Valor Unitário (R$):</v>
      </c>
      <c r="K244" s="416"/>
      <c r="L244" s="416"/>
      <c r="M244" s="416"/>
      <c r="N244" s="416"/>
      <c r="O244" s="416"/>
      <c r="P244" s="154"/>
      <c r="Q244" s="419">
        <v>685</v>
      </c>
      <c r="R244" s="419"/>
      <c r="S244" s="419"/>
      <c r="T244" s="419"/>
      <c r="U244" s="419"/>
      <c r="V244" s="419"/>
      <c r="W244" s="419"/>
      <c r="X244" s="419"/>
      <c r="Y244" s="154"/>
      <c r="Z244" s="416" t="str">
        <f>IF(C226="","",IF(J232="52 Equipamentos e Material Permanente","Tempo de Uso:",""))</f>
        <v/>
      </c>
      <c r="AA244" s="416"/>
      <c r="AB244" s="416"/>
      <c r="AC244" s="416"/>
      <c r="AD244" s="416"/>
      <c r="AE244" s="416"/>
      <c r="AF244" s="154"/>
      <c r="AG244" s="420"/>
      <c r="AH244" s="420"/>
      <c r="AI244" s="420"/>
      <c r="AJ244" s="420"/>
      <c r="AK244" s="420"/>
      <c r="AL244" s="420"/>
      <c r="AM244" s="420"/>
      <c r="AN244" s="420"/>
      <c r="AO244" s="420"/>
      <c r="AP244" s="420"/>
      <c r="AQ244" s="420"/>
      <c r="AR244" s="420"/>
      <c r="AS244" s="420"/>
      <c r="AT244" s="420"/>
      <c r="AU244" s="420"/>
      <c r="AV244" s="420"/>
      <c r="AW244" s="420"/>
      <c r="AX244" s="420"/>
      <c r="AY244" s="420"/>
      <c r="AZ244" s="420"/>
      <c r="BA244" s="420"/>
      <c r="BB244" s="154"/>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row>
    <row r="245" spans="1:111" ht="9" customHeight="1">
      <c r="A245" s="154"/>
      <c r="B245" s="154"/>
      <c r="C245" s="154"/>
      <c r="D245" s="154"/>
      <c r="E245" s="154"/>
      <c r="F245" s="154"/>
      <c r="G245" s="154"/>
      <c r="H245" s="154"/>
      <c r="I245" s="154"/>
      <c r="J245" s="416"/>
      <c r="K245" s="416"/>
      <c r="L245" s="416"/>
      <c r="M245" s="416"/>
      <c r="N245" s="416"/>
      <c r="O245" s="416"/>
      <c r="P245" s="154"/>
      <c r="Q245" s="419"/>
      <c r="R245" s="419"/>
      <c r="S245" s="419"/>
      <c r="T245" s="419"/>
      <c r="U245" s="419"/>
      <c r="V245" s="419"/>
      <c r="W245" s="419"/>
      <c r="X245" s="419"/>
      <c r="Y245" s="154"/>
      <c r="Z245" s="416"/>
      <c r="AA245" s="416"/>
      <c r="AB245" s="416"/>
      <c r="AC245" s="416"/>
      <c r="AD245" s="416"/>
      <c r="AE245" s="416"/>
      <c r="AF245" s="154"/>
      <c r="AG245" s="420"/>
      <c r="AH245" s="420"/>
      <c r="AI245" s="420"/>
      <c r="AJ245" s="420"/>
      <c r="AK245" s="420"/>
      <c r="AL245" s="420"/>
      <c r="AM245" s="420"/>
      <c r="AN245" s="420"/>
      <c r="AO245" s="420"/>
      <c r="AP245" s="420"/>
      <c r="AQ245" s="420"/>
      <c r="AR245" s="420"/>
      <c r="AS245" s="420"/>
      <c r="AT245" s="420"/>
      <c r="AU245" s="420"/>
      <c r="AV245" s="420"/>
      <c r="AW245" s="420"/>
      <c r="AX245" s="420"/>
      <c r="AY245" s="420"/>
      <c r="AZ245" s="420"/>
      <c r="BA245" s="420"/>
      <c r="BB245" s="154"/>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row>
    <row r="246" spans="1:111" ht="9" customHeight="1">
      <c r="A246" s="154"/>
      <c r="B246" s="154"/>
      <c r="C246" s="154"/>
      <c r="D246" s="154"/>
      <c r="E246" s="154"/>
      <c r="F246" s="154"/>
      <c r="G246" s="154"/>
      <c r="H246" s="154"/>
      <c r="I246" s="154"/>
      <c r="J246" s="154"/>
      <c r="K246" s="154"/>
      <c r="L246" s="154"/>
      <c r="M246" s="154"/>
      <c r="N246" s="154"/>
      <c r="O246" s="154"/>
      <c r="P246" s="154"/>
      <c r="Q246" s="419"/>
      <c r="R246" s="419"/>
      <c r="S246" s="419"/>
      <c r="T246" s="419"/>
      <c r="U246" s="419"/>
      <c r="V246" s="419"/>
      <c r="W246" s="419"/>
      <c r="X246" s="419"/>
      <c r="Y246" s="154"/>
      <c r="Z246" s="154"/>
      <c r="AA246" s="154"/>
      <c r="AB246" s="154"/>
      <c r="AC246" s="154"/>
      <c r="AD246" s="154"/>
      <c r="AE246" s="154"/>
      <c r="AF246" s="154"/>
      <c r="AG246" s="420"/>
      <c r="AH246" s="420"/>
      <c r="AI246" s="420"/>
      <c r="AJ246" s="420"/>
      <c r="AK246" s="420"/>
      <c r="AL246" s="420"/>
      <c r="AM246" s="420"/>
      <c r="AN246" s="420"/>
      <c r="AO246" s="420"/>
      <c r="AP246" s="420"/>
      <c r="AQ246" s="420"/>
      <c r="AR246" s="420"/>
      <c r="AS246" s="420"/>
      <c r="AT246" s="420"/>
      <c r="AU246" s="420"/>
      <c r="AV246" s="420"/>
      <c r="AW246" s="420"/>
      <c r="AX246" s="420"/>
      <c r="AY246" s="420"/>
      <c r="AZ246" s="420"/>
      <c r="BA246" s="420"/>
      <c r="BB246" s="154"/>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row>
    <row r="247" spans="1:111" ht="4.5" customHeight="1">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row>
    <row r="248" spans="1:111" ht="9" customHeight="1">
      <c r="A248" s="154"/>
      <c r="B248" s="154"/>
      <c r="C248" s="154"/>
      <c r="D248" s="154"/>
      <c r="E248" s="154"/>
      <c r="F248" s="154"/>
      <c r="G248" s="154"/>
      <c r="H248" s="154"/>
      <c r="I248" s="154"/>
      <c r="J248" s="416" t="str">
        <f>IF(C226="","","Valor Total (R$):")</f>
        <v>Valor Total (R$):</v>
      </c>
      <c r="K248" s="416"/>
      <c r="L248" s="416"/>
      <c r="M248" s="416"/>
      <c r="N248" s="416"/>
      <c r="O248" s="416"/>
      <c r="P248" s="154"/>
      <c r="Q248" s="419">
        <f>IF(Q244="","",Q240*Q244)</f>
        <v>36990</v>
      </c>
      <c r="R248" s="419"/>
      <c r="S248" s="419"/>
      <c r="T248" s="419"/>
      <c r="U248" s="419"/>
      <c r="V248" s="419"/>
      <c r="W248" s="419"/>
      <c r="X248" s="419"/>
      <c r="Y248" s="154"/>
      <c r="Z248" s="416" t="str">
        <f>IF(C226="","",IF(J232="52 Equipamentos e Material Permanente","Justificativa e Utilização:",""))</f>
        <v/>
      </c>
      <c r="AA248" s="416"/>
      <c r="AB248" s="416"/>
      <c r="AC248" s="416"/>
      <c r="AD248" s="416"/>
      <c r="AE248" s="416"/>
      <c r="AF248" s="154"/>
      <c r="AG248" s="420"/>
      <c r="AH248" s="420"/>
      <c r="AI248" s="420"/>
      <c r="AJ248" s="420"/>
      <c r="AK248" s="420"/>
      <c r="AL248" s="420"/>
      <c r="AM248" s="420"/>
      <c r="AN248" s="420"/>
      <c r="AO248" s="420"/>
      <c r="AP248" s="420"/>
      <c r="AQ248" s="420"/>
      <c r="AR248" s="420"/>
      <c r="AS248" s="420"/>
      <c r="AT248" s="420"/>
      <c r="AU248" s="420"/>
      <c r="AV248" s="420"/>
      <c r="AW248" s="420"/>
      <c r="AX248" s="420"/>
      <c r="AY248" s="420"/>
      <c r="AZ248" s="420"/>
      <c r="BA248" s="420"/>
      <c r="BB248" s="154"/>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row>
    <row r="249" spans="1:111" ht="9" customHeight="1">
      <c r="A249" s="154"/>
      <c r="B249" s="154"/>
      <c r="C249" s="154"/>
      <c r="D249" s="154"/>
      <c r="E249" s="154"/>
      <c r="F249" s="154"/>
      <c r="G249" s="154"/>
      <c r="H249" s="154"/>
      <c r="I249" s="154"/>
      <c r="J249" s="416"/>
      <c r="K249" s="416"/>
      <c r="L249" s="416"/>
      <c r="M249" s="416"/>
      <c r="N249" s="416"/>
      <c r="O249" s="416"/>
      <c r="P249" s="154"/>
      <c r="Q249" s="419"/>
      <c r="R249" s="419"/>
      <c r="S249" s="419"/>
      <c r="T249" s="419"/>
      <c r="U249" s="419"/>
      <c r="V249" s="419"/>
      <c r="W249" s="419"/>
      <c r="X249" s="419"/>
      <c r="Y249" s="154"/>
      <c r="Z249" s="416"/>
      <c r="AA249" s="416"/>
      <c r="AB249" s="416"/>
      <c r="AC249" s="416"/>
      <c r="AD249" s="416"/>
      <c r="AE249" s="416"/>
      <c r="AF249" s="154"/>
      <c r="AG249" s="420"/>
      <c r="AH249" s="420"/>
      <c r="AI249" s="420"/>
      <c r="AJ249" s="420"/>
      <c r="AK249" s="420"/>
      <c r="AL249" s="420"/>
      <c r="AM249" s="420"/>
      <c r="AN249" s="420"/>
      <c r="AO249" s="420"/>
      <c r="AP249" s="420"/>
      <c r="AQ249" s="420"/>
      <c r="AR249" s="420"/>
      <c r="AS249" s="420"/>
      <c r="AT249" s="420"/>
      <c r="AU249" s="420"/>
      <c r="AV249" s="420"/>
      <c r="AW249" s="420"/>
      <c r="AX249" s="420"/>
      <c r="AY249" s="420"/>
      <c r="AZ249" s="420"/>
      <c r="BA249" s="420"/>
      <c r="BB249" s="154"/>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row>
    <row r="250" spans="1:111" ht="9" customHeight="1">
      <c r="A250" s="154"/>
      <c r="B250" s="154"/>
      <c r="C250" s="154"/>
      <c r="D250" s="154"/>
      <c r="E250" s="154"/>
      <c r="F250" s="154"/>
      <c r="G250" s="154"/>
      <c r="H250" s="154"/>
      <c r="I250" s="154"/>
      <c r="J250" s="154"/>
      <c r="K250" s="154"/>
      <c r="L250" s="154"/>
      <c r="M250" s="154"/>
      <c r="N250" s="154"/>
      <c r="O250" s="154"/>
      <c r="P250" s="154"/>
      <c r="Q250" s="419"/>
      <c r="R250" s="419"/>
      <c r="S250" s="419"/>
      <c r="T250" s="419"/>
      <c r="U250" s="419"/>
      <c r="V250" s="419"/>
      <c r="W250" s="419"/>
      <c r="X250" s="419"/>
      <c r="Y250" s="154"/>
      <c r="Z250" s="154"/>
      <c r="AA250" s="154"/>
      <c r="AB250" s="154"/>
      <c r="AC250" s="154"/>
      <c r="AD250" s="154"/>
      <c r="AE250" s="154"/>
      <c r="AF250" s="154"/>
      <c r="AG250" s="420"/>
      <c r="AH250" s="420"/>
      <c r="AI250" s="420"/>
      <c r="AJ250" s="420"/>
      <c r="AK250" s="420"/>
      <c r="AL250" s="420"/>
      <c r="AM250" s="420"/>
      <c r="AN250" s="420"/>
      <c r="AO250" s="420"/>
      <c r="AP250" s="420"/>
      <c r="AQ250" s="420"/>
      <c r="AR250" s="420"/>
      <c r="AS250" s="420"/>
      <c r="AT250" s="420"/>
      <c r="AU250" s="420"/>
      <c r="AV250" s="420"/>
      <c r="AW250" s="420"/>
      <c r="AX250" s="420"/>
      <c r="AY250" s="420"/>
      <c r="AZ250" s="420"/>
      <c r="BA250" s="420"/>
      <c r="BB250" s="154"/>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row>
    <row r="251" spans="1:111" ht="9" customHeight="1">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420"/>
      <c r="AH251" s="420"/>
      <c r="AI251" s="420"/>
      <c r="AJ251" s="420"/>
      <c r="AK251" s="420"/>
      <c r="AL251" s="420"/>
      <c r="AM251" s="420"/>
      <c r="AN251" s="420"/>
      <c r="AO251" s="420"/>
      <c r="AP251" s="420"/>
      <c r="AQ251" s="420"/>
      <c r="AR251" s="420"/>
      <c r="AS251" s="420"/>
      <c r="AT251" s="420"/>
      <c r="AU251" s="420"/>
      <c r="AV251" s="420"/>
      <c r="AW251" s="420"/>
      <c r="AX251" s="420"/>
      <c r="AY251" s="420"/>
      <c r="AZ251" s="420"/>
      <c r="BA251" s="420"/>
      <c r="BB251" s="154"/>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row>
    <row r="252" spans="1:111" ht="9" customHeight="1">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420"/>
      <c r="AH252" s="420"/>
      <c r="AI252" s="420"/>
      <c r="AJ252" s="420"/>
      <c r="AK252" s="420"/>
      <c r="AL252" s="420"/>
      <c r="AM252" s="420"/>
      <c r="AN252" s="420"/>
      <c r="AO252" s="420"/>
      <c r="AP252" s="420"/>
      <c r="AQ252" s="420"/>
      <c r="AR252" s="420"/>
      <c r="AS252" s="420"/>
      <c r="AT252" s="420"/>
      <c r="AU252" s="420"/>
      <c r="AV252" s="420"/>
      <c r="AW252" s="420"/>
      <c r="AX252" s="420"/>
      <c r="AY252" s="420"/>
      <c r="AZ252" s="420"/>
      <c r="BA252" s="420"/>
      <c r="BB252" s="154"/>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row>
    <row r="253" spans="1:111" ht="9" customHeight="1">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420"/>
      <c r="AH253" s="420"/>
      <c r="AI253" s="420"/>
      <c r="AJ253" s="420"/>
      <c r="AK253" s="420"/>
      <c r="AL253" s="420"/>
      <c r="AM253" s="420"/>
      <c r="AN253" s="420"/>
      <c r="AO253" s="420"/>
      <c r="AP253" s="420"/>
      <c r="AQ253" s="420"/>
      <c r="AR253" s="420"/>
      <c r="AS253" s="420"/>
      <c r="AT253" s="420"/>
      <c r="AU253" s="420"/>
      <c r="AV253" s="420"/>
      <c r="AW253" s="420"/>
      <c r="AX253" s="420"/>
      <c r="AY253" s="420"/>
      <c r="AZ253" s="420"/>
      <c r="BA253" s="420"/>
      <c r="BB253" s="154"/>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row>
    <row r="254" spans="1:111" ht="15" customHeight="1">
      <c r="B254" s="55"/>
      <c r="C254" s="55"/>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141"/>
      <c r="AL254" s="141"/>
      <c r="AM254" s="141"/>
      <c r="AN254" s="141"/>
      <c r="AO254" s="140"/>
      <c r="AP254" s="140"/>
      <c r="AQ254" s="140"/>
      <c r="AR254" s="140"/>
      <c r="AS254" s="142"/>
      <c r="AT254" s="142"/>
      <c r="AU254" s="142"/>
      <c r="AV254" s="142"/>
      <c r="AW254" s="140"/>
      <c r="AX254" s="140"/>
      <c r="AY254" s="140"/>
      <c r="AZ254" s="140"/>
      <c r="BA254" s="140"/>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row>
    <row r="255" spans="1:111" ht="15" customHeight="1">
      <c r="B255" s="55"/>
      <c r="C255" s="422" t="str">
        <f>IF($AA$165&gt;=4,"DESPESA 4","")</f>
        <v>DESPESA 4</v>
      </c>
      <c r="D255" s="422"/>
      <c r="E255" s="422"/>
      <c r="F255" s="422"/>
      <c r="G255" s="422"/>
      <c r="H255" s="422"/>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141"/>
      <c r="AL255" s="141"/>
      <c r="AM255" s="141"/>
      <c r="AN255" s="141"/>
      <c r="AO255" s="140"/>
      <c r="AP255" s="140"/>
      <c r="AQ255" s="140"/>
      <c r="AR255" s="140"/>
      <c r="AS255" s="142"/>
      <c r="AT255" s="142"/>
      <c r="AU255" s="142"/>
      <c r="AV255" s="142"/>
      <c r="AW255" s="140"/>
      <c r="AX255" s="140"/>
      <c r="AY255" s="140"/>
      <c r="AZ255" s="140"/>
      <c r="BA255" s="140"/>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row>
    <row r="256" spans="1:111" ht="4.5" customHeight="1">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row>
    <row r="257" spans="1:111" ht="9" customHeight="1">
      <c r="C257" s="416" t="str">
        <f>IF(C255="","","Descrição da Despesa:")</f>
        <v>Descrição da Despesa:</v>
      </c>
      <c r="D257" s="416"/>
      <c r="E257" s="416"/>
      <c r="F257" s="416"/>
      <c r="G257" s="416"/>
      <c r="H257" s="416"/>
      <c r="I257" s="60"/>
      <c r="J257" s="421" t="s">
        <v>565</v>
      </c>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c r="AU257" s="421"/>
      <c r="AV257" s="421"/>
      <c r="AW257" s="421"/>
      <c r="AX257" s="421"/>
      <c r="AY257" s="421"/>
      <c r="AZ257" s="421"/>
      <c r="BA257" s="421"/>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row>
    <row r="258" spans="1:111" ht="9" customHeight="1">
      <c r="C258" s="416"/>
      <c r="D258" s="416"/>
      <c r="E258" s="416"/>
      <c r="F258" s="416"/>
      <c r="G258" s="416"/>
      <c r="H258" s="416"/>
      <c r="I258" s="60"/>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c r="AP258" s="421"/>
      <c r="AQ258" s="421"/>
      <c r="AR258" s="421"/>
      <c r="AS258" s="421"/>
      <c r="AT258" s="421"/>
      <c r="AU258" s="421"/>
      <c r="AV258" s="421"/>
      <c r="AW258" s="421"/>
      <c r="AX258" s="421"/>
      <c r="AY258" s="421"/>
      <c r="AZ258" s="421"/>
      <c r="BA258" s="421"/>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row>
    <row r="259" spans="1:111" ht="9" customHeight="1">
      <c r="C259" s="416"/>
      <c r="D259" s="416"/>
      <c r="E259" s="416"/>
      <c r="F259" s="416"/>
      <c r="G259" s="416"/>
      <c r="H259" s="416"/>
      <c r="I259" s="60"/>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row>
    <row r="260" spans="1:111" ht="4.5" customHeight="1">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row>
    <row r="261" spans="1:111" ht="9" customHeight="1">
      <c r="C261" s="416" t="str">
        <f>IF(C255="","","Elemento de Despesa:")</f>
        <v>Elemento de Despesa:</v>
      </c>
      <c r="D261" s="416"/>
      <c r="E261" s="416"/>
      <c r="F261" s="416"/>
      <c r="G261" s="416"/>
      <c r="H261" s="416"/>
      <c r="J261" s="421" t="s">
        <v>216</v>
      </c>
      <c r="K261" s="421"/>
      <c r="L261" s="421"/>
      <c r="M261" s="421"/>
      <c r="N261" s="421"/>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c r="AK261" s="421"/>
      <c r="AL261" s="421"/>
      <c r="AM261" s="421"/>
      <c r="AN261" s="421"/>
      <c r="AO261" s="421"/>
      <c r="AP261" s="421"/>
      <c r="AQ261" s="421"/>
      <c r="AR261" s="421"/>
      <c r="AS261" s="421"/>
      <c r="AT261" s="421"/>
      <c r="AU261" s="421"/>
      <c r="AV261" s="421"/>
      <c r="AW261" s="421"/>
      <c r="AX261" s="421"/>
      <c r="AY261" s="421"/>
      <c r="AZ261" s="421"/>
      <c r="BA261" s="421"/>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row>
    <row r="262" spans="1:111" ht="9" customHeight="1">
      <c r="C262" s="416"/>
      <c r="D262" s="416"/>
      <c r="E262" s="416"/>
      <c r="F262" s="416"/>
      <c r="G262" s="416"/>
      <c r="H262" s="416"/>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c r="AP262" s="421"/>
      <c r="AQ262" s="421"/>
      <c r="AR262" s="421"/>
      <c r="AS262" s="421"/>
      <c r="AT262" s="421"/>
      <c r="AU262" s="421"/>
      <c r="AV262" s="421"/>
      <c r="AW262" s="421"/>
      <c r="AX262" s="421"/>
      <c r="AY262" s="421"/>
      <c r="AZ262" s="421"/>
      <c r="BA262" s="421"/>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row>
    <row r="263" spans="1:111" ht="9" customHeight="1">
      <c r="C263" s="416"/>
      <c r="D263" s="416"/>
      <c r="E263" s="416"/>
      <c r="F263" s="416"/>
      <c r="G263" s="416"/>
      <c r="H263" s="416"/>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c r="AU263" s="421"/>
      <c r="AV263" s="421"/>
      <c r="AW263" s="421"/>
      <c r="AX263" s="421"/>
      <c r="AY263" s="421"/>
      <c r="AZ263" s="421"/>
      <c r="BA263" s="421"/>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row>
    <row r="264" spans="1:111" ht="4.5" customHeight="1">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row>
    <row r="265" spans="1:111" ht="9" customHeight="1">
      <c r="A265" s="61" t="str">
        <f>CONCATENATE(Q265,AC265)</f>
        <v>14</v>
      </c>
      <c r="J265" s="416" t="str">
        <f>IF(C255="","","Meta Vinculada:")</f>
        <v>Meta Vinculada:</v>
      </c>
      <c r="K265" s="416"/>
      <c r="L265" s="416"/>
      <c r="M265" s="416"/>
      <c r="N265" s="416"/>
      <c r="O265" s="416"/>
      <c r="Q265" s="417">
        <v>1</v>
      </c>
      <c r="R265" s="417"/>
      <c r="S265" s="417"/>
      <c r="T265" s="417"/>
      <c r="U265" s="56"/>
      <c r="V265" s="416" t="str">
        <f>IF(C255="","","Etapa Vinculada:")</f>
        <v>Etapa Vinculada:</v>
      </c>
      <c r="W265" s="416"/>
      <c r="X265" s="416"/>
      <c r="Y265" s="416"/>
      <c r="Z265" s="416"/>
      <c r="AA265" s="416"/>
      <c r="AC265" s="417">
        <v>4</v>
      </c>
      <c r="AD265" s="417"/>
      <c r="AE265" s="417"/>
      <c r="AF265" s="417"/>
      <c r="AG265" s="56"/>
      <c r="AH265" s="56"/>
      <c r="AI265" s="56"/>
      <c r="AJ265" s="56"/>
      <c r="AK265" s="141"/>
      <c r="AL265" s="141"/>
      <c r="AM265" s="141"/>
      <c r="AN265" s="141"/>
      <c r="AO265" s="140"/>
      <c r="AP265" s="140"/>
      <c r="AQ265" s="140"/>
      <c r="AR265" s="140"/>
      <c r="AS265" s="142"/>
      <c r="AT265" s="142"/>
      <c r="AU265" s="142"/>
      <c r="AV265" s="142"/>
      <c r="AW265" s="140"/>
      <c r="AX265" s="140"/>
      <c r="AY265" s="140"/>
      <c r="AZ265" s="140"/>
      <c r="BA265" s="140"/>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row>
    <row r="266" spans="1:111" ht="9" customHeight="1">
      <c r="B266" s="55"/>
      <c r="C266" s="55"/>
      <c r="D266" s="56"/>
      <c r="E266" s="56"/>
      <c r="F266" s="56"/>
      <c r="G266" s="56"/>
      <c r="H266" s="56"/>
      <c r="I266" s="56"/>
      <c r="J266" s="416"/>
      <c r="K266" s="416"/>
      <c r="L266" s="416"/>
      <c r="M266" s="416"/>
      <c r="N266" s="416"/>
      <c r="O266" s="416"/>
      <c r="Q266" s="417"/>
      <c r="R266" s="417"/>
      <c r="S266" s="417"/>
      <c r="T266" s="417"/>
      <c r="U266" s="56"/>
      <c r="V266" s="416"/>
      <c r="W266" s="416"/>
      <c r="X266" s="416"/>
      <c r="Y266" s="416"/>
      <c r="Z266" s="416"/>
      <c r="AA266" s="416"/>
      <c r="AC266" s="417"/>
      <c r="AD266" s="417"/>
      <c r="AE266" s="417"/>
      <c r="AF266" s="417"/>
      <c r="AG266" s="56"/>
      <c r="AH266" s="56"/>
      <c r="AI266" s="56"/>
      <c r="AJ266" s="56"/>
      <c r="AK266" s="141"/>
      <c r="AL266" s="141"/>
      <c r="AM266" s="141"/>
      <c r="AN266" s="141"/>
      <c r="AO266" s="140"/>
      <c r="AP266" s="140"/>
      <c r="AQ266" s="140"/>
      <c r="AR266" s="140"/>
      <c r="AS266" s="142"/>
      <c r="AT266" s="142"/>
      <c r="AU266" s="142"/>
      <c r="AV266" s="142"/>
      <c r="AW266" s="140"/>
      <c r="AX266" s="140"/>
      <c r="AY266" s="140"/>
      <c r="AZ266" s="140"/>
      <c r="BA266" s="140"/>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row>
    <row r="267" spans="1:111" ht="9" customHeight="1">
      <c r="Q267" s="417"/>
      <c r="R267" s="417"/>
      <c r="S267" s="417"/>
      <c r="T267" s="417"/>
      <c r="AC267" s="417"/>
      <c r="AD267" s="417"/>
      <c r="AE267" s="417"/>
      <c r="AF267" s="417"/>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row>
    <row r="268" spans="1:111" ht="4.5" customHeight="1">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row>
    <row r="269" spans="1:111" ht="9" customHeight="1">
      <c r="A269" s="154"/>
      <c r="B269" s="154"/>
      <c r="C269" s="154"/>
      <c r="D269" s="154"/>
      <c r="E269" s="154"/>
      <c r="F269" s="154"/>
      <c r="G269" s="154"/>
      <c r="H269" s="154"/>
      <c r="I269" s="154"/>
      <c r="J269" s="416" t="str">
        <f>IF(C255="","","Quantidade:")</f>
        <v>Quantidade:</v>
      </c>
      <c r="K269" s="416"/>
      <c r="L269" s="416"/>
      <c r="M269" s="416"/>
      <c r="N269" s="416"/>
      <c r="O269" s="416"/>
      <c r="P269" s="154"/>
      <c r="Q269" s="417">
        <v>482</v>
      </c>
      <c r="R269" s="417"/>
      <c r="S269" s="417"/>
      <c r="T269" s="417"/>
      <c r="U269" s="154"/>
      <c r="V269" s="416" t="str">
        <f>IF(C255="","","Unidade:")</f>
        <v>Unidade:</v>
      </c>
      <c r="W269" s="416"/>
      <c r="X269" s="416"/>
      <c r="Y269" s="416"/>
      <c r="Z269" s="416"/>
      <c r="AA269" s="416"/>
      <c r="AB269" s="154"/>
      <c r="AC269" s="418" t="s">
        <v>569</v>
      </c>
      <c r="AD269" s="418"/>
      <c r="AE269" s="418"/>
      <c r="AF269" s="418"/>
      <c r="AG269" s="418"/>
      <c r="AH269" s="418"/>
      <c r="AI269" s="418"/>
      <c r="AJ269" s="418"/>
      <c r="AK269" s="418"/>
      <c r="AL269" s="418"/>
      <c r="AM269" s="418"/>
      <c r="AN269" s="418"/>
      <c r="AO269" s="418"/>
      <c r="AP269" s="418"/>
      <c r="AQ269" s="418"/>
      <c r="AR269" s="418"/>
      <c r="AS269" s="418"/>
      <c r="AT269" s="418"/>
      <c r="AU269" s="418"/>
      <c r="AV269" s="418"/>
      <c r="AW269" s="418"/>
      <c r="AX269" s="418"/>
      <c r="AY269" s="418"/>
      <c r="AZ269" s="418"/>
      <c r="BA269" s="418"/>
      <c r="BB269" s="154"/>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row>
    <row r="270" spans="1:111" ht="9" customHeight="1">
      <c r="A270" s="154"/>
      <c r="B270" s="154"/>
      <c r="C270" s="154"/>
      <c r="D270" s="154"/>
      <c r="E270" s="154"/>
      <c r="F270" s="154"/>
      <c r="G270" s="154"/>
      <c r="H270" s="154"/>
      <c r="I270" s="154"/>
      <c r="J270" s="416"/>
      <c r="K270" s="416"/>
      <c r="L270" s="416"/>
      <c r="M270" s="416"/>
      <c r="N270" s="416"/>
      <c r="O270" s="416"/>
      <c r="P270" s="154"/>
      <c r="Q270" s="417"/>
      <c r="R270" s="417"/>
      <c r="S270" s="417"/>
      <c r="T270" s="417"/>
      <c r="U270" s="154"/>
      <c r="V270" s="416"/>
      <c r="W270" s="416"/>
      <c r="X270" s="416"/>
      <c r="Y270" s="416"/>
      <c r="Z270" s="416"/>
      <c r="AA270" s="416"/>
      <c r="AB270" s="154"/>
      <c r="AC270" s="418"/>
      <c r="AD270" s="418"/>
      <c r="AE270" s="418"/>
      <c r="AF270" s="418"/>
      <c r="AG270" s="418"/>
      <c r="AH270" s="418"/>
      <c r="AI270" s="418"/>
      <c r="AJ270" s="418"/>
      <c r="AK270" s="418"/>
      <c r="AL270" s="418"/>
      <c r="AM270" s="418"/>
      <c r="AN270" s="418"/>
      <c r="AO270" s="418"/>
      <c r="AP270" s="418"/>
      <c r="AQ270" s="418"/>
      <c r="AR270" s="418"/>
      <c r="AS270" s="418"/>
      <c r="AT270" s="418"/>
      <c r="AU270" s="418"/>
      <c r="AV270" s="418"/>
      <c r="AW270" s="418"/>
      <c r="AX270" s="418"/>
      <c r="AY270" s="418"/>
      <c r="AZ270" s="418"/>
      <c r="BA270" s="418"/>
      <c r="BB270" s="154"/>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row>
    <row r="271" spans="1:111" ht="9" customHeight="1">
      <c r="A271" s="154"/>
      <c r="B271" s="154"/>
      <c r="C271" s="154"/>
      <c r="D271" s="154"/>
      <c r="E271" s="154"/>
      <c r="F271" s="154"/>
      <c r="G271" s="154"/>
      <c r="H271" s="154"/>
      <c r="I271" s="154"/>
      <c r="J271" s="154"/>
      <c r="K271" s="154"/>
      <c r="L271" s="154"/>
      <c r="M271" s="154"/>
      <c r="N271" s="154"/>
      <c r="O271" s="154"/>
      <c r="P271" s="154"/>
      <c r="Q271" s="417"/>
      <c r="R271" s="417"/>
      <c r="S271" s="417"/>
      <c r="T271" s="417"/>
      <c r="U271" s="154"/>
      <c r="V271" s="154"/>
      <c r="W271" s="154"/>
      <c r="X271" s="154"/>
      <c r="Y271" s="154"/>
      <c r="Z271" s="154"/>
      <c r="AA271" s="154"/>
      <c r="AB271" s="154"/>
      <c r="AC271" s="418"/>
      <c r="AD271" s="418"/>
      <c r="AE271" s="418"/>
      <c r="AF271" s="418"/>
      <c r="AG271" s="418"/>
      <c r="AH271" s="418"/>
      <c r="AI271" s="418"/>
      <c r="AJ271" s="418"/>
      <c r="AK271" s="418"/>
      <c r="AL271" s="418"/>
      <c r="AM271" s="418"/>
      <c r="AN271" s="418"/>
      <c r="AO271" s="418"/>
      <c r="AP271" s="418"/>
      <c r="AQ271" s="418"/>
      <c r="AR271" s="418"/>
      <c r="AS271" s="418"/>
      <c r="AT271" s="418"/>
      <c r="AU271" s="418"/>
      <c r="AV271" s="418"/>
      <c r="AW271" s="418"/>
      <c r="AX271" s="418"/>
      <c r="AY271" s="418"/>
      <c r="AZ271" s="418"/>
      <c r="BA271" s="418"/>
      <c r="BB271" s="154"/>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row>
    <row r="272" spans="1:111" ht="4.5" customHeight="1">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row>
    <row r="273" spans="1:111" ht="9" customHeight="1">
      <c r="A273" s="154"/>
      <c r="B273" s="154"/>
      <c r="C273" s="154"/>
      <c r="D273" s="154"/>
      <c r="E273" s="154"/>
      <c r="F273" s="154"/>
      <c r="G273" s="154"/>
      <c r="H273" s="154"/>
      <c r="I273" s="154"/>
      <c r="J273" s="416" t="str">
        <f>IF(C255="","","Valor Unitário (R$):")</f>
        <v>Valor Unitário (R$):</v>
      </c>
      <c r="K273" s="416"/>
      <c r="L273" s="416"/>
      <c r="M273" s="416"/>
      <c r="N273" s="416"/>
      <c r="O273" s="416"/>
      <c r="P273" s="154"/>
      <c r="Q273" s="419">
        <v>685</v>
      </c>
      <c r="R273" s="419"/>
      <c r="S273" s="419"/>
      <c r="T273" s="419"/>
      <c r="U273" s="419"/>
      <c r="V273" s="419"/>
      <c r="W273" s="419"/>
      <c r="X273" s="419"/>
      <c r="Y273" s="154"/>
      <c r="Z273" s="416" t="str">
        <f>IF(C255="","",IF(J261="52 Equipamentos e Material Permanente","Tempo de Uso:",""))</f>
        <v/>
      </c>
      <c r="AA273" s="416"/>
      <c r="AB273" s="416"/>
      <c r="AC273" s="416"/>
      <c r="AD273" s="416"/>
      <c r="AE273" s="416"/>
      <c r="AF273" s="154"/>
      <c r="AG273" s="420"/>
      <c r="AH273" s="420"/>
      <c r="AI273" s="420"/>
      <c r="AJ273" s="420"/>
      <c r="AK273" s="420"/>
      <c r="AL273" s="420"/>
      <c r="AM273" s="420"/>
      <c r="AN273" s="420"/>
      <c r="AO273" s="420"/>
      <c r="AP273" s="420"/>
      <c r="AQ273" s="420"/>
      <c r="AR273" s="420"/>
      <c r="AS273" s="420"/>
      <c r="AT273" s="420"/>
      <c r="AU273" s="420"/>
      <c r="AV273" s="420"/>
      <c r="AW273" s="420"/>
      <c r="AX273" s="420"/>
      <c r="AY273" s="420"/>
      <c r="AZ273" s="420"/>
      <c r="BA273" s="420"/>
      <c r="BB273" s="154"/>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row>
    <row r="274" spans="1:111" ht="9" customHeight="1">
      <c r="A274" s="154"/>
      <c r="B274" s="154"/>
      <c r="C274" s="154"/>
      <c r="D274" s="154"/>
      <c r="E274" s="154"/>
      <c r="F274" s="154"/>
      <c r="G274" s="154"/>
      <c r="H274" s="154"/>
      <c r="I274" s="154"/>
      <c r="J274" s="416"/>
      <c r="K274" s="416"/>
      <c r="L274" s="416"/>
      <c r="M274" s="416"/>
      <c r="N274" s="416"/>
      <c r="O274" s="416"/>
      <c r="P274" s="154"/>
      <c r="Q274" s="419"/>
      <c r="R274" s="419"/>
      <c r="S274" s="419"/>
      <c r="T274" s="419"/>
      <c r="U274" s="419"/>
      <c r="V274" s="419"/>
      <c r="W274" s="419"/>
      <c r="X274" s="419"/>
      <c r="Y274" s="154"/>
      <c r="Z274" s="416"/>
      <c r="AA274" s="416"/>
      <c r="AB274" s="416"/>
      <c r="AC274" s="416"/>
      <c r="AD274" s="416"/>
      <c r="AE274" s="416"/>
      <c r="AF274" s="154"/>
      <c r="AG274" s="420"/>
      <c r="AH274" s="420"/>
      <c r="AI274" s="420"/>
      <c r="AJ274" s="420"/>
      <c r="AK274" s="420"/>
      <c r="AL274" s="420"/>
      <c r="AM274" s="420"/>
      <c r="AN274" s="420"/>
      <c r="AO274" s="420"/>
      <c r="AP274" s="420"/>
      <c r="AQ274" s="420"/>
      <c r="AR274" s="420"/>
      <c r="AS274" s="420"/>
      <c r="AT274" s="420"/>
      <c r="AU274" s="420"/>
      <c r="AV274" s="420"/>
      <c r="AW274" s="420"/>
      <c r="AX274" s="420"/>
      <c r="AY274" s="420"/>
      <c r="AZ274" s="420"/>
      <c r="BA274" s="420"/>
      <c r="BB274" s="154"/>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row>
    <row r="275" spans="1:111" ht="9" customHeight="1">
      <c r="A275" s="154"/>
      <c r="B275" s="154"/>
      <c r="C275" s="154"/>
      <c r="D275" s="154"/>
      <c r="E275" s="154"/>
      <c r="F275" s="154"/>
      <c r="G275" s="154"/>
      <c r="H275" s="154"/>
      <c r="I275" s="154"/>
      <c r="J275" s="154"/>
      <c r="K275" s="154"/>
      <c r="L275" s="154"/>
      <c r="M275" s="154"/>
      <c r="N275" s="154"/>
      <c r="O275" s="154"/>
      <c r="P275" s="154"/>
      <c r="Q275" s="419"/>
      <c r="R275" s="419"/>
      <c r="S275" s="419"/>
      <c r="T275" s="419"/>
      <c r="U275" s="419"/>
      <c r="V275" s="419"/>
      <c r="W275" s="419"/>
      <c r="X275" s="419"/>
      <c r="Y275" s="154"/>
      <c r="Z275" s="154"/>
      <c r="AA275" s="154"/>
      <c r="AB275" s="154"/>
      <c r="AC275" s="154"/>
      <c r="AD275" s="154"/>
      <c r="AE275" s="154"/>
      <c r="AF275" s="154"/>
      <c r="AG275" s="420"/>
      <c r="AH275" s="420"/>
      <c r="AI275" s="420"/>
      <c r="AJ275" s="420"/>
      <c r="AK275" s="420"/>
      <c r="AL275" s="420"/>
      <c r="AM275" s="420"/>
      <c r="AN275" s="420"/>
      <c r="AO275" s="420"/>
      <c r="AP275" s="420"/>
      <c r="AQ275" s="420"/>
      <c r="AR275" s="420"/>
      <c r="AS275" s="420"/>
      <c r="AT275" s="420"/>
      <c r="AU275" s="420"/>
      <c r="AV275" s="420"/>
      <c r="AW275" s="420"/>
      <c r="AX275" s="420"/>
      <c r="AY275" s="420"/>
      <c r="AZ275" s="420"/>
      <c r="BA275" s="420"/>
      <c r="BB275" s="154"/>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row>
    <row r="276" spans="1:111" ht="4.5" customHeight="1">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row>
    <row r="277" spans="1:111" ht="9" customHeight="1">
      <c r="A277" s="154"/>
      <c r="B277" s="154"/>
      <c r="C277" s="154"/>
      <c r="D277" s="154"/>
      <c r="E277" s="154"/>
      <c r="F277" s="154"/>
      <c r="G277" s="154"/>
      <c r="H277" s="154"/>
      <c r="I277" s="154"/>
      <c r="J277" s="416" t="str">
        <f>IF(C255="","","Valor Total (R$):")</f>
        <v>Valor Total (R$):</v>
      </c>
      <c r="K277" s="416"/>
      <c r="L277" s="416"/>
      <c r="M277" s="416"/>
      <c r="N277" s="416"/>
      <c r="O277" s="416"/>
      <c r="P277" s="154"/>
      <c r="Q277" s="419">
        <f>IF(Q273="","",Q269*Q273)</f>
        <v>330170</v>
      </c>
      <c r="R277" s="419"/>
      <c r="S277" s="419"/>
      <c r="T277" s="419"/>
      <c r="U277" s="419"/>
      <c r="V277" s="419"/>
      <c r="W277" s="419"/>
      <c r="X277" s="419"/>
      <c r="Y277" s="154"/>
      <c r="Z277" s="416" t="str">
        <f>IF(C255="","",IF(J261="52 Equipamentos e Material Permanente","Justificativa e Utilização:",""))</f>
        <v/>
      </c>
      <c r="AA277" s="416"/>
      <c r="AB277" s="416"/>
      <c r="AC277" s="416"/>
      <c r="AD277" s="416"/>
      <c r="AE277" s="416"/>
      <c r="AF277" s="154"/>
      <c r="AG277" s="420"/>
      <c r="AH277" s="420"/>
      <c r="AI277" s="420"/>
      <c r="AJ277" s="420"/>
      <c r="AK277" s="420"/>
      <c r="AL277" s="420"/>
      <c r="AM277" s="420"/>
      <c r="AN277" s="420"/>
      <c r="AO277" s="420"/>
      <c r="AP277" s="420"/>
      <c r="AQ277" s="420"/>
      <c r="AR277" s="420"/>
      <c r="AS277" s="420"/>
      <c r="AT277" s="420"/>
      <c r="AU277" s="420"/>
      <c r="AV277" s="420"/>
      <c r="AW277" s="420"/>
      <c r="AX277" s="420"/>
      <c r="AY277" s="420"/>
      <c r="AZ277" s="420"/>
      <c r="BA277" s="420"/>
      <c r="BB277" s="154"/>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row>
    <row r="278" spans="1:111" ht="9" customHeight="1">
      <c r="A278" s="154"/>
      <c r="B278" s="154"/>
      <c r="C278" s="154"/>
      <c r="D278" s="154"/>
      <c r="E278" s="154"/>
      <c r="F278" s="154"/>
      <c r="G278" s="154"/>
      <c r="H278" s="154"/>
      <c r="I278" s="154"/>
      <c r="J278" s="416"/>
      <c r="K278" s="416"/>
      <c r="L278" s="416"/>
      <c r="M278" s="416"/>
      <c r="N278" s="416"/>
      <c r="O278" s="416"/>
      <c r="P278" s="154"/>
      <c r="Q278" s="419"/>
      <c r="R278" s="419"/>
      <c r="S278" s="419"/>
      <c r="T278" s="419"/>
      <c r="U278" s="419"/>
      <c r="V278" s="419"/>
      <c r="W278" s="419"/>
      <c r="X278" s="419"/>
      <c r="Y278" s="154"/>
      <c r="Z278" s="416"/>
      <c r="AA278" s="416"/>
      <c r="AB278" s="416"/>
      <c r="AC278" s="416"/>
      <c r="AD278" s="416"/>
      <c r="AE278" s="416"/>
      <c r="AF278" s="154"/>
      <c r="AG278" s="420"/>
      <c r="AH278" s="420"/>
      <c r="AI278" s="420"/>
      <c r="AJ278" s="420"/>
      <c r="AK278" s="420"/>
      <c r="AL278" s="420"/>
      <c r="AM278" s="420"/>
      <c r="AN278" s="420"/>
      <c r="AO278" s="420"/>
      <c r="AP278" s="420"/>
      <c r="AQ278" s="420"/>
      <c r="AR278" s="420"/>
      <c r="AS278" s="420"/>
      <c r="AT278" s="420"/>
      <c r="AU278" s="420"/>
      <c r="AV278" s="420"/>
      <c r="AW278" s="420"/>
      <c r="AX278" s="420"/>
      <c r="AY278" s="420"/>
      <c r="AZ278" s="420"/>
      <c r="BA278" s="420"/>
      <c r="BB278" s="154"/>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row>
    <row r="279" spans="1:111" ht="9" customHeight="1">
      <c r="A279" s="154"/>
      <c r="B279" s="154"/>
      <c r="C279" s="154"/>
      <c r="D279" s="154"/>
      <c r="E279" s="154"/>
      <c r="F279" s="154"/>
      <c r="G279" s="154"/>
      <c r="H279" s="154"/>
      <c r="I279" s="154"/>
      <c r="J279" s="154"/>
      <c r="K279" s="154"/>
      <c r="L279" s="154"/>
      <c r="M279" s="154"/>
      <c r="N279" s="154"/>
      <c r="O279" s="154"/>
      <c r="P279" s="154"/>
      <c r="Q279" s="419"/>
      <c r="R279" s="419"/>
      <c r="S279" s="419"/>
      <c r="T279" s="419"/>
      <c r="U279" s="419"/>
      <c r="V279" s="419"/>
      <c r="W279" s="419"/>
      <c r="X279" s="419"/>
      <c r="Y279" s="154"/>
      <c r="Z279" s="154"/>
      <c r="AA279" s="154"/>
      <c r="AB279" s="154"/>
      <c r="AC279" s="154"/>
      <c r="AD279" s="154"/>
      <c r="AE279" s="154"/>
      <c r="AF279" s="154"/>
      <c r="AG279" s="420"/>
      <c r="AH279" s="420"/>
      <c r="AI279" s="420"/>
      <c r="AJ279" s="420"/>
      <c r="AK279" s="420"/>
      <c r="AL279" s="420"/>
      <c r="AM279" s="420"/>
      <c r="AN279" s="420"/>
      <c r="AO279" s="420"/>
      <c r="AP279" s="420"/>
      <c r="AQ279" s="420"/>
      <c r="AR279" s="420"/>
      <c r="AS279" s="420"/>
      <c r="AT279" s="420"/>
      <c r="AU279" s="420"/>
      <c r="AV279" s="420"/>
      <c r="AW279" s="420"/>
      <c r="AX279" s="420"/>
      <c r="AY279" s="420"/>
      <c r="AZ279" s="420"/>
      <c r="BA279" s="420"/>
      <c r="BB279" s="154"/>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row>
    <row r="280" spans="1:111" ht="9" customHeight="1">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420"/>
      <c r="AH280" s="420"/>
      <c r="AI280" s="420"/>
      <c r="AJ280" s="420"/>
      <c r="AK280" s="420"/>
      <c r="AL280" s="420"/>
      <c r="AM280" s="420"/>
      <c r="AN280" s="420"/>
      <c r="AO280" s="420"/>
      <c r="AP280" s="420"/>
      <c r="AQ280" s="420"/>
      <c r="AR280" s="420"/>
      <c r="AS280" s="420"/>
      <c r="AT280" s="420"/>
      <c r="AU280" s="420"/>
      <c r="AV280" s="420"/>
      <c r="AW280" s="420"/>
      <c r="AX280" s="420"/>
      <c r="AY280" s="420"/>
      <c r="AZ280" s="420"/>
      <c r="BA280" s="420"/>
      <c r="BB280" s="154"/>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row>
    <row r="281" spans="1:111" ht="9" customHeight="1">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420"/>
      <c r="AH281" s="420"/>
      <c r="AI281" s="420"/>
      <c r="AJ281" s="420"/>
      <c r="AK281" s="420"/>
      <c r="AL281" s="420"/>
      <c r="AM281" s="420"/>
      <c r="AN281" s="420"/>
      <c r="AO281" s="420"/>
      <c r="AP281" s="420"/>
      <c r="AQ281" s="420"/>
      <c r="AR281" s="420"/>
      <c r="AS281" s="420"/>
      <c r="AT281" s="420"/>
      <c r="AU281" s="420"/>
      <c r="AV281" s="420"/>
      <c r="AW281" s="420"/>
      <c r="AX281" s="420"/>
      <c r="AY281" s="420"/>
      <c r="AZ281" s="420"/>
      <c r="BA281" s="420"/>
      <c r="BB281" s="154"/>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row>
    <row r="282" spans="1:111" ht="9" customHeight="1">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420"/>
      <c r="AH282" s="420"/>
      <c r="AI282" s="420"/>
      <c r="AJ282" s="420"/>
      <c r="AK282" s="420"/>
      <c r="AL282" s="420"/>
      <c r="AM282" s="420"/>
      <c r="AN282" s="420"/>
      <c r="AO282" s="420"/>
      <c r="AP282" s="420"/>
      <c r="AQ282" s="420"/>
      <c r="AR282" s="420"/>
      <c r="AS282" s="420"/>
      <c r="AT282" s="420"/>
      <c r="AU282" s="420"/>
      <c r="AV282" s="420"/>
      <c r="AW282" s="420"/>
      <c r="AX282" s="420"/>
      <c r="AY282" s="420"/>
      <c r="AZ282" s="420"/>
      <c r="BA282" s="420"/>
      <c r="BB282" s="154"/>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row>
    <row r="283" spans="1:111" ht="15" customHeight="1">
      <c r="B283" s="55"/>
      <c r="C283" s="55"/>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141"/>
      <c r="AL283" s="141"/>
      <c r="AM283" s="141"/>
      <c r="AN283" s="141"/>
      <c r="AO283" s="140"/>
      <c r="AP283" s="140"/>
      <c r="AQ283" s="140"/>
      <c r="AR283" s="140"/>
      <c r="AS283" s="142"/>
      <c r="AT283" s="142"/>
      <c r="AU283" s="142"/>
      <c r="AV283" s="142"/>
      <c r="AW283" s="140"/>
      <c r="AX283" s="140"/>
      <c r="AY283" s="140"/>
      <c r="AZ283" s="140"/>
      <c r="BA283" s="140"/>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row>
    <row r="284" spans="1:111" ht="15" customHeight="1">
      <c r="B284" s="55"/>
      <c r="C284" s="422" t="str">
        <f>IF($AA$165&gt;=5,"DESPESA 5","")</f>
        <v>DESPESA 5</v>
      </c>
      <c r="D284" s="422"/>
      <c r="E284" s="422"/>
      <c r="F284" s="422"/>
      <c r="G284" s="422"/>
      <c r="H284" s="422"/>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141"/>
      <c r="AL284" s="141"/>
      <c r="AM284" s="141"/>
      <c r="AN284" s="141"/>
      <c r="AO284" s="140"/>
      <c r="AP284" s="140"/>
      <c r="AQ284" s="140"/>
      <c r="AR284" s="140"/>
      <c r="AS284" s="142"/>
      <c r="AT284" s="142"/>
      <c r="AU284" s="142"/>
      <c r="AV284" s="142"/>
      <c r="AW284" s="140"/>
      <c r="AX284" s="140"/>
      <c r="AY284" s="140"/>
      <c r="AZ284" s="140"/>
      <c r="BA284" s="140"/>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row>
    <row r="285" spans="1:111" ht="4.5" customHeight="1">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row>
    <row r="286" spans="1:111" ht="9" customHeight="1">
      <c r="C286" s="416" t="str">
        <f>IF(C284="","","Descrição da Despesa:")</f>
        <v>Descrição da Despesa:</v>
      </c>
      <c r="D286" s="416"/>
      <c r="E286" s="416"/>
      <c r="F286" s="416"/>
      <c r="G286" s="416"/>
      <c r="H286" s="416"/>
      <c r="I286" s="60"/>
      <c r="J286" s="421" t="s">
        <v>566</v>
      </c>
      <c r="K286" s="421"/>
      <c r="L286" s="421"/>
      <c r="M286" s="421"/>
      <c r="N286" s="421"/>
      <c r="O286" s="421"/>
      <c r="P286" s="421"/>
      <c r="Q286" s="421"/>
      <c r="R286" s="421"/>
      <c r="S286" s="421"/>
      <c r="T286" s="421"/>
      <c r="U286" s="421"/>
      <c r="V286" s="421"/>
      <c r="W286" s="421"/>
      <c r="X286" s="421"/>
      <c r="Y286" s="421"/>
      <c r="Z286" s="421"/>
      <c r="AA286" s="421"/>
      <c r="AB286" s="421"/>
      <c r="AC286" s="421"/>
      <c r="AD286" s="421"/>
      <c r="AE286" s="421"/>
      <c r="AF286" s="421"/>
      <c r="AG286" s="421"/>
      <c r="AH286" s="421"/>
      <c r="AI286" s="421"/>
      <c r="AJ286" s="421"/>
      <c r="AK286" s="421"/>
      <c r="AL286" s="421"/>
      <c r="AM286" s="421"/>
      <c r="AN286" s="421"/>
      <c r="AO286" s="421"/>
      <c r="AP286" s="421"/>
      <c r="AQ286" s="421"/>
      <c r="AR286" s="421"/>
      <c r="AS286" s="421"/>
      <c r="AT286" s="421"/>
      <c r="AU286" s="421"/>
      <c r="AV286" s="421"/>
      <c r="AW286" s="421"/>
      <c r="AX286" s="421"/>
      <c r="AY286" s="421"/>
      <c r="AZ286" s="421"/>
      <c r="BA286" s="421"/>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row>
    <row r="287" spans="1:111" ht="9" customHeight="1">
      <c r="C287" s="416"/>
      <c r="D287" s="416"/>
      <c r="E287" s="416"/>
      <c r="F287" s="416"/>
      <c r="G287" s="416"/>
      <c r="H287" s="416"/>
      <c r="I287" s="60"/>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c r="AP287" s="421"/>
      <c r="AQ287" s="421"/>
      <c r="AR287" s="421"/>
      <c r="AS287" s="421"/>
      <c r="AT287" s="421"/>
      <c r="AU287" s="421"/>
      <c r="AV287" s="421"/>
      <c r="AW287" s="421"/>
      <c r="AX287" s="421"/>
      <c r="AY287" s="421"/>
      <c r="AZ287" s="421"/>
      <c r="BA287" s="421"/>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row>
    <row r="288" spans="1:111" ht="9" customHeight="1">
      <c r="C288" s="416"/>
      <c r="D288" s="416"/>
      <c r="E288" s="416"/>
      <c r="F288" s="416"/>
      <c r="G288" s="416"/>
      <c r="H288" s="416"/>
      <c r="I288" s="60"/>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c r="AN288" s="421"/>
      <c r="AO288" s="421"/>
      <c r="AP288" s="421"/>
      <c r="AQ288" s="421"/>
      <c r="AR288" s="421"/>
      <c r="AS288" s="421"/>
      <c r="AT288" s="421"/>
      <c r="AU288" s="421"/>
      <c r="AV288" s="421"/>
      <c r="AW288" s="421"/>
      <c r="AX288" s="421"/>
      <c r="AY288" s="421"/>
      <c r="AZ288" s="421"/>
      <c r="BA288" s="421"/>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row>
    <row r="289" spans="1:111" ht="4.5" customHeight="1">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row>
    <row r="290" spans="1:111" ht="9" customHeight="1">
      <c r="C290" s="416" t="str">
        <f>IF(C284="","","Elemento de Despesa:")</f>
        <v>Elemento de Despesa:</v>
      </c>
      <c r="D290" s="416"/>
      <c r="E290" s="416"/>
      <c r="F290" s="416"/>
      <c r="G290" s="416"/>
      <c r="H290" s="416"/>
      <c r="J290" s="421" t="s">
        <v>216</v>
      </c>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c r="AN290" s="421"/>
      <c r="AO290" s="421"/>
      <c r="AP290" s="421"/>
      <c r="AQ290" s="421"/>
      <c r="AR290" s="421"/>
      <c r="AS290" s="421"/>
      <c r="AT290" s="421"/>
      <c r="AU290" s="421"/>
      <c r="AV290" s="421"/>
      <c r="AW290" s="421"/>
      <c r="AX290" s="421"/>
      <c r="AY290" s="421"/>
      <c r="AZ290" s="421"/>
      <c r="BA290" s="421"/>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row>
    <row r="291" spans="1:111" ht="9" customHeight="1">
      <c r="C291" s="416"/>
      <c r="D291" s="416"/>
      <c r="E291" s="416"/>
      <c r="F291" s="416"/>
      <c r="G291" s="416"/>
      <c r="H291" s="416"/>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c r="AN291" s="421"/>
      <c r="AO291" s="421"/>
      <c r="AP291" s="421"/>
      <c r="AQ291" s="421"/>
      <c r="AR291" s="421"/>
      <c r="AS291" s="421"/>
      <c r="AT291" s="421"/>
      <c r="AU291" s="421"/>
      <c r="AV291" s="421"/>
      <c r="AW291" s="421"/>
      <c r="AX291" s="421"/>
      <c r="AY291" s="421"/>
      <c r="AZ291" s="421"/>
      <c r="BA291" s="421"/>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row>
    <row r="292" spans="1:111" ht="9" customHeight="1">
      <c r="C292" s="416"/>
      <c r="D292" s="416"/>
      <c r="E292" s="416"/>
      <c r="F292" s="416"/>
      <c r="G292" s="416"/>
      <c r="H292" s="416"/>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c r="AN292" s="421"/>
      <c r="AO292" s="421"/>
      <c r="AP292" s="421"/>
      <c r="AQ292" s="421"/>
      <c r="AR292" s="421"/>
      <c r="AS292" s="421"/>
      <c r="AT292" s="421"/>
      <c r="AU292" s="421"/>
      <c r="AV292" s="421"/>
      <c r="AW292" s="421"/>
      <c r="AX292" s="421"/>
      <c r="AY292" s="421"/>
      <c r="AZ292" s="421"/>
      <c r="BA292" s="421"/>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row>
    <row r="293" spans="1:111" ht="4.5" customHeight="1">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row>
    <row r="294" spans="1:111" ht="9" customHeight="1">
      <c r="A294" s="61" t="str">
        <f>CONCATENATE(Q294,AC294)</f>
        <v>15</v>
      </c>
      <c r="J294" s="416" t="str">
        <f>IF(C284="","","Meta Vinculada:")</f>
        <v>Meta Vinculada:</v>
      </c>
      <c r="K294" s="416"/>
      <c r="L294" s="416"/>
      <c r="M294" s="416"/>
      <c r="N294" s="416"/>
      <c r="O294" s="416"/>
      <c r="Q294" s="417">
        <v>1</v>
      </c>
      <c r="R294" s="417"/>
      <c r="S294" s="417"/>
      <c r="T294" s="417"/>
      <c r="U294" s="56"/>
      <c r="V294" s="416" t="str">
        <f>IF(C284="","","Etapa Vinculada:")</f>
        <v>Etapa Vinculada:</v>
      </c>
      <c r="W294" s="416"/>
      <c r="X294" s="416"/>
      <c r="Y294" s="416"/>
      <c r="Z294" s="416"/>
      <c r="AA294" s="416"/>
      <c r="AC294" s="417">
        <v>5</v>
      </c>
      <c r="AD294" s="417"/>
      <c r="AE294" s="417"/>
      <c r="AF294" s="417"/>
      <c r="AG294" s="56"/>
      <c r="AH294" s="56"/>
      <c r="AI294" s="56"/>
      <c r="AJ294" s="56"/>
      <c r="AK294" s="141"/>
      <c r="AL294" s="141"/>
      <c r="AM294" s="141"/>
      <c r="AN294" s="141"/>
      <c r="AO294" s="140"/>
      <c r="AP294" s="140"/>
      <c r="AQ294" s="140"/>
      <c r="AR294" s="140"/>
      <c r="AS294" s="142"/>
      <c r="AT294" s="142"/>
      <c r="AU294" s="142"/>
      <c r="AV294" s="142"/>
      <c r="AW294" s="140"/>
      <c r="AX294" s="140"/>
      <c r="AY294" s="140"/>
      <c r="AZ294" s="140"/>
      <c r="BA294" s="140"/>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row>
    <row r="295" spans="1:111" ht="9" customHeight="1">
      <c r="B295" s="55"/>
      <c r="C295" s="55"/>
      <c r="D295" s="56"/>
      <c r="E295" s="56"/>
      <c r="F295" s="56"/>
      <c r="G295" s="56"/>
      <c r="H295" s="56"/>
      <c r="I295" s="56"/>
      <c r="J295" s="416"/>
      <c r="K295" s="416"/>
      <c r="L295" s="416"/>
      <c r="M295" s="416"/>
      <c r="N295" s="416"/>
      <c r="O295" s="416"/>
      <c r="Q295" s="417"/>
      <c r="R295" s="417"/>
      <c r="S295" s="417"/>
      <c r="T295" s="417"/>
      <c r="U295" s="56"/>
      <c r="V295" s="416"/>
      <c r="W295" s="416"/>
      <c r="X295" s="416"/>
      <c r="Y295" s="416"/>
      <c r="Z295" s="416"/>
      <c r="AA295" s="416"/>
      <c r="AC295" s="417"/>
      <c r="AD295" s="417"/>
      <c r="AE295" s="417"/>
      <c r="AF295" s="417"/>
      <c r="AG295" s="56"/>
      <c r="AH295" s="56"/>
      <c r="AI295" s="56"/>
      <c r="AJ295" s="56"/>
      <c r="AK295" s="141"/>
      <c r="AL295" s="141"/>
      <c r="AM295" s="141"/>
      <c r="AN295" s="141"/>
      <c r="AO295" s="140"/>
      <c r="AP295" s="140"/>
      <c r="AQ295" s="140"/>
      <c r="AR295" s="140"/>
      <c r="AS295" s="142"/>
      <c r="AT295" s="142"/>
      <c r="AU295" s="142"/>
      <c r="AV295" s="142"/>
      <c r="AW295" s="140"/>
      <c r="AX295" s="140"/>
      <c r="AY295" s="140"/>
      <c r="AZ295" s="140"/>
      <c r="BA295" s="140"/>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row>
    <row r="296" spans="1:111" ht="9" customHeight="1">
      <c r="Q296" s="417"/>
      <c r="R296" s="417"/>
      <c r="S296" s="417"/>
      <c r="T296" s="417"/>
      <c r="AC296" s="417"/>
      <c r="AD296" s="417"/>
      <c r="AE296" s="417"/>
      <c r="AF296" s="417"/>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row>
    <row r="297" spans="1:111" ht="4.5" customHeight="1">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row>
    <row r="298" spans="1:111" ht="9" customHeight="1">
      <c r="A298" s="154"/>
      <c r="B298" s="154"/>
      <c r="C298" s="154"/>
      <c r="D298" s="154"/>
      <c r="E298" s="154"/>
      <c r="F298" s="154"/>
      <c r="G298" s="154"/>
      <c r="H298" s="154"/>
      <c r="I298" s="154"/>
      <c r="J298" s="416" t="str">
        <f>IF(C284="","","Quantidade:")</f>
        <v>Quantidade:</v>
      </c>
      <c r="K298" s="416"/>
      <c r="L298" s="416"/>
      <c r="M298" s="416"/>
      <c r="N298" s="416"/>
      <c r="O298" s="416"/>
      <c r="P298" s="154"/>
      <c r="Q298" s="417">
        <v>186</v>
      </c>
      <c r="R298" s="417"/>
      <c r="S298" s="417"/>
      <c r="T298" s="417"/>
      <c r="U298" s="154"/>
      <c r="V298" s="416" t="str">
        <f>IF(C284="","","Unidade:")</f>
        <v>Unidade:</v>
      </c>
      <c r="W298" s="416"/>
      <c r="X298" s="416"/>
      <c r="Y298" s="416"/>
      <c r="Z298" s="416"/>
      <c r="AA298" s="416"/>
      <c r="AB298" s="154"/>
      <c r="AC298" s="418" t="s">
        <v>569</v>
      </c>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18"/>
      <c r="BB298" s="154"/>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row>
    <row r="299" spans="1:111" ht="9" customHeight="1">
      <c r="A299" s="154"/>
      <c r="B299" s="154"/>
      <c r="C299" s="154"/>
      <c r="D299" s="154"/>
      <c r="E299" s="154"/>
      <c r="F299" s="154"/>
      <c r="G299" s="154"/>
      <c r="H299" s="154"/>
      <c r="I299" s="154"/>
      <c r="J299" s="416"/>
      <c r="K299" s="416"/>
      <c r="L299" s="416"/>
      <c r="M299" s="416"/>
      <c r="N299" s="416"/>
      <c r="O299" s="416"/>
      <c r="P299" s="154"/>
      <c r="Q299" s="417"/>
      <c r="R299" s="417"/>
      <c r="S299" s="417"/>
      <c r="T299" s="417"/>
      <c r="U299" s="154"/>
      <c r="V299" s="416"/>
      <c r="W299" s="416"/>
      <c r="X299" s="416"/>
      <c r="Y299" s="416"/>
      <c r="Z299" s="416"/>
      <c r="AA299" s="416"/>
      <c r="AB299" s="154"/>
      <c r="AC299" s="418"/>
      <c r="AD299" s="418"/>
      <c r="AE299" s="418"/>
      <c r="AF299" s="418"/>
      <c r="AG299" s="418"/>
      <c r="AH299" s="418"/>
      <c r="AI299" s="418"/>
      <c r="AJ299" s="418"/>
      <c r="AK299" s="418"/>
      <c r="AL299" s="418"/>
      <c r="AM299" s="418"/>
      <c r="AN299" s="418"/>
      <c r="AO299" s="418"/>
      <c r="AP299" s="418"/>
      <c r="AQ299" s="418"/>
      <c r="AR299" s="418"/>
      <c r="AS299" s="418"/>
      <c r="AT299" s="418"/>
      <c r="AU299" s="418"/>
      <c r="AV299" s="418"/>
      <c r="AW299" s="418"/>
      <c r="AX299" s="418"/>
      <c r="AY299" s="418"/>
      <c r="AZ299" s="418"/>
      <c r="BA299" s="418"/>
      <c r="BB299" s="154"/>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row>
    <row r="300" spans="1:111" ht="9" customHeight="1">
      <c r="A300" s="154"/>
      <c r="B300" s="154"/>
      <c r="C300" s="154"/>
      <c r="D300" s="154"/>
      <c r="E300" s="154"/>
      <c r="F300" s="154"/>
      <c r="G300" s="154"/>
      <c r="H300" s="154"/>
      <c r="I300" s="154"/>
      <c r="J300" s="154"/>
      <c r="K300" s="154"/>
      <c r="L300" s="154"/>
      <c r="M300" s="154"/>
      <c r="N300" s="154"/>
      <c r="O300" s="154"/>
      <c r="P300" s="154"/>
      <c r="Q300" s="417"/>
      <c r="R300" s="417"/>
      <c r="S300" s="417"/>
      <c r="T300" s="417"/>
      <c r="U300" s="154"/>
      <c r="V300" s="154"/>
      <c r="W300" s="154"/>
      <c r="X300" s="154"/>
      <c r="Y300" s="154"/>
      <c r="Z300" s="154"/>
      <c r="AA300" s="154"/>
      <c r="AB300" s="154"/>
      <c r="AC300" s="418"/>
      <c r="AD300" s="418"/>
      <c r="AE300" s="418"/>
      <c r="AF300" s="418"/>
      <c r="AG300" s="418"/>
      <c r="AH300" s="418"/>
      <c r="AI300" s="418"/>
      <c r="AJ300" s="418"/>
      <c r="AK300" s="418"/>
      <c r="AL300" s="418"/>
      <c r="AM300" s="418"/>
      <c r="AN300" s="418"/>
      <c r="AO300" s="418"/>
      <c r="AP300" s="418"/>
      <c r="AQ300" s="418"/>
      <c r="AR300" s="418"/>
      <c r="AS300" s="418"/>
      <c r="AT300" s="418"/>
      <c r="AU300" s="418"/>
      <c r="AV300" s="418"/>
      <c r="AW300" s="418"/>
      <c r="AX300" s="418"/>
      <c r="AY300" s="418"/>
      <c r="AZ300" s="418"/>
      <c r="BA300" s="418"/>
      <c r="BB300" s="154"/>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row>
    <row r="301" spans="1:111" ht="4.5" customHeight="1">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row>
    <row r="302" spans="1:111" ht="9" customHeight="1">
      <c r="A302" s="154"/>
      <c r="B302" s="154"/>
      <c r="C302" s="154"/>
      <c r="D302" s="154"/>
      <c r="E302" s="154"/>
      <c r="F302" s="154"/>
      <c r="G302" s="154"/>
      <c r="H302" s="154"/>
      <c r="I302" s="154"/>
      <c r="J302" s="416" t="str">
        <f>IF(C284="","","Valor Unitário (R$):")</f>
        <v>Valor Unitário (R$):</v>
      </c>
      <c r="K302" s="416"/>
      <c r="L302" s="416"/>
      <c r="M302" s="416"/>
      <c r="N302" s="416"/>
      <c r="O302" s="416"/>
      <c r="P302" s="154"/>
      <c r="Q302" s="419">
        <v>685</v>
      </c>
      <c r="R302" s="419"/>
      <c r="S302" s="419"/>
      <c r="T302" s="419"/>
      <c r="U302" s="419"/>
      <c r="V302" s="419"/>
      <c r="W302" s="419"/>
      <c r="X302" s="419"/>
      <c r="Y302" s="154"/>
      <c r="Z302" s="416" t="str">
        <f>IF(C284="","",IF(J290="52 Equipamentos e Material Permanente","Tempo de Uso:",""))</f>
        <v/>
      </c>
      <c r="AA302" s="416"/>
      <c r="AB302" s="416"/>
      <c r="AC302" s="416"/>
      <c r="AD302" s="416"/>
      <c r="AE302" s="416"/>
      <c r="AF302" s="154"/>
      <c r="AG302" s="420"/>
      <c r="AH302" s="420"/>
      <c r="AI302" s="420"/>
      <c r="AJ302" s="420"/>
      <c r="AK302" s="420"/>
      <c r="AL302" s="420"/>
      <c r="AM302" s="420"/>
      <c r="AN302" s="420"/>
      <c r="AO302" s="420"/>
      <c r="AP302" s="420"/>
      <c r="AQ302" s="420"/>
      <c r="AR302" s="420"/>
      <c r="AS302" s="420"/>
      <c r="AT302" s="420"/>
      <c r="AU302" s="420"/>
      <c r="AV302" s="420"/>
      <c r="AW302" s="420"/>
      <c r="AX302" s="420"/>
      <c r="AY302" s="420"/>
      <c r="AZ302" s="420"/>
      <c r="BA302" s="420"/>
      <c r="BB302" s="154"/>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row>
    <row r="303" spans="1:111" ht="9" customHeight="1">
      <c r="A303" s="154"/>
      <c r="B303" s="154"/>
      <c r="C303" s="154"/>
      <c r="D303" s="154"/>
      <c r="E303" s="154"/>
      <c r="F303" s="154"/>
      <c r="G303" s="154"/>
      <c r="H303" s="154"/>
      <c r="I303" s="154"/>
      <c r="J303" s="416"/>
      <c r="K303" s="416"/>
      <c r="L303" s="416"/>
      <c r="M303" s="416"/>
      <c r="N303" s="416"/>
      <c r="O303" s="416"/>
      <c r="P303" s="154"/>
      <c r="Q303" s="419"/>
      <c r="R303" s="419"/>
      <c r="S303" s="419"/>
      <c r="T303" s="419"/>
      <c r="U303" s="419"/>
      <c r="V303" s="419"/>
      <c r="W303" s="419"/>
      <c r="X303" s="419"/>
      <c r="Y303" s="154"/>
      <c r="Z303" s="416"/>
      <c r="AA303" s="416"/>
      <c r="AB303" s="416"/>
      <c r="AC303" s="416"/>
      <c r="AD303" s="416"/>
      <c r="AE303" s="416"/>
      <c r="AF303" s="154"/>
      <c r="AG303" s="420"/>
      <c r="AH303" s="420"/>
      <c r="AI303" s="420"/>
      <c r="AJ303" s="420"/>
      <c r="AK303" s="420"/>
      <c r="AL303" s="420"/>
      <c r="AM303" s="420"/>
      <c r="AN303" s="420"/>
      <c r="AO303" s="420"/>
      <c r="AP303" s="420"/>
      <c r="AQ303" s="420"/>
      <c r="AR303" s="420"/>
      <c r="AS303" s="420"/>
      <c r="AT303" s="420"/>
      <c r="AU303" s="420"/>
      <c r="AV303" s="420"/>
      <c r="AW303" s="420"/>
      <c r="AX303" s="420"/>
      <c r="AY303" s="420"/>
      <c r="AZ303" s="420"/>
      <c r="BA303" s="420"/>
      <c r="BB303" s="154"/>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row>
    <row r="304" spans="1:111" ht="9" customHeight="1">
      <c r="A304" s="154"/>
      <c r="B304" s="154"/>
      <c r="C304" s="154"/>
      <c r="D304" s="154"/>
      <c r="E304" s="154"/>
      <c r="F304" s="154"/>
      <c r="G304" s="154"/>
      <c r="H304" s="154"/>
      <c r="I304" s="154"/>
      <c r="J304" s="154"/>
      <c r="K304" s="154"/>
      <c r="L304" s="154"/>
      <c r="M304" s="154"/>
      <c r="N304" s="154"/>
      <c r="O304" s="154"/>
      <c r="P304" s="154"/>
      <c r="Q304" s="419"/>
      <c r="R304" s="419"/>
      <c r="S304" s="419"/>
      <c r="T304" s="419"/>
      <c r="U304" s="419"/>
      <c r="V304" s="419"/>
      <c r="W304" s="419"/>
      <c r="X304" s="419"/>
      <c r="Y304" s="154"/>
      <c r="Z304" s="154"/>
      <c r="AA304" s="154"/>
      <c r="AB304" s="154"/>
      <c r="AC304" s="154"/>
      <c r="AD304" s="154"/>
      <c r="AE304" s="154"/>
      <c r="AF304" s="154"/>
      <c r="AG304" s="420"/>
      <c r="AH304" s="420"/>
      <c r="AI304" s="420"/>
      <c r="AJ304" s="420"/>
      <c r="AK304" s="420"/>
      <c r="AL304" s="420"/>
      <c r="AM304" s="420"/>
      <c r="AN304" s="420"/>
      <c r="AO304" s="420"/>
      <c r="AP304" s="420"/>
      <c r="AQ304" s="420"/>
      <c r="AR304" s="420"/>
      <c r="AS304" s="420"/>
      <c r="AT304" s="420"/>
      <c r="AU304" s="420"/>
      <c r="AV304" s="420"/>
      <c r="AW304" s="420"/>
      <c r="AX304" s="420"/>
      <c r="AY304" s="420"/>
      <c r="AZ304" s="420"/>
      <c r="BA304" s="420"/>
      <c r="BB304" s="154"/>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row>
    <row r="305" spans="1:111" ht="4.5" customHeight="1">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row>
    <row r="306" spans="1:111" ht="9" customHeight="1">
      <c r="A306" s="154"/>
      <c r="B306" s="154"/>
      <c r="C306" s="154"/>
      <c r="D306" s="154"/>
      <c r="E306" s="154"/>
      <c r="F306" s="154"/>
      <c r="G306" s="154"/>
      <c r="H306" s="154"/>
      <c r="I306" s="154"/>
      <c r="J306" s="416" t="str">
        <f>IF(C284="","","Valor Total (R$):")</f>
        <v>Valor Total (R$):</v>
      </c>
      <c r="K306" s="416"/>
      <c r="L306" s="416"/>
      <c r="M306" s="416"/>
      <c r="N306" s="416"/>
      <c r="O306" s="416"/>
      <c r="P306" s="154"/>
      <c r="Q306" s="419">
        <f>IF(Q302="","",Q298*Q302)</f>
        <v>127410</v>
      </c>
      <c r="R306" s="419"/>
      <c r="S306" s="419"/>
      <c r="T306" s="419"/>
      <c r="U306" s="419"/>
      <c r="V306" s="419"/>
      <c r="W306" s="419"/>
      <c r="X306" s="419"/>
      <c r="Y306" s="154"/>
      <c r="Z306" s="416" t="str">
        <f>IF(C284="","",IF(J290="52 Equipamentos e Material Permanente","Justificativa e Utilização:",""))</f>
        <v/>
      </c>
      <c r="AA306" s="416"/>
      <c r="AB306" s="416"/>
      <c r="AC306" s="416"/>
      <c r="AD306" s="416"/>
      <c r="AE306" s="416"/>
      <c r="AF306" s="154"/>
      <c r="AG306" s="420"/>
      <c r="AH306" s="420"/>
      <c r="AI306" s="420"/>
      <c r="AJ306" s="420"/>
      <c r="AK306" s="420"/>
      <c r="AL306" s="420"/>
      <c r="AM306" s="420"/>
      <c r="AN306" s="420"/>
      <c r="AO306" s="420"/>
      <c r="AP306" s="420"/>
      <c r="AQ306" s="420"/>
      <c r="AR306" s="420"/>
      <c r="AS306" s="420"/>
      <c r="AT306" s="420"/>
      <c r="AU306" s="420"/>
      <c r="AV306" s="420"/>
      <c r="AW306" s="420"/>
      <c r="AX306" s="420"/>
      <c r="AY306" s="420"/>
      <c r="AZ306" s="420"/>
      <c r="BA306" s="420"/>
      <c r="BB306" s="154"/>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row>
    <row r="307" spans="1:111" ht="9" customHeight="1">
      <c r="A307" s="154"/>
      <c r="B307" s="154"/>
      <c r="C307" s="154"/>
      <c r="D307" s="154"/>
      <c r="E307" s="154"/>
      <c r="F307" s="154"/>
      <c r="G307" s="154"/>
      <c r="H307" s="154"/>
      <c r="I307" s="154"/>
      <c r="J307" s="416"/>
      <c r="K307" s="416"/>
      <c r="L307" s="416"/>
      <c r="M307" s="416"/>
      <c r="N307" s="416"/>
      <c r="O307" s="416"/>
      <c r="P307" s="154"/>
      <c r="Q307" s="419"/>
      <c r="R307" s="419"/>
      <c r="S307" s="419"/>
      <c r="T307" s="419"/>
      <c r="U307" s="419"/>
      <c r="V307" s="419"/>
      <c r="W307" s="419"/>
      <c r="X307" s="419"/>
      <c r="Y307" s="154"/>
      <c r="Z307" s="416"/>
      <c r="AA307" s="416"/>
      <c r="AB307" s="416"/>
      <c r="AC307" s="416"/>
      <c r="AD307" s="416"/>
      <c r="AE307" s="416"/>
      <c r="AF307" s="154"/>
      <c r="AG307" s="420"/>
      <c r="AH307" s="420"/>
      <c r="AI307" s="420"/>
      <c r="AJ307" s="420"/>
      <c r="AK307" s="420"/>
      <c r="AL307" s="420"/>
      <c r="AM307" s="420"/>
      <c r="AN307" s="420"/>
      <c r="AO307" s="420"/>
      <c r="AP307" s="420"/>
      <c r="AQ307" s="420"/>
      <c r="AR307" s="420"/>
      <c r="AS307" s="420"/>
      <c r="AT307" s="420"/>
      <c r="AU307" s="420"/>
      <c r="AV307" s="420"/>
      <c r="AW307" s="420"/>
      <c r="AX307" s="420"/>
      <c r="AY307" s="420"/>
      <c r="AZ307" s="420"/>
      <c r="BA307" s="420"/>
      <c r="BB307" s="154"/>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row>
    <row r="308" spans="1:111" ht="9" customHeight="1">
      <c r="A308" s="154"/>
      <c r="B308" s="154"/>
      <c r="C308" s="154"/>
      <c r="D308" s="154"/>
      <c r="E308" s="154"/>
      <c r="F308" s="154"/>
      <c r="G308" s="154"/>
      <c r="H308" s="154"/>
      <c r="I308" s="154"/>
      <c r="J308" s="154"/>
      <c r="K308" s="154"/>
      <c r="L308" s="154"/>
      <c r="M308" s="154"/>
      <c r="N308" s="154"/>
      <c r="O308" s="154"/>
      <c r="P308" s="154"/>
      <c r="Q308" s="419"/>
      <c r="R308" s="419"/>
      <c r="S308" s="419"/>
      <c r="T308" s="419"/>
      <c r="U308" s="419"/>
      <c r="V308" s="419"/>
      <c r="W308" s="419"/>
      <c r="X308" s="419"/>
      <c r="Y308" s="154"/>
      <c r="Z308" s="154"/>
      <c r="AA308" s="154"/>
      <c r="AB308" s="154"/>
      <c r="AC308" s="154"/>
      <c r="AD308" s="154"/>
      <c r="AE308" s="154"/>
      <c r="AF308" s="154"/>
      <c r="AG308" s="420"/>
      <c r="AH308" s="420"/>
      <c r="AI308" s="420"/>
      <c r="AJ308" s="420"/>
      <c r="AK308" s="420"/>
      <c r="AL308" s="420"/>
      <c r="AM308" s="420"/>
      <c r="AN308" s="420"/>
      <c r="AO308" s="420"/>
      <c r="AP308" s="420"/>
      <c r="AQ308" s="420"/>
      <c r="AR308" s="420"/>
      <c r="AS308" s="420"/>
      <c r="AT308" s="420"/>
      <c r="AU308" s="420"/>
      <c r="AV308" s="420"/>
      <c r="AW308" s="420"/>
      <c r="AX308" s="420"/>
      <c r="AY308" s="420"/>
      <c r="AZ308" s="420"/>
      <c r="BA308" s="420"/>
      <c r="BB308" s="154"/>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row>
    <row r="309" spans="1:111" ht="9" customHeight="1">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420"/>
      <c r="AH309" s="420"/>
      <c r="AI309" s="420"/>
      <c r="AJ309" s="420"/>
      <c r="AK309" s="420"/>
      <c r="AL309" s="420"/>
      <c r="AM309" s="420"/>
      <c r="AN309" s="420"/>
      <c r="AO309" s="420"/>
      <c r="AP309" s="420"/>
      <c r="AQ309" s="420"/>
      <c r="AR309" s="420"/>
      <c r="AS309" s="420"/>
      <c r="AT309" s="420"/>
      <c r="AU309" s="420"/>
      <c r="AV309" s="420"/>
      <c r="AW309" s="420"/>
      <c r="AX309" s="420"/>
      <c r="AY309" s="420"/>
      <c r="AZ309" s="420"/>
      <c r="BA309" s="420"/>
      <c r="BB309" s="154"/>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row>
    <row r="310" spans="1:111" ht="9" customHeight="1">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420"/>
      <c r="AH310" s="420"/>
      <c r="AI310" s="420"/>
      <c r="AJ310" s="420"/>
      <c r="AK310" s="420"/>
      <c r="AL310" s="420"/>
      <c r="AM310" s="420"/>
      <c r="AN310" s="420"/>
      <c r="AO310" s="420"/>
      <c r="AP310" s="420"/>
      <c r="AQ310" s="420"/>
      <c r="AR310" s="420"/>
      <c r="AS310" s="420"/>
      <c r="AT310" s="420"/>
      <c r="AU310" s="420"/>
      <c r="AV310" s="420"/>
      <c r="AW310" s="420"/>
      <c r="AX310" s="420"/>
      <c r="AY310" s="420"/>
      <c r="AZ310" s="420"/>
      <c r="BA310" s="420"/>
      <c r="BB310" s="154"/>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row>
    <row r="311" spans="1:111" ht="9" customHeight="1">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420"/>
      <c r="AH311" s="420"/>
      <c r="AI311" s="420"/>
      <c r="AJ311" s="420"/>
      <c r="AK311" s="420"/>
      <c r="AL311" s="420"/>
      <c r="AM311" s="420"/>
      <c r="AN311" s="420"/>
      <c r="AO311" s="420"/>
      <c r="AP311" s="420"/>
      <c r="AQ311" s="420"/>
      <c r="AR311" s="420"/>
      <c r="AS311" s="420"/>
      <c r="AT311" s="420"/>
      <c r="AU311" s="420"/>
      <c r="AV311" s="420"/>
      <c r="AW311" s="420"/>
      <c r="AX311" s="420"/>
      <c r="AY311" s="420"/>
      <c r="AZ311" s="420"/>
      <c r="BA311" s="420"/>
      <c r="BB311" s="154"/>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row>
    <row r="312" spans="1:111" ht="15" customHeight="1">
      <c r="B312" s="55"/>
      <c r="C312" s="55"/>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141"/>
      <c r="AL312" s="141"/>
      <c r="AM312" s="141"/>
      <c r="AN312" s="141"/>
      <c r="AO312" s="140"/>
      <c r="AP312" s="140"/>
      <c r="AQ312" s="140"/>
      <c r="AR312" s="140"/>
      <c r="AS312" s="142"/>
      <c r="AT312" s="142"/>
      <c r="AU312" s="142"/>
      <c r="AV312" s="142"/>
      <c r="AW312" s="140"/>
      <c r="AX312" s="140"/>
      <c r="AY312" s="140"/>
      <c r="AZ312" s="140"/>
      <c r="BA312" s="140"/>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row>
    <row r="313" spans="1:111" ht="15" customHeight="1">
      <c r="B313" s="55"/>
      <c r="C313" s="422" t="str">
        <f>IF($AA$165&gt;=5,"DESPESA 6","")</f>
        <v>DESPESA 6</v>
      </c>
      <c r="D313" s="422"/>
      <c r="E313" s="422"/>
      <c r="F313" s="422"/>
      <c r="G313" s="422"/>
      <c r="H313" s="422"/>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141"/>
      <c r="AL313" s="141"/>
      <c r="AM313" s="141"/>
      <c r="AN313" s="141"/>
      <c r="AO313" s="140"/>
      <c r="AP313" s="140"/>
      <c r="AQ313" s="140"/>
      <c r="AR313" s="140"/>
      <c r="AS313" s="142"/>
      <c r="AT313" s="142"/>
      <c r="AU313" s="142"/>
      <c r="AV313" s="142"/>
      <c r="AW313" s="140"/>
      <c r="AX313" s="140"/>
      <c r="AY313" s="140"/>
      <c r="AZ313" s="140"/>
      <c r="BA313" s="140"/>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row>
    <row r="314" spans="1:111" ht="4.5" customHeight="1">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row>
    <row r="315" spans="1:111" ht="9" customHeight="1">
      <c r="C315" s="416" t="str">
        <f>IF(C313="","","Descrição da Despesa:")</f>
        <v>Descrição da Despesa:</v>
      </c>
      <c r="D315" s="416"/>
      <c r="E315" s="416"/>
      <c r="F315" s="416"/>
      <c r="G315" s="416"/>
      <c r="H315" s="416"/>
      <c r="I315" s="60"/>
      <c r="J315" s="421" t="s">
        <v>567</v>
      </c>
      <c r="K315" s="421"/>
      <c r="L315" s="421"/>
      <c r="M315" s="421"/>
      <c r="N315" s="421"/>
      <c r="O315" s="421"/>
      <c r="P315" s="421"/>
      <c r="Q315" s="421"/>
      <c r="R315" s="421"/>
      <c r="S315" s="421"/>
      <c r="T315" s="421"/>
      <c r="U315" s="421"/>
      <c r="V315" s="421"/>
      <c r="W315" s="421"/>
      <c r="X315" s="421"/>
      <c r="Y315" s="421"/>
      <c r="Z315" s="421"/>
      <c r="AA315" s="421"/>
      <c r="AB315" s="421"/>
      <c r="AC315" s="421"/>
      <c r="AD315" s="421"/>
      <c r="AE315" s="421"/>
      <c r="AF315" s="421"/>
      <c r="AG315" s="421"/>
      <c r="AH315" s="421"/>
      <c r="AI315" s="421"/>
      <c r="AJ315" s="421"/>
      <c r="AK315" s="421"/>
      <c r="AL315" s="421"/>
      <c r="AM315" s="421"/>
      <c r="AN315" s="421"/>
      <c r="AO315" s="421"/>
      <c r="AP315" s="421"/>
      <c r="AQ315" s="421"/>
      <c r="AR315" s="421"/>
      <c r="AS315" s="421"/>
      <c r="AT315" s="421"/>
      <c r="AU315" s="421"/>
      <c r="AV315" s="421"/>
      <c r="AW315" s="421"/>
      <c r="AX315" s="421"/>
      <c r="AY315" s="421"/>
      <c r="AZ315" s="421"/>
      <c r="BA315" s="421"/>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row>
    <row r="316" spans="1:111" ht="9" customHeight="1">
      <c r="C316" s="416"/>
      <c r="D316" s="416"/>
      <c r="E316" s="416"/>
      <c r="F316" s="416"/>
      <c r="G316" s="416"/>
      <c r="H316" s="416"/>
      <c r="I316" s="60"/>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c r="AF316" s="421"/>
      <c r="AG316" s="421"/>
      <c r="AH316" s="421"/>
      <c r="AI316" s="421"/>
      <c r="AJ316" s="421"/>
      <c r="AK316" s="421"/>
      <c r="AL316" s="421"/>
      <c r="AM316" s="421"/>
      <c r="AN316" s="421"/>
      <c r="AO316" s="421"/>
      <c r="AP316" s="421"/>
      <c r="AQ316" s="421"/>
      <c r="AR316" s="421"/>
      <c r="AS316" s="421"/>
      <c r="AT316" s="421"/>
      <c r="AU316" s="421"/>
      <c r="AV316" s="421"/>
      <c r="AW316" s="421"/>
      <c r="AX316" s="421"/>
      <c r="AY316" s="421"/>
      <c r="AZ316" s="421"/>
      <c r="BA316" s="421"/>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row>
    <row r="317" spans="1:111" ht="9" customHeight="1">
      <c r="C317" s="416"/>
      <c r="D317" s="416"/>
      <c r="E317" s="416"/>
      <c r="F317" s="416"/>
      <c r="G317" s="416"/>
      <c r="H317" s="416"/>
      <c r="I317" s="60"/>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c r="AF317" s="421"/>
      <c r="AG317" s="421"/>
      <c r="AH317" s="421"/>
      <c r="AI317" s="421"/>
      <c r="AJ317" s="421"/>
      <c r="AK317" s="421"/>
      <c r="AL317" s="421"/>
      <c r="AM317" s="421"/>
      <c r="AN317" s="421"/>
      <c r="AO317" s="421"/>
      <c r="AP317" s="421"/>
      <c r="AQ317" s="421"/>
      <c r="AR317" s="421"/>
      <c r="AS317" s="421"/>
      <c r="AT317" s="421"/>
      <c r="AU317" s="421"/>
      <c r="AV317" s="421"/>
      <c r="AW317" s="421"/>
      <c r="AX317" s="421"/>
      <c r="AY317" s="421"/>
      <c r="AZ317" s="421"/>
      <c r="BA317" s="421"/>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row>
    <row r="318" spans="1:111" ht="4.5" customHeight="1">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row>
    <row r="319" spans="1:111" ht="9" customHeight="1">
      <c r="C319" s="416" t="str">
        <f>IF(C313="","","Elemento de Despesa:")</f>
        <v>Elemento de Despesa:</v>
      </c>
      <c r="D319" s="416"/>
      <c r="E319" s="416"/>
      <c r="F319" s="416"/>
      <c r="G319" s="416"/>
      <c r="H319" s="416"/>
      <c r="J319" s="421" t="s">
        <v>216</v>
      </c>
      <c r="K319" s="421"/>
      <c r="L319" s="421"/>
      <c r="M319" s="421"/>
      <c r="N319" s="421"/>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1"/>
      <c r="AY319" s="421"/>
      <c r="AZ319" s="421"/>
      <c r="BA319" s="421"/>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row>
    <row r="320" spans="1:111" ht="9" customHeight="1">
      <c r="C320" s="416"/>
      <c r="D320" s="416"/>
      <c r="E320" s="416"/>
      <c r="F320" s="416"/>
      <c r="G320" s="416"/>
      <c r="H320" s="416"/>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c r="AF320" s="421"/>
      <c r="AG320" s="421"/>
      <c r="AH320" s="421"/>
      <c r="AI320" s="421"/>
      <c r="AJ320" s="421"/>
      <c r="AK320" s="421"/>
      <c r="AL320" s="421"/>
      <c r="AM320" s="421"/>
      <c r="AN320" s="421"/>
      <c r="AO320" s="421"/>
      <c r="AP320" s="421"/>
      <c r="AQ320" s="421"/>
      <c r="AR320" s="421"/>
      <c r="AS320" s="421"/>
      <c r="AT320" s="421"/>
      <c r="AU320" s="421"/>
      <c r="AV320" s="421"/>
      <c r="AW320" s="421"/>
      <c r="AX320" s="421"/>
      <c r="AY320" s="421"/>
      <c r="AZ320" s="421"/>
      <c r="BA320" s="421"/>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row>
    <row r="321" spans="1:111" ht="9" customHeight="1">
      <c r="C321" s="416"/>
      <c r="D321" s="416"/>
      <c r="E321" s="416"/>
      <c r="F321" s="416"/>
      <c r="G321" s="416"/>
      <c r="H321" s="416"/>
      <c r="J321" s="421"/>
      <c r="K321" s="421"/>
      <c r="L321" s="421"/>
      <c r="M321" s="421"/>
      <c r="N321" s="421"/>
      <c r="O321" s="421"/>
      <c r="P321" s="421"/>
      <c r="Q321" s="421"/>
      <c r="R321" s="421"/>
      <c r="S321" s="421"/>
      <c r="T321" s="421"/>
      <c r="U321" s="421"/>
      <c r="V321" s="421"/>
      <c r="W321" s="421"/>
      <c r="X321" s="421"/>
      <c r="Y321" s="421"/>
      <c r="Z321" s="421"/>
      <c r="AA321" s="421"/>
      <c r="AB321" s="421"/>
      <c r="AC321" s="421"/>
      <c r="AD321" s="421"/>
      <c r="AE321" s="421"/>
      <c r="AF321" s="421"/>
      <c r="AG321" s="421"/>
      <c r="AH321" s="421"/>
      <c r="AI321" s="421"/>
      <c r="AJ321" s="421"/>
      <c r="AK321" s="421"/>
      <c r="AL321" s="421"/>
      <c r="AM321" s="421"/>
      <c r="AN321" s="421"/>
      <c r="AO321" s="421"/>
      <c r="AP321" s="421"/>
      <c r="AQ321" s="421"/>
      <c r="AR321" s="421"/>
      <c r="AS321" s="421"/>
      <c r="AT321" s="421"/>
      <c r="AU321" s="421"/>
      <c r="AV321" s="421"/>
      <c r="AW321" s="421"/>
      <c r="AX321" s="421"/>
      <c r="AY321" s="421"/>
      <c r="AZ321" s="421"/>
      <c r="BA321" s="421"/>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row>
    <row r="322" spans="1:111" ht="4.5" customHeight="1">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row>
    <row r="323" spans="1:111" ht="9" customHeight="1">
      <c r="A323" s="61" t="str">
        <f>CONCATENATE(Q323,AC323)</f>
        <v>21</v>
      </c>
      <c r="J323" s="416" t="str">
        <f>IF(C313="","","Meta Vinculada:")</f>
        <v>Meta Vinculada:</v>
      </c>
      <c r="K323" s="416"/>
      <c r="L323" s="416"/>
      <c r="M323" s="416"/>
      <c r="N323" s="416"/>
      <c r="O323" s="416"/>
      <c r="Q323" s="417">
        <v>2</v>
      </c>
      <c r="R323" s="417"/>
      <c r="S323" s="417"/>
      <c r="T323" s="417"/>
      <c r="U323" s="56"/>
      <c r="V323" s="416" t="str">
        <f>IF(C313="","","Etapa Vinculada:")</f>
        <v>Etapa Vinculada:</v>
      </c>
      <c r="W323" s="416"/>
      <c r="X323" s="416"/>
      <c r="Y323" s="416"/>
      <c r="Z323" s="416"/>
      <c r="AA323" s="416"/>
      <c r="AC323" s="417">
        <v>1</v>
      </c>
      <c r="AD323" s="417"/>
      <c r="AE323" s="417"/>
      <c r="AF323" s="417"/>
      <c r="AG323" s="56"/>
      <c r="AH323" s="56"/>
      <c r="AI323" s="56"/>
      <c r="AJ323" s="56"/>
      <c r="AK323" s="141"/>
      <c r="AL323" s="141"/>
      <c r="AM323" s="141"/>
      <c r="AN323" s="141"/>
      <c r="AO323" s="140"/>
      <c r="AP323" s="140"/>
      <c r="AQ323" s="140"/>
      <c r="AR323" s="140"/>
      <c r="AS323" s="142"/>
      <c r="AT323" s="142"/>
      <c r="AU323" s="142"/>
      <c r="AV323" s="142"/>
      <c r="AW323" s="140"/>
      <c r="AX323" s="140"/>
      <c r="AY323" s="140"/>
      <c r="AZ323" s="140"/>
      <c r="BA323" s="140"/>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row>
    <row r="324" spans="1:111" ht="9" customHeight="1">
      <c r="B324" s="55"/>
      <c r="C324" s="55"/>
      <c r="D324" s="56"/>
      <c r="E324" s="56"/>
      <c r="F324" s="56"/>
      <c r="G324" s="56"/>
      <c r="H324" s="56"/>
      <c r="I324" s="56"/>
      <c r="J324" s="416"/>
      <c r="K324" s="416"/>
      <c r="L324" s="416"/>
      <c r="M324" s="416"/>
      <c r="N324" s="416"/>
      <c r="O324" s="416"/>
      <c r="Q324" s="417"/>
      <c r="R324" s="417"/>
      <c r="S324" s="417"/>
      <c r="T324" s="417"/>
      <c r="U324" s="56"/>
      <c r="V324" s="416"/>
      <c r="W324" s="416"/>
      <c r="X324" s="416"/>
      <c r="Y324" s="416"/>
      <c r="Z324" s="416"/>
      <c r="AA324" s="416"/>
      <c r="AC324" s="417"/>
      <c r="AD324" s="417"/>
      <c r="AE324" s="417"/>
      <c r="AF324" s="417"/>
      <c r="AG324" s="56"/>
      <c r="AH324" s="56"/>
      <c r="AI324" s="56"/>
      <c r="AJ324" s="56"/>
      <c r="AK324" s="141"/>
      <c r="AL324" s="141"/>
      <c r="AM324" s="141"/>
      <c r="AN324" s="141"/>
      <c r="AO324" s="140"/>
      <c r="AP324" s="140"/>
      <c r="AQ324" s="140"/>
      <c r="AR324" s="140"/>
      <c r="AS324" s="142"/>
      <c r="AT324" s="142"/>
      <c r="AU324" s="142"/>
      <c r="AV324" s="142"/>
      <c r="AW324" s="140"/>
      <c r="AX324" s="140"/>
      <c r="AY324" s="140"/>
      <c r="AZ324" s="140"/>
      <c r="BA324" s="140"/>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row>
    <row r="325" spans="1:111" ht="9" customHeight="1">
      <c r="Q325" s="417"/>
      <c r="R325" s="417"/>
      <c r="S325" s="417"/>
      <c r="T325" s="417"/>
      <c r="AC325" s="417"/>
      <c r="AD325" s="417"/>
      <c r="AE325" s="417"/>
      <c r="AF325" s="417"/>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row>
    <row r="326" spans="1:111" ht="4.5" customHeight="1">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row>
    <row r="327" spans="1:111" ht="9" customHeight="1">
      <c r="A327" s="154"/>
      <c r="B327" s="154"/>
      <c r="C327" s="154"/>
      <c r="D327" s="154"/>
      <c r="E327" s="154"/>
      <c r="F327" s="154"/>
      <c r="G327" s="154"/>
      <c r="H327" s="154"/>
      <c r="I327" s="154"/>
      <c r="J327" s="416" t="str">
        <f>IF(C313="","","Quantidade:")</f>
        <v>Quantidade:</v>
      </c>
      <c r="K327" s="416"/>
      <c r="L327" s="416"/>
      <c r="M327" s="416"/>
      <c r="N327" s="416"/>
      <c r="O327" s="416"/>
      <c r="P327" s="154"/>
      <c r="Q327" s="417">
        <v>1350</v>
      </c>
      <c r="R327" s="417"/>
      <c r="S327" s="417"/>
      <c r="T327" s="417"/>
      <c r="U327" s="154"/>
      <c r="V327" s="416" t="str">
        <f>IF(C313="","","Unidade:")</f>
        <v>Unidade:</v>
      </c>
      <c r="W327" s="416"/>
      <c r="X327" s="416"/>
      <c r="Y327" s="416"/>
      <c r="Z327" s="416"/>
      <c r="AA327" s="416"/>
      <c r="AB327" s="154"/>
      <c r="AC327" s="418" t="s">
        <v>568</v>
      </c>
      <c r="AD327" s="418"/>
      <c r="AE327" s="418"/>
      <c r="AF327" s="418"/>
      <c r="AG327" s="418"/>
      <c r="AH327" s="418"/>
      <c r="AI327" s="418"/>
      <c r="AJ327" s="418"/>
      <c r="AK327" s="418"/>
      <c r="AL327" s="418"/>
      <c r="AM327" s="418"/>
      <c r="AN327" s="418"/>
      <c r="AO327" s="418"/>
      <c r="AP327" s="418"/>
      <c r="AQ327" s="418"/>
      <c r="AR327" s="418"/>
      <c r="AS327" s="418"/>
      <c r="AT327" s="418"/>
      <c r="AU327" s="418"/>
      <c r="AV327" s="418"/>
      <c r="AW327" s="418"/>
      <c r="AX327" s="418"/>
      <c r="AY327" s="418"/>
      <c r="AZ327" s="418"/>
      <c r="BA327" s="418"/>
      <c r="BB327" s="154"/>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row>
    <row r="328" spans="1:111" ht="9" customHeight="1">
      <c r="A328" s="154"/>
      <c r="B328" s="154"/>
      <c r="C328" s="154"/>
      <c r="D328" s="154"/>
      <c r="E328" s="154"/>
      <c r="F328" s="154"/>
      <c r="G328" s="154"/>
      <c r="H328" s="154"/>
      <c r="I328" s="154"/>
      <c r="J328" s="416"/>
      <c r="K328" s="416"/>
      <c r="L328" s="416"/>
      <c r="M328" s="416"/>
      <c r="N328" s="416"/>
      <c r="O328" s="416"/>
      <c r="P328" s="154"/>
      <c r="Q328" s="417"/>
      <c r="R328" s="417"/>
      <c r="S328" s="417"/>
      <c r="T328" s="417"/>
      <c r="U328" s="154"/>
      <c r="V328" s="416"/>
      <c r="W328" s="416"/>
      <c r="X328" s="416"/>
      <c r="Y328" s="416"/>
      <c r="Z328" s="416"/>
      <c r="AA328" s="416"/>
      <c r="AB328" s="154"/>
      <c r="AC328" s="418"/>
      <c r="AD328" s="418"/>
      <c r="AE328" s="418"/>
      <c r="AF328" s="418"/>
      <c r="AG328" s="418"/>
      <c r="AH328" s="418"/>
      <c r="AI328" s="418"/>
      <c r="AJ328" s="418"/>
      <c r="AK328" s="418"/>
      <c r="AL328" s="418"/>
      <c r="AM328" s="418"/>
      <c r="AN328" s="418"/>
      <c r="AO328" s="418"/>
      <c r="AP328" s="418"/>
      <c r="AQ328" s="418"/>
      <c r="AR328" s="418"/>
      <c r="AS328" s="418"/>
      <c r="AT328" s="418"/>
      <c r="AU328" s="418"/>
      <c r="AV328" s="418"/>
      <c r="AW328" s="418"/>
      <c r="AX328" s="418"/>
      <c r="AY328" s="418"/>
      <c r="AZ328" s="418"/>
      <c r="BA328" s="418"/>
      <c r="BB328" s="154"/>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row>
    <row r="329" spans="1:111" ht="9" customHeight="1">
      <c r="A329" s="154"/>
      <c r="B329" s="154"/>
      <c r="C329" s="154"/>
      <c r="D329" s="154"/>
      <c r="E329" s="154"/>
      <c r="F329" s="154"/>
      <c r="G329" s="154"/>
      <c r="H329" s="154"/>
      <c r="I329" s="154"/>
      <c r="J329" s="154"/>
      <c r="K329" s="154"/>
      <c r="L329" s="154"/>
      <c r="M329" s="154"/>
      <c r="N329" s="154"/>
      <c r="O329" s="154"/>
      <c r="P329" s="154"/>
      <c r="Q329" s="417"/>
      <c r="R329" s="417"/>
      <c r="S329" s="417"/>
      <c r="T329" s="417"/>
      <c r="U329" s="154"/>
      <c r="V329" s="154"/>
      <c r="W329" s="154"/>
      <c r="X329" s="154"/>
      <c r="Y329" s="154"/>
      <c r="Z329" s="154"/>
      <c r="AA329" s="154"/>
      <c r="AB329" s="154"/>
      <c r="AC329" s="418"/>
      <c r="AD329" s="418"/>
      <c r="AE329" s="418"/>
      <c r="AF329" s="418"/>
      <c r="AG329" s="418"/>
      <c r="AH329" s="418"/>
      <c r="AI329" s="418"/>
      <c r="AJ329" s="418"/>
      <c r="AK329" s="418"/>
      <c r="AL329" s="418"/>
      <c r="AM329" s="418"/>
      <c r="AN329" s="418"/>
      <c r="AO329" s="418"/>
      <c r="AP329" s="418"/>
      <c r="AQ329" s="418"/>
      <c r="AR329" s="418"/>
      <c r="AS329" s="418"/>
      <c r="AT329" s="418"/>
      <c r="AU329" s="418"/>
      <c r="AV329" s="418"/>
      <c r="AW329" s="418"/>
      <c r="AX329" s="418"/>
      <c r="AY329" s="418"/>
      <c r="AZ329" s="418"/>
      <c r="BA329" s="418"/>
      <c r="BB329" s="154"/>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row>
    <row r="330" spans="1:111" ht="4.5" customHeight="1">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row>
    <row r="331" spans="1:111" ht="9" customHeight="1">
      <c r="A331" s="154"/>
      <c r="B331" s="154"/>
      <c r="C331" s="154"/>
      <c r="D331" s="154"/>
      <c r="E331" s="154"/>
      <c r="F331" s="154"/>
      <c r="G331" s="154"/>
      <c r="H331" s="154"/>
      <c r="I331" s="154"/>
      <c r="J331" s="416" t="str">
        <f>IF(C313="","","Valor Unitário (R$):")</f>
        <v>Valor Unitário (R$):</v>
      </c>
      <c r="K331" s="416"/>
      <c r="L331" s="416"/>
      <c r="M331" s="416"/>
      <c r="N331" s="416"/>
      <c r="O331" s="416"/>
      <c r="P331" s="154"/>
      <c r="Q331" s="419">
        <v>384.4</v>
      </c>
      <c r="R331" s="419"/>
      <c r="S331" s="419"/>
      <c r="T331" s="419"/>
      <c r="U331" s="419"/>
      <c r="V331" s="419"/>
      <c r="W331" s="419"/>
      <c r="X331" s="419"/>
      <c r="Y331" s="154"/>
      <c r="Z331" s="416" t="str">
        <f>IF(C313="","",IF(J319="52 Equipamentos e Material Permanente","Tempo de Uso:",""))</f>
        <v/>
      </c>
      <c r="AA331" s="416"/>
      <c r="AB331" s="416"/>
      <c r="AC331" s="416"/>
      <c r="AD331" s="416"/>
      <c r="AE331" s="416"/>
      <c r="AF331" s="154"/>
      <c r="AG331" s="420"/>
      <c r="AH331" s="420"/>
      <c r="AI331" s="420"/>
      <c r="AJ331" s="420"/>
      <c r="AK331" s="420"/>
      <c r="AL331" s="420"/>
      <c r="AM331" s="420"/>
      <c r="AN331" s="420"/>
      <c r="AO331" s="420"/>
      <c r="AP331" s="420"/>
      <c r="AQ331" s="420"/>
      <c r="AR331" s="420"/>
      <c r="AS331" s="420"/>
      <c r="AT331" s="420"/>
      <c r="AU331" s="420"/>
      <c r="AV331" s="420"/>
      <c r="AW331" s="420"/>
      <c r="AX331" s="420"/>
      <c r="AY331" s="420"/>
      <c r="AZ331" s="420"/>
      <c r="BA331" s="420"/>
      <c r="BB331" s="154"/>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row>
    <row r="332" spans="1:111" ht="9" customHeight="1">
      <c r="A332" s="154"/>
      <c r="B332" s="154"/>
      <c r="C332" s="154"/>
      <c r="D332" s="154"/>
      <c r="E332" s="154"/>
      <c r="F332" s="154"/>
      <c r="G332" s="154"/>
      <c r="H332" s="154"/>
      <c r="I332" s="154"/>
      <c r="J332" s="416"/>
      <c r="K332" s="416"/>
      <c r="L332" s="416"/>
      <c r="M332" s="416"/>
      <c r="N332" s="416"/>
      <c r="O332" s="416"/>
      <c r="P332" s="154"/>
      <c r="Q332" s="419"/>
      <c r="R332" s="419"/>
      <c r="S332" s="419"/>
      <c r="T332" s="419"/>
      <c r="U332" s="419"/>
      <c r="V332" s="419"/>
      <c r="W332" s="419"/>
      <c r="X332" s="419"/>
      <c r="Y332" s="154"/>
      <c r="Z332" s="416"/>
      <c r="AA332" s="416"/>
      <c r="AB332" s="416"/>
      <c r="AC332" s="416"/>
      <c r="AD332" s="416"/>
      <c r="AE332" s="416"/>
      <c r="AF332" s="154"/>
      <c r="AG332" s="420"/>
      <c r="AH332" s="420"/>
      <c r="AI332" s="420"/>
      <c r="AJ332" s="420"/>
      <c r="AK332" s="420"/>
      <c r="AL332" s="420"/>
      <c r="AM332" s="420"/>
      <c r="AN332" s="420"/>
      <c r="AO332" s="420"/>
      <c r="AP332" s="420"/>
      <c r="AQ332" s="420"/>
      <c r="AR332" s="420"/>
      <c r="AS332" s="420"/>
      <c r="AT332" s="420"/>
      <c r="AU332" s="420"/>
      <c r="AV332" s="420"/>
      <c r="AW332" s="420"/>
      <c r="AX332" s="420"/>
      <c r="AY332" s="420"/>
      <c r="AZ332" s="420"/>
      <c r="BA332" s="420"/>
      <c r="BB332" s="154"/>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row>
    <row r="333" spans="1:111" ht="9" customHeight="1">
      <c r="A333" s="154"/>
      <c r="B333" s="154"/>
      <c r="C333" s="154"/>
      <c r="D333" s="154"/>
      <c r="E333" s="154"/>
      <c r="F333" s="154"/>
      <c r="G333" s="154"/>
      <c r="H333" s="154"/>
      <c r="I333" s="154"/>
      <c r="J333" s="154"/>
      <c r="K333" s="154"/>
      <c r="L333" s="154"/>
      <c r="M333" s="154"/>
      <c r="N333" s="154"/>
      <c r="O333" s="154"/>
      <c r="P333" s="154"/>
      <c r="Q333" s="419"/>
      <c r="R333" s="419"/>
      <c r="S333" s="419"/>
      <c r="T333" s="419"/>
      <c r="U333" s="419"/>
      <c r="V333" s="419"/>
      <c r="W333" s="419"/>
      <c r="X333" s="419"/>
      <c r="Y333" s="154"/>
      <c r="Z333" s="154"/>
      <c r="AA333" s="154"/>
      <c r="AB333" s="154"/>
      <c r="AC333" s="154"/>
      <c r="AD333" s="154"/>
      <c r="AE333" s="154"/>
      <c r="AF333" s="154"/>
      <c r="AG333" s="420"/>
      <c r="AH333" s="420"/>
      <c r="AI333" s="420"/>
      <c r="AJ333" s="420"/>
      <c r="AK333" s="420"/>
      <c r="AL333" s="420"/>
      <c r="AM333" s="420"/>
      <c r="AN333" s="420"/>
      <c r="AO333" s="420"/>
      <c r="AP333" s="420"/>
      <c r="AQ333" s="420"/>
      <c r="AR333" s="420"/>
      <c r="AS333" s="420"/>
      <c r="AT333" s="420"/>
      <c r="AU333" s="420"/>
      <c r="AV333" s="420"/>
      <c r="AW333" s="420"/>
      <c r="AX333" s="420"/>
      <c r="AY333" s="420"/>
      <c r="AZ333" s="420"/>
      <c r="BA333" s="420"/>
      <c r="BB333" s="154"/>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row>
    <row r="334" spans="1:111" ht="4.5" customHeight="1">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row>
    <row r="335" spans="1:111" ht="9" customHeight="1">
      <c r="A335" s="154"/>
      <c r="B335" s="154"/>
      <c r="C335" s="154"/>
      <c r="D335" s="154"/>
      <c r="E335" s="154"/>
      <c r="F335" s="154"/>
      <c r="G335" s="154"/>
      <c r="H335" s="154"/>
      <c r="I335" s="154"/>
      <c r="J335" s="416" t="str">
        <f>IF(C313="","","Valor Total (R$):")</f>
        <v>Valor Total (R$):</v>
      </c>
      <c r="K335" s="416"/>
      <c r="L335" s="416"/>
      <c r="M335" s="416"/>
      <c r="N335" s="416"/>
      <c r="O335" s="416"/>
      <c r="P335" s="154"/>
      <c r="Q335" s="419">
        <f>IF(Q331="","",Q327*Q331)</f>
        <v>518939.99999999994</v>
      </c>
      <c r="R335" s="419"/>
      <c r="S335" s="419"/>
      <c r="T335" s="419"/>
      <c r="U335" s="419"/>
      <c r="V335" s="419"/>
      <c r="W335" s="419"/>
      <c r="X335" s="419"/>
      <c r="Y335" s="154"/>
      <c r="Z335" s="416" t="str">
        <f>IF(C313="","",IF(J319="52 Equipamentos e Material Permanente","Justificativa e Utilização:",""))</f>
        <v/>
      </c>
      <c r="AA335" s="416"/>
      <c r="AB335" s="416"/>
      <c r="AC335" s="416"/>
      <c r="AD335" s="416"/>
      <c r="AE335" s="416"/>
      <c r="AF335" s="154"/>
      <c r="AG335" s="420"/>
      <c r="AH335" s="420"/>
      <c r="AI335" s="420"/>
      <c r="AJ335" s="420"/>
      <c r="AK335" s="420"/>
      <c r="AL335" s="420"/>
      <c r="AM335" s="420"/>
      <c r="AN335" s="420"/>
      <c r="AO335" s="420"/>
      <c r="AP335" s="420"/>
      <c r="AQ335" s="420"/>
      <c r="AR335" s="420"/>
      <c r="AS335" s="420"/>
      <c r="AT335" s="420"/>
      <c r="AU335" s="420"/>
      <c r="AV335" s="420"/>
      <c r="AW335" s="420"/>
      <c r="AX335" s="420"/>
      <c r="AY335" s="420"/>
      <c r="AZ335" s="420"/>
      <c r="BA335" s="420"/>
      <c r="BB335" s="154"/>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row>
    <row r="336" spans="1:111" ht="9" customHeight="1">
      <c r="A336" s="154"/>
      <c r="B336" s="154"/>
      <c r="C336" s="154"/>
      <c r="D336" s="154"/>
      <c r="E336" s="154"/>
      <c r="F336" s="154"/>
      <c r="G336" s="154"/>
      <c r="H336" s="154"/>
      <c r="I336" s="154"/>
      <c r="J336" s="416"/>
      <c r="K336" s="416"/>
      <c r="L336" s="416"/>
      <c r="M336" s="416"/>
      <c r="N336" s="416"/>
      <c r="O336" s="416"/>
      <c r="P336" s="154"/>
      <c r="Q336" s="419"/>
      <c r="R336" s="419"/>
      <c r="S336" s="419"/>
      <c r="T336" s="419"/>
      <c r="U336" s="419"/>
      <c r="V336" s="419"/>
      <c r="W336" s="419"/>
      <c r="X336" s="419"/>
      <c r="Y336" s="154"/>
      <c r="Z336" s="416"/>
      <c r="AA336" s="416"/>
      <c r="AB336" s="416"/>
      <c r="AC336" s="416"/>
      <c r="AD336" s="416"/>
      <c r="AE336" s="416"/>
      <c r="AF336" s="154"/>
      <c r="AG336" s="420"/>
      <c r="AH336" s="420"/>
      <c r="AI336" s="420"/>
      <c r="AJ336" s="420"/>
      <c r="AK336" s="420"/>
      <c r="AL336" s="420"/>
      <c r="AM336" s="420"/>
      <c r="AN336" s="420"/>
      <c r="AO336" s="420"/>
      <c r="AP336" s="420"/>
      <c r="AQ336" s="420"/>
      <c r="AR336" s="420"/>
      <c r="AS336" s="420"/>
      <c r="AT336" s="420"/>
      <c r="AU336" s="420"/>
      <c r="AV336" s="420"/>
      <c r="AW336" s="420"/>
      <c r="AX336" s="420"/>
      <c r="AY336" s="420"/>
      <c r="AZ336" s="420"/>
      <c r="BA336" s="420"/>
      <c r="BB336" s="154"/>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row>
    <row r="337" spans="1:111" ht="9" customHeight="1">
      <c r="A337" s="154"/>
      <c r="B337" s="154"/>
      <c r="C337" s="154"/>
      <c r="D337" s="154"/>
      <c r="E337" s="154"/>
      <c r="F337" s="154"/>
      <c r="G337" s="154"/>
      <c r="H337" s="154"/>
      <c r="I337" s="154"/>
      <c r="J337" s="154"/>
      <c r="K337" s="154"/>
      <c r="L337" s="154"/>
      <c r="M337" s="154"/>
      <c r="N337" s="154"/>
      <c r="O337" s="154"/>
      <c r="P337" s="154"/>
      <c r="Q337" s="419"/>
      <c r="R337" s="419"/>
      <c r="S337" s="419"/>
      <c r="T337" s="419"/>
      <c r="U337" s="419"/>
      <c r="V337" s="419"/>
      <c r="W337" s="419"/>
      <c r="X337" s="419"/>
      <c r="Y337" s="154"/>
      <c r="Z337" s="154"/>
      <c r="AA337" s="154"/>
      <c r="AB337" s="154"/>
      <c r="AC337" s="154"/>
      <c r="AD337" s="154"/>
      <c r="AE337" s="154"/>
      <c r="AF337" s="154"/>
      <c r="AG337" s="420"/>
      <c r="AH337" s="420"/>
      <c r="AI337" s="420"/>
      <c r="AJ337" s="420"/>
      <c r="AK337" s="420"/>
      <c r="AL337" s="420"/>
      <c r="AM337" s="420"/>
      <c r="AN337" s="420"/>
      <c r="AO337" s="420"/>
      <c r="AP337" s="420"/>
      <c r="AQ337" s="420"/>
      <c r="AR337" s="420"/>
      <c r="AS337" s="420"/>
      <c r="AT337" s="420"/>
      <c r="AU337" s="420"/>
      <c r="AV337" s="420"/>
      <c r="AW337" s="420"/>
      <c r="AX337" s="420"/>
      <c r="AY337" s="420"/>
      <c r="AZ337" s="420"/>
      <c r="BA337" s="420"/>
      <c r="BB337" s="154"/>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row>
    <row r="338" spans="1:111" ht="9" customHeight="1">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420"/>
      <c r="AH338" s="420"/>
      <c r="AI338" s="420"/>
      <c r="AJ338" s="420"/>
      <c r="AK338" s="420"/>
      <c r="AL338" s="420"/>
      <c r="AM338" s="420"/>
      <c r="AN338" s="420"/>
      <c r="AO338" s="420"/>
      <c r="AP338" s="420"/>
      <c r="AQ338" s="420"/>
      <c r="AR338" s="420"/>
      <c r="AS338" s="420"/>
      <c r="AT338" s="420"/>
      <c r="AU338" s="420"/>
      <c r="AV338" s="420"/>
      <c r="AW338" s="420"/>
      <c r="AX338" s="420"/>
      <c r="AY338" s="420"/>
      <c r="AZ338" s="420"/>
      <c r="BA338" s="420"/>
      <c r="BB338" s="154"/>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row>
    <row r="339" spans="1:111" ht="9" customHeight="1">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420"/>
      <c r="AH339" s="420"/>
      <c r="AI339" s="420"/>
      <c r="AJ339" s="420"/>
      <c r="AK339" s="420"/>
      <c r="AL339" s="420"/>
      <c r="AM339" s="420"/>
      <c r="AN339" s="420"/>
      <c r="AO339" s="420"/>
      <c r="AP339" s="420"/>
      <c r="AQ339" s="420"/>
      <c r="AR339" s="420"/>
      <c r="AS339" s="420"/>
      <c r="AT339" s="420"/>
      <c r="AU339" s="420"/>
      <c r="AV339" s="420"/>
      <c r="AW339" s="420"/>
      <c r="AX339" s="420"/>
      <c r="AY339" s="420"/>
      <c r="AZ339" s="420"/>
      <c r="BA339" s="420"/>
      <c r="BB339" s="154"/>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row>
    <row r="340" spans="1:111" ht="9" customHeight="1">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420"/>
      <c r="AH340" s="420"/>
      <c r="AI340" s="420"/>
      <c r="AJ340" s="420"/>
      <c r="AK340" s="420"/>
      <c r="AL340" s="420"/>
      <c r="AM340" s="420"/>
      <c r="AN340" s="420"/>
      <c r="AO340" s="420"/>
      <c r="AP340" s="420"/>
      <c r="AQ340" s="420"/>
      <c r="AR340" s="420"/>
      <c r="AS340" s="420"/>
      <c r="AT340" s="420"/>
      <c r="AU340" s="420"/>
      <c r="AV340" s="420"/>
      <c r="AW340" s="420"/>
      <c r="AX340" s="420"/>
      <c r="AY340" s="420"/>
      <c r="AZ340" s="420"/>
      <c r="BA340" s="420"/>
      <c r="BB340" s="154"/>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row>
    <row r="341" spans="1:111" ht="15" customHeight="1">
      <c r="B341" s="55"/>
      <c r="C341" s="55"/>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141"/>
      <c r="AL341" s="141"/>
      <c r="AM341" s="141"/>
      <c r="AN341" s="141"/>
      <c r="AO341" s="140"/>
      <c r="AP341" s="140"/>
      <c r="AQ341" s="140"/>
      <c r="AR341" s="140"/>
      <c r="AS341" s="142"/>
      <c r="AT341" s="142"/>
      <c r="AU341" s="142"/>
      <c r="AV341" s="142"/>
      <c r="AW341" s="140"/>
      <c r="AX341" s="140"/>
      <c r="AY341" s="140"/>
      <c r="AZ341" s="140"/>
      <c r="BA341" s="140"/>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row>
    <row r="342" spans="1:111" ht="15" customHeight="1">
      <c r="B342" s="55"/>
      <c r="C342" s="422" t="str">
        <f>IF($AA$165&gt;=7,"DESPESA 7","")</f>
        <v>DESPESA 7</v>
      </c>
      <c r="D342" s="422"/>
      <c r="E342" s="422"/>
      <c r="F342" s="422"/>
      <c r="G342" s="422"/>
      <c r="H342" s="422"/>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141"/>
      <c r="AL342" s="141"/>
      <c r="AM342" s="141"/>
      <c r="AN342" s="141"/>
      <c r="AO342" s="140"/>
      <c r="AP342" s="140"/>
      <c r="AQ342" s="140"/>
      <c r="AR342" s="140"/>
      <c r="AS342" s="142"/>
      <c r="AT342" s="142"/>
      <c r="AU342" s="142"/>
      <c r="AV342" s="142"/>
      <c r="AW342" s="140"/>
      <c r="AX342" s="140"/>
      <c r="AY342" s="140"/>
      <c r="AZ342" s="140"/>
      <c r="BA342" s="140"/>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row>
    <row r="343" spans="1:111" ht="4.5" customHeight="1">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row>
    <row r="344" spans="1:111" ht="9" customHeight="1">
      <c r="C344" s="416" t="str">
        <f>IF(C342="","","Descrição da Despesa:")</f>
        <v>Descrição da Despesa:</v>
      </c>
      <c r="D344" s="416"/>
      <c r="E344" s="416"/>
      <c r="F344" s="416"/>
      <c r="G344" s="416"/>
      <c r="H344" s="416"/>
      <c r="I344" s="60"/>
      <c r="J344" s="421" t="s">
        <v>571</v>
      </c>
      <c r="K344" s="421"/>
      <c r="L344" s="421"/>
      <c r="M344" s="421"/>
      <c r="N344" s="421"/>
      <c r="O344" s="421"/>
      <c r="P344" s="421"/>
      <c r="Q344" s="421"/>
      <c r="R344" s="421"/>
      <c r="S344" s="421"/>
      <c r="T344" s="421"/>
      <c r="U344" s="421"/>
      <c r="V344" s="421"/>
      <c r="W344" s="421"/>
      <c r="X344" s="421"/>
      <c r="Y344" s="421"/>
      <c r="Z344" s="421"/>
      <c r="AA344" s="421"/>
      <c r="AB344" s="421"/>
      <c r="AC344" s="421"/>
      <c r="AD344" s="421"/>
      <c r="AE344" s="421"/>
      <c r="AF344" s="421"/>
      <c r="AG344" s="421"/>
      <c r="AH344" s="421"/>
      <c r="AI344" s="421"/>
      <c r="AJ344" s="421"/>
      <c r="AK344" s="421"/>
      <c r="AL344" s="421"/>
      <c r="AM344" s="421"/>
      <c r="AN344" s="421"/>
      <c r="AO344" s="421"/>
      <c r="AP344" s="421"/>
      <c r="AQ344" s="421"/>
      <c r="AR344" s="421"/>
      <c r="AS344" s="421"/>
      <c r="AT344" s="421"/>
      <c r="AU344" s="421"/>
      <c r="AV344" s="421"/>
      <c r="AW344" s="421"/>
      <c r="AX344" s="421"/>
      <c r="AY344" s="421"/>
      <c r="AZ344" s="421"/>
      <c r="BA344" s="421"/>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row>
    <row r="345" spans="1:111" ht="9" customHeight="1">
      <c r="C345" s="416"/>
      <c r="D345" s="416"/>
      <c r="E345" s="416"/>
      <c r="F345" s="416"/>
      <c r="G345" s="416"/>
      <c r="H345" s="416"/>
      <c r="I345" s="60"/>
      <c r="J345" s="421"/>
      <c r="K345" s="421"/>
      <c r="L345" s="421"/>
      <c r="M345" s="421"/>
      <c r="N345" s="421"/>
      <c r="O345" s="421"/>
      <c r="P345" s="421"/>
      <c r="Q345" s="421"/>
      <c r="R345" s="421"/>
      <c r="S345" s="421"/>
      <c r="T345" s="421"/>
      <c r="U345" s="421"/>
      <c r="V345" s="421"/>
      <c r="W345" s="421"/>
      <c r="X345" s="421"/>
      <c r="Y345" s="421"/>
      <c r="Z345" s="421"/>
      <c r="AA345" s="421"/>
      <c r="AB345" s="421"/>
      <c r="AC345" s="421"/>
      <c r="AD345" s="421"/>
      <c r="AE345" s="421"/>
      <c r="AF345" s="421"/>
      <c r="AG345" s="421"/>
      <c r="AH345" s="421"/>
      <c r="AI345" s="421"/>
      <c r="AJ345" s="421"/>
      <c r="AK345" s="421"/>
      <c r="AL345" s="421"/>
      <c r="AM345" s="421"/>
      <c r="AN345" s="421"/>
      <c r="AO345" s="421"/>
      <c r="AP345" s="421"/>
      <c r="AQ345" s="421"/>
      <c r="AR345" s="421"/>
      <c r="AS345" s="421"/>
      <c r="AT345" s="421"/>
      <c r="AU345" s="421"/>
      <c r="AV345" s="421"/>
      <c r="AW345" s="421"/>
      <c r="AX345" s="421"/>
      <c r="AY345" s="421"/>
      <c r="AZ345" s="421"/>
      <c r="BA345" s="421"/>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row>
    <row r="346" spans="1:111" ht="9" customHeight="1">
      <c r="C346" s="416"/>
      <c r="D346" s="416"/>
      <c r="E346" s="416"/>
      <c r="F346" s="416"/>
      <c r="G346" s="416"/>
      <c r="H346" s="416"/>
      <c r="I346" s="60"/>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c r="AF346" s="421"/>
      <c r="AG346" s="421"/>
      <c r="AH346" s="421"/>
      <c r="AI346" s="421"/>
      <c r="AJ346" s="421"/>
      <c r="AK346" s="421"/>
      <c r="AL346" s="421"/>
      <c r="AM346" s="421"/>
      <c r="AN346" s="421"/>
      <c r="AO346" s="421"/>
      <c r="AP346" s="421"/>
      <c r="AQ346" s="421"/>
      <c r="AR346" s="421"/>
      <c r="AS346" s="421"/>
      <c r="AT346" s="421"/>
      <c r="AU346" s="421"/>
      <c r="AV346" s="421"/>
      <c r="AW346" s="421"/>
      <c r="AX346" s="421"/>
      <c r="AY346" s="421"/>
      <c r="AZ346" s="421"/>
      <c r="BA346" s="421"/>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row>
    <row r="347" spans="1:111" ht="4.5" customHeight="1">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row>
    <row r="348" spans="1:111" ht="9" customHeight="1">
      <c r="C348" s="416" t="str">
        <f>IF(C342="","","Elemento de Despesa:")</f>
        <v>Elemento de Despesa:</v>
      </c>
      <c r="D348" s="416"/>
      <c r="E348" s="416"/>
      <c r="F348" s="416"/>
      <c r="G348" s="416"/>
      <c r="H348" s="416"/>
      <c r="J348" s="421" t="s">
        <v>216</v>
      </c>
      <c r="K348" s="421"/>
      <c r="L348" s="421"/>
      <c r="M348" s="421"/>
      <c r="N348" s="421"/>
      <c r="O348" s="421"/>
      <c r="P348" s="421"/>
      <c r="Q348" s="421"/>
      <c r="R348" s="421"/>
      <c r="S348" s="421"/>
      <c r="T348" s="421"/>
      <c r="U348" s="421"/>
      <c r="V348" s="421"/>
      <c r="W348" s="421"/>
      <c r="X348" s="421"/>
      <c r="Y348" s="421"/>
      <c r="Z348" s="421"/>
      <c r="AA348" s="421"/>
      <c r="AB348" s="421"/>
      <c r="AC348" s="421"/>
      <c r="AD348" s="421"/>
      <c r="AE348" s="421"/>
      <c r="AF348" s="421"/>
      <c r="AG348" s="421"/>
      <c r="AH348" s="421"/>
      <c r="AI348" s="421"/>
      <c r="AJ348" s="421"/>
      <c r="AK348" s="421"/>
      <c r="AL348" s="421"/>
      <c r="AM348" s="421"/>
      <c r="AN348" s="421"/>
      <c r="AO348" s="421"/>
      <c r="AP348" s="421"/>
      <c r="AQ348" s="421"/>
      <c r="AR348" s="421"/>
      <c r="AS348" s="421"/>
      <c r="AT348" s="421"/>
      <c r="AU348" s="421"/>
      <c r="AV348" s="421"/>
      <c r="AW348" s="421"/>
      <c r="AX348" s="421"/>
      <c r="AY348" s="421"/>
      <c r="AZ348" s="421"/>
      <c r="BA348" s="421"/>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row>
    <row r="349" spans="1:111" ht="9" customHeight="1">
      <c r="C349" s="416"/>
      <c r="D349" s="416"/>
      <c r="E349" s="416"/>
      <c r="F349" s="416"/>
      <c r="G349" s="416"/>
      <c r="H349" s="416"/>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c r="AN349" s="421"/>
      <c r="AO349" s="421"/>
      <c r="AP349" s="421"/>
      <c r="AQ349" s="421"/>
      <c r="AR349" s="421"/>
      <c r="AS349" s="421"/>
      <c r="AT349" s="421"/>
      <c r="AU349" s="421"/>
      <c r="AV349" s="421"/>
      <c r="AW349" s="421"/>
      <c r="AX349" s="421"/>
      <c r="AY349" s="421"/>
      <c r="AZ349" s="421"/>
      <c r="BA349" s="421"/>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row>
    <row r="350" spans="1:111" ht="9" customHeight="1">
      <c r="C350" s="416"/>
      <c r="D350" s="416"/>
      <c r="E350" s="416"/>
      <c r="F350" s="416"/>
      <c r="G350" s="416"/>
      <c r="H350" s="416"/>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1"/>
      <c r="AK350" s="421"/>
      <c r="AL350" s="421"/>
      <c r="AM350" s="421"/>
      <c r="AN350" s="421"/>
      <c r="AO350" s="421"/>
      <c r="AP350" s="421"/>
      <c r="AQ350" s="421"/>
      <c r="AR350" s="421"/>
      <c r="AS350" s="421"/>
      <c r="AT350" s="421"/>
      <c r="AU350" s="421"/>
      <c r="AV350" s="421"/>
      <c r="AW350" s="421"/>
      <c r="AX350" s="421"/>
      <c r="AY350" s="421"/>
      <c r="AZ350" s="421"/>
      <c r="BA350" s="421"/>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row>
    <row r="351" spans="1:111" ht="4.5" customHeight="1">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row>
    <row r="352" spans="1:111" ht="9" customHeight="1">
      <c r="A352" s="61" t="str">
        <f>CONCATENATE(Q352,AC352)</f>
        <v>22</v>
      </c>
      <c r="J352" s="416" t="str">
        <f>IF(C342="","","Meta Vinculada:")</f>
        <v>Meta Vinculada:</v>
      </c>
      <c r="K352" s="416"/>
      <c r="L352" s="416"/>
      <c r="M352" s="416"/>
      <c r="N352" s="416"/>
      <c r="O352" s="416"/>
      <c r="Q352" s="417">
        <v>2</v>
      </c>
      <c r="R352" s="417"/>
      <c r="S352" s="417"/>
      <c r="T352" s="417"/>
      <c r="U352" s="56"/>
      <c r="V352" s="416" t="str">
        <f>IF(C342="","","Etapa Vinculada:")</f>
        <v>Etapa Vinculada:</v>
      </c>
      <c r="W352" s="416"/>
      <c r="X352" s="416"/>
      <c r="Y352" s="416"/>
      <c r="Z352" s="416"/>
      <c r="AA352" s="416"/>
      <c r="AC352" s="417">
        <v>2</v>
      </c>
      <c r="AD352" s="417"/>
      <c r="AE352" s="417"/>
      <c r="AF352" s="417"/>
      <c r="AG352" s="56"/>
      <c r="AH352" s="56"/>
      <c r="AI352" s="56"/>
      <c r="AJ352" s="56"/>
      <c r="AK352" s="141"/>
      <c r="AL352" s="141"/>
      <c r="AM352" s="141"/>
      <c r="AN352" s="141"/>
      <c r="AO352" s="140"/>
      <c r="AP352" s="140"/>
      <c r="AQ352" s="140"/>
      <c r="AR352" s="140"/>
      <c r="AS352" s="142"/>
      <c r="AT352" s="142"/>
      <c r="AU352" s="142"/>
      <c r="AV352" s="142"/>
      <c r="AW352" s="140"/>
      <c r="AX352" s="140"/>
      <c r="AY352" s="140"/>
      <c r="AZ352" s="140"/>
      <c r="BA352" s="140"/>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row>
    <row r="353" spans="1:111" ht="9" customHeight="1">
      <c r="B353" s="55"/>
      <c r="C353" s="55"/>
      <c r="D353" s="56"/>
      <c r="E353" s="56"/>
      <c r="F353" s="56"/>
      <c r="G353" s="56"/>
      <c r="H353" s="56"/>
      <c r="I353" s="56"/>
      <c r="J353" s="416"/>
      <c r="K353" s="416"/>
      <c r="L353" s="416"/>
      <c r="M353" s="416"/>
      <c r="N353" s="416"/>
      <c r="O353" s="416"/>
      <c r="Q353" s="417"/>
      <c r="R353" s="417"/>
      <c r="S353" s="417"/>
      <c r="T353" s="417"/>
      <c r="U353" s="56"/>
      <c r="V353" s="416"/>
      <c r="W353" s="416"/>
      <c r="X353" s="416"/>
      <c r="Y353" s="416"/>
      <c r="Z353" s="416"/>
      <c r="AA353" s="416"/>
      <c r="AC353" s="417"/>
      <c r="AD353" s="417"/>
      <c r="AE353" s="417"/>
      <c r="AF353" s="417"/>
      <c r="AG353" s="56"/>
      <c r="AH353" s="56"/>
      <c r="AI353" s="56"/>
      <c r="AJ353" s="56"/>
      <c r="AK353" s="141"/>
      <c r="AL353" s="141"/>
      <c r="AM353" s="141"/>
      <c r="AN353" s="141"/>
      <c r="AO353" s="140"/>
      <c r="AP353" s="140"/>
      <c r="AQ353" s="140"/>
      <c r="AR353" s="140"/>
      <c r="AS353" s="142"/>
      <c r="AT353" s="142"/>
      <c r="AU353" s="142"/>
      <c r="AV353" s="142"/>
      <c r="AW353" s="140"/>
      <c r="AX353" s="140"/>
      <c r="AY353" s="140"/>
      <c r="AZ353" s="140"/>
      <c r="BA353" s="140"/>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row>
    <row r="354" spans="1:111" ht="9" customHeight="1">
      <c r="Q354" s="417"/>
      <c r="R354" s="417"/>
      <c r="S354" s="417"/>
      <c r="T354" s="417"/>
      <c r="AC354" s="417"/>
      <c r="AD354" s="417"/>
      <c r="AE354" s="417"/>
      <c r="AF354" s="417"/>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row>
    <row r="355" spans="1:111" ht="4.5" customHeight="1">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row>
    <row r="356" spans="1:111" ht="9" customHeight="1">
      <c r="A356" s="154"/>
      <c r="B356" s="154"/>
      <c r="C356" s="154"/>
      <c r="D356" s="154"/>
      <c r="E356" s="154"/>
      <c r="F356" s="154"/>
      <c r="G356" s="154"/>
      <c r="H356" s="154"/>
      <c r="I356" s="154"/>
      <c r="J356" s="416" t="str">
        <f>IF(C342="","","Quantidade:")</f>
        <v>Quantidade:</v>
      </c>
      <c r="K356" s="416"/>
      <c r="L356" s="416"/>
      <c r="M356" s="416"/>
      <c r="N356" s="416"/>
      <c r="O356" s="416"/>
      <c r="P356" s="154"/>
      <c r="Q356" s="417">
        <v>145</v>
      </c>
      <c r="R356" s="417"/>
      <c r="S356" s="417"/>
      <c r="T356" s="417"/>
      <c r="U356" s="154"/>
      <c r="V356" s="416" t="str">
        <f>IF(C342="","","Unidade:")</f>
        <v>Unidade:</v>
      </c>
      <c r="W356" s="416"/>
      <c r="X356" s="416"/>
      <c r="Y356" s="416"/>
      <c r="Z356" s="416"/>
      <c r="AA356" s="416"/>
      <c r="AB356" s="154"/>
      <c r="AC356" s="418" t="s">
        <v>570</v>
      </c>
      <c r="AD356" s="418"/>
      <c r="AE356" s="418"/>
      <c r="AF356" s="418"/>
      <c r="AG356" s="418"/>
      <c r="AH356" s="418"/>
      <c r="AI356" s="418"/>
      <c r="AJ356" s="418"/>
      <c r="AK356" s="418"/>
      <c r="AL356" s="418"/>
      <c r="AM356" s="418"/>
      <c r="AN356" s="418"/>
      <c r="AO356" s="418"/>
      <c r="AP356" s="418"/>
      <c r="AQ356" s="418"/>
      <c r="AR356" s="418"/>
      <c r="AS356" s="418"/>
      <c r="AT356" s="418"/>
      <c r="AU356" s="418"/>
      <c r="AV356" s="418"/>
      <c r="AW356" s="418"/>
      <c r="AX356" s="418"/>
      <c r="AY356" s="418"/>
      <c r="AZ356" s="418"/>
      <c r="BA356" s="418"/>
      <c r="BB356" s="154"/>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row>
    <row r="357" spans="1:111" ht="9" customHeight="1">
      <c r="A357" s="154"/>
      <c r="B357" s="154"/>
      <c r="C357" s="154"/>
      <c r="D357" s="154"/>
      <c r="E357" s="154"/>
      <c r="F357" s="154"/>
      <c r="G357" s="154"/>
      <c r="H357" s="154"/>
      <c r="I357" s="154"/>
      <c r="J357" s="416"/>
      <c r="K357" s="416"/>
      <c r="L357" s="416"/>
      <c r="M357" s="416"/>
      <c r="N357" s="416"/>
      <c r="O357" s="416"/>
      <c r="P357" s="154"/>
      <c r="Q357" s="417"/>
      <c r="R357" s="417"/>
      <c r="S357" s="417"/>
      <c r="T357" s="417"/>
      <c r="U357" s="154"/>
      <c r="V357" s="416"/>
      <c r="W357" s="416"/>
      <c r="X357" s="416"/>
      <c r="Y357" s="416"/>
      <c r="Z357" s="416"/>
      <c r="AA357" s="416"/>
      <c r="AB357" s="154"/>
      <c r="AC357" s="418"/>
      <c r="AD357" s="418"/>
      <c r="AE357" s="418"/>
      <c r="AF357" s="418"/>
      <c r="AG357" s="418"/>
      <c r="AH357" s="418"/>
      <c r="AI357" s="418"/>
      <c r="AJ357" s="418"/>
      <c r="AK357" s="418"/>
      <c r="AL357" s="418"/>
      <c r="AM357" s="418"/>
      <c r="AN357" s="418"/>
      <c r="AO357" s="418"/>
      <c r="AP357" s="418"/>
      <c r="AQ357" s="418"/>
      <c r="AR357" s="418"/>
      <c r="AS357" s="418"/>
      <c r="AT357" s="418"/>
      <c r="AU357" s="418"/>
      <c r="AV357" s="418"/>
      <c r="AW357" s="418"/>
      <c r="AX357" s="418"/>
      <c r="AY357" s="418"/>
      <c r="AZ357" s="418"/>
      <c r="BA357" s="418"/>
      <c r="BB357" s="154"/>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row>
    <row r="358" spans="1:111" ht="9" customHeight="1">
      <c r="A358" s="154"/>
      <c r="B358" s="154"/>
      <c r="C358" s="154"/>
      <c r="D358" s="154"/>
      <c r="E358" s="154"/>
      <c r="F358" s="154"/>
      <c r="G358" s="154"/>
      <c r="H358" s="154"/>
      <c r="I358" s="154"/>
      <c r="J358" s="154"/>
      <c r="K358" s="154"/>
      <c r="L358" s="154"/>
      <c r="M358" s="154"/>
      <c r="N358" s="154"/>
      <c r="O358" s="154"/>
      <c r="P358" s="154"/>
      <c r="Q358" s="417"/>
      <c r="R358" s="417"/>
      <c r="S358" s="417"/>
      <c r="T358" s="417"/>
      <c r="U358" s="154"/>
      <c r="V358" s="154"/>
      <c r="W358" s="154"/>
      <c r="X358" s="154"/>
      <c r="Y358" s="154"/>
      <c r="Z358" s="154"/>
      <c r="AA358" s="154"/>
      <c r="AB358" s="154"/>
      <c r="AC358" s="418"/>
      <c r="AD358" s="418"/>
      <c r="AE358" s="418"/>
      <c r="AF358" s="418"/>
      <c r="AG358" s="418"/>
      <c r="AH358" s="418"/>
      <c r="AI358" s="418"/>
      <c r="AJ358" s="418"/>
      <c r="AK358" s="418"/>
      <c r="AL358" s="418"/>
      <c r="AM358" s="418"/>
      <c r="AN358" s="418"/>
      <c r="AO358" s="418"/>
      <c r="AP358" s="418"/>
      <c r="AQ358" s="418"/>
      <c r="AR358" s="418"/>
      <c r="AS358" s="418"/>
      <c r="AT358" s="418"/>
      <c r="AU358" s="418"/>
      <c r="AV358" s="418"/>
      <c r="AW358" s="418"/>
      <c r="AX358" s="418"/>
      <c r="AY358" s="418"/>
      <c r="AZ358" s="418"/>
      <c r="BA358" s="418"/>
      <c r="BB358" s="154"/>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row>
    <row r="359" spans="1:111" ht="4.5" customHeight="1">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row>
    <row r="360" spans="1:111" ht="9" customHeight="1">
      <c r="A360" s="154"/>
      <c r="B360" s="154"/>
      <c r="C360" s="154"/>
      <c r="D360" s="154"/>
      <c r="E360" s="154"/>
      <c r="F360" s="154"/>
      <c r="G360" s="154"/>
      <c r="H360" s="154"/>
      <c r="I360" s="154"/>
      <c r="J360" s="416" t="str">
        <f>IF(C342="","","Valor Unitário (R$):")</f>
        <v>Valor Unitário (R$):</v>
      </c>
      <c r="K360" s="416"/>
      <c r="L360" s="416"/>
      <c r="M360" s="416"/>
      <c r="N360" s="416"/>
      <c r="O360" s="416"/>
      <c r="P360" s="154"/>
      <c r="Q360" s="419">
        <v>685</v>
      </c>
      <c r="R360" s="419"/>
      <c r="S360" s="419"/>
      <c r="T360" s="419"/>
      <c r="U360" s="419"/>
      <c r="V360" s="419"/>
      <c r="W360" s="419"/>
      <c r="X360" s="419"/>
      <c r="Y360" s="154"/>
      <c r="Z360" s="416" t="str">
        <f>IF(C342="","",IF(J348="52 Equipamentos e Material Permanente","Tempo de Uso:",""))</f>
        <v/>
      </c>
      <c r="AA360" s="416"/>
      <c r="AB360" s="416"/>
      <c r="AC360" s="416"/>
      <c r="AD360" s="416"/>
      <c r="AE360" s="416"/>
      <c r="AF360" s="154"/>
      <c r="AG360" s="420"/>
      <c r="AH360" s="420"/>
      <c r="AI360" s="420"/>
      <c r="AJ360" s="420"/>
      <c r="AK360" s="420"/>
      <c r="AL360" s="420"/>
      <c r="AM360" s="420"/>
      <c r="AN360" s="420"/>
      <c r="AO360" s="420"/>
      <c r="AP360" s="420"/>
      <c r="AQ360" s="420"/>
      <c r="AR360" s="420"/>
      <c r="AS360" s="420"/>
      <c r="AT360" s="420"/>
      <c r="AU360" s="420"/>
      <c r="AV360" s="420"/>
      <c r="AW360" s="420"/>
      <c r="AX360" s="420"/>
      <c r="AY360" s="420"/>
      <c r="AZ360" s="420"/>
      <c r="BA360" s="420"/>
      <c r="BB360" s="154"/>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row>
    <row r="361" spans="1:111" ht="9" customHeight="1">
      <c r="A361" s="154"/>
      <c r="B361" s="154"/>
      <c r="C361" s="154"/>
      <c r="D361" s="154"/>
      <c r="E361" s="154"/>
      <c r="F361" s="154"/>
      <c r="G361" s="154"/>
      <c r="H361" s="154"/>
      <c r="I361" s="154"/>
      <c r="J361" s="416"/>
      <c r="K361" s="416"/>
      <c r="L361" s="416"/>
      <c r="M361" s="416"/>
      <c r="N361" s="416"/>
      <c r="O361" s="416"/>
      <c r="P361" s="154"/>
      <c r="Q361" s="419"/>
      <c r="R361" s="419"/>
      <c r="S361" s="419"/>
      <c r="T361" s="419"/>
      <c r="U361" s="419"/>
      <c r="V361" s="419"/>
      <c r="W361" s="419"/>
      <c r="X361" s="419"/>
      <c r="Y361" s="154"/>
      <c r="Z361" s="416"/>
      <c r="AA361" s="416"/>
      <c r="AB361" s="416"/>
      <c r="AC361" s="416"/>
      <c r="AD361" s="416"/>
      <c r="AE361" s="416"/>
      <c r="AF361" s="154"/>
      <c r="AG361" s="420"/>
      <c r="AH361" s="420"/>
      <c r="AI361" s="420"/>
      <c r="AJ361" s="420"/>
      <c r="AK361" s="420"/>
      <c r="AL361" s="420"/>
      <c r="AM361" s="420"/>
      <c r="AN361" s="420"/>
      <c r="AO361" s="420"/>
      <c r="AP361" s="420"/>
      <c r="AQ361" s="420"/>
      <c r="AR361" s="420"/>
      <c r="AS361" s="420"/>
      <c r="AT361" s="420"/>
      <c r="AU361" s="420"/>
      <c r="AV361" s="420"/>
      <c r="AW361" s="420"/>
      <c r="AX361" s="420"/>
      <c r="AY361" s="420"/>
      <c r="AZ361" s="420"/>
      <c r="BA361" s="420"/>
      <c r="BB361" s="154"/>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row>
    <row r="362" spans="1:111" ht="9" customHeight="1">
      <c r="A362" s="154"/>
      <c r="B362" s="154"/>
      <c r="C362" s="154"/>
      <c r="D362" s="154"/>
      <c r="E362" s="154"/>
      <c r="F362" s="154"/>
      <c r="G362" s="154"/>
      <c r="H362" s="154"/>
      <c r="I362" s="154"/>
      <c r="J362" s="154"/>
      <c r="K362" s="154"/>
      <c r="L362" s="154"/>
      <c r="M362" s="154"/>
      <c r="N362" s="154"/>
      <c r="O362" s="154"/>
      <c r="P362" s="154"/>
      <c r="Q362" s="419"/>
      <c r="R362" s="419"/>
      <c r="S362" s="419"/>
      <c r="T362" s="419"/>
      <c r="U362" s="419"/>
      <c r="V362" s="419"/>
      <c r="W362" s="419"/>
      <c r="X362" s="419"/>
      <c r="Y362" s="154"/>
      <c r="Z362" s="154"/>
      <c r="AA362" s="154"/>
      <c r="AB362" s="154"/>
      <c r="AC362" s="154"/>
      <c r="AD362" s="154"/>
      <c r="AE362" s="154"/>
      <c r="AF362" s="154"/>
      <c r="AG362" s="420"/>
      <c r="AH362" s="420"/>
      <c r="AI362" s="420"/>
      <c r="AJ362" s="420"/>
      <c r="AK362" s="420"/>
      <c r="AL362" s="420"/>
      <c r="AM362" s="420"/>
      <c r="AN362" s="420"/>
      <c r="AO362" s="420"/>
      <c r="AP362" s="420"/>
      <c r="AQ362" s="420"/>
      <c r="AR362" s="420"/>
      <c r="AS362" s="420"/>
      <c r="AT362" s="420"/>
      <c r="AU362" s="420"/>
      <c r="AV362" s="420"/>
      <c r="AW362" s="420"/>
      <c r="AX362" s="420"/>
      <c r="AY362" s="420"/>
      <c r="AZ362" s="420"/>
      <c r="BA362" s="420"/>
      <c r="BB362" s="154"/>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row>
    <row r="363" spans="1:111" ht="4.5" customHeight="1">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row>
    <row r="364" spans="1:111" ht="9" customHeight="1">
      <c r="A364" s="154"/>
      <c r="B364" s="154"/>
      <c r="C364" s="154"/>
      <c r="D364" s="154"/>
      <c r="E364" s="154"/>
      <c r="F364" s="154"/>
      <c r="G364" s="154"/>
      <c r="H364" s="154"/>
      <c r="I364" s="154"/>
      <c r="J364" s="416" t="str">
        <f>IF(C342="","","Valor Total (R$):")</f>
        <v>Valor Total (R$):</v>
      </c>
      <c r="K364" s="416"/>
      <c r="L364" s="416"/>
      <c r="M364" s="416"/>
      <c r="N364" s="416"/>
      <c r="O364" s="416"/>
      <c r="P364" s="154"/>
      <c r="Q364" s="419">
        <f>IF(Q360="","",Q356*Q360)</f>
        <v>99325</v>
      </c>
      <c r="R364" s="419"/>
      <c r="S364" s="419"/>
      <c r="T364" s="419"/>
      <c r="U364" s="419"/>
      <c r="V364" s="419"/>
      <c r="W364" s="419"/>
      <c r="X364" s="419"/>
      <c r="Y364" s="154"/>
      <c r="Z364" s="416" t="str">
        <f>IF(C342="","",IF(J348="52 Equipamentos e Material Permanente","Justificativa e Utilização:",""))</f>
        <v/>
      </c>
      <c r="AA364" s="416"/>
      <c r="AB364" s="416"/>
      <c r="AC364" s="416"/>
      <c r="AD364" s="416"/>
      <c r="AE364" s="416"/>
      <c r="AF364" s="154"/>
      <c r="AG364" s="420"/>
      <c r="AH364" s="420"/>
      <c r="AI364" s="420"/>
      <c r="AJ364" s="420"/>
      <c r="AK364" s="420"/>
      <c r="AL364" s="420"/>
      <c r="AM364" s="420"/>
      <c r="AN364" s="420"/>
      <c r="AO364" s="420"/>
      <c r="AP364" s="420"/>
      <c r="AQ364" s="420"/>
      <c r="AR364" s="420"/>
      <c r="AS364" s="420"/>
      <c r="AT364" s="420"/>
      <c r="AU364" s="420"/>
      <c r="AV364" s="420"/>
      <c r="AW364" s="420"/>
      <c r="AX364" s="420"/>
      <c r="AY364" s="420"/>
      <c r="AZ364" s="420"/>
      <c r="BA364" s="420"/>
      <c r="BB364" s="154"/>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row>
    <row r="365" spans="1:111" ht="9" customHeight="1">
      <c r="A365" s="154"/>
      <c r="B365" s="154"/>
      <c r="C365" s="154"/>
      <c r="D365" s="154"/>
      <c r="E365" s="154"/>
      <c r="F365" s="154"/>
      <c r="G365" s="154"/>
      <c r="H365" s="154"/>
      <c r="I365" s="154"/>
      <c r="J365" s="416"/>
      <c r="K365" s="416"/>
      <c r="L365" s="416"/>
      <c r="M365" s="416"/>
      <c r="N365" s="416"/>
      <c r="O365" s="416"/>
      <c r="P365" s="154"/>
      <c r="Q365" s="419"/>
      <c r="R365" s="419"/>
      <c r="S365" s="419"/>
      <c r="T365" s="419"/>
      <c r="U365" s="419"/>
      <c r="V365" s="419"/>
      <c r="W365" s="419"/>
      <c r="X365" s="419"/>
      <c r="Y365" s="154"/>
      <c r="Z365" s="416"/>
      <c r="AA365" s="416"/>
      <c r="AB365" s="416"/>
      <c r="AC365" s="416"/>
      <c r="AD365" s="416"/>
      <c r="AE365" s="416"/>
      <c r="AF365" s="154"/>
      <c r="AG365" s="420"/>
      <c r="AH365" s="420"/>
      <c r="AI365" s="420"/>
      <c r="AJ365" s="420"/>
      <c r="AK365" s="420"/>
      <c r="AL365" s="420"/>
      <c r="AM365" s="420"/>
      <c r="AN365" s="420"/>
      <c r="AO365" s="420"/>
      <c r="AP365" s="420"/>
      <c r="AQ365" s="420"/>
      <c r="AR365" s="420"/>
      <c r="AS365" s="420"/>
      <c r="AT365" s="420"/>
      <c r="AU365" s="420"/>
      <c r="AV365" s="420"/>
      <c r="AW365" s="420"/>
      <c r="AX365" s="420"/>
      <c r="AY365" s="420"/>
      <c r="AZ365" s="420"/>
      <c r="BA365" s="420"/>
      <c r="BB365" s="154"/>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row>
    <row r="366" spans="1:111" ht="9" customHeight="1">
      <c r="A366" s="154"/>
      <c r="B366" s="154"/>
      <c r="C366" s="154"/>
      <c r="D366" s="154"/>
      <c r="E366" s="154"/>
      <c r="F366" s="154"/>
      <c r="G366" s="154"/>
      <c r="H366" s="154"/>
      <c r="I366" s="154"/>
      <c r="J366" s="154"/>
      <c r="K366" s="154"/>
      <c r="L366" s="154"/>
      <c r="M366" s="154"/>
      <c r="N366" s="154"/>
      <c r="O366" s="154"/>
      <c r="P366" s="154"/>
      <c r="Q366" s="419"/>
      <c r="R366" s="419"/>
      <c r="S366" s="419"/>
      <c r="T366" s="419"/>
      <c r="U366" s="419"/>
      <c r="V366" s="419"/>
      <c r="W366" s="419"/>
      <c r="X366" s="419"/>
      <c r="Y366" s="154"/>
      <c r="Z366" s="154"/>
      <c r="AA366" s="154"/>
      <c r="AB366" s="154"/>
      <c r="AC366" s="154"/>
      <c r="AD366" s="154"/>
      <c r="AE366" s="154"/>
      <c r="AF366" s="154"/>
      <c r="AG366" s="420"/>
      <c r="AH366" s="420"/>
      <c r="AI366" s="420"/>
      <c r="AJ366" s="420"/>
      <c r="AK366" s="420"/>
      <c r="AL366" s="420"/>
      <c r="AM366" s="420"/>
      <c r="AN366" s="420"/>
      <c r="AO366" s="420"/>
      <c r="AP366" s="420"/>
      <c r="AQ366" s="420"/>
      <c r="AR366" s="420"/>
      <c r="AS366" s="420"/>
      <c r="AT366" s="420"/>
      <c r="AU366" s="420"/>
      <c r="AV366" s="420"/>
      <c r="AW366" s="420"/>
      <c r="AX366" s="420"/>
      <c r="AY366" s="420"/>
      <c r="AZ366" s="420"/>
      <c r="BA366" s="420"/>
      <c r="BB366" s="154"/>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row>
    <row r="367" spans="1:111" ht="9" customHeight="1">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420"/>
      <c r="AH367" s="420"/>
      <c r="AI367" s="420"/>
      <c r="AJ367" s="420"/>
      <c r="AK367" s="420"/>
      <c r="AL367" s="420"/>
      <c r="AM367" s="420"/>
      <c r="AN367" s="420"/>
      <c r="AO367" s="420"/>
      <c r="AP367" s="420"/>
      <c r="AQ367" s="420"/>
      <c r="AR367" s="420"/>
      <c r="AS367" s="420"/>
      <c r="AT367" s="420"/>
      <c r="AU367" s="420"/>
      <c r="AV367" s="420"/>
      <c r="AW367" s="420"/>
      <c r="AX367" s="420"/>
      <c r="AY367" s="420"/>
      <c r="AZ367" s="420"/>
      <c r="BA367" s="420"/>
      <c r="BB367" s="154"/>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row>
    <row r="368" spans="1:111" ht="9" customHeight="1">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420"/>
      <c r="AH368" s="420"/>
      <c r="AI368" s="420"/>
      <c r="AJ368" s="420"/>
      <c r="AK368" s="420"/>
      <c r="AL368" s="420"/>
      <c r="AM368" s="420"/>
      <c r="AN368" s="420"/>
      <c r="AO368" s="420"/>
      <c r="AP368" s="420"/>
      <c r="AQ368" s="420"/>
      <c r="AR368" s="420"/>
      <c r="AS368" s="420"/>
      <c r="AT368" s="420"/>
      <c r="AU368" s="420"/>
      <c r="AV368" s="420"/>
      <c r="AW368" s="420"/>
      <c r="AX368" s="420"/>
      <c r="AY368" s="420"/>
      <c r="AZ368" s="420"/>
      <c r="BA368" s="420"/>
      <c r="BB368" s="154"/>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row>
    <row r="369" spans="1:111" ht="9" customHeight="1">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420"/>
      <c r="AH369" s="420"/>
      <c r="AI369" s="420"/>
      <c r="AJ369" s="420"/>
      <c r="AK369" s="420"/>
      <c r="AL369" s="420"/>
      <c r="AM369" s="420"/>
      <c r="AN369" s="420"/>
      <c r="AO369" s="420"/>
      <c r="AP369" s="420"/>
      <c r="AQ369" s="420"/>
      <c r="AR369" s="420"/>
      <c r="AS369" s="420"/>
      <c r="AT369" s="420"/>
      <c r="AU369" s="420"/>
      <c r="AV369" s="420"/>
      <c r="AW369" s="420"/>
      <c r="AX369" s="420"/>
      <c r="AY369" s="420"/>
      <c r="AZ369" s="420"/>
      <c r="BA369" s="420"/>
      <c r="BB369" s="154"/>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row>
    <row r="370" spans="1:111" ht="15" customHeight="1">
      <c r="B370" s="55"/>
      <c r="C370" s="55"/>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141"/>
      <c r="AL370" s="141"/>
      <c r="AM370" s="141"/>
      <c r="AN370" s="141"/>
      <c r="AO370" s="140"/>
      <c r="AP370" s="140"/>
      <c r="AQ370" s="140"/>
      <c r="AR370" s="140"/>
      <c r="AS370" s="142"/>
      <c r="AT370" s="142"/>
      <c r="AU370" s="142"/>
      <c r="AV370" s="142"/>
      <c r="AW370" s="140"/>
      <c r="AX370" s="140"/>
      <c r="AY370" s="140"/>
      <c r="AZ370" s="140"/>
      <c r="BA370" s="140"/>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row>
    <row r="371" spans="1:111" ht="15" customHeight="1">
      <c r="B371" s="55"/>
      <c r="C371" s="422" t="str">
        <f>IF($AA$165&gt;=8,"DESPESA 8","")</f>
        <v>DESPESA 8</v>
      </c>
      <c r="D371" s="422"/>
      <c r="E371" s="422"/>
      <c r="F371" s="422"/>
      <c r="G371" s="422"/>
      <c r="H371" s="422"/>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141"/>
      <c r="AL371" s="141"/>
      <c r="AM371" s="141"/>
      <c r="AN371" s="141"/>
      <c r="AO371" s="140"/>
      <c r="AP371" s="140"/>
      <c r="AQ371" s="140"/>
      <c r="AR371" s="140"/>
      <c r="AS371" s="142"/>
      <c r="AT371" s="142"/>
      <c r="AU371" s="142"/>
      <c r="AV371" s="142"/>
      <c r="AW371" s="140"/>
      <c r="AX371" s="140"/>
      <c r="AY371" s="140"/>
      <c r="AZ371" s="140"/>
      <c r="BA371" s="140"/>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row>
    <row r="372" spans="1:111" ht="4.5" customHeight="1">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row>
    <row r="373" spans="1:111" ht="9" customHeight="1">
      <c r="C373" s="416" t="str">
        <f>IF(C371="","","Descrição da Despesa:")</f>
        <v>Descrição da Despesa:</v>
      </c>
      <c r="D373" s="416"/>
      <c r="E373" s="416"/>
      <c r="F373" s="416"/>
      <c r="G373" s="416"/>
      <c r="H373" s="416"/>
      <c r="I373" s="60"/>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c r="AN373" s="421"/>
      <c r="AO373" s="421"/>
      <c r="AP373" s="421"/>
      <c r="AQ373" s="421"/>
      <c r="AR373" s="421"/>
      <c r="AS373" s="421"/>
      <c r="AT373" s="421"/>
      <c r="AU373" s="421"/>
      <c r="AV373" s="421"/>
      <c r="AW373" s="421"/>
      <c r="AX373" s="421"/>
      <c r="AY373" s="421"/>
      <c r="AZ373" s="421"/>
      <c r="BA373" s="421"/>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row>
    <row r="374" spans="1:111" ht="9" customHeight="1">
      <c r="C374" s="416"/>
      <c r="D374" s="416"/>
      <c r="E374" s="416"/>
      <c r="F374" s="416"/>
      <c r="G374" s="416"/>
      <c r="H374" s="416"/>
      <c r="I374" s="60"/>
      <c r="J374" s="421"/>
      <c r="K374" s="421"/>
      <c r="L374" s="421"/>
      <c r="M374" s="421"/>
      <c r="N374" s="421"/>
      <c r="O374" s="421"/>
      <c r="P374" s="421"/>
      <c r="Q374" s="421"/>
      <c r="R374" s="421"/>
      <c r="S374" s="421"/>
      <c r="T374" s="421"/>
      <c r="U374" s="421"/>
      <c r="V374" s="421"/>
      <c r="W374" s="421"/>
      <c r="X374" s="421"/>
      <c r="Y374" s="421"/>
      <c r="Z374" s="421"/>
      <c r="AA374" s="421"/>
      <c r="AB374" s="421"/>
      <c r="AC374" s="421"/>
      <c r="AD374" s="421"/>
      <c r="AE374" s="421"/>
      <c r="AF374" s="421"/>
      <c r="AG374" s="421"/>
      <c r="AH374" s="421"/>
      <c r="AI374" s="421"/>
      <c r="AJ374" s="421"/>
      <c r="AK374" s="421"/>
      <c r="AL374" s="421"/>
      <c r="AM374" s="421"/>
      <c r="AN374" s="421"/>
      <c r="AO374" s="421"/>
      <c r="AP374" s="421"/>
      <c r="AQ374" s="421"/>
      <c r="AR374" s="421"/>
      <c r="AS374" s="421"/>
      <c r="AT374" s="421"/>
      <c r="AU374" s="421"/>
      <c r="AV374" s="421"/>
      <c r="AW374" s="421"/>
      <c r="AX374" s="421"/>
      <c r="AY374" s="421"/>
      <c r="AZ374" s="421"/>
      <c r="BA374" s="421"/>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row>
    <row r="375" spans="1:111" ht="9" customHeight="1">
      <c r="C375" s="416"/>
      <c r="D375" s="416"/>
      <c r="E375" s="416"/>
      <c r="F375" s="416"/>
      <c r="G375" s="416"/>
      <c r="H375" s="416"/>
      <c r="I375" s="60"/>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21"/>
      <c r="AN375" s="421"/>
      <c r="AO375" s="421"/>
      <c r="AP375" s="421"/>
      <c r="AQ375" s="421"/>
      <c r="AR375" s="421"/>
      <c r="AS375" s="421"/>
      <c r="AT375" s="421"/>
      <c r="AU375" s="421"/>
      <c r="AV375" s="421"/>
      <c r="AW375" s="421"/>
      <c r="AX375" s="421"/>
      <c r="AY375" s="421"/>
      <c r="AZ375" s="421"/>
      <c r="BA375" s="421"/>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row>
    <row r="376" spans="1:111" ht="4.5" customHeight="1">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row>
    <row r="377" spans="1:111" ht="9" customHeight="1">
      <c r="C377" s="416" t="str">
        <f>IF(C371="","","Elemento de Despesa:")</f>
        <v>Elemento de Despesa:</v>
      </c>
      <c r="D377" s="416"/>
      <c r="E377" s="416"/>
      <c r="F377" s="416"/>
      <c r="G377" s="416"/>
      <c r="H377" s="416"/>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c r="AN377" s="421"/>
      <c r="AO377" s="421"/>
      <c r="AP377" s="421"/>
      <c r="AQ377" s="421"/>
      <c r="AR377" s="421"/>
      <c r="AS377" s="421"/>
      <c r="AT377" s="421"/>
      <c r="AU377" s="421"/>
      <c r="AV377" s="421"/>
      <c r="AW377" s="421"/>
      <c r="AX377" s="421"/>
      <c r="AY377" s="421"/>
      <c r="AZ377" s="421"/>
      <c r="BA377" s="421"/>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row>
    <row r="378" spans="1:111" ht="9" customHeight="1">
      <c r="C378" s="416"/>
      <c r="D378" s="416"/>
      <c r="E378" s="416"/>
      <c r="F378" s="416"/>
      <c r="G378" s="416"/>
      <c r="H378" s="416"/>
      <c r="J378" s="421"/>
      <c r="K378" s="421"/>
      <c r="L378" s="421"/>
      <c r="M378" s="421"/>
      <c r="N378" s="421"/>
      <c r="O378" s="421"/>
      <c r="P378" s="421"/>
      <c r="Q378" s="421"/>
      <c r="R378" s="421"/>
      <c r="S378" s="421"/>
      <c r="T378" s="421"/>
      <c r="U378" s="421"/>
      <c r="V378" s="421"/>
      <c r="W378" s="421"/>
      <c r="X378" s="421"/>
      <c r="Y378" s="421"/>
      <c r="Z378" s="421"/>
      <c r="AA378" s="421"/>
      <c r="AB378" s="421"/>
      <c r="AC378" s="421"/>
      <c r="AD378" s="421"/>
      <c r="AE378" s="421"/>
      <c r="AF378" s="421"/>
      <c r="AG378" s="421"/>
      <c r="AH378" s="421"/>
      <c r="AI378" s="421"/>
      <c r="AJ378" s="421"/>
      <c r="AK378" s="421"/>
      <c r="AL378" s="421"/>
      <c r="AM378" s="421"/>
      <c r="AN378" s="421"/>
      <c r="AO378" s="421"/>
      <c r="AP378" s="421"/>
      <c r="AQ378" s="421"/>
      <c r="AR378" s="421"/>
      <c r="AS378" s="421"/>
      <c r="AT378" s="421"/>
      <c r="AU378" s="421"/>
      <c r="AV378" s="421"/>
      <c r="AW378" s="421"/>
      <c r="AX378" s="421"/>
      <c r="AY378" s="421"/>
      <c r="AZ378" s="421"/>
      <c r="BA378" s="421"/>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row>
    <row r="379" spans="1:111" ht="9" customHeight="1">
      <c r="C379" s="416"/>
      <c r="D379" s="416"/>
      <c r="E379" s="416"/>
      <c r="F379" s="416"/>
      <c r="G379" s="416"/>
      <c r="H379" s="416"/>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c r="AF379" s="421"/>
      <c r="AG379" s="421"/>
      <c r="AH379" s="421"/>
      <c r="AI379" s="421"/>
      <c r="AJ379" s="421"/>
      <c r="AK379" s="421"/>
      <c r="AL379" s="421"/>
      <c r="AM379" s="421"/>
      <c r="AN379" s="421"/>
      <c r="AO379" s="421"/>
      <c r="AP379" s="421"/>
      <c r="AQ379" s="421"/>
      <c r="AR379" s="421"/>
      <c r="AS379" s="421"/>
      <c r="AT379" s="421"/>
      <c r="AU379" s="421"/>
      <c r="AV379" s="421"/>
      <c r="AW379" s="421"/>
      <c r="AX379" s="421"/>
      <c r="AY379" s="421"/>
      <c r="AZ379" s="421"/>
      <c r="BA379" s="421"/>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row>
    <row r="380" spans="1:111" ht="4.5" customHeight="1">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row>
    <row r="381" spans="1:111" ht="9" customHeight="1">
      <c r="A381" s="61" t="str">
        <f>CONCATENATE(Q381,AC381)</f>
        <v/>
      </c>
      <c r="J381" s="416" t="str">
        <f>IF(C371="","","Meta Vinculada:")</f>
        <v>Meta Vinculada:</v>
      </c>
      <c r="K381" s="416"/>
      <c r="L381" s="416"/>
      <c r="M381" s="416"/>
      <c r="N381" s="416"/>
      <c r="O381" s="416"/>
      <c r="Q381" s="417"/>
      <c r="R381" s="417"/>
      <c r="S381" s="417"/>
      <c r="T381" s="417"/>
      <c r="U381" s="56"/>
      <c r="V381" s="416" t="str">
        <f>IF(C371="","","Etapa Vinculada:")</f>
        <v>Etapa Vinculada:</v>
      </c>
      <c r="W381" s="416"/>
      <c r="X381" s="416"/>
      <c r="Y381" s="416"/>
      <c r="Z381" s="416"/>
      <c r="AA381" s="416"/>
      <c r="AC381" s="417"/>
      <c r="AD381" s="417"/>
      <c r="AE381" s="417"/>
      <c r="AF381" s="417"/>
      <c r="AG381" s="56"/>
      <c r="AH381" s="56"/>
      <c r="AI381" s="56"/>
      <c r="AJ381" s="56"/>
      <c r="AK381" s="141"/>
      <c r="AL381" s="141"/>
      <c r="AM381" s="141"/>
      <c r="AN381" s="141"/>
      <c r="AO381" s="140"/>
      <c r="AP381" s="140"/>
      <c r="AQ381" s="140"/>
      <c r="AR381" s="140"/>
      <c r="AS381" s="142"/>
      <c r="AT381" s="142"/>
      <c r="AU381" s="142"/>
      <c r="AV381" s="142"/>
      <c r="AW381" s="140"/>
      <c r="AX381" s="140"/>
      <c r="AY381" s="140"/>
      <c r="AZ381" s="140"/>
      <c r="BA381" s="140"/>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row>
    <row r="382" spans="1:111" ht="9" customHeight="1">
      <c r="B382" s="55"/>
      <c r="C382" s="55"/>
      <c r="D382" s="56"/>
      <c r="E382" s="56"/>
      <c r="F382" s="56"/>
      <c r="G382" s="56"/>
      <c r="H382" s="56"/>
      <c r="I382" s="56"/>
      <c r="J382" s="416"/>
      <c r="K382" s="416"/>
      <c r="L382" s="416"/>
      <c r="M382" s="416"/>
      <c r="N382" s="416"/>
      <c r="O382" s="416"/>
      <c r="Q382" s="417"/>
      <c r="R382" s="417"/>
      <c r="S382" s="417"/>
      <c r="T382" s="417"/>
      <c r="U382" s="56"/>
      <c r="V382" s="416"/>
      <c r="W382" s="416"/>
      <c r="X382" s="416"/>
      <c r="Y382" s="416"/>
      <c r="Z382" s="416"/>
      <c r="AA382" s="416"/>
      <c r="AC382" s="417"/>
      <c r="AD382" s="417"/>
      <c r="AE382" s="417"/>
      <c r="AF382" s="417"/>
      <c r="AG382" s="56"/>
      <c r="AH382" s="56"/>
      <c r="AI382" s="56"/>
      <c r="AJ382" s="56"/>
      <c r="AK382" s="141"/>
      <c r="AL382" s="141"/>
      <c r="AM382" s="141"/>
      <c r="AN382" s="141"/>
      <c r="AO382" s="140"/>
      <c r="AP382" s="140"/>
      <c r="AQ382" s="140"/>
      <c r="AR382" s="140"/>
      <c r="AS382" s="142"/>
      <c r="AT382" s="142"/>
      <c r="AU382" s="142"/>
      <c r="AV382" s="142"/>
      <c r="AW382" s="140"/>
      <c r="AX382" s="140"/>
      <c r="AY382" s="140"/>
      <c r="AZ382" s="140"/>
      <c r="BA382" s="140"/>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row>
    <row r="383" spans="1:111" ht="9" customHeight="1">
      <c r="Q383" s="417"/>
      <c r="R383" s="417"/>
      <c r="S383" s="417"/>
      <c r="T383" s="417"/>
      <c r="AC383" s="417"/>
      <c r="AD383" s="417"/>
      <c r="AE383" s="417"/>
      <c r="AF383" s="417"/>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row>
    <row r="384" spans="1:111" ht="4.5" customHeight="1">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row>
    <row r="385" spans="1:111" ht="9" customHeight="1">
      <c r="A385" s="154"/>
      <c r="B385" s="154"/>
      <c r="C385" s="154"/>
      <c r="D385" s="154"/>
      <c r="E385" s="154"/>
      <c r="F385" s="154"/>
      <c r="G385" s="154"/>
      <c r="H385" s="154"/>
      <c r="I385" s="154"/>
      <c r="J385" s="416" t="str">
        <f>IF(C371="","","Quantidade:")</f>
        <v>Quantidade:</v>
      </c>
      <c r="K385" s="416"/>
      <c r="L385" s="416"/>
      <c r="M385" s="416"/>
      <c r="N385" s="416"/>
      <c r="O385" s="416"/>
      <c r="P385" s="154"/>
      <c r="Q385" s="417"/>
      <c r="R385" s="417"/>
      <c r="S385" s="417"/>
      <c r="T385" s="417"/>
      <c r="U385" s="154"/>
      <c r="V385" s="416" t="str">
        <f>IF(C371="","","Unidade:")</f>
        <v>Unidade:</v>
      </c>
      <c r="W385" s="416"/>
      <c r="X385" s="416"/>
      <c r="Y385" s="416"/>
      <c r="Z385" s="416"/>
      <c r="AA385" s="416"/>
      <c r="AB385" s="154"/>
      <c r="AC385" s="418"/>
      <c r="AD385" s="418"/>
      <c r="AE385" s="418"/>
      <c r="AF385" s="418"/>
      <c r="AG385" s="418"/>
      <c r="AH385" s="418"/>
      <c r="AI385" s="418"/>
      <c r="AJ385" s="418"/>
      <c r="AK385" s="418"/>
      <c r="AL385" s="418"/>
      <c r="AM385" s="418"/>
      <c r="AN385" s="418"/>
      <c r="AO385" s="418"/>
      <c r="AP385" s="418"/>
      <c r="AQ385" s="418"/>
      <c r="AR385" s="418"/>
      <c r="AS385" s="418"/>
      <c r="AT385" s="418"/>
      <c r="AU385" s="418"/>
      <c r="AV385" s="418"/>
      <c r="AW385" s="418"/>
      <c r="AX385" s="418"/>
      <c r="AY385" s="418"/>
      <c r="AZ385" s="418"/>
      <c r="BA385" s="418"/>
      <c r="BB385" s="154"/>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row>
    <row r="386" spans="1:111" ht="9" customHeight="1">
      <c r="A386" s="154"/>
      <c r="B386" s="154"/>
      <c r="C386" s="154"/>
      <c r="D386" s="154"/>
      <c r="E386" s="154"/>
      <c r="F386" s="154"/>
      <c r="G386" s="154"/>
      <c r="H386" s="154"/>
      <c r="I386" s="154"/>
      <c r="J386" s="416"/>
      <c r="K386" s="416"/>
      <c r="L386" s="416"/>
      <c r="M386" s="416"/>
      <c r="N386" s="416"/>
      <c r="O386" s="416"/>
      <c r="P386" s="154"/>
      <c r="Q386" s="417"/>
      <c r="R386" s="417"/>
      <c r="S386" s="417"/>
      <c r="T386" s="417"/>
      <c r="U386" s="154"/>
      <c r="V386" s="416"/>
      <c r="W386" s="416"/>
      <c r="X386" s="416"/>
      <c r="Y386" s="416"/>
      <c r="Z386" s="416"/>
      <c r="AA386" s="416"/>
      <c r="AB386" s="154"/>
      <c r="AC386" s="418"/>
      <c r="AD386" s="418"/>
      <c r="AE386" s="418"/>
      <c r="AF386" s="418"/>
      <c r="AG386" s="418"/>
      <c r="AH386" s="418"/>
      <c r="AI386" s="418"/>
      <c r="AJ386" s="418"/>
      <c r="AK386" s="418"/>
      <c r="AL386" s="418"/>
      <c r="AM386" s="418"/>
      <c r="AN386" s="418"/>
      <c r="AO386" s="418"/>
      <c r="AP386" s="418"/>
      <c r="AQ386" s="418"/>
      <c r="AR386" s="418"/>
      <c r="AS386" s="418"/>
      <c r="AT386" s="418"/>
      <c r="AU386" s="418"/>
      <c r="AV386" s="418"/>
      <c r="AW386" s="418"/>
      <c r="AX386" s="418"/>
      <c r="AY386" s="418"/>
      <c r="AZ386" s="418"/>
      <c r="BA386" s="418"/>
      <c r="BB386" s="154"/>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row>
    <row r="387" spans="1:111" ht="9" customHeight="1">
      <c r="A387" s="154"/>
      <c r="B387" s="154"/>
      <c r="C387" s="154"/>
      <c r="D387" s="154"/>
      <c r="E387" s="154"/>
      <c r="F387" s="154"/>
      <c r="G387" s="154"/>
      <c r="H387" s="154"/>
      <c r="I387" s="154"/>
      <c r="J387" s="154"/>
      <c r="K387" s="154"/>
      <c r="L387" s="154"/>
      <c r="M387" s="154"/>
      <c r="N387" s="154"/>
      <c r="O387" s="154"/>
      <c r="P387" s="154"/>
      <c r="Q387" s="417"/>
      <c r="R387" s="417"/>
      <c r="S387" s="417"/>
      <c r="T387" s="417"/>
      <c r="U387" s="154"/>
      <c r="V387" s="154"/>
      <c r="W387" s="154"/>
      <c r="X387" s="154"/>
      <c r="Y387" s="154"/>
      <c r="Z387" s="154"/>
      <c r="AA387" s="154"/>
      <c r="AB387" s="154"/>
      <c r="AC387" s="418"/>
      <c r="AD387" s="418"/>
      <c r="AE387" s="418"/>
      <c r="AF387" s="418"/>
      <c r="AG387" s="418"/>
      <c r="AH387" s="418"/>
      <c r="AI387" s="418"/>
      <c r="AJ387" s="418"/>
      <c r="AK387" s="418"/>
      <c r="AL387" s="418"/>
      <c r="AM387" s="418"/>
      <c r="AN387" s="418"/>
      <c r="AO387" s="418"/>
      <c r="AP387" s="418"/>
      <c r="AQ387" s="418"/>
      <c r="AR387" s="418"/>
      <c r="AS387" s="418"/>
      <c r="AT387" s="418"/>
      <c r="AU387" s="418"/>
      <c r="AV387" s="418"/>
      <c r="AW387" s="418"/>
      <c r="AX387" s="418"/>
      <c r="AY387" s="418"/>
      <c r="AZ387" s="418"/>
      <c r="BA387" s="418"/>
      <c r="BB387" s="154"/>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row>
    <row r="388" spans="1:111" ht="4.5" customHeight="1">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row>
    <row r="389" spans="1:111" ht="9" customHeight="1">
      <c r="A389" s="154"/>
      <c r="B389" s="154"/>
      <c r="C389" s="154"/>
      <c r="D389" s="154"/>
      <c r="E389" s="154"/>
      <c r="F389" s="154"/>
      <c r="G389" s="154"/>
      <c r="H389" s="154"/>
      <c r="I389" s="154"/>
      <c r="J389" s="416" t="str">
        <f>IF(C371="","","Valor Unitário (R$):")</f>
        <v>Valor Unitário (R$):</v>
      </c>
      <c r="K389" s="416"/>
      <c r="L389" s="416"/>
      <c r="M389" s="416"/>
      <c r="N389" s="416"/>
      <c r="O389" s="416"/>
      <c r="P389" s="154"/>
      <c r="Q389" s="419">
        <v>0</v>
      </c>
      <c r="R389" s="419"/>
      <c r="S389" s="419"/>
      <c r="T389" s="419"/>
      <c r="U389" s="419"/>
      <c r="V389" s="419"/>
      <c r="W389" s="419"/>
      <c r="X389" s="419"/>
      <c r="Y389" s="154"/>
      <c r="Z389" s="416" t="str">
        <f>IF(C371="","",IF(J377="52 Equipamentos e Material Permanente","Tempo de Uso:",""))</f>
        <v/>
      </c>
      <c r="AA389" s="416"/>
      <c r="AB389" s="416"/>
      <c r="AC389" s="416"/>
      <c r="AD389" s="416"/>
      <c r="AE389" s="416"/>
      <c r="AF389" s="154"/>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154"/>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row>
    <row r="390" spans="1:111" ht="9" customHeight="1">
      <c r="A390" s="154"/>
      <c r="B390" s="154"/>
      <c r="C390" s="154"/>
      <c r="D390" s="154"/>
      <c r="E390" s="154"/>
      <c r="F390" s="154"/>
      <c r="G390" s="154"/>
      <c r="H390" s="154"/>
      <c r="I390" s="154"/>
      <c r="J390" s="416"/>
      <c r="K390" s="416"/>
      <c r="L390" s="416"/>
      <c r="M390" s="416"/>
      <c r="N390" s="416"/>
      <c r="O390" s="416"/>
      <c r="P390" s="154"/>
      <c r="Q390" s="419"/>
      <c r="R390" s="419"/>
      <c r="S390" s="419"/>
      <c r="T390" s="419"/>
      <c r="U390" s="419"/>
      <c r="V390" s="419"/>
      <c r="W390" s="419"/>
      <c r="X390" s="419"/>
      <c r="Y390" s="154"/>
      <c r="Z390" s="416"/>
      <c r="AA390" s="416"/>
      <c r="AB390" s="416"/>
      <c r="AC390" s="416"/>
      <c r="AD390" s="416"/>
      <c r="AE390" s="416"/>
      <c r="AF390" s="154"/>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154"/>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row>
    <row r="391" spans="1:111" ht="9" customHeight="1">
      <c r="A391" s="154"/>
      <c r="B391" s="154"/>
      <c r="C391" s="154"/>
      <c r="D391" s="154"/>
      <c r="E391" s="154"/>
      <c r="F391" s="154"/>
      <c r="G391" s="154"/>
      <c r="H391" s="154"/>
      <c r="I391" s="154"/>
      <c r="J391" s="154"/>
      <c r="K391" s="154"/>
      <c r="L391" s="154"/>
      <c r="M391" s="154"/>
      <c r="N391" s="154"/>
      <c r="O391" s="154"/>
      <c r="P391" s="154"/>
      <c r="Q391" s="419"/>
      <c r="R391" s="419"/>
      <c r="S391" s="419"/>
      <c r="T391" s="419"/>
      <c r="U391" s="419"/>
      <c r="V391" s="419"/>
      <c r="W391" s="419"/>
      <c r="X391" s="419"/>
      <c r="Y391" s="154"/>
      <c r="Z391" s="154"/>
      <c r="AA391" s="154"/>
      <c r="AB391" s="154"/>
      <c r="AC391" s="154"/>
      <c r="AD391" s="154"/>
      <c r="AE391" s="154"/>
      <c r="AF391" s="154"/>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154"/>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row>
    <row r="392" spans="1:111" ht="4.5" customHeight="1">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row>
    <row r="393" spans="1:111" ht="9" customHeight="1">
      <c r="A393" s="154"/>
      <c r="B393" s="154"/>
      <c r="C393" s="154"/>
      <c r="D393" s="154"/>
      <c r="E393" s="154"/>
      <c r="F393" s="154"/>
      <c r="G393" s="154"/>
      <c r="H393" s="154"/>
      <c r="I393" s="154"/>
      <c r="J393" s="416" t="str">
        <f>IF(C371="","","Valor Total (R$):")</f>
        <v>Valor Total (R$):</v>
      </c>
      <c r="K393" s="416"/>
      <c r="L393" s="416"/>
      <c r="M393" s="416"/>
      <c r="N393" s="416"/>
      <c r="O393" s="416"/>
      <c r="P393" s="154"/>
      <c r="Q393" s="419">
        <f>IF(Q389="","",Q385*Q389)</f>
        <v>0</v>
      </c>
      <c r="R393" s="419"/>
      <c r="S393" s="419"/>
      <c r="T393" s="419"/>
      <c r="U393" s="419"/>
      <c r="V393" s="419"/>
      <c r="W393" s="419"/>
      <c r="X393" s="419"/>
      <c r="Y393" s="154"/>
      <c r="Z393" s="416" t="str">
        <f>IF(C371="","",IF(J377="52 Equipamentos e Material Permanente","Justificativa e Utilização:",""))</f>
        <v/>
      </c>
      <c r="AA393" s="416"/>
      <c r="AB393" s="416"/>
      <c r="AC393" s="416"/>
      <c r="AD393" s="416"/>
      <c r="AE393" s="416"/>
      <c r="AF393" s="154"/>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154"/>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row>
    <row r="394" spans="1:111" ht="9" customHeight="1">
      <c r="A394" s="154"/>
      <c r="B394" s="154"/>
      <c r="C394" s="154"/>
      <c r="D394" s="154"/>
      <c r="E394" s="154"/>
      <c r="F394" s="154"/>
      <c r="G394" s="154"/>
      <c r="H394" s="154"/>
      <c r="I394" s="154"/>
      <c r="J394" s="416"/>
      <c r="K394" s="416"/>
      <c r="L394" s="416"/>
      <c r="M394" s="416"/>
      <c r="N394" s="416"/>
      <c r="O394" s="416"/>
      <c r="P394" s="154"/>
      <c r="Q394" s="419"/>
      <c r="R394" s="419"/>
      <c r="S394" s="419"/>
      <c r="T394" s="419"/>
      <c r="U394" s="419"/>
      <c r="V394" s="419"/>
      <c r="W394" s="419"/>
      <c r="X394" s="419"/>
      <c r="Y394" s="154"/>
      <c r="Z394" s="416"/>
      <c r="AA394" s="416"/>
      <c r="AB394" s="416"/>
      <c r="AC394" s="416"/>
      <c r="AD394" s="416"/>
      <c r="AE394" s="416"/>
      <c r="AF394" s="154"/>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154"/>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row>
    <row r="395" spans="1:111" ht="9" customHeight="1">
      <c r="A395" s="154"/>
      <c r="B395" s="154"/>
      <c r="C395" s="154"/>
      <c r="D395" s="154"/>
      <c r="E395" s="154"/>
      <c r="F395" s="154"/>
      <c r="G395" s="154"/>
      <c r="H395" s="154"/>
      <c r="I395" s="154"/>
      <c r="J395" s="154"/>
      <c r="K395" s="154"/>
      <c r="L395" s="154"/>
      <c r="M395" s="154"/>
      <c r="N395" s="154"/>
      <c r="O395" s="154"/>
      <c r="P395" s="154"/>
      <c r="Q395" s="419"/>
      <c r="R395" s="419"/>
      <c r="S395" s="419"/>
      <c r="T395" s="419"/>
      <c r="U395" s="419"/>
      <c r="V395" s="419"/>
      <c r="W395" s="419"/>
      <c r="X395" s="419"/>
      <c r="Y395" s="154"/>
      <c r="Z395" s="154"/>
      <c r="AA395" s="154"/>
      <c r="AB395" s="154"/>
      <c r="AC395" s="154"/>
      <c r="AD395" s="154"/>
      <c r="AE395" s="154"/>
      <c r="AF395" s="154"/>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154"/>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row>
    <row r="396" spans="1:111" ht="9" customHeight="1">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154"/>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row>
    <row r="397" spans="1:111" ht="9" customHeight="1">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420"/>
      <c r="AH397" s="420"/>
      <c r="AI397" s="420"/>
      <c r="AJ397" s="420"/>
      <c r="AK397" s="420"/>
      <c r="AL397" s="420"/>
      <c r="AM397" s="420"/>
      <c r="AN397" s="420"/>
      <c r="AO397" s="420"/>
      <c r="AP397" s="420"/>
      <c r="AQ397" s="420"/>
      <c r="AR397" s="420"/>
      <c r="AS397" s="420"/>
      <c r="AT397" s="420"/>
      <c r="AU397" s="420"/>
      <c r="AV397" s="420"/>
      <c r="AW397" s="420"/>
      <c r="AX397" s="420"/>
      <c r="AY397" s="420"/>
      <c r="AZ397" s="420"/>
      <c r="BA397" s="420"/>
      <c r="BB397" s="154"/>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row>
    <row r="398" spans="1:111" ht="9" customHeight="1">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420"/>
      <c r="AH398" s="420"/>
      <c r="AI398" s="420"/>
      <c r="AJ398" s="420"/>
      <c r="AK398" s="420"/>
      <c r="AL398" s="420"/>
      <c r="AM398" s="420"/>
      <c r="AN398" s="420"/>
      <c r="AO398" s="420"/>
      <c r="AP398" s="420"/>
      <c r="AQ398" s="420"/>
      <c r="AR398" s="420"/>
      <c r="AS398" s="420"/>
      <c r="AT398" s="420"/>
      <c r="AU398" s="420"/>
      <c r="AV398" s="420"/>
      <c r="AW398" s="420"/>
      <c r="AX398" s="420"/>
      <c r="AY398" s="420"/>
      <c r="AZ398" s="420"/>
      <c r="BA398" s="420"/>
      <c r="BB398" s="154"/>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row>
    <row r="399" spans="1:111" ht="15" customHeight="1">
      <c r="B399" s="55"/>
      <c r="C399" s="55"/>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141"/>
      <c r="AL399" s="141"/>
      <c r="AM399" s="141"/>
      <c r="AN399" s="141"/>
      <c r="AO399" s="140"/>
      <c r="AP399" s="140"/>
      <c r="AQ399" s="140"/>
      <c r="AR399" s="140"/>
      <c r="AS399" s="142"/>
      <c r="AT399" s="142"/>
      <c r="AU399" s="142"/>
      <c r="AV399" s="142"/>
      <c r="AW399" s="140"/>
      <c r="AX399" s="140"/>
      <c r="AY399" s="140"/>
      <c r="AZ399" s="140"/>
      <c r="BA399" s="140"/>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row>
    <row r="400" spans="1:111" ht="15" customHeight="1">
      <c r="B400" s="55"/>
      <c r="C400" s="422" t="str">
        <f>IF($AA$165&gt;=9,"DESPESA 9","")</f>
        <v>DESPESA 9</v>
      </c>
      <c r="D400" s="422"/>
      <c r="E400" s="422"/>
      <c r="F400" s="422"/>
      <c r="G400" s="422"/>
      <c r="H400" s="422"/>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141"/>
      <c r="AL400" s="141"/>
      <c r="AM400" s="141"/>
      <c r="AN400" s="141"/>
      <c r="AO400" s="140"/>
      <c r="AP400" s="140"/>
      <c r="AQ400" s="140"/>
      <c r="AR400" s="140"/>
      <c r="AS400" s="142"/>
      <c r="AT400" s="142"/>
      <c r="AU400" s="142"/>
      <c r="AV400" s="142"/>
      <c r="AW400" s="140"/>
      <c r="AX400" s="140"/>
      <c r="AY400" s="140"/>
      <c r="AZ400" s="140"/>
      <c r="BA400" s="140"/>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row>
    <row r="401" spans="1:111" ht="4.5" customHeight="1">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row>
    <row r="402" spans="1:111" ht="9" customHeight="1">
      <c r="C402" s="416" t="str">
        <f>IF(C400="","","Descrição da Despesa:")</f>
        <v>Descrição da Despesa:</v>
      </c>
      <c r="D402" s="416"/>
      <c r="E402" s="416"/>
      <c r="F402" s="416"/>
      <c r="G402" s="416"/>
      <c r="H402" s="416"/>
      <c r="I402" s="60"/>
      <c r="J402" s="421" t="s">
        <v>572</v>
      </c>
      <c r="K402" s="421"/>
      <c r="L402" s="421"/>
      <c r="M402" s="421"/>
      <c r="N402" s="421"/>
      <c r="O402" s="421"/>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c r="AN402" s="421"/>
      <c r="AO402" s="421"/>
      <c r="AP402" s="421"/>
      <c r="AQ402" s="421"/>
      <c r="AR402" s="421"/>
      <c r="AS402" s="421"/>
      <c r="AT402" s="421"/>
      <c r="AU402" s="421"/>
      <c r="AV402" s="421"/>
      <c r="AW402" s="421"/>
      <c r="AX402" s="421"/>
      <c r="AY402" s="421"/>
      <c r="AZ402" s="421"/>
      <c r="BA402" s="421"/>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row>
    <row r="403" spans="1:111" ht="9" customHeight="1">
      <c r="C403" s="416"/>
      <c r="D403" s="416"/>
      <c r="E403" s="416"/>
      <c r="F403" s="416"/>
      <c r="G403" s="416"/>
      <c r="H403" s="416"/>
      <c r="I403" s="60"/>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c r="AP403" s="421"/>
      <c r="AQ403" s="421"/>
      <c r="AR403" s="421"/>
      <c r="AS403" s="421"/>
      <c r="AT403" s="421"/>
      <c r="AU403" s="421"/>
      <c r="AV403" s="421"/>
      <c r="AW403" s="421"/>
      <c r="AX403" s="421"/>
      <c r="AY403" s="421"/>
      <c r="AZ403" s="421"/>
      <c r="BA403" s="421"/>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row>
    <row r="404" spans="1:111" ht="9" customHeight="1">
      <c r="C404" s="416"/>
      <c r="D404" s="416"/>
      <c r="E404" s="416"/>
      <c r="F404" s="416"/>
      <c r="G404" s="416"/>
      <c r="H404" s="416"/>
      <c r="I404" s="60"/>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c r="AN404" s="421"/>
      <c r="AO404" s="421"/>
      <c r="AP404" s="421"/>
      <c r="AQ404" s="421"/>
      <c r="AR404" s="421"/>
      <c r="AS404" s="421"/>
      <c r="AT404" s="421"/>
      <c r="AU404" s="421"/>
      <c r="AV404" s="421"/>
      <c r="AW404" s="421"/>
      <c r="AX404" s="421"/>
      <c r="AY404" s="421"/>
      <c r="AZ404" s="421"/>
      <c r="BA404" s="421"/>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row>
    <row r="405" spans="1:111" ht="4.5" customHeight="1">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row>
    <row r="406" spans="1:111" ht="9" customHeight="1">
      <c r="C406" s="416" t="str">
        <f>IF(C400="","","Elemento de Despesa:")</f>
        <v>Elemento de Despesa:</v>
      </c>
      <c r="D406" s="416"/>
      <c r="E406" s="416"/>
      <c r="F406" s="416"/>
      <c r="G406" s="416"/>
      <c r="H406" s="416"/>
      <c r="J406" s="421" t="s">
        <v>216</v>
      </c>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1"/>
      <c r="AL406" s="421"/>
      <c r="AM406" s="421"/>
      <c r="AN406" s="421"/>
      <c r="AO406" s="421"/>
      <c r="AP406" s="421"/>
      <c r="AQ406" s="421"/>
      <c r="AR406" s="421"/>
      <c r="AS406" s="421"/>
      <c r="AT406" s="421"/>
      <c r="AU406" s="421"/>
      <c r="AV406" s="421"/>
      <c r="AW406" s="421"/>
      <c r="AX406" s="421"/>
      <c r="AY406" s="421"/>
      <c r="AZ406" s="421"/>
      <c r="BA406" s="421"/>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row>
    <row r="407" spans="1:111" ht="9" customHeight="1">
      <c r="C407" s="416"/>
      <c r="D407" s="416"/>
      <c r="E407" s="416"/>
      <c r="F407" s="416"/>
      <c r="G407" s="416"/>
      <c r="H407" s="416"/>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c r="AN407" s="421"/>
      <c r="AO407" s="421"/>
      <c r="AP407" s="421"/>
      <c r="AQ407" s="421"/>
      <c r="AR407" s="421"/>
      <c r="AS407" s="421"/>
      <c r="AT407" s="421"/>
      <c r="AU407" s="421"/>
      <c r="AV407" s="421"/>
      <c r="AW407" s="421"/>
      <c r="AX407" s="421"/>
      <c r="AY407" s="421"/>
      <c r="AZ407" s="421"/>
      <c r="BA407" s="421"/>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row>
    <row r="408" spans="1:111" ht="9" customHeight="1">
      <c r="C408" s="416"/>
      <c r="D408" s="416"/>
      <c r="E408" s="416"/>
      <c r="F408" s="416"/>
      <c r="G408" s="416"/>
      <c r="H408" s="416"/>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c r="AN408" s="421"/>
      <c r="AO408" s="421"/>
      <c r="AP408" s="421"/>
      <c r="AQ408" s="421"/>
      <c r="AR408" s="421"/>
      <c r="AS408" s="421"/>
      <c r="AT408" s="421"/>
      <c r="AU408" s="421"/>
      <c r="AV408" s="421"/>
      <c r="AW408" s="421"/>
      <c r="AX408" s="421"/>
      <c r="AY408" s="421"/>
      <c r="AZ408" s="421"/>
      <c r="BA408" s="421"/>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row>
    <row r="409" spans="1:111" ht="4.5" customHeight="1">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row>
    <row r="410" spans="1:111" ht="9" customHeight="1">
      <c r="A410" s="61" t="str">
        <f>CONCATENATE(Q410,AC410)</f>
        <v>32</v>
      </c>
      <c r="J410" s="416" t="str">
        <f>IF(C400="","","Meta Vinculada:")</f>
        <v>Meta Vinculada:</v>
      </c>
      <c r="K410" s="416"/>
      <c r="L410" s="416"/>
      <c r="M410" s="416"/>
      <c r="N410" s="416"/>
      <c r="O410" s="416"/>
      <c r="Q410" s="417">
        <v>3</v>
      </c>
      <c r="R410" s="417"/>
      <c r="S410" s="417"/>
      <c r="T410" s="417"/>
      <c r="U410" s="56"/>
      <c r="V410" s="416" t="str">
        <f>IF(C400="","","Etapa Vinculada:")</f>
        <v>Etapa Vinculada:</v>
      </c>
      <c r="W410" s="416"/>
      <c r="X410" s="416"/>
      <c r="Y410" s="416"/>
      <c r="Z410" s="416"/>
      <c r="AA410" s="416"/>
      <c r="AC410" s="417">
        <v>2</v>
      </c>
      <c r="AD410" s="417"/>
      <c r="AE410" s="417"/>
      <c r="AF410" s="417"/>
      <c r="AG410" s="56"/>
      <c r="AH410" s="56"/>
      <c r="AI410" s="56"/>
      <c r="AJ410" s="56"/>
      <c r="AK410" s="141"/>
      <c r="AL410" s="141"/>
      <c r="AM410" s="141"/>
      <c r="AN410" s="141"/>
      <c r="AO410" s="140"/>
      <c r="AP410" s="140"/>
      <c r="AQ410" s="140"/>
      <c r="AR410" s="140"/>
      <c r="AS410" s="142"/>
      <c r="AT410" s="142"/>
      <c r="AU410" s="142"/>
      <c r="AV410" s="142"/>
      <c r="AW410" s="140"/>
      <c r="AX410" s="140"/>
      <c r="AY410" s="140"/>
      <c r="AZ410" s="140"/>
      <c r="BA410" s="140"/>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row>
    <row r="411" spans="1:111" ht="9" customHeight="1">
      <c r="B411" s="55"/>
      <c r="C411" s="55"/>
      <c r="D411" s="56"/>
      <c r="E411" s="56"/>
      <c r="F411" s="56"/>
      <c r="G411" s="56"/>
      <c r="H411" s="56"/>
      <c r="I411" s="56"/>
      <c r="J411" s="416"/>
      <c r="K411" s="416"/>
      <c r="L411" s="416"/>
      <c r="M411" s="416"/>
      <c r="N411" s="416"/>
      <c r="O411" s="416"/>
      <c r="Q411" s="417"/>
      <c r="R411" s="417"/>
      <c r="S411" s="417"/>
      <c r="T411" s="417"/>
      <c r="U411" s="56"/>
      <c r="V411" s="416"/>
      <c r="W411" s="416"/>
      <c r="X411" s="416"/>
      <c r="Y411" s="416"/>
      <c r="Z411" s="416"/>
      <c r="AA411" s="416"/>
      <c r="AC411" s="417"/>
      <c r="AD411" s="417"/>
      <c r="AE411" s="417"/>
      <c r="AF411" s="417"/>
      <c r="AG411" s="56"/>
      <c r="AH411" s="56"/>
      <c r="AI411" s="56"/>
      <c r="AJ411" s="56"/>
      <c r="AK411" s="141"/>
      <c r="AL411" s="141"/>
      <c r="AM411" s="141"/>
      <c r="AN411" s="141"/>
      <c r="AO411" s="140"/>
      <c r="AP411" s="140"/>
      <c r="AQ411" s="140"/>
      <c r="AR411" s="140"/>
      <c r="AS411" s="142"/>
      <c r="AT411" s="142"/>
      <c r="AU411" s="142"/>
      <c r="AV411" s="142"/>
      <c r="AW411" s="140"/>
      <c r="AX411" s="140"/>
      <c r="AY411" s="140"/>
      <c r="AZ411" s="140"/>
      <c r="BA411" s="140"/>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row>
    <row r="412" spans="1:111" ht="9" customHeight="1">
      <c r="Q412" s="417"/>
      <c r="R412" s="417"/>
      <c r="S412" s="417"/>
      <c r="T412" s="417"/>
      <c r="AC412" s="417"/>
      <c r="AD412" s="417"/>
      <c r="AE412" s="417"/>
      <c r="AF412" s="417"/>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row>
    <row r="413" spans="1:111" ht="4.5" customHeight="1">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row>
    <row r="414" spans="1:111" ht="9" customHeight="1">
      <c r="A414" s="154"/>
      <c r="B414" s="154"/>
      <c r="C414" s="154"/>
      <c r="D414" s="154"/>
      <c r="E414" s="154"/>
      <c r="F414" s="154"/>
      <c r="G414" s="154"/>
      <c r="H414" s="154"/>
      <c r="I414" s="154"/>
      <c r="J414" s="416" t="str">
        <f>IF(C400="","","Quantidade:")</f>
        <v>Quantidade:</v>
      </c>
      <c r="K414" s="416"/>
      <c r="L414" s="416"/>
      <c r="M414" s="416"/>
      <c r="N414" s="416"/>
      <c r="O414" s="416"/>
      <c r="P414" s="154"/>
      <c r="Q414" s="417">
        <v>1234</v>
      </c>
      <c r="R414" s="417"/>
      <c r="S414" s="417"/>
      <c r="T414" s="417"/>
      <c r="U414" s="154"/>
      <c r="V414" s="416" t="str">
        <f>IF(C400="","","Unidade:")</f>
        <v>Unidade:</v>
      </c>
      <c r="W414" s="416"/>
      <c r="X414" s="416"/>
      <c r="Y414" s="416"/>
      <c r="Z414" s="416"/>
      <c r="AA414" s="416"/>
      <c r="AB414" s="154"/>
      <c r="AC414" s="418" t="s">
        <v>568</v>
      </c>
      <c r="AD414" s="418"/>
      <c r="AE414" s="418"/>
      <c r="AF414" s="418"/>
      <c r="AG414" s="418"/>
      <c r="AH414" s="418"/>
      <c r="AI414" s="418"/>
      <c r="AJ414" s="418"/>
      <c r="AK414" s="418"/>
      <c r="AL414" s="418"/>
      <c r="AM414" s="418"/>
      <c r="AN414" s="418"/>
      <c r="AO414" s="418"/>
      <c r="AP414" s="418"/>
      <c r="AQ414" s="418"/>
      <c r="AR414" s="418"/>
      <c r="AS414" s="418"/>
      <c r="AT414" s="418"/>
      <c r="AU414" s="418"/>
      <c r="AV414" s="418"/>
      <c r="AW414" s="418"/>
      <c r="AX414" s="418"/>
      <c r="AY414" s="418"/>
      <c r="AZ414" s="418"/>
      <c r="BA414" s="418"/>
      <c r="BB414" s="154"/>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row>
    <row r="415" spans="1:111" ht="9" customHeight="1">
      <c r="A415" s="154"/>
      <c r="B415" s="154"/>
      <c r="C415" s="154"/>
      <c r="D415" s="154"/>
      <c r="E415" s="154"/>
      <c r="F415" s="154"/>
      <c r="G415" s="154"/>
      <c r="H415" s="154"/>
      <c r="I415" s="154"/>
      <c r="J415" s="416"/>
      <c r="K415" s="416"/>
      <c r="L415" s="416"/>
      <c r="M415" s="416"/>
      <c r="N415" s="416"/>
      <c r="O415" s="416"/>
      <c r="P415" s="154"/>
      <c r="Q415" s="417"/>
      <c r="R415" s="417"/>
      <c r="S415" s="417"/>
      <c r="T415" s="417"/>
      <c r="U415" s="154"/>
      <c r="V415" s="416"/>
      <c r="W415" s="416"/>
      <c r="X415" s="416"/>
      <c r="Y415" s="416"/>
      <c r="Z415" s="416"/>
      <c r="AA415" s="416"/>
      <c r="AB415" s="154"/>
      <c r="AC415" s="418"/>
      <c r="AD415" s="418"/>
      <c r="AE415" s="418"/>
      <c r="AF415" s="418"/>
      <c r="AG415" s="418"/>
      <c r="AH415" s="418"/>
      <c r="AI415" s="418"/>
      <c r="AJ415" s="418"/>
      <c r="AK415" s="418"/>
      <c r="AL415" s="418"/>
      <c r="AM415" s="418"/>
      <c r="AN415" s="418"/>
      <c r="AO415" s="418"/>
      <c r="AP415" s="418"/>
      <c r="AQ415" s="418"/>
      <c r="AR415" s="418"/>
      <c r="AS415" s="418"/>
      <c r="AT415" s="418"/>
      <c r="AU415" s="418"/>
      <c r="AV415" s="418"/>
      <c r="AW415" s="418"/>
      <c r="AX415" s="418"/>
      <c r="AY415" s="418"/>
      <c r="AZ415" s="418"/>
      <c r="BA415" s="418"/>
      <c r="BB415" s="154"/>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row>
    <row r="416" spans="1:111" ht="9" customHeight="1">
      <c r="A416" s="154"/>
      <c r="B416" s="154"/>
      <c r="C416" s="154"/>
      <c r="D416" s="154"/>
      <c r="E416" s="154"/>
      <c r="F416" s="154"/>
      <c r="G416" s="154"/>
      <c r="H416" s="154"/>
      <c r="I416" s="154"/>
      <c r="J416" s="154"/>
      <c r="K416" s="154"/>
      <c r="L416" s="154"/>
      <c r="M416" s="154"/>
      <c r="N416" s="154"/>
      <c r="O416" s="154"/>
      <c r="P416" s="154"/>
      <c r="Q416" s="417"/>
      <c r="R416" s="417"/>
      <c r="S416" s="417"/>
      <c r="T416" s="417"/>
      <c r="U416" s="154"/>
      <c r="V416" s="154"/>
      <c r="W416" s="154"/>
      <c r="X416" s="154"/>
      <c r="Y416" s="154"/>
      <c r="Z416" s="154"/>
      <c r="AA416" s="154"/>
      <c r="AB416" s="154"/>
      <c r="AC416" s="418"/>
      <c r="AD416" s="418"/>
      <c r="AE416" s="418"/>
      <c r="AF416" s="418"/>
      <c r="AG416" s="418"/>
      <c r="AH416" s="418"/>
      <c r="AI416" s="418"/>
      <c r="AJ416" s="418"/>
      <c r="AK416" s="418"/>
      <c r="AL416" s="418"/>
      <c r="AM416" s="418"/>
      <c r="AN416" s="418"/>
      <c r="AO416" s="418"/>
      <c r="AP416" s="418"/>
      <c r="AQ416" s="418"/>
      <c r="AR416" s="418"/>
      <c r="AS416" s="418"/>
      <c r="AT416" s="418"/>
      <c r="AU416" s="418"/>
      <c r="AV416" s="418"/>
      <c r="AW416" s="418"/>
      <c r="AX416" s="418"/>
      <c r="AY416" s="418"/>
      <c r="AZ416" s="418"/>
      <c r="BA416" s="418"/>
      <c r="BB416" s="154"/>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row>
    <row r="417" spans="1:111" ht="4.5" customHeight="1">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row>
    <row r="418" spans="1:111" ht="9" customHeight="1">
      <c r="A418" s="154"/>
      <c r="B418" s="154"/>
      <c r="C418" s="154"/>
      <c r="D418" s="154"/>
      <c r="E418" s="154"/>
      <c r="F418" s="154"/>
      <c r="G418" s="154"/>
      <c r="H418" s="154"/>
      <c r="I418" s="154"/>
      <c r="J418" s="416" t="str">
        <f>IF(C400="","","Valor Unitário (R$):")</f>
        <v>Valor Unitário (R$):</v>
      </c>
      <c r="K418" s="416"/>
      <c r="L418" s="416"/>
      <c r="M418" s="416"/>
      <c r="N418" s="416"/>
      <c r="O418" s="416"/>
      <c r="P418" s="154"/>
      <c r="Q418" s="419">
        <v>473.28</v>
      </c>
      <c r="R418" s="419"/>
      <c r="S418" s="419"/>
      <c r="T418" s="419"/>
      <c r="U418" s="419"/>
      <c r="V418" s="419"/>
      <c r="W418" s="419"/>
      <c r="X418" s="419"/>
      <c r="Y418" s="154"/>
      <c r="Z418" s="416" t="str">
        <f>IF(C400="","",IF(J406="52 Equipamentos e Material Permanente","Tempo de Uso:",""))</f>
        <v/>
      </c>
      <c r="AA418" s="416"/>
      <c r="AB418" s="416"/>
      <c r="AC418" s="416"/>
      <c r="AD418" s="416"/>
      <c r="AE418" s="416"/>
      <c r="AF418" s="154"/>
      <c r="AG418" s="420"/>
      <c r="AH418" s="420"/>
      <c r="AI418" s="420"/>
      <c r="AJ418" s="420"/>
      <c r="AK418" s="420"/>
      <c r="AL418" s="420"/>
      <c r="AM418" s="420"/>
      <c r="AN418" s="420"/>
      <c r="AO418" s="420"/>
      <c r="AP418" s="420"/>
      <c r="AQ418" s="420"/>
      <c r="AR418" s="420"/>
      <c r="AS418" s="420"/>
      <c r="AT418" s="420"/>
      <c r="AU418" s="420"/>
      <c r="AV418" s="420"/>
      <c r="AW418" s="420"/>
      <c r="AX418" s="420"/>
      <c r="AY418" s="420"/>
      <c r="AZ418" s="420"/>
      <c r="BA418" s="420"/>
      <c r="BB418" s="154"/>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row>
    <row r="419" spans="1:111" ht="9" customHeight="1">
      <c r="A419" s="154"/>
      <c r="B419" s="154"/>
      <c r="C419" s="154"/>
      <c r="D419" s="154"/>
      <c r="E419" s="154"/>
      <c r="F419" s="154"/>
      <c r="G419" s="154"/>
      <c r="H419" s="154"/>
      <c r="I419" s="154"/>
      <c r="J419" s="416"/>
      <c r="K419" s="416"/>
      <c r="L419" s="416"/>
      <c r="M419" s="416"/>
      <c r="N419" s="416"/>
      <c r="O419" s="416"/>
      <c r="P419" s="154"/>
      <c r="Q419" s="419"/>
      <c r="R419" s="419"/>
      <c r="S419" s="419"/>
      <c r="T419" s="419"/>
      <c r="U419" s="419"/>
      <c r="V419" s="419"/>
      <c r="W419" s="419"/>
      <c r="X419" s="419"/>
      <c r="Y419" s="154"/>
      <c r="Z419" s="416"/>
      <c r="AA419" s="416"/>
      <c r="AB419" s="416"/>
      <c r="AC419" s="416"/>
      <c r="AD419" s="416"/>
      <c r="AE419" s="416"/>
      <c r="AF419" s="154"/>
      <c r="AG419" s="420"/>
      <c r="AH419" s="420"/>
      <c r="AI419" s="420"/>
      <c r="AJ419" s="420"/>
      <c r="AK419" s="420"/>
      <c r="AL419" s="420"/>
      <c r="AM419" s="420"/>
      <c r="AN419" s="420"/>
      <c r="AO419" s="420"/>
      <c r="AP419" s="420"/>
      <c r="AQ419" s="420"/>
      <c r="AR419" s="420"/>
      <c r="AS419" s="420"/>
      <c r="AT419" s="420"/>
      <c r="AU419" s="420"/>
      <c r="AV419" s="420"/>
      <c r="AW419" s="420"/>
      <c r="AX419" s="420"/>
      <c r="AY419" s="420"/>
      <c r="AZ419" s="420"/>
      <c r="BA419" s="420"/>
      <c r="BB419" s="154"/>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row>
    <row r="420" spans="1:111" ht="9" customHeight="1">
      <c r="A420" s="154"/>
      <c r="B420" s="154"/>
      <c r="C420" s="154"/>
      <c r="D420" s="154"/>
      <c r="E420" s="154"/>
      <c r="F420" s="154"/>
      <c r="G420" s="154"/>
      <c r="H420" s="154"/>
      <c r="I420" s="154"/>
      <c r="J420" s="154"/>
      <c r="K420" s="154"/>
      <c r="L420" s="154"/>
      <c r="M420" s="154"/>
      <c r="N420" s="154"/>
      <c r="O420" s="154"/>
      <c r="P420" s="154"/>
      <c r="Q420" s="419"/>
      <c r="R420" s="419"/>
      <c r="S420" s="419"/>
      <c r="T420" s="419"/>
      <c r="U420" s="419"/>
      <c r="V420" s="419"/>
      <c r="W420" s="419"/>
      <c r="X420" s="419"/>
      <c r="Y420" s="154"/>
      <c r="Z420" s="154"/>
      <c r="AA420" s="154"/>
      <c r="AB420" s="154"/>
      <c r="AC420" s="154"/>
      <c r="AD420" s="154"/>
      <c r="AE420" s="154"/>
      <c r="AF420" s="154"/>
      <c r="AG420" s="420"/>
      <c r="AH420" s="420"/>
      <c r="AI420" s="420"/>
      <c r="AJ420" s="420"/>
      <c r="AK420" s="420"/>
      <c r="AL420" s="420"/>
      <c r="AM420" s="420"/>
      <c r="AN420" s="420"/>
      <c r="AO420" s="420"/>
      <c r="AP420" s="420"/>
      <c r="AQ420" s="420"/>
      <c r="AR420" s="420"/>
      <c r="AS420" s="420"/>
      <c r="AT420" s="420"/>
      <c r="AU420" s="420"/>
      <c r="AV420" s="420"/>
      <c r="AW420" s="420"/>
      <c r="AX420" s="420"/>
      <c r="AY420" s="420"/>
      <c r="AZ420" s="420"/>
      <c r="BA420" s="420"/>
      <c r="BB420" s="154"/>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row>
    <row r="421" spans="1:111" ht="4.5" customHeight="1">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row>
    <row r="422" spans="1:111" ht="9" customHeight="1">
      <c r="A422" s="154"/>
      <c r="B422" s="154"/>
      <c r="C422" s="154"/>
      <c r="D422" s="154"/>
      <c r="E422" s="154"/>
      <c r="F422" s="154"/>
      <c r="G422" s="154"/>
      <c r="H422" s="154"/>
      <c r="I422" s="154"/>
      <c r="J422" s="416" t="str">
        <f>IF(C400="","","Valor Total (R$):")</f>
        <v>Valor Total (R$):</v>
      </c>
      <c r="K422" s="416"/>
      <c r="L422" s="416"/>
      <c r="M422" s="416"/>
      <c r="N422" s="416"/>
      <c r="O422" s="416"/>
      <c r="P422" s="154"/>
      <c r="Q422" s="419">
        <f>IF(Q418="","",Q414*Q418)</f>
        <v>584027.52</v>
      </c>
      <c r="R422" s="419"/>
      <c r="S422" s="419"/>
      <c r="T422" s="419"/>
      <c r="U422" s="419"/>
      <c r="V422" s="419"/>
      <c r="W422" s="419"/>
      <c r="X422" s="419"/>
      <c r="Y422" s="154"/>
      <c r="Z422" s="416" t="str">
        <f>IF(C400="","",IF(J406="52 Equipamentos e Material Permanente","Justificativa e Utilização:",""))</f>
        <v/>
      </c>
      <c r="AA422" s="416"/>
      <c r="AB422" s="416"/>
      <c r="AC422" s="416"/>
      <c r="AD422" s="416"/>
      <c r="AE422" s="416"/>
      <c r="AF422" s="154"/>
      <c r="AG422" s="420"/>
      <c r="AH422" s="420"/>
      <c r="AI422" s="420"/>
      <c r="AJ422" s="420"/>
      <c r="AK422" s="420"/>
      <c r="AL422" s="420"/>
      <c r="AM422" s="420"/>
      <c r="AN422" s="420"/>
      <c r="AO422" s="420"/>
      <c r="AP422" s="420"/>
      <c r="AQ422" s="420"/>
      <c r="AR422" s="420"/>
      <c r="AS422" s="420"/>
      <c r="AT422" s="420"/>
      <c r="AU422" s="420"/>
      <c r="AV422" s="420"/>
      <c r="AW422" s="420"/>
      <c r="AX422" s="420"/>
      <c r="AY422" s="420"/>
      <c r="AZ422" s="420"/>
      <c r="BA422" s="420"/>
      <c r="BB422" s="154"/>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row>
    <row r="423" spans="1:111" ht="9" customHeight="1">
      <c r="A423" s="154"/>
      <c r="B423" s="154"/>
      <c r="C423" s="154"/>
      <c r="D423" s="154"/>
      <c r="E423" s="154"/>
      <c r="F423" s="154"/>
      <c r="G423" s="154"/>
      <c r="H423" s="154"/>
      <c r="I423" s="154"/>
      <c r="J423" s="416"/>
      <c r="K423" s="416"/>
      <c r="L423" s="416"/>
      <c r="M423" s="416"/>
      <c r="N423" s="416"/>
      <c r="O423" s="416"/>
      <c r="P423" s="154"/>
      <c r="Q423" s="419"/>
      <c r="R423" s="419"/>
      <c r="S423" s="419"/>
      <c r="T423" s="419"/>
      <c r="U423" s="419"/>
      <c r="V423" s="419"/>
      <c r="W423" s="419"/>
      <c r="X423" s="419"/>
      <c r="Y423" s="154"/>
      <c r="Z423" s="416"/>
      <c r="AA423" s="416"/>
      <c r="AB423" s="416"/>
      <c r="AC423" s="416"/>
      <c r="AD423" s="416"/>
      <c r="AE423" s="416"/>
      <c r="AF423" s="154"/>
      <c r="AG423" s="420"/>
      <c r="AH423" s="420"/>
      <c r="AI423" s="420"/>
      <c r="AJ423" s="420"/>
      <c r="AK423" s="420"/>
      <c r="AL423" s="420"/>
      <c r="AM423" s="420"/>
      <c r="AN423" s="420"/>
      <c r="AO423" s="420"/>
      <c r="AP423" s="420"/>
      <c r="AQ423" s="420"/>
      <c r="AR423" s="420"/>
      <c r="AS423" s="420"/>
      <c r="AT423" s="420"/>
      <c r="AU423" s="420"/>
      <c r="AV423" s="420"/>
      <c r="AW423" s="420"/>
      <c r="AX423" s="420"/>
      <c r="AY423" s="420"/>
      <c r="AZ423" s="420"/>
      <c r="BA423" s="420"/>
      <c r="BB423" s="154"/>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row>
    <row r="424" spans="1:111" ht="9" customHeight="1">
      <c r="A424" s="154"/>
      <c r="B424" s="154"/>
      <c r="C424" s="154"/>
      <c r="D424" s="154"/>
      <c r="E424" s="154"/>
      <c r="F424" s="154"/>
      <c r="G424" s="154"/>
      <c r="H424" s="154"/>
      <c r="I424" s="154"/>
      <c r="J424" s="154"/>
      <c r="K424" s="154"/>
      <c r="L424" s="154"/>
      <c r="M424" s="154"/>
      <c r="N424" s="154"/>
      <c r="O424" s="154"/>
      <c r="P424" s="154"/>
      <c r="Q424" s="419"/>
      <c r="R424" s="419"/>
      <c r="S424" s="419"/>
      <c r="T424" s="419"/>
      <c r="U424" s="419"/>
      <c r="V424" s="419"/>
      <c r="W424" s="419"/>
      <c r="X424" s="419"/>
      <c r="Y424" s="154"/>
      <c r="Z424" s="154"/>
      <c r="AA424" s="154"/>
      <c r="AB424" s="154"/>
      <c r="AC424" s="154"/>
      <c r="AD424" s="154"/>
      <c r="AE424" s="154"/>
      <c r="AF424" s="154"/>
      <c r="AG424" s="420"/>
      <c r="AH424" s="420"/>
      <c r="AI424" s="420"/>
      <c r="AJ424" s="420"/>
      <c r="AK424" s="420"/>
      <c r="AL424" s="420"/>
      <c r="AM424" s="420"/>
      <c r="AN424" s="420"/>
      <c r="AO424" s="420"/>
      <c r="AP424" s="420"/>
      <c r="AQ424" s="420"/>
      <c r="AR424" s="420"/>
      <c r="AS424" s="420"/>
      <c r="AT424" s="420"/>
      <c r="AU424" s="420"/>
      <c r="AV424" s="420"/>
      <c r="AW424" s="420"/>
      <c r="AX424" s="420"/>
      <c r="AY424" s="420"/>
      <c r="AZ424" s="420"/>
      <c r="BA424" s="420"/>
      <c r="BB424" s="154"/>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row>
    <row r="425" spans="1:111" ht="9" customHeight="1">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420"/>
      <c r="AH425" s="420"/>
      <c r="AI425" s="420"/>
      <c r="AJ425" s="420"/>
      <c r="AK425" s="420"/>
      <c r="AL425" s="420"/>
      <c r="AM425" s="420"/>
      <c r="AN425" s="420"/>
      <c r="AO425" s="420"/>
      <c r="AP425" s="420"/>
      <c r="AQ425" s="420"/>
      <c r="AR425" s="420"/>
      <c r="AS425" s="420"/>
      <c r="AT425" s="420"/>
      <c r="AU425" s="420"/>
      <c r="AV425" s="420"/>
      <c r="AW425" s="420"/>
      <c r="AX425" s="420"/>
      <c r="AY425" s="420"/>
      <c r="AZ425" s="420"/>
      <c r="BA425" s="420"/>
      <c r="BB425" s="154"/>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row>
    <row r="426" spans="1:111" ht="9" customHeight="1">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420"/>
      <c r="AH426" s="420"/>
      <c r="AI426" s="420"/>
      <c r="AJ426" s="420"/>
      <c r="AK426" s="420"/>
      <c r="AL426" s="420"/>
      <c r="AM426" s="420"/>
      <c r="AN426" s="420"/>
      <c r="AO426" s="420"/>
      <c r="AP426" s="420"/>
      <c r="AQ426" s="420"/>
      <c r="AR426" s="420"/>
      <c r="AS426" s="420"/>
      <c r="AT426" s="420"/>
      <c r="AU426" s="420"/>
      <c r="AV426" s="420"/>
      <c r="AW426" s="420"/>
      <c r="AX426" s="420"/>
      <c r="AY426" s="420"/>
      <c r="AZ426" s="420"/>
      <c r="BA426" s="420"/>
      <c r="BB426" s="154"/>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row>
    <row r="427" spans="1:111" ht="9" customHeight="1">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420"/>
      <c r="AH427" s="420"/>
      <c r="AI427" s="420"/>
      <c r="AJ427" s="420"/>
      <c r="AK427" s="420"/>
      <c r="AL427" s="420"/>
      <c r="AM427" s="420"/>
      <c r="AN427" s="420"/>
      <c r="AO427" s="420"/>
      <c r="AP427" s="420"/>
      <c r="AQ427" s="420"/>
      <c r="AR427" s="420"/>
      <c r="AS427" s="420"/>
      <c r="AT427" s="420"/>
      <c r="AU427" s="420"/>
      <c r="AV427" s="420"/>
      <c r="AW427" s="420"/>
      <c r="AX427" s="420"/>
      <c r="AY427" s="420"/>
      <c r="AZ427" s="420"/>
      <c r="BA427" s="420"/>
      <c r="BB427" s="154"/>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row>
    <row r="428" spans="1:111" ht="15" customHeight="1">
      <c r="B428" s="55"/>
      <c r="C428" s="55"/>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141"/>
      <c r="AL428" s="141"/>
      <c r="AM428" s="141"/>
      <c r="AN428" s="141"/>
      <c r="AO428" s="140"/>
      <c r="AP428" s="140"/>
      <c r="AQ428" s="140"/>
      <c r="AR428" s="140"/>
      <c r="AS428" s="142"/>
      <c r="AT428" s="142"/>
      <c r="AU428" s="142"/>
      <c r="AV428" s="142"/>
      <c r="AW428" s="140"/>
      <c r="AX428" s="140"/>
      <c r="AY428" s="140"/>
      <c r="AZ428" s="140"/>
      <c r="BA428" s="140"/>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row>
    <row r="429" spans="1:111" ht="15" customHeight="1">
      <c r="B429" s="55"/>
      <c r="C429" s="422" t="str">
        <f>IF($AA$165&gt;=10,"DESPESA 10","")</f>
        <v>DESPESA 10</v>
      </c>
      <c r="D429" s="422"/>
      <c r="E429" s="422"/>
      <c r="F429" s="422"/>
      <c r="G429" s="422"/>
      <c r="H429" s="422"/>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141"/>
      <c r="AL429" s="141"/>
      <c r="AM429" s="141"/>
      <c r="AN429" s="141"/>
      <c r="AO429" s="140"/>
      <c r="AP429" s="140"/>
      <c r="AQ429" s="140"/>
      <c r="AR429" s="140"/>
      <c r="AS429" s="142"/>
      <c r="AT429" s="142"/>
      <c r="AU429" s="142"/>
      <c r="AV429" s="142"/>
      <c r="AW429" s="140"/>
      <c r="AX429" s="140"/>
      <c r="AY429" s="140"/>
      <c r="AZ429" s="140"/>
      <c r="BA429" s="140"/>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row>
    <row r="430" spans="1:111" ht="4.5" customHeight="1">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row>
    <row r="431" spans="1:111" ht="9" customHeight="1">
      <c r="C431" s="416" t="str">
        <f>IF(C429="","","Descrição da Despesa:")</f>
        <v>Descrição da Despesa:</v>
      </c>
      <c r="D431" s="416"/>
      <c r="E431" s="416"/>
      <c r="F431" s="416"/>
      <c r="G431" s="416"/>
      <c r="H431" s="416"/>
      <c r="I431" s="60"/>
      <c r="J431" s="421" t="s">
        <v>573</v>
      </c>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1"/>
      <c r="AK431" s="421"/>
      <c r="AL431" s="421"/>
      <c r="AM431" s="421"/>
      <c r="AN431" s="421"/>
      <c r="AO431" s="421"/>
      <c r="AP431" s="421"/>
      <c r="AQ431" s="421"/>
      <c r="AR431" s="421"/>
      <c r="AS431" s="421"/>
      <c r="AT431" s="421"/>
      <c r="AU431" s="421"/>
      <c r="AV431" s="421"/>
      <c r="AW431" s="421"/>
      <c r="AX431" s="421"/>
      <c r="AY431" s="421"/>
      <c r="AZ431" s="421"/>
      <c r="BA431" s="421"/>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row>
    <row r="432" spans="1:111" ht="9" customHeight="1">
      <c r="C432" s="416"/>
      <c r="D432" s="416"/>
      <c r="E432" s="416"/>
      <c r="F432" s="416"/>
      <c r="G432" s="416"/>
      <c r="H432" s="416"/>
      <c r="I432" s="60"/>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c r="AF432" s="421"/>
      <c r="AG432" s="421"/>
      <c r="AH432" s="421"/>
      <c r="AI432" s="421"/>
      <c r="AJ432" s="421"/>
      <c r="AK432" s="421"/>
      <c r="AL432" s="421"/>
      <c r="AM432" s="421"/>
      <c r="AN432" s="421"/>
      <c r="AO432" s="421"/>
      <c r="AP432" s="421"/>
      <c r="AQ432" s="421"/>
      <c r="AR432" s="421"/>
      <c r="AS432" s="421"/>
      <c r="AT432" s="421"/>
      <c r="AU432" s="421"/>
      <c r="AV432" s="421"/>
      <c r="AW432" s="421"/>
      <c r="AX432" s="421"/>
      <c r="AY432" s="421"/>
      <c r="AZ432" s="421"/>
      <c r="BA432" s="421"/>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row>
    <row r="433" spans="1:111" ht="9" customHeight="1">
      <c r="C433" s="416"/>
      <c r="D433" s="416"/>
      <c r="E433" s="416"/>
      <c r="F433" s="416"/>
      <c r="G433" s="416"/>
      <c r="H433" s="416"/>
      <c r="I433" s="60"/>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H433" s="421"/>
      <c r="AI433" s="421"/>
      <c r="AJ433" s="421"/>
      <c r="AK433" s="421"/>
      <c r="AL433" s="421"/>
      <c r="AM433" s="421"/>
      <c r="AN433" s="421"/>
      <c r="AO433" s="421"/>
      <c r="AP433" s="421"/>
      <c r="AQ433" s="421"/>
      <c r="AR433" s="421"/>
      <c r="AS433" s="421"/>
      <c r="AT433" s="421"/>
      <c r="AU433" s="421"/>
      <c r="AV433" s="421"/>
      <c r="AW433" s="421"/>
      <c r="AX433" s="421"/>
      <c r="AY433" s="421"/>
      <c r="AZ433" s="421"/>
      <c r="BA433" s="421"/>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row>
    <row r="434" spans="1:111" ht="4.5" customHeight="1">
      <c r="M434" s="129"/>
      <c r="N434" s="129"/>
      <c r="O434" s="129"/>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row>
    <row r="435" spans="1:111" ht="9" customHeight="1">
      <c r="C435" s="416" t="str">
        <f>IF(C429="","","Elemento de Despesa:")</f>
        <v>Elemento de Despesa:</v>
      </c>
      <c r="D435" s="416"/>
      <c r="E435" s="416"/>
      <c r="F435" s="416"/>
      <c r="G435" s="416"/>
      <c r="H435" s="416"/>
      <c r="J435" s="421" t="s">
        <v>215</v>
      </c>
      <c r="K435" s="421"/>
      <c r="L435" s="421"/>
      <c r="M435" s="421"/>
      <c r="N435" s="421"/>
      <c r="O435" s="421"/>
      <c r="P435" s="421"/>
      <c r="Q435" s="421"/>
      <c r="R435" s="421"/>
      <c r="S435" s="421"/>
      <c r="T435" s="421"/>
      <c r="U435" s="421"/>
      <c r="V435" s="421"/>
      <c r="W435" s="421"/>
      <c r="X435" s="421"/>
      <c r="Y435" s="421"/>
      <c r="Z435" s="421"/>
      <c r="AA435" s="421"/>
      <c r="AB435" s="421"/>
      <c r="AC435" s="421"/>
      <c r="AD435" s="421"/>
      <c r="AE435" s="421"/>
      <c r="AF435" s="421"/>
      <c r="AG435" s="421"/>
      <c r="AH435" s="421"/>
      <c r="AI435" s="421"/>
      <c r="AJ435" s="421"/>
      <c r="AK435" s="421"/>
      <c r="AL435" s="421"/>
      <c r="AM435" s="421"/>
      <c r="AN435" s="421"/>
      <c r="AO435" s="421"/>
      <c r="AP435" s="421"/>
      <c r="AQ435" s="421"/>
      <c r="AR435" s="421"/>
      <c r="AS435" s="421"/>
      <c r="AT435" s="421"/>
      <c r="AU435" s="421"/>
      <c r="AV435" s="421"/>
      <c r="AW435" s="421"/>
      <c r="AX435" s="421"/>
      <c r="AY435" s="421"/>
      <c r="AZ435" s="421"/>
      <c r="BA435" s="421"/>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row>
    <row r="436" spans="1:111" ht="9" customHeight="1">
      <c r="C436" s="416"/>
      <c r="D436" s="416"/>
      <c r="E436" s="416"/>
      <c r="F436" s="416"/>
      <c r="G436" s="416"/>
      <c r="H436" s="416"/>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421"/>
      <c r="AF436" s="421"/>
      <c r="AG436" s="421"/>
      <c r="AH436" s="421"/>
      <c r="AI436" s="421"/>
      <c r="AJ436" s="421"/>
      <c r="AK436" s="421"/>
      <c r="AL436" s="421"/>
      <c r="AM436" s="421"/>
      <c r="AN436" s="421"/>
      <c r="AO436" s="421"/>
      <c r="AP436" s="421"/>
      <c r="AQ436" s="421"/>
      <c r="AR436" s="421"/>
      <c r="AS436" s="421"/>
      <c r="AT436" s="421"/>
      <c r="AU436" s="421"/>
      <c r="AV436" s="421"/>
      <c r="AW436" s="421"/>
      <c r="AX436" s="421"/>
      <c r="AY436" s="421"/>
      <c r="AZ436" s="421"/>
      <c r="BA436" s="421"/>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row>
    <row r="437" spans="1:111" ht="9" customHeight="1">
      <c r="C437" s="416"/>
      <c r="D437" s="416"/>
      <c r="E437" s="416"/>
      <c r="F437" s="416"/>
      <c r="G437" s="416"/>
      <c r="H437" s="416"/>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c r="AF437" s="421"/>
      <c r="AG437" s="421"/>
      <c r="AH437" s="421"/>
      <c r="AI437" s="421"/>
      <c r="AJ437" s="421"/>
      <c r="AK437" s="421"/>
      <c r="AL437" s="421"/>
      <c r="AM437" s="421"/>
      <c r="AN437" s="421"/>
      <c r="AO437" s="421"/>
      <c r="AP437" s="421"/>
      <c r="AQ437" s="421"/>
      <c r="AR437" s="421"/>
      <c r="AS437" s="421"/>
      <c r="AT437" s="421"/>
      <c r="AU437" s="421"/>
      <c r="AV437" s="421"/>
      <c r="AW437" s="421"/>
      <c r="AX437" s="421"/>
      <c r="AY437" s="421"/>
      <c r="AZ437" s="421"/>
      <c r="BA437" s="421"/>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row>
    <row r="438" spans="1:111" ht="4.5" customHeight="1">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row>
    <row r="439" spans="1:111" ht="9" customHeight="1">
      <c r="A439" s="61" t="str">
        <f>CONCATENATE(Q439,AC439)</f>
        <v>41</v>
      </c>
      <c r="J439" s="416" t="str">
        <f>IF(C429="","","Meta Vinculada:")</f>
        <v>Meta Vinculada:</v>
      </c>
      <c r="K439" s="416"/>
      <c r="L439" s="416"/>
      <c r="M439" s="416"/>
      <c r="N439" s="416"/>
      <c r="O439" s="416"/>
      <c r="Q439" s="417">
        <v>4</v>
      </c>
      <c r="R439" s="417"/>
      <c r="S439" s="417"/>
      <c r="T439" s="417"/>
      <c r="U439" s="56"/>
      <c r="V439" s="416" t="str">
        <f>IF(C429="","","Etapa Vinculada:")</f>
        <v>Etapa Vinculada:</v>
      </c>
      <c r="W439" s="416"/>
      <c r="X439" s="416"/>
      <c r="Y439" s="416"/>
      <c r="Z439" s="416"/>
      <c r="AA439" s="416"/>
      <c r="AC439" s="417">
        <v>1</v>
      </c>
      <c r="AD439" s="417"/>
      <c r="AE439" s="417"/>
      <c r="AF439" s="417"/>
      <c r="AG439" s="56"/>
      <c r="AH439" s="56"/>
      <c r="AI439" s="56"/>
      <c r="AJ439" s="56"/>
      <c r="AK439" s="141"/>
      <c r="AL439" s="141"/>
      <c r="AM439" s="141"/>
      <c r="AN439" s="141"/>
      <c r="AO439" s="140"/>
      <c r="AP439" s="140"/>
      <c r="AQ439" s="140"/>
      <c r="AR439" s="140"/>
      <c r="AS439" s="142"/>
      <c r="AT439" s="142"/>
      <c r="AU439" s="142"/>
      <c r="AV439" s="142"/>
      <c r="AW439" s="140"/>
      <c r="AX439" s="140"/>
      <c r="AY439" s="140"/>
      <c r="AZ439" s="140"/>
      <c r="BA439" s="140"/>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row>
    <row r="440" spans="1:111" ht="9" customHeight="1">
      <c r="B440" s="55"/>
      <c r="C440" s="55"/>
      <c r="D440" s="56"/>
      <c r="E440" s="56"/>
      <c r="F440" s="56"/>
      <c r="G440" s="56"/>
      <c r="H440" s="56"/>
      <c r="I440" s="56"/>
      <c r="J440" s="416"/>
      <c r="K440" s="416"/>
      <c r="L440" s="416"/>
      <c r="M440" s="416"/>
      <c r="N440" s="416"/>
      <c r="O440" s="416"/>
      <c r="Q440" s="417"/>
      <c r="R440" s="417"/>
      <c r="S440" s="417"/>
      <c r="T440" s="417"/>
      <c r="U440" s="56"/>
      <c r="V440" s="416"/>
      <c r="W440" s="416"/>
      <c r="X440" s="416"/>
      <c r="Y440" s="416"/>
      <c r="Z440" s="416"/>
      <c r="AA440" s="416"/>
      <c r="AC440" s="417"/>
      <c r="AD440" s="417"/>
      <c r="AE440" s="417"/>
      <c r="AF440" s="417"/>
      <c r="AG440" s="56"/>
      <c r="AH440" s="56"/>
      <c r="AI440" s="56"/>
      <c r="AJ440" s="56"/>
      <c r="AK440" s="141"/>
      <c r="AL440" s="141"/>
      <c r="AM440" s="141"/>
      <c r="AN440" s="141"/>
      <c r="AO440" s="140"/>
      <c r="AP440" s="140"/>
      <c r="AQ440" s="140"/>
      <c r="AR440" s="140"/>
      <c r="AS440" s="142"/>
      <c r="AT440" s="142"/>
      <c r="AU440" s="142"/>
      <c r="AV440" s="142"/>
      <c r="AW440" s="140"/>
      <c r="AX440" s="140"/>
      <c r="AY440" s="140"/>
      <c r="AZ440" s="140"/>
      <c r="BA440" s="140"/>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row>
    <row r="441" spans="1:111" ht="9" customHeight="1">
      <c r="Q441" s="417"/>
      <c r="R441" s="417"/>
      <c r="S441" s="417"/>
      <c r="T441" s="417"/>
      <c r="AC441" s="417"/>
      <c r="AD441" s="417"/>
      <c r="AE441" s="417"/>
      <c r="AF441" s="417"/>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row>
    <row r="442" spans="1:111" ht="4.5" customHeight="1">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row>
    <row r="443" spans="1:111" ht="9" customHeight="1">
      <c r="A443" s="154"/>
      <c r="B443" s="154"/>
      <c r="C443" s="154"/>
      <c r="D443" s="154"/>
      <c r="E443" s="154"/>
      <c r="F443" s="154"/>
      <c r="G443" s="154"/>
      <c r="H443" s="154"/>
      <c r="I443" s="154"/>
      <c r="J443" s="416" t="str">
        <f>IF(C429="","","Quantidade:")</f>
        <v>Quantidade:</v>
      </c>
      <c r="K443" s="416"/>
      <c r="L443" s="416"/>
      <c r="M443" s="416"/>
      <c r="N443" s="416"/>
      <c r="O443" s="416"/>
      <c r="P443" s="154"/>
      <c r="Q443" s="417">
        <v>60</v>
      </c>
      <c r="R443" s="417"/>
      <c r="S443" s="417"/>
      <c r="T443" s="417"/>
      <c r="U443" s="154"/>
      <c r="V443" s="416" t="str">
        <f>IF(C429="","","Unidade:")</f>
        <v>Unidade:</v>
      </c>
      <c r="W443" s="416"/>
      <c r="X443" s="416"/>
      <c r="Y443" s="416"/>
      <c r="Z443" s="416"/>
      <c r="AA443" s="416"/>
      <c r="AB443" s="154"/>
      <c r="AC443" s="418" t="s">
        <v>587</v>
      </c>
      <c r="AD443" s="418"/>
      <c r="AE443" s="418"/>
      <c r="AF443" s="418"/>
      <c r="AG443" s="418"/>
      <c r="AH443" s="418"/>
      <c r="AI443" s="418"/>
      <c r="AJ443" s="418"/>
      <c r="AK443" s="418"/>
      <c r="AL443" s="418"/>
      <c r="AM443" s="418"/>
      <c r="AN443" s="418"/>
      <c r="AO443" s="418"/>
      <c r="AP443" s="418"/>
      <c r="AQ443" s="418"/>
      <c r="AR443" s="418"/>
      <c r="AS443" s="418"/>
      <c r="AT443" s="418"/>
      <c r="AU443" s="418"/>
      <c r="AV443" s="418"/>
      <c r="AW443" s="418"/>
      <c r="AX443" s="418"/>
      <c r="AY443" s="418"/>
      <c r="AZ443" s="418"/>
      <c r="BA443" s="418"/>
      <c r="BB443" s="154"/>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row>
    <row r="444" spans="1:111" ht="9" customHeight="1">
      <c r="A444" s="154"/>
      <c r="B444" s="154"/>
      <c r="C444" s="154"/>
      <c r="D444" s="154"/>
      <c r="E444" s="154"/>
      <c r="F444" s="154"/>
      <c r="G444" s="154"/>
      <c r="H444" s="154"/>
      <c r="I444" s="154"/>
      <c r="J444" s="416"/>
      <c r="K444" s="416"/>
      <c r="L444" s="416"/>
      <c r="M444" s="416"/>
      <c r="N444" s="416"/>
      <c r="O444" s="416"/>
      <c r="P444" s="154"/>
      <c r="Q444" s="417"/>
      <c r="R444" s="417"/>
      <c r="S444" s="417"/>
      <c r="T444" s="417"/>
      <c r="U444" s="154"/>
      <c r="V444" s="416"/>
      <c r="W444" s="416"/>
      <c r="X444" s="416"/>
      <c r="Y444" s="416"/>
      <c r="Z444" s="416"/>
      <c r="AA444" s="416"/>
      <c r="AB444" s="154"/>
      <c r="AC444" s="418"/>
      <c r="AD444" s="418"/>
      <c r="AE444" s="418"/>
      <c r="AF444" s="418"/>
      <c r="AG444" s="418"/>
      <c r="AH444" s="418"/>
      <c r="AI444" s="418"/>
      <c r="AJ444" s="418"/>
      <c r="AK444" s="418"/>
      <c r="AL444" s="418"/>
      <c r="AM444" s="418"/>
      <c r="AN444" s="418"/>
      <c r="AO444" s="418"/>
      <c r="AP444" s="418"/>
      <c r="AQ444" s="418"/>
      <c r="AR444" s="418"/>
      <c r="AS444" s="418"/>
      <c r="AT444" s="418"/>
      <c r="AU444" s="418"/>
      <c r="AV444" s="418"/>
      <c r="AW444" s="418"/>
      <c r="AX444" s="418"/>
      <c r="AY444" s="418"/>
      <c r="AZ444" s="418"/>
      <c r="BA444" s="418"/>
      <c r="BB444" s="154"/>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row>
    <row r="445" spans="1:111" ht="9" customHeight="1">
      <c r="A445" s="154"/>
      <c r="B445" s="154"/>
      <c r="C445" s="154"/>
      <c r="D445" s="154"/>
      <c r="E445" s="154"/>
      <c r="F445" s="154"/>
      <c r="G445" s="154"/>
      <c r="H445" s="154"/>
      <c r="I445" s="154"/>
      <c r="J445" s="154"/>
      <c r="K445" s="154"/>
      <c r="L445" s="154"/>
      <c r="M445" s="154"/>
      <c r="N445" s="154"/>
      <c r="O445" s="154"/>
      <c r="P445" s="154"/>
      <c r="Q445" s="417"/>
      <c r="R445" s="417"/>
      <c r="S445" s="417"/>
      <c r="T445" s="417"/>
      <c r="U445" s="154"/>
      <c r="V445" s="154"/>
      <c r="W445" s="154"/>
      <c r="X445" s="154"/>
      <c r="Y445" s="154"/>
      <c r="Z445" s="154"/>
      <c r="AA445" s="154"/>
      <c r="AB445" s="154"/>
      <c r="AC445" s="418"/>
      <c r="AD445" s="418"/>
      <c r="AE445" s="418"/>
      <c r="AF445" s="418"/>
      <c r="AG445" s="418"/>
      <c r="AH445" s="418"/>
      <c r="AI445" s="418"/>
      <c r="AJ445" s="418"/>
      <c r="AK445" s="418"/>
      <c r="AL445" s="418"/>
      <c r="AM445" s="418"/>
      <c r="AN445" s="418"/>
      <c r="AO445" s="418"/>
      <c r="AP445" s="418"/>
      <c r="AQ445" s="418"/>
      <c r="AR445" s="418"/>
      <c r="AS445" s="418"/>
      <c r="AT445" s="418"/>
      <c r="AU445" s="418"/>
      <c r="AV445" s="418"/>
      <c r="AW445" s="418"/>
      <c r="AX445" s="418"/>
      <c r="AY445" s="418"/>
      <c r="AZ445" s="418"/>
      <c r="BA445" s="418"/>
      <c r="BB445" s="154"/>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row>
    <row r="446" spans="1:111" ht="4.5" customHeight="1">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row>
    <row r="447" spans="1:111" ht="9" customHeight="1">
      <c r="A447" s="154"/>
      <c r="B447" s="154"/>
      <c r="C447" s="154"/>
      <c r="D447" s="154"/>
      <c r="E447" s="154"/>
      <c r="F447" s="154"/>
      <c r="G447" s="154"/>
      <c r="H447" s="154"/>
      <c r="I447" s="154"/>
      <c r="J447" s="416" t="str">
        <f>IF(C429="","","Valor Unitário (R$):")</f>
        <v>Valor Unitário (R$):</v>
      </c>
      <c r="K447" s="416"/>
      <c r="L447" s="416"/>
      <c r="M447" s="416"/>
      <c r="N447" s="416"/>
      <c r="O447" s="416"/>
      <c r="P447" s="154"/>
      <c r="Q447" s="419">
        <v>2159.25</v>
      </c>
      <c r="R447" s="419"/>
      <c r="S447" s="419"/>
      <c r="T447" s="419"/>
      <c r="U447" s="419"/>
      <c r="V447" s="419"/>
      <c r="W447" s="419"/>
      <c r="X447" s="419"/>
      <c r="Y447" s="154"/>
      <c r="Z447" s="416" t="str">
        <f>IF(C429="","",IF(J435="52 Equipamentos e Material Permanente","Tempo de Uso:",""))</f>
        <v/>
      </c>
      <c r="AA447" s="416"/>
      <c r="AB447" s="416"/>
      <c r="AC447" s="416"/>
      <c r="AD447" s="416"/>
      <c r="AE447" s="416"/>
      <c r="AF447" s="154"/>
      <c r="AG447" s="420"/>
      <c r="AH447" s="420"/>
      <c r="AI447" s="420"/>
      <c r="AJ447" s="420"/>
      <c r="AK447" s="420"/>
      <c r="AL447" s="420"/>
      <c r="AM447" s="420"/>
      <c r="AN447" s="420"/>
      <c r="AO447" s="420"/>
      <c r="AP447" s="420"/>
      <c r="AQ447" s="420"/>
      <c r="AR447" s="420"/>
      <c r="AS447" s="420"/>
      <c r="AT447" s="420"/>
      <c r="AU447" s="420"/>
      <c r="AV447" s="420"/>
      <c r="AW447" s="420"/>
      <c r="AX447" s="420"/>
      <c r="AY447" s="420"/>
      <c r="AZ447" s="420"/>
      <c r="BA447" s="420"/>
      <c r="BB447" s="154"/>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row>
    <row r="448" spans="1:111" ht="9" customHeight="1">
      <c r="A448" s="154"/>
      <c r="B448" s="154"/>
      <c r="C448" s="154"/>
      <c r="D448" s="154"/>
      <c r="E448" s="154"/>
      <c r="F448" s="154"/>
      <c r="G448" s="154"/>
      <c r="H448" s="154"/>
      <c r="I448" s="154"/>
      <c r="J448" s="416"/>
      <c r="K448" s="416"/>
      <c r="L448" s="416"/>
      <c r="M448" s="416"/>
      <c r="N448" s="416"/>
      <c r="O448" s="416"/>
      <c r="P448" s="154"/>
      <c r="Q448" s="419"/>
      <c r="R448" s="419"/>
      <c r="S448" s="419"/>
      <c r="T448" s="419"/>
      <c r="U448" s="419"/>
      <c r="V448" s="419"/>
      <c r="W448" s="419"/>
      <c r="X448" s="419"/>
      <c r="Y448" s="154"/>
      <c r="Z448" s="416"/>
      <c r="AA448" s="416"/>
      <c r="AB448" s="416"/>
      <c r="AC448" s="416"/>
      <c r="AD448" s="416"/>
      <c r="AE448" s="416"/>
      <c r="AF448" s="154"/>
      <c r="AG448" s="420"/>
      <c r="AH448" s="420"/>
      <c r="AI448" s="420"/>
      <c r="AJ448" s="420"/>
      <c r="AK448" s="420"/>
      <c r="AL448" s="420"/>
      <c r="AM448" s="420"/>
      <c r="AN448" s="420"/>
      <c r="AO448" s="420"/>
      <c r="AP448" s="420"/>
      <c r="AQ448" s="420"/>
      <c r="AR448" s="420"/>
      <c r="AS448" s="420"/>
      <c r="AT448" s="420"/>
      <c r="AU448" s="420"/>
      <c r="AV448" s="420"/>
      <c r="AW448" s="420"/>
      <c r="AX448" s="420"/>
      <c r="AY448" s="420"/>
      <c r="AZ448" s="420"/>
      <c r="BA448" s="420"/>
      <c r="BB448" s="154"/>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row>
    <row r="449" spans="1:111" ht="9" customHeight="1">
      <c r="A449" s="154"/>
      <c r="B449" s="154"/>
      <c r="C449" s="154"/>
      <c r="D449" s="154"/>
      <c r="E449" s="154"/>
      <c r="F449" s="154"/>
      <c r="G449" s="154"/>
      <c r="H449" s="154"/>
      <c r="I449" s="154"/>
      <c r="J449" s="154"/>
      <c r="K449" s="154"/>
      <c r="L449" s="154"/>
      <c r="M449" s="154"/>
      <c r="N449" s="154"/>
      <c r="O449" s="154"/>
      <c r="P449" s="154"/>
      <c r="Q449" s="419"/>
      <c r="R449" s="419"/>
      <c r="S449" s="419"/>
      <c r="T449" s="419"/>
      <c r="U449" s="419"/>
      <c r="V449" s="419"/>
      <c r="W449" s="419"/>
      <c r="X449" s="419"/>
      <c r="Y449" s="154"/>
      <c r="Z449" s="154"/>
      <c r="AA449" s="154"/>
      <c r="AB449" s="154"/>
      <c r="AC449" s="154"/>
      <c r="AD449" s="154"/>
      <c r="AE449" s="154"/>
      <c r="AF449" s="154"/>
      <c r="AG449" s="420"/>
      <c r="AH449" s="420"/>
      <c r="AI449" s="420"/>
      <c r="AJ449" s="420"/>
      <c r="AK449" s="420"/>
      <c r="AL449" s="420"/>
      <c r="AM449" s="420"/>
      <c r="AN449" s="420"/>
      <c r="AO449" s="420"/>
      <c r="AP449" s="420"/>
      <c r="AQ449" s="420"/>
      <c r="AR449" s="420"/>
      <c r="AS449" s="420"/>
      <c r="AT449" s="420"/>
      <c r="AU449" s="420"/>
      <c r="AV449" s="420"/>
      <c r="AW449" s="420"/>
      <c r="AX449" s="420"/>
      <c r="AY449" s="420"/>
      <c r="AZ449" s="420"/>
      <c r="BA449" s="420"/>
      <c r="BB449" s="154"/>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row>
    <row r="450" spans="1:111" ht="4.5" customHeight="1">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row>
    <row r="451" spans="1:111" ht="9" customHeight="1">
      <c r="A451" s="154"/>
      <c r="B451" s="154"/>
      <c r="C451" s="154"/>
      <c r="D451" s="154"/>
      <c r="E451" s="154"/>
      <c r="F451" s="154"/>
      <c r="G451" s="154"/>
      <c r="H451" s="154"/>
      <c r="I451" s="154"/>
      <c r="J451" s="416" t="str">
        <f>IF(C429="","","Valor Total (R$):")</f>
        <v>Valor Total (R$):</v>
      </c>
      <c r="K451" s="416"/>
      <c r="L451" s="416"/>
      <c r="M451" s="416"/>
      <c r="N451" s="416"/>
      <c r="O451" s="416"/>
      <c r="P451" s="154"/>
      <c r="Q451" s="419">
        <f>IF(Q447="","",Q443*Q447)</f>
        <v>129555</v>
      </c>
      <c r="R451" s="419"/>
      <c r="S451" s="419"/>
      <c r="T451" s="419"/>
      <c r="U451" s="419"/>
      <c r="V451" s="419"/>
      <c r="W451" s="419"/>
      <c r="X451" s="419"/>
      <c r="Y451" s="154"/>
      <c r="Z451" s="416" t="str">
        <f>IF(C429="","",IF(J435="52 Equipamentos e Material Permanente","Justificativa e Utilização:",""))</f>
        <v/>
      </c>
      <c r="AA451" s="416"/>
      <c r="AB451" s="416"/>
      <c r="AC451" s="416"/>
      <c r="AD451" s="416"/>
      <c r="AE451" s="416"/>
      <c r="AF451" s="154"/>
      <c r="AG451" s="420"/>
      <c r="AH451" s="420"/>
      <c r="AI451" s="420"/>
      <c r="AJ451" s="420"/>
      <c r="AK451" s="420"/>
      <c r="AL451" s="420"/>
      <c r="AM451" s="420"/>
      <c r="AN451" s="420"/>
      <c r="AO451" s="420"/>
      <c r="AP451" s="420"/>
      <c r="AQ451" s="420"/>
      <c r="AR451" s="420"/>
      <c r="AS451" s="420"/>
      <c r="AT451" s="420"/>
      <c r="AU451" s="420"/>
      <c r="AV451" s="420"/>
      <c r="AW451" s="420"/>
      <c r="AX451" s="420"/>
      <c r="AY451" s="420"/>
      <c r="AZ451" s="420"/>
      <c r="BA451" s="420"/>
      <c r="BB451" s="154"/>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row>
    <row r="452" spans="1:111" ht="9" customHeight="1">
      <c r="A452" s="154"/>
      <c r="B452" s="154"/>
      <c r="C452" s="154"/>
      <c r="D452" s="154"/>
      <c r="E452" s="154"/>
      <c r="F452" s="154"/>
      <c r="G452" s="154"/>
      <c r="H452" s="154"/>
      <c r="I452" s="154"/>
      <c r="J452" s="416"/>
      <c r="K452" s="416"/>
      <c r="L452" s="416"/>
      <c r="M452" s="416"/>
      <c r="N452" s="416"/>
      <c r="O452" s="416"/>
      <c r="P452" s="154"/>
      <c r="Q452" s="419"/>
      <c r="R452" s="419"/>
      <c r="S452" s="419"/>
      <c r="T452" s="419"/>
      <c r="U452" s="419"/>
      <c r="V452" s="419"/>
      <c r="W452" s="419"/>
      <c r="X452" s="419"/>
      <c r="Y452" s="154"/>
      <c r="Z452" s="416"/>
      <c r="AA452" s="416"/>
      <c r="AB452" s="416"/>
      <c r="AC452" s="416"/>
      <c r="AD452" s="416"/>
      <c r="AE452" s="416"/>
      <c r="AF452" s="154"/>
      <c r="AG452" s="420"/>
      <c r="AH452" s="420"/>
      <c r="AI452" s="420"/>
      <c r="AJ452" s="420"/>
      <c r="AK452" s="420"/>
      <c r="AL452" s="420"/>
      <c r="AM452" s="420"/>
      <c r="AN452" s="420"/>
      <c r="AO452" s="420"/>
      <c r="AP452" s="420"/>
      <c r="AQ452" s="420"/>
      <c r="AR452" s="420"/>
      <c r="AS452" s="420"/>
      <c r="AT452" s="420"/>
      <c r="AU452" s="420"/>
      <c r="AV452" s="420"/>
      <c r="AW452" s="420"/>
      <c r="AX452" s="420"/>
      <c r="AY452" s="420"/>
      <c r="AZ452" s="420"/>
      <c r="BA452" s="420"/>
      <c r="BB452" s="154"/>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row>
    <row r="453" spans="1:111" ht="9" customHeight="1">
      <c r="A453" s="154"/>
      <c r="B453" s="154"/>
      <c r="C453" s="154"/>
      <c r="D453" s="154"/>
      <c r="E453" s="154"/>
      <c r="F453" s="154"/>
      <c r="G453" s="154"/>
      <c r="H453" s="154"/>
      <c r="I453" s="154"/>
      <c r="J453" s="154"/>
      <c r="K453" s="154"/>
      <c r="L453" s="154"/>
      <c r="M453" s="154"/>
      <c r="N453" s="154"/>
      <c r="O453" s="154"/>
      <c r="P453" s="154"/>
      <c r="Q453" s="419"/>
      <c r="R453" s="419"/>
      <c r="S453" s="419"/>
      <c r="T453" s="419"/>
      <c r="U453" s="419"/>
      <c r="V453" s="419"/>
      <c r="W453" s="419"/>
      <c r="X453" s="419"/>
      <c r="Y453" s="154"/>
      <c r="Z453" s="154"/>
      <c r="AA453" s="154"/>
      <c r="AB453" s="154"/>
      <c r="AC453" s="154"/>
      <c r="AD453" s="154"/>
      <c r="AE453" s="154"/>
      <c r="AF453" s="154"/>
      <c r="AG453" s="420"/>
      <c r="AH453" s="420"/>
      <c r="AI453" s="420"/>
      <c r="AJ453" s="420"/>
      <c r="AK453" s="420"/>
      <c r="AL453" s="420"/>
      <c r="AM453" s="420"/>
      <c r="AN453" s="420"/>
      <c r="AO453" s="420"/>
      <c r="AP453" s="420"/>
      <c r="AQ453" s="420"/>
      <c r="AR453" s="420"/>
      <c r="AS453" s="420"/>
      <c r="AT453" s="420"/>
      <c r="AU453" s="420"/>
      <c r="AV453" s="420"/>
      <c r="AW453" s="420"/>
      <c r="AX453" s="420"/>
      <c r="AY453" s="420"/>
      <c r="AZ453" s="420"/>
      <c r="BA453" s="420"/>
      <c r="BB453" s="154"/>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row>
    <row r="454" spans="1:111" ht="9" customHeight="1">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420"/>
      <c r="AH454" s="420"/>
      <c r="AI454" s="420"/>
      <c r="AJ454" s="420"/>
      <c r="AK454" s="420"/>
      <c r="AL454" s="420"/>
      <c r="AM454" s="420"/>
      <c r="AN454" s="420"/>
      <c r="AO454" s="420"/>
      <c r="AP454" s="420"/>
      <c r="AQ454" s="420"/>
      <c r="AR454" s="420"/>
      <c r="AS454" s="420"/>
      <c r="AT454" s="420"/>
      <c r="AU454" s="420"/>
      <c r="AV454" s="420"/>
      <c r="AW454" s="420"/>
      <c r="AX454" s="420"/>
      <c r="AY454" s="420"/>
      <c r="AZ454" s="420"/>
      <c r="BA454" s="420"/>
      <c r="BB454" s="154"/>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row>
    <row r="455" spans="1:111" ht="9" customHeight="1">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420"/>
      <c r="AH455" s="420"/>
      <c r="AI455" s="420"/>
      <c r="AJ455" s="420"/>
      <c r="AK455" s="420"/>
      <c r="AL455" s="420"/>
      <c r="AM455" s="420"/>
      <c r="AN455" s="420"/>
      <c r="AO455" s="420"/>
      <c r="AP455" s="420"/>
      <c r="AQ455" s="420"/>
      <c r="AR455" s="420"/>
      <c r="AS455" s="420"/>
      <c r="AT455" s="420"/>
      <c r="AU455" s="420"/>
      <c r="AV455" s="420"/>
      <c r="AW455" s="420"/>
      <c r="AX455" s="420"/>
      <c r="AY455" s="420"/>
      <c r="AZ455" s="420"/>
      <c r="BA455" s="420"/>
      <c r="BB455" s="154"/>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row>
    <row r="456" spans="1:111" ht="9" customHeight="1">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420"/>
      <c r="AH456" s="420"/>
      <c r="AI456" s="420"/>
      <c r="AJ456" s="420"/>
      <c r="AK456" s="420"/>
      <c r="AL456" s="420"/>
      <c r="AM456" s="420"/>
      <c r="AN456" s="420"/>
      <c r="AO456" s="420"/>
      <c r="AP456" s="420"/>
      <c r="AQ456" s="420"/>
      <c r="AR456" s="420"/>
      <c r="AS456" s="420"/>
      <c r="AT456" s="420"/>
      <c r="AU456" s="420"/>
      <c r="AV456" s="420"/>
      <c r="AW456" s="420"/>
      <c r="AX456" s="420"/>
      <c r="AY456" s="420"/>
      <c r="AZ456" s="420"/>
      <c r="BA456" s="420"/>
      <c r="BB456" s="154"/>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row>
    <row r="457" spans="1:111" ht="15" customHeight="1">
      <c r="B457" s="55"/>
      <c r="C457" s="55"/>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141"/>
      <c r="AL457" s="141"/>
      <c r="AM457" s="141"/>
      <c r="AN457" s="141"/>
      <c r="AO457" s="140"/>
      <c r="AP457" s="140"/>
      <c r="AQ457" s="140"/>
      <c r="AR457" s="140"/>
      <c r="AS457" s="142"/>
      <c r="AT457" s="142"/>
      <c r="AU457" s="142"/>
      <c r="AV457" s="142"/>
      <c r="AW457" s="140"/>
      <c r="AX457" s="140"/>
      <c r="AY457" s="140"/>
      <c r="AZ457" s="140"/>
      <c r="BA457" s="140"/>
      <c r="BC457" s="115"/>
      <c r="BD457" s="115"/>
      <c r="BE457" s="115"/>
      <c r="BF457" s="115"/>
      <c r="BG457" s="115"/>
      <c r="BH457" s="155"/>
      <c r="BI457" s="155"/>
      <c r="BJ457" s="155"/>
      <c r="BK457" s="155"/>
      <c r="BL457" s="155"/>
      <c r="BM457" s="155"/>
      <c r="BN457" s="155"/>
      <c r="BO457" s="155"/>
      <c r="BP457" s="155"/>
      <c r="BQ457" s="155"/>
      <c r="BR457" s="155"/>
      <c r="BS457" s="155"/>
      <c r="BT457" s="155"/>
      <c r="BU457" s="155"/>
      <c r="BV457" s="155"/>
      <c r="BW457" s="155"/>
      <c r="BX457" s="155"/>
      <c r="BY457" s="155"/>
      <c r="BZ457" s="155"/>
      <c r="CA457" s="155"/>
      <c r="CB457" s="155"/>
      <c r="CC457" s="155"/>
      <c r="CD457" s="155"/>
      <c r="CE457" s="155"/>
      <c r="CF457" s="155"/>
      <c r="CG457" s="155"/>
      <c r="CH457" s="155"/>
      <c r="CI457" s="155"/>
      <c r="CJ457" s="155"/>
      <c r="CK457" s="155"/>
      <c r="CL457" s="155"/>
      <c r="CM457" s="155"/>
      <c r="CN457" s="155"/>
      <c r="CO457" s="155"/>
      <c r="CP457" s="155"/>
      <c r="CQ457" s="155"/>
      <c r="CR457" s="155"/>
      <c r="CS457" s="155"/>
      <c r="CT457" s="155"/>
      <c r="CU457" s="155"/>
      <c r="CV457" s="155"/>
      <c r="CW457" s="155"/>
      <c r="CX457" s="155"/>
      <c r="CY457" s="155"/>
      <c r="CZ457" s="155"/>
      <c r="DA457" s="155"/>
      <c r="DB457" s="155"/>
      <c r="DC457" s="155"/>
      <c r="DD457" s="155"/>
      <c r="DE457" s="155"/>
      <c r="DF457" s="155"/>
      <c r="DG457" s="115"/>
    </row>
    <row r="458" spans="1:111" ht="15" customHeight="1">
      <c r="B458" s="55"/>
      <c r="C458" s="422" t="str">
        <f>IF($AA$165&gt;=11,"DESPESA 11","")</f>
        <v>DESPESA 11</v>
      </c>
      <c r="D458" s="422"/>
      <c r="E458" s="422"/>
      <c r="F458" s="422"/>
      <c r="G458" s="422"/>
      <c r="H458" s="422"/>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141"/>
      <c r="AL458" s="141"/>
      <c r="AM458" s="141"/>
      <c r="AN458" s="141"/>
      <c r="AO458" s="140"/>
      <c r="AP458" s="140"/>
      <c r="AQ458" s="140"/>
      <c r="AR458" s="140"/>
      <c r="AS458" s="142"/>
      <c r="AT458" s="142"/>
      <c r="AU458" s="142"/>
      <c r="AV458" s="142"/>
      <c r="AW458" s="140"/>
      <c r="AX458" s="140"/>
      <c r="AY458" s="140"/>
      <c r="AZ458" s="140"/>
      <c r="BA458" s="140"/>
      <c r="BC458" s="115"/>
      <c r="BD458" s="115"/>
      <c r="BE458" s="115"/>
      <c r="BF458" s="115"/>
      <c r="BG458" s="115"/>
      <c r="BH458" s="155"/>
      <c r="BI458" s="155"/>
      <c r="BJ458" s="155"/>
      <c r="BK458" s="155"/>
      <c r="BL458" s="155"/>
      <c r="BM458" s="155"/>
      <c r="BN458" s="155"/>
      <c r="BO458" s="155"/>
      <c r="BP458" s="155"/>
      <c r="BQ458" s="155"/>
      <c r="BR458" s="155"/>
      <c r="BS458" s="155"/>
      <c r="BT458" s="155"/>
      <c r="BU458" s="155"/>
      <c r="BV458" s="155"/>
      <c r="BW458" s="155"/>
      <c r="BX458" s="155"/>
      <c r="BY458" s="155"/>
      <c r="BZ458" s="155"/>
      <c r="CA458" s="155"/>
      <c r="CB458" s="155"/>
      <c r="CC458" s="155"/>
      <c r="CD458" s="155"/>
      <c r="CE458" s="155"/>
      <c r="CF458" s="155"/>
      <c r="CG458" s="155"/>
      <c r="CH458" s="155"/>
      <c r="CI458" s="155"/>
      <c r="CJ458" s="155"/>
      <c r="CK458" s="155"/>
      <c r="CL458" s="155"/>
      <c r="CM458" s="155"/>
      <c r="CN458" s="155"/>
      <c r="CO458" s="155"/>
      <c r="CP458" s="155"/>
      <c r="CQ458" s="155"/>
      <c r="CR458" s="155"/>
      <c r="CS458" s="155"/>
      <c r="CT458" s="155"/>
      <c r="CU458" s="155"/>
      <c r="CV458" s="155"/>
      <c r="CW458" s="155"/>
      <c r="CX458" s="155"/>
      <c r="CY458" s="155"/>
      <c r="CZ458" s="155"/>
      <c r="DA458" s="155"/>
      <c r="DB458" s="155"/>
      <c r="DC458" s="155"/>
      <c r="DD458" s="155"/>
      <c r="DE458" s="155"/>
      <c r="DF458" s="155"/>
      <c r="DG458" s="115"/>
    </row>
    <row r="459" spans="1:111" ht="4.5" customHeight="1">
      <c r="BC459" s="115"/>
      <c r="BD459" s="115"/>
      <c r="BE459" s="115"/>
      <c r="BF459" s="115"/>
      <c r="BG459" s="115"/>
      <c r="BH459" s="155"/>
      <c r="BI459" s="155"/>
      <c r="BJ459" s="155"/>
      <c r="BK459" s="155"/>
      <c r="BL459" s="155"/>
      <c r="BM459" s="155"/>
      <c r="BN459" s="155"/>
      <c r="BO459" s="155"/>
      <c r="BP459" s="155"/>
      <c r="BQ459" s="155"/>
      <c r="BR459" s="155"/>
      <c r="BS459" s="155"/>
      <c r="BT459" s="155"/>
      <c r="BU459" s="155"/>
      <c r="BV459" s="155"/>
      <c r="BW459" s="155"/>
      <c r="BX459" s="155"/>
      <c r="BY459" s="155"/>
      <c r="BZ459" s="155"/>
      <c r="CA459" s="155"/>
      <c r="CB459" s="155"/>
      <c r="CC459" s="155"/>
      <c r="CD459" s="155"/>
      <c r="CE459" s="155"/>
      <c r="CF459" s="155"/>
      <c r="CG459" s="155"/>
      <c r="CH459" s="155"/>
      <c r="CI459" s="155"/>
      <c r="CJ459" s="155"/>
      <c r="CK459" s="155"/>
      <c r="CL459" s="155"/>
      <c r="CM459" s="155"/>
      <c r="CN459" s="155"/>
      <c r="CO459" s="155"/>
      <c r="CP459" s="155"/>
      <c r="CQ459" s="155"/>
      <c r="CR459" s="155"/>
      <c r="CS459" s="155"/>
      <c r="CT459" s="155"/>
      <c r="CU459" s="155"/>
      <c r="CV459" s="155"/>
      <c r="CW459" s="155"/>
      <c r="CX459" s="155"/>
      <c r="CY459" s="155"/>
      <c r="CZ459" s="155"/>
      <c r="DA459" s="155"/>
      <c r="DB459" s="155"/>
      <c r="DC459" s="155"/>
      <c r="DD459" s="155"/>
      <c r="DE459" s="155"/>
      <c r="DF459" s="155"/>
      <c r="DG459" s="115"/>
    </row>
    <row r="460" spans="1:111" ht="9" customHeight="1">
      <c r="C460" s="416" t="str">
        <f>IF(C458="","","Descrição da Despesa:")</f>
        <v>Descrição da Despesa:</v>
      </c>
      <c r="D460" s="416"/>
      <c r="E460" s="416"/>
      <c r="F460" s="416"/>
      <c r="G460" s="416"/>
      <c r="H460" s="416"/>
      <c r="I460" s="60"/>
      <c r="J460" s="421" t="s">
        <v>574</v>
      </c>
      <c r="K460" s="421"/>
      <c r="L460" s="421"/>
      <c r="M460" s="421"/>
      <c r="N460" s="421"/>
      <c r="O460" s="421"/>
      <c r="P460" s="421"/>
      <c r="Q460" s="421"/>
      <c r="R460" s="421"/>
      <c r="S460" s="421"/>
      <c r="T460" s="421"/>
      <c r="U460" s="421"/>
      <c r="V460" s="421"/>
      <c r="W460" s="421"/>
      <c r="X460" s="421"/>
      <c r="Y460" s="421"/>
      <c r="Z460" s="421"/>
      <c r="AA460" s="421"/>
      <c r="AB460" s="421"/>
      <c r="AC460" s="421"/>
      <c r="AD460" s="421"/>
      <c r="AE460" s="421"/>
      <c r="AF460" s="421"/>
      <c r="AG460" s="421"/>
      <c r="AH460" s="421"/>
      <c r="AI460" s="421"/>
      <c r="AJ460" s="421"/>
      <c r="AK460" s="421"/>
      <c r="AL460" s="421"/>
      <c r="AM460" s="421"/>
      <c r="AN460" s="421"/>
      <c r="AO460" s="421"/>
      <c r="AP460" s="421"/>
      <c r="AQ460" s="421"/>
      <c r="AR460" s="421"/>
      <c r="AS460" s="421"/>
      <c r="AT460" s="421"/>
      <c r="AU460" s="421"/>
      <c r="AV460" s="421"/>
      <c r="AW460" s="421"/>
      <c r="AX460" s="421"/>
      <c r="AY460" s="421"/>
      <c r="AZ460" s="421"/>
      <c r="BA460" s="421"/>
      <c r="BC460" s="115"/>
      <c r="BD460" s="115"/>
      <c r="BE460" s="115"/>
      <c r="BF460" s="115"/>
      <c r="BG460" s="115"/>
      <c r="BH460" s="155"/>
      <c r="BI460" s="155"/>
      <c r="BJ460" s="155"/>
      <c r="BK460" s="155"/>
      <c r="BL460" s="155"/>
      <c r="BM460" s="155"/>
      <c r="BN460" s="155"/>
      <c r="BO460" s="155"/>
      <c r="BP460" s="155"/>
      <c r="BQ460" s="155"/>
      <c r="BR460" s="155"/>
      <c r="BS460" s="155"/>
      <c r="BT460" s="155"/>
      <c r="BU460" s="155"/>
      <c r="BV460" s="155"/>
      <c r="BW460" s="155"/>
      <c r="BX460" s="155"/>
      <c r="BY460" s="155"/>
      <c r="BZ460" s="155"/>
      <c r="CA460" s="155"/>
      <c r="CB460" s="155"/>
      <c r="CC460" s="155"/>
      <c r="CD460" s="155"/>
      <c r="CE460" s="155"/>
      <c r="CF460" s="155"/>
      <c r="CG460" s="155"/>
      <c r="CH460" s="155"/>
      <c r="CI460" s="155"/>
      <c r="CJ460" s="155"/>
      <c r="CK460" s="155"/>
      <c r="CL460" s="155"/>
      <c r="CM460" s="155"/>
      <c r="CN460" s="155"/>
      <c r="CO460" s="155"/>
      <c r="CP460" s="155"/>
      <c r="CQ460" s="155"/>
      <c r="CR460" s="155"/>
      <c r="CS460" s="155"/>
      <c r="CT460" s="155"/>
      <c r="CU460" s="155"/>
      <c r="CV460" s="155"/>
      <c r="CW460" s="155"/>
      <c r="CX460" s="155"/>
      <c r="CY460" s="155"/>
      <c r="CZ460" s="155"/>
      <c r="DA460" s="155"/>
      <c r="DB460" s="155"/>
      <c r="DC460" s="155"/>
      <c r="DD460" s="155"/>
      <c r="DE460" s="155"/>
      <c r="DF460" s="155"/>
      <c r="DG460" s="115"/>
    </row>
    <row r="461" spans="1:111" ht="9" customHeight="1">
      <c r="C461" s="416"/>
      <c r="D461" s="416"/>
      <c r="E461" s="416"/>
      <c r="F461" s="416"/>
      <c r="G461" s="416"/>
      <c r="H461" s="416"/>
      <c r="I461" s="60"/>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c r="AF461" s="421"/>
      <c r="AG461" s="421"/>
      <c r="AH461" s="421"/>
      <c r="AI461" s="421"/>
      <c r="AJ461" s="421"/>
      <c r="AK461" s="421"/>
      <c r="AL461" s="421"/>
      <c r="AM461" s="421"/>
      <c r="AN461" s="421"/>
      <c r="AO461" s="421"/>
      <c r="AP461" s="421"/>
      <c r="AQ461" s="421"/>
      <c r="AR461" s="421"/>
      <c r="AS461" s="421"/>
      <c r="AT461" s="421"/>
      <c r="AU461" s="421"/>
      <c r="AV461" s="421"/>
      <c r="AW461" s="421"/>
      <c r="AX461" s="421"/>
      <c r="AY461" s="421"/>
      <c r="AZ461" s="421"/>
      <c r="BA461" s="421"/>
      <c r="BC461" s="115"/>
      <c r="BD461" s="115"/>
      <c r="BE461" s="115"/>
      <c r="BF461" s="115"/>
      <c r="BG461" s="115"/>
      <c r="BH461" s="155"/>
      <c r="BI461" s="155"/>
      <c r="BJ461" s="155"/>
      <c r="BK461" s="155"/>
      <c r="BL461" s="155"/>
      <c r="BM461" s="155"/>
      <c r="BN461" s="155"/>
      <c r="BO461" s="155"/>
      <c r="BP461" s="155"/>
      <c r="BQ461" s="155"/>
      <c r="BR461" s="155"/>
      <c r="BS461" s="155"/>
      <c r="BT461" s="155"/>
      <c r="BU461" s="155"/>
      <c r="BV461" s="155"/>
      <c r="BW461" s="155"/>
      <c r="BX461" s="155"/>
      <c r="BY461" s="155"/>
      <c r="BZ461" s="155"/>
      <c r="CA461" s="155"/>
      <c r="CB461" s="155"/>
      <c r="CC461" s="155"/>
      <c r="CD461" s="155"/>
      <c r="CE461" s="155"/>
      <c r="CF461" s="155"/>
      <c r="CG461" s="155"/>
      <c r="CH461" s="155"/>
      <c r="CI461" s="155"/>
      <c r="CJ461" s="155"/>
      <c r="CK461" s="155"/>
      <c r="CL461" s="155"/>
      <c r="CM461" s="155"/>
      <c r="CN461" s="155"/>
      <c r="CO461" s="155"/>
      <c r="CP461" s="155"/>
      <c r="CQ461" s="155"/>
      <c r="CR461" s="155"/>
      <c r="CS461" s="155"/>
      <c r="CT461" s="155"/>
      <c r="CU461" s="155"/>
      <c r="CV461" s="155"/>
      <c r="CW461" s="155"/>
      <c r="CX461" s="155"/>
      <c r="CY461" s="155"/>
      <c r="CZ461" s="155"/>
      <c r="DA461" s="155"/>
      <c r="DB461" s="155"/>
      <c r="DC461" s="155"/>
      <c r="DD461" s="155"/>
      <c r="DE461" s="155"/>
      <c r="DF461" s="155"/>
      <c r="DG461" s="115"/>
    </row>
    <row r="462" spans="1:111" ht="9" customHeight="1">
      <c r="C462" s="416"/>
      <c r="D462" s="416"/>
      <c r="E462" s="416"/>
      <c r="F462" s="416"/>
      <c r="G462" s="416"/>
      <c r="H462" s="416"/>
      <c r="I462" s="60"/>
      <c r="J462" s="421"/>
      <c r="K462" s="421"/>
      <c r="L462" s="421"/>
      <c r="M462" s="421"/>
      <c r="N462" s="421"/>
      <c r="O462" s="421"/>
      <c r="P462" s="421"/>
      <c r="Q462" s="421"/>
      <c r="R462" s="421"/>
      <c r="S462" s="421"/>
      <c r="T462" s="421"/>
      <c r="U462" s="421"/>
      <c r="V462" s="421"/>
      <c r="W462" s="421"/>
      <c r="X462" s="421"/>
      <c r="Y462" s="421"/>
      <c r="Z462" s="421"/>
      <c r="AA462" s="421"/>
      <c r="AB462" s="421"/>
      <c r="AC462" s="421"/>
      <c r="AD462" s="421"/>
      <c r="AE462" s="421"/>
      <c r="AF462" s="421"/>
      <c r="AG462" s="421"/>
      <c r="AH462" s="421"/>
      <c r="AI462" s="421"/>
      <c r="AJ462" s="421"/>
      <c r="AK462" s="421"/>
      <c r="AL462" s="421"/>
      <c r="AM462" s="421"/>
      <c r="AN462" s="421"/>
      <c r="AO462" s="421"/>
      <c r="AP462" s="421"/>
      <c r="AQ462" s="421"/>
      <c r="AR462" s="421"/>
      <c r="AS462" s="421"/>
      <c r="AT462" s="421"/>
      <c r="AU462" s="421"/>
      <c r="AV462" s="421"/>
      <c r="AW462" s="421"/>
      <c r="AX462" s="421"/>
      <c r="AY462" s="421"/>
      <c r="AZ462" s="421"/>
      <c r="BA462" s="421"/>
      <c r="BC462" s="115"/>
      <c r="BD462" s="115"/>
      <c r="BE462" s="115"/>
      <c r="BF462" s="115"/>
      <c r="BG462" s="115"/>
      <c r="BH462" s="155"/>
      <c r="BI462" s="155"/>
      <c r="BJ462" s="155"/>
      <c r="BK462" s="155"/>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c r="CJ462" s="155"/>
      <c r="CK462" s="155"/>
      <c r="CL462" s="155"/>
      <c r="CM462" s="155"/>
      <c r="CN462" s="155"/>
      <c r="CO462" s="155"/>
      <c r="CP462" s="155"/>
      <c r="CQ462" s="155"/>
      <c r="CR462" s="155"/>
      <c r="CS462" s="155"/>
      <c r="CT462" s="155"/>
      <c r="CU462" s="155"/>
      <c r="CV462" s="155"/>
      <c r="CW462" s="155"/>
      <c r="CX462" s="155"/>
      <c r="CY462" s="155"/>
      <c r="CZ462" s="155"/>
      <c r="DA462" s="155"/>
      <c r="DB462" s="155"/>
      <c r="DC462" s="155"/>
      <c r="DD462" s="155"/>
      <c r="DE462" s="155"/>
      <c r="DF462" s="155"/>
      <c r="DG462" s="115"/>
    </row>
    <row r="463" spans="1:111" ht="4.5" customHeight="1">
      <c r="BC463" s="115"/>
      <c r="BD463" s="115"/>
      <c r="BE463" s="115"/>
      <c r="BF463" s="115"/>
      <c r="BG463" s="115"/>
      <c r="BH463" s="155"/>
      <c r="BI463" s="155"/>
      <c r="BJ463" s="155"/>
      <c r="BK463" s="155"/>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c r="CJ463" s="155"/>
      <c r="CK463" s="155"/>
      <c r="CL463" s="155"/>
      <c r="CM463" s="155"/>
      <c r="CN463" s="155"/>
      <c r="CO463" s="155"/>
      <c r="CP463" s="155"/>
      <c r="CQ463" s="155"/>
      <c r="CR463" s="155"/>
      <c r="CS463" s="155"/>
      <c r="CT463" s="155"/>
      <c r="CU463" s="155"/>
      <c r="CV463" s="155"/>
      <c r="CW463" s="155"/>
      <c r="CX463" s="155"/>
      <c r="CY463" s="155"/>
      <c r="CZ463" s="155"/>
      <c r="DA463" s="155"/>
      <c r="DB463" s="155"/>
      <c r="DC463" s="155"/>
      <c r="DD463" s="155"/>
      <c r="DE463" s="155"/>
      <c r="DF463" s="155"/>
      <c r="DG463" s="115"/>
    </row>
    <row r="464" spans="1:111" ht="9" customHeight="1">
      <c r="C464" s="416" t="str">
        <f>IF(C458="","","Elemento de Despesa:")</f>
        <v>Elemento de Despesa:</v>
      </c>
      <c r="D464" s="416"/>
      <c r="E464" s="416"/>
      <c r="F464" s="416"/>
      <c r="G464" s="416"/>
      <c r="H464" s="416"/>
      <c r="J464" s="421" t="s">
        <v>226</v>
      </c>
      <c r="K464" s="421"/>
      <c r="L464" s="421"/>
      <c r="M464" s="421"/>
      <c r="N464" s="421"/>
      <c r="O464" s="421"/>
      <c r="P464" s="421"/>
      <c r="Q464" s="421"/>
      <c r="R464" s="421"/>
      <c r="S464" s="421"/>
      <c r="T464" s="421"/>
      <c r="U464" s="421"/>
      <c r="V464" s="421"/>
      <c r="W464" s="421"/>
      <c r="X464" s="421"/>
      <c r="Y464" s="421"/>
      <c r="Z464" s="421"/>
      <c r="AA464" s="421"/>
      <c r="AB464" s="421"/>
      <c r="AC464" s="421"/>
      <c r="AD464" s="421"/>
      <c r="AE464" s="421"/>
      <c r="AF464" s="421"/>
      <c r="AG464" s="421"/>
      <c r="AH464" s="421"/>
      <c r="AI464" s="421"/>
      <c r="AJ464" s="421"/>
      <c r="AK464" s="421"/>
      <c r="AL464" s="421"/>
      <c r="AM464" s="421"/>
      <c r="AN464" s="421"/>
      <c r="AO464" s="421"/>
      <c r="AP464" s="421"/>
      <c r="AQ464" s="421"/>
      <c r="AR464" s="421"/>
      <c r="AS464" s="421"/>
      <c r="AT464" s="421"/>
      <c r="AU464" s="421"/>
      <c r="AV464" s="421"/>
      <c r="AW464" s="421"/>
      <c r="AX464" s="421"/>
      <c r="AY464" s="421"/>
      <c r="AZ464" s="421"/>
      <c r="BA464" s="421"/>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row>
    <row r="465" spans="1:111" ht="9" customHeight="1">
      <c r="C465" s="416"/>
      <c r="D465" s="416"/>
      <c r="E465" s="416"/>
      <c r="F465" s="416"/>
      <c r="G465" s="416"/>
      <c r="H465" s="416"/>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421"/>
      <c r="AF465" s="421"/>
      <c r="AG465" s="421"/>
      <c r="AH465" s="421"/>
      <c r="AI465" s="421"/>
      <c r="AJ465" s="421"/>
      <c r="AK465" s="421"/>
      <c r="AL465" s="421"/>
      <c r="AM465" s="421"/>
      <c r="AN465" s="421"/>
      <c r="AO465" s="421"/>
      <c r="AP465" s="421"/>
      <c r="AQ465" s="421"/>
      <c r="AR465" s="421"/>
      <c r="AS465" s="421"/>
      <c r="AT465" s="421"/>
      <c r="AU465" s="421"/>
      <c r="AV465" s="421"/>
      <c r="AW465" s="421"/>
      <c r="AX465" s="421"/>
      <c r="AY465" s="421"/>
      <c r="AZ465" s="421"/>
      <c r="BA465" s="421"/>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row>
    <row r="466" spans="1:111" ht="9" customHeight="1">
      <c r="C466" s="416"/>
      <c r="D466" s="416"/>
      <c r="E466" s="416"/>
      <c r="F466" s="416"/>
      <c r="G466" s="416"/>
      <c r="H466" s="416"/>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421"/>
      <c r="AF466" s="421"/>
      <c r="AG466" s="421"/>
      <c r="AH466" s="421"/>
      <c r="AI466" s="421"/>
      <c r="AJ466" s="421"/>
      <c r="AK466" s="421"/>
      <c r="AL466" s="421"/>
      <c r="AM466" s="421"/>
      <c r="AN466" s="421"/>
      <c r="AO466" s="421"/>
      <c r="AP466" s="421"/>
      <c r="AQ466" s="421"/>
      <c r="AR466" s="421"/>
      <c r="AS466" s="421"/>
      <c r="AT466" s="421"/>
      <c r="AU466" s="421"/>
      <c r="AV466" s="421"/>
      <c r="AW466" s="421"/>
      <c r="AX466" s="421"/>
      <c r="AY466" s="421"/>
      <c r="AZ466" s="421"/>
      <c r="BA466" s="421"/>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row>
    <row r="467" spans="1:111" ht="4.5" customHeight="1">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row>
    <row r="468" spans="1:111" ht="9" customHeight="1">
      <c r="A468" s="61" t="str">
        <f>CONCATENATE(Q468,AC468)</f>
        <v>42</v>
      </c>
      <c r="J468" s="416" t="str">
        <f>IF(C458="","","Meta Vinculada:")</f>
        <v>Meta Vinculada:</v>
      </c>
      <c r="K468" s="416"/>
      <c r="L468" s="416"/>
      <c r="M468" s="416"/>
      <c r="N468" s="416"/>
      <c r="O468" s="416"/>
      <c r="Q468" s="417">
        <v>4</v>
      </c>
      <c r="R468" s="417"/>
      <c r="S468" s="417"/>
      <c r="T468" s="417"/>
      <c r="U468" s="56"/>
      <c r="V468" s="416" t="str">
        <f>IF(C458="","","Etapa Vinculada:")</f>
        <v>Etapa Vinculada:</v>
      </c>
      <c r="W468" s="416"/>
      <c r="X468" s="416"/>
      <c r="Y468" s="416"/>
      <c r="Z468" s="416"/>
      <c r="AA468" s="416"/>
      <c r="AC468" s="417">
        <v>2</v>
      </c>
      <c r="AD468" s="417"/>
      <c r="AE468" s="417"/>
      <c r="AF468" s="417"/>
      <c r="AG468" s="56"/>
      <c r="AH468" s="56"/>
      <c r="AI468" s="56"/>
      <c r="AJ468" s="56"/>
      <c r="AK468" s="141"/>
      <c r="AL468" s="141"/>
      <c r="AM468" s="141"/>
      <c r="AN468" s="141"/>
      <c r="AO468" s="140"/>
      <c r="AP468" s="140"/>
      <c r="AQ468" s="140"/>
      <c r="AR468" s="140"/>
      <c r="AS468" s="142"/>
      <c r="AT468" s="142"/>
      <c r="AU468" s="142"/>
      <c r="AV468" s="142"/>
      <c r="AW468" s="140"/>
      <c r="AX468" s="140"/>
      <c r="AY468" s="140"/>
      <c r="AZ468" s="140"/>
      <c r="BA468" s="140"/>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row>
    <row r="469" spans="1:111" ht="9" customHeight="1">
      <c r="B469" s="55"/>
      <c r="C469" s="55"/>
      <c r="D469" s="56"/>
      <c r="E469" s="56"/>
      <c r="F469" s="56"/>
      <c r="G469" s="56"/>
      <c r="H469" s="56"/>
      <c r="I469" s="56"/>
      <c r="J469" s="416"/>
      <c r="K469" s="416"/>
      <c r="L469" s="416"/>
      <c r="M469" s="416"/>
      <c r="N469" s="416"/>
      <c r="O469" s="416"/>
      <c r="Q469" s="417"/>
      <c r="R469" s="417"/>
      <c r="S469" s="417"/>
      <c r="T469" s="417"/>
      <c r="U469" s="56"/>
      <c r="V469" s="416"/>
      <c r="W469" s="416"/>
      <c r="X469" s="416"/>
      <c r="Y469" s="416"/>
      <c r="Z469" s="416"/>
      <c r="AA469" s="416"/>
      <c r="AC469" s="417"/>
      <c r="AD469" s="417"/>
      <c r="AE469" s="417"/>
      <c r="AF469" s="417"/>
      <c r="AG469" s="56"/>
      <c r="AH469" s="56"/>
      <c r="AI469" s="56"/>
      <c r="AJ469" s="56"/>
      <c r="AK469" s="141"/>
      <c r="AL469" s="141"/>
      <c r="AM469" s="141"/>
      <c r="AN469" s="141"/>
      <c r="AO469" s="140"/>
      <c r="AP469" s="140"/>
      <c r="AQ469" s="140"/>
      <c r="AR469" s="140"/>
      <c r="AS469" s="142"/>
      <c r="AT469" s="142"/>
      <c r="AU469" s="142"/>
      <c r="AV469" s="142"/>
      <c r="AW469" s="140"/>
      <c r="AX469" s="140"/>
      <c r="AY469" s="140"/>
      <c r="AZ469" s="140"/>
      <c r="BA469" s="140"/>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row>
    <row r="470" spans="1:111" ht="9" customHeight="1">
      <c r="Q470" s="417"/>
      <c r="R470" s="417"/>
      <c r="S470" s="417"/>
      <c r="T470" s="417"/>
      <c r="AC470" s="417"/>
      <c r="AD470" s="417"/>
      <c r="AE470" s="417"/>
      <c r="AF470" s="417"/>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row>
    <row r="471" spans="1:111" ht="4.5" customHeight="1">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row>
    <row r="472" spans="1:111" ht="9" customHeight="1">
      <c r="A472" s="154"/>
      <c r="B472" s="154"/>
      <c r="C472" s="154"/>
      <c r="D472" s="154"/>
      <c r="E472" s="154"/>
      <c r="F472" s="154"/>
      <c r="G472" s="154"/>
      <c r="H472" s="154"/>
      <c r="I472" s="154"/>
      <c r="J472" s="416" t="str">
        <f>IF(C458="","","Quantidade:")</f>
        <v>Quantidade:</v>
      </c>
      <c r="K472" s="416"/>
      <c r="L472" s="416"/>
      <c r="M472" s="416"/>
      <c r="N472" s="416"/>
      <c r="O472" s="416"/>
      <c r="P472" s="154"/>
      <c r="Q472" s="417">
        <v>50</v>
      </c>
      <c r="R472" s="417"/>
      <c r="S472" s="417"/>
      <c r="T472" s="417"/>
      <c r="U472" s="154"/>
      <c r="V472" s="416" t="str">
        <f>IF(C458="","","Unidade:")</f>
        <v>Unidade:</v>
      </c>
      <c r="W472" s="416"/>
      <c r="X472" s="416"/>
      <c r="Y472" s="416"/>
      <c r="Z472" s="416"/>
      <c r="AA472" s="416"/>
      <c r="AB472" s="154"/>
      <c r="AC472" s="418" t="s">
        <v>575</v>
      </c>
      <c r="AD472" s="418"/>
      <c r="AE472" s="418"/>
      <c r="AF472" s="418"/>
      <c r="AG472" s="418"/>
      <c r="AH472" s="418"/>
      <c r="AI472" s="418"/>
      <c r="AJ472" s="418"/>
      <c r="AK472" s="418"/>
      <c r="AL472" s="418"/>
      <c r="AM472" s="418"/>
      <c r="AN472" s="418"/>
      <c r="AO472" s="418"/>
      <c r="AP472" s="418"/>
      <c r="AQ472" s="418"/>
      <c r="AR472" s="418"/>
      <c r="AS472" s="418"/>
      <c r="AT472" s="418"/>
      <c r="AU472" s="418"/>
      <c r="AV472" s="418"/>
      <c r="AW472" s="418"/>
      <c r="AX472" s="418"/>
      <c r="AY472" s="418"/>
      <c r="AZ472" s="418"/>
      <c r="BA472" s="418"/>
      <c r="BB472" s="154"/>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row>
    <row r="473" spans="1:111" ht="9" customHeight="1">
      <c r="A473" s="154"/>
      <c r="B473" s="154"/>
      <c r="C473" s="154"/>
      <c r="D473" s="154"/>
      <c r="E473" s="154"/>
      <c r="F473" s="154"/>
      <c r="G473" s="154"/>
      <c r="H473" s="154"/>
      <c r="I473" s="154"/>
      <c r="J473" s="416"/>
      <c r="K473" s="416"/>
      <c r="L473" s="416"/>
      <c r="M473" s="416"/>
      <c r="N473" s="416"/>
      <c r="O473" s="416"/>
      <c r="P473" s="154"/>
      <c r="Q473" s="417"/>
      <c r="R473" s="417"/>
      <c r="S473" s="417"/>
      <c r="T473" s="417"/>
      <c r="U473" s="154"/>
      <c r="V473" s="416"/>
      <c r="W473" s="416"/>
      <c r="X473" s="416"/>
      <c r="Y473" s="416"/>
      <c r="Z473" s="416"/>
      <c r="AA473" s="416"/>
      <c r="AB473" s="154"/>
      <c r="AC473" s="418"/>
      <c r="AD473" s="418"/>
      <c r="AE473" s="418"/>
      <c r="AF473" s="418"/>
      <c r="AG473" s="418"/>
      <c r="AH473" s="418"/>
      <c r="AI473" s="418"/>
      <c r="AJ473" s="418"/>
      <c r="AK473" s="418"/>
      <c r="AL473" s="418"/>
      <c r="AM473" s="418"/>
      <c r="AN473" s="418"/>
      <c r="AO473" s="418"/>
      <c r="AP473" s="418"/>
      <c r="AQ473" s="418"/>
      <c r="AR473" s="418"/>
      <c r="AS473" s="418"/>
      <c r="AT473" s="418"/>
      <c r="AU473" s="418"/>
      <c r="AV473" s="418"/>
      <c r="AW473" s="418"/>
      <c r="AX473" s="418"/>
      <c r="AY473" s="418"/>
      <c r="AZ473" s="418"/>
      <c r="BA473" s="418"/>
      <c r="BB473" s="154"/>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row>
    <row r="474" spans="1:111" ht="9" customHeight="1">
      <c r="A474" s="154"/>
      <c r="B474" s="154"/>
      <c r="C474" s="154"/>
      <c r="D474" s="154"/>
      <c r="E474" s="154"/>
      <c r="F474" s="154"/>
      <c r="G474" s="154"/>
      <c r="H474" s="154"/>
      <c r="I474" s="154"/>
      <c r="J474" s="154"/>
      <c r="K474" s="154"/>
      <c r="L474" s="154"/>
      <c r="M474" s="154"/>
      <c r="N474" s="154"/>
      <c r="O474" s="154"/>
      <c r="P474" s="154"/>
      <c r="Q474" s="417"/>
      <c r="R474" s="417"/>
      <c r="S474" s="417"/>
      <c r="T474" s="417"/>
      <c r="U474" s="154"/>
      <c r="V474" s="154"/>
      <c r="W474" s="154"/>
      <c r="X474" s="154"/>
      <c r="Y474" s="154"/>
      <c r="Z474" s="154"/>
      <c r="AA474" s="154"/>
      <c r="AB474" s="154"/>
      <c r="AC474" s="418"/>
      <c r="AD474" s="418"/>
      <c r="AE474" s="418"/>
      <c r="AF474" s="418"/>
      <c r="AG474" s="418"/>
      <c r="AH474" s="418"/>
      <c r="AI474" s="418"/>
      <c r="AJ474" s="418"/>
      <c r="AK474" s="418"/>
      <c r="AL474" s="418"/>
      <c r="AM474" s="418"/>
      <c r="AN474" s="418"/>
      <c r="AO474" s="418"/>
      <c r="AP474" s="418"/>
      <c r="AQ474" s="418"/>
      <c r="AR474" s="418"/>
      <c r="AS474" s="418"/>
      <c r="AT474" s="418"/>
      <c r="AU474" s="418"/>
      <c r="AV474" s="418"/>
      <c r="AW474" s="418"/>
      <c r="AX474" s="418"/>
      <c r="AY474" s="418"/>
      <c r="AZ474" s="418"/>
      <c r="BA474" s="418"/>
      <c r="BB474" s="154"/>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row>
    <row r="475" spans="1:111" ht="4.5" customHeight="1">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row>
    <row r="476" spans="1:111" ht="9" customHeight="1">
      <c r="A476" s="154"/>
      <c r="B476" s="154"/>
      <c r="C476" s="154"/>
      <c r="D476" s="154"/>
      <c r="E476" s="154"/>
      <c r="F476" s="154"/>
      <c r="G476" s="154"/>
      <c r="H476" s="154"/>
      <c r="I476" s="154"/>
      <c r="J476" s="416" t="str">
        <f>IF(C458="","","Valor Unitário (R$):")</f>
        <v>Valor Unitário (R$):</v>
      </c>
      <c r="K476" s="416"/>
      <c r="L476" s="416"/>
      <c r="M476" s="416"/>
      <c r="N476" s="416"/>
      <c r="O476" s="416"/>
      <c r="P476" s="154"/>
      <c r="Q476" s="419">
        <v>1510.06</v>
      </c>
      <c r="R476" s="419"/>
      <c r="S476" s="419"/>
      <c r="T476" s="419"/>
      <c r="U476" s="419"/>
      <c r="V476" s="419"/>
      <c r="W476" s="419"/>
      <c r="X476" s="419"/>
      <c r="Y476" s="154"/>
      <c r="Z476" s="416" t="str">
        <f>IF(C458="","",IF(J464="52 Equipamentos e Material Permanente","Tempo de Uso:",""))</f>
        <v>Tempo de Uso:</v>
      </c>
      <c r="AA476" s="416"/>
      <c r="AB476" s="416"/>
      <c r="AC476" s="416"/>
      <c r="AD476" s="416"/>
      <c r="AE476" s="416"/>
      <c r="AF476" s="154"/>
      <c r="AG476" s="420" t="s">
        <v>576</v>
      </c>
      <c r="AH476" s="420"/>
      <c r="AI476" s="420"/>
      <c r="AJ476" s="420"/>
      <c r="AK476" s="420"/>
      <c r="AL476" s="420"/>
      <c r="AM476" s="420"/>
      <c r="AN476" s="420"/>
      <c r="AO476" s="420"/>
      <c r="AP476" s="420"/>
      <c r="AQ476" s="420"/>
      <c r="AR476" s="420"/>
      <c r="AS476" s="420"/>
      <c r="AT476" s="420"/>
      <c r="AU476" s="420"/>
      <c r="AV476" s="420"/>
      <c r="AW476" s="420"/>
      <c r="AX476" s="420"/>
      <c r="AY476" s="420"/>
      <c r="AZ476" s="420"/>
      <c r="BA476" s="420"/>
      <c r="BB476" s="154"/>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row>
    <row r="477" spans="1:111" ht="9" customHeight="1">
      <c r="A477" s="154"/>
      <c r="B477" s="154"/>
      <c r="C477" s="154"/>
      <c r="D477" s="154"/>
      <c r="E477" s="154"/>
      <c r="F477" s="154"/>
      <c r="G477" s="154"/>
      <c r="H477" s="154"/>
      <c r="I477" s="154"/>
      <c r="J477" s="416"/>
      <c r="K477" s="416"/>
      <c r="L477" s="416"/>
      <c r="M477" s="416"/>
      <c r="N477" s="416"/>
      <c r="O477" s="416"/>
      <c r="P477" s="154"/>
      <c r="Q477" s="419"/>
      <c r="R477" s="419"/>
      <c r="S477" s="419"/>
      <c r="T477" s="419"/>
      <c r="U477" s="419"/>
      <c r="V477" s="419"/>
      <c r="W477" s="419"/>
      <c r="X477" s="419"/>
      <c r="Y477" s="154"/>
      <c r="Z477" s="416"/>
      <c r="AA477" s="416"/>
      <c r="AB477" s="416"/>
      <c r="AC477" s="416"/>
      <c r="AD477" s="416"/>
      <c r="AE477" s="416"/>
      <c r="AF477" s="154"/>
      <c r="AG477" s="420"/>
      <c r="AH477" s="420"/>
      <c r="AI477" s="420"/>
      <c r="AJ477" s="420"/>
      <c r="AK477" s="420"/>
      <c r="AL477" s="420"/>
      <c r="AM477" s="420"/>
      <c r="AN477" s="420"/>
      <c r="AO477" s="420"/>
      <c r="AP477" s="420"/>
      <c r="AQ477" s="420"/>
      <c r="AR477" s="420"/>
      <c r="AS477" s="420"/>
      <c r="AT477" s="420"/>
      <c r="AU477" s="420"/>
      <c r="AV477" s="420"/>
      <c r="AW477" s="420"/>
      <c r="AX477" s="420"/>
      <c r="AY477" s="420"/>
      <c r="AZ477" s="420"/>
      <c r="BA477" s="420"/>
      <c r="BB477" s="154"/>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row>
    <row r="478" spans="1:111" ht="9" customHeight="1">
      <c r="A478" s="154"/>
      <c r="B478" s="154"/>
      <c r="C478" s="154"/>
      <c r="D478" s="154"/>
      <c r="E478" s="154"/>
      <c r="F478" s="154"/>
      <c r="G478" s="154"/>
      <c r="H478" s="154"/>
      <c r="I478" s="154"/>
      <c r="J478" s="154"/>
      <c r="K478" s="154"/>
      <c r="L478" s="154"/>
      <c r="M478" s="154"/>
      <c r="N478" s="154"/>
      <c r="O478" s="154"/>
      <c r="P478" s="154"/>
      <c r="Q478" s="419"/>
      <c r="R478" s="419"/>
      <c r="S478" s="419"/>
      <c r="T478" s="419"/>
      <c r="U478" s="419"/>
      <c r="V478" s="419"/>
      <c r="W478" s="419"/>
      <c r="X478" s="419"/>
      <c r="Y478" s="154"/>
      <c r="Z478" s="154"/>
      <c r="AA478" s="154"/>
      <c r="AB478" s="154"/>
      <c r="AC478" s="154"/>
      <c r="AD478" s="154"/>
      <c r="AE478" s="154"/>
      <c r="AF478" s="154"/>
      <c r="AG478" s="420"/>
      <c r="AH478" s="420"/>
      <c r="AI478" s="420"/>
      <c r="AJ478" s="420"/>
      <c r="AK478" s="420"/>
      <c r="AL478" s="420"/>
      <c r="AM478" s="420"/>
      <c r="AN478" s="420"/>
      <c r="AO478" s="420"/>
      <c r="AP478" s="420"/>
      <c r="AQ478" s="420"/>
      <c r="AR478" s="420"/>
      <c r="AS478" s="420"/>
      <c r="AT478" s="420"/>
      <c r="AU478" s="420"/>
      <c r="AV478" s="420"/>
      <c r="AW478" s="420"/>
      <c r="AX478" s="420"/>
      <c r="AY478" s="420"/>
      <c r="AZ478" s="420"/>
      <c r="BA478" s="420"/>
      <c r="BB478" s="154"/>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row>
    <row r="479" spans="1:111" ht="4.5" customHeight="1">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row>
    <row r="480" spans="1:111" ht="9" customHeight="1">
      <c r="A480" s="154"/>
      <c r="B480" s="154"/>
      <c r="C480" s="154"/>
      <c r="D480" s="154"/>
      <c r="E480" s="154"/>
      <c r="F480" s="154"/>
      <c r="G480" s="154"/>
      <c r="H480" s="154"/>
      <c r="I480" s="154"/>
      <c r="J480" s="416" t="str">
        <f>IF(C458="","","Valor Total (R$):")</f>
        <v>Valor Total (R$):</v>
      </c>
      <c r="K480" s="416"/>
      <c r="L480" s="416"/>
      <c r="M480" s="416"/>
      <c r="N480" s="416"/>
      <c r="O480" s="416"/>
      <c r="P480" s="154"/>
      <c r="Q480" s="419">
        <f>IF(Q476="","",Q472*Q476)</f>
        <v>75503</v>
      </c>
      <c r="R480" s="419"/>
      <c r="S480" s="419"/>
      <c r="T480" s="419"/>
      <c r="U480" s="419"/>
      <c r="V480" s="419"/>
      <c r="W480" s="419"/>
      <c r="X480" s="419"/>
      <c r="Y480" s="154"/>
      <c r="Z480" s="416" t="str">
        <f>IF(C458="","",IF(J464="52 Equipamentos e Material Permanente","Justificativa e Utilização:",""))</f>
        <v>Justificativa e Utilização:</v>
      </c>
      <c r="AA480" s="416"/>
      <c r="AB480" s="416"/>
      <c r="AC480" s="416"/>
      <c r="AD480" s="416"/>
      <c r="AE480" s="416"/>
      <c r="AF480" s="154"/>
      <c r="AG480" s="420" t="s">
        <v>577</v>
      </c>
      <c r="AH480" s="420"/>
      <c r="AI480" s="420"/>
      <c r="AJ480" s="420"/>
      <c r="AK480" s="420"/>
      <c r="AL480" s="420"/>
      <c r="AM480" s="420"/>
      <c r="AN480" s="420"/>
      <c r="AO480" s="420"/>
      <c r="AP480" s="420"/>
      <c r="AQ480" s="420"/>
      <c r="AR480" s="420"/>
      <c r="AS480" s="420"/>
      <c r="AT480" s="420"/>
      <c r="AU480" s="420"/>
      <c r="AV480" s="420"/>
      <c r="AW480" s="420"/>
      <c r="AX480" s="420"/>
      <c r="AY480" s="420"/>
      <c r="AZ480" s="420"/>
      <c r="BA480" s="420"/>
      <c r="BB480" s="154"/>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row>
    <row r="481" spans="1:111" ht="9" customHeight="1">
      <c r="A481" s="154"/>
      <c r="B481" s="154"/>
      <c r="C481" s="154"/>
      <c r="D481" s="154"/>
      <c r="E481" s="154"/>
      <c r="F481" s="154"/>
      <c r="G481" s="154"/>
      <c r="H481" s="154"/>
      <c r="I481" s="154"/>
      <c r="J481" s="416"/>
      <c r="K481" s="416"/>
      <c r="L481" s="416"/>
      <c r="M481" s="416"/>
      <c r="N481" s="416"/>
      <c r="O481" s="416"/>
      <c r="P481" s="154"/>
      <c r="Q481" s="419"/>
      <c r="R481" s="419"/>
      <c r="S481" s="419"/>
      <c r="T481" s="419"/>
      <c r="U481" s="419"/>
      <c r="V481" s="419"/>
      <c r="W481" s="419"/>
      <c r="X481" s="419"/>
      <c r="Y481" s="154"/>
      <c r="Z481" s="416"/>
      <c r="AA481" s="416"/>
      <c r="AB481" s="416"/>
      <c r="AC481" s="416"/>
      <c r="AD481" s="416"/>
      <c r="AE481" s="416"/>
      <c r="AF481" s="154"/>
      <c r="AG481" s="420"/>
      <c r="AH481" s="420"/>
      <c r="AI481" s="420"/>
      <c r="AJ481" s="420"/>
      <c r="AK481" s="420"/>
      <c r="AL481" s="420"/>
      <c r="AM481" s="420"/>
      <c r="AN481" s="420"/>
      <c r="AO481" s="420"/>
      <c r="AP481" s="420"/>
      <c r="AQ481" s="420"/>
      <c r="AR481" s="420"/>
      <c r="AS481" s="420"/>
      <c r="AT481" s="420"/>
      <c r="AU481" s="420"/>
      <c r="AV481" s="420"/>
      <c r="AW481" s="420"/>
      <c r="AX481" s="420"/>
      <c r="AY481" s="420"/>
      <c r="AZ481" s="420"/>
      <c r="BA481" s="420"/>
      <c r="BB481" s="154"/>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row>
    <row r="482" spans="1:111" ht="9" customHeight="1">
      <c r="A482" s="154"/>
      <c r="B482" s="154"/>
      <c r="C482" s="154"/>
      <c r="D482" s="154"/>
      <c r="E482" s="154"/>
      <c r="F482" s="154"/>
      <c r="G482" s="154"/>
      <c r="H482" s="154"/>
      <c r="I482" s="154"/>
      <c r="J482" s="154"/>
      <c r="K482" s="154"/>
      <c r="L482" s="154"/>
      <c r="M482" s="154"/>
      <c r="N482" s="154"/>
      <c r="O482" s="154"/>
      <c r="P482" s="154"/>
      <c r="Q482" s="419"/>
      <c r="R482" s="419"/>
      <c r="S482" s="419"/>
      <c r="T482" s="419"/>
      <c r="U482" s="419"/>
      <c r="V482" s="419"/>
      <c r="W482" s="419"/>
      <c r="X482" s="419"/>
      <c r="Y482" s="154"/>
      <c r="Z482" s="154"/>
      <c r="AA482" s="154"/>
      <c r="AB482" s="154"/>
      <c r="AC482" s="154"/>
      <c r="AD482" s="154"/>
      <c r="AE482" s="154"/>
      <c r="AF482" s="154"/>
      <c r="AG482" s="420"/>
      <c r="AH482" s="420"/>
      <c r="AI482" s="420"/>
      <c r="AJ482" s="420"/>
      <c r="AK482" s="420"/>
      <c r="AL482" s="420"/>
      <c r="AM482" s="420"/>
      <c r="AN482" s="420"/>
      <c r="AO482" s="420"/>
      <c r="AP482" s="420"/>
      <c r="AQ482" s="420"/>
      <c r="AR482" s="420"/>
      <c r="AS482" s="420"/>
      <c r="AT482" s="420"/>
      <c r="AU482" s="420"/>
      <c r="AV482" s="420"/>
      <c r="AW482" s="420"/>
      <c r="AX482" s="420"/>
      <c r="AY482" s="420"/>
      <c r="AZ482" s="420"/>
      <c r="BA482" s="420"/>
      <c r="BB482" s="154"/>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row>
    <row r="483" spans="1:111" ht="9" customHeight="1">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420"/>
      <c r="AH483" s="420"/>
      <c r="AI483" s="420"/>
      <c r="AJ483" s="420"/>
      <c r="AK483" s="420"/>
      <c r="AL483" s="420"/>
      <c r="AM483" s="420"/>
      <c r="AN483" s="420"/>
      <c r="AO483" s="420"/>
      <c r="AP483" s="420"/>
      <c r="AQ483" s="420"/>
      <c r="AR483" s="420"/>
      <c r="AS483" s="420"/>
      <c r="AT483" s="420"/>
      <c r="AU483" s="420"/>
      <c r="AV483" s="420"/>
      <c r="AW483" s="420"/>
      <c r="AX483" s="420"/>
      <c r="AY483" s="420"/>
      <c r="AZ483" s="420"/>
      <c r="BA483" s="420"/>
      <c r="BB483" s="154"/>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row>
    <row r="484" spans="1:111" ht="9" customHeight="1">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420"/>
      <c r="AH484" s="420"/>
      <c r="AI484" s="420"/>
      <c r="AJ484" s="420"/>
      <c r="AK484" s="420"/>
      <c r="AL484" s="420"/>
      <c r="AM484" s="420"/>
      <c r="AN484" s="420"/>
      <c r="AO484" s="420"/>
      <c r="AP484" s="420"/>
      <c r="AQ484" s="420"/>
      <c r="AR484" s="420"/>
      <c r="AS484" s="420"/>
      <c r="AT484" s="420"/>
      <c r="AU484" s="420"/>
      <c r="AV484" s="420"/>
      <c r="AW484" s="420"/>
      <c r="AX484" s="420"/>
      <c r="AY484" s="420"/>
      <c r="AZ484" s="420"/>
      <c r="BA484" s="420"/>
      <c r="BB484" s="154"/>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row>
    <row r="485" spans="1:111" ht="9" customHeight="1">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420"/>
      <c r="AH485" s="420"/>
      <c r="AI485" s="420"/>
      <c r="AJ485" s="420"/>
      <c r="AK485" s="420"/>
      <c r="AL485" s="420"/>
      <c r="AM485" s="420"/>
      <c r="AN485" s="420"/>
      <c r="AO485" s="420"/>
      <c r="AP485" s="420"/>
      <c r="AQ485" s="420"/>
      <c r="AR485" s="420"/>
      <c r="AS485" s="420"/>
      <c r="AT485" s="420"/>
      <c r="AU485" s="420"/>
      <c r="AV485" s="420"/>
      <c r="AW485" s="420"/>
      <c r="AX485" s="420"/>
      <c r="AY485" s="420"/>
      <c r="AZ485" s="420"/>
      <c r="BA485" s="420"/>
      <c r="BB485" s="154"/>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row>
    <row r="486" spans="1:111" ht="14.25" customHeight="1">
      <c r="B486" s="55"/>
      <c r="C486" s="55"/>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141"/>
      <c r="AL486" s="141"/>
      <c r="AM486" s="141"/>
      <c r="AN486" s="141"/>
      <c r="AO486" s="140"/>
      <c r="AP486" s="140"/>
      <c r="AQ486" s="140"/>
      <c r="AR486" s="140"/>
      <c r="AS486" s="142"/>
      <c r="AT486" s="142"/>
      <c r="AU486" s="142"/>
      <c r="AV486" s="142"/>
      <c r="AW486" s="140"/>
      <c r="AX486" s="140"/>
      <c r="AY486" s="140"/>
      <c r="AZ486" s="140"/>
      <c r="BA486" s="140"/>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row>
    <row r="487" spans="1:111" ht="15" customHeight="1">
      <c r="B487" s="55"/>
      <c r="C487" s="422" t="str">
        <f>IF($AA$165&gt;=12,"DESPESA 12","")</f>
        <v>DESPESA 12</v>
      </c>
      <c r="D487" s="422"/>
      <c r="E487" s="422"/>
      <c r="F487" s="422"/>
      <c r="G487" s="422"/>
      <c r="H487" s="422"/>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141"/>
      <c r="AL487" s="141"/>
      <c r="AM487" s="141"/>
      <c r="AN487" s="141"/>
      <c r="AO487" s="140"/>
      <c r="AP487" s="140"/>
      <c r="AQ487" s="140"/>
      <c r="AR487" s="140"/>
      <c r="AS487" s="142"/>
      <c r="AT487" s="142"/>
      <c r="AU487" s="142"/>
      <c r="AV487" s="142"/>
      <c r="AW487" s="140"/>
      <c r="AX487" s="140"/>
      <c r="AY487" s="140"/>
      <c r="AZ487" s="140"/>
      <c r="BA487" s="140"/>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row>
    <row r="488" spans="1:111" ht="4.5" customHeight="1">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row>
    <row r="489" spans="1:111" ht="9" customHeight="1">
      <c r="C489" s="416" t="str">
        <f>IF(C487="","","Descrição da Despesa:")</f>
        <v>Descrição da Despesa:</v>
      </c>
      <c r="D489" s="416"/>
      <c r="E489" s="416"/>
      <c r="F489" s="416"/>
      <c r="G489" s="416"/>
      <c r="H489" s="416"/>
      <c r="I489" s="60"/>
      <c r="J489" s="421" t="s">
        <v>578</v>
      </c>
      <c r="K489" s="421"/>
      <c r="L489" s="421"/>
      <c r="M489" s="421"/>
      <c r="N489" s="421"/>
      <c r="O489" s="421"/>
      <c r="P489" s="421"/>
      <c r="Q489" s="421"/>
      <c r="R489" s="421"/>
      <c r="S489" s="421"/>
      <c r="T489" s="421"/>
      <c r="U489" s="421"/>
      <c r="V489" s="421"/>
      <c r="W489" s="421"/>
      <c r="X489" s="421"/>
      <c r="Y489" s="421"/>
      <c r="Z489" s="421"/>
      <c r="AA489" s="421"/>
      <c r="AB489" s="421"/>
      <c r="AC489" s="421"/>
      <c r="AD489" s="421"/>
      <c r="AE489" s="421"/>
      <c r="AF489" s="421"/>
      <c r="AG489" s="421"/>
      <c r="AH489" s="421"/>
      <c r="AI489" s="421"/>
      <c r="AJ489" s="421"/>
      <c r="AK489" s="421"/>
      <c r="AL489" s="421"/>
      <c r="AM489" s="421"/>
      <c r="AN489" s="421"/>
      <c r="AO489" s="421"/>
      <c r="AP489" s="421"/>
      <c r="AQ489" s="421"/>
      <c r="AR489" s="421"/>
      <c r="AS489" s="421"/>
      <c r="AT489" s="421"/>
      <c r="AU489" s="421"/>
      <c r="AV489" s="421"/>
      <c r="AW489" s="421"/>
      <c r="AX489" s="421"/>
      <c r="AY489" s="421"/>
      <c r="AZ489" s="421"/>
      <c r="BA489" s="421"/>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row>
    <row r="490" spans="1:111" ht="9" customHeight="1">
      <c r="C490" s="416"/>
      <c r="D490" s="416"/>
      <c r="E490" s="416"/>
      <c r="F490" s="416"/>
      <c r="G490" s="416"/>
      <c r="H490" s="416"/>
      <c r="I490" s="60"/>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421"/>
      <c r="AL490" s="421"/>
      <c r="AM490" s="421"/>
      <c r="AN490" s="421"/>
      <c r="AO490" s="421"/>
      <c r="AP490" s="421"/>
      <c r="AQ490" s="421"/>
      <c r="AR490" s="421"/>
      <c r="AS490" s="421"/>
      <c r="AT490" s="421"/>
      <c r="AU490" s="421"/>
      <c r="AV490" s="421"/>
      <c r="AW490" s="421"/>
      <c r="AX490" s="421"/>
      <c r="AY490" s="421"/>
      <c r="AZ490" s="421"/>
      <c r="BA490" s="421"/>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row>
    <row r="491" spans="1:111" ht="9" customHeight="1">
      <c r="C491" s="416"/>
      <c r="D491" s="416"/>
      <c r="E491" s="416"/>
      <c r="F491" s="416"/>
      <c r="G491" s="416"/>
      <c r="H491" s="416"/>
      <c r="I491" s="60"/>
      <c r="J491" s="421"/>
      <c r="K491" s="421"/>
      <c r="L491" s="421"/>
      <c r="M491" s="421"/>
      <c r="N491" s="421"/>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c r="AN491" s="421"/>
      <c r="AO491" s="421"/>
      <c r="AP491" s="421"/>
      <c r="AQ491" s="421"/>
      <c r="AR491" s="421"/>
      <c r="AS491" s="421"/>
      <c r="AT491" s="421"/>
      <c r="AU491" s="421"/>
      <c r="AV491" s="421"/>
      <c r="AW491" s="421"/>
      <c r="AX491" s="421"/>
      <c r="AY491" s="421"/>
      <c r="AZ491" s="421"/>
      <c r="BA491" s="421"/>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row>
    <row r="492" spans="1:111" ht="4.5" customHeight="1">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row>
    <row r="493" spans="1:111" ht="9" customHeight="1">
      <c r="C493" s="416" t="str">
        <f>IF(C487="","","Elemento de Despesa:")</f>
        <v>Elemento de Despesa:</v>
      </c>
      <c r="D493" s="416"/>
      <c r="E493" s="416"/>
      <c r="F493" s="416"/>
      <c r="G493" s="416"/>
      <c r="H493" s="416"/>
      <c r="J493" s="421" t="s">
        <v>226</v>
      </c>
      <c r="K493" s="421"/>
      <c r="L493" s="421"/>
      <c r="M493" s="421"/>
      <c r="N493" s="421"/>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421"/>
      <c r="AM493" s="421"/>
      <c r="AN493" s="421"/>
      <c r="AO493" s="421"/>
      <c r="AP493" s="421"/>
      <c r="AQ493" s="421"/>
      <c r="AR493" s="421"/>
      <c r="AS493" s="421"/>
      <c r="AT493" s="421"/>
      <c r="AU493" s="421"/>
      <c r="AV493" s="421"/>
      <c r="AW493" s="421"/>
      <c r="AX493" s="421"/>
      <c r="AY493" s="421"/>
      <c r="AZ493" s="421"/>
      <c r="BA493" s="421"/>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row>
    <row r="494" spans="1:111" ht="9" customHeight="1">
      <c r="C494" s="416"/>
      <c r="D494" s="416"/>
      <c r="E494" s="416"/>
      <c r="F494" s="416"/>
      <c r="G494" s="416"/>
      <c r="H494" s="416"/>
      <c r="J494" s="421"/>
      <c r="K494" s="421"/>
      <c r="L494" s="421"/>
      <c r="M494" s="421"/>
      <c r="N494" s="421"/>
      <c r="O494" s="421"/>
      <c r="P494" s="421"/>
      <c r="Q494" s="421"/>
      <c r="R494" s="421"/>
      <c r="S494" s="421"/>
      <c r="T494" s="421"/>
      <c r="U494" s="421"/>
      <c r="V494" s="421"/>
      <c r="W494" s="421"/>
      <c r="X494" s="421"/>
      <c r="Y494" s="421"/>
      <c r="Z494" s="421"/>
      <c r="AA494" s="421"/>
      <c r="AB494" s="421"/>
      <c r="AC494" s="421"/>
      <c r="AD494" s="421"/>
      <c r="AE494" s="421"/>
      <c r="AF494" s="421"/>
      <c r="AG494" s="421"/>
      <c r="AH494" s="421"/>
      <c r="AI494" s="421"/>
      <c r="AJ494" s="421"/>
      <c r="AK494" s="421"/>
      <c r="AL494" s="421"/>
      <c r="AM494" s="421"/>
      <c r="AN494" s="421"/>
      <c r="AO494" s="421"/>
      <c r="AP494" s="421"/>
      <c r="AQ494" s="421"/>
      <c r="AR494" s="421"/>
      <c r="AS494" s="421"/>
      <c r="AT494" s="421"/>
      <c r="AU494" s="421"/>
      <c r="AV494" s="421"/>
      <c r="AW494" s="421"/>
      <c r="AX494" s="421"/>
      <c r="AY494" s="421"/>
      <c r="AZ494" s="421"/>
      <c r="BA494" s="421"/>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row>
    <row r="495" spans="1:111" ht="9" customHeight="1">
      <c r="C495" s="416"/>
      <c r="D495" s="416"/>
      <c r="E495" s="416"/>
      <c r="F495" s="416"/>
      <c r="G495" s="416"/>
      <c r="H495" s="416"/>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421"/>
      <c r="AG495" s="421"/>
      <c r="AH495" s="421"/>
      <c r="AI495" s="421"/>
      <c r="AJ495" s="421"/>
      <c r="AK495" s="421"/>
      <c r="AL495" s="421"/>
      <c r="AM495" s="421"/>
      <c r="AN495" s="421"/>
      <c r="AO495" s="421"/>
      <c r="AP495" s="421"/>
      <c r="AQ495" s="421"/>
      <c r="AR495" s="421"/>
      <c r="AS495" s="421"/>
      <c r="AT495" s="421"/>
      <c r="AU495" s="421"/>
      <c r="AV495" s="421"/>
      <c r="AW495" s="421"/>
      <c r="AX495" s="421"/>
      <c r="AY495" s="421"/>
      <c r="AZ495" s="421"/>
      <c r="BA495" s="421"/>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row>
    <row r="496" spans="1:111" ht="4.5" customHeight="1">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row>
    <row r="497" spans="1:111" ht="9" customHeight="1">
      <c r="A497" s="61" t="str">
        <f>CONCATENATE(Q497,AC497)</f>
        <v>43</v>
      </c>
      <c r="J497" s="416" t="str">
        <f>IF(C487="","","Meta Vinculada:")</f>
        <v>Meta Vinculada:</v>
      </c>
      <c r="K497" s="416"/>
      <c r="L497" s="416"/>
      <c r="M497" s="416"/>
      <c r="N497" s="416"/>
      <c r="O497" s="416"/>
      <c r="Q497" s="417">
        <v>4</v>
      </c>
      <c r="R497" s="417"/>
      <c r="S497" s="417"/>
      <c r="T497" s="417"/>
      <c r="U497" s="56"/>
      <c r="V497" s="416" t="str">
        <f>IF(C487="","","Etapa Vinculada:")</f>
        <v>Etapa Vinculada:</v>
      </c>
      <c r="W497" s="416"/>
      <c r="X497" s="416"/>
      <c r="Y497" s="416"/>
      <c r="Z497" s="416"/>
      <c r="AA497" s="416"/>
      <c r="AC497" s="417">
        <v>3</v>
      </c>
      <c r="AD497" s="417"/>
      <c r="AE497" s="417"/>
      <c r="AF497" s="417"/>
      <c r="AG497" s="56"/>
      <c r="AH497" s="56"/>
      <c r="AI497" s="56"/>
      <c r="AJ497" s="56"/>
      <c r="AK497" s="141"/>
      <c r="AL497" s="141"/>
      <c r="AM497" s="141"/>
      <c r="AN497" s="141"/>
      <c r="AO497" s="140"/>
      <c r="AP497" s="140"/>
      <c r="AQ497" s="140"/>
      <c r="AR497" s="140"/>
      <c r="AS497" s="142"/>
      <c r="AT497" s="142"/>
      <c r="AU497" s="142"/>
      <c r="AV497" s="142"/>
      <c r="AW497" s="140"/>
      <c r="AX497" s="140"/>
      <c r="AY497" s="140"/>
      <c r="AZ497" s="140"/>
      <c r="BA497" s="140"/>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row>
    <row r="498" spans="1:111" ht="9" customHeight="1">
      <c r="B498" s="55"/>
      <c r="C498" s="55"/>
      <c r="D498" s="56"/>
      <c r="E498" s="56"/>
      <c r="F498" s="56"/>
      <c r="G498" s="56"/>
      <c r="H498" s="56"/>
      <c r="I498" s="56"/>
      <c r="J498" s="416"/>
      <c r="K498" s="416"/>
      <c r="L498" s="416"/>
      <c r="M498" s="416"/>
      <c r="N498" s="416"/>
      <c r="O498" s="416"/>
      <c r="Q498" s="417"/>
      <c r="R498" s="417"/>
      <c r="S498" s="417"/>
      <c r="T498" s="417"/>
      <c r="U498" s="56"/>
      <c r="V498" s="416"/>
      <c r="W498" s="416"/>
      <c r="X498" s="416"/>
      <c r="Y498" s="416"/>
      <c r="Z498" s="416"/>
      <c r="AA498" s="416"/>
      <c r="AC498" s="417"/>
      <c r="AD498" s="417"/>
      <c r="AE498" s="417"/>
      <c r="AF498" s="417"/>
      <c r="AG498" s="56"/>
      <c r="AH498" s="56"/>
      <c r="AI498" s="56"/>
      <c r="AJ498" s="56"/>
      <c r="AK498" s="141"/>
      <c r="AL498" s="141"/>
      <c r="AM498" s="141"/>
      <c r="AN498" s="141"/>
      <c r="AO498" s="140"/>
      <c r="AP498" s="140"/>
      <c r="AQ498" s="140"/>
      <c r="AR498" s="140"/>
      <c r="AS498" s="142"/>
      <c r="AT498" s="142"/>
      <c r="AU498" s="142"/>
      <c r="AV498" s="142"/>
      <c r="AW498" s="140"/>
      <c r="AX498" s="140"/>
      <c r="AY498" s="140"/>
      <c r="AZ498" s="140"/>
      <c r="BA498" s="140"/>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row>
    <row r="499" spans="1:111" ht="9" customHeight="1">
      <c r="Q499" s="417"/>
      <c r="R499" s="417"/>
      <c r="S499" s="417"/>
      <c r="T499" s="417"/>
      <c r="AC499" s="417"/>
      <c r="AD499" s="417"/>
      <c r="AE499" s="417"/>
      <c r="AF499" s="417"/>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row>
    <row r="500" spans="1:111" ht="4.5" customHeight="1">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row>
    <row r="501" spans="1:111" ht="9" customHeight="1">
      <c r="A501" s="154"/>
      <c r="B501" s="154"/>
      <c r="C501" s="154"/>
      <c r="D501" s="154"/>
      <c r="E501" s="154"/>
      <c r="F501" s="154"/>
      <c r="G501" s="154"/>
      <c r="H501" s="154"/>
      <c r="I501" s="154"/>
      <c r="J501" s="416" t="str">
        <f>IF(C487="","","Quantidade:")</f>
        <v>Quantidade:</v>
      </c>
      <c r="K501" s="416"/>
      <c r="L501" s="416"/>
      <c r="M501" s="416"/>
      <c r="N501" s="416"/>
      <c r="O501" s="416"/>
      <c r="P501" s="154"/>
      <c r="Q501" s="417">
        <v>1</v>
      </c>
      <c r="R501" s="417"/>
      <c r="S501" s="417"/>
      <c r="T501" s="417"/>
      <c r="U501" s="154"/>
      <c r="V501" s="416" t="str">
        <f>IF(C487="","","Unidade:")</f>
        <v>Unidade:</v>
      </c>
      <c r="W501" s="416"/>
      <c r="X501" s="416"/>
      <c r="Y501" s="416"/>
      <c r="Z501" s="416"/>
      <c r="AA501" s="416"/>
      <c r="AB501" s="154"/>
      <c r="AC501" s="418" t="s">
        <v>579</v>
      </c>
      <c r="AD501" s="418"/>
      <c r="AE501" s="418"/>
      <c r="AF501" s="418"/>
      <c r="AG501" s="418"/>
      <c r="AH501" s="418"/>
      <c r="AI501" s="418"/>
      <c r="AJ501" s="418"/>
      <c r="AK501" s="418"/>
      <c r="AL501" s="418"/>
      <c r="AM501" s="418"/>
      <c r="AN501" s="418"/>
      <c r="AO501" s="418"/>
      <c r="AP501" s="418"/>
      <c r="AQ501" s="418"/>
      <c r="AR501" s="418"/>
      <c r="AS501" s="418"/>
      <c r="AT501" s="418"/>
      <c r="AU501" s="418"/>
      <c r="AV501" s="418"/>
      <c r="AW501" s="418"/>
      <c r="AX501" s="418"/>
      <c r="AY501" s="418"/>
      <c r="AZ501" s="418"/>
      <c r="BA501" s="418"/>
      <c r="BB501" s="154"/>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row>
    <row r="502" spans="1:111" ht="9" customHeight="1">
      <c r="A502" s="154"/>
      <c r="B502" s="154"/>
      <c r="C502" s="154"/>
      <c r="D502" s="154"/>
      <c r="E502" s="154"/>
      <c r="F502" s="154"/>
      <c r="G502" s="154"/>
      <c r="H502" s="154"/>
      <c r="I502" s="154"/>
      <c r="J502" s="416"/>
      <c r="K502" s="416"/>
      <c r="L502" s="416"/>
      <c r="M502" s="416"/>
      <c r="N502" s="416"/>
      <c r="O502" s="416"/>
      <c r="P502" s="154"/>
      <c r="Q502" s="417"/>
      <c r="R502" s="417"/>
      <c r="S502" s="417"/>
      <c r="T502" s="417"/>
      <c r="U502" s="154"/>
      <c r="V502" s="416"/>
      <c r="W502" s="416"/>
      <c r="X502" s="416"/>
      <c r="Y502" s="416"/>
      <c r="Z502" s="416"/>
      <c r="AA502" s="416"/>
      <c r="AB502" s="154"/>
      <c r="AC502" s="418"/>
      <c r="AD502" s="418"/>
      <c r="AE502" s="418"/>
      <c r="AF502" s="418"/>
      <c r="AG502" s="418"/>
      <c r="AH502" s="418"/>
      <c r="AI502" s="418"/>
      <c r="AJ502" s="418"/>
      <c r="AK502" s="418"/>
      <c r="AL502" s="418"/>
      <c r="AM502" s="418"/>
      <c r="AN502" s="418"/>
      <c r="AO502" s="418"/>
      <c r="AP502" s="418"/>
      <c r="AQ502" s="418"/>
      <c r="AR502" s="418"/>
      <c r="AS502" s="418"/>
      <c r="AT502" s="418"/>
      <c r="AU502" s="418"/>
      <c r="AV502" s="418"/>
      <c r="AW502" s="418"/>
      <c r="AX502" s="418"/>
      <c r="AY502" s="418"/>
      <c r="AZ502" s="418"/>
      <c r="BA502" s="418"/>
      <c r="BB502" s="154"/>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row>
    <row r="503" spans="1:111" ht="9" customHeight="1">
      <c r="A503" s="154"/>
      <c r="B503" s="154"/>
      <c r="C503" s="154"/>
      <c r="D503" s="154"/>
      <c r="E503" s="154"/>
      <c r="F503" s="154"/>
      <c r="G503" s="154"/>
      <c r="H503" s="154"/>
      <c r="I503" s="154"/>
      <c r="J503" s="154"/>
      <c r="K503" s="154"/>
      <c r="L503" s="154"/>
      <c r="M503" s="154"/>
      <c r="N503" s="154"/>
      <c r="O503" s="154"/>
      <c r="P503" s="154"/>
      <c r="Q503" s="417"/>
      <c r="R503" s="417"/>
      <c r="S503" s="417"/>
      <c r="T503" s="417"/>
      <c r="U503" s="154"/>
      <c r="V503" s="154"/>
      <c r="W503" s="154"/>
      <c r="X503" s="154"/>
      <c r="Y503" s="154"/>
      <c r="Z503" s="154"/>
      <c r="AA503" s="154"/>
      <c r="AB503" s="154"/>
      <c r="AC503" s="418"/>
      <c r="AD503" s="418"/>
      <c r="AE503" s="418"/>
      <c r="AF503" s="418"/>
      <c r="AG503" s="418"/>
      <c r="AH503" s="418"/>
      <c r="AI503" s="418"/>
      <c r="AJ503" s="418"/>
      <c r="AK503" s="418"/>
      <c r="AL503" s="418"/>
      <c r="AM503" s="418"/>
      <c r="AN503" s="418"/>
      <c r="AO503" s="418"/>
      <c r="AP503" s="418"/>
      <c r="AQ503" s="418"/>
      <c r="AR503" s="418"/>
      <c r="AS503" s="418"/>
      <c r="AT503" s="418"/>
      <c r="AU503" s="418"/>
      <c r="AV503" s="418"/>
      <c r="AW503" s="418"/>
      <c r="AX503" s="418"/>
      <c r="AY503" s="418"/>
      <c r="AZ503" s="418"/>
      <c r="BA503" s="418"/>
      <c r="BB503" s="154"/>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row>
    <row r="504" spans="1:111" ht="4.5" customHeight="1">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row>
    <row r="505" spans="1:111" ht="9" customHeight="1">
      <c r="A505" s="154"/>
      <c r="B505" s="154"/>
      <c r="C505" s="154"/>
      <c r="D505" s="154"/>
      <c r="E505" s="154"/>
      <c r="F505" s="154"/>
      <c r="G505" s="154"/>
      <c r="H505" s="154"/>
      <c r="I505" s="154"/>
      <c r="J505" s="416" t="str">
        <f>IF(C487="","","Valor Unitário (R$):")</f>
        <v>Valor Unitário (R$):</v>
      </c>
      <c r="K505" s="416"/>
      <c r="L505" s="416"/>
      <c r="M505" s="416"/>
      <c r="N505" s="416"/>
      <c r="O505" s="416"/>
      <c r="P505" s="154"/>
      <c r="Q505" s="419">
        <v>1969.89</v>
      </c>
      <c r="R505" s="419"/>
      <c r="S505" s="419"/>
      <c r="T505" s="419"/>
      <c r="U505" s="419"/>
      <c r="V505" s="419"/>
      <c r="W505" s="419"/>
      <c r="X505" s="419"/>
      <c r="Y505" s="154"/>
      <c r="Z505" s="416" t="str">
        <f>IF(C487="","",IF(J493="52 Equipamentos e Material Permanente","Tempo de Uso:",""))</f>
        <v>Tempo de Uso:</v>
      </c>
      <c r="AA505" s="416"/>
      <c r="AB505" s="416"/>
      <c r="AC505" s="416"/>
      <c r="AD505" s="416"/>
      <c r="AE505" s="416"/>
      <c r="AF505" s="154"/>
      <c r="AG505" s="420" t="s">
        <v>580</v>
      </c>
      <c r="AH505" s="420"/>
      <c r="AI505" s="420"/>
      <c r="AJ505" s="420"/>
      <c r="AK505" s="420"/>
      <c r="AL505" s="420"/>
      <c r="AM505" s="420"/>
      <c r="AN505" s="420"/>
      <c r="AO505" s="420"/>
      <c r="AP505" s="420"/>
      <c r="AQ505" s="420"/>
      <c r="AR505" s="420"/>
      <c r="AS505" s="420"/>
      <c r="AT505" s="420"/>
      <c r="AU505" s="420"/>
      <c r="AV505" s="420"/>
      <c r="AW505" s="420"/>
      <c r="AX505" s="420"/>
      <c r="AY505" s="420"/>
      <c r="AZ505" s="420"/>
      <c r="BA505" s="420"/>
      <c r="BB505" s="154"/>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row>
    <row r="506" spans="1:111" ht="9" customHeight="1">
      <c r="A506" s="154"/>
      <c r="B506" s="154"/>
      <c r="C506" s="154"/>
      <c r="D506" s="154"/>
      <c r="E506" s="154"/>
      <c r="F506" s="154"/>
      <c r="G506" s="154"/>
      <c r="H506" s="154"/>
      <c r="I506" s="154"/>
      <c r="J506" s="416"/>
      <c r="K506" s="416"/>
      <c r="L506" s="416"/>
      <c r="M506" s="416"/>
      <c r="N506" s="416"/>
      <c r="O506" s="416"/>
      <c r="P506" s="154"/>
      <c r="Q506" s="419"/>
      <c r="R506" s="419"/>
      <c r="S506" s="419"/>
      <c r="T506" s="419"/>
      <c r="U506" s="419"/>
      <c r="V506" s="419"/>
      <c r="W506" s="419"/>
      <c r="X506" s="419"/>
      <c r="Y506" s="154"/>
      <c r="Z506" s="416"/>
      <c r="AA506" s="416"/>
      <c r="AB506" s="416"/>
      <c r="AC506" s="416"/>
      <c r="AD506" s="416"/>
      <c r="AE506" s="416"/>
      <c r="AF506" s="154"/>
      <c r="AG506" s="420"/>
      <c r="AH506" s="420"/>
      <c r="AI506" s="420"/>
      <c r="AJ506" s="420"/>
      <c r="AK506" s="420"/>
      <c r="AL506" s="420"/>
      <c r="AM506" s="420"/>
      <c r="AN506" s="420"/>
      <c r="AO506" s="420"/>
      <c r="AP506" s="420"/>
      <c r="AQ506" s="420"/>
      <c r="AR506" s="420"/>
      <c r="AS506" s="420"/>
      <c r="AT506" s="420"/>
      <c r="AU506" s="420"/>
      <c r="AV506" s="420"/>
      <c r="AW506" s="420"/>
      <c r="AX506" s="420"/>
      <c r="AY506" s="420"/>
      <c r="AZ506" s="420"/>
      <c r="BA506" s="420"/>
      <c r="BB506" s="154"/>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row>
    <row r="507" spans="1:111" ht="9" customHeight="1">
      <c r="A507" s="154"/>
      <c r="B507" s="154"/>
      <c r="C507" s="154"/>
      <c r="D507" s="154"/>
      <c r="E507" s="154"/>
      <c r="F507" s="154"/>
      <c r="G507" s="154"/>
      <c r="H507" s="154"/>
      <c r="I507" s="154"/>
      <c r="J507" s="154"/>
      <c r="K507" s="154"/>
      <c r="L507" s="154"/>
      <c r="M507" s="154"/>
      <c r="N507" s="154"/>
      <c r="O507" s="154"/>
      <c r="P507" s="154"/>
      <c r="Q507" s="419"/>
      <c r="R507" s="419"/>
      <c r="S507" s="419"/>
      <c r="T507" s="419"/>
      <c r="U507" s="419"/>
      <c r="V507" s="419"/>
      <c r="W507" s="419"/>
      <c r="X507" s="419"/>
      <c r="Y507" s="154"/>
      <c r="Z507" s="154"/>
      <c r="AA507" s="154"/>
      <c r="AB507" s="154"/>
      <c r="AC507" s="154"/>
      <c r="AD507" s="154"/>
      <c r="AE507" s="154"/>
      <c r="AF507" s="154"/>
      <c r="AG507" s="420"/>
      <c r="AH507" s="420"/>
      <c r="AI507" s="420"/>
      <c r="AJ507" s="420"/>
      <c r="AK507" s="420"/>
      <c r="AL507" s="420"/>
      <c r="AM507" s="420"/>
      <c r="AN507" s="420"/>
      <c r="AO507" s="420"/>
      <c r="AP507" s="420"/>
      <c r="AQ507" s="420"/>
      <c r="AR507" s="420"/>
      <c r="AS507" s="420"/>
      <c r="AT507" s="420"/>
      <c r="AU507" s="420"/>
      <c r="AV507" s="420"/>
      <c r="AW507" s="420"/>
      <c r="AX507" s="420"/>
      <c r="AY507" s="420"/>
      <c r="AZ507" s="420"/>
      <c r="BA507" s="420"/>
      <c r="BB507" s="154"/>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c r="BY507" s="115"/>
      <c r="BZ507" s="115"/>
      <c r="CA507" s="115"/>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5"/>
      <c r="DD507" s="115"/>
      <c r="DE507" s="115"/>
      <c r="DF507" s="115"/>
      <c r="DG507" s="115"/>
    </row>
    <row r="508" spans="1:111" ht="4.5" customHeight="1">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c r="BY508" s="115"/>
      <c r="BZ508" s="115"/>
      <c r="CA508" s="115"/>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5"/>
      <c r="DD508" s="115"/>
      <c r="DE508" s="115"/>
      <c r="DF508" s="115"/>
      <c r="DG508" s="115"/>
    </row>
    <row r="509" spans="1:111" ht="9" customHeight="1">
      <c r="A509" s="154"/>
      <c r="B509" s="154"/>
      <c r="C509" s="154"/>
      <c r="D509" s="154"/>
      <c r="E509" s="154"/>
      <c r="F509" s="154"/>
      <c r="G509" s="154"/>
      <c r="H509" s="154"/>
      <c r="I509" s="154"/>
      <c r="J509" s="416" t="str">
        <f>IF(C487="","","Valor Total (R$):")</f>
        <v>Valor Total (R$):</v>
      </c>
      <c r="K509" s="416"/>
      <c r="L509" s="416"/>
      <c r="M509" s="416"/>
      <c r="N509" s="416"/>
      <c r="O509" s="416"/>
      <c r="P509" s="154"/>
      <c r="Q509" s="419">
        <f>IF(Q505="","",Q501*Q505)</f>
        <v>1969.89</v>
      </c>
      <c r="R509" s="419"/>
      <c r="S509" s="419"/>
      <c r="T509" s="419"/>
      <c r="U509" s="419"/>
      <c r="V509" s="419"/>
      <c r="W509" s="419"/>
      <c r="X509" s="419"/>
      <c r="Y509" s="154"/>
      <c r="Z509" s="416" t="str">
        <f>IF(C487="","",IF(J493="52 Equipamentos e Material Permanente","Justificativa e Utilização:",""))</f>
        <v>Justificativa e Utilização:</v>
      </c>
      <c r="AA509" s="416"/>
      <c r="AB509" s="416"/>
      <c r="AC509" s="416"/>
      <c r="AD509" s="416"/>
      <c r="AE509" s="416"/>
      <c r="AF509" s="154"/>
      <c r="AG509" s="420" t="s">
        <v>581</v>
      </c>
      <c r="AH509" s="420"/>
      <c r="AI509" s="420"/>
      <c r="AJ509" s="420"/>
      <c r="AK509" s="420"/>
      <c r="AL509" s="420"/>
      <c r="AM509" s="420"/>
      <c r="AN509" s="420"/>
      <c r="AO509" s="420"/>
      <c r="AP509" s="420"/>
      <c r="AQ509" s="420"/>
      <c r="AR509" s="420"/>
      <c r="AS509" s="420"/>
      <c r="AT509" s="420"/>
      <c r="AU509" s="420"/>
      <c r="AV509" s="420"/>
      <c r="AW509" s="420"/>
      <c r="AX509" s="420"/>
      <c r="AY509" s="420"/>
      <c r="AZ509" s="420"/>
      <c r="BA509" s="420"/>
      <c r="BB509" s="154"/>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c r="BY509" s="115"/>
      <c r="BZ509" s="115"/>
      <c r="CA509" s="115"/>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5"/>
      <c r="DD509" s="115"/>
      <c r="DE509" s="115"/>
      <c r="DF509" s="115"/>
      <c r="DG509" s="115"/>
    </row>
    <row r="510" spans="1:111" ht="9" customHeight="1">
      <c r="A510" s="154"/>
      <c r="B510" s="154"/>
      <c r="C510" s="154"/>
      <c r="D510" s="154"/>
      <c r="E510" s="154"/>
      <c r="F510" s="154"/>
      <c r="G510" s="154"/>
      <c r="H510" s="154"/>
      <c r="I510" s="154"/>
      <c r="J510" s="416"/>
      <c r="K510" s="416"/>
      <c r="L510" s="416"/>
      <c r="M510" s="416"/>
      <c r="N510" s="416"/>
      <c r="O510" s="416"/>
      <c r="P510" s="154"/>
      <c r="Q510" s="419"/>
      <c r="R510" s="419"/>
      <c r="S510" s="419"/>
      <c r="T510" s="419"/>
      <c r="U510" s="419"/>
      <c r="V510" s="419"/>
      <c r="W510" s="419"/>
      <c r="X510" s="419"/>
      <c r="Y510" s="154"/>
      <c r="Z510" s="416"/>
      <c r="AA510" s="416"/>
      <c r="AB510" s="416"/>
      <c r="AC510" s="416"/>
      <c r="AD510" s="416"/>
      <c r="AE510" s="416"/>
      <c r="AF510" s="154"/>
      <c r="AG510" s="420"/>
      <c r="AH510" s="420"/>
      <c r="AI510" s="420"/>
      <c r="AJ510" s="420"/>
      <c r="AK510" s="420"/>
      <c r="AL510" s="420"/>
      <c r="AM510" s="420"/>
      <c r="AN510" s="420"/>
      <c r="AO510" s="420"/>
      <c r="AP510" s="420"/>
      <c r="AQ510" s="420"/>
      <c r="AR510" s="420"/>
      <c r="AS510" s="420"/>
      <c r="AT510" s="420"/>
      <c r="AU510" s="420"/>
      <c r="AV510" s="420"/>
      <c r="AW510" s="420"/>
      <c r="AX510" s="420"/>
      <c r="AY510" s="420"/>
      <c r="AZ510" s="420"/>
      <c r="BA510" s="420"/>
      <c r="BB510" s="154"/>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c r="BY510" s="115"/>
      <c r="BZ510" s="115"/>
      <c r="CA510" s="115"/>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5"/>
      <c r="DD510" s="115"/>
      <c r="DE510" s="115"/>
      <c r="DF510" s="115"/>
      <c r="DG510" s="115"/>
    </row>
    <row r="511" spans="1:111" ht="9" customHeight="1">
      <c r="A511" s="154"/>
      <c r="B511" s="154"/>
      <c r="C511" s="154"/>
      <c r="D511" s="154"/>
      <c r="E511" s="154"/>
      <c r="F511" s="154"/>
      <c r="G511" s="154"/>
      <c r="H511" s="154"/>
      <c r="I511" s="154"/>
      <c r="J511" s="154"/>
      <c r="K511" s="154"/>
      <c r="L511" s="154"/>
      <c r="M511" s="154"/>
      <c r="N511" s="154"/>
      <c r="O511" s="154"/>
      <c r="P511" s="154"/>
      <c r="Q511" s="419"/>
      <c r="R511" s="419"/>
      <c r="S511" s="419"/>
      <c r="T511" s="419"/>
      <c r="U511" s="419"/>
      <c r="V511" s="419"/>
      <c r="W511" s="419"/>
      <c r="X511" s="419"/>
      <c r="Y511" s="154"/>
      <c r="Z511" s="154"/>
      <c r="AA511" s="154"/>
      <c r="AB511" s="154"/>
      <c r="AC511" s="154"/>
      <c r="AD511" s="154"/>
      <c r="AE511" s="154"/>
      <c r="AF511" s="154"/>
      <c r="AG511" s="420"/>
      <c r="AH511" s="420"/>
      <c r="AI511" s="420"/>
      <c r="AJ511" s="420"/>
      <c r="AK511" s="420"/>
      <c r="AL511" s="420"/>
      <c r="AM511" s="420"/>
      <c r="AN511" s="420"/>
      <c r="AO511" s="420"/>
      <c r="AP511" s="420"/>
      <c r="AQ511" s="420"/>
      <c r="AR511" s="420"/>
      <c r="AS511" s="420"/>
      <c r="AT511" s="420"/>
      <c r="AU511" s="420"/>
      <c r="AV511" s="420"/>
      <c r="AW511" s="420"/>
      <c r="AX511" s="420"/>
      <c r="AY511" s="420"/>
      <c r="AZ511" s="420"/>
      <c r="BA511" s="420"/>
      <c r="BB511" s="154"/>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c r="BY511" s="115"/>
      <c r="BZ511" s="115"/>
      <c r="CA511" s="115"/>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5"/>
      <c r="DD511" s="115"/>
      <c r="DE511" s="115"/>
      <c r="DF511" s="115"/>
      <c r="DG511" s="115"/>
    </row>
    <row r="512" spans="1:111" ht="9" customHeight="1">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420"/>
      <c r="AH512" s="420"/>
      <c r="AI512" s="420"/>
      <c r="AJ512" s="420"/>
      <c r="AK512" s="420"/>
      <c r="AL512" s="420"/>
      <c r="AM512" s="420"/>
      <c r="AN512" s="420"/>
      <c r="AO512" s="420"/>
      <c r="AP512" s="420"/>
      <c r="AQ512" s="420"/>
      <c r="AR512" s="420"/>
      <c r="AS512" s="420"/>
      <c r="AT512" s="420"/>
      <c r="AU512" s="420"/>
      <c r="AV512" s="420"/>
      <c r="AW512" s="420"/>
      <c r="AX512" s="420"/>
      <c r="AY512" s="420"/>
      <c r="AZ512" s="420"/>
      <c r="BA512" s="420"/>
      <c r="BB512" s="154"/>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row>
    <row r="513" spans="1:111" ht="9" customHeight="1">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420"/>
      <c r="AH513" s="420"/>
      <c r="AI513" s="420"/>
      <c r="AJ513" s="420"/>
      <c r="AK513" s="420"/>
      <c r="AL513" s="420"/>
      <c r="AM513" s="420"/>
      <c r="AN513" s="420"/>
      <c r="AO513" s="420"/>
      <c r="AP513" s="420"/>
      <c r="AQ513" s="420"/>
      <c r="AR513" s="420"/>
      <c r="AS513" s="420"/>
      <c r="AT513" s="420"/>
      <c r="AU513" s="420"/>
      <c r="AV513" s="420"/>
      <c r="AW513" s="420"/>
      <c r="AX513" s="420"/>
      <c r="AY513" s="420"/>
      <c r="AZ513" s="420"/>
      <c r="BA513" s="420"/>
      <c r="BB513" s="154"/>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row>
    <row r="514" spans="1:111" ht="9" customHeight="1">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420"/>
      <c r="AH514" s="420"/>
      <c r="AI514" s="420"/>
      <c r="AJ514" s="420"/>
      <c r="AK514" s="420"/>
      <c r="AL514" s="420"/>
      <c r="AM514" s="420"/>
      <c r="AN514" s="420"/>
      <c r="AO514" s="420"/>
      <c r="AP514" s="420"/>
      <c r="AQ514" s="420"/>
      <c r="AR514" s="420"/>
      <c r="AS514" s="420"/>
      <c r="AT514" s="420"/>
      <c r="AU514" s="420"/>
      <c r="AV514" s="420"/>
      <c r="AW514" s="420"/>
      <c r="AX514" s="420"/>
      <c r="AY514" s="420"/>
      <c r="AZ514" s="420"/>
      <c r="BA514" s="420"/>
      <c r="BB514" s="154"/>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row>
    <row r="515" spans="1:111" ht="15" customHeight="1">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row>
    <row r="516" spans="1:111" ht="15" customHeight="1">
      <c r="B516" s="55"/>
      <c r="C516" s="422" t="str">
        <f>IF($AA$165&gt;=13,"DESPESA 13","")</f>
        <v>DESPESA 13</v>
      </c>
      <c r="D516" s="422"/>
      <c r="E516" s="422"/>
      <c r="F516" s="422"/>
      <c r="G516" s="422"/>
      <c r="H516" s="422"/>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141"/>
      <c r="AL516" s="141"/>
      <c r="AM516" s="141"/>
      <c r="AN516" s="141"/>
      <c r="AO516" s="140"/>
      <c r="AP516" s="140"/>
      <c r="AQ516" s="140"/>
      <c r="AR516" s="140"/>
      <c r="AS516" s="142"/>
      <c r="AT516" s="142"/>
      <c r="AU516" s="142"/>
      <c r="AV516" s="142"/>
      <c r="AW516" s="140"/>
      <c r="AX516" s="140"/>
      <c r="AY516" s="140"/>
      <c r="AZ516" s="140"/>
      <c r="BA516" s="140"/>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row>
    <row r="517" spans="1:111" ht="4.5" customHeight="1">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row>
    <row r="518" spans="1:111" ht="9" customHeight="1">
      <c r="C518" s="416" t="str">
        <f>IF(C516="","","Descrição da Despesa:")</f>
        <v>Descrição da Despesa:</v>
      </c>
      <c r="D518" s="416"/>
      <c r="E518" s="416"/>
      <c r="F518" s="416"/>
      <c r="G518" s="416"/>
      <c r="H518" s="416"/>
      <c r="I518" s="60"/>
      <c r="J518" s="421" t="s">
        <v>578</v>
      </c>
      <c r="K518" s="421"/>
      <c r="L518" s="421"/>
      <c r="M518" s="421"/>
      <c r="N518" s="421"/>
      <c r="O518" s="421"/>
      <c r="P518" s="421"/>
      <c r="Q518" s="421"/>
      <c r="R518" s="421"/>
      <c r="S518" s="421"/>
      <c r="T518" s="421"/>
      <c r="U518" s="421"/>
      <c r="V518" s="421"/>
      <c r="W518" s="421"/>
      <c r="X518" s="421"/>
      <c r="Y518" s="421"/>
      <c r="Z518" s="421"/>
      <c r="AA518" s="421"/>
      <c r="AB518" s="421"/>
      <c r="AC518" s="421"/>
      <c r="AD518" s="421"/>
      <c r="AE518" s="421"/>
      <c r="AF518" s="421"/>
      <c r="AG518" s="421"/>
      <c r="AH518" s="421"/>
      <c r="AI518" s="421"/>
      <c r="AJ518" s="421"/>
      <c r="AK518" s="421"/>
      <c r="AL518" s="421"/>
      <c r="AM518" s="421"/>
      <c r="AN518" s="421"/>
      <c r="AO518" s="421"/>
      <c r="AP518" s="421"/>
      <c r="AQ518" s="421"/>
      <c r="AR518" s="421"/>
      <c r="AS518" s="421"/>
      <c r="AT518" s="421"/>
      <c r="AU518" s="421"/>
      <c r="AV518" s="421"/>
      <c r="AW518" s="421"/>
      <c r="AX518" s="421"/>
      <c r="AY518" s="421"/>
      <c r="AZ518" s="421"/>
      <c r="BA518" s="421"/>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row>
    <row r="519" spans="1:111" ht="9" customHeight="1">
      <c r="C519" s="416"/>
      <c r="D519" s="416"/>
      <c r="E519" s="416"/>
      <c r="F519" s="416"/>
      <c r="G519" s="416"/>
      <c r="H519" s="416"/>
      <c r="I519" s="60"/>
      <c r="J519" s="421"/>
      <c r="K519" s="421"/>
      <c r="L519" s="421"/>
      <c r="M519" s="421"/>
      <c r="N519" s="421"/>
      <c r="O519" s="421"/>
      <c r="P519" s="421"/>
      <c r="Q519" s="421"/>
      <c r="R519" s="421"/>
      <c r="S519" s="421"/>
      <c r="T519" s="421"/>
      <c r="U519" s="421"/>
      <c r="V519" s="421"/>
      <c r="W519" s="421"/>
      <c r="X519" s="421"/>
      <c r="Y519" s="421"/>
      <c r="Z519" s="421"/>
      <c r="AA519" s="421"/>
      <c r="AB519" s="421"/>
      <c r="AC519" s="421"/>
      <c r="AD519" s="421"/>
      <c r="AE519" s="421"/>
      <c r="AF519" s="421"/>
      <c r="AG519" s="421"/>
      <c r="AH519" s="421"/>
      <c r="AI519" s="421"/>
      <c r="AJ519" s="421"/>
      <c r="AK519" s="421"/>
      <c r="AL519" s="421"/>
      <c r="AM519" s="421"/>
      <c r="AN519" s="421"/>
      <c r="AO519" s="421"/>
      <c r="AP519" s="421"/>
      <c r="AQ519" s="421"/>
      <c r="AR519" s="421"/>
      <c r="AS519" s="421"/>
      <c r="AT519" s="421"/>
      <c r="AU519" s="421"/>
      <c r="AV519" s="421"/>
      <c r="AW519" s="421"/>
      <c r="AX519" s="421"/>
      <c r="AY519" s="421"/>
      <c r="AZ519" s="421"/>
      <c r="BA519" s="421"/>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c r="BY519" s="115"/>
      <c r="BZ519" s="115"/>
      <c r="CA519" s="115"/>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c r="DF519" s="115"/>
      <c r="DG519" s="115"/>
    </row>
    <row r="520" spans="1:111" ht="9" customHeight="1">
      <c r="C520" s="416"/>
      <c r="D520" s="416"/>
      <c r="E520" s="416"/>
      <c r="F520" s="416"/>
      <c r="G520" s="416"/>
      <c r="H520" s="416"/>
      <c r="I520" s="60"/>
      <c r="J520" s="421"/>
      <c r="K520" s="421"/>
      <c r="L520" s="421"/>
      <c r="M520" s="421"/>
      <c r="N520" s="421"/>
      <c r="O520" s="421"/>
      <c r="P520" s="421"/>
      <c r="Q520" s="421"/>
      <c r="R520" s="421"/>
      <c r="S520" s="421"/>
      <c r="T520" s="421"/>
      <c r="U520" s="421"/>
      <c r="V520" s="421"/>
      <c r="W520" s="421"/>
      <c r="X520" s="421"/>
      <c r="Y520" s="421"/>
      <c r="Z520" s="421"/>
      <c r="AA520" s="421"/>
      <c r="AB520" s="421"/>
      <c r="AC520" s="421"/>
      <c r="AD520" s="421"/>
      <c r="AE520" s="421"/>
      <c r="AF520" s="421"/>
      <c r="AG520" s="421"/>
      <c r="AH520" s="421"/>
      <c r="AI520" s="421"/>
      <c r="AJ520" s="421"/>
      <c r="AK520" s="421"/>
      <c r="AL520" s="421"/>
      <c r="AM520" s="421"/>
      <c r="AN520" s="421"/>
      <c r="AO520" s="421"/>
      <c r="AP520" s="421"/>
      <c r="AQ520" s="421"/>
      <c r="AR520" s="421"/>
      <c r="AS520" s="421"/>
      <c r="AT520" s="421"/>
      <c r="AU520" s="421"/>
      <c r="AV520" s="421"/>
      <c r="AW520" s="421"/>
      <c r="AX520" s="421"/>
      <c r="AY520" s="421"/>
      <c r="AZ520" s="421"/>
      <c r="BA520" s="421"/>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row>
    <row r="521" spans="1:111" ht="4.5" customHeight="1">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c r="BY521" s="115"/>
      <c r="BZ521" s="115"/>
      <c r="CA521" s="115"/>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5"/>
      <c r="DD521" s="115"/>
      <c r="DE521" s="115"/>
      <c r="DF521" s="115"/>
      <c r="DG521" s="115"/>
    </row>
    <row r="522" spans="1:111" ht="9" customHeight="1">
      <c r="C522" s="416" t="str">
        <f>IF(C516="","","Elemento de Despesa:")</f>
        <v>Elemento de Despesa:</v>
      </c>
      <c r="D522" s="416"/>
      <c r="E522" s="416"/>
      <c r="F522" s="416"/>
      <c r="G522" s="416"/>
      <c r="H522" s="416"/>
      <c r="J522" s="421" t="s">
        <v>226</v>
      </c>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c r="AN522" s="421"/>
      <c r="AO522" s="421"/>
      <c r="AP522" s="421"/>
      <c r="AQ522" s="421"/>
      <c r="AR522" s="421"/>
      <c r="AS522" s="421"/>
      <c r="AT522" s="421"/>
      <c r="AU522" s="421"/>
      <c r="AV522" s="421"/>
      <c r="AW522" s="421"/>
      <c r="AX522" s="421"/>
      <c r="AY522" s="421"/>
      <c r="AZ522" s="421"/>
      <c r="BA522" s="421"/>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c r="BY522" s="115"/>
      <c r="BZ522" s="115"/>
      <c r="CA522" s="115"/>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5"/>
      <c r="DD522" s="115"/>
      <c r="DE522" s="115"/>
      <c r="DF522" s="115"/>
      <c r="DG522" s="115"/>
    </row>
    <row r="523" spans="1:111" ht="9" customHeight="1">
      <c r="C523" s="416"/>
      <c r="D523" s="416"/>
      <c r="E523" s="416"/>
      <c r="F523" s="416"/>
      <c r="G523" s="416"/>
      <c r="H523" s="416"/>
      <c r="J523" s="421"/>
      <c r="K523" s="421"/>
      <c r="L523" s="421"/>
      <c r="M523" s="421"/>
      <c r="N523" s="421"/>
      <c r="O523" s="421"/>
      <c r="P523" s="421"/>
      <c r="Q523" s="421"/>
      <c r="R523" s="421"/>
      <c r="S523" s="421"/>
      <c r="T523" s="421"/>
      <c r="U523" s="421"/>
      <c r="V523" s="421"/>
      <c r="W523" s="421"/>
      <c r="X523" s="421"/>
      <c r="Y523" s="421"/>
      <c r="Z523" s="421"/>
      <c r="AA523" s="421"/>
      <c r="AB523" s="421"/>
      <c r="AC523" s="421"/>
      <c r="AD523" s="421"/>
      <c r="AE523" s="421"/>
      <c r="AF523" s="421"/>
      <c r="AG523" s="421"/>
      <c r="AH523" s="421"/>
      <c r="AI523" s="421"/>
      <c r="AJ523" s="421"/>
      <c r="AK523" s="421"/>
      <c r="AL523" s="421"/>
      <c r="AM523" s="421"/>
      <c r="AN523" s="421"/>
      <c r="AO523" s="421"/>
      <c r="AP523" s="421"/>
      <c r="AQ523" s="421"/>
      <c r="AR523" s="421"/>
      <c r="AS523" s="421"/>
      <c r="AT523" s="421"/>
      <c r="AU523" s="421"/>
      <c r="AV523" s="421"/>
      <c r="AW523" s="421"/>
      <c r="AX523" s="421"/>
      <c r="AY523" s="421"/>
      <c r="AZ523" s="421"/>
      <c r="BA523" s="421"/>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c r="BY523" s="115"/>
      <c r="BZ523" s="115"/>
      <c r="CA523" s="115"/>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row>
    <row r="524" spans="1:111" ht="9" customHeight="1">
      <c r="C524" s="416"/>
      <c r="D524" s="416"/>
      <c r="E524" s="416"/>
      <c r="F524" s="416"/>
      <c r="G524" s="416"/>
      <c r="H524" s="416"/>
      <c r="J524" s="421"/>
      <c r="K524" s="421"/>
      <c r="L524" s="421"/>
      <c r="M524" s="421"/>
      <c r="N524" s="421"/>
      <c r="O524" s="421"/>
      <c r="P524" s="421"/>
      <c r="Q524" s="421"/>
      <c r="R524" s="421"/>
      <c r="S524" s="421"/>
      <c r="T524" s="421"/>
      <c r="U524" s="421"/>
      <c r="V524" s="421"/>
      <c r="W524" s="421"/>
      <c r="X524" s="421"/>
      <c r="Y524" s="421"/>
      <c r="Z524" s="421"/>
      <c r="AA524" s="421"/>
      <c r="AB524" s="421"/>
      <c r="AC524" s="421"/>
      <c r="AD524" s="421"/>
      <c r="AE524" s="421"/>
      <c r="AF524" s="421"/>
      <c r="AG524" s="421"/>
      <c r="AH524" s="421"/>
      <c r="AI524" s="421"/>
      <c r="AJ524" s="421"/>
      <c r="AK524" s="421"/>
      <c r="AL524" s="421"/>
      <c r="AM524" s="421"/>
      <c r="AN524" s="421"/>
      <c r="AO524" s="421"/>
      <c r="AP524" s="421"/>
      <c r="AQ524" s="421"/>
      <c r="AR524" s="421"/>
      <c r="AS524" s="421"/>
      <c r="AT524" s="421"/>
      <c r="AU524" s="421"/>
      <c r="AV524" s="421"/>
      <c r="AW524" s="421"/>
      <c r="AX524" s="421"/>
      <c r="AY524" s="421"/>
      <c r="AZ524" s="421"/>
      <c r="BA524" s="421"/>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c r="BY524" s="115"/>
      <c r="BZ524" s="115"/>
      <c r="CA524" s="115"/>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row>
    <row r="525" spans="1:111" ht="4.5" customHeight="1">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row>
    <row r="526" spans="1:111" ht="9" customHeight="1">
      <c r="A526" s="61" t="str">
        <f>CONCATENATE(Q526,AC526)</f>
        <v>43</v>
      </c>
      <c r="J526" s="416" t="str">
        <f>IF(C516="","","Meta Vinculada:")</f>
        <v>Meta Vinculada:</v>
      </c>
      <c r="K526" s="416"/>
      <c r="L526" s="416"/>
      <c r="M526" s="416"/>
      <c r="N526" s="416"/>
      <c r="O526" s="416"/>
      <c r="Q526" s="417">
        <v>4</v>
      </c>
      <c r="R526" s="417"/>
      <c r="S526" s="417"/>
      <c r="T526" s="417"/>
      <c r="U526" s="56"/>
      <c r="V526" s="416" t="str">
        <f>IF(C516="","","Etapa Vinculada:")</f>
        <v>Etapa Vinculada:</v>
      </c>
      <c r="W526" s="416"/>
      <c r="X526" s="416"/>
      <c r="Y526" s="416"/>
      <c r="Z526" s="416"/>
      <c r="AA526" s="416"/>
      <c r="AC526" s="417">
        <v>3</v>
      </c>
      <c r="AD526" s="417"/>
      <c r="AE526" s="417"/>
      <c r="AF526" s="417"/>
      <c r="AG526" s="56"/>
      <c r="AH526" s="56"/>
      <c r="AI526" s="56"/>
      <c r="AJ526" s="56"/>
      <c r="AK526" s="141"/>
      <c r="AL526" s="141"/>
      <c r="AM526" s="141"/>
      <c r="AN526" s="141"/>
      <c r="AO526" s="140"/>
      <c r="AP526" s="140"/>
      <c r="AQ526" s="140"/>
      <c r="AR526" s="140"/>
      <c r="AS526" s="142"/>
      <c r="AT526" s="142"/>
      <c r="AU526" s="142"/>
      <c r="AV526" s="142"/>
      <c r="AW526" s="140"/>
      <c r="AX526" s="140"/>
      <c r="AY526" s="140"/>
      <c r="AZ526" s="140"/>
      <c r="BA526" s="140"/>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c r="BY526" s="115"/>
      <c r="BZ526" s="115"/>
      <c r="CA526" s="115"/>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5"/>
      <c r="DD526" s="115"/>
      <c r="DE526" s="115"/>
      <c r="DF526" s="115"/>
      <c r="DG526" s="115"/>
    </row>
    <row r="527" spans="1:111" ht="9" customHeight="1">
      <c r="B527" s="55"/>
      <c r="C527" s="55"/>
      <c r="D527" s="56"/>
      <c r="E527" s="56"/>
      <c r="F527" s="56"/>
      <c r="G527" s="56"/>
      <c r="H527" s="56"/>
      <c r="I527" s="56"/>
      <c r="J527" s="416"/>
      <c r="K527" s="416"/>
      <c r="L527" s="416"/>
      <c r="M527" s="416"/>
      <c r="N527" s="416"/>
      <c r="O527" s="416"/>
      <c r="Q527" s="417"/>
      <c r="R527" s="417"/>
      <c r="S527" s="417"/>
      <c r="T527" s="417"/>
      <c r="U527" s="56"/>
      <c r="V527" s="416"/>
      <c r="W527" s="416"/>
      <c r="X527" s="416"/>
      <c r="Y527" s="416"/>
      <c r="Z527" s="416"/>
      <c r="AA527" s="416"/>
      <c r="AC527" s="417"/>
      <c r="AD527" s="417"/>
      <c r="AE527" s="417"/>
      <c r="AF527" s="417"/>
      <c r="AG527" s="56"/>
      <c r="AH527" s="56"/>
      <c r="AI527" s="56"/>
      <c r="AJ527" s="56"/>
      <c r="AK527" s="141"/>
      <c r="AL527" s="141"/>
      <c r="AM527" s="141"/>
      <c r="AN527" s="141"/>
      <c r="AO527" s="140"/>
      <c r="AP527" s="140"/>
      <c r="AQ527" s="140"/>
      <c r="AR527" s="140"/>
      <c r="AS527" s="142"/>
      <c r="AT527" s="142"/>
      <c r="AU527" s="142"/>
      <c r="AV527" s="142"/>
      <c r="AW527" s="140"/>
      <c r="AX527" s="140"/>
      <c r="AY527" s="140"/>
      <c r="AZ527" s="140"/>
      <c r="BA527" s="140"/>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c r="BY527" s="115"/>
      <c r="BZ527" s="115"/>
      <c r="CA527" s="115"/>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5"/>
      <c r="DD527" s="115"/>
      <c r="DE527" s="115"/>
      <c r="DF527" s="115"/>
      <c r="DG527" s="115"/>
    </row>
    <row r="528" spans="1:111" ht="9" customHeight="1">
      <c r="Q528" s="417"/>
      <c r="R528" s="417"/>
      <c r="S528" s="417"/>
      <c r="T528" s="417"/>
      <c r="AC528" s="417"/>
      <c r="AD528" s="417"/>
      <c r="AE528" s="417"/>
      <c r="AF528" s="417"/>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c r="BY528" s="115"/>
      <c r="BZ528" s="115"/>
      <c r="CA528" s="115"/>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row>
    <row r="529" spans="1:111" ht="4.5" customHeight="1">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c r="BY529" s="115"/>
      <c r="BZ529" s="115"/>
      <c r="CA529" s="115"/>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5"/>
      <c r="DD529" s="115"/>
      <c r="DE529" s="115"/>
      <c r="DF529" s="115"/>
      <c r="DG529" s="115"/>
    </row>
    <row r="530" spans="1:111" ht="9" customHeight="1">
      <c r="A530" s="154"/>
      <c r="B530" s="154"/>
      <c r="C530" s="154"/>
      <c r="D530" s="154"/>
      <c r="E530" s="154"/>
      <c r="F530" s="154"/>
      <c r="G530" s="154"/>
      <c r="H530" s="154"/>
      <c r="I530" s="154"/>
      <c r="J530" s="416" t="str">
        <f>IF(C516="","","Quantidade:")</f>
        <v>Quantidade:</v>
      </c>
      <c r="K530" s="416"/>
      <c r="L530" s="416"/>
      <c r="M530" s="416"/>
      <c r="N530" s="416"/>
      <c r="O530" s="416"/>
      <c r="P530" s="154"/>
      <c r="Q530" s="417">
        <v>16</v>
      </c>
      <c r="R530" s="417"/>
      <c r="S530" s="417"/>
      <c r="T530" s="417"/>
      <c r="U530" s="154"/>
      <c r="V530" s="416" t="str">
        <f>IF(C516="","","Unidade:")</f>
        <v>Unidade:</v>
      </c>
      <c r="W530" s="416"/>
      <c r="X530" s="416"/>
      <c r="Y530" s="416"/>
      <c r="Z530" s="416"/>
      <c r="AA530" s="416"/>
      <c r="AB530" s="154"/>
      <c r="AC530" s="418" t="s">
        <v>582</v>
      </c>
      <c r="AD530" s="418"/>
      <c r="AE530" s="418"/>
      <c r="AF530" s="418"/>
      <c r="AG530" s="418"/>
      <c r="AH530" s="418"/>
      <c r="AI530" s="418"/>
      <c r="AJ530" s="418"/>
      <c r="AK530" s="418"/>
      <c r="AL530" s="418"/>
      <c r="AM530" s="418"/>
      <c r="AN530" s="418"/>
      <c r="AO530" s="418"/>
      <c r="AP530" s="418"/>
      <c r="AQ530" s="418"/>
      <c r="AR530" s="418"/>
      <c r="AS530" s="418"/>
      <c r="AT530" s="418"/>
      <c r="AU530" s="418"/>
      <c r="AV530" s="418"/>
      <c r="AW530" s="418"/>
      <c r="AX530" s="418"/>
      <c r="AY530" s="418"/>
      <c r="AZ530" s="418"/>
      <c r="BA530" s="418"/>
      <c r="BB530" s="154"/>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c r="BY530" s="115"/>
      <c r="BZ530" s="115"/>
      <c r="CA530" s="115"/>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5"/>
      <c r="DD530" s="115"/>
      <c r="DE530" s="115"/>
      <c r="DF530" s="115"/>
      <c r="DG530" s="115"/>
    </row>
    <row r="531" spans="1:111" ht="9" customHeight="1">
      <c r="A531" s="154"/>
      <c r="B531" s="154"/>
      <c r="C531" s="154"/>
      <c r="D531" s="154"/>
      <c r="E531" s="154"/>
      <c r="F531" s="154"/>
      <c r="G531" s="154"/>
      <c r="H531" s="154"/>
      <c r="I531" s="154"/>
      <c r="J531" s="416"/>
      <c r="K531" s="416"/>
      <c r="L531" s="416"/>
      <c r="M531" s="416"/>
      <c r="N531" s="416"/>
      <c r="O531" s="416"/>
      <c r="P531" s="154"/>
      <c r="Q531" s="417"/>
      <c r="R531" s="417"/>
      <c r="S531" s="417"/>
      <c r="T531" s="417"/>
      <c r="U531" s="154"/>
      <c r="V531" s="416"/>
      <c r="W531" s="416"/>
      <c r="X531" s="416"/>
      <c r="Y531" s="416"/>
      <c r="Z531" s="416"/>
      <c r="AA531" s="416"/>
      <c r="AB531" s="154"/>
      <c r="AC531" s="418"/>
      <c r="AD531" s="418"/>
      <c r="AE531" s="418"/>
      <c r="AF531" s="418"/>
      <c r="AG531" s="418"/>
      <c r="AH531" s="418"/>
      <c r="AI531" s="418"/>
      <c r="AJ531" s="418"/>
      <c r="AK531" s="418"/>
      <c r="AL531" s="418"/>
      <c r="AM531" s="418"/>
      <c r="AN531" s="418"/>
      <c r="AO531" s="418"/>
      <c r="AP531" s="418"/>
      <c r="AQ531" s="418"/>
      <c r="AR531" s="418"/>
      <c r="AS531" s="418"/>
      <c r="AT531" s="418"/>
      <c r="AU531" s="418"/>
      <c r="AV531" s="418"/>
      <c r="AW531" s="418"/>
      <c r="AX531" s="418"/>
      <c r="AY531" s="418"/>
      <c r="AZ531" s="418"/>
      <c r="BA531" s="418"/>
      <c r="BB531" s="154"/>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c r="BY531" s="115"/>
      <c r="BZ531" s="115"/>
      <c r="CA531" s="115"/>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5"/>
      <c r="DD531" s="115"/>
      <c r="DE531" s="115"/>
      <c r="DF531" s="115"/>
      <c r="DG531" s="115"/>
    </row>
    <row r="532" spans="1:111" ht="9" customHeight="1">
      <c r="A532" s="154"/>
      <c r="B532" s="154"/>
      <c r="C532" s="154"/>
      <c r="D532" s="154"/>
      <c r="E532" s="154"/>
      <c r="F532" s="154"/>
      <c r="G532" s="154"/>
      <c r="H532" s="154"/>
      <c r="I532" s="154"/>
      <c r="J532" s="154"/>
      <c r="K532" s="154"/>
      <c r="L532" s="154"/>
      <c r="M532" s="154"/>
      <c r="N532" s="154"/>
      <c r="O532" s="154"/>
      <c r="P532" s="154"/>
      <c r="Q532" s="417"/>
      <c r="R532" s="417"/>
      <c r="S532" s="417"/>
      <c r="T532" s="417"/>
      <c r="U532" s="154"/>
      <c r="V532" s="154"/>
      <c r="W532" s="154"/>
      <c r="X532" s="154"/>
      <c r="Y532" s="154"/>
      <c r="Z532" s="154"/>
      <c r="AA532" s="154"/>
      <c r="AB532" s="154"/>
      <c r="AC532" s="418"/>
      <c r="AD532" s="418"/>
      <c r="AE532" s="418"/>
      <c r="AF532" s="418"/>
      <c r="AG532" s="418"/>
      <c r="AH532" s="418"/>
      <c r="AI532" s="418"/>
      <c r="AJ532" s="418"/>
      <c r="AK532" s="418"/>
      <c r="AL532" s="418"/>
      <c r="AM532" s="418"/>
      <c r="AN532" s="418"/>
      <c r="AO532" s="418"/>
      <c r="AP532" s="418"/>
      <c r="AQ532" s="418"/>
      <c r="AR532" s="418"/>
      <c r="AS532" s="418"/>
      <c r="AT532" s="418"/>
      <c r="AU532" s="418"/>
      <c r="AV532" s="418"/>
      <c r="AW532" s="418"/>
      <c r="AX532" s="418"/>
      <c r="AY532" s="418"/>
      <c r="AZ532" s="418"/>
      <c r="BA532" s="418"/>
      <c r="BB532" s="154"/>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5"/>
      <c r="DD532" s="115"/>
      <c r="DE532" s="115"/>
      <c r="DF532" s="115"/>
      <c r="DG532" s="115"/>
    </row>
    <row r="533" spans="1:111" ht="4.5" customHeight="1">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c r="BY533" s="115"/>
      <c r="BZ533" s="115"/>
      <c r="CA533" s="115"/>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5"/>
      <c r="DD533" s="115"/>
      <c r="DE533" s="115"/>
      <c r="DF533" s="115"/>
      <c r="DG533" s="115"/>
    </row>
    <row r="534" spans="1:111" ht="9" customHeight="1">
      <c r="A534" s="154"/>
      <c r="B534" s="154"/>
      <c r="C534" s="154"/>
      <c r="D534" s="154"/>
      <c r="E534" s="154"/>
      <c r="F534" s="154"/>
      <c r="G534" s="154"/>
      <c r="H534" s="154"/>
      <c r="I534" s="154"/>
      <c r="J534" s="416" t="str">
        <f>IF(C516="","","Valor Unitário (R$):")</f>
        <v>Valor Unitário (R$):</v>
      </c>
      <c r="K534" s="416"/>
      <c r="L534" s="416"/>
      <c r="M534" s="416"/>
      <c r="N534" s="416"/>
      <c r="O534" s="416"/>
      <c r="P534" s="154"/>
      <c r="Q534" s="419">
        <v>213.23</v>
      </c>
      <c r="R534" s="419"/>
      <c r="S534" s="419"/>
      <c r="T534" s="419"/>
      <c r="U534" s="419"/>
      <c r="V534" s="419"/>
      <c r="W534" s="419"/>
      <c r="X534" s="419"/>
      <c r="Y534" s="154"/>
      <c r="Z534" s="416" t="str">
        <f>IF(C516="","",IF(J522="52 Equipamentos e Material Permanente","Tempo de Uso:",""))</f>
        <v>Tempo de Uso:</v>
      </c>
      <c r="AA534" s="416"/>
      <c r="AB534" s="416"/>
      <c r="AC534" s="416"/>
      <c r="AD534" s="416"/>
      <c r="AE534" s="416"/>
      <c r="AF534" s="154"/>
      <c r="AG534" s="420" t="s">
        <v>580</v>
      </c>
      <c r="AH534" s="420"/>
      <c r="AI534" s="420"/>
      <c r="AJ534" s="420"/>
      <c r="AK534" s="420"/>
      <c r="AL534" s="420"/>
      <c r="AM534" s="420"/>
      <c r="AN534" s="420"/>
      <c r="AO534" s="420"/>
      <c r="AP534" s="420"/>
      <c r="AQ534" s="420"/>
      <c r="AR534" s="420"/>
      <c r="AS534" s="420"/>
      <c r="AT534" s="420"/>
      <c r="AU534" s="420"/>
      <c r="AV534" s="420"/>
      <c r="AW534" s="420"/>
      <c r="AX534" s="420"/>
      <c r="AY534" s="420"/>
      <c r="AZ534" s="420"/>
      <c r="BA534" s="420"/>
      <c r="BB534" s="154"/>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row>
    <row r="535" spans="1:111" ht="9" customHeight="1">
      <c r="A535" s="154"/>
      <c r="B535" s="154"/>
      <c r="C535" s="154"/>
      <c r="D535" s="154"/>
      <c r="E535" s="154"/>
      <c r="F535" s="154"/>
      <c r="G535" s="154"/>
      <c r="H535" s="154"/>
      <c r="I535" s="154"/>
      <c r="J535" s="416"/>
      <c r="K535" s="416"/>
      <c r="L535" s="416"/>
      <c r="M535" s="416"/>
      <c r="N535" s="416"/>
      <c r="O535" s="416"/>
      <c r="P535" s="154"/>
      <c r="Q535" s="419"/>
      <c r="R535" s="419"/>
      <c r="S535" s="419"/>
      <c r="T535" s="419"/>
      <c r="U535" s="419"/>
      <c r="V535" s="419"/>
      <c r="W535" s="419"/>
      <c r="X535" s="419"/>
      <c r="Y535" s="154"/>
      <c r="Z535" s="416"/>
      <c r="AA535" s="416"/>
      <c r="AB535" s="416"/>
      <c r="AC535" s="416"/>
      <c r="AD535" s="416"/>
      <c r="AE535" s="416"/>
      <c r="AF535" s="154"/>
      <c r="AG535" s="420"/>
      <c r="AH535" s="420"/>
      <c r="AI535" s="420"/>
      <c r="AJ535" s="420"/>
      <c r="AK535" s="420"/>
      <c r="AL535" s="420"/>
      <c r="AM535" s="420"/>
      <c r="AN535" s="420"/>
      <c r="AO535" s="420"/>
      <c r="AP535" s="420"/>
      <c r="AQ535" s="420"/>
      <c r="AR535" s="420"/>
      <c r="AS535" s="420"/>
      <c r="AT535" s="420"/>
      <c r="AU535" s="420"/>
      <c r="AV535" s="420"/>
      <c r="AW535" s="420"/>
      <c r="AX535" s="420"/>
      <c r="AY535" s="420"/>
      <c r="AZ535" s="420"/>
      <c r="BA535" s="420"/>
      <c r="BB535" s="154"/>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c r="BY535" s="115"/>
      <c r="BZ535" s="115"/>
      <c r="CA535" s="115"/>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5"/>
      <c r="DD535" s="115"/>
      <c r="DE535" s="115"/>
      <c r="DF535" s="115"/>
      <c r="DG535" s="115"/>
    </row>
    <row r="536" spans="1:111" ht="9" customHeight="1">
      <c r="A536" s="154"/>
      <c r="B536" s="154"/>
      <c r="C536" s="154"/>
      <c r="D536" s="154"/>
      <c r="E536" s="154"/>
      <c r="F536" s="154"/>
      <c r="G536" s="154"/>
      <c r="H536" s="154"/>
      <c r="I536" s="154"/>
      <c r="J536" s="154"/>
      <c r="K536" s="154"/>
      <c r="L536" s="154"/>
      <c r="M536" s="154"/>
      <c r="N536" s="154"/>
      <c r="O536" s="154"/>
      <c r="P536" s="154"/>
      <c r="Q536" s="419"/>
      <c r="R536" s="419"/>
      <c r="S536" s="419"/>
      <c r="T536" s="419"/>
      <c r="U536" s="419"/>
      <c r="V536" s="419"/>
      <c r="W536" s="419"/>
      <c r="X536" s="419"/>
      <c r="Y536" s="154"/>
      <c r="Z536" s="154"/>
      <c r="AA536" s="154"/>
      <c r="AB536" s="154"/>
      <c r="AC536" s="154"/>
      <c r="AD536" s="154"/>
      <c r="AE536" s="154"/>
      <c r="AF536" s="154"/>
      <c r="AG536" s="420"/>
      <c r="AH536" s="420"/>
      <c r="AI536" s="420"/>
      <c r="AJ536" s="420"/>
      <c r="AK536" s="420"/>
      <c r="AL536" s="420"/>
      <c r="AM536" s="420"/>
      <c r="AN536" s="420"/>
      <c r="AO536" s="420"/>
      <c r="AP536" s="420"/>
      <c r="AQ536" s="420"/>
      <c r="AR536" s="420"/>
      <c r="AS536" s="420"/>
      <c r="AT536" s="420"/>
      <c r="AU536" s="420"/>
      <c r="AV536" s="420"/>
      <c r="AW536" s="420"/>
      <c r="AX536" s="420"/>
      <c r="AY536" s="420"/>
      <c r="AZ536" s="420"/>
      <c r="BA536" s="420"/>
      <c r="BB536" s="154"/>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c r="BY536" s="115"/>
      <c r="BZ536" s="115"/>
      <c r="CA536" s="115"/>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5"/>
      <c r="DD536" s="115"/>
      <c r="DE536" s="115"/>
      <c r="DF536" s="115"/>
      <c r="DG536" s="115"/>
    </row>
    <row r="537" spans="1:111" ht="4.5" customHeight="1">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c r="BY537" s="115"/>
      <c r="BZ537" s="115"/>
      <c r="CA537" s="115"/>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5"/>
      <c r="DD537" s="115"/>
      <c r="DE537" s="115"/>
      <c r="DF537" s="115"/>
      <c r="DG537" s="115"/>
    </row>
    <row r="538" spans="1:111" ht="9" customHeight="1">
      <c r="A538" s="154"/>
      <c r="B538" s="154"/>
      <c r="C538" s="154"/>
      <c r="D538" s="154"/>
      <c r="E538" s="154"/>
      <c r="F538" s="154"/>
      <c r="G538" s="154"/>
      <c r="H538" s="154"/>
      <c r="I538" s="154"/>
      <c r="J538" s="416" t="str">
        <f>IF(C516="","","Valor Total (R$):")</f>
        <v>Valor Total (R$):</v>
      </c>
      <c r="K538" s="416"/>
      <c r="L538" s="416"/>
      <c r="M538" s="416"/>
      <c r="N538" s="416"/>
      <c r="O538" s="416"/>
      <c r="P538" s="154"/>
      <c r="Q538" s="419">
        <f>IF(Q534="","",Q530*Q534)</f>
        <v>3411.68</v>
      </c>
      <c r="R538" s="419"/>
      <c r="S538" s="419"/>
      <c r="T538" s="419"/>
      <c r="U538" s="419"/>
      <c r="V538" s="419"/>
      <c r="W538" s="419"/>
      <c r="X538" s="419"/>
      <c r="Y538" s="154"/>
      <c r="Z538" s="416" t="str">
        <f>IF(C516="","",IF(J522="52 Equipamentos e Material Permanente","Justificativa e Utilização:",""))</f>
        <v>Justificativa e Utilização:</v>
      </c>
      <c r="AA538" s="416"/>
      <c r="AB538" s="416"/>
      <c r="AC538" s="416"/>
      <c r="AD538" s="416"/>
      <c r="AE538" s="416"/>
      <c r="AF538" s="154"/>
      <c r="AG538" s="420" t="s">
        <v>581</v>
      </c>
      <c r="AH538" s="420"/>
      <c r="AI538" s="420"/>
      <c r="AJ538" s="420"/>
      <c r="AK538" s="420"/>
      <c r="AL538" s="420"/>
      <c r="AM538" s="420"/>
      <c r="AN538" s="420"/>
      <c r="AO538" s="420"/>
      <c r="AP538" s="420"/>
      <c r="AQ538" s="420"/>
      <c r="AR538" s="420"/>
      <c r="AS538" s="420"/>
      <c r="AT538" s="420"/>
      <c r="AU538" s="420"/>
      <c r="AV538" s="420"/>
      <c r="AW538" s="420"/>
      <c r="AX538" s="420"/>
      <c r="AY538" s="420"/>
      <c r="AZ538" s="420"/>
      <c r="BA538" s="420"/>
      <c r="BB538" s="154"/>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c r="BY538" s="115"/>
      <c r="BZ538" s="115"/>
      <c r="CA538" s="115"/>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c r="DF538" s="115"/>
      <c r="DG538" s="115"/>
    </row>
    <row r="539" spans="1:111" ht="9" customHeight="1">
      <c r="A539" s="154"/>
      <c r="B539" s="154"/>
      <c r="C539" s="154"/>
      <c r="D539" s="154"/>
      <c r="E539" s="154"/>
      <c r="F539" s="154"/>
      <c r="G539" s="154"/>
      <c r="H539" s="154"/>
      <c r="I539" s="154"/>
      <c r="J539" s="416"/>
      <c r="K539" s="416"/>
      <c r="L539" s="416"/>
      <c r="M539" s="416"/>
      <c r="N539" s="416"/>
      <c r="O539" s="416"/>
      <c r="P539" s="154"/>
      <c r="Q539" s="419"/>
      <c r="R539" s="419"/>
      <c r="S539" s="419"/>
      <c r="T539" s="419"/>
      <c r="U539" s="419"/>
      <c r="V539" s="419"/>
      <c r="W539" s="419"/>
      <c r="X539" s="419"/>
      <c r="Y539" s="154"/>
      <c r="Z539" s="416"/>
      <c r="AA539" s="416"/>
      <c r="AB539" s="416"/>
      <c r="AC539" s="416"/>
      <c r="AD539" s="416"/>
      <c r="AE539" s="416"/>
      <c r="AF539" s="154"/>
      <c r="AG539" s="420"/>
      <c r="AH539" s="420"/>
      <c r="AI539" s="420"/>
      <c r="AJ539" s="420"/>
      <c r="AK539" s="420"/>
      <c r="AL539" s="420"/>
      <c r="AM539" s="420"/>
      <c r="AN539" s="420"/>
      <c r="AO539" s="420"/>
      <c r="AP539" s="420"/>
      <c r="AQ539" s="420"/>
      <c r="AR539" s="420"/>
      <c r="AS539" s="420"/>
      <c r="AT539" s="420"/>
      <c r="AU539" s="420"/>
      <c r="AV539" s="420"/>
      <c r="AW539" s="420"/>
      <c r="AX539" s="420"/>
      <c r="AY539" s="420"/>
      <c r="AZ539" s="420"/>
      <c r="BA539" s="420"/>
      <c r="BB539" s="154"/>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c r="BY539" s="115"/>
      <c r="BZ539" s="115"/>
      <c r="CA539" s="115"/>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c r="DF539" s="115"/>
      <c r="DG539" s="115"/>
    </row>
    <row r="540" spans="1:111" ht="9" customHeight="1">
      <c r="A540" s="154"/>
      <c r="B540" s="154"/>
      <c r="C540" s="154"/>
      <c r="D540" s="154"/>
      <c r="E540" s="154"/>
      <c r="F540" s="154"/>
      <c r="G540" s="154"/>
      <c r="H540" s="154"/>
      <c r="I540" s="154"/>
      <c r="J540" s="154"/>
      <c r="K540" s="154"/>
      <c r="L540" s="154"/>
      <c r="M540" s="154"/>
      <c r="N540" s="154"/>
      <c r="O540" s="154"/>
      <c r="P540" s="154"/>
      <c r="Q540" s="419"/>
      <c r="R540" s="419"/>
      <c r="S540" s="419"/>
      <c r="T540" s="419"/>
      <c r="U540" s="419"/>
      <c r="V540" s="419"/>
      <c r="W540" s="419"/>
      <c r="X540" s="419"/>
      <c r="Y540" s="154"/>
      <c r="Z540" s="154"/>
      <c r="AA540" s="154"/>
      <c r="AB540" s="154"/>
      <c r="AC540" s="154"/>
      <c r="AD540" s="154"/>
      <c r="AE540" s="154"/>
      <c r="AF540" s="154"/>
      <c r="AG540" s="420"/>
      <c r="AH540" s="420"/>
      <c r="AI540" s="420"/>
      <c r="AJ540" s="420"/>
      <c r="AK540" s="420"/>
      <c r="AL540" s="420"/>
      <c r="AM540" s="420"/>
      <c r="AN540" s="420"/>
      <c r="AO540" s="420"/>
      <c r="AP540" s="420"/>
      <c r="AQ540" s="420"/>
      <c r="AR540" s="420"/>
      <c r="AS540" s="420"/>
      <c r="AT540" s="420"/>
      <c r="AU540" s="420"/>
      <c r="AV540" s="420"/>
      <c r="AW540" s="420"/>
      <c r="AX540" s="420"/>
      <c r="AY540" s="420"/>
      <c r="AZ540" s="420"/>
      <c r="BA540" s="420"/>
      <c r="BB540" s="154"/>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c r="BY540" s="115"/>
      <c r="BZ540" s="115"/>
      <c r="CA540" s="115"/>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row>
    <row r="541" spans="1:111" ht="9" customHeight="1">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420"/>
      <c r="AH541" s="420"/>
      <c r="AI541" s="420"/>
      <c r="AJ541" s="420"/>
      <c r="AK541" s="420"/>
      <c r="AL541" s="420"/>
      <c r="AM541" s="420"/>
      <c r="AN541" s="420"/>
      <c r="AO541" s="420"/>
      <c r="AP541" s="420"/>
      <c r="AQ541" s="420"/>
      <c r="AR541" s="420"/>
      <c r="AS541" s="420"/>
      <c r="AT541" s="420"/>
      <c r="AU541" s="420"/>
      <c r="AV541" s="420"/>
      <c r="AW541" s="420"/>
      <c r="AX541" s="420"/>
      <c r="AY541" s="420"/>
      <c r="AZ541" s="420"/>
      <c r="BA541" s="420"/>
      <c r="BB541" s="154"/>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row>
    <row r="542" spans="1:111" ht="9" customHeight="1">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420"/>
      <c r="AH542" s="420"/>
      <c r="AI542" s="420"/>
      <c r="AJ542" s="420"/>
      <c r="AK542" s="420"/>
      <c r="AL542" s="420"/>
      <c r="AM542" s="420"/>
      <c r="AN542" s="420"/>
      <c r="AO542" s="420"/>
      <c r="AP542" s="420"/>
      <c r="AQ542" s="420"/>
      <c r="AR542" s="420"/>
      <c r="AS542" s="420"/>
      <c r="AT542" s="420"/>
      <c r="AU542" s="420"/>
      <c r="AV542" s="420"/>
      <c r="AW542" s="420"/>
      <c r="AX542" s="420"/>
      <c r="AY542" s="420"/>
      <c r="AZ542" s="420"/>
      <c r="BA542" s="420"/>
      <c r="BB542" s="154"/>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row>
    <row r="543" spans="1:111" ht="9" customHeight="1">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420"/>
      <c r="AH543" s="420"/>
      <c r="AI543" s="420"/>
      <c r="AJ543" s="420"/>
      <c r="AK543" s="420"/>
      <c r="AL543" s="420"/>
      <c r="AM543" s="420"/>
      <c r="AN543" s="420"/>
      <c r="AO543" s="420"/>
      <c r="AP543" s="420"/>
      <c r="AQ543" s="420"/>
      <c r="AR543" s="420"/>
      <c r="AS543" s="420"/>
      <c r="AT543" s="420"/>
      <c r="AU543" s="420"/>
      <c r="AV543" s="420"/>
      <c r="AW543" s="420"/>
      <c r="AX543" s="420"/>
      <c r="AY543" s="420"/>
      <c r="AZ543" s="420"/>
      <c r="BA543" s="420"/>
      <c r="BB543" s="154"/>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c r="BY543" s="115"/>
      <c r="BZ543" s="115"/>
      <c r="CA543" s="115"/>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5"/>
      <c r="DD543" s="115"/>
      <c r="DE543" s="115"/>
      <c r="DF543" s="115"/>
      <c r="DG543" s="115"/>
    </row>
    <row r="544" spans="1:111" ht="15" customHeight="1">
      <c r="B544" s="55"/>
      <c r="C544" s="55"/>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141"/>
      <c r="AL544" s="141"/>
      <c r="AM544" s="141"/>
      <c r="AN544" s="141"/>
      <c r="AO544" s="140"/>
      <c r="AP544" s="140"/>
      <c r="AQ544" s="140"/>
      <c r="AR544" s="140"/>
      <c r="AS544" s="142"/>
      <c r="AT544" s="142"/>
      <c r="AU544" s="142"/>
      <c r="AV544" s="142"/>
      <c r="AW544" s="140"/>
      <c r="AX544" s="140"/>
      <c r="AY544" s="140"/>
      <c r="AZ544" s="140"/>
      <c r="BA544" s="140"/>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c r="BY544" s="115"/>
      <c r="BZ544" s="115"/>
      <c r="CA544" s="115"/>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5"/>
      <c r="DD544" s="115"/>
      <c r="DE544" s="115"/>
      <c r="DF544" s="115"/>
      <c r="DG544" s="115"/>
    </row>
    <row r="545" spans="1:111" ht="15" customHeight="1">
      <c r="B545" s="55"/>
      <c r="C545" s="422" t="str">
        <f>IF($AA$165&gt;=14,"DESPESA 14","")</f>
        <v>DESPESA 14</v>
      </c>
      <c r="D545" s="422"/>
      <c r="E545" s="422"/>
      <c r="F545" s="422"/>
      <c r="G545" s="422"/>
      <c r="H545" s="422"/>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141"/>
      <c r="AL545" s="141"/>
      <c r="AM545" s="141"/>
      <c r="AN545" s="141"/>
      <c r="AO545" s="140"/>
      <c r="AP545" s="140"/>
      <c r="AQ545" s="140"/>
      <c r="AR545" s="140"/>
      <c r="AS545" s="142"/>
      <c r="AT545" s="142"/>
      <c r="AU545" s="142"/>
      <c r="AV545" s="142"/>
      <c r="AW545" s="140"/>
      <c r="AX545" s="140"/>
      <c r="AY545" s="140"/>
      <c r="AZ545" s="140"/>
      <c r="BA545" s="140"/>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row>
    <row r="546" spans="1:111" ht="4.5" customHeight="1">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c r="BY546" s="115"/>
      <c r="BZ546" s="115"/>
      <c r="CA546" s="115"/>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row>
    <row r="547" spans="1:111" ht="9" customHeight="1">
      <c r="C547" s="416" t="str">
        <f>IF(C545="","","Descrição da Despesa:")</f>
        <v>Descrição da Despesa:</v>
      </c>
      <c r="D547" s="416"/>
      <c r="E547" s="416"/>
      <c r="F547" s="416"/>
      <c r="G547" s="416"/>
      <c r="H547" s="416"/>
      <c r="I547" s="60"/>
      <c r="J547" s="421" t="s">
        <v>578</v>
      </c>
      <c r="K547" s="421"/>
      <c r="L547" s="421"/>
      <c r="M547" s="421"/>
      <c r="N547" s="421"/>
      <c r="O547" s="421"/>
      <c r="P547" s="421"/>
      <c r="Q547" s="421"/>
      <c r="R547" s="421"/>
      <c r="S547" s="421"/>
      <c r="T547" s="421"/>
      <c r="U547" s="421"/>
      <c r="V547" s="421"/>
      <c r="W547" s="421"/>
      <c r="X547" s="421"/>
      <c r="Y547" s="421"/>
      <c r="Z547" s="421"/>
      <c r="AA547" s="421"/>
      <c r="AB547" s="421"/>
      <c r="AC547" s="421"/>
      <c r="AD547" s="421"/>
      <c r="AE547" s="421"/>
      <c r="AF547" s="421"/>
      <c r="AG547" s="421"/>
      <c r="AH547" s="421"/>
      <c r="AI547" s="421"/>
      <c r="AJ547" s="421"/>
      <c r="AK547" s="421"/>
      <c r="AL547" s="421"/>
      <c r="AM547" s="421"/>
      <c r="AN547" s="421"/>
      <c r="AO547" s="421"/>
      <c r="AP547" s="421"/>
      <c r="AQ547" s="421"/>
      <c r="AR547" s="421"/>
      <c r="AS547" s="421"/>
      <c r="AT547" s="421"/>
      <c r="AU547" s="421"/>
      <c r="AV547" s="421"/>
      <c r="AW547" s="421"/>
      <c r="AX547" s="421"/>
      <c r="AY547" s="421"/>
      <c r="AZ547" s="421"/>
      <c r="BA547" s="421"/>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c r="BY547" s="115"/>
      <c r="BZ547" s="115"/>
      <c r="CA547" s="115"/>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row>
    <row r="548" spans="1:111" ht="9" customHeight="1">
      <c r="C548" s="416"/>
      <c r="D548" s="416"/>
      <c r="E548" s="416"/>
      <c r="F548" s="416"/>
      <c r="G548" s="416"/>
      <c r="H548" s="416"/>
      <c r="I548" s="60"/>
      <c r="J548" s="421"/>
      <c r="K548" s="421"/>
      <c r="L548" s="421"/>
      <c r="M548" s="421"/>
      <c r="N548" s="421"/>
      <c r="O548" s="421"/>
      <c r="P548" s="421"/>
      <c r="Q548" s="421"/>
      <c r="R548" s="421"/>
      <c r="S548" s="421"/>
      <c r="T548" s="421"/>
      <c r="U548" s="421"/>
      <c r="V548" s="421"/>
      <c r="W548" s="421"/>
      <c r="X548" s="421"/>
      <c r="Y548" s="421"/>
      <c r="Z548" s="421"/>
      <c r="AA548" s="421"/>
      <c r="AB548" s="421"/>
      <c r="AC548" s="421"/>
      <c r="AD548" s="421"/>
      <c r="AE548" s="421"/>
      <c r="AF548" s="421"/>
      <c r="AG548" s="421"/>
      <c r="AH548" s="421"/>
      <c r="AI548" s="421"/>
      <c r="AJ548" s="421"/>
      <c r="AK548" s="421"/>
      <c r="AL548" s="421"/>
      <c r="AM548" s="421"/>
      <c r="AN548" s="421"/>
      <c r="AO548" s="421"/>
      <c r="AP548" s="421"/>
      <c r="AQ548" s="421"/>
      <c r="AR548" s="421"/>
      <c r="AS548" s="421"/>
      <c r="AT548" s="421"/>
      <c r="AU548" s="421"/>
      <c r="AV548" s="421"/>
      <c r="AW548" s="421"/>
      <c r="AX548" s="421"/>
      <c r="AY548" s="421"/>
      <c r="AZ548" s="421"/>
      <c r="BA548" s="421"/>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c r="BY548" s="115"/>
      <c r="BZ548" s="115"/>
      <c r="CA548" s="115"/>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5"/>
      <c r="DD548" s="115"/>
      <c r="DE548" s="115"/>
      <c r="DF548" s="115"/>
      <c r="DG548" s="115"/>
    </row>
    <row r="549" spans="1:111" ht="9" customHeight="1">
      <c r="C549" s="416"/>
      <c r="D549" s="416"/>
      <c r="E549" s="416"/>
      <c r="F549" s="416"/>
      <c r="G549" s="416"/>
      <c r="H549" s="416"/>
      <c r="I549" s="60"/>
      <c r="J549" s="421"/>
      <c r="K549" s="421"/>
      <c r="L549" s="421"/>
      <c r="M549" s="421"/>
      <c r="N549" s="421"/>
      <c r="O549" s="421"/>
      <c r="P549" s="421"/>
      <c r="Q549" s="421"/>
      <c r="R549" s="421"/>
      <c r="S549" s="421"/>
      <c r="T549" s="421"/>
      <c r="U549" s="421"/>
      <c r="V549" s="421"/>
      <c r="W549" s="421"/>
      <c r="X549" s="421"/>
      <c r="Y549" s="421"/>
      <c r="Z549" s="421"/>
      <c r="AA549" s="421"/>
      <c r="AB549" s="421"/>
      <c r="AC549" s="421"/>
      <c r="AD549" s="421"/>
      <c r="AE549" s="421"/>
      <c r="AF549" s="421"/>
      <c r="AG549" s="421"/>
      <c r="AH549" s="421"/>
      <c r="AI549" s="421"/>
      <c r="AJ549" s="421"/>
      <c r="AK549" s="421"/>
      <c r="AL549" s="421"/>
      <c r="AM549" s="421"/>
      <c r="AN549" s="421"/>
      <c r="AO549" s="421"/>
      <c r="AP549" s="421"/>
      <c r="AQ549" s="421"/>
      <c r="AR549" s="421"/>
      <c r="AS549" s="421"/>
      <c r="AT549" s="421"/>
      <c r="AU549" s="421"/>
      <c r="AV549" s="421"/>
      <c r="AW549" s="421"/>
      <c r="AX549" s="421"/>
      <c r="AY549" s="421"/>
      <c r="AZ549" s="421"/>
      <c r="BA549" s="421"/>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c r="BY549" s="115"/>
      <c r="BZ549" s="115"/>
      <c r="CA549" s="115"/>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5"/>
      <c r="DD549" s="115"/>
      <c r="DE549" s="115"/>
      <c r="DF549" s="115"/>
      <c r="DG549" s="115"/>
    </row>
    <row r="550" spans="1:111" ht="4.5" customHeight="1">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c r="BY550" s="115"/>
      <c r="BZ550" s="115"/>
      <c r="CA550" s="115"/>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5"/>
      <c r="DD550" s="115"/>
      <c r="DE550" s="115"/>
      <c r="DF550" s="115"/>
      <c r="DG550" s="115"/>
    </row>
    <row r="551" spans="1:111" ht="9" customHeight="1">
      <c r="C551" s="416" t="str">
        <f>IF(C545="","","Elemento de Despesa:")</f>
        <v>Elemento de Despesa:</v>
      </c>
      <c r="D551" s="416"/>
      <c r="E551" s="416"/>
      <c r="F551" s="416"/>
      <c r="G551" s="416"/>
      <c r="H551" s="416"/>
      <c r="J551" s="421" t="s">
        <v>226</v>
      </c>
      <c r="K551" s="421"/>
      <c r="L551" s="421"/>
      <c r="M551" s="421"/>
      <c r="N551" s="421"/>
      <c r="O551" s="421"/>
      <c r="P551" s="421"/>
      <c r="Q551" s="421"/>
      <c r="R551" s="421"/>
      <c r="S551" s="421"/>
      <c r="T551" s="421"/>
      <c r="U551" s="421"/>
      <c r="V551" s="421"/>
      <c r="W551" s="421"/>
      <c r="X551" s="421"/>
      <c r="Y551" s="421"/>
      <c r="Z551" s="421"/>
      <c r="AA551" s="421"/>
      <c r="AB551" s="421"/>
      <c r="AC551" s="421"/>
      <c r="AD551" s="421"/>
      <c r="AE551" s="421"/>
      <c r="AF551" s="421"/>
      <c r="AG551" s="421"/>
      <c r="AH551" s="421"/>
      <c r="AI551" s="421"/>
      <c r="AJ551" s="421"/>
      <c r="AK551" s="421"/>
      <c r="AL551" s="421"/>
      <c r="AM551" s="421"/>
      <c r="AN551" s="421"/>
      <c r="AO551" s="421"/>
      <c r="AP551" s="421"/>
      <c r="AQ551" s="421"/>
      <c r="AR551" s="421"/>
      <c r="AS551" s="421"/>
      <c r="AT551" s="421"/>
      <c r="AU551" s="421"/>
      <c r="AV551" s="421"/>
      <c r="AW551" s="421"/>
      <c r="AX551" s="421"/>
      <c r="AY551" s="421"/>
      <c r="AZ551" s="421"/>
      <c r="BA551" s="421"/>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c r="BY551" s="115"/>
      <c r="BZ551" s="115"/>
      <c r="CA551" s="115"/>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5"/>
      <c r="DD551" s="115"/>
      <c r="DE551" s="115"/>
      <c r="DF551" s="115"/>
      <c r="DG551" s="115"/>
    </row>
    <row r="552" spans="1:111" ht="9" customHeight="1">
      <c r="C552" s="416"/>
      <c r="D552" s="416"/>
      <c r="E552" s="416"/>
      <c r="F552" s="416"/>
      <c r="G552" s="416"/>
      <c r="H552" s="416"/>
      <c r="J552" s="421"/>
      <c r="K552" s="421"/>
      <c r="L552" s="421"/>
      <c r="M552" s="421"/>
      <c r="N552" s="421"/>
      <c r="O552" s="421"/>
      <c r="P552" s="421"/>
      <c r="Q552" s="421"/>
      <c r="R552" s="421"/>
      <c r="S552" s="421"/>
      <c r="T552" s="421"/>
      <c r="U552" s="421"/>
      <c r="V552" s="421"/>
      <c r="W552" s="421"/>
      <c r="X552" s="421"/>
      <c r="Y552" s="421"/>
      <c r="Z552" s="421"/>
      <c r="AA552" s="421"/>
      <c r="AB552" s="421"/>
      <c r="AC552" s="421"/>
      <c r="AD552" s="421"/>
      <c r="AE552" s="421"/>
      <c r="AF552" s="421"/>
      <c r="AG552" s="421"/>
      <c r="AH552" s="421"/>
      <c r="AI552" s="421"/>
      <c r="AJ552" s="421"/>
      <c r="AK552" s="421"/>
      <c r="AL552" s="421"/>
      <c r="AM552" s="421"/>
      <c r="AN552" s="421"/>
      <c r="AO552" s="421"/>
      <c r="AP552" s="421"/>
      <c r="AQ552" s="421"/>
      <c r="AR552" s="421"/>
      <c r="AS552" s="421"/>
      <c r="AT552" s="421"/>
      <c r="AU552" s="421"/>
      <c r="AV552" s="421"/>
      <c r="AW552" s="421"/>
      <c r="AX552" s="421"/>
      <c r="AY552" s="421"/>
      <c r="AZ552" s="421"/>
      <c r="BA552" s="421"/>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row>
    <row r="553" spans="1:111" ht="9" customHeight="1">
      <c r="C553" s="416"/>
      <c r="D553" s="416"/>
      <c r="E553" s="416"/>
      <c r="F553" s="416"/>
      <c r="G553" s="416"/>
      <c r="H553" s="416"/>
      <c r="J553" s="421"/>
      <c r="K553" s="421"/>
      <c r="L553" s="421"/>
      <c r="M553" s="421"/>
      <c r="N553" s="421"/>
      <c r="O553" s="421"/>
      <c r="P553" s="421"/>
      <c r="Q553" s="421"/>
      <c r="R553" s="421"/>
      <c r="S553" s="421"/>
      <c r="T553" s="421"/>
      <c r="U553" s="421"/>
      <c r="V553" s="421"/>
      <c r="W553" s="421"/>
      <c r="X553" s="421"/>
      <c r="Y553" s="421"/>
      <c r="Z553" s="421"/>
      <c r="AA553" s="421"/>
      <c r="AB553" s="421"/>
      <c r="AC553" s="421"/>
      <c r="AD553" s="421"/>
      <c r="AE553" s="421"/>
      <c r="AF553" s="421"/>
      <c r="AG553" s="421"/>
      <c r="AH553" s="421"/>
      <c r="AI553" s="421"/>
      <c r="AJ553" s="421"/>
      <c r="AK553" s="421"/>
      <c r="AL553" s="421"/>
      <c r="AM553" s="421"/>
      <c r="AN553" s="421"/>
      <c r="AO553" s="421"/>
      <c r="AP553" s="421"/>
      <c r="AQ553" s="421"/>
      <c r="AR553" s="421"/>
      <c r="AS553" s="421"/>
      <c r="AT553" s="421"/>
      <c r="AU553" s="421"/>
      <c r="AV553" s="421"/>
      <c r="AW553" s="421"/>
      <c r="AX553" s="421"/>
      <c r="AY553" s="421"/>
      <c r="AZ553" s="421"/>
      <c r="BA553" s="421"/>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row>
    <row r="554" spans="1:111" ht="4.5" customHeight="1">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row>
    <row r="555" spans="1:111" ht="9" customHeight="1">
      <c r="A555" s="61" t="str">
        <f>CONCATENATE(Q555,AC555)</f>
        <v>43</v>
      </c>
      <c r="J555" s="416" t="str">
        <f>IF(C545="","","Meta Vinculada:")</f>
        <v>Meta Vinculada:</v>
      </c>
      <c r="K555" s="416"/>
      <c r="L555" s="416"/>
      <c r="M555" s="416"/>
      <c r="N555" s="416"/>
      <c r="O555" s="416"/>
      <c r="Q555" s="417">
        <v>4</v>
      </c>
      <c r="R555" s="417"/>
      <c r="S555" s="417"/>
      <c r="T555" s="417"/>
      <c r="U555" s="56"/>
      <c r="V555" s="416" t="str">
        <f>IF(C545="","","Etapa Vinculada:")</f>
        <v>Etapa Vinculada:</v>
      </c>
      <c r="W555" s="416"/>
      <c r="X555" s="416"/>
      <c r="Y555" s="416"/>
      <c r="Z555" s="416"/>
      <c r="AA555" s="416"/>
      <c r="AC555" s="417">
        <v>3</v>
      </c>
      <c r="AD555" s="417"/>
      <c r="AE555" s="417"/>
      <c r="AF555" s="417"/>
      <c r="AG555" s="56"/>
      <c r="AH555" s="56"/>
      <c r="AI555" s="56"/>
      <c r="AJ555" s="56"/>
      <c r="AK555" s="141"/>
      <c r="AL555" s="141"/>
      <c r="AM555" s="141"/>
      <c r="AN555" s="141"/>
      <c r="AO555" s="140"/>
      <c r="AP555" s="140"/>
      <c r="AQ555" s="140"/>
      <c r="AR555" s="140"/>
      <c r="AS555" s="142"/>
      <c r="AT555" s="142"/>
      <c r="AU555" s="142"/>
      <c r="AV555" s="142"/>
      <c r="AW555" s="140"/>
      <c r="AX555" s="140"/>
      <c r="AY555" s="140"/>
      <c r="AZ555" s="140"/>
      <c r="BA555" s="140"/>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row>
    <row r="556" spans="1:111" ht="9" customHeight="1">
      <c r="B556" s="55"/>
      <c r="C556" s="55"/>
      <c r="D556" s="56"/>
      <c r="E556" s="56"/>
      <c r="F556" s="56"/>
      <c r="G556" s="56"/>
      <c r="H556" s="56"/>
      <c r="I556" s="56"/>
      <c r="J556" s="416"/>
      <c r="K556" s="416"/>
      <c r="L556" s="416"/>
      <c r="M556" s="416"/>
      <c r="N556" s="416"/>
      <c r="O556" s="416"/>
      <c r="Q556" s="417"/>
      <c r="R556" s="417"/>
      <c r="S556" s="417"/>
      <c r="T556" s="417"/>
      <c r="U556" s="56"/>
      <c r="V556" s="416"/>
      <c r="W556" s="416"/>
      <c r="X556" s="416"/>
      <c r="Y556" s="416"/>
      <c r="Z556" s="416"/>
      <c r="AA556" s="416"/>
      <c r="AC556" s="417"/>
      <c r="AD556" s="417"/>
      <c r="AE556" s="417"/>
      <c r="AF556" s="417"/>
      <c r="AG556" s="56"/>
      <c r="AH556" s="56"/>
      <c r="AI556" s="56"/>
      <c r="AJ556" s="56"/>
      <c r="AK556" s="141"/>
      <c r="AL556" s="141"/>
      <c r="AM556" s="141"/>
      <c r="AN556" s="141"/>
      <c r="AO556" s="140"/>
      <c r="AP556" s="140"/>
      <c r="AQ556" s="140"/>
      <c r="AR556" s="140"/>
      <c r="AS556" s="142"/>
      <c r="AT556" s="142"/>
      <c r="AU556" s="142"/>
      <c r="AV556" s="142"/>
      <c r="AW556" s="140"/>
      <c r="AX556" s="140"/>
      <c r="AY556" s="140"/>
      <c r="AZ556" s="140"/>
      <c r="BA556" s="140"/>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row>
    <row r="557" spans="1:111" ht="9" customHeight="1">
      <c r="Q557" s="417"/>
      <c r="R557" s="417"/>
      <c r="S557" s="417"/>
      <c r="T557" s="417"/>
      <c r="AC557" s="417"/>
      <c r="AD557" s="417"/>
      <c r="AE557" s="417"/>
      <c r="AF557" s="417"/>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row>
    <row r="558" spans="1:111" ht="4.5" customHeight="1">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row>
    <row r="559" spans="1:111" ht="9" customHeight="1">
      <c r="A559" s="154"/>
      <c r="B559" s="154"/>
      <c r="C559" s="154"/>
      <c r="D559" s="154"/>
      <c r="E559" s="154"/>
      <c r="F559" s="154"/>
      <c r="G559" s="154"/>
      <c r="H559" s="154"/>
      <c r="I559" s="154"/>
      <c r="J559" s="416" t="str">
        <f>IF(C545="","","Quantidade:")</f>
        <v>Quantidade:</v>
      </c>
      <c r="K559" s="416"/>
      <c r="L559" s="416"/>
      <c r="M559" s="416"/>
      <c r="N559" s="416"/>
      <c r="O559" s="416"/>
      <c r="P559" s="154"/>
      <c r="Q559" s="417">
        <v>1</v>
      </c>
      <c r="R559" s="417"/>
      <c r="S559" s="417"/>
      <c r="T559" s="417"/>
      <c r="U559" s="154"/>
      <c r="V559" s="416" t="str">
        <f>IF(C545="","","Unidade:")</f>
        <v>Unidade:</v>
      </c>
      <c r="W559" s="416"/>
      <c r="X559" s="416"/>
      <c r="Y559" s="416"/>
      <c r="Z559" s="416"/>
      <c r="AA559" s="416"/>
      <c r="AB559" s="154"/>
      <c r="AC559" s="418" t="s">
        <v>583</v>
      </c>
      <c r="AD559" s="418"/>
      <c r="AE559" s="418"/>
      <c r="AF559" s="418"/>
      <c r="AG559" s="418"/>
      <c r="AH559" s="418"/>
      <c r="AI559" s="418"/>
      <c r="AJ559" s="418"/>
      <c r="AK559" s="418"/>
      <c r="AL559" s="418"/>
      <c r="AM559" s="418"/>
      <c r="AN559" s="418"/>
      <c r="AO559" s="418"/>
      <c r="AP559" s="418"/>
      <c r="AQ559" s="418"/>
      <c r="AR559" s="418"/>
      <c r="AS559" s="418"/>
      <c r="AT559" s="418"/>
      <c r="AU559" s="418"/>
      <c r="AV559" s="418"/>
      <c r="AW559" s="418"/>
      <c r="AX559" s="418"/>
      <c r="AY559" s="418"/>
      <c r="AZ559" s="418"/>
      <c r="BA559" s="418"/>
      <c r="BB559" s="154"/>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c r="BY559" s="115"/>
      <c r="BZ559" s="115"/>
      <c r="CA559" s="115"/>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5"/>
      <c r="DD559" s="115"/>
      <c r="DE559" s="115"/>
      <c r="DF559" s="115"/>
      <c r="DG559" s="115"/>
    </row>
    <row r="560" spans="1:111" ht="9" customHeight="1">
      <c r="A560" s="154"/>
      <c r="B560" s="154"/>
      <c r="C560" s="154"/>
      <c r="D560" s="154"/>
      <c r="E560" s="154"/>
      <c r="F560" s="154"/>
      <c r="G560" s="154"/>
      <c r="H560" s="154"/>
      <c r="I560" s="154"/>
      <c r="J560" s="416"/>
      <c r="K560" s="416"/>
      <c r="L560" s="416"/>
      <c r="M560" s="416"/>
      <c r="N560" s="416"/>
      <c r="O560" s="416"/>
      <c r="P560" s="154"/>
      <c r="Q560" s="417"/>
      <c r="R560" s="417"/>
      <c r="S560" s="417"/>
      <c r="T560" s="417"/>
      <c r="U560" s="154"/>
      <c r="V560" s="416"/>
      <c r="W560" s="416"/>
      <c r="X560" s="416"/>
      <c r="Y560" s="416"/>
      <c r="Z560" s="416"/>
      <c r="AA560" s="416"/>
      <c r="AB560" s="154"/>
      <c r="AC560" s="418"/>
      <c r="AD560" s="418"/>
      <c r="AE560" s="418"/>
      <c r="AF560" s="418"/>
      <c r="AG560" s="418"/>
      <c r="AH560" s="418"/>
      <c r="AI560" s="418"/>
      <c r="AJ560" s="418"/>
      <c r="AK560" s="418"/>
      <c r="AL560" s="418"/>
      <c r="AM560" s="418"/>
      <c r="AN560" s="418"/>
      <c r="AO560" s="418"/>
      <c r="AP560" s="418"/>
      <c r="AQ560" s="418"/>
      <c r="AR560" s="418"/>
      <c r="AS560" s="418"/>
      <c r="AT560" s="418"/>
      <c r="AU560" s="418"/>
      <c r="AV560" s="418"/>
      <c r="AW560" s="418"/>
      <c r="AX560" s="418"/>
      <c r="AY560" s="418"/>
      <c r="AZ560" s="418"/>
      <c r="BA560" s="418"/>
      <c r="BB560" s="154"/>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c r="BY560" s="115"/>
      <c r="BZ560" s="115"/>
      <c r="CA560" s="115"/>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row>
    <row r="561" spans="1:111" ht="9" customHeight="1">
      <c r="A561" s="154"/>
      <c r="B561" s="154"/>
      <c r="C561" s="154"/>
      <c r="D561" s="154"/>
      <c r="E561" s="154"/>
      <c r="F561" s="154"/>
      <c r="G561" s="154"/>
      <c r="H561" s="154"/>
      <c r="I561" s="154"/>
      <c r="J561" s="154"/>
      <c r="K561" s="154"/>
      <c r="L561" s="154"/>
      <c r="M561" s="154"/>
      <c r="N561" s="154"/>
      <c r="O561" s="154"/>
      <c r="P561" s="154"/>
      <c r="Q561" s="417"/>
      <c r="R561" s="417"/>
      <c r="S561" s="417"/>
      <c r="T561" s="417"/>
      <c r="U561" s="154"/>
      <c r="V561" s="154"/>
      <c r="W561" s="154"/>
      <c r="X561" s="154"/>
      <c r="Y561" s="154"/>
      <c r="Z561" s="154"/>
      <c r="AA561" s="154"/>
      <c r="AB561" s="154"/>
      <c r="AC561" s="418"/>
      <c r="AD561" s="418"/>
      <c r="AE561" s="418"/>
      <c r="AF561" s="418"/>
      <c r="AG561" s="418"/>
      <c r="AH561" s="418"/>
      <c r="AI561" s="418"/>
      <c r="AJ561" s="418"/>
      <c r="AK561" s="418"/>
      <c r="AL561" s="418"/>
      <c r="AM561" s="418"/>
      <c r="AN561" s="418"/>
      <c r="AO561" s="418"/>
      <c r="AP561" s="418"/>
      <c r="AQ561" s="418"/>
      <c r="AR561" s="418"/>
      <c r="AS561" s="418"/>
      <c r="AT561" s="418"/>
      <c r="AU561" s="418"/>
      <c r="AV561" s="418"/>
      <c r="AW561" s="418"/>
      <c r="AX561" s="418"/>
      <c r="AY561" s="418"/>
      <c r="AZ561" s="418"/>
      <c r="BA561" s="418"/>
      <c r="BB561" s="154"/>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c r="BY561" s="115"/>
      <c r="BZ561" s="115"/>
      <c r="CA561" s="115"/>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5"/>
      <c r="DD561" s="115"/>
      <c r="DE561" s="115"/>
      <c r="DF561" s="115"/>
      <c r="DG561" s="115"/>
    </row>
    <row r="562" spans="1:111" ht="4.5" customHeight="1">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c r="BY562" s="115"/>
      <c r="BZ562" s="115"/>
      <c r="CA562" s="115"/>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5"/>
      <c r="DD562" s="115"/>
      <c r="DE562" s="115"/>
      <c r="DF562" s="115"/>
      <c r="DG562" s="115"/>
    </row>
    <row r="563" spans="1:111" ht="9" customHeight="1">
      <c r="A563" s="154"/>
      <c r="B563" s="154"/>
      <c r="C563" s="154"/>
      <c r="D563" s="154"/>
      <c r="E563" s="154"/>
      <c r="F563" s="154"/>
      <c r="G563" s="154"/>
      <c r="H563" s="154"/>
      <c r="I563" s="154"/>
      <c r="J563" s="416" t="str">
        <f>IF(C545="","","Valor Unitário (R$):")</f>
        <v>Valor Unitário (R$):</v>
      </c>
      <c r="K563" s="416"/>
      <c r="L563" s="416"/>
      <c r="M563" s="416"/>
      <c r="N563" s="416"/>
      <c r="O563" s="416"/>
      <c r="P563" s="154"/>
      <c r="Q563" s="419">
        <v>25842.25</v>
      </c>
      <c r="R563" s="419"/>
      <c r="S563" s="419"/>
      <c r="T563" s="419"/>
      <c r="U563" s="419"/>
      <c r="V563" s="419"/>
      <c r="W563" s="419"/>
      <c r="X563" s="419"/>
      <c r="Y563" s="154"/>
      <c r="Z563" s="416" t="str">
        <f>IF(C545="","",IF(J551="52 Equipamentos e Material Permanente","Tempo de Uso:",""))</f>
        <v>Tempo de Uso:</v>
      </c>
      <c r="AA563" s="416"/>
      <c r="AB563" s="416"/>
      <c r="AC563" s="416"/>
      <c r="AD563" s="416"/>
      <c r="AE563" s="416"/>
      <c r="AF563" s="154"/>
      <c r="AG563" s="420" t="s">
        <v>580</v>
      </c>
      <c r="AH563" s="420"/>
      <c r="AI563" s="420"/>
      <c r="AJ563" s="420"/>
      <c r="AK563" s="420"/>
      <c r="AL563" s="420"/>
      <c r="AM563" s="420"/>
      <c r="AN563" s="420"/>
      <c r="AO563" s="420"/>
      <c r="AP563" s="420"/>
      <c r="AQ563" s="420"/>
      <c r="AR563" s="420"/>
      <c r="AS563" s="420"/>
      <c r="AT563" s="420"/>
      <c r="AU563" s="420"/>
      <c r="AV563" s="420"/>
      <c r="AW563" s="420"/>
      <c r="AX563" s="420"/>
      <c r="AY563" s="420"/>
      <c r="AZ563" s="420"/>
      <c r="BA563" s="420"/>
      <c r="BB563" s="154"/>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c r="BY563" s="115"/>
      <c r="BZ563" s="115"/>
      <c r="CA563" s="115"/>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5"/>
      <c r="DD563" s="115"/>
      <c r="DE563" s="115"/>
      <c r="DF563" s="115"/>
      <c r="DG563" s="115"/>
    </row>
    <row r="564" spans="1:111" ht="9" customHeight="1">
      <c r="A564" s="154"/>
      <c r="B564" s="154"/>
      <c r="C564" s="154"/>
      <c r="D564" s="154"/>
      <c r="E564" s="154"/>
      <c r="F564" s="154"/>
      <c r="G564" s="154"/>
      <c r="H564" s="154"/>
      <c r="I564" s="154"/>
      <c r="J564" s="416"/>
      <c r="K564" s="416"/>
      <c r="L564" s="416"/>
      <c r="M564" s="416"/>
      <c r="N564" s="416"/>
      <c r="O564" s="416"/>
      <c r="P564" s="154"/>
      <c r="Q564" s="419"/>
      <c r="R564" s="419"/>
      <c r="S564" s="419"/>
      <c r="T564" s="419"/>
      <c r="U564" s="419"/>
      <c r="V564" s="419"/>
      <c r="W564" s="419"/>
      <c r="X564" s="419"/>
      <c r="Y564" s="154"/>
      <c r="Z564" s="416"/>
      <c r="AA564" s="416"/>
      <c r="AB564" s="416"/>
      <c r="AC564" s="416"/>
      <c r="AD564" s="416"/>
      <c r="AE564" s="416"/>
      <c r="AF564" s="154"/>
      <c r="AG564" s="420"/>
      <c r="AH564" s="420"/>
      <c r="AI564" s="420"/>
      <c r="AJ564" s="420"/>
      <c r="AK564" s="420"/>
      <c r="AL564" s="420"/>
      <c r="AM564" s="420"/>
      <c r="AN564" s="420"/>
      <c r="AO564" s="420"/>
      <c r="AP564" s="420"/>
      <c r="AQ564" s="420"/>
      <c r="AR564" s="420"/>
      <c r="AS564" s="420"/>
      <c r="AT564" s="420"/>
      <c r="AU564" s="420"/>
      <c r="AV564" s="420"/>
      <c r="AW564" s="420"/>
      <c r="AX564" s="420"/>
      <c r="AY564" s="420"/>
      <c r="AZ564" s="420"/>
      <c r="BA564" s="420"/>
      <c r="BB564" s="154"/>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c r="BY564" s="115"/>
      <c r="BZ564" s="115"/>
      <c r="CA564" s="115"/>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5"/>
      <c r="DD564" s="115"/>
      <c r="DE564" s="115"/>
      <c r="DF564" s="115"/>
      <c r="DG564" s="115"/>
    </row>
    <row r="565" spans="1:111" ht="9" customHeight="1">
      <c r="A565" s="154"/>
      <c r="B565" s="154"/>
      <c r="C565" s="154"/>
      <c r="D565" s="154"/>
      <c r="E565" s="154"/>
      <c r="F565" s="154"/>
      <c r="G565" s="154"/>
      <c r="H565" s="154"/>
      <c r="I565" s="154"/>
      <c r="J565" s="154"/>
      <c r="K565" s="154"/>
      <c r="L565" s="154"/>
      <c r="M565" s="154"/>
      <c r="N565" s="154"/>
      <c r="O565" s="154"/>
      <c r="P565" s="154"/>
      <c r="Q565" s="419"/>
      <c r="R565" s="419"/>
      <c r="S565" s="419"/>
      <c r="T565" s="419"/>
      <c r="U565" s="419"/>
      <c r="V565" s="419"/>
      <c r="W565" s="419"/>
      <c r="X565" s="419"/>
      <c r="Y565" s="154"/>
      <c r="Z565" s="154"/>
      <c r="AA565" s="154"/>
      <c r="AB565" s="154"/>
      <c r="AC565" s="154"/>
      <c r="AD565" s="154"/>
      <c r="AE565" s="154"/>
      <c r="AF565" s="154"/>
      <c r="AG565" s="420"/>
      <c r="AH565" s="420"/>
      <c r="AI565" s="420"/>
      <c r="AJ565" s="420"/>
      <c r="AK565" s="420"/>
      <c r="AL565" s="420"/>
      <c r="AM565" s="420"/>
      <c r="AN565" s="420"/>
      <c r="AO565" s="420"/>
      <c r="AP565" s="420"/>
      <c r="AQ565" s="420"/>
      <c r="AR565" s="420"/>
      <c r="AS565" s="420"/>
      <c r="AT565" s="420"/>
      <c r="AU565" s="420"/>
      <c r="AV565" s="420"/>
      <c r="AW565" s="420"/>
      <c r="AX565" s="420"/>
      <c r="AY565" s="420"/>
      <c r="AZ565" s="420"/>
      <c r="BA565" s="420"/>
      <c r="BB565" s="154"/>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row>
    <row r="566" spans="1:111" ht="4.5" customHeight="1">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c r="BY566" s="115"/>
      <c r="BZ566" s="115"/>
      <c r="CA566" s="115"/>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row>
    <row r="567" spans="1:111" ht="9" customHeight="1">
      <c r="A567" s="154"/>
      <c r="B567" s="154"/>
      <c r="C567" s="154"/>
      <c r="D567" s="154"/>
      <c r="E567" s="154"/>
      <c r="F567" s="154"/>
      <c r="G567" s="154"/>
      <c r="H567" s="154"/>
      <c r="I567" s="154"/>
      <c r="J567" s="416" t="str">
        <f>IF(C545="","","Valor Total (R$):")</f>
        <v>Valor Total (R$):</v>
      </c>
      <c r="K567" s="416"/>
      <c r="L567" s="416"/>
      <c r="M567" s="416"/>
      <c r="N567" s="416"/>
      <c r="O567" s="416"/>
      <c r="P567" s="154"/>
      <c r="Q567" s="419">
        <f>IF(Q563="","",Q559*Q563)</f>
        <v>25842.25</v>
      </c>
      <c r="R567" s="419"/>
      <c r="S567" s="419"/>
      <c r="T567" s="419"/>
      <c r="U567" s="419"/>
      <c r="V567" s="419"/>
      <c r="W567" s="419"/>
      <c r="X567" s="419"/>
      <c r="Y567" s="154"/>
      <c r="Z567" s="416" t="str">
        <f>IF(C545="","",IF(J551="52 Equipamentos e Material Permanente","Justificativa e Utilização:",""))</f>
        <v>Justificativa e Utilização:</v>
      </c>
      <c r="AA567" s="416"/>
      <c r="AB567" s="416"/>
      <c r="AC567" s="416"/>
      <c r="AD567" s="416"/>
      <c r="AE567" s="416"/>
      <c r="AF567" s="154"/>
      <c r="AG567" s="420" t="s">
        <v>581</v>
      </c>
      <c r="AH567" s="420"/>
      <c r="AI567" s="420"/>
      <c r="AJ567" s="420"/>
      <c r="AK567" s="420"/>
      <c r="AL567" s="420"/>
      <c r="AM567" s="420"/>
      <c r="AN567" s="420"/>
      <c r="AO567" s="420"/>
      <c r="AP567" s="420"/>
      <c r="AQ567" s="420"/>
      <c r="AR567" s="420"/>
      <c r="AS567" s="420"/>
      <c r="AT567" s="420"/>
      <c r="AU567" s="420"/>
      <c r="AV567" s="420"/>
      <c r="AW567" s="420"/>
      <c r="AX567" s="420"/>
      <c r="AY567" s="420"/>
      <c r="AZ567" s="420"/>
      <c r="BA567" s="420"/>
      <c r="BB567" s="154"/>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c r="BY567" s="115"/>
      <c r="BZ567" s="115"/>
      <c r="CA567" s="115"/>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5"/>
      <c r="DD567" s="115"/>
      <c r="DE567" s="115"/>
      <c r="DF567" s="115"/>
      <c r="DG567" s="115"/>
    </row>
    <row r="568" spans="1:111" ht="9" customHeight="1">
      <c r="A568" s="154"/>
      <c r="B568" s="154"/>
      <c r="C568" s="154"/>
      <c r="D568" s="154"/>
      <c r="E568" s="154"/>
      <c r="F568" s="154"/>
      <c r="G568" s="154"/>
      <c r="H568" s="154"/>
      <c r="I568" s="154"/>
      <c r="J568" s="416"/>
      <c r="K568" s="416"/>
      <c r="L568" s="416"/>
      <c r="M568" s="416"/>
      <c r="N568" s="416"/>
      <c r="O568" s="416"/>
      <c r="P568" s="154"/>
      <c r="Q568" s="419"/>
      <c r="R568" s="419"/>
      <c r="S568" s="419"/>
      <c r="T568" s="419"/>
      <c r="U568" s="419"/>
      <c r="V568" s="419"/>
      <c r="W568" s="419"/>
      <c r="X568" s="419"/>
      <c r="Y568" s="154"/>
      <c r="Z568" s="416"/>
      <c r="AA568" s="416"/>
      <c r="AB568" s="416"/>
      <c r="AC568" s="416"/>
      <c r="AD568" s="416"/>
      <c r="AE568" s="416"/>
      <c r="AF568" s="154"/>
      <c r="AG568" s="420"/>
      <c r="AH568" s="420"/>
      <c r="AI568" s="420"/>
      <c r="AJ568" s="420"/>
      <c r="AK568" s="420"/>
      <c r="AL568" s="420"/>
      <c r="AM568" s="420"/>
      <c r="AN568" s="420"/>
      <c r="AO568" s="420"/>
      <c r="AP568" s="420"/>
      <c r="AQ568" s="420"/>
      <c r="AR568" s="420"/>
      <c r="AS568" s="420"/>
      <c r="AT568" s="420"/>
      <c r="AU568" s="420"/>
      <c r="AV568" s="420"/>
      <c r="AW568" s="420"/>
      <c r="AX568" s="420"/>
      <c r="AY568" s="420"/>
      <c r="AZ568" s="420"/>
      <c r="BA568" s="420"/>
      <c r="BB568" s="154"/>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c r="BY568" s="115"/>
      <c r="BZ568" s="115"/>
      <c r="CA568" s="115"/>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5"/>
      <c r="DD568" s="115"/>
      <c r="DE568" s="115"/>
      <c r="DF568" s="115"/>
      <c r="DG568" s="115"/>
    </row>
    <row r="569" spans="1:111" ht="9" customHeight="1">
      <c r="A569" s="154"/>
      <c r="B569" s="154"/>
      <c r="C569" s="154"/>
      <c r="D569" s="154"/>
      <c r="E569" s="154"/>
      <c r="F569" s="154"/>
      <c r="G569" s="154"/>
      <c r="H569" s="154"/>
      <c r="I569" s="154"/>
      <c r="J569" s="154"/>
      <c r="K569" s="154"/>
      <c r="L569" s="154"/>
      <c r="M569" s="154"/>
      <c r="N569" s="154"/>
      <c r="O569" s="154"/>
      <c r="P569" s="154"/>
      <c r="Q569" s="419"/>
      <c r="R569" s="419"/>
      <c r="S569" s="419"/>
      <c r="T569" s="419"/>
      <c r="U569" s="419"/>
      <c r="V569" s="419"/>
      <c r="W569" s="419"/>
      <c r="X569" s="419"/>
      <c r="Y569" s="154"/>
      <c r="Z569" s="154"/>
      <c r="AA569" s="154"/>
      <c r="AB569" s="154"/>
      <c r="AC569" s="154"/>
      <c r="AD569" s="154"/>
      <c r="AE569" s="154"/>
      <c r="AF569" s="154"/>
      <c r="AG569" s="420"/>
      <c r="AH569" s="420"/>
      <c r="AI569" s="420"/>
      <c r="AJ569" s="420"/>
      <c r="AK569" s="420"/>
      <c r="AL569" s="420"/>
      <c r="AM569" s="420"/>
      <c r="AN569" s="420"/>
      <c r="AO569" s="420"/>
      <c r="AP569" s="420"/>
      <c r="AQ569" s="420"/>
      <c r="AR569" s="420"/>
      <c r="AS569" s="420"/>
      <c r="AT569" s="420"/>
      <c r="AU569" s="420"/>
      <c r="AV569" s="420"/>
      <c r="AW569" s="420"/>
      <c r="AX569" s="420"/>
      <c r="AY569" s="420"/>
      <c r="AZ569" s="420"/>
      <c r="BA569" s="420"/>
      <c r="BB569" s="154"/>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c r="BY569" s="115"/>
      <c r="BZ569" s="115"/>
      <c r="CA569" s="115"/>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5"/>
      <c r="DD569" s="115"/>
      <c r="DE569" s="115"/>
      <c r="DF569" s="115"/>
      <c r="DG569" s="115"/>
    </row>
    <row r="570" spans="1:111" ht="9" customHeight="1">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420"/>
      <c r="AH570" s="420"/>
      <c r="AI570" s="420"/>
      <c r="AJ570" s="420"/>
      <c r="AK570" s="420"/>
      <c r="AL570" s="420"/>
      <c r="AM570" s="420"/>
      <c r="AN570" s="420"/>
      <c r="AO570" s="420"/>
      <c r="AP570" s="420"/>
      <c r="AQ570" s="420"/>
      <c r="AR570" s="420"/>
      <c r="AS570" s="420"/>
      <c r="AT570" s="420"/>
      <c r="AU570" s="420"/>
      <c r="AV570" s="420"/>
      <c r="AW570" s="420"/>
      <c r="AX570" s="420"/>
      <c r="AY570" s="420"/>
      <c r="AZ570" s="420"/>
      <c r="BA570" s="420"/>
      <c r="BB570" s="154"/>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c r="BY570" s="115"/>
      <c r="BZ570" s="115"/>
      <c r="CA570" s="115"/>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5"/>
      <c r="DD570" s="115"/>
      <c r="DE570" s="115"/>
      <c r="DF570" s="115"/>
      <c r="DG570" s="115"/>
    </row>
    <row r="571" spans="1:111" ht="9" customHeight="1">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420"/>
      <c r="AH571" s="420"/>
      <c r="AI571" s="420"/>
      <c r="AJ571" s="420"/>
      <c r="AK571" s="420"/>
      <c r="AL571" s="420"/>
      <c r="AM571" s="420"/>
      <c r="AN571" s="420"/>
      <c r="AO571" s="420"/>
      <c r="AP571" s="420"/>
      <c r="AQ571" s="420"/>
      <c r="AR571" s="420"/>
      <c r="AS571" s="420"/>
      <c r="AT571" s="420"/>
      <c r="AU571" s="420"/>
      <c r="AV571" s="420"/>
      <c r="AW571" s="420"/>
      <c r="AX571" s="420"/>
      <c r="AY571" s="420"/>
      <c r="AZ571" s="420"/>
      <c r="BA571" s="420"/>
      <c r="BB571" s="154"/>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c r="BY571" s="115"/>
      <c r="BZ571" s="115"/>
      <c r="CA571" s="115"/>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5"/>
      <c r="DD571" s="115"/>
      <c r="DE571" s="115"/>
      <c r="DF571" s="115"/>
      <c r="DG571" s="115"/>
    </row>
    <row r="572" spans="1:111" ht="9" customHeight="1">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420"/>
      <c r="AH572" s="420"/>
      <c r="AI572" s="420"/>
      <c r="AJ572" s="420"/>
      <c r="AK572" s="420"/>
      <c r="AL572" s="420"/>
      <c r="AM572" s="420"/>
      <c r="AN572" s="420"/>
      <c r="AO572" s="420"/>
      <c r="AP572" s="420"/>
      <c r="AQ572" s="420"/>
      <c r="AR572" s="420"/>
      <c r="AS572" s="420"/>
      <c r="AT572" s="420"/>
      <c r="AU572" s="420"/>
      <c r="AV572" s="420"/>
      <c r="AW572" s="420"/>
      <c r="AX572" s="420"/>
      <c r="AY572" s="420"/>
      <c r="AZ572" s="420"/>
      <c r="BA572" s="420"/>
      <c r="BB572" s="154"/>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c r="BY572" s="115"/>
      <c r="BZ572" s="115"/>
      <c r="CA572" s="115"/>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5"/>
      <c r="DD572" s="115"/>
      <c r="DE572" s="115"/>
      <c r="DF572" s="115"/>
      <c r="DG572" s="115"/>
    </row>
    <row r="573" spans="1:111" ht="15" customHeight="1">
      <c r="B573" s="55"/>
      <c r="C573" s="55"/>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141"/>
      <c r="AL573" s="141"/>
      <c r="AM573" s="141"/>
      <c r="AN573" s="141"/>
      <c r="AO573" s="140"/>
      <c r="AP573" s="140"/>
      <c r="AQ573" s="140"/>
      <c r="AR573" s="140"/>
      <c r="AS573" s="142"/>
      <c r="AT573" s="142"/>
      <c r="AU573" s="142"/>
      <c r="AV573" s="142"/>
      <c r="AW573" s="140"/>
      <c r="AX573" s="140"/>
      <c r="AY573" s="140"/>
      <c r="AZ573" s="140"/>
      <c r="BA573" s="140"/>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c r="BY573" s="115"/>
      <c r="BZ573" s="115"/>
      <c r="CA573" s="115"/>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row>
    <row r="574" spans="1:111" ht="15" customHeight="1">
      <c r="B574" s="55"/>
      <c r="C574" s="422" t="str">
        <f>IF($AA$165&gt;=15,"DESPESA 15","")</f>
        <v>DESPESA 15</v>
      </c>
      <c r="D574" s="422"/>
      <c r="E574" s="422"/>
      <c r="F574" s="422"/>
      <c r="G574" s="422"/>
      <c r="H574" s="422"/>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141"/>
      <c r="AL574" s="141"/>
      <c r="AM574" s="141"/>
      <c r="AN574" s="141"/>
      <c r="AO574" s="140"/>
      <c r="AP574" s="140"/>
      <c r="AQ574" s="140"/>
      <c r="AR574" s="140"/>
      <c r="AS574" s="142"/>
      <c r="AT574" s="142"/>
      <c r="AU574" s="142"/>
      <c r="AV574" s="142"/>
      <c r="AW574" s="140"/>
      <c r="AX574" s="140"/>
      <c r="AY574" s="140"/>
      <c r="AZ574" s="140"/>
      <c r="BA574" s="140"/>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row>
    <row r="575" spans="1:111" ht="4.5" customHeight="1">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c r="BY575" s="115"/>
      <c r="BZ575" s="115"/>
      <c r="CA575" s="115"/>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5"/>
      <c r="DD575" s="115"/>
      <c r="DE575" s="115"/>
      <c r="DF575" s="115"/>
      <c r="DG575" s="115"/>
    </row>
    <row r="576" spans="1:111" ht="9" customHeight="1">
      <c r="C576" s="416" t="str">
        <f>IF(C574="","","Descrição da Despesa:")</f>
        <v>Descrição da Despesa:</v>
      </c>
      <c r="D576" s="416"/>
      <c r="E576" s="416"/>
      <c r="F576" s="416"/>
      <c r="G576" s="416"/>
      <c r="H576" s="416"/>
      <c r="I576" s="60"/>
      <c r="J576" s="421" t="s">
        <v>578</v>
      </c>
      <c r="K576" s="421"/>
      <c r="L576" s="421"/>
      <c r="M576" s="421"/>
      <c r="N576" s="421"/>
      <c r="O576" s="421"/>
      <c r="P576" s="421"/>
      <c r="Q576" s="421"/>
      <c r="R576" s="421"/>
      <c r="S576" s="421"/>
      <c r="T576" s="421"/>
      <c r="U576" s="421"/>
      <c r="V576" s="421"/>
      <c r="W576" s="421"/>
      <c r="X576" s="421"/>
      <c r="Y576" s="421"/>
      <c r="Z576" s="421"/>
      <c r="AA576" s="421"/>
      <c r="AB576" s="421"/>
      <c r="AC576" s="421"/>
      <c r="AD576" s="421"/>
      <c r="AE576" s="421"/>
      <c r="AF576" s="421"/>
      <c r="AG576" s="421"/>
      <c r="AH576" s="421"/>
      <c r="AI576" s="421"/>
      <c r="AJ576" s="421"/>
      <c r="AK576" s="421"/>
      <c r="AL576" s="421"/>
      <c r="AM576" s="421"/>
      <c r="AN576" s="421"/>
      <c r="AO576" s="421"/>
      <c r="AP576" s="421"/>
      <c r="AQ576" s="421"/>
      <c r="AR576" s="421"/>
      <c r="AS576" s="421"/>
      <c r="AT576" s="421"/>
      <c r="AU576" s="421"/>
      <c r="AV576" s="421"/>
      <c r="AW576" s="421"/>
      <c r="AX576" s="421"/>
      <c r="AY576" s="421"/>
      <c r="AZ576" s="421"/>
      <c r="BA576" s="421"/>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c r="BY576" s="115"/>
      <c r="BZ576" s="115"/>
      <c r="CA576" s="115"/>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5"/>
      <c r="DD576" s="115"/>
      <c r="DE576" s="115"/>
      <c r="DF576" s="115"/>
      <c r="DG576" s="115"/>
    </row>
    <row r="577" spans="1:111" ht="9" customHeight="1">
      <c r="C577" s="416"/>
      <c r="D577" s="416"/>
      <c r="E577" s="416"/>
      <c r="F577" s="416"/>
      <c r="G577" s="416"/>
      <c r="H577" s="416"/>
      <c r="I577" s="60"/>
      <c r="J577" s="421"/>
      <c r="K577" s="421"/>
      <c r="L577" s="421"/>
      <c r="M577" s="421"/>
      <c r="N577" s="421"/>
      <c r="O577" s="421"/>
      <c r="P577" s="421"/>
      <c r="Q577" s="421"/>
      <c r="R577" s="421"/>
      <c r="S577" s="421"/>
      <c r="T577" s="421"/>
      <c r="U577" s="421"/>
      <c r="V577" s="421"/>
      <c r="W577" s="421"/>
      <c r="X577" s="421"/>
      <c r="Y577" s="421"/>
      <c r="Z577" s="421"/>
      <c r="AA577" s="421"/>
      <c r="AB577" s="421"/>
      <c r="AC577" s="421"/>
      <c r="AD577" s="421"/>
      <c r="AE577" s="421"/>
      <c r="AF577" s="421"/>
      <c r="AG577" s="421"/>
      <c r="AH577" s="421"/>
      <c r="AI577" s="421"/>
      <c r="AJ577" s="421"/>
      <c r="AK577" s="421"/>
      <c r="AL577" s="421"/>
      <c r="AM577" s="421"/>
      <c r="AN577" s="421"/>
      <c r="AO577" s="421"/>
      <c r="AP577" s="421"/>
      <c r="AQ577" s="421"/>
      <c r="AR577" s="421"/>
      <c r="AS577" s="421"/>
      <c r="AT577" s="421"/>
      <c r="AU577" s="421"/>
      <c r="AV577" s="421"/>
      <c r="AW577" s="421"/>
      <c r="AX577" s="421"/>
      <c r="AY577" s="421"/>
      <c r="AZ577" s="421"/>
      <c r="BA577" s="421"/>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c r="BY577" s="115"/>
      <c r="BZ577" s="115"/>
      <c r="CA577" s="115"/>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5"/>
      <c r="DD577" s="115"/>
      <c r="DE577" s="115"/>
      <c r="DF577" s="115"/>
      <c r="DG577" s="115"/>
    </row>
    <row r="578" spans="1:111" ht="9" customHeight="1">
      <c r="C578" s="416"/>
      <c r="D578" s="416"/>
      <c r="E578" s="416"/>
      <c r="F578" s="416"/>
      <c r="G578" s="416"/>
      <c r="H578" s="416"/>
      <c r="I578" s="60"/>
      <c r="J578" s="421"/>
      <c r="K578" s="421"/>
      <c r="L578" s="421"/>
      <c r="M578" s="421"/>
      <c r="N578" s="421"/>
      <c r="O578" s="421"/>
      <c r="P578" s="421"/>
      <c r="Q578" s="421"/>
      <c r="R578" s="421"/>
      <c r="S578" s="421"/>
      <c r="T578" s="421"/>
      <c r="U578" s="421"/>
      <c r="V578" s="421"/>
      <c r="W578" s="421"/>
      <c r="X578" s="421"/>
      <c r="Y578" s="421"/>
      <c r="Z578" s="421"/>
      <c r="AA578" s="421"/>
      <c r="AB578" s="421"/>
      <c r="AC578" s="421"/>
      <c r="AD578" s="421"/>
      <c r="AE578" s="421"/>
      <c r="AF578" s="421"/>
      <c r="AG578" s="421"/>
      <c r="AH578" s="421"/>
      <c r="AI578" s="421"/>
      <c r="AJ578" s="421"/>
      <c r="AK578" s="421"/>
      <c r="AL578" s="421"/>
      <c r="AM578" s="421"/>
      <c r="AN578" s="421"/>
      <c r="AO578" s="421"/>
      <c r="AP578" s="421"/>
      <c r="AQ578" s="421"/>
      <c r="AR578" s="421"/>
      <c r="AS578" s="421"/>
      <c r="AT578" s="421"/>
      <c r="AU578" s="421"/>
      <c r="AV578" s="421"/>
      <c r="AW578" s="421"/>
      <c r="AX578" s="421"/>
      <c r="AY578" s="421"/>
      <c r="AZ578" s="421"/>
      <c r="BA578" s="421"/>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c r="BY578" s="115"/>
      <c r="BZ578" s="115"/>
      <c r="CA578" s="115"/>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5"/>
      <c r="DD578" s="115"/>
      <c r="DE578" s="115"/>
      <c r="DF578" s="115"/>
      <c r="DG578" s="115"/>
    </row>
    <row r="579" spans="1:111" ht="4.5" customHeight="1">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c r="BY579" s="115"/>
      <c r="BZ579" s="115"/>
      <c r="CA579" s="115"/>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5"/>
      <c r="DD579" s="115"/>
      <c r="DE579" s="115"/>
      <c r="DF579" s="115"/>
      <c r="DG579" s="115"/>
    </row>
    <row r="580" spans="1:111" ht="9" customHeight="1">
      <c r="C580" s="416" t="str">
        <f>IF(C574="","","Elemento de Despesa:")</f>
        <v>Elemento de Despesa:</v>
      </c>
      <c r="D580" s="416"/>
      <c r="E580" s="416"/>
      <c r="F580" s="416"/>
      <c r="G580" s="416"/>
      <c r="H580" s="416"/>
      <c r="J580" s="421" t="s">
        <v>226</v>
      </c>
      <c r="K580" s="421"/>
      <c r="L580" s="421"/>
      <c r="M580" s="421"/>
      <c r="N580" s="421"/>
      <c r="O580" s="421"/>
      <c r="P580" s="421"/>
      <c r="Q580" s="421"/>
      <c r="R580" s="421"/>
      <c r="S580" s="421"/>
      <c r="T580" s="421"/>
      <c r="U580" s="421"/>
      <c r="V580" s="421"/>
      <c r="W580" s="421"/>
      <c r="X580" s="421"/>
      <c r="Y580" s="421"/>
      <c r="Z580" s="421"/>
      <c r="AA580" s="421"/>
      <c r="AB580" s="421"/>
      <c r="AC580" s="421"/>
      <c r="AD580" s="421"/>
      <c r="AE580" s="421"/>
      <c r="AF580" s="421"/>
      <c r="AG580" s="421"/>
      <c r="AH580" s="421"/>
      <c r="AI580" s="421"/>
      <c r="AJ580" s="421"/>
      <c r="AK580" s="421"/>
      <c r="AL580" s="421"/>
      <c r="AM580" s="421"/>
      <c r="AN580" s="421"/>
      <c r="AO580" s="421"/>
      <c r="AP580" s="421"/>
      <c r="AQ580" s="421"/>
      <c r="AR580" s="421"/>
      <c r="AS580" s="421"/>
      <c r="AT580" s="421"/>
      <c r="AU580" s="421"/>
      <c r="AV580" s="421"/>
      <c r="AW580" s="421"/>
      <c r="AX580" s="421"/>
      <c r="AY580" s="421"/>
      <c r="AZ580" s="421"/>
      <c r="BA580" s="421"/>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c r="BY580" s="115"/>
      <c r="BZ580" s="115"/>
      <c r="CA580" s="115"/>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c r="DF580" s="115"/>
      <c r="DG580" s="115"/>
    </row>
    <row r="581" spans="1:111" ht="9" customHeight="1">
      <c r="C581" s="416"/>
      <c r="D581" s="416"/>
      <c r="E581" s="416"/>
      <c r="F581" s="416"/>
      <c r="G581" s="416"/>
      <c r="H581" s="416"/>
      <c r="J581" s="421"/>
      <c r="K581" s="421"/>
      <c r="L581" s="421"/>
      <c r="M581" s="421"/>
      <c r="N581" s="421"/>
      <c r="O581" s="421"/>
      <c r="P581" s="421"/>
      <c r="Q581" s="421"/>
      <c r="R581" s="421"/>
      <c r="S581" s="421"/>
      <c r="T581" s="421"/>
      <c r="U581" s="421"/>
      <c r="V581" s="421"/>
      <c r="W581" s="421"/>
      <c r="X581" s="421"/>
      <c r="Y581" s="421"/>
      <c r="Z581" s="421"/>
      <c r="AA581" s="421"/>
      <c r="AB581" s="421"/>
      <c r="AC581" s="421"/>
      <c r="AD581" s="421"/>
      <c r="AE581" s="421"/>
      <c r="AF581" s="421"/>
      <c r="AG581" s="421"/>
      <c r="AH581" s="421"/>
      <c r="AI581" s="421"/>
      <c r="AJ581" s="421"/>
      <c r="AK581" s="421"/>
      <c r="AL581" s="421"/>
      <c r="AM581" s="421"/>
      <c r="AN581" s="421"/>
      <c r="AO581" s="421"/>
      <c r="AP581" s="421"/>
      <c r="AQ581" s="421"/>
      <c r="AR581" s="421"/>
      <c r="AS581" s="421"/>
      <c r="AT581" s="421"/>
      <c r="AU581" s="421"/>
      <c r="AV581" s="421"/>
      <c r="AW581" s="421"/>
      <c r="AX581" s="421"/>
      <c r="AY581" s="421"/>
      <c r="AZ581" s="421"/>
      <c r="BA581" s="421"/>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row>
    <row r="582" spans="1:111" ht="9" customHeight="1">
      <c r="C582" s="416"/>
      <c r="D582" s="416"/>
      <c r="E582" s="416"/>
      <c r="F582" s="416"/>
      <c r="G582" s="416"/>
      <c r="H582" s="416"/>
      <c r="J582" s="421"/>
      <c r="K582" s="421"/>
      <c r="L582" s="421"/>
      <c r="M582" s="421"/>
      <c r="N582" s="421"/>
      <c r="O582" s="421"/>
      <c r="P582" s="421"/>
      <c r="Q582" s="421"/>
      <c r="R582" s="421"/>
      <c r="S582" s="421"/>
      <c r="T582" s="421"/>
      <c r="U582" s="421"/>
      <c r="V582" s="421"/>
      <c r="W582" s="421"/>
      <c r="X582" s="421"/>
      <c r="Y582" s="421"/>
      <c r="Z582" s="421"/>
      <c r="AA582" s="421"/>
      <c r="AB582" s="421"/>
      <c r="AC582" s="421"/>
      <c r="AD582" s="421"/>
      <c r="AE582" s="421"/>
      <c r="AF582" s="421"/>
      <c r="AG582" s="421"/>
      <c r="AH582" s="421"/>
      <c r="AI582" s="421"/>
      <c r="AJ582" s="421"/>
      <c r="AK582" s="421"/>
      <c r="AL582" s="421"/>
      <c r="AM582" s="421"/>
      <c r="AN582" s="421"/>
      <c r="AO582" s="421"/>
      <c r="AP582" s="421"/>
      <c r="AQ582" s="421"/>
      <c r="AR582" s="421"/>
      <c r="AS582" s="421"/>
      <c r="AT582" s="421"/>
      <c r="AU582" s="421"/>
      <c r="AV582" s="421"/>
      <c r="AW582" s="421"/>
      <c r="AX582" s="421"/>
      <c r="AY582" s="421"/>
      <c r="AZ582" s="421"/>
      <c r="BA582" s="421"/>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row>
    <row r="583" spans="1:111" ht="4.5" customHeight="1">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c r="BY583" s="115"/>
      <c r="BZ583" s="115"/>
      <c r="CA583" s="115"/>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5"/>
      <c r="DD583" s="115"/>
      <c r="DE583" s="115"/>
      <c r="DF583" s="115"/>
      <c r="DG583" s="115"/>
    </row>
    <row r="584" spans="1:111" ht="9" customHeight="1">
      <c r="A584" s="61" t="str">
        <f>CONCATENATE(Q584,AC584)</f>
        <v>43</v>
      </c>
      <c r="J584" s="416" t="str">
        <f>IF(C574="","","Meta Vinculada:")</f>
        <v>Meta Vinculada:</v>
      </c>
      <c r="K584" s="416"/>
      <c r="L584" s="416"/>
      <c r="M584" s="416"/>
      <c r="N584" s="416"/>
      <c r="O584" s="416"/>
      <c r="Q584" s="417">
        <v>4</v>
      </c>
      <c r="R584" s="417"/>
      <c r="S584" s="417"/>
      <c r="T584" s="417"/>
      <c r="U584" s="56"/>
      <c r="V584" s="416" t="str">
        <f>IF(C574="","","Etapa Vinculada:")</f>
        <v>Etapa Vinculada:</v>
      </c>
      <c r="W584" s="416"/>
      <c r="X584" s="416"/>
      <c r="Y584" s="416"/>
      <c r="Z584" s="416"/>
      <c r="AA584" s="416"/>
      <c r="AC584" s="417">
        <v>3</v>
      </c>
      <c r="AD584" s="417"/>
      <c r="AE584" s="417"/>
      <c r="AF584" s="417"/>
      <c r="AG584" s="56"/>
      <c r="AH584" s="56"/>
      <c r="AI584" s="56"/>
      <c r="AJ584" s="56"/>
      <c r="AK584" s="141"/>
      <c r="AL584" s="141"/>
      <c r="AM584" s="141"/>
      <c r="AN584" s="141"/>
      <c r="AO584" s="140"/>
      <c r="AP584" s="140"/>
      <c r="AQ584" s="140"/>
      <c r="AR584" s="140"/>
      <c r="AS584" s="142"/>
      <c r="AT584" s="142"/>
      <c r="AU584" s="142"/>
      <c r="AV584" s="142"/>
      <c r="AW584" s="140"/>
      <c r="AX584" s="140"/>
      <c r="AY584" s="140"/>
      <c r="AZ584" s="140"/>
      <c r="BA584" s="140"/>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c r="BY584" s="115"/>
      <c r="BZ584" s="115"/>
      <c r="CA584" s="115"/>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5"/>
      <c r="DD584" s="115"/>
      <c r="DE584" s="115"/>
      <c r="DF584" s="115"/>
      <c r="DG584" s="115"/>
    </row>
    <row r="585" spans="1:111" ht="9" customHeight="1">
      <c r="B585" s="55"/>
      <c r="C585" s="55"/>
      <c r="D585" s="56"/>
      <c r="E585" s="56"/>
      <c r="F585" s="56"/>
      <c r="G585" s="56"/>
      <c r="H585" s="56"/>
      <c r="I585" s="56"/>
      <c r="J585" s="416"/>
      <c r="K585" s="416"/>
      <c r="L585" s="416"/>
      <c r="M585" s="416"/>
      <c r="N585" s="416"/>
      <c r="O585" s="416"/>
      <c r="Q585" s="417"/>
      <c r="R585" s="417"/>
      <c r="S585" s="417"/>
      <c r="T585" s="417"/>
      <c r="U585" s="56"/>
      <c r="V585" s="416"/>
      <c r="W585" s="416"/>
      <c r="X585" s="416"/>
      <c r="Y585" s="416"/>
      <c r="Z585" s="416"/>
      <c r="AA585" s="416"/>
      <c r="AC585" s="417"/>
      <c r="AD585" s="417"/>
      <c r="AE585" s="417"/>
      <c r="AF585" s="417"/>
      <c r="AG585" s="56"/>
      <c r="AH585" s="56"/>
      <c r="AI585" s="56"/>
      <c r="AJ585" s="56"/>
      <c r="AK585" s="141"/>
      <c r="AL585" s="141"/>
      <c r="AM585" s="141"/>
      <c r="AN585" s="141"/>
      <c r="AO585" s="140"/>
      <c r="AP585" s="140"/>
      <c r="AQ585" s="140"/>
      <c r="AR585" s="140"/>
      <c r="AS585" s="142"/>
      <c r="AT585" s="142"/>
      <c r="AU585" s="142"/>
      <c r="AV585" s="142"/>
      <c r="AW585" s="140"/>
      <c r="AX585" s="140"/>
      <c r="AY585" s="140"/>
      <c r="AZ585" s="140"/>
      <c r="BA585" s="140"/>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row>
    <row r="586" spans="1:111" ht="9" customHeight="1">
      <c r="Q586" s="417"/>
      <c r="R586" s="417"/>
      <c r="S586" s="417"/>
      <c r="T586" s="417"/>
      <c r="AC586" s="417"/>
      <c r="AD586" s="417"/>
      <c r="AE586" s="417"/>
      <c r="AF586" s="417"/>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c r="BY586" s="115"/>
      <c r="BZ586" s="115"/>
      <c r="CA586" s="115"/>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5"/>
      <c r="DD586" s="115"/>
      <c r="DE586" s="115"/>
      <c r="DF586" s="115"/>
      <c r="DG586" s="115"/>
    </row>
    <row r="587" spans="1:111" ht="4.5" customHeight="1">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row>
    <row r="588" spans="1:111" ht="9" customHeight="1">
      <c r="A588" s="154"/>
      <c r="B588" s="154"/>
      <c r="C588" s="154"/>
      <c r="D588" s="154"/>
      <c r="E588" s="154"/>
      <c r="F588" s="154"/>
      <c r="G588" s="154"/>
      <c r="H588" s="154"/>
      <c r="I588" s="154"/>
      <c r="J588" s="416" t="str">
        <f>IF(C574="","","Quantidade:")</f>
        <v>Quantidade:</v>
      </c>
      <c r="K588" s="416"/>
      <c r="L588" s="416"/>
      <c r="M588" s="416"/>
      <c r="N588" s="416"/>
      <c r="O588" s="416"/>
      <c r="P588" s="154"/>
      <c r="Q588" s="417">
        <v>1</v>
      </c>
      <c r="R588" s="417"/>
      <c r="S588" s="417"/>
      <c r="T588" s="417"/>
      <c r="U588" s="154"/>
      <c r="V588" s="416" t="str">
        <f>IF(C574="","","Unidade:")</f>
        <v>Unidade:</v>
      </c>
      <c r="W588" s="416"/>
      <c r="X588" s="416"/>
      <c r="Y588" s="416"/>
      <c r="Z588" s="416"/>
      <c r="AA588" s="416"/>
      <c r="AB588" s="154"/>
      <c r="AC588" s="418" t="s">
        <v>584</v>
      </c>
      <c r="AD588" s="418"/>
      <c r="AE588" s="418"/>
      <c r="AF588" s="418"/>
      <c r="AG588" s="418"/>
      <c r="AH588" s="418"/>
      <c r="AI588" s="418"/>
      <c r="AJ588" s="418"/>
      <c r="AK588" s="418"/>
      <c r="AL588" s="418"/>
      <c r="AM588" s="418"/>
      <c r="AN588" s="418"/>
      <c r="AO588" s="418"/>
      <c r="AP588" s="418"/>
      <c r="AQ588" s="418"/>
      <c r="AR588" s="418"/>
      <c r="AS588" s="418"/>
      <c r="AT588" s="418"/>
      <c r="AU588" s="418"/>
      <c r="AV588" s="418"/>
      <c r="AW588" s="418"/>
      <c r="AX588" s="418"/>
      <c r="AY588" s="418"/>
      <c r="AZ588" s="418"/>
      <c r="BA588" s="418"/>
      <c r="BB588" s="154"/>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row>
    <row r="589" spans="1:111" ht="9" customHeight="1">
      <c r="A589" s="154"/>
      <c r="B589" s="154"/>
      <c r="C589" s="154"/>
      <c r="D589" s="154"/>
      <c r="E589" s="154"/>
      <c r="F589" s="154"/>
      <c r="G589" s="154"/>
      <c r="H589" s="154"/>
      <c r="I589" s="154"/>
      <c r="J589" s="416"/>
      <c r="K589" s="416"/>
      <c r="L589" s="416"/>
      <c r="M589" s="416"/>
      <c r="N589" s="416"/>
      <c r="O589" s="416"/>
      <c r="P589" s="154"/>
      <c r="Q589" s="417"/>
      <c r="R589" s="417"/>
      <c r="S589" s="417"/>
      <c r="T589" s="417"/>
      <c r="U589" s="154"/>
      <c r="V589" s="416"/>
      <c r="W589" s="416"/>
      <c r="X589" s="416"/>
      <c r="Y589" s="416"/>
      <c r="Z589" s="416"/>
      <c r="AA589" s="416"/>
      <c r="AB589" s="154"/>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8"/>
      <c r="AY589" s="418"/>
      <c r="AZ589" s="418"/>
      <c r="BA589" s="418"/>
      <c r="BB589" s="154"/>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c r="BY589" s="115"/>
      <c r="BZ589" s="115"/>
      <c r="CA589" s="115"/>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5"/>
      <c r="DD589" s="115"/>
      <c r="DE589" s="115"/>
      <c r="DF589" s="115"/>
      <c r="DG589" s="115"/>
    </row>
    <row r="590" spans="1:111" ht="9" customHeight="1">
      <c r="A590" s="154"/>
      <c r="B590" s="154"/>
      <c r="C590" s="154"/>
      <c r="D590" s="154"/>
      <c r="E590" s="154"/>
      <c r="F590" s="154"/>
      <c r="G590" s="154"/>
      <c r="H590" s="154"/>
      <c r="I590" s="154"/>
      <c r="J590" s="154"/>
      <c r="K590" s="154"/>
      <c r="L590" s="154"/>
      <c r="M590" s="154"/>
      <c r="N590" s="154"/>
      <c r="O590" s="154"/>
      <c r="P590" s="154"/>
      <c r="Q590" s="417"/>
      <c r="R590" s="417"/>
      <c r="S590" s="417"/>
      <c r="T590" s="417"/>
      <c r="U590" s="154"/>
      <c r="V590" s="154"/>
      <c r="W590" s="154"/>
      <c r="X590" s="154"/>
      <c r="Y590" s="154"/>
      <c r="Z590" s="154"/>
      <c r="AA590" s="154"/>
      <c r="AB590" s="154"/>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18"/>
      <c r="AY590" s="418"/>
      <c r="AZ590" s="418"/>
      <c r="BA590" s="418"/>
      <c r="BB590" s="154"/>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c r="BY590" s="115"/>
      <c r="BZ590" s="115"/>
      <c r="CA590" s="115"/>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5"/>
      <c r="DD590" s="115"/>
      <c r="DE590" s="115"/>
      <c r="DF590" s="115"/>
      <c r="DG590" s="115"/>
    </row>
    <row r="591" spans="1:111" ht="4.5" customHeight="1">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c r="BY591" s="115"/>
      <c r="BZ591" s="115"/>
      <c r="CA591" s="115"/>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5"/>
      <c r="DD591" s="115"/>
      <c r="DE591" s="115"/>
      <c r="DF591" s="115"/>
      <c r="DG591" s="115"/>
    </row>
    <row r="592" spans="1:111" ht="9" customHeight="1">
      <c r="A592" s="154"/>
      <c r="B592" s="154"/>
      <c r="C592" s="154"/>
      <c r="D592" s="154"/>
      <c r="E592" s="154"/>
      <c r="F592" s="154"/>
      <c r="G592" s="154"/>
      <c r="H592" s="154"/>
      <c r="I592" s="154"/>
      <c r="J592" s="416" t="str">
        <f>IF(C574="","","Valor Unitário (R$):")</f>
        <v>Valor Unitário (R$):</v>
      </c>
      <c r="K592" s="416"/>
      <c r="L592" s="416"/>
      <c r="M592" s="416"/>
      <c r="N592" s="416"/>
      <c r="O592" s="416"/>
      <c r="P592" s="154"/>
      <c r="Q592" s="419">
        <v>16791.400000000001</v>
      </c>
      <c r="R592" s="419"/>
      <c r="S592" s="419"/>
      <c r="T592" s="419"/>
      <c r="U592" s="419"/>
      <c r="V592" s="419"/>
      <c r="W592" s="419"/>
      <c r="X592" s="419"/>
      <c r="Y592" s="154"/>
      <c r="Z592" s="416" t="str">
        <f>IF(C574="","",IF(J580="52 Equipamentos e Material Permanente","Tempo de Uso:",""))</f>
        <v>Tempo de Uso:</v>
      </c>
      <c r="AA592" s="416"/>
      <c r="AB592" s="416"/>
      <c r="AC592" s="416"/>
      <c r="AD592" s="416"/>
      <c r="AE592" s="416"/>
      <c r="AF592" s="154"/>
      <c r="AG592" s="420" t="s">
        <v>585</v>
      </c>
      <c r="AH592" s="420"/>
      <c r="AI592" s="420"/>
      <c r="AJ592" s="420"/>
      <c r="AK592" s="420"/>
      <c r="AL592" s="420"/>
      <c r="AM592" s="420"/>
      <c r="AN592" s="420"/>
      <c r="AO592" s="420"/>
      <c r="AP592" s="420"/>
      <c r="AQ592" s="420"/>
      <c r="AR592" s="420"/>
      <c r="AS592" s="420"/>
      <c r="AT592" s="420"/>
      <c r="AU592" s="420"/>
      <c r="AV592" s="420"/>
      <c r="AW592" s="420"/>
      <c r="AX592" s="420"/>
      <c r="AY592" s="420"/>
      <c r="AZ592" s="420"/>
      <c r="BA592" s="420"/>
      <c r="BB592" s="154"/>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row>
    <row r="593" spans="1:111" ht="9" customHeight="1">
      <c r="A593" s="154"/>
      <c r="B593" s="154"/>
      <c r="C593" s="154"/>
      <c r="D593" s="154"/>
      <c r="E593" s="154"/>
      <c r="F593" s="154"/>
      <c r="G593" s="154"/>
      <c r="H593" s="154"/>
      <c r="I593" s="154"/>
      <c r="J593" s="416"/>
      <c r="K593" s="416"/>
      <c r="L593" s="416"/>
      <c r="M593" s="416"/>
      <c r="N593" s="416"/>
      <c r="O593" s="416"/>
      <c r="P593" s="154"/>
      <c r="Q593" s="419"/>
      <c r="R593" s="419"/>
      <c r="S593" s="419"/>
      <c r="T593" s="419"/>
      <c r="U593" s="419"/>
      <c r="V593" s="419"/>
      <c r="W593" s="419"/>
      <c r="X593" s="419"/>
      <c r="Y593" s="154"/>
      <c r="Z593" s="416"/>
      <c r="AA593" s="416"/>
      <c r="AB593" s="416"/>
      <c r="AC593" s="416"/>
      <c r="AD593" s="416"/>
      <c r="AE593" s="416"/>
      <c r="AF593" s="154"/>
      <c r="AG593" s="420"/>
      <c r="AH593" s="420"/>
      <c r="AI593" s="420"/>
      <c r="AJ593" s="420"/>
      <c r="AK593" s="420"/>
      <c r="AL593" s="420"/>
      <c r="AM593" s="420"/>
      <c r="AN593" s="420"/>
      <c r="AO593" s="420"/>
      <c r="AP593" s="420"/>
      <c r="AQ593" s="420"/>
      <c r="AR593" s="420"/>
      <c r="AS593" s="420"/>
      <c r="AT593" s="420"/>
      <c r="AU593" s="420"/>
      <c r="AV593" s="420"/>
      <c r="AW593" s="420"/>
      <c r="AX593" s="420"/>
      <c r="AY593" s="420"/>
      <c r="AZ593" s="420"/>
      <c r="BA593" s="420"/>
      <c r="BB593" s="154"/>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row>
    <row r="594" spans="1:111" ht="9" customHeight="1">
      <c r="A594" s="154"/>
      <c r="B594" s="154"/>
      <c r="C594" s="154"/>
      <c r="D594" s="154"/>
      <c r="E594" s="154"/>
      <c r="F594" s="154"/>
      <c r="G594" s="154"/>
      <c r="H594" s="154"/>
      <c r="I594" s="154"/>
      <c r="J594" s="154"/>
      <c r="K594" s="154"/>
      <c r="L594" s="154"/>
      <c r="M594" s="154"/>
      <c r="N594" s="154"/>
      <c r="O594" s="154"/>
      <c r="P594" s="154"/>
      <c r="Q594" s="419"/>
      <c r="R594" s="419"/>
      <c r="S594" s="419"/>
      <c r="T594" s="419"/>
      <c r="U594" s="419"/>
      <c r="V594" s="419"/>
      <c r="W594" s="419"/>
      <c r="X594" s="419"/>
      <c r="Y594" s="154"/>
      <c r="Z594" s="154"/>
      <c r="AA594" s="154"/>
      <c r="AB594" s="154"/>
      <c r="AC594" s="154"/>
      <c r="AD594" s="154"/>
      <c r="AE594" s="154"/>
      <c r="AF594" s="154"/>
      <c r="AG594" s="420"/>
      <c r="AH594" s="420"/>
      <c r="AI594" s="420"/>
      <c r="AJ594" s="420"/>
      <c r="AK594" s="420"/>
      <c r="AL594" s="420"/>
      <c r="AM594" s="420"/>
      <c r="AN594" s="420"/>
      <c r="AO594" s="420"/>
      <c r="AP594" s="420"/>
      <c r="AQ594" s="420"/>
      <c r="AR594" s="420"/>
      <c r="AS594" s="420"/>
      <c r="AT594" s="420"/>
      <c r="AU594" s="420"/>
      <c r="AV594" s="420"/>
      <c r="AW594" s="420"/>
      <c r="AX594" s="420"/>
      <c r="AY594" s="420"/>
      <c r="AZ594" s="420"/>
      <c r="BA594" s="420"/>
      <c r="BB594" s="154"/>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row>
    <row r="595" spans="1:111" ht="4.5" customHeight="1">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row>
    <row r="596" spans="1:111" ht="9" customHeight="1">
      <c r="A596" s="154"/>
      <c r="B596" s="154"/>
      <c r="C596" s="154"/>
      <c r="D596" s="154"/>
      <c r="E596" s="154"/>
      <c r="F596" s="154"/>
      <c r="G596" s="154"/>
      <c r="H596" s="154"/>
      <c r="I596" s="154"/>
      <c r="J596" s="416" t="str">
        <f>IF(C574="","","Valor Total (R$):")</f>
        <v>Valor Total (R$):</v>
      </c>
      <c r="K596" s="416"/>
      <c r="L596" s="416"/>
      <c r="M596" s="416"/>
      <c r="N596" s="416"/>
      <c r="O596" s="416"/>
      <c r="P596" s="154"/>
      <c r="Q596" s="419">
        <f>IF(Q592="","",Q588*Q592)</f>
        <v>16791.400000000001</v>
      </c>
      <c r="R596" s="419"/>
      <c r="S596" s="419"/>
      <c r="T596" s="419"/>
      <c r="U596" s="419"/>
      <c r="V596" s="419"/>
      <c r="W596" s="419"/>
      <c r="X596" s="419"/>
      <c r="Y596" s="154"/>
      <c r="Z596" s="416" t="str">
        <f>IF(C574="","",IF(J580="52 Equipamentos e Material Permanente","Justificativa e Utilização:",""))</f>
        <v>Justificativa e Utilização:</v>
      </c>
      <c r="AA596" s="416"/>
      <c r="AB596" s="416"/>
      <c r="AC596" s="416"/>
      <c r="AD596" s="416"/>
      <c r="AE596" s="416"/>
      <c r="AF596" s="154"/>
      <c r="AG596" s="420" t="s">
        <v>581</v>
      </c>
      <c r="AH596" s="420"/>
      <c r="AI596" s="420"/>
      <c r="AJ596" s="420"/>
      <c r="AK596" s="420"/>
      <c r="AL596" s="420"/>
      <c r="AM596" s="420"/>
      <c r="AN596" s="420"/>
      <c r="AO596" s="420"/>
      <c r="AP596" s="420"/>
      <c r="AQ596" s="420"/>
      <c r="AR596" s="420"/>
      <c r="AS596" s="420"/>
      <c r="AT596" s="420"/>
      <c r="AU596" s="420"/>
      <c r="AV596" s="420"/>
      <c r="AW596" s="420"/>
      <c r="AX596" s="420"/>
      <c r="AY596" s="420"/>
      <c r="AZ596" s="420"/>
      <c r="BA596" s="420"/>
      <c r="BB596" s="154"/>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row>
    <row r="597" spans="1:111" ht="9" customHeight="1">
      <c r="A597" s="154"/>
      <c r="B597" s="154"/>
      <c r="C597" s="154"/>
      <c r="D597" s="154"/>
      <c r="E597" s="154"/>
      <c r="F597" s="154"/>
      <c r="G597" s="154"/>
      <c r="H597" s="154"/>
      <c r="I597" s="154"/>
      <c r="J597" s="416"/>
      <c r="K597" s="416"/>
      <c r="L597" s="416"/>
      <c r="M597" s="416"/>
      <c r="N597" s="416"/>
      <c r="O597" s="416"/>
      <c r="P597" s="154"/>
      <c r="Q597" s="419"/>
      <c r="R597" s="419"/>
      <c r="S597" s="419"/>
      <c r="T597" s="419"/>
      <c r="U597" s="419"/>
      <c r="V597" s="419"/>
      <c r="W597" s="419"/>
      <c r="X597" s="419"/>
      <c r="Y597" s="154"/>
      <c r="Z597" s="416"/>
      <c r="AA597" s="416"/>
      <c r="AB597" s="416"/>
      <c r="AC597" s="416"/>
      <c r="AD597" s="416"/>
      <c r="AE597" s="416"/>
      <c r="AF597" s="154"/>
      <c r="AG597" s="420"/>
      <c r="AH597" s="420"/>
      <c r="AI597" s="420"/>
      <c r="AJ597" s="420"/>
      <c r="AK597" s="420"/>
      <c r="AL597" s="420"/>
      <c r="AM597" s="420"/>
      <c r="AN597" s="420"/>
      <c r="AO597" s="420"/>
      <c r="AP597" s="420"/>
      <c r="AQ597" s="420"/>
      <c r="AR597" s="420"/>
      <c r="AS597" s="420"/>
      <c r="AT597" s="420"/>
      <c r="AU597" s="420"/>
      <c r="AV597" s="420"/>
      <c r="AW597" s="420"/>
      <c r="AX597" s="420"/>
      <c r="AY597" s="420"/>
      <c r="AZ597" s="420"/>
      <c r="BA597" s="420"/>
      <c r="BB597" s="154"/>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row>
    <row r="598" spans="1:111" ht="9" customHeight="1">
      <c r="A598" s="154"/>
      <c r="B598" s="154"/>
      <c r="C598" s="154"/>
      <c r="D598" s="154"/>
      <c r="E598" s="154"/>
      <c r="F598" s="154"/>
      <c r="G598" s="154"/>
      <c r="H598" s="154"/>
      <c r="I598" s="154"/>
      <c r="J598" s="154"/>
      <c r="K598" s="154"/>
      <c r="L598" s="154"/>
      <c r="M598" s="154"/>
      <c r="N598" s="154"/>
      <c r="O598" s="154"/>
      <c r="P598" s="154"/>
      <c r="Q598" s="419"/>
      <c r="R598" s="419"/>
      <c r="S598" s="419"/>
      <c r="T598" s="419"/>
      <c r="U598" s="419"/>
      <c r="V598" s="419"/>
      <c r="W598" s="419"/>
      <c r="X598" s="419"/>
      <c r="Y598" s="154"/>
      <c r="Z598" s="154"/>
      <c r="AA598" s="154"/>
      <c r="AB598" s="154"/>
      <c r="AC598" s="154"/>
      <c r="AD598" s="154"/>
      <c r="AE598" s="154"/>
      <c r="AF598" s="154"/>
      <c r="AG598" s="420"/>
      <c r="AH598" s="420"/>
      <c r="AI598" s="420"/>
      <c r="AJ598" s="420"/>
      <c r="AK598" s="420"/>
      <c r="AL598" s="420"/>
      <c r="AM598" s="420"/>
      <c r="AN598" s="420"/>
      <c r="AO598" s="420"/>
      <c r="AP598" s="420"/>
      <c r="AQ598" s="420"/>
      <c r="AR598" s="420"/>
      <c r="AS598" s="420"/>
      <c r="AT598" s="420"/>
      <c r="AU598" s="420"/>
      <c r="AV598" s="420"/>
      <c r="AW598" s="420"/>
      <c r="AX598" s="420"/>
      <c r="AY598" s="420"/>
      <c r="AZ598" s="420"/>
      <c r="BA598" s="420"/>
      <c r="BB598" s="154"/>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row>
    <row r="599" spans="1:111" ht="9" customHeight="1">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420"/>
      <c r="AH599" s="420"/>
      <c r="AI599" s="420"/>
      <c r="AJ599" s="420"/>
      <c r="AK599" s="420"/>
      <c r="AL599" s="420"/>
      <c r="AM599" s="420"/>
      <c r="AN599" s="420"/>
      <c r="AO599" s="420"/>
      <c r="AP599" s="420"/>
      <c r="AQ599" s="420"/>
      <c r="AR599" s="420"/>
      <c r="AS599" s="420"/>
      <c r="AT599" s="420"/>
      <c r="AU599" s="420"/>
      <c r="AV599" s="420"/>
      <c r="AW599" s="420"/>
      <c r="AX599" s="420"/>
      <c r="AY599" s="420"/>
      <c r="AZ599" s="420"/>
      <c r="BA599" s="420"/>
      <c r="BB599" s="154"/>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row>
    <row r="600" spans="1:111" ht="9" customHeight="1">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420"/>
      <c r="AH600" s="420"/>
      <c r="AI600" s="420"/>
      <c r="AJ600" s="420"/>
      <c r="AK600" s="420"/>
      <c r="AL600" s="420"/>
      <c r="AM600" s="420"/>
      <c r="AN600" s="420"/>
      <c r="AO600" s="420"/>
      <c r="AP600" s="420"/>
      <c r="AQ600" s="420"/>
      <c r="AR600" s="420"/>
      <c r="AS600" s="420"/>
      <c r="AT600" s="420"/>
      <c r="AU600" s="420"/>
      <c r="AV600" s="420"/>
      <c r="AW600" s="420"/>
      <c r="AX600" s="420"/>
      <c r="AY600" s="420"/>
      <c r="AZ600" s="420"/>
      <c r="BA600" s="420"/>
      <c r="BB600" s="154"/>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row>
    <row r="601" spans="1:111" ht="9" customHeight="1">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420"/>
      <c r="AH601" s="420"/>
      <c r="AI601" s="420"/>
      <c r="AJ601" s="420"/>
      <c r="AK601" s="420"/>
      <c r="AL601" s="420"/>
      <c r="AM601" s="420"/>
      <c r="AN601" s="420"/>
      <c r="AO601" s="420"/>
      <c r="AP601" s="420"/>
      <c r="AQ601" s="420"/>
      <c r="AR601" s="420"/>
      <c r="AS601" s="420"/>
      <c r="AT601" s="420"/>
      <c r="AU601" s="420"/>
      <c r="AV601" s="420"/>
      <c r="AW601" s="420"/>
      <c r="AX601" s="420"/>
      <c r="AY601" s="420"/>
      <c r="AZ601" s="420"/>
      <c r="BA601" s="420"/>
      <c r="BB601" s="154"/>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row>
    <row r="602" spans="1:111" ht="15" customHeight="1">
      <c r="B602" s="55"/>
      <c r="C602" s="55"/>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141"/>
      <c r="AL602" s="141"/>
      <c r="AM602" s="141"/>
      <c r="AN602" s="141"/>
      <c r="AO602" s="140"/>
      <c r="AP602" s="140"/>
      <c r="AQ602" s="140"/>
      <c r="AR602" s="140"/>
      <c r="AS602" s="142"/>
      <c r="AT602" s="142"/>
      <c r="AU602" s="142"/>
      <c r="AV602" s="142"/>
      <c r="AW602" s="140"/>
      <c r="AX602" s="140"/>
      <c r="AY602" s="140"/>
      <c r="AZ602" s="140"/>
      <c r="BA602" s="140"/>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row>
    <row r="603" spans="1:111" ht="15" customHeight="1">
      <c r="B603" s="55"/>
      <c r="C603" s="422" t="str">
        <f>IF($AA$165&gt;=16,"DESPESA 16","")</f>
        <v>DESPESA 16</v>
      </c>
      <c r="D603" s="422"/>
      <c r="E603" s="422"/>
      <c r="F603" s="422"/>
      <c r="G603" s="422"/>
      <c r="H603" s="422"/>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141"/>
      <c r="AL603" s="141"/>
      <c r="AM603" s="141"/>
      <c r="AN603" s="141"/>
      <c r="AO603" s="140"/>
      <c r="AP603" s="140"/>
      <c r="AQ603" s="140"/>
      <c r="AR603" s="140"/>
      <c r="AS603" s="142"/>
      <c r="AT603" s="142"/>
      <c r="AU603" s="142"/>
      <c r="AV603" s="142"/>
      <c r="AW603" s="140"/>
      <c r="AX603" s="140"/>
      <c r="AY603" s="140"/>
      <c r="AZ603" s="140"/>
      <c r="BA603" s="140"/>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row>
    <row r="604" spans="1:111" ht="4.5" customHeight="1">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row>
    <row r="605" spans="1:111" ht="9" customHeight="1">
      <c r="C605" s="416" t="str">
        <f>IF(C603="","","Descrição da Despesa:")</f>
        <v>Descrição da Despesa:</v>
      </c>
      <c r="D605" s="416"/>
      <c r="E605" s="416"/>
      <c r="F605" s="416"/>
      <c r="G605" s="416"/>
      <c r="H605" s="416"/>
      <c r="I605" s="60"/>
      <c r="J605" s="421" t="s">
        <v>578</v>
      </c>
      <c r="K605" s="421"/>
      <c r="L605" s="421"/>
      <c r="M605" s="421"/>
      <c r="N605" s="421"/>
      <c r="O605" s="421"/>
      <c r="P605" s="421"/>
      <c r="Q605" s="421"/>
      <c r="R605" s="421"/>
      <c r="S605" s="421"/>
      <c r="T605" s="421"/>
      <c r="U605" s="421"/>
      <c r="V605" s="421"/>
      <c r="W605" s="421"/>
      <c r="X605" s="421"/>
      <c r="Y605" s="421"/>
      <c r="Z605" s="421"/>
      <c r="AA605" s="421"/>
      <c r="AB605" s="421"/>
      <c r="AC605" s="421"/>
      <c r="AD605" s="421"/>
      <c r="AE605" s="421"/>
      <c r="AF605" s="421"/>
      <c r="AG605" s="421"/>
      <c r="AH605" s="421"/>
      <c r="AI605" s="421"/>
      <c r="AJ605" s="421"/>
      <c r="AK605" s="421"/>
      <c r="AL605" s="421"/>
      <c r="AM605" s="421"/>
      <c r="AN605" s="421"/>
      <c r="AO605" s="421"/>
      <c r="AP605" s="421"/>
      <c r="AQ605" s="421"/>
      <c r="AR605" s="421"/>
      <c r="AS605" s="421"/>
      <c r="AT605" s="421"/>
      <c r="AU605" s="421"/>
      <c r="AV605" s="421"/>
      <c r="AW605" s="421"/>
      <c r="AX605" s="421"/>
      <c r="AY605" s="421"/>
      <c r="AZ605" s="421"/>
      <c r="BA605" s="421"/>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row>
    <row r="606" spans="1:111" ht="9" customHeight="1">
      <c r="C606" s="416"/>
      <c r="D606" s="416"/>
      <c r="E606" s="416"/>
      <c r="F606" s="416"/>
      <c r="G606" s="416"/>
      <c r="H606" s="416"/>
      <c r="I606" s="60"/>
      <c r="J606" s="421"/>
      <c r="K606" s="421"/>
      <c r="L606" s="421"/>
      <c r="M606" s="421"/>
      <c r="N606" s="421"/>
      <c r="O606" s="421"/>
      <c r="P606" s="421"/>
      <c r="Q606" s="421"/>
      <c r="R606" s="421"/>
      <c r="S606" s="421"/>
      <c r="T606" s="421"/>
      <c r="U606" s="421"/>
      <c r="V606" s="421"/>
      <c r="W606" s="421"/>
      <c r="X606" s="421"/>
      <c r="Y606" s="421"/>
      <c r="Z606" s="421"/>
      <c r="AA606" s="421"/>
      <c r="AB606" s="421"/>
      <c r="AC606" s="421"/>
      <c r="AD606" s="421"/>
      <c r="AE606" s="421"/>
      <c r="AF606" s="421"/>
      <c r="AG606" s="421"/>
      <c r="AH606" s="421"/>
      <c r="AI606" s="421"/>
      <c r="AJ606" s="421"/>
      <c r="AK606" s="421"/>
      <c r="AL606" s="421"/>
      <c r="AM606" s="421"/>
      <c r="AN606" s="421"/>
      <c r="AO606" s="421"/>
      <c r="AP606" s="421"/>
      <c r="AQ606" s="421"/>
      <c r="AR606" s="421"/>
      <c r="AS606" s="421"/>
      <c r="AT606" s="421"/>
      <c r="AU606" s="421"/>
      <c r="AV606" s="421"/>
      <c r="AW606" s="421"/>
      <c r="AX606" s="421"/>
      <c r="AY606" s="421"/>
      <c r="AZ606" s="421"/>
      <c r="BA606" s="421"/>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row>
    <row r="607" spans="1:111" ht="9" customHeight="1">
      <c r="C607" s="416"/>
      <c r="D607" s="416"/>
      <c r="E607" s="416"/>
      <c r="F607" s="416"/>
      <c r="G607" s="416"/>
      <c r="H607" s="416"/>
      <c r="I607" s="60"/>
      <c r="J607" s="421"/>
      <c r="K607" s="421"/>
      <c r="L607" s="421"/>
      <c r="M607" s="421"/>
      <c r="N607" s="421"/>
      <c r="O607" s="421"/>
      <c r="P607" s="421"/>
      <c r="Q607" s="421"/>
      <c r="R607" s="421"/>
      <c r="S607" s="421"/>
      <c r="T607" s="421"/>
      <c r="U607" s="421"/>
      <c r="V607" s="421"/>
      <c r="W607" s="421"/>
      <c r="X607" s="421"/>
      <c r="Y607" s="421"/>
      <c r="Z607" s="421"/>
      <c r="AA607" s="421"/>
      <c r="AB607" s="421"/>
      <c r="AC607" s="421"/>
      <c r="AD607" s="421"/>
      <c r="AE607" s="421"/>
      <c r="AF607" s="421"/>
      <c r="AG607" s="421"/>
      <c r="AH607" s="421"/>
      <c r="AI607" s="421"/>
      <c r="AJ607" s="421"/>
      <c r="AK607" s="421"/>
      <c r="AL607" s="421"/>
      <c r="AM607" s="421"/>
      <c r="AN607" s="421"/>
      <c r="AO607" s="421"/>
      <c r="AP607" s="421"/>
      <c r="AQ607" s="421"/>
      <c r="AR607" s="421"/>
      <c r="AS607" s="421"/>
      <c r="AT607" s="421"/>
      <c r="AU607" s="421"/>
      <c r="AV607" s="421"/>
      <c r="AW607" s="421"/>
      <c r="AX607" s="421"/>
      <c r="AY607" s="421"/>
      <c r="AZ607" s="421"/>
      <c r="BA607" s="421"/>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row>
    <row r="608" spans="1:111" ht="4.5" customHeight="1">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row>
    <row r="609" spans="1:111" ht="9" customHeight="1">
      <c r="C609" s="416" t="str">
        <f>IF(C603="","","Elemento de Despesa:")</f>
        <v>Elemento de Despesa:</v>
      </c>
      <c r="D609" s="416"/>
      <c r="E609" s="416"/>
      <c r="F609" s="416"/>
      <c r="G609" s="416"/>
      <c r="H609" s="416"/>
      <c r="J609" s="421" t="s">
        <v>226</v>
      </c>
      <c r="K609" s="421"/>
      <c r="L609" s="421"/>
      <c r="M609" s="421"/>
      <c r="N609" s="421"/>
      <c r="O609" s="421"/>
      <c r="P609" s="421"/>
      <c r="Q609" s="421"/>
      <c r="R609" s="421"/>
      <c r="S609" s="421"/>
      <c r="T609" s="421"/>
      <c r="U609" s="421"/>
      <c r="V609" s="421"/>
      <c r="W609" s="421"/>
      <c r="X609" s="421"/>
      <c r="Y609" s="421"/>
      <c r="Z609" s="421"/>
      <c r="AA609" s="421"/>
      <c r="AB609" s="421"/>
      <c r="AC609" s="421"/>
      <c r="AD609" s="421"/>
      <c r="AE609" s="421"/>
      <c r="AF609" s="421"/>
      <c r="AG609" s="421"/>
      <c r="AH609" s="421"/>
      <c r="AI609" s="421"/>
      <c r="AJ609" s="421"/>
      <c r="AK609" s="421"/>
      <c r="AL609" s="421"/>
      <c r="AM609" s="421"/>
      <c r="AN609" s="421"/>
      <c r="AO609" s="421"/>
      <c r="AP609" s="421"/>
      <c r="AQ609" s="421"/>
      <c r="AR609" s="421"/>
      <c r="AS609" s="421"/>
      <c r="AT609" s="421"/>
      <c r="AU609" s="421"/>
      <c r="AV609" s="421"/>
      <c r="AW609" s="421"/>
      <c r="AX609" s="421"/>
      <c r="AY609" s="421"/>
      <c r="AZ609" s="421"/>
      <c r="BA609" s="421"/>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row>
    <row r="610" spans="1:111" ht="9" customHeight="1">
      <c r="C610" s="416"/>
      <c r="D610" s="416"/>
      <c r="E610" s="416"/>
      <c r="F610" s="416"/>
      <c r="G610" s="416"/>
      <c r="H610" s="416"/>
      <c r="J610" s="421"/>
      <c r="K610" s="421"/>
      <c r="L610" s="421"/>
      <c r="M610" s="421"/>
      <c r="N610" s="421"/>
      <c r="O610" s="421"/>
      <c r="P610" s="421"/>
      <c r="Q610" s="421"/>
      <c r="R610" s="421"/>
      <c r="S610" s="421"/>
      <c r="T610" s="421"/>
      <c r="U610" s="421"/>
      <c r="V610" s="421"/>
      <c r="W610" s="421"/>
      <c r="X610" s="421"/>
      <c r="Y610" s="421"/>
      <c r="Z610" s="421"/>
      <c r="AA610" s="421"/>
      <c r="AB610" s="421"/>
      <c r="AC610" s="421"/>
      <c r="AD610" s="421"/>
      <c r="AE610" s="421"/>
      <c r="AF610" s="421"/>
      <c r="AG610" s="421"/>
      <c r="AH610" s="421"/>
      <c r="AI610" s="421"/>
      <c r="AJ610" s="421"/>
      <c r="AK610" s="421"/>
      <c r="AL610" s="421"/>
      <c r="AM610" s="421"/>
      <c r="AN610" s="421"/>
      <c r="AO610" s="421"/>
      <c r="AP610" s="421"/>
      <c r="AQ610" s="421"/>
      <c r="AR610" s="421"/>
      <c r="AS610" s="421"/>
      <c r="AT610" s="421"/>
      <c r="AU610" s="421"/>
      <c r="AV610" s="421"/>
      <c r="AW610" s="421"/>
      <c r="AX610" s="421"/>
      <c r="AY610" s="421"/>
      <c r="AZ610" s="421"/>
      <c r="BA610" s="421"/>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row>
    <row r="611" spans="1:111" ht="9" customHeight="1">
      <c r="C611" s="416"/>
      <c r="D611" s="416"/>
      <c r="E611" s="416"/>
      <c r="F611" s="416"/>
      <c r="G611" s="416"/>
      <c r="H611" s="416"/>
      <c r="J611" s="421"/>
      <c r="K611" s="421"/>
      <c r="L611" s="421"/>
      <c r="M611" s="421"/>
      <c r="N611" s="421"/>
      <c r="O611" s="421"/>
      <c r="P611" s="421"/>
      <c r="Q611" s="421"/>
      <c r="R611" s="421"/>
      <c r="S611" s="421"/>
      <c r="T611" s="421"/>
      <c r="U611" s="421"/>
      <c r="V611" s="421"/>
      <c r="W611" s="421"/>
      <c r="X611" s="421"/>
      <c r="Y611" s="421"/>
      <c r="Z611" s="421"/>
      <c r="AA611" s="421"/>
      <c r="AB611" s="421"/>
      <c r="AC611" s="421"/>
      <c r="AD611" s="421"/>
      <c r="AE611" s="421"/>
      <c r="AF611" s="421"/>
      <c r="AG611" s="421"/>
      <c r="AH611" s="421"/>
      <c r="AI611" s="421"/>
      <c r="AJ611" s="421"/>
      <c r="AK611" s="421"/>
      <c r="AL611" s="421"/>
      <c r="AM611" s="421"/>
      <c r="AN611" s="421"/>
      <c r="AO611" s="421"/>
      <c r="AP611" s="421"/>
      <c r="AQ611" s="421"/>
      <c r="AR611" s="421"/>
      <c r="AS611" s="421"/>
      <c r="AT611" s="421"/>
      <c r="AU611" s="421"/>
      <c r="AV611" s="421"/>
      <c r="AW611" s="421"/>
      <c r="AX611" s="421"/>
      <c r="AY611" s="421"/>
      <c r="AZ611" s="421"/>
      <c r="BA611" s="421"/>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row>
    <row r="612" spans="1:111" ht="4.5" customHeight="1">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row>
    <row r="613" spans="1:111" ht="9" customHeight="1">
      <c r="A613" s="61" t="str">
        <f>CONCATENATE(Q613,AC613)</f>
        <v>43</v>
      </c>
      <c r="J613" s="416" t="str">
        <f>IF(C603="","","Meta Vinculada:")</f>
        <v>Meta Vinculada:</v>
      </c>
      <c r="K613" s="416"/>
      <c r="L613" s="416"/>
      <c r="M613" s="416"/>
      <c r="N613" s="416"/>
      <c r="O613" s="416"/>
      <c r="Q613" s="417">
        <v>4</v>
      </c>
      <c r="R613" s="417"/>
      <c r="S613" s="417"/>
      <c r="T613" s="417"/>
      <c r="U613" s="56"/>
      <c r="V613" s="416" t="str">
        <f>IF(C603="","","Etapa Vinculada:")</f>
        <v>Etapa Vinculada:</v>
      </c>
      <c r="W613" s="416"/>
      <c r="X613" s="416"/>
      <c r="Y613" s="416"/>
      <c r="Z613" s="416"/>
      <c r="AA613" s="416"/>
      <c r="AC613" s="417">
        <v>3</v>
      </c>
      <c r="AD613" s="417"/>
      <c r="AE613" s="417"/>
      <c r="AF613" s="417"/>
      <c r="AG613" s="56"/>
      <c r="AH613" s="56"/>
      <c r="AI613" s="56"/>
      <c r="AJ613" s="56"/>
      <c r="AK613" s="141"/>
      <c r="AL613" s="141"/>
      <c r="AM613" s="141"/>
      <c r="AN613" s="141"/>
      <c r="AO613" s="140"/>
      <c r="AP613" s="140"/>
      <c r="AQ613" s="140"/>
      <c r="AR613" s="140"/>
      <c r="AS613" s="142"/>
      <c r="AT613" s="142"/>
      <c r="AU613" s="142"/>
      <c r="AV613" s="142"/>
      <c r="AW613" s="140"/>
      <c r="AX613" s="140"/>
      <c r="AY613" s="140"/>
      <c r="AZ613" s="140"/>
      <c r="BA613" s="140"/>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row>
    <row r="614" spans="1:111" ht="9" customHeight="1">
      <c r="B614" s="55"/>
      <c r="C614" s="55"/>
      <c r="D614" s="56"/>
      <c r="E614" s="56"/>
      <c r="F614" s="56"/>
      <c r="G614" s="56"/>
      <c r="H614" s="56"/>
      <c r="I614" s="56"/>
      <c r="J614" s="416"/>
      <c r="K614" s="416"/>
      <c r="L614" s="416"/>
      <c r="M614" s="416"/>
      <c r="N614" s="416"/>
      <c r="O614" s="416"/>
      <c r="Q614" s="417"/>
      <c r="R614" s="417"/>
      <c r="S614" s="417"/>
      <c r="T614" s="417"/>
      <c r="U614" s="56"/>
      <c r="V614" s="416"/>
      <c r="W614" s="416"/>
      <c r="X614" s="416"/>
      <c r="Y614" s="416"/>
      <c r="Z614" s="416"/>
      <c r="AA614" s="416"/>
      <c r="AC614" s="417"/>
      <c r="AD614" s="417"/>
      <c r="AE614" s="417"/>
      <c r="AF614" s="417"/>
      <c r="AG614" s="56"/>
      <c r="AH614" s="56"/>
      <c r="AI614" s="56"/>
      <c r="AJ614" s="56"/>
      <c r="AK614" s="141"/>
      <c r="AL614" s="141"/>
      <c r="AM614" s="141"/>
      <c r="AN614" s="141"/>
      <c r="AO614" s="140"/>
      <c r="AP614" s="140"/>
      <c r="AQ614" s="140"/>
      <c r="AR614" s="140"/>
      <c r="AS614" s="142"/>
      <c r="AT614" s="142"/>
      <c r="AU614" s="142"/>
      <c r="AV614" s="142"/>
      <c r="AW614" s="140"/>
      <c r="AX614" s="140"/>
      <c r="AY614" s="140"/>
      <c r="AZ614" s="140"/>
      <c r="BA614" s="140"/>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row>
    <row r="615" spans="1:111" ht="9" customHeight="1">
      <c r="Q615" s="417"/>
      <c r="R615" s="417"/>
      <c r="S615" s="417"/>
      <c r="T615" s="417"/>
      <c r="AC615" s="417"/>
      <c r="AD615" s="417"/>
      <c r="AE615" s="417"/>
      <c r="AF615" s="417"/>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row>
    <row r="616" spans="1:111" ht="4.5" customHeight="1">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row>
    <row r="617" spans="1:111" ht="9" customHeight="1">
      <c r="A617" s="154"/>
      <c r="B617" s="154"/>
      <c r="C617" s="154"/>
      <c r="D617" s="154"/>
      <c r="E617" s="154"/>
      <c r="F617" s="154"/>
      <c r="G617" s="154"/>
      <c r="H617" s="154"/>
      <c r="I617" s="154"/>
      <c r="J617" s="416" t="str">
        <f>IF(C603="","","Quantidade:")</f>
        <v>Quantidade:</v>
      </c>
      <c r="K617" s="416"/>
      <c r="L617" s="416"/>
      <c r="M617" s="416"/>
      <c r="N617" s="416"/>
      <c r="O617" s="416"/>
      <c r="P617" s="154"/>
      <c r="Q617" s="417">
        <v>1</v>
      </c>
      <c r="R617" s="417"/>
      <c r="S617" s="417"/>
      <c r="T617" s="417"/>
      <c r="U617" s="154"/>
      <c r="V617" s="416" t="str">
        <f>IF(C603="","","Unidade:")</f>
        <v>Unidade:</v>
      </c>
      <c r="W617" s="416"/>
      <c r="X617" s="416"/>
      <c r="Y617" s="416"/>
      <c r="Z617" s="416"/>
      <c r="AA617" s="416"/>
      <c r="AB617" s="154"/>
      <c r="AC617" s="418" t="s">
        <v>592</v>
      </c>
      <c r="AD617" s="418"/>
      <c r="AE617" s="418"/>
      <c r="AF617" s="418"/>
      <c r="AG617" s="418"/>
      <c r="AH617" s="418"/>
      <c r="AI617" s="418"/>
      <c r="AJ617" s="418"/>
      <c r="AK617" s="418"/>
      <c r="AL617" s="418"/>
      <c r="AM617" s="418"/>
      <c r="AN617" s="418"/>
      <c r="AO617" s="418"/>
      <c r="AP617" s="418"/>
      <c r="AQ617" s="418"/>
      <c r="AR617" s="418"/>
      <c r="AS617" s="418"/>
      <c r="AT617" s="418"/>
      <c r="AU617" s="418"/>
      <c r="AV617" s="418"/>
      <c r="AW617" s="418"/>
      <c r="AX617" s="418"/>
      <c r="AY617" s="418"/>
      <c r="AZ617" s="418"/>
      <c r="BA617" s="418"/>
      <c r="BB617" s="154"/>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row>
    <row r="618" spans="1:111" ht="9" customHeight="1">
      <c r="A618" s="154"/>
      <c r="B618" s="154"/>
      <c r="C618" s="154"/>
      <c r="D618" s="154"/>
      <c r="E618" s="154"/>
      <c r="F618" s="154"/>
      <c r="G618" s="154"/>
      <c r="H618" s="154"/>
      <c r="I618" s="154"/>
      <c r="J618" s="416"/>
      <c r="K618" s="416"/>
      <c r="L618" s="416"/>
      <c r="M618" s="416"/>
      <c r="N618" s="416"/>
      <c r="O618" s="416"/>
      <c r="P618" s="154"/>
      <c r="Q618" s="417"/>
      <c r="R618" s="417"/>
      <c r="S618" s="417"/>
      <c r="T618" s="417"/>
      <c r="U618" s="154"/>
      <c r="V618" s="416"/>
      <c r="W618" s="416"/>
      <c r="X618" s="416"/>
      <c r="Y618" s="416"/>
      <c r="Z618" s="416"/>
      <c r="AA618" s="416"/>
      <c r="AB618" s="154"/>
      <c r="AC618" s="418"/>
      <c r="AD618" s="418"/>
      <c r="AE618" s="418"/>
      <c r="AF618" s="418"/>
      <c r="AG618" s="418"/>
      <c r="AH618" s="418"/>
      <c r="AI618" s="418"/>
      <c r="AJ618" s="418"/>
      <c r="AK618" s="418"/>
      <c r="AL618" s="418"/>
      <c r="AM618" s="418"/>
      <c r="AN618" s="418"/>
      <c r="AO618" s="418"/>
      <c r="AP618" s="418"/>
      <c r="AQ618" s="418"/>
      <c r="AR618" s="418"/>
      <c r="AS618" s="418"/>
      <c r="AT618" s="418"/>
      <c r="AU618" s="418"/>
      <c r="AV618" s="418"/>
      <c r="AW618" s="418"/>
      <c r="AX618" s="418"/>
      <c r="AY618" s="418"/>
      <c r="AZ618" s="418"/>
      <c r="BA618" s="418"/>
      <c r="BB618" s="154"/>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row>
    <row r="619" spans="1:111" ht="9" customHeight="1">
      <c r="A619" s="154"/>
      <c r="B619" s="154"/>
      <c r="C619" s="154"/>
      <c r="D619" s="154"/>
      <c r="E619" s="154"/>
      <c r="F619" s="154"/>
      <c r="G619" s="154"/>
      <c r="H619" s="154"/>
      <c r="I619" s="154"/>
      <c r="J619" s="154"/>
      <c r="K619" s="154"/>
      <c r="L619" s="154"/>
      <c r="M619" s="154"/>
      <c r="N619" s="154"/>
      <c r="O619" s="154"/>
      <c r="P619" s="154"/>
      <c r="Q619" s="417"/>
      <c r="R619" s="417"/>
      <c r="S619" s="417"/>
      <c r="T619" s="417"/>
      <c r="U619" s="154"/>
      <c r="V619" s="154"/>
      <c r="W619" s="154"/>
      <c r="X619" s="154"/>
      <c r="Y619" s="154"/>
      <c r="Z619" s="154"/>
      <c r="AA619" s="154"/>
      <c r="AB619" s="154"/>
      <c r="AC619" s="418"/>
      <c r="AD619" s="418"/>
      <c r="AE619" s="418"/>
      <c r="AF619" s="418"/>
      <c r="AG619" s="418"/>
      <c r="AH619" s="418"/>
      <c r="AI619" s="418"/>
      <c r="AJ619" s="418"/>
      <c r="AK619" s="418"/>
      <c r="AL619" s="418"/>
      <c r="AM619" s="418"/>
      <c r="AN619" s="418"/>
      <c r="AO619" s="418"/>
      <c r="AP619" s="418"/>
      <c r="AQ619" s="418"/>
      <c r="AR619" s="418"/>
      <c r="AS619" s="418"/>
      <c r="AT619" s="418"/>
      <c r="AU619" s="418"/>
      <c r="AV619" s="418"/>
      <c r="AW619" s="418"/>
      <c r="AX619" s="418"/>
      <c r="AY619" s="418"/>
      <c r="AZ619" s="418"/>
      <c r="BA619" s="418"/>
      <c r="BB619" s="154"/>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row>
    <row r="620" spans="1:111" ht="4.5" customHeight="1">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row>
    <row r="621" spans="1:111" ht="9" customHeight="1">
      <c r="A621" s="154"/>
      <c r="B621" s="154"/>
      <c r="C621" s="154"/>
      <c r="D621" s="154"/>
      <c r="E621" s="154"/>
      <c r="F621" s="154"/>
      <c r="G621" s="154"/>
      <c r="H621" s="154"/>
      <c r="I621" s="154"/>
      <c r="J621" s="416" t="str">
        <f>IF(C603="","","Valor Unitário (R$):")</f>
        <v>Valor Unitário (R$):</v>
      </c>
      <c r="K621" s="416"/>
      <c r="L621" s="416"/>
      <c r="M621" s="416"/>
      <c r="N621" s="416"/>
      <c r="O621" s="416"/>
      <c r="P621" s="154"/>
      <c r="Q621" s="419">
        <v>6297.4</v>
      </c>
      <c r="R621" s="419"/>
      <c r="S621" s="419"/>
      <c r="T621" s="419"/>
      <c r="U621" s="419"/>
      <c r="V621" s="419"/>
      <c r="W621" s="419"/>
      <c r="X621" s="419"/>
      <c r="Y621" s="154"/>
      <c r="Z621" s="416" t="str">
        <f>IF(C603="","",IF(J609="52 Equipamentos e Material Permanente","Tempo de Uso:",""))</f>
        <v>Tempo de Uso:</v>
      </c>
      <c r="AA621" s="416"/>
      <c r="AB621" s="416"/>
      <c r="AC621" s="416"/>
      <c r="AD621" s="416"/>
      <c r="AE621" s="416"/>
      <c r="AF621" s="154"/>
      <c r="AG621" s="420" t="s">
        <v>580</v>
      </c>
      <c r="AH621" s="420"/>
      <c r="AI621" s="420"/>
      <c r="AJ621" s="420"/>
      <c r="AK621" s="420"/>
      <c r="AL621" s="420"/>
      <c r="AM621" s="420"/>
      <c r="AN621" s="420"/>
      <c r="AO621" s="420"/>
      <c r="AP621" s="420"/>
      <c r="AQ621" s="420"/>
      <c r="AR621" s="420"/>
      <c r="AS621" s="420"/>
      <c r="AT621" s="420"/>
      <c r="AU621" s="420"/>
      <c r="AV621" s="420"/>
      <c r="AW621" s="420"/>
      <c r="AX621" s="420"/>
      <c r="AY621" s="420"/>
      <c r="AZ621" s="420"/>
      <c r="BA621" s="420"/>
      <c r="BB621" s="154"/>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row>
    <row r="622" spans="1:111" ht="9" customHeight="1">
      <c r="A622" s="154"/>
      <c r="B622" s="154"/>
      <c r="C622" s="154"/>
      <c r="D622" s="154"/>
      <c r="E622" s="154"/>
      <c r="F622" s="154"/>
      <c r="G622" s="154"/>
      <c r="H622" s="154"/>
      <c r="I622" s="154"/>
      <c r="J622" s="416"/>
      <c r="K622" s="416"/>
      <c r="L622" s="416"/>
      <c r="M622" s="416"/>
      <c r="N622" s="416"/>
      <c r="O622" s="416"/>
      <c r="P622" s="154"/>
      <c r="Q622" s="419"/>
      <c r="R622" s="419"/>
      <c r="S622" s="419"/>
      <c r="T622" s="419"/>
      <c r="U622" s="419"/>
      <c r="V622" s="419"/>
      <c r="W622" s="419"/>
      <c r="X622" s="419"/>
      <c r="Y622" s="154"/>
      <c r="Z622" s="416"/>
      <c r="AA622" s="416"/>
      <c r="AB622" s="416"/>
      <c r="AC622" s="416"/>
      <c r="AD622" s="416"/>
      <c r="AE622" s="416"/>
      <c r="AF622" s="154"/>
      <c r="AG622" s="420"/>
      <c r="AH622" s="420"/>
      <c r="AI622" s="420"/>
      <c r="AJ622" s="420"/>
      <c r="AK622" s="420"/>
      <c r="AL622" s="420"/>
      <c r="AM622" s="420"/>
      <c r="AN622" s="420"/>
      <c r="AO622" s="420"/>
      <c r="AP622" s="420"/>
      <c r="AQ622" s="420"/>
      <c r="AR622" s="420"/>
      <c r="AS622" s="420"/>
      <c r="AT622" s="420"/>
      <c r="AU622" s="420"/>
      <c r="AV622" s="420"/>
      <c r="AW622" s="420"/>
      <c r="AX622" s="420"/>
      <c r="AY622" s="420"/>
      <c r="AZ622" s="420"/>
      <c r="BA622" s="420"/>
      <c r="BB622" s="154"/>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row>
    <row r="623" spans="1:111" ht="9" customHeight="1">
      <c r="A623" s="154"/>
      <c r="B623" s="154"/>
      <c r="C623" s="154"/>
      <c r="D623" s="154"/>
      <c r="E623" s="154"/>
      <c r="F623" s="154"/>
      <c r="G623" s="154"/>
      <c r="H623" s="154"/>
      <c r="I623" s="154"/>
      <c r="J623" s="154"/>
      <c r="K623" s="154"/>
      <c r="L623" s="154"/>
      <c r="M623" s="154"/>
      <c r="N623" s="154"/>
      <c r="O623" s="154"/>
      <c r="P623" s="154"/>
      <c r="Q623" s="419"/>
      <c r="R623" s="419"/>
      <c r="S623" s="419"/>
      <c r="T623" s="419"/>
      <c r="U623" s="419"/>
      <c r="V623" s="419"/>
      <c r="W623" s="419"/>
      <c r="X623" s="419"/>
      <c r="Y623" s="154"/>
      <c r="Z623" s="154"/>
      <c r="AA623" s="154"/>
      <c r="AB623" s="154"/>
      <c r="AC623" s="154"/>
      <c r="AD623" s="154"/>
      <c r="AE623" s="154"/>
      <c r="AF623" s="154"/>
      <c r="AG623" s="420"/>
      <c r="AH623" s="420"/>
      <c r="AI623" s="420"/>
      <c r="AJ623" s="420"/>
      <c r="AK623" s="420"/>
      <c r="AL623" s="420"/>
      <c r="AM623" s="420"/>
      <c r="AN623" s="420"/>
      <c r="AO623" s="420"/>
      <c r="AP623" s="420"/>
      <c r="AQ623" s="420"/>
      <c r="AR623" s="420"/>
      <c r="AS623" s="420"/>
      <c r="AT623" s="420"/>
      <c r="AU623" s="420"/>
      <c r="AV623" s="420"/>
      <c r="AW623" s="420"/>
      <c r="AX623" s="420"/>
      <c r="AY623" s="420"/>
      <c r="AZ623" s="420"/>
      <c r="BA623" s="420"/>
      <c r="BB623" s="154"/>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row>
    <row r="624" spans="1:111" ht="4.5" customHeight="1">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row>
    <row r="625" spans="1:111" ht="9" customHeight="1">
      <c r="A625" s="154"/>
      <c r="B625" s="154"/>
      <c r="C625" s="154"/>
      <c r="D625" s="154"/>
      <c r="E625" s="154"/>
      <c r="F625" s="154"/>
      <c r="G625" s="154"/>
      <c r="H625" s="154"/>
      <c r="I625" s="154"/>
      <c r="J625" s="416" t="str">
        <f>IF(C603="","","Valor Total (R$):")</f>
        <v>Valor Total (R$):</v>
      </c>
      <c r="K625" s="416"/>
      <c r="L625" s="416"/>
      <c r="M625" s="416"/>
      <c r="N625" s="416"/>
      <c r="O625" s="416"/>
      <c r="P625" s="154"/>
      <c r="Q625" s="419">
        <f>IF(Q621="","",Q617*Q621)</f>
        <v>6297.4</v>
      </c>
      <c r="R625" s="419"/>
      <c r="S625" s="419"/>
      <c r="T625" s="419"/>
      <c r="U625" s="419"/>
      <c r="V625" s="419"/>
      <c r="W625" s="419"/>
      <c r="X625" s="419"/>
      <c r="Y625" s="154"/>
      <c r="Z625" s="416" t="str">
        <f>IF(C603="","",IF(J609="52 Equipamentos e Material Permanente","Justificativa e Utilização:",""))</f>
        <v>Justificativa e Utilização:</v>
      </c>
      <c r="AA625" s="416"/>
      <c r="AB625" s="416"/>
      <c r="AC625" s="416"/>
      <c r="AD625" s="416"/>
      <c r="AE625" s="416"/>
      <c r="AF625" s="154"/>
      <c r="AG625" s="420" t="s">
        <v>581</v>
      </c>
      <c r="AH625" s="420"/>
      <c r="AI625" s="420"/>
      <c r="AJ625" s="420"/>
      <c r="AK625" s="420"/>
      <c r="AL625" s="420"/>
      <c r="AM625" s="420"/>
      <c r="AN625" s="420"/>
      <c r="AO625" s="420"/>
      <c r="AP625" s="420"/>
      <c r="AQ625" s="420"/>
      <c r="AR625" s="420"/>
      <c r="AS625" s="420"/>
      <c r="AT625" s="420"/>
      <c r="AU625" s="420"/>
      <c r="AV625" s="420"/>
      <c r="AW625" s="420"/>
      <c r="AX625" s="420"/>
      <c r="AY625" s="420"/>
      <c r="AZ625" s="420"/>
      <c r="BA625" s="420"/>
      <c r="BB625" s="154"/>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row>
    <row r="626" spans="1:111" ht="9" customHeight="1">
      <c r="A626" s="154"/>
      <c r="B626" s="154"/>
      <c r="C626" s="154"/>
      <c r="D626" s="154"/>
      <c r="E626" s="154"/>
      <c r="F626" s="154"/>
      <c r="G626" s="154"/>
      <c r="H626" s="154"/>
      <c r="I626" s="154"/>
      <c r="J626" s="416"/>
      <c r="K626" s="416"/>
      <c r="L626" s="416"/>
      <c r="M626" s="416"/>
      <c r="N626" s="416"/>
      <c r="O626" s="416"/>
      <c r="P626" s="154"/>
      <c r="Q626" s="419"/>
      <c r="R626" s="419"/>
      <c r="S626" s="419"/>
      <c r="T626" s="419"/>
      <c r="U626" s="419"/>
      <c r="V626" s="419"/>
      <c r="W626" s="419"/>
      <c r="X626" s="419"/>
      <c r="Y626" s="154"/>
      <c r="Z626" s="416"/>
      <c r="AA626" s="416"/>
      <c r="AB626" s="416"/>
      <c r="AC626" s="416"/>
      <c r="AD626" s="416"/>
      <c r="AE626" s="416"/>
      <c r="AF626" s="154"/>
      <c r="AG626" s="420"/>
      <c r="AH626" s="420"/>
      <c r="AI626" s="420"/>
      <c r="AJ626" s="420"/>
      <c r="AK626" s="420"/>
      <c r="AL626" s="420"/>
      <c r="AM626" s="420"/>
      <c r="AN626" s="420"/>
      <c r="AO626" s="420"/>
      <c r="AP626" s="420"/>
      <c r="AQ626" s="420"/>
      <c r="AR626" s="420"/>
      <c r="AS626" s="420"/>
      <c r="AT626" s="420"/>
      <c r="AU626" s="420"/>
      <c r="AV626" s="420"/>
      <c r="AW626" s="420"/>
      <c r="AX626" s="420"/>
      <c r="AY626" s="420"/>
      <c r="AZ626" s="420"/>
      <c r="BA626" s="420"/>
      <c r="BB626" s="154"/>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row>
    <row r="627" spans="1:111" ht="9" customHeight="1">
      <c r="A627" s="154"/>
      <c r="B627" s="154"/>
      <c r="C627" s="154"/>
      <c r="D627" s="154"/>
      <c r="E627" s="154"/>
      <c r="F627" s="154"/>
      <c r="G627" s="154"/>
      <c r="H627" s="154"/>
      <c r="I627" s="154"/>
      <c r="J627" s="154"/>
      <c r="K627" s="154"/>
      <c r="L627" s="154"/>
      <c r="M627" s="154"/>
      <c r="N627" s="154"/>
      <c r="O627" s="154"/>
      <c r="P627" s="154"/>
      <c r="Q627" s="419"/>
      <c r="R627" s="419"/>
      <c r="S627" s="419"/>
      <c r="T627" s="419"/>
      <c r="U627" s="419"/>
      <c r="V627" s="419"/>
      <c r="W627" s="419"/>
      <c r="X627" s="419"/>
      <c r="Y627" s="154"/>
      <c r="Z627" s="154"/>
      <c r="AA627" s="154"/>
      <c r="AB627" s="154"/>
      <c r="AC627" s="154"/>
      <c r="AD627" s="154"/>
      <c r="AE627" s="154"/>
      <c r="AF627" s="154"/>
      <c r="AG627" s="420"/>
      <c r="AH627" s="420"/>
      <c r="AI627" s="420"/>
      <c r="AJ627" s="420"/>
      <c r="AK627" s="420"/>
      <c r="AL627" s="420"/>
      <c r="AM627" s="420"/>
      <c r="AN627" s="420"/>
      <c r="AO627" s="420"/>
      <c r="AP627" s="420"/>
      <c r="AQ627" s="420"/>
      <c r="AR627" s="420"/>
      <c r="AS627" s="420"/>
      <c r="AT627" s="420"/>
      <c r="AU627" s="420"/>
      <c r="AV627" s="420"/>
      <c r="AW627" s="420"/>
      <c r="AX627" s="420"/>
      <c r="AY627" s="420"/>
      <c r="AZ627" s="420"/>
      <c r="BA627" s="420"/>
      <c r="BB627" s="154"/>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row>
    <row r="628" spans="1:111" ht="9" customHeight="1">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420"/>
      <c r="AH628" s="420"/>
      <c r="AI628" s="420"/>
      <c r="AJ628" s="420"/>
      <c r="AK628" s="420"/>
      <c r="AL628" s="420"/>
      <c r="AM628" s="420"/>
      <c r="AN628" s="420"/>
      <c r="AO628" s="420"/>
      <c r="AP628" s="420"/>
      <c r="AQ628" s="420"/>
      <c r="AR628" s="420"/>
      <c r="AS628" s="420"/>
      <c r="AT628" s="420"/>
      <c r="AU628" s="420"/>
      <c r="AV628" s="420"/>
      <c r="AW628" s="420"/>
      <c r="AX628" s="420"/>
      <c r="AY628" s="420"/>
      <c r="AZ628" s="420"/>
      <c r="BA628" s="420"/>
      <c r="BB628" s="154"/>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row>
    <row r="629" spans="1:111" ht="9" customHeight="1">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420"/>
      <c r="AH629" s="420"/>
      <c r="AI629" s="420"/>
      <c r="AJ629" s="420"/>
      <c r="AK629" s="420"/>
      <c r="AL629" s="420"/>
      <c r="AM629" s="420"/>
      <c r="AN629" s="420"/>
      <c r="AO629" s="420"/>
      <c r="AP629" s="420"/>
      <c r="AQ629" s="420"/>
      <c r="AR629" s="420"/>
      <c r="AS629" s="420"/>
      <c r="AT629" s="420"/>
      <c r="AU629" s="420"/>
      <c r="AV629" s="420"/>
      <c r="AW629" s="420"/>
      <c r="AX629" s="420"/>
      <c r="AY629" s="420"/>
      <c r="AZ629" s="420"/>
      <c r="BA629" s="420"/>
      <c r="BB629" s="154"/>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row>
    <row r="630" spans="1:111" ht="9" customHeight="1">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420"/>
      <c r="AH630" s="420"/>
      <c r="AI630" s="420"/>
      <c r="AJ630" s="420"/>
      <c r="AK630" s="420"/>
      <c r="AL630" s="420"/>
      <c r="AM630" s="420"/>
      <c r="AN630" s="420"/>
      <c r="AO630" s="420"/>
      <c r="AP630" s="420"/>
      <c r="AQ630" s="420"/>
      <c r="AR630" s="420"/>
      <c r="AS630" s="420"/>
      <c r="AT630" s="420"/>
      <c r="AU630" s="420"/>
      <c r="AV630" s="420"/>
      <c r="AW630" s="420"/>
      <c r="AX630" s="420"/>
      <c r="AY630" s="420"/>
      <c r="AZ630" s="420"/>
      <c r="BA630" s="420"/>
      <c r="BB630" s="154"/>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row>
    <row r="631" spans="1:111" ht="15" customHeight="1">
      <c r="B631" s="55"/>
      <c r="C631" s="55"/>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141"/>
      <c r="AL631" s="141"/>
      <c r="AM631" s="141"/>
      <c r="AN631" s="141"/>
      <c r="AO631" s="140"/>
      <c r="AP631" s="140"/>
      <c r="AQ631" s="140"/>
      <c r="AR631" s="140"/>
      <c r="AS631" s="142"/>
      <c r="AT631" s="142"/>
      <c r="AU631" s="142"/>
      <c r="AV631" s="142"/>
      <c r="AW631" s="140"/>
      <c r="AX631" s="140"/>
      <c r="AY631" s="140"/>
      <c r="AZ631" s="140"/>
      <c r="BA631" s="140"/>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row>
    <row r="632" spans="1:111" ht="15" customHeight="1">
      <c r="B632" s="55"/>
      <c r="C632" s="422" t="str">
        <f>IF($AA$165&gt;=17,"DESPESA 17","")</f>
        <v>DESPESA 17</v>
      </c>
      <c r="D632" s="422"/>
      <c r="E632" s="422"/>
      <c r="F632" s="422"/>
      <c r="G632" s="422"/>
      <c r="H632" s="422"/>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141"/>
      <c r="AL632" s="141"/>
      <c r="AM632" s="141"/>
      <c r="AN632" s="141"/>
      <c r="AO632" s="140"/>
      <c r="AP632" s="140"/>
      <c r="AQ632" s="140"/>
      <c r="AR632" s="140"/>
      <c r="AS632" s="142"/>
      <c r="AT632" s="142"/>
      <c r="AU632" s="142"/>
      <c r="AV632" s="142"/>
      <c r="AW632" s="140"/>
      <c r="AX632" s="140"/>
      <c r="AY632" s="140"/>
      <c r="AZ632" s="140"/>
      <c r="BA632" s="140"/>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row>
    <row r="633" spans="1:111" ht="4.5" customHeight="1">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row>
    <row r="634" spans="1:111" ht="9" customHeight="1">
      <c r="C634" s="416" t="str">
        <f>IF(C632="","","Descrição da Despesa:")</f>
        <v>Descrição da Despesa:</v>
      </c>
      <c r="D634" s="416"/>
      <c r="E634" s="416"/>
      <c r="F634" s="416"/>
      <c r="G634" s="416"/>
      <c r="H634" s="416"/>
      <c r="I634" s="60"/>
      <c r="J634" s="421" t="s">
        <v>586</v>
      </c>
      <c r="K634" s="421"/>
      <c r="L634" s="421"/>
      <c r="M634" s="421"/>
      <c r="N634" s="421"/>
      <c r="O634" s="421"/>
      <c r="P634" s="421"/>
      <c r="Q634" s="421"/>
      <c r="R634" s="421"/>
      <c r="S634" s="421"/>
      <c r="T634" s="421"/>
      <c r="U634" s="421"/>
      <c r="V634" s="421"/>
      <c r="W634" s="421"/>
      <c r="X634" s="421"/>
      <c r="Y634" s="421"/>
      <c r="Z634" s="421"/>
      <c r="AA634" s="421"/>
      <c r="AB634" s="421"/>
      <c r="AC634" s="421"/>
      <c r="AD634" s="421"/>
      <c r="AE634" s="421"/>
      <c r="AF634" s="421"/>
      <c r="AG634" s="421"/>
      <c r="AH634" s="421"/>
      <c r="AI634" s="421"/>
      <c r="AJ634" s="421"/>
      <c r="AK634" s="421"/>
      <c r="AL634" s="421"/>
      <c r="AM634" s="421"/>
      <c r="AN634" s="421"/>
      <c r="AO634" s="421"/>
      <c r="AP634" s="421"/>
      <c r="AQ634" s="421"/>
      <c r="AR634" s="421"/>
      <c r="AS634" s="421"/>
      <c r="AT634" s="421"/>
      <c r="AU634" s="421"/>
      <c r="AV634" s="421"/>
      <c r="AW634" s="421"/>
      <c r="AX634" s="421"/>
      <c r="AY634" s="421"/>
      <c r="AZ634" s="421"/>
      <c r="BA634" s="421"/>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row>
    <row r="635" spans="1:111" ht="9" customHeight="1">
      <c r="C635" s="416"/>
      <c r="D635" s="416"/>
      <c r="E635" s="416"/>
      <c r="F635" s="416"/>
      <c r="G635" s="416"/>
      <c r="H635" s="416"/>
      <c r="I635" s="60"/>
      <c r="J635" s="421"/>
      <c r="K635" s="421"/>
      <c r="L635" s="421"/>
      <c r="M635" s="421"/>
      <c r="N635" s="421"/>
      <c r="O635" s="421"/>
      <c r="P635" s="421"/>
      <c r="Q635" s="421"/>
      <c r="R635" s="421"/>
      <c r="S635" s="421"/>
      <c r="T635" s="421"/>
      <c r="U635" s="421"/>
      <c r="V635" s="421"/>
      <c r="W635" s="421"/>
      <c r="X635" s="421"/>
      <c r="Y635" s="421"/>
      <c r="Z635" s="421"/>
      <c r="AA635" s="421"/>
      <c r="AB635" s="421"/>
      <c r="AC635" s="421"/>
      <c r="AD635" s="421"/>
      <c r="AE635" s="421"/>
      <c r="AF635" s="421"/>
      <c r="AG635" s="421"/>
      <c r="AH635" s="421"/>
      <c r="AI635" s="421"/>
      <c r="AJ635" s="421"/>
      <c r="AK635" s="421"/>
      <c r="AL635" s="421"/>
      <c r="AM635" s="421"/>
      <c r="AN635" s="421"/>
      <c r="AO635" s="421"/>
      <c r="AP635" s="421"/>
      <c r="AQ635" s="421"/>
      <c r="AR635" s="421"/>
      <c r="AS635" s="421"/>
      <c r="AT635" s="421"/>
      <c r="AU635" s="421"/>
      <c r="AV635" s="421"/>
      <c r="AW635" s="421"/>
      <c r="AX635" s="421"/>
      <c r="AY635" s="421"/>
      <c r="AZ635" s="421"/>
      <c r="BA635" s="421"/>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row>
    <row r="636" spans="1:111" ht="9" customHeight="1">
      <c r="C636" s="416"/>
      <c r="D636" s="416"/>
      <c r="E636" s="416"/>
      <c r="F636" s="416"/>
      <c r="G636" s="416"/>
      <c r="H636" s="416"/>
      <c r="I636" s="60"/>
      <c r="J636" s="421"/>
      <c r="K636" s="421"/>
      <c r="L636" s="421"/>
      <c r="M636" s="421"/>
      <c r="N636" s="421"/>
      <c r="O636" s="421"/>
      <c r="P636" s="421"/>
      <c r="Q636" s="421"/>
      <c r="R636" s="421"/>
      <c r="S636" s="421"/>
      <c r="T636" s="421"/>
      <c r="U636" s="421"/>
      <c r="V636" s="421"/>
      <c r="W636" s="421"/>
      <c r="X636" s="421"/>
      <c r="Y636" s="421"/>
      <c r="Z636" s="421"/>
      <c r="AA636" s="421"/>
      <c r="AB636" s="421"/>
      <c r="AC636" s="421"/>
      <c r="AD636" s="421"/>
      <c r="AE636" s="421"/>
      <c r="AF636" s="421"/>
      <c r="AG636" s="421"/>
      <c r="AH636" s="421"/>
      <c r="AI636" s="421"/>
      <c r="AJ636" s="421"/>
      <c r="AK636" s="421"/>
      <c r="AL636" s="421"/>
      <c r="AM636" s="421"/>
      <c r="AN636" s="421"/>
      <c r="AO636" s="421"/>
      <c r="AP636" s="421"/>
      <c r="AQ636" s="421"/>
      <c r="AR636" s="421"/>
      <c r="AS636" s="421"/>
      <c r="AT636" s="421"/>
      <c r="AU636" s="421"/>
      <c r="AV636" s="421"/>
      <c r="AW636" s="421"/>
      <c r="AX636" s="421"/>
      <c r="AY636" s="421"/>
      <c r="AZ636" s="421"/>
      <c r="BA636" s="421"/>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row>
    <row r="637" spans="1:111" ht="4.5" customHeight="1">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row>
    <row r="638" spans="1:111" ht="9" customHeight="1">
      <c r="C638" s="416" t="str">
        <f>IF(C632="","","Elemento de Despesa:")</f>
        <v>Elemento de Despesa:</v>
      </c>
      <c r="D638" s="416"/>
      <c r="E638" s="416"/>
      <c r="F638" s="416"/>
      <c r="G638" s="416"/>
      <c r="H638" s="416"/>
      <c r="J638" s="421" t="s">
        <v>215</v>
      </c>
      <c r="K638" s="421"/>
      <c r="L638" s="421"/>
      <c r="M638" s="421"/>
      <c r="N638" s="421"/>
      <c r="O638" s="421"/>
      <c r="P638" s="421"/>
      <c r="Q638" s="421"/>
      <c r="R638" s="421"/>
      <c r="S638" s="421"/>
      <c r="T638" s="421"/>
      <c r="U638" s="421"/>
      <c r="V638" s="421"/>
      <c r="W638" s="421"/>
      <c r="X638" s="421"/>
      <c r="Y638" s="421"/>
      <c r="Z638" s="421"/>
      <c r="AA638" s="421"/>
      <c r="AB638" s="421"/>
      <c r="AC638" s="421"/>
      <c r="AD638" s="421"/>
      <c r="AE638" s="421"/>
      <c r="AF638" s="421"/>
      <c r="AG638" s="421"/>
      <c r="AH638" s="421"/>
      <c r="AI638" s="421"/>
      <c r="AJ638" s="421"/>
      <c r="AK638" s="421"/>
      <c r="AL638" s="421"/>
      <c r="AM638" s="421"/>
      <c r="AN638" s="421"/>
      <c r="AO638" s="421"/>
      <c r="AP638" s="421"/>
      <c r="AQ638" s="421"/>
      <c r="AR638" s="421"/>
      <c r="AS638" s="421"/>
      <c r="AT638" s="421"/>
      <c r="AU638" s="421"/>
      <c r="AV638" s="421"/>
      <c r="AW638" s="421"/>
      <c r="AX638" s="421"/>
      <c r="AY638" s="421"/>
      <c r="AZ638" s="421"/>
      <c r="BA638" s="421"/>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row>
    <row r="639" spans="1:111" ht="9" customHeight="1">
      <c r="C639" s="416"/>
      <c r="D639" s="416"/>
      <c r="E639" s="416"/>
      <c r="F639" s="416"/>
      <c r="G639" s="416"/>
      <c r="H639" s="416"/>
      <c r="J639" s="421"/>
      <c r="K639" s="421"/>
      <c r="L639" s="421"/>
      <c r="M639" s="421"/>
      <c r="N639" s="421"/>
      <c r="O639" s="421"/>
      <c r="P639" s="421"/>
      <c r="Q639" s="421"/>
      <c r="R639" s="421"/>
      <c r="S639" s="421"/>
      <c r="T639" s="421"/>
      <c r="U639" s="421"/>
      <c r="V639" s="421"/>
      <c r="W639" s="421"/>
      <c r="X639" s="421"/>
      <c r="Y639" s="421"/>
      <c r="Z639" s="421"/>
      <c r="AA639" s="421"/>
      <c r="AB639" s="421"/>
      <c r="AC639" s="421"/>
      <c r="AD639" s="421"/>
      <c r="AE639" s="421"/>
      <c r="AF639" s="421"/>
      <c r="AG639" s="421"/>
      <c r="AH639" s="421"/>
      <c r="AI639" s="421"/>
      <c r="AJ639" s="421"/>
      <c r="AK639" s="421"/>
      <c r="AL639" s="421"/>
      <c r="AM639" s="421"/>
      <c r="AN639" s="421"/>
      <c r="AO639" s="421"/>
      <c r="AP639" s="421"/>
      <c r="AQ639" s="421"/>
      <c r="AR639" s="421"/>
      <c r="AS639" s="421"/>
      <c r="AT639" s="421"/>
      <c r="AU639" s="421"/>
      <c r="AV639" s="421"/>
      <c r="AW639" s="421"/>
      <c r="AX639" s="421"/>
      <c r="AY639" s="421"/>
      <c r="AZ639" s="421"/>
      <c r="BA639" s="421"/>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row>
    <row r="640" spans="1:111" ht="9" customHeight="1">
      <c r="C640" s="416"/>
      <c r="D640" s="416"/>
      <c r="E640" s="416"/>
      <c r="F640" s="416"/>
      <c r="G640" s="416"/>
      <c r="H640" s="416"/>
      <c r="J640" s="421"/>
      <c r="K640" s="421"/>
      <c r="L640" s="421"/>
      <c r="M640" s="421"/>
      <c r="N640" s="421"/>
      <c r="O640" s="421"/>
      <c r="P640" s="421"/>
      <c r="Q640" s="421"/>
      <c r="R640" s="421"/>
      <c r="S640" s="421"/>
      <c r="T640" s="421"/>
      <c r="U640" s="421"/>
      <c r="V640" s="421"/>
      <c r="W640" s="421"/>
      <c r="X640" s="421"/>
      <c r="Y640" s="421"/>
      <c r="Z640" s="421"/>
      <c r="AA640" s="421"/>
      <c r="AB640" s="421"/>
      <c r="AC640" s="421"/>
      <c r="AD640" s="421"/>
      <c r="AE640" s="421"/>
      <c r="AF640" s="421"/>
      <c r="AG640" s="421"/>
      <c r="AH640" s="421"/>
      <c r="AI640" s="421"/>
      <c r="AJ640" s="421"/>
      <c r="AK640" s="421"/>
      <c r="AL640" s="421"/>
      <c r="AM640" s="421"/>
      <c r="AN640" s="421"/>
      <c r="AO640" s="421"/>
      <c r="AP640" s="421"/>
      <c r="AQ640" s="421"/>
      <c r="AR640" s="421"/>
      <c r="AS640" s="421"/>
      <c r="AT640" s="421"/>
      <c r="AU640" s="421"/>
      <c r="AV640" s="421"/>
      <c r="AW640" s="421"/>
      <c r="AX640" s="421"/>
      <c r="AY640" s="421"/>
      <c r="AZ640" s="421"/>
      <c r="BA640" s="421"/>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row>
    <row r="641" spans="1:111" ht="4.5" customHeight="1">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row>
    <row r="642" spans="1:111" ht="9" customHeight="1">
      <c r="A642" s="61" t="str">
        <f>CONCATENATE(Q642,AC642)</f>
        <v>51</v>
      </c>
      <c r="J642" s="416" t="str">
        <f>IF(C632="","","Meta Vinculada:")</f>
        <v>Meta Vinculada:</v>
      </c>
      <c r="K642" s="416"/>
      <c r="L642" s="416"/>
      <c r="M642" s="416"/>
      <c r="N642" s="416"/>
      <c r="O642" s="416"/>
      <c r="Q642" s="417">
        <v>5</v>
      </c>
      <c r="R642" s="417"/>
      <c r="S642" s="417"/>
      <c r="T642" s="417"/>
      <c r="U642" s="56"/>
      <c r="V642" s="416" t="str">
        <f>IF(C632="","","Etapa Vinculada:")</f>
        <v>Etapa Vinculada:</v>
      </c>
      <c r="W642" s="416"/>
      <c r="X642" s="416"/>
      <c r="Y642" s="416"/>
      <c r="Z642" s="416"/>
      <c r="AA642" s="416"/>
      <c r="AC642" s="417">
        <v>1</v>
      </c>
      <c r="AD642" s="417"/>
      <c r="AE642" s="417"/>
      <c r="AF642" s="417"/>
      <c r="AG642" s="56"/>
      <c r="AH642" s="56"/>
      <c r="AI642" s="56"/>
      <c r="AJ642" s="56"/>
      <c r="AK642" s="141"/>
      <c r="AL642" s="141"/>
      <c r="AM642" s="141"/>
      <c r="AN642" s="141"/>
      <c r="AO642" s="140"/>
      <c r="AP642" s="140"/>
      <c r="AQ642" s="140"/>
      <c r="AR642" s="140"/>
      <c r="AS642" s="142"/>
      <c r="AT642" s="142"/>
      <c r="AU642" s="142"/>
      <c r="AV642" s="142"/>
      <c r="AW642" s="140"/>
      <c r="AX642" s="140"/>
      <c r="AY642" s="140"/>
      <c r="AZ642" s="140"/>
      <c r="BA642" s="140"/>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row>
    <row r="643" spans="1:111" ht="9" customHeight="1">
      <c r="B643" s="55"/>
      <c r="C643" s="55"/>
      <c r="D643" s="56"/>
      <c r="E643" s="56"/>
      <c r="F643" s="56"/>
      <c r="G643" s="56"/>
      <c r="H643" s="56"/>
      <c r="I643" s="56"/>
      <c r="J643" s="416"/>
      <c r="K643" s="416"/>
      <c r="L643" s="416"/>
      <c r="M643" s="416"/>
      <c r="N643" s="416"/>
      <c r="O643" s="416"/>
      <c r="Q643" s="417"/>
      <c r="R643" s="417"/>
      <c r="S643" s="417"/>
      <c r="T643" s="417"/>
      <c r="U643" s="56"/>
      <c r="V643" s="416"/>
      <c r="W643" s="416"/>
      <c r="X643" s="416"/>
      <c r="Y643" s="416"/>
      <c r="Z643" s="416"/>
      <c r="AA643" s="416"/>
      <c r="AC643" s="417"/>
      <c r="AD643" s="417"/>
      <c r="AE643" s="417"/>
      <c r="AF643" s="417"/>
      <c r="AG643" s="56"/>
      <c r="AH643" s="56"/>
      <c r="AI643" s="56"/>
      <c r="AJ643" s="56"/>
      <c r="AK643" s="141"/>
      <c r="AL643" s="141"/>
      <c r="AM643" s="141"/>
      <c r="AN643" s="141"/>
      <c r="AO643" s="140"/>
      <c r="AP643" s="140"/>
      <c r="AQ643" s="140"/>
      <c r="AR643" s="140"/>
      <c r="AS643" s="142"/>
      <c r="AT643" s="142"/>
      <c r="AU643" s="142"/>
      <c r="AV643" s="142"/>
      <c r="AW643" s="140"/>
      <c r="AX643" s="140"/>
      <c r="AY643" s="140"/>
      <c r="AZ643" s="140"/>
      <c r="BA643" s="140"/>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row>
    <row r="644" spans="1:111" ht="9" customHeight="1">
      <c r="Q644" s="417"/>
      <c r="R644" s="417"/>
      <c r="S644" s="417"/>
      <c r="T644" s="417"/>
      <c r="AC644" s="417"/>
      <c r="AD644" s="417"/>
      <c r="AE644" s="417"/>
      <c r="AF644" s="417"/>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row>
    <row r="645" spans="1:111" ht="4.5" customHeight="1">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row>
    <row r="646" spans="1:111" ht="9" customHeight="1">
      <c r="A646" s="154"/>
      <c r="B646" s="154"/>
      <c r="C646" s="154"/>
      <c r="D646" s="154"/>
      <c r="E646" s="154"/>
      <c r="F646" s="154"/>
      <c r="G646" s="154"/>
      <c r="H646" s="154"/>
      <c r="I646" s="154"/>
      <c r="J646" s="416" t="str">
        <f>IF(C632="","","Quantidade:")</f>
        <v>Quantidade:</v>
      </c>
      <c r="K646" s="416"/>
      <c r="L646" s="416"/>
      <c r="M646" s="416"/>
      <c r="N646" s="416"/>
      <c r="O646" s="416"/>
      <c r="P646" s="154"/>
      <c r="Q646" s="417">
        <v>40</v>
      </c>
      <c r="R646" s="417"/>
      <c r="S646" s="417"/>
      <c r="T646" s="417"/>
      <c r="U646" s="154"/>
      <c r="V646" s="416" t="str">
        <f>IF(C632="","","Unidade:")</f>
        <v>Unidade:</v>
      </c>
      <c r="W646" s="416"/>
      <c r="X646" s="416"/>
      <c r="Y646" s="416"/>
      <c r="Z646" s="416"/>
      <c r="AA646" s="416"/>
      <c r="AB646" s="154"/>
      <c r="AC646" s="418" t="s">
        <v>587</v>
      </c>
      <c r="AD646" s="418"/>
      <c r="AE646" s="418"/>
      <c r="AF646" s="418"/>
      <c r="AG646" s="418"/>
      <c r="AH646" s="418"/>
      <c r="AI646" s="418"/>
      <c r="AJ646" s="418"/>
      <c r="AK646" s="418"/>
      <c r="AL646" s="418"/>
      <c r="AM646" s="418"/>
      <c r="AN646" s="418"/>
      <c r="AO646" s="418"/>
      <c r="AP646" s="418"/>
      <c r="AQ646" s="418"/>
      <c r="AR646" s="418"/>
      <c r="AS646" s="418"/>
      <c r="AT646" s="418"/>
      <c r="AU646" s="418"/>
      <c r="AV646" s="418"/>
      <c r="AW646" s="418"/>
      <c r="AX646" s="418"/>
      <c r="AY646" s="418"/>
      <c r="AZ646" s="418"/>
      <c r="BA646" s="418"/>
      <c r="BB646" s="154"/>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row>
    <row r="647" spans="1:111" ht="9" customHeight="1">
      <c r="A647" s="154"/>
      <c r="B647" s="154"/>
      <c r="C647" s="154"/>
      <c r="D647" s="154"/>
      <c r="E647" s="154"/>
      <c r="F647" s="154"/>
      <c r="G647" s="154"/>
      <c r="H647" s="154"/>
      <c r="I647" s="154"/>
      <c r="J647" s="416"/>
      <c r="K647" s="416"/>
      <c r="L647" s="416"/>
      <c r="M647" s="416"/>
      <c r="N647" s="416"/>
      <c r="O647" s="416"/>
      <c r="P647" s="154"/>
      <c r="Q647" s="417"/>
      <c r="R647" s="417"/>
      <c r="S647" s="417"/>
      <c r="T647" s="417"/>
      <c r="U647" s="154"/>
      <c r="V647" s="416"/>
      <c r="W647" s="416"/>
      <c r="X647" s="416"/>
      <c r="Y647" s="416"/>
      <c r="Z647" s="416"/>
      <c r="AA647" s="416"/>
      <c r="AB647" s="154"/>
      <c r="AC647" s="418"/>
      <c r="AD647" s="418"/>
      <c r="AE647" s="418"/>
      <c r="AF647" s="418"/>
      <c r="AG647" s="418"/>
      <c r="AH647" s="418"/>
      <c r="AI647" s="418"/>
      <c r="AJ647" s="418"/>
      <c r="AK647" s="418"/>
      <c r="AL647" s="418"/>
      <c r="AM647" s="418"/>
      <c r="AN647" s="418"/>
      <c r="AO647" s="418"/>
      <c r="AP647" s="418"/>
      <c r="AQ647" s="418"/>
      <c r="AR647" s="418"/>
      <c r="AS647" s="418"/>
      <c r="AT647" s="418"/>
      <c r="AU647" s="418"/>
      <c r="AV647" s="418"/>
      <c r="AW647" s="418"/>
      <c r="AX647" s="418"/>
      <c r="AY647" s="418"/>
      <c r="AZ647" s="418"/>
      <c r="BA647" s="418"/>
      <c r="BB647" s="154"/>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row>
    <row r="648" spans="1:111" ht="9" customHeight="1">
      <c r="A648" s="154"/>
      <c r="B648" s="154"/>
      <c r="C648" s="154"/>
      <c r="D648" s="154"/>
      <c r="E648" s="154"/>
      <c r="F648" s="154"/>
      <c r="G648" s="154"/>
      <c r="H648" s="154"/>
      <c r="I648" s="154"/>
      <c r="J648" s="154"/>
      <c r="K648" s="154"/>
      <c r="L648" s="154"/>
      <c r="M648" s="154"/>
      <c r="N648" s="154"/>
      <c r="O648" s="154"/>
      <c r="P648" s="154"/>
      <c r="Q648" s="417"/>
      <c r="R648" s="417"/>
      <c r="S648" s="417"/>
      <c r="T648" s="417"/>
      <c r="U648" s="154"/>
      <c r="V648" s="154"/>
      <c r="W648" s="154"/>
      <c r="X648" s="154"/>
      <c r="Y648" s="154"/>
      <c r="Z648" s="154"/>
      <c r="AA648" s="154"/>
      <c r="AB648" s="154"/>
      <c r="AC648" s="418"/>
      <c r="AD648" s="418"/>
      <c r="AE648" s="418"/>
      <c r="AF648" s="418"/>
      <c r="AG648" s="418"/>
      <c r="AH648" s="418"/>
      <c r="AI648" s="418"/>
      <c r="AJ648" s="418"/>
      <c r="AK648" s="418"/>
      <c r="AL648" s="418"/>
      <c r="AM648" s="418"/>
      <c r="AN648" s="418"/>
      <c r="AO648" s="418"/>
      <c r="AP648" s="418"/>
      <c r="AQ648" s="418"/>
      <c r="AR648" s="418"/>
      <c r="AS648" s="418"/>
      <c r="AT648" s="418"/>
      <c r="AU648" s="418"/>
      <c r="AV648" s="418"/>
      <c r="AW648" s="418"/>
      <c r="AX648" s="418"/>
      <c r="AY648" s="418"/>
      <c r="AZ648" s="418"/>
      <c r="BA648" s="418"/>
      <c r="BB648" s="154"/>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row>
    <row r="649" spans="1:111" ht="4.5" customHeight="1">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row>
    <row r="650" spans="1:111" ht="9" customHeight="1">
      <c r="A650" s="154"/>
      <c r="B650" s="154"/>
      <c r="C650" s="154"/>
      <c r="D650" s="154"/>
      <c r="E650" s="154"/>
      <c r="F650" s="154"/>
      <c r="G650" s="154"/>
      <c r="H650" s="154"/>
      <c r="I650" s="154"/>
      <c r="J650" s="416" t="str">
        <f>IF(C632="","","Valor Unitário (R$):")</f>
        <v>Valor Unitário (R$):</v>
      </c>
      <c r="K650" s="416"/>
      <c r="L650" s="416"/>
      <c r="M650" s="416"/>
      <c r="N650" s="416"/>
      <c r="O650" s="416"/>
      <c r="P650" s="154"/>
      <c r="Q650" s="419">
        <v>2159.25</v>
      </c>
      <c r="R650" s="419"/>
      <c r="S650" s="419"/>
      <c r="T650" s="419"/>
      <c r="U650" s="419"/>
      <c r="V650" s="419"/>
      <c r="W650" s="419"/>
      <c r="X650" s="419"/>
      <c r="Y650" s="154"/>
      <c r="Z650" s="416" t="str">
        <f>IF(C632="","",IF(J638="52 Equipamentos e Material Permanente","Tempo de Uso:",""))</f>
        <v/>
      </c>
      <c r="AA650" s="416"/>
      <c r="AB650" s="416"/>
      <c r="AC650" s="416"/>
      <c r="AD650" s="416"/>
      <c r="AE650" s="416"/>
      <c r="AF650" s="154"/>
      <c r="AG650" s="420"/>
      <c r="AH650" s="420"/>
      <c r="AI650" s="420"/>
      <c r="AJ650" s="420"/>
      <c r="AK650" s="420"/>
      <c r="AL650" s="420"/>
      <c r="AM650" s="420"/>
      <c r="AN650" s="420"/>
      <c r="AO650" s="420"/>
      <c r="AP650" s="420"/>
      <c r="AQ650" s="420"/>
      <c r="AR650" s="420"/>
      <c r="AS650" s="420"/>
      <c r="AT650" s="420"/>
      <c r="AU650" s="420"/>
      <c r="AV650" s="420"/>
      <c r="AW650" s="420"/>
      <c r="AX650" s="420"/>
      <c r="AY650" s="420"/>
      <c r="AZ650" s="420"/>
      <c r="BA650" s="420"/>
      <c r="BB650" s="154"/>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row>
    <row r="651" spans="1:111" ht="9" customHeight="1">
      <c r="A651" s="154"/>
      <c r="B651" s="154"/>
      <c r="C651" s="154"/>
      <c r="D651" s="154"/>
      <c r="E651" s="154"/>
      <c r="F651" s="154"/>
      <c r="G651" s="154"/>
      <c r="H651" s="154"/>
      <c r="I651" s="154"/>
      <c r="J651" s="416"/>
      <c r="K651" s="416"/>
      <c r="L651" s="416"/>
      <c r="M651" s="416"/>
      <c r="N651" s="416"/>
      <c r="O651" s="416"/>
      <c r="P651" s="154"/>
      <c r="Q651" s="419"/>
      <c r="R651" s="419"/>
      <c r="S651" s="419"/>
      <c r="T651" s="419"/>
      <c r="U651" s="419"/>
      <c r="V651" s="419"/>
      <c r="W651" s="419"/>
      <c r="X651" s="419"/>
      <c r="Y651" s="154"/>
      <c r="Z651" s="416"/>
      <c r="AA651" s="416"/>
      <c r="AB651" s="416"/>
      <c r="AC651" s="416"/>
      <c r="AD651" s="416"/>
      <c r="AE651" s="416"/>
      <c r="AF651" s="154"/>
      <c r="AG651" s="420"/>
      <c r="AH651" s="420"/>
      <c r="AI651" s="420"/>
      <c r="AJ651" s="420"/>
      <c r="AK651" s="420"/>
      <c r="AL651" s="420"/>
      <c r="AM651" s="420"/>
      <c r="AN651" s="420"/>
      <c r="AO651" s="420"/>
      <c r="AP651" s="420"/>
      <c r="AQ651" s="420"/>
      <c r="AR651" s="420"/>
      <c r="AS651" s="420"/>
      <c r="AT651" s="420"/>
      <c r="AU651" s="420"/>
      <c r="AV651" s="420"/>
      <c r="AW651" s="420"/>
      <c r="AX651" s="420"/>
      <c r="AY651" s="420"/>
      <c r="AZ651" s="420"/>
      <c r="BA651" s="420"/>
      <c r="BB651" s="154"/>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row>
    <row r="652" spans="1:111" ht="9" customHeight="1">
      <c r="A652" s="154"/>
      <c r="B652" s="154"/>
      <c r="C652" s="154"/>
      <c r="D652" s="154"/>
      <c r="E652" s="154"/>
      <c r="F652" s="154"/>
      <c r="G652" s="154"/>
      <c r="H652" s="154"/>
      <c r="I652" s="154"/>
      <c r="J652" s="154"/>
      <c r="K652" s="154"/>
      <c r="L652" s="154"/>
      <c r="M652" s="154"/>
      <c r="N652" s="154"/>
      <c r="O652" s="154"/>
      <c r="P652" s="154"/>
      <c r="Q652" s="419"/>
      <c r="R652" s="419"/>
      <c r="S652" s="419"/>
      <c r="T652" s="419"/>
      <c r="U652" s="419"/>
      <c r="V652" s="419"/>
      <c r="W652" s="419"/>
      <c r="X652" s="419"/>
      <c r="Y652" s="154"/>
      <c r="Z652" s="154"/>
      <c r="AA652" s="154"/>
      <c r="AB652" s="154"/>
      <c r="AC652" s="154"/>
      <c r="AD652" s="154"/>
      <c r="AE652" s="154"/>
      <c r="AF652" s="154"/>
      <c r="AG652" s="420"/>
      <c r="AH652" s="420"/>
      <c r="AI652" s="420"/>
      <c r="AJ652" s="420"/>
      <c r="AK652" s="420"/>
      <c r="AL652" s="420"/>
      <c r="AM652" s="420"/>
      <c r="AN652" s="420"/>
      <c r="AO652" s="420"/>
      <c r="AP652" s="420"/>
      <c r="AQ652" s="420"/>
      <c r="AR652" s="420"/>
      <c r="AS652" s="420"/>
      <c r="AT652" s="420"/>
      <c r="AU652" s="420"/>
      <c r="AV652" s="420"/>
      <c r="AW652" s="420"/>
      <c r="AX652" s="420"/>
      <c r="AY652" s="420"/>
      <c r="AZ652" s="420"/>
      <c r="BA652" s="420"/>
      <c r="BB652" s="154"/>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row>
    <row r="653" spans="1:111" ht="4.5" customHeight="1">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row>
    <row r="654" spans="1:111" ht="9" customHeight="1">
      <c r="A654" s="154"/>
      <c r="B654" s="154"/>
      <c r="C654" s="154"/>
      <c r="D654" s="154"/>
      <c r="E654" s="154"/>
      <c r="F654" s="154"/>
      <c r="G654" s="154"/>
      <c r="H654" s="154"/>
      <c r="I654" s="154"/>
      <c r="J654" s="416" t="str">
        <f>IF(C632="","","Valor Total (R$):")</f>
        <v>Valor Total (R$):</v>
      </c>
      <c r="K654" s="416"/>
      <c r="L654" s="416"/>
      <c r="M654" s="416"/>
      <c r="N654" s="416"/>
      <c r="O654" s="416"/>
      <c r="P654" s="154"/>
      <c r="Q654" s="419">
        <f>IF(Q650="","",Q646*Q650)</f>
        <v>86370</v>
      </c>
      <c r="R654" s="419"/>
      <c r="S654" s="419"/>
      <c r="T654" s="419"/>
      <c r="U654" s="419"/>
      <c r="V654" s="419"/>
      <c r="W654" s="419"/>
      <c r="X654" s="419"/>
      <c r="Y654" s="154"/>
      <c r="Z654" s="416" t="str">
        <f>IF(C632="","",IF(J638="52 Equipamentos e Material Permanente","Justificativa e Utilização:",""))</f>
        <v/>
      </c>
      <c r="AA654" s="416"/>
      <c r="AB654" s="416"/>
      <c r="AC654" s="416"/>
      <c r="AD654" s="416"/>
      <c r="AE654" s="416"/>
      <c r="AF654" s="154"/>
      <c r="AG654" s="420"/>
      <c r="AH654" s="420"/>
      <c r="AI654" s="420"/>
      <c r="AJ654" s="420"/>
      <c r="AK654" s="420"/>
      <c r="AL654" s="420"/>
      <c r="AM654" s="420"/>
      <c r="AN654" s="420"/>
      <c r="AO654" s="420"/>
      <c r="AP654" s="420"/>
      <c r="AQ654" s="420"/>
      <c r="AR654" s="420"/>
      <c r="AS654" s="420"/>
      <c r="AT654" s="420"/>
      <c r="AU654" s="420"/>
      <c r="AV654" s="420"/>
      <c r="AW654" s="420"/>
      <c r="AX654" s="420"/>
      <c r="AY654" s="420"/>
      <c r="AZ654" s="420"/>
      <c r="BA654" s="420"/>
      <c r="BB654" s="154"/>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row>
    <row r="655" spans="1:111" ht="9" customHeight="1">
      <c r="A655" s="154"/>
      <c r="B655" s="154"/>
      <c r="C655" s="154"/>
      <c r="D655" s="154"/>
      <c r="E655" s="154"/>
      <c r="F655" s="154"/>
      <c r="G655" s="154"/>
      <c r="H655" s="154"/>
      <c r="I655" s="154"/>
      <c r="J655" s="416"/>
      <c r="K655" s="416"/>
      <c r="L655" s="416"/>
      <c r="M655" s="416"/>
      <c r="N655" s="416"/>
      <c r="O655" s="416"/>
      <c r="P655" s="154"/>
      <c r="Q655" s="419"/>
      <c r="R655" s="419"/>
      <c r="S655" s="419"/>
      <c r="T655" s="419"/>
      <c r="U655" s="419"/>
      <c r="V655" s="419"/>
      <c r="W655" s="419"/>
      <c r="X655" s="419"/>
      <c r="Y655" s="154"/>
      <c r="Z655" s="416"/>
      <c r="AA655" s="416"/>
      <c r="AB655" s="416"/>
      <c r="AC655" s="416"/>
      <c r="AD655" s="416"/>
      <c r="AE655" s="416"/>
      <c r="AF655" s="154"/>
      <c r="AG655" s="420"/>
      <c r="AH655" s="420"/>
      <c r="AI655" s="420"/>
      <c r="AJ655" s="420"/>
      <c r="AK655" s="420"/>
      <c r="AL655" s="420"/>
      <c r="AM655" s="420"/>
      <c r="AN655" s="420"/>
      <c r="AO655" s="420"/>
      <c r="AP655" s="420"/>
      <c r="AQ655" s="420"/>
      <c r="AR655" s="420"/>
      <c r="AS655" s="420"/>
      <c r="AT655" s="420"/>
      <c r="AU655" s="420"/>
      <c r="AV655" s="420"/>
      <c r="AW655" s="420"/>
      <c r="AX655" s="420"/>
      <c r="AY655" s="420"/>
      <c r="AZ655" s="420"/>
      <c r="BA655" s="420"/>
      <c r="BB655" s="154"/>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row>
    <row r="656" spans="1:111" ht="9" customHeight="1">
      <c r="A656" s="154"/>
      <c r="B656" s="154"/>
      <c r="C656" s="154"/>
      <c r="D656" s="154"/>
      <c r="E656" s="154"/>
      <c r="F656" s="154"/>
      <c r="G656" s="154"/>
      <c r="H656" s="154"/>
      <c r="I656" s="154"/>
      <c r="J656" s="154"/>
      <c r="K656" s="154"/>
      <c r="L656" s="154"/>
      <c r="M656" s="154"/>
      <c r="N656" s="154"/>
      <c r="O656" s="154"/>
      <c r="P656" s="154"/>
      <c r="Q656" s="419"/>
      <c r="R656" s="419"/>
      <c r="S656" s="419"/>
      <c r="T656" s="419"/>
      <c r="U656" s="419"/>
      <c r="V656" s="419"/>
      <c r="W656" s="419"/>
      <c r="X656" s="419"/>
      <c r="Y656" s="154"/>
      <c r="Z656" s="154"/>
      <c r="AA656" s="154"/>
      <c r="AB656" s="154"/>
      <c r="AC656" s="154"/>
      <c r="AD656" s="154"/>
      <c r="AE656" s="154"/>
      <c r="AF656" s="154"/>
      <c r="AG656" s="420"/>
      <c r="AH656" s="420"/>
      <c r="AI656" s="420"/>
      <c r="AJ656" s="420"/>
      <c r="AK656" s="420"/>
      <c r="AL656" s="420"/>
      <c r="AM656" s="420"/>
      <c r="AN656" s="420"/>
      <c r="AO656" s="420"/>
      <c r="AP656" s="420"/>
      <c r="AQ656" s="420"/>
      <c r="AR656" s="420"/>
      <c r="AS656" s="420"/>
      <c r="AT656" s="420"/>
      <c r="AU656" s="420"/>
      <c r="AV656" s="420"/>
      <c r="AW656" s="420"/>
      <c r="AX656" s="420"/>
      <c r="AY656" s="420"/>
      <c r="AZ656" s="420"/>
      <c r="BA656" s="420"/>
      <c r="BB656" s="154"/>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row>
    <row r="657" spans="1:111" ht="9" customHeight="1">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420"/>
      <c r="AH657" s="420"/>
      <c r="AI657" s="420"/>
      <c r="AJ657" s="420"/>
      <c r="AK657" s="420"/>
      <c r="AL657" s="420"/>
      <c r="AM657" s="420"/>
      <c r="AN657" s="420"/>
      <c r="AO657" s="420"/>
      <c r="AP657" s="420"/>
      <c r="AQ657" s="420"/>
      <c r="AR657" s="420"/>
      <c r="AS657" s="420"/>
      <c r="AT657" s="420"/>
      <c r="AU657" s="420"/>
      <c r="AV657" s="420"/>
      <c r="AW657" s="420"/>
      <c r="AX657" s="420"/>
      <c r="AY657" s="420"/>
      <c r="AZ657" s="420"/>
      <c r="BA657" s="420"/>
      <c r="BB657" s="154"/>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row>
    <row r="658" spans="1:111" ht="9" customHeight="1">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420"/>
      <c r="AH658" s="420"/>
      <c r="AI658" s="420"/>
      <c r="AJ658" s="420"/>
      <c r="AK658" s="420"/>
      <c r="AL658" s="420"/>
      <c r="AM658" s="420"/>
      <c r="AN658" s="420"/>
      <c r="AO658" s="420"/>
      <c r="AP658" s="420"/>
      <c r="AQ658" s="420"/>
      <c r="AR658" s="420"/>
      <c r="AS658" s="420"/>
      <c r="AT658" s="420"/>
      <c r="AU658" s="420"/>
      <c r="AV658" s="420"/>
      <c r="AW658" s="420"/>
      <c r="AX658" s="420"/>
      <c r="AY658" s="420"/>
      <c r="AZ658" s="420"/>
      <c r="BA658" s="420"/>
      <c r="BB658" s="154"/>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row>
    <row r="659" spans="1:111" ht="9" customHeight="1">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420"/>
      <c r="AH659" s="420"/>
      <c r="AI659" s="420"/>
      <c r="AJ659" s="420"/>
      <c r="AK659" s="420"/>
      <c r="AL659" s="420"/>
      <c r="AM659" s="420"/>
      <c r="AN659" s="420"/>
      <c r="AO659" s="420"/>
      <c r="AP659" s="420"/>
      <c r="AQ659" s="420"/>
      <c r="AR659" s="420"/>
      <c r="AS659" s="420"/>
      <c r="AT659" s="420"/>
      <c r="AU659" s="420"/>
      <c r="AV659" s="420"/>
      <c r="AW659" s="420"/>
      <c r="AX659" s="420"/>
      <c r="AY659" s="420"/>
      <c r="AZ659" s="420"/>
      <c r="BA659" s="420"/>
      <c r="BB659" s="154"/>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row>
    <row r="660" spans="1:111" ht="15" customHeight="1">
      <c r="B660" s="55"/>
      <c r="C660" s="55"/>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141"/>
      <c r="AL660" s="141"/>
      <c r="AM660" s="141"/>
      <c r="AN660" s="141"/>
      <c r="AO660" s="140"/>
      <c r="AP660" s="140"/>
      <c r="AQ660" s="140"/>
      <c r="AR660" s="140"/>
      <c r="AS660" s="142"/>
      <c r="AT660" s="142"/>
      <c r="AU660" s="142"/>
      <c r="AV660" s="142"/>
      <c r="AW660" s="140"/>
      <c r="AX660" s="140"/>
      <c r="AY660" s="140"/>
      <c r="AZ660" s="140"/>
      <c r="BA660" s="140"/>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row>
    <row r="661" spans="1:111" ht="15" customHeight="1">
      <c r="B661" s="55"/>
      <c r="C661" s="422" t="str">
        <f>IF($AA$165&gt;=18,"DESPESA 18","")</f>
        <v>DESPESA 18</v>
      </c>
      <c r="D661" s="422"/>
      <c r="E661" s="422"/>
      <c r="F661" s="422"/>
      <c r="G661" s="422"/>
      <c r="H661" s="422"/>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141"/>
      <c r="AL661" s="141"/>
      <c r="AM661" s="141"/>
      <c r="AN661" s="141"/>
      <c r="AO661" s="140"/>
      <c r="AP661" s="140"/>
      <c r="AQ661" s="140"/>
      <c r="AR661" s="140"/>
      <c r="AS661" s="142"/>
      <c r="AT661" s="142"/>
      <c r="AU661" s="142"/>
      <c r="AV661" s="142"/>
      <c r="AW661" s="140"/>
      <c r="AX661" s="140"/>
      <c r="AY661" s="140"/>
      <c r="AZ661" s="140"/>
      <c r="BA661" s="140"/>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row>
    <row r="662" spans="1:111" ht="4.5" customHeight="1">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row>
    <row r="663" spans="1:111" ht="9" customHeight="1">
      <c r="C663" s="416" t="str">
        <f>IF(C661="","","Descrição da Despesa:")</f>
        <v>Descrição da Despesa:</v>
      </c>
      <c r="D663" s="416"/>
      <c r="E663" s="416"/>
      <c r="F663" s="416"/>
      <c r="G663" s="416"/>
      <c r="H663" s="416"/>
      <c r="I663" s="60"/>
      <c r="J663" s="421" t="s">
        <v>590</v>
      </c>
      <c r="K663" s="421"/>
      <c r="L663" s="421"/>
      <c r="M663" s="421"/>
      <c r="N663" s="421"/>
      <c r="O663" s="421"/>
      <c r="P663" s="421"/>
      <c r="Q663" s="421"/>
      <c r="R663" s="421"/>
      <c r="S663" s="421"/>
      <c r="T663" s="421"/>
      <c r="U663" s="421"/>
      <c r="V663" s="421"/>
      <c r="W663" s="421"/>
      <c r="X663" s="421"/>
      <c r="Y663" s="421"/>
      <c r="Z663" s="421"/>
      <c r="AA663" s="421"/>
      <c r="AB663" s="421"/>
      <c r="AC663" s="421"/>
      <c r="AD663" s="421"/>
      <c r="AE663" s="421"/>
      <c r="AF663" s="421"/>
      <c r="AG663" s="421"/>
      <c r="AH663" s="421"/>
      <c r="AI663" s="421"/>
      <c r="AJ663" s="421"/>
      <c r="AK663" s="421"/>
      <c r="AL663" s="421"/>
      <c r="AM663" s="421"/>
      <c r="AN663" s="421"/>
      <c r="AO663" s="421"/>
      <c r="AP663" s="421"/>
      <c r="AQ663" s="421"/>
      <c r="AR663" s="421"/>
      <c r="AS663" s="421"/>
      <c r="AT663" s="421"/>
      <c r="AU663" s="421"/>
      <c r="AV663" s="421"/>
      <c r="AW663" s="421"/>
      <c r="AX663" s="421"/>
      <c r="AY663" s="421"/>
      <c r="AZ663" s="421"/>
      <c r="BA663" s="421"/>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row>
    <row r="664" spans="1:111" ht="9" customHeight="1">
      <c r="C664" s="416"/>
      <c r="D664" s="416"/>
      <c r="E664" s="416"/>
      <c r="F664" s="416"/>
      <c r="G664" s="416"/>
      <c r="H664" s="416"/>
      <c r="I664" s="60"/>
      <c r="J664" s="421"/>
      <c r="K664" s="421"/>
      <c r="L664" s="421"/>
      <c r="M664" s="421"/>
      <c r="N664" s="421"/>
      <c r="O664" s="421"/>
      <c r="P664" s="421"/>
      <c r="Q664" s="421"/>
      <c r="R664" s="421"/>
      <c r="S664" s="421"/>
      <c r="T664" s="421"/>
      <c r="U664" s="421"/>
      <c r="V664" s="421"/>
      <c r="W664" s="421"/>
      <c r="X664" s="421"/>
      <c r="Y664" s="421"/>
      <c r="Z664" s="421"/>
      <c r="AA664" s="421"/>
      <c r="AB664" s="421"/>
      <c r="AC664" s="421"/>
      <c r="AD664" s="421"/>
      <c r="AE664" s="421"/>
      <c r="AF664" s="421"/>
      <c r="AG664" s="421"/>
      <c r="AH664" s="421"/>
      <c r="AI664" s="421"/>
      <c r="AJ664" s="421"/>
      <c r="AK664" s="421"/>
      <c r="AL664" s="421"/>
      <c r="AM664" s="421"/>
      <c r="AN664" s="421"/>
      <c r="AO664" s="421"/>
      <c r="AP664" s="421"/>
      <c r="AQ664" s="421"/>
      <c r="AR664" s="421"/>
      <c r="AS664" s="421"/>
      <c r="AT664" s="421"/>
      <c r="AU664" s="421"/>
      <c r="AV664" s="421"/>
      <c r="AW664" s="421"/>
      <c r="AX664" s="421"/>
      <c r="AY664" s="421"/>
      <c r="AZ664" s="421"/>
      <c r="BA664" s="421"/>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row>
    <row r="665" spans="1:111" ht="9" customHeight="1">
      <c r="C665" s="416"/>
      <c r="D665" s="416"/>
      <c r="E665" s="416"/>
      <c r="F665" s="416"/>
      <c r="G665" s="416"/>
      <c r="H665" s="416"/>
      <c r="I665" s="60"/>
      <c r="J665" s="421"/>
      <c r="K665" s="421"/>
      <c r="L665" s="421"/>
      <c r="M665" s="421"/>
      <c r="N665" s="421"/>
      <c r="O665" s="421"/>
      <c r="P665" s="421"/>
      <c r="Q665" s="421"/>
      <c r="R665" s="421"/>
      <c r="S665" s="421"/>
      <c r="T665" s="421"/>
      <c r="U665" s="421"/>
      <c r="V665" s="421"/>
      <c r="W665" s="421"/>
      <c r="X665" s="421"/>
      <c r="Y665" s="421"/>
      <c r="Z665" s="421"/>
      <c r="AA665" s="421"/>
      <c r="AB665" s="421"/>
      <c r="AC665" s="421"/>
      <c r="AD665" s="421"/>
      <c r="AE665" s="421"/>
      <c r="AF665" s="421"/>
      <c r="AG665" s="421"/>
      <c r="AH665" s="421"/>
      <c r="AI665" s="421"/>
      <c r="AJ665" s="421"/>
      <c r="AK665" s="421"/>
      <c r="AL665" s="421"/>
      <c r="AM665" s="421"/>
      <c r="AN665" s="421"/>
      <c r="AO665" s="421"/>
      <c r="AP665" s="421"/>
      <c r="AQ665" s="421"/>
      <c r="AR665" s="421"/>
      <c r="AS665" s="421"/>
      <c r="AT665" s="421"/>
      <c r="AU665" s="421"/>
      <c r="AV665" s="421"/>
      <c r="AW665" s="421"/>
      <c r="AX665" s="421"/>
      <c r="AY665" s="421"/>
      <c r="AZ665" s="421"/>
      <c r="BA665" s="421"/>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row>
    <row r="666" spans="1:111" ht="4.5" customHeight="1">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row>
    <row r="667" spans="1:111" ht="9" customHeight="1">
      <c r="C667" s="416" t="str">
        <f>IF(C661="","","Elemento de Despesa:")</f>
        <v>Elemento de Despesa:</v>
      </c>
      <c r="D667" s="416"/>
      <c r="E667" s="416"/>
      <c r="F667" s="416"/>
      <c r="G667" s="416"/>
      <c r="H667" s="416"/>
      <c r="J667" s="421" t="s">
        <v>216</v>
      </c>
      <c r="K667" s="421"/>
      <c r="L667" s="421"/>
      <c r="M667" s="421"/>
      <c r="N667" s="421"/>
      <c r="O667" s="421"/>
      <c r="P667" s="421"/>
      <c r="Q667" s="421"/>
      <c r="R667" s="421"/>
      <c r="S667" s="421"/>
      <c r="T667" s="421"/>
      <c r="U667" s="421"/>
      <c r="V667" s="421"/>
      <c r="W667" s="421"/>
      <c r="X667" s="421"/>
      <c r="Y667" s="421"/>
      <c r="Z667" s="421"/>
      <c r="AA667" s="421"/>
      <c r="AB667" s="421"/>
      <c r="AC667" s="421"/>
      <c r="AD667" s="421"/>
      <c r="AE667" s="421"/>
      <c r="AF667" s="421"/>
      <c r="AG667" s="421"/>
      <c r="AH667" s="421"/>
      <c r="AI667" s="421"/>
      <c r="AJ667" s="421"/>
      <c r="AK667" s="421"/>
      <c r="AL667" s="421"/>
      <c r="AM667" s="421"/>
      <c r="AN667" s="421"/>
      <c r="AO667" s="421"/>
      <c r="AP667" s="421"/>
      <c r="AQ667" s="421"/>
      <c r="AR667" s="421"/>
      <c r="AS667" s="421"/>
      <c r="AT667" s="421"/>
      <c r="AU667" s="421"/>
      <c r="AV667" s="421"/>
      <c r="AW667" s="421"/>
      <c r="AX667" s="421"/>
      <c r="AY667" s="421"/>
      <c r="AZ667" s="421"/>
      <c r="BA667" s="421"/>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row>
    <row r="668" spans="1:111" ht="9" customHeight="1">
      <c r="C668" s="416"/>
      <c r="D668" s="416"/>
      <c r="E668" s="416"/>
      <c r="F668" s="416"/>
      <c r="G668" s="416"/>
      <c r="H668" s="416"/>
      <c r="J668" s="421"/>
      <c r="K668" s="421"/>
      <c r="L668" s="421"/>
      <c r="M668" s="421"/>
      <c r="N668" s="421"/>
      <c r="O668" s="421"/>
      <c r="P668" s="421"/>
      <c r="Q668" s="421"/>
      <c r="R668" s="421"/>
      <c r="S668" s="421"/>
      <c r="T668" s="421"/>
      <c r="U668" s="421"/>
      <c r="V668" s="421"/>
      <c r="W668" s="421"/>
      <c r="X668" s="421"/>
      <c r="Y668" s="421"/>
      <c r="Z668" s="421"/>
      <c r="AA668" s="421"/>
      <c r="AB668" s="421"/>
      <c r="AC668" s="421"/>
      <c r="AD668" s="421"/>
      <c r="AE668" s="421"/>
      <c r="AF668" s="421"/>
      <c r="AG668" s="421"/>
      <c r="AH668" s="421"/>
      <c r="AI668" s="421"/>
      <c r="AJ668" s="421"/>
      <c r="AK668" s="421"/>
      <c r="AL668" s="421"/>
      <c r="AM668" s="421"/>
      <c r="AN668" s="421"/>
      <c r="AO668" s="421"/>
      <c r="AP668" s="421"/>
      <c r="AQ668" s="421"/>
      <c r="AR668" s="421"/>
      <c r="AS668" s="421"/>
      <c r="AT668" s="421"/>
      <c r="AU668" s="421"/>
      <c r="AV668" s="421"/>
      <c r="AW668" s="421"/>
      <c r="AX668" s="421"/>
      <c r="AY668" s="421"/>
      <c r="AZ668" s="421"/>
      <c r="BA668" s="421"/>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row>
    <row r="669" spans="1:111" ht="9" customHeight="1">
      <c r="C669" s="416"/>
      <c r="D669" s="416"/>
      <c r="E669" s="416"/>
      <c r="F669" s="416"/>
      <c r="G669" s="416"/>
      <c r="H669" s="416"/>
      <c r="J669" s="421"/>
      <c r="K669" s="421"/>
      <c r="L669" s="421"/>
      <c r="M669" s="421"/>
      <c r="N669" s="421"/>
      <c r="O669" s="421"/>
      <c r="P669" s="421"/>
      <c r="Q669" s="421"/>
      <c r="R669" s="421"/>
      <c r="S669" s="421"/>
      <c r="T669" s="421"/>
      <c r="U669" s="421"/>
      <c r="V669" s="421"/>
      <c r="W669" s="421"/>
      <c r="X669" s="421"/>
      <c r="Y669" s="421"/>
      <c r="Z669" s="421"/>
      <c r="AA669" s="421"/>
      <c r="AB669" s="421"/>
      <c r="AC669" s="421"/>
      <c r="AD669" s="421"/>
      <c r="AE669" s="421"/>
      <c r="AF669" s="421"/>
      <c r="AG669" s="421"/>
      <c r="AH669" s="421"/>
      <c r="AI669" s="421"/>
      <c r="AJ669" s="421"/>
      <c r="AK669" s="421"/>
      <c r="AL669" s="421"/>
      <c r="AM669" s="421"/>
      <c r="AN669" s="421"/>
      <c r="AO669" s="421"/>
      <c r="AP669" s="421"/>
      <c r="AQ669" s="421"/>
      <c r="AR669" s="421"/>
      <c r="AS669" s="421"/>
      <c r="AT669" s="421"/>
      <c r="AU669" s="421"/>
      <c r="AV669" s="421"/>
      <c r="AW669" s="421"/>
      <c r="AX669" s="421"/>
      <c r="AY669" s="421"/>
      <c r="AZ669" s="421"/>
      <c r="BA669" s="421"/>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row>
    <row r="670" spans="1:111" ht="4.5" customHeight="1">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row>
    <row r="671" spans="1:111" ht="9" customHeight="1">
      <c r="A671" s="61" t="str">
        <f>CONCATENATE(Q671,AC671)</f>
        <v>52</v>
      </c>
      <c r="J671" s="416" t="str">
        <f>IF(C661="","","Meta Vinculada:")</f>
        <v>Meta Vinculada:</v>
      </c>
      <c r="K671" s="416"/>
      <c r="L671" s="416"/>
      <c r="M671" s="416"/>
      <c r="N671" s="416"/>
      <c r="O671" s="416"/>
      <c r="Q671" s="417">
        <v>5</v>
      </c>
      <c r="R671" s="417"/>
      <c r="S671" s="417"/>
      <c r="T671" s="417"/>
      <c r="U671" s="56"/>
      <c r="V671" s="416" t="str">
        <f>IF(C661="","","Etapa Vinculada:")</f>
        <v>Etapa Vinculada:</v>
      </c>
      <c r="W671" s="416"/>
      <c r="X671" s="416"/>
      <c r="Y671" s="416"/>
      <c r="Z671" s="416"/>
      <c r="AA671" s="416"/>
      <c r="AC671" s="417">
        <v>2</v>
      </c>
      <c r="AD671" s="417"/>
      <c r="AE671" s="417"/>
      <c r="AF671" s="417"/>
      <c r="AG671" s="56"/>
      <c r="AH671" s="56"/>
      <c r="AI671" s="56"/>
      <c r="AJ671" s="56"/>
      <c r="AK671" s="141"/>
      <c r="AL671" s="141"/>
      <c r="AM671" s="141"/>
      <c r="AN671" s="141"/>
      <c r="AO671" s="140"/>
      <c r="AP671" s="140"/>
      <c r="AQ671" s="140"/>
      <c r="AR671" s="140"/>
      <c r="AS671" s="142"/>
      <c r="AT671" s="142"/>
      <c r="AU671" s="142"/>
      <c r="AV671" s="142"/>
      <c r="AW671" s="140"/>
      <c r="AX671" s="140"/>
      <c r="AY671" s="140"/>
      <c r="AZ671" s="140"/>
      <c r="BA671" s="140"/>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row>
    <row r="672" spans="1:111" ht="9" customHeight="1">
      <c r="B672" s="55"/>
      <c r="C672" s="55"/>
      <c r="D672" s="56"/>
      <c r="E672" s="56"/>
      <c r="F672" s="56"/>
      <c r="G672" s="56"/>
      <c r="H672" s="56"/>
      <c r="I672" s="56"/>
      <c r="J672" s="416"/>
      <c r="K672" s="416"/>
      <c r="L672" s="416"/>
      <c r="M672" s="416"/>
      <c r="N672" s="416"/>
      <c r="O672" s="416"/>
      <c r="Q672" s="417"/>
      <c r="R672" s="417"/>
      <c r="S672" s="417"/>
      <c r="T672" s="417"/>
      <c r="U672" s="56"/>
      <c r="V672" s="416"/>
      <c r="W672" s="416"/>
      <c r="X672" s="416"/>
      <c r="Y672" s="416"/>
      <c r="Z672" s="416"/>
      <c r="AA672" s="416"/>
      <c r="AC672" s="417"/>
      <c r="AD672" s="417"/>
      <c r="AE672" s="417"/>
      <c r="AF672" s="417"/>
      <c r="AG672" s="56"/>
      <c r="AH672" s="56"/>
      <c r="AI672" s="56"/>
      <c r="AJ672" s="56"/>
      <c r="AK672" s="141"/>
      <c r="AL672" s="141"/>
      <c r="AM672" s="141"/>
      <c r="AN672" s="141"/>
      <c r="AO672" s="140"/>
      <c r="AP672" s="140"/>
      <c r="AQ672" s="140"/>
      <c r="AR672" s="140"/>
      <c r="AS672" s="142"/>
      <c r="AT672" s="142"/>
      <c r="AU672" s="142"/>
      <c r="AV672" s="142"/>
      <c r="AW672" s="140"/>
      <c r="AX672" s="140"/>
      <c r="AY672" s="140"/>
      <c r="AZ672" s="140"/>
      <c r="BA672" s="140"/>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row>
    <row r="673" spans="1:111" ht="9" customHeight="1">
      <c r="Q673" s="417"/>
      <c r="R673" s="417"/>
      <c r="S673" s="417"/>
      <c r="T673" s="417"/>
      <c r="AC673" s="417"/>
      <c r="AD673" s="417"/>
      <c r="AE673" s="417"/>
      <c r="AF673" s="417"/>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row>
    <row r="674" spans="1:111" ht="4.5" customHeight="1">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row>
    <row r="675" spans="1:111" ht="9" customHeight="1">
      <c r="A675" s="154"/>
      <c r="B675" s="154"/>
      <c r="C675" s="154"/>
      <c r="D675" s="154"/>
      <c r="E675" s="154"/>
      <c r="F675" s="154"/>
      <c r="G675" s="154"/>
      <c r="H675" s="154"/>
      <c r="I675" s="154"/>
      <c r="J675" s="416" t="str">
        <f>IF(C661="","","Quantidade:")</f>
        <v>Quantidade:</v>
      </c>
      <c r="K675" s="416"/>
      <c r="L675" s="416"/>
      <c r="M675" s="416"/>
      <c r="N675" s="416"/>
      <c r="O675" s="416"/>
      <c r="P675" s="154"/>
      <c r="Q675" s="417">
        <v>1</v>
      </c>
      <c r="R675" s="417"/>
      <c r="S675" s="417"/>
      <c r="T675" s="417"/>
      <c r="U675" s="154"/>
      <c r="V675" s="416" t="str">
        <f>IF(C661="","","Unidade:")</f>
        <v>Unidade:</v>
      </c>
      <c r="W675" s="416"/>
      <c r="X675" s="416"/>
      <c r="Y675" s="416"/>
      <c r="Z675" s="416"/>
      <c r="AA675" s="416"/>
      <c r="AB675" s="154"/>
      <c r="AC675" s="418" t="s">
        <v>591</v>
      </c>
      <c r="AD675" s="418"/>
      <c r="AE675" s="418"/>
      <c r="AF675" s="418"/>
      <c r="AG675" s="418"/>
      <c r="AH675" s="418"/>
      <c r="AI675" s="418"/>
      <c r="AJ675" s="418"/>
      <c r="AK675" s="418"/>
      <c r="AL675" s="418"/>
      <c r="AM675" s="418"/>
      <c r="AN675" s="418"/>
      <c r="AO675" s="418"/>
      <c r="AP675" s="418"/>
      <c r="AQ675" s="418"/>
      <c r="AR675" s="418"/>
      <c r="AS675" s="418"/>
      <c r="AT675" s="418"/>
      <c r="AU675" s="418"/>
      <c r="AV675" s="418"/>
      <c r="AW675" s="418"/>
      <c r="AX675" s="418"/>
      <c r="AY675" s="418"/>
      <c r="AZ675" s="418"/>
      <c r="BA675" s="418"/>
      <c r="BB675" s="154"/>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row>
    <row r="676" spans="1:111" ht="9" customHeight="1">
      <c r="A676" s="154"/>
      <c r="B676" s="154"/>
      <c r="C676" s="154"/>
      <c r="D676" s="154"/>
      <c r="E676" s="154"/>
      <c r="F676" s="154"/>
      <c r="G676" s="154"/>
      <c r="H676" s="154"/>
      <c r="I676" s="154"/>
      <c r="J676" s="416"/>
      <c r="K676" s="416"/>
      <c r="L676" s="416"/>
      <c r="M676" s="416"/>
      <c r="N676" s="416"/>
      <c r="O676" s="416"/>
      <c r="P676" s="154"/>
      <c r="Q676" s="417"/>
      <c r="R676" s="417"/>
      <c r="S676" s="417"/>
      <c r="T676" s="417"/>
      <c r="U676" s="154"/>
      <c r="V676" s="416"/>
      <c r="W676" s="416"/>
      <c r="X676" s="416"/>
      <c r="Y676" s="416"/>
      <c r="Z676" s="416"/>
      <c r="AA676" s="416"/>
      <c r="AB676" s="154"/>
      <c r="AC676" s="418"/>
      <c r="AD676" s="418"/>
      <c r="AE676" s="418"/>
      <c r="AF676" s="418"/>
      <c r="AG676" s="418"/>
      <c r="AH676" s="418"/>
      <c r="AI676" s="418"/>
      <c r="AJ676" s="418"/>
      <c r="AK676" s="418"/>
      <c r="AL676" s="418"/>
      <c r="AM676" s="418"/>
      <c r="AN676" s="418"/>
      <c r="AO676" s="418"/>
      <c r="AP676" s="418"/>
      <c r="AQ676" s="418"/>
      <c r="AR676" s="418"/>
      <c r="AS676" s="418"/>
      <c r="AT676" s="418"/>
      <c r="AU676" s="418"/>
      <c r="AV676" s="418"/>
      <c r="AW676" s="418"/>
      <c r="AX676" s="418"/>
      <c r="AY676" s="418"/>
      <c r="AZ676" s="418"/>
      <c r="BA676" s="418"/>
      <c r="BB676" s="154"/>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row>
    <row r="677" spans="1:111" ht="9" customHeight="1">
      <c r="A677" s="154"/>
      <c r="B677" s="154"/>
      <c r="C677" s="154"/>
      <c r="D677" s="154"/>
      <c r="E677" s="154"/>
      <c r="F677" s="154"/>
      <c r="G677" s="154"/>
      <c r="H677" s="154"/>
      <c r="I677" s="154"/>
      <c r="J677" s="154"/>
      <c r="K677" s="154"/>
      <c r="L677" s="154"/>
      <c r="M677" s="154"/>
      <c r="N677" s="154"/>
      <c r="O677" s="154"/>
      <c r="P677" s="154"/>
      <c r="Q677" s="417"/>
      <c r="R677" s="417"/>
      <c r="S677" s="417"/>
      <c r="T677" s="417"/>
      <c r="U677" s="154"/>
      <c r="V677" s="154"/>
      <c r="W677" s="154"/>
      <c r="X677" s="154"/>
      <c r="Y677" s="154"/>
      <c r="Z677" s="154"/>
      <c r="AA677" s="154"/>
      <c r="AB677" s="154"/>
      <c r="AC677" s="418"/>
      <c r="AD677" s="418"/>
      <c r="AE677" s="418"/>
      <c r="AF677" s="418"/>
      <c r="AG677" s="418"/>
      <c r="AH677" s="418"/>
      <c r="AI677" s="418"/>
      <c r="AJ677" s="418"/>
      <c r="AK677" s="418"/>
      <c r="AL677" s="418"/>
      <c r="AM677" s="418"/>
      <c r="AN677" s="418"/>
      <c r="AO677" s="418"/>
      <c r="AP677" s="418"/>
      <c r="AQ677" s="418"/>
      <c r="AR677" s="418"/>
      <c r="AS677" s="418"/>
      <c r="AT677" s="418"/>
      <c r="AU677" s="418"/>
      <c r="AV677" s="418"/>
      <c r="AW677" s="418"/>
      <c r="AX677" s="418"/>
      <c r="AY677" s="418"/>
      <c r="AZ677" s="418"/>
      <c r="BA677" s="418"/>
      <c r="BB677" s="154"/>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row>
    <row r="678" spans="1:111" ht="4.5" customHeight="1">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row>
    <row r="679" spans="1:111" ht="9" customHeight="1">
      <c r="A679" s="154"/>
      <c r="B679" s="154"/>
      <c r="C679" s="154"/>
      <c r="D679" s="154"/>
      <c r="E679" s="154"/>
      <c r="F679" s="154"/>
      <c r="G679" s="154"/>
      <c r="H679" s="154"/>
      <c r="I679" s="154"/>
      <c r="J679" s="416" t="str">
        <f>IF(C661="","","Valor Unitário (R$):")</f>
        <v>Valor Unitário (R$):</v>
      </c>
      <c r="K679" s="416"/>
      <c r="L679" s="416"/>
      <c r="M679" s="416"/>
      <c r="N679" s="416"/>
      <c r="O679" s="416"/>
      <c r="P679" s="154"/>
      <c r="Q679" s="419">
        <v>22750</v>
      </c>
      <c r="R679" s="419"/>
      <c r="S679" s="419"/>
      <c r="T679" s="419"/>
      <c r="U679" s="419"/>
      <c r="V679" s="419"/>
      <c r="W679" s="419"/>
      <c r="X679" s="419"/>
      <c r="Y679" s="154"/>
      <c r="Z679" s="416" t="str">
        <f>IF(C661="","",IF(J667="52 Equipamentos e Material Permanente","Tempo de Uso:",""))</f>
        <v/>
      </c>
      <c r="AA679" s="416"/>
      <c r="AB679" s="416"/>
      <c r="AC679" s="416"/>
      <c r="AD679" s="416"/>
      <c r="AE679" s="416"/>
      <c r="AF679" s="154"/>
      <c r="AG679" s="420"/>
      <c r="AH679" s="420"/>
      <c r="AI679" s="420"/>
      <c r="AJ679" s="420"/>
      <c r="AK679" s="420"/>
      <c r="AL679" s="420"/>
      <c r="AM679" s="420"/>
      <c r="AN679" s="420"/>
      <c r="AO679" s="420"/>
      <c r="AP679" s="420"/>
      <c r="AQ679" s="420"/>
      <c r="AR679" s="420"/>
      <c r="AS679" s="420"/>
      <c r="AT679" s="420"/>
      <c r="AU679" s="420"/>
      <c r="AV679" s="420"/>
      <c r="AW679" s="420"/>
      <c r="AX679" s="420"/>
      <c r="AY679" s="420"/>
      <c r="AZ679" s="420"/>
      <c r="BA679" s="420"/>
      <c r="BB679" s="154"/>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row>
    <row r="680" spans="1:111" ht="9" customHeight="1">
      <c r="A680" s="154"/>
      <c r="B680" s="154"/>
      <c r="C680" s="154"/>
      <c r="D680" s="154"/>
      <c r="E680" s="154"/>
      <c r="F680" s="154"/>
      <c r="G680" s="154"/>
      <c r="H680" s="154"/>
      <c r="I680" s="154"/>
      <c r="J680" s="416"/>
      <c r="K680" s="416"/>
      <c r="L680" s="416"/>
      <c r="M680" s="416"/>
      <c r="N680" s="416"/>
      <c r="O680" s="416"/>
      <c r="P680" s="154"/>
      <c r="Q680" s="419"/>
      <c r="R680" s="419"/>
      <c r="S680" s="419"/>
      <c r="T680" s="419"/>
      <c r="U680" s="419"/>
      <c r="V680" s="419"/>
      <c r="W680" s="419"/>
      <c r="X680" s="419"/>
      <c r="Y680" s="154"/>
      <c r="Z680" s="416"/>
      <c r="AA680" s="416"/>
      <c r="AB680" s="416"/>
      <c r="AC680" s="416"/>
      <c r="AD680" s="416"/>
      <c r="AE680" s="416"/>
      <c r="AF680" s="154"/>
      <c r="AG680" s="420"/>
      <c r="AH680" s="420"/>
      <c r="AI680" s="420"/>
      <c r="AJ680" s="420"/>
      <c r="AK680" s="420"/>
      <c r="AL680" s="420"/>
      <c r="AM680" s="420"/>
      <c r="AN680" s="420"/>
      <c r="AO680" s="420"/>
      <c r="AP680" s="420"/>
      <c r="AQ680" s="420"/>
      <c r="AR680" s="420"/>
      <c r="AS680" s="420"/>
      <c r="AT680" s="420"/>
      <c r="AU680" s="420"/>
      <c r="AV680" s="420"/>
      <c r="AW680" s="420"/>
      <c r="AX680" s="420"/>
      <c r="AY680" s="420"/>
      <c r="AZ680" s="420"/>
      <c r="BA680" s="420"/>
      <c r="BB680" s="154"/>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row>
    <row r="681" spans="1:111" ht="9" customHeight="1">
      <c r="A681" s="154"/>
      <c r="B681" s="154"/>
      <c r="C681" s="154"/>
      <c r="D681" s="154"/>
      <c r="E681" s="154"/>
      <c r="F681" s="154"/>
      <c r="G681" s="154"/>
      <c r="H681" s="154"/>
      <c r="I681" s="154"/>
      <c r="J681" s="154"/>
      <c r="K681" s="154"/>
      <c r="L681" s="154"/>
      <c r="M681" s="154"/>
      <c r="N681" s="154"/>
      <c r="O681" s="154"/>
      <c r="P681" s="154"/>
      <c r="Q681" s="419"/>
      <c r="R681" s="419"/>
      <c r="S681" s="419"/>
      <c r="T681" s="419"/>
      <c r="U681" s="419"/>
      <c r="V681" s="419"/>
      <c r="W681" s="419"/>
      <c r="X681" s="419"/>
      <c r="Y681" s="154"/>
      <c r="Z681" s="154"/>
      <c r="AA681" s="154"/>
      <c r="AB681" s="154"/>
      <c r="AC681" s="154"/>
      <c r="AD681" s="154"/>
      <c r="AE681" s="154"/>
      <c r="AF681" s="154"/>
      <c r="AG681" s="420"/>
      <c r="AH681" s="420"/>
      <c r="AI681" s="420"/>
      <c r="AJ681" s="420"/>
      <c r="AK681" s="420"/>
      <c r="AL681" s="420"/>
      <c r="AM681" s="420"/>
      <c r="AN681" s="420"/>
      <c r="AO681" s="420"/>
      <c r="AP681" s="420"/>
      <c r="AQ681" s="420"/>
      <c r="AR681" s="420"/>
      <c r="AS681" s="420"/>
      <c r="AT681" s="420"/>
      <c r="AU681" s="420"/>
      <c r="AV681" s="420"/>
      <c r="AW681" s="420"/>
      <c r="AX681" s="420"/>
      <c r="AY681" s="420"/>
      <c r="AZ681" s="420"/>
      <c r="BA681" s="420"/>
      <c r="BB681" s="154"/>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row>
    <row r="682" spans="1:111" ht="4.5" customHeight="1">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row>
    <row r="683" spans="1:111" ht="9" customHeight="1">
      <c r="A683" s="154"/>
      <c r="B683" s="154"/>
      <c r="C683" s="154"/>
      <c r="D683" s="154"/>
      <c r="E683" s="154"/>
      <c r="F683" s="154"/>
      <c r="G683" s="154"/>
      <c r="H683" s="154"/>
      <c r="I683" s="154"/>
      <c r="J683" s="416" t="str">
        <f>IF(C661="","","Valor Total (R$):")</f>
        <v>Valor Total (R$):</v>
      </c>
      <c r="K683" s="416"/>
      <c r="L683" s="416"/>
      <c r="M683" s="416"/>
      <c r="N683" s="416"/>
      <c r="O683" s="416"/>
      <c r="P683" s="154"/>
      <c r="Q683" s="419">
        <f>IF(Q679="","",Q675*Q679)</f>
        <v>22750</v>
      </c>
      <c r="R683" s="419"/>
      <c r="S683" s="419"/>
      <c r="T683" s="419"/>
      <c r="U683" s="419"/>
      <c r="V683" s="419"/>
      <c r="W683" s="419"/>
      <c r="X683" s="419"/>
      <c r="Y683" s="154"/>
      <c r="Z683" s="416" t="str">
        <f>IF(C661="","",IF(J667="52 Equipamentos e Material Permanente","Justificativa e Utilização:",""))</f>
        <v/>
      </c>
      <c r="AA683" s="416"/>
      <c r="AB683" s="416"/>
      <c r="AC683" s="416"/>
      <c r="AD683" s="416"/>
      <c r="AE683" s="416"/>
      <c r="AF683" s="154"/>
      <c r="AG683" s="420"/>
      <c r="AH683" s="420"/>
      <c r="AI683" s="420"/>
      <c r="AJ683" s="420"/>
      <c r="AK683" s="420"/>
      <c r="AL683" s="420"/>
      <c r="AM683" s="420"/>
      <c r="AN683" s="420"/>
      <c r="AO683" s="420"/>
      <c r="AP683" s="420"/>
      <c r="AQ683" s="420"/>
      <c r="AR683" s="420"/>
      <c r="AS683" s="420"/>
      <c r="AT683" s="420"/>
      <c r="AU683" s="420"/>
      <c r="AV683" s="420"/>
      <c r="AW683" s="420"/>
      <c r="AX683" s="420"/>
      <c r="AY683" s="420"/>
      <c r="AZ683" s="420"/>
      <c r="BA683" s="420"/>
      <c r="BB683" s="154"/>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row>
    <row r="684" spans="1:111" ht="9" customHeight="1">
      <c r="A684" s="154"/>
      <c r="B684" s="154"/>
      <c r="C684" s="154"/>
      <c r="D684" s="154"/>
      <c r="E684" s="154"/>
      <c r="F684" s="154"/>
      <c r="G684" s="154"/>
      <c r="H684" s="154"/>
      <c r="I684" s="154"/>
      <c r="J684" s="416"/>
      <c r="K684" s="416"/>
      <c r="L684" s="416"/>
      <c r="M684" s="416"/>
      <c r="N684" s="416"/>
      <c r="O684" s="416"/>
      <c r="P684" s="154"/>
      <c r="Q684" s="419"/>
      <c r="R684" s="419"/>
      <c r="S684" s="419"/>
      <c r="T684" s="419"/>
      <c r="U684" s="419"/>
      <c r="V684" s="419"/>
      <c r="W684" s="419"/>
      <c r="X684" s="419"/>
      <c r="Y684" s="154"/>
      <c r="Z684" s="416"/>
      <c r="AA684" s="416"/>
      <c r="AB684" s="416"/>
      <c r="AC684" s="416"/>
      <c r="AD684" s="416"/>
      <c r="AE684" s="416"/>
      <c r="AF684" s="154"/>
      <c r="AG684" s="420"/>
      <c r="AH684" s="420"/>
      <c r="AI684" s="420"/>
      <c r="AJ684" s="420"/>
      <c r="AK684" s="420"/>
      <c r="AL684" s="420"/>
      <c r="AM684" s="420"/>
      <c r="AN684" s="420"/>
      <c r="AO684" s="420"/>
      <c r="AP684" s="420"/>
      <c r="AQ684" s="420"/>
      <c r="AR684" s="420"/>
      <c r="AS684" s="420"/>
      <c r="AT684" s="420"/>
      <c r="AU684" s="420"/>
      <c r="AV684" s="420"/>
      <c r="AW684" s="420"/>
      <c r="AX684" s="420"/>
      <c r="AY684" s="420"/>
      <c r="AZ684" s="420"/>
      <c r="BA684" s="420"/>
      <c r="BB684" s="154"/>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row>
    <row r="685" spans="1:111" ht="9" customHeight="1">
      <c r="A685" s="154"/>
      <c r="B685" s="154"/>
      <c r="C685" s="154"/>
      <c r="D685" s="154"/>
      <c r="E685" s="154"/>
      <c r="F685" s="154"/>
      <c r="G685" s="154"/>
      <c r="H685" s="154"/>
      <c r="I685" s="154"/>
      <c r="J685" s="154"/>
      <c r="K685" s="154"/>
      <c r="L685" s="154"/>
      <c r="M685" s="154"/>
      <c r="N685" s="154"/>
      <c r="O685" s="154"/>
      <c r="P685" s="154"/>
      <c r="Q685" s="419"/>
      <c r="R685" s="419"/>
      <c r="S685" s="419"/>
      <c r="T685" s="419"/>
      <c r="U685" s="419"/>
      <c r="V685" s="419"/>
      <c r="W685" s="419"/>
      <c r="X685" s="419"/>
      <c r="Y685" s="154"/>
      <c r="Z685" s="154"/>
      <c r="AA685" s="154"/>
      <c r="AB685" s="154"/>
      <c r="AC685" s="154"/>
      <c r="AD685" s="154"/>
      <c r="AE685" s="154"/>
      <c r="AF685" s="154"/>
      <c r="AG685" s="420"/>
      <c r="AH685" s="420"/>
      <c r="AI685" s="420"/>
      <c r="AJ685" s="420"/>
      <c r="AK685" s="420"/>
      <c r="AL685" s="420"/>
      <c r="AM685" s="420"/>
      <c r="AN685" s="420"/>
      <c r="AO685" s="420"/>
      <c r="AP685" s="420"/>
      <c r="AQ685" s="420"/>
      <c r="AR685" s="420"/>
      <c r="AS685" s="420"/>
      <c r="AT685" s="420"/>
      <c r="AU685" s="420"/>
      <c r="AV685" s="420"/>
      <c r="AW685" s="420"/>
      <c r="AX685" s="420"/>
      <c r="AY685" s="420"/>
      <c r="AZ685" s="420"/>
      <c r="BA685" s="420"/>
      <c r="BB685" s="154"/>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row>
    <row r="686" spans="1:111" ht="9" customHeight="1">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420"/>
      <c r="AH686" s="420"/>
      <c r="AI686" s="420"/>
      <c r="AJ686" s="420"/>
      <c r="AK686" s="420"/>
      <c r="AL686" s="420"/>
      <c r="AM686" s="420"/>
      <c r="AN686" s="420"/>
      <c r="AO686" s="420"/>
      <c r="AP686" s="420"/>
      <c r="AQ686" s="420"/>
      <c r="AR686" s="420"/>
      <c r="AS686" s="420"/>
      <c r="AT686" s="420"/>
      <c r="AU686" s="420"/>
      <c r="AV686" s="420"/>
      <c r="AW686" s="420"/>
      <c r="AX686" s="420"/>
      <c r="AY686" s="420"/>
      <c r="AZ686" s="420"/>
      <c r="BA686" s="420"/>
      <c r="BB686" s="154"/>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row>
    <row r="687" spans="1:111" ht="9" customHeight="1">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420"/>
      <c r="AH687" s="420"/>
      <c r="AI687" s="420"/>
      <c r="AJ687" s="420"/>
      <c r="AK687" s="420"/>
      <c r="AL687" s="420"/>
      <c r="AM687" s="420"/>
      <c r="AN687" s="420"/>
      <c r="AO687" s="420"/>
      <c r="AP687" s="420"/>
      <c r="AQ687" s="420"/>
      <c r="AR687" s="420"/>
      <c r="AS687" s="420"/>
      <c r="AT687" s="420"/>
      <c r="AU687" s="420"/>
      <c r="AV687" s="420"/>
      <c r="AW687" s="420"/>
      <c r="AX687" s="420"/>
      <c r="AY687" s="420"/>
      <c r="AZ687" s="420"/>
      <c r="BA687" s="420"/>
      <c r="BB687" s="154"/>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row>
    <row r="688" spans="1:111" ht="9" customHeight="1">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420"/>
      <c r="AH688" s="420"/>
      <c r="AI688" s="420"/>
      <c r="AJ688" s="420"/>
      <c r="AK688" s="420"/>
      <c r="AL688" s="420"/>
      <c r="AM688" s="420"/>
      <c r="AN688" s="420"/>
      <c r="AO688" s="420"/>
      <c r="AP688" s="420"/>
      <c r="AQ688" s="420"/>
      <c r="AR688" s="420"/>
      <c r="AS688" s="420"/>
      <c r="AT688" s="420"/>
      <c r="AU688" s="420"/>
      <c r="AV688" s="420"/>
      <c r="AW688" s="420"/>
      <c r="AX688" s="420"/>
      <c r="AY688" s="420"/>
      <c r="AZ688" s="420"/>
      <c r="BA688" s="420"/>
      <c r="BB688" s="154"/>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row>
    <row r="689" spans="1:111" ht="15" customHeight="1">
      <c r="B689" s="55"/>
      <c r="C689" s="55"/>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141"/>
      <c r="AL689" s="141"/>
      <c r="AM689" s="141"/>
      <c r="AN689" s="141"/>
      <c r="AO689" s="140"/>
      <c r="AP689" s="140"/>
      <c r="AQ689" s="140"/>
      <c r="AR689" s="140"/>
      <c r="AS689" s="142"/>
      <c r="AT689" s="142"/>
      <c r="AU689" s="142"/>
      <c r="AV689" s="142"/>
      <c r="AW689" s="140"/>
      <c r="AX689" s="140"/>
      <c r="AY689" s="140"/>
      <c r="AZ689" s="140"/>
      <c r="BA689" s="140"/>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row>
    <row r="690" spans="1:111" ht="15" customHeight="1">
      <c r="B690" s="55"/>
      <c r="C690" s="422" t="str">
        <f>IF($AA$165&gt;=19,"DESPESA 19","")</f>
        <v>DESPESA 19</v>
      </c>
      <c r="D690" s="422"/>
      <c r="E690" s="422"/>
      <c r="F690" s="422"/>
      <c r="G690" s="422"/>
      <c r="H690" s="422"/>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141"/>
      <c r="AL690" s="141"/>
      <c r="AM690" s="141"/>
      <c r="AN690" s="141"/>
      <c r="AO690" s="140"/>
      <c r="AP690" s="140"/>
      <c r="AQ690" s="140"/>
      <c r="AR690" s="140"/>
      <c r="AS690" s="142"/>
      <c r="AT690" s="142"/>
      <c r="AU690" s="142"/>
      <c r="AV690" s="142"/>
      <c r="AW690" s="140"/>
      <c r="AX690" s="140"/>
      <c r="AY690" s="140"/>
      <c r="AZ690" s="140"/>
      <c r="BA690" s="140"/>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row>
    <row r="691" spans="1:111" ht="4.5" customHeight="1">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row>
    <row r="692" spans="1:111" ht="9" customHeight="1">
      <c r="C692" s="416" t="str">
        <f>IF(C690="","","Descrição da Despesa:")</f>
        <v>Descrição da Despesa:</v>
      </c>
      <c r="D692" s="416"/>
      <c r="E692" s="416"/>
      <c r="F692" s="416"/>
      <c r="G692" s="416"/>
      <c r="H692" s="416"/>
      <c r="I692" s="60"/>
      <c r="J692" s="421" t="s">
        <v>588</v>
      </c>
      <c r="K692" s="421"/>
      <c r="L692" s="421"/>
      <c r="M692" s="421"/>
      <c r="N692" s="421"/>
      <c r="O692" s="421"/>
      <c r="P692" s="421"/>
      <c r="Q692" s="421"/>
      <c r="R692" s="421"/>
      <c r="S692" s="421"/>
      <c r="T692" s="421"/>
      <c r="U692" s="421"/>
      <c r="V692" s="421"/>
      <c r="W692" s="421"/>
      <c r="X692" s="421"/>
      <c r="Y692" s="421"/>
      <c r="Z692" s="421"/>
      <c r="AA692" s="421"/>
      <c r="AB692" s="421"/>
      <c r="AC692" s="421"/>
      <c r="AD692" s="421"/>
      <c r="AE692" s="421"/>
      <c r="AF692" s="421"/>
      <c r="AG692" s="421"/>
      <c r="AH692" s="421"/>
      <c r="AI692" s="421"/>
      <c r="AJ692" s="421"/>
      <c r="AK692" s="421"/>
      <c r="AL692" s="421"/>
      <c r="AM692" s="421"/>
      <c r="AN692" s="421"/>
      <c r="AO692" s="421"/>
      <c r="AP692" s="421"/>
      <c r="AQ692" s="421"/>
      <c r="AR692" s="421"/>
      <c r="AS692" s="421"/>
      <c r="AT692" s="421"/>
      <c r="AU692" s="421"/>
      <c r="AV692" s="421"/>
      <c r="AW692" s="421"/>
      <c r="AX692" s="421"/>
      <c r="AY692" s="421"/>
      <c r="AZ692" s="421"/>
      <c r="BA692" s="421"/>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row>
    <row r="693" spans="1:111" ht="9" customHeight="1">
      <c r="C693" s="416"/>
      <c r="D693" s="416"/>
      <c r="E693" s="416"/>
      <c r="F693" s="416"/>
      <c r="G693" s="416"/>
      <c r="H693" s="416"/>
      <c r="I693" s="60"/>
      <c r="J693" s="421"/>
      <c r="K693" s="421"/>
      <c r="L693" s="421"/>
      <c r="M693" s="421"/>
      <c r="N693" s="421"/>
      <c r="O693" s="421"/>
      <c r="P693" s="421"/>
      <c r="Q693" s="421"/>
      <c r="R693" s="421"/>
      <c r="S693" s="421"/>
      <c r="T693" s="421"/>
      <c r="U693" s="421"/>
      <c r="V693" s="421"/>
      <c r="W693" s="421"/>
      <c r="X693" s="421"/>
      <c r="Y693" s="421"/>
      <c r="Z693" s="421"/>
      <c r="AA693" s="421"/>
      <c r="AB693" s="421"/>
      <c r="AC693" s="421"/>
      <c r="AD693" s="421"/>
      <c r="AE693" s="421"/>
      <c r="AF693" s="421"/>
      <c r="AG693" s="421"/>
      <c r="AH693" s="421"/>
      <c r="AI693" s="421"/>
      <c r="AJ693" s="421"/>
      <c r="AK693" s="421"/>
      <c r="AL693" s="421"/>
      <c r="AM693" s="421"/>
      <c r="AN693" s="421"/>
      <c r="AO693" s="421"/>
      <c r="AP693" s="421"/>
      <c r="AQ693" s="421"/>
      <c r="AR693" s="421"/>
      <c r="AS693" s="421"/>
      <c r="AT693" s="421"/>
      <c r="AU693" s="421"/>
      <c r="AV693" s="421"/>
      <c r="AW693" s="421"/>
      <c r="AX693" s="421"/>
      <c r="AY693" s="421"/>
      <c r="AZ693" s="421"/>
      <c r="BA693" s="421"/>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row>
    <row r="694" spans="1:111" ht="9" customHeight="1">
      <c r="C694" s="416"/>
      <c r="D694" s="416"/>
      <c r="E694" s="416"/>
      <c r="F694" s="416"/>
      <c r="G694" s="416"/>
      <c r="H694" s="416"/>
      <c r="I694" s="60"/>
      <c r="J694" s="421"/>
      <c r="K694" s="421"/>
      <c r="L694" s="421"/>
      <c r="M694" s="421"/>
      <c r="N694" s="421"/>
      <c r="O694" s="421"/>
      <c r="P694" s="421"/>
      <c r="Q694" s="421"/>
      <c r="R694" s="421"/>
      <c r="S694" s="421"/>
      <c r="T694" s="421"/>
      <c r="U694" s="421"/>
      <c r="V694" s="421"/>
      <c r="W694" s="421"/>
      <c r="X694" s="421"/>
      <c r="Y694" s="421"/>
      <c r="Z694" s="421"/>
      <c r="AA694" s="421"/>
      <c r="AB694" s="421"/>
      <c r="AC694" s="421"/>
      <c r="AD694" s="421"/>
      <c r="AE694" s="421"/>
      <c r="AF694" s="421"/>
      <c r="AG694" s="421"/>
      <c r="AH694" s="421"/>
      <c r="AI694" s="421"/>
      <c r="AJ694" s="421"/>
      <c r="AK694" s="421"/>
      <c r="AL694" s="421"/>
      <c r="AM694" s="421"/>
      <c r="AN694" s="421"/>
      <c r="AO694" s="421"/>
      <c r="AP694" s="421"/>
      <c r="AQ694" s="421"/>
      <c r="AR694" s="421"/>
      <c r="AS694" s="421"/>
      <c r="AT694" s="421"/>
      <c r="AU694" s="421"/>
      <c r="AV694" s="421"/>
      <c r="AW694" s="421"/>
      <c r="AX694" s="421"/>
      <c r="AY694" s="421"/>
      <c r="AZ694" s="421"/>
      <c r="BA694" s="421"/>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row>
    <row r="695" spans="1:111" ht="4.5" customHeight="1">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row>
    <row r="696" spans="1:111" ht="9" customHeight="1">
      <c r="C696" s="416" t="str">
        <f>IF(C690="","","Elemento de Despesa:")</f>
        <v>Elemento de Despesa:</v>
      </c>
      <c r="D696" s="416"/>
      <c r="E696" s="416"/>
      <c r="F696" s="416"/>
      <c r="G696" s="416"/>
      <c r="H696" s="416"/>
      <c r="J696" s="421" t="s">
        <v>208</v>
      </c>
      <c r="K696" s="421"/>
      <c r="L696" s="421"/>
      <c r="M696" s="421"/>
      <c r="N696" s="421"/>
      <c r="O696" s="421"/>
      <c r="P696" s="421"/>
      <c r="Q696" s="421"/>
      <c r="R696" s="421"/>
      <c r="S696" s="421"/>
      <c r="T696" s="421"/>
      <c r="U696" s="421"/>
      <c r="V696" s="421"/>
      <c r="W696" s="421"/>
      <c r="X696" s="421"/>
      <c r="Y696" s="421"/>
      <c r="Z696" s="421"/>
      <c r="AA696" s="421"/>
      <c r="AB696" s="421"/>
      <c r="AC696" s="421"/>
      <c r="AD696" s="421"/>
      <c r="AE696" s="421"/>
      <c r="AF696" s="421"/>
      <c r="AG696" s="421"/>
      <c r="AH696" s="421"/>
      <c r="AI696" s="421"/>
      <c r="AJ696" s="421"/>
      <c r="AK696" s="421"/>
      <c r="AL696" s="421"/>
      <c r="AM696" s="421"/>
      <c r="AN696" s="421"/>
      <c r="AO696" s="421"/>
      <c r="AP696" s="421"/>
      <c r="AQ696" s="421"/>
      <c r="AR696" s="421"/>
      <c r="AS696" s="421"/>
      <c r="AT696" s="421"/>
      <c r="AU696" s="421"/>
      <c r="AV696" s="421"/>
      <c r="AW696" s="421"/>
      <c r="AX696" s="421"/>
      <c r="AY696" s="421"/>
      <c r="AZ696" s="421"/>
      <c r="BA696" s="421"/>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row>
    <row r="697" spans="1:111" ht="9" customHeight="1">
      <c r="C697" s="416"/>
      <c r="D697" s="416"/>
      <c r="E697" s="416"/>
      <c r="F697" s="416"/>
      <c r="G697" s="416"/>
      <c r="H697" s="416"/>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1"/>
      <c r="AY697" s="421"/>
      <c r="AZ697" s="421"/>
      <c r="BA697" s="421"/>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row>
    <row r="698" spans="1:111" ht="9" customHeight="1">
      <c r="C698" s="416"/>
      <c r="D698" s="416"/>
      <c r="E698" s="416"/>
      <c r="F698" s="416"/>
      <c r="G698" s="416"/>
      <c r="H698" s="416"/>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21"/>
      <c r="AY698" s="421"/>
      <c r="AZ698" s="421"/>
      <c r="BA698" s="421"/>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row>
    <row r="699" spans="1:111" ht="4.5" customHeight="1">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row>
    <row r="700" spans="1:111" ht="9" customHeight="1">
      <c r="A700" s="61" t="str">
        <f>CONCATENATE(Q700,AC700)</f>
        <v>52</v>
      </c>
      <c r="J700" s="416" t="str">
        <f>IF(C690="","","Meta Vinculada:")</f>
        <v>Meta Vinculada:</v>
      </c>
      <c r="K700" s="416"/>
      <c r="L700" s="416"/>
      <c r="M700" s="416"/>
      <c r="N700" s="416"/>
      <c r="O700" s="416"/>
      <c r="Q700" s="417">
        <v>5</v>
      </c>
      <c r="R700" s="417"/>
      <c r="S700" s="417"/>
      <c r="T700" s="417"/>
      <c r="U700" s="56"/>
      <c r="V700" s="416" t="str">
        <f>IF(C690="","","Etapa Vinculada:")</f>
        <v>Etapa Vinculada:</v>
      </c>
      <c r="W700" s="416"/>
      <c r="X700" s="416"/>
      <c r="Y700" s="416"/>
      <c r="Z700" s="416"/>
      <c r="AA700" s="416"/>
      <c r="AC700" s="417">
        <v>2</v>
      </c>
      <c r="AD700" s="417"/>
      <c r="AE700" s="417"/>
      <c r="AF700" s="417"/>
      <c r="AG700" s="56"/>
      <c r="AH700" s="56"/>
      <c r="AI700" s="56"/>
      <c r="AJ700" s="56"/>
      <c r="AK700" s="141"/>
      <c r="AL700" s="141"/>
      <c r="AM700" s="141"/>
      <c r="AN700" s="141"/>
      <c r="AO700" s="140"/>
      <c r="AP700" s="140"/>
      <c r="AQ700" s="140"/>
      <c r="AR700" s="140"/>
      <c r="AS700" s="142"/>
      <c r="AT700" s="142"/>
      <c r="AU700" s="142"/>
      <c r="AV700" s="142"/>
      <c r="AW700" s="140"/>
      <c r="AX700" s="140"/>
      <c r="AY700" s="140"/>
      <c r="AZ700" s="140"/>
      <c r="BA700" s="140"/>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row>
    <row r="701" spans="1:111" ht="9" customHeight="1">
      <c r="B701" s="55"/>
      <c r="C701" s="55"/>
      <c r="D701" s="56"/>
      <c r="E701" s="56"/>
      <c r="F701" s="56"/>
      <c r="G701" s="56"/>
      <c r="H701" s="56"/>
      <c r="I701" s="56"/>
      <c r="J701" s="416"/>
      <c r="K701" s="416"/>
      <c r="L701" s="416"/>
      <c r="M701" s="416"/>
      <c r="N701" s="416"/>
      <c r="O701" s="416"/>
      <c r="Q701" s="417"/>
      <c r="R701" s="417"/>
      <c r="S701" s="417"/>
      <c r="T701" s="417"/>
      <c r="U701" s="56"/>
      <c r="V701" s="416"/>
      <c r="W701" s="416"/>
      <c r="X701" s="416"/>
      <c r="Y701" s="416"/>
      <c r="Z701" s="416"/>
      <c r="AA701" s="416"/>
      <c r="AC701" s="417"/>
      <c r="AD701" s="417"/>
      <c r="AE701" s="417"/>
      <c r="AF701" s="417"/>
      <c r="AG701" s="56"/>
      <c r="AH701" s="56"/>
      <c r="AI701" s="56"/>
      <c r="AJ701" s="56"/>
      <c r="AK701" s="141"/>
      <c r="AL701" s="141"/>
      <c r="AM701" s="141"/>
      <c r="AN701" s="141"/>
      <c r="AO701" s="140"/>
      <c r="AP701" s="140"/>
      <c r="AQ701" s="140"/>
      <c r="AR701" s="140"/>
      <c r="AS701" s="142"/>
      <c r="AT701" s="142"/>
      <c r="AU701" s="142"/>
      <c r="AV701" s="142"/>
      <c r="AW701" s="140"/>
      <c r="AX701" s="140"/>
      <c r="AY701" s="140"/>
      <c r="AZ701" s="140"/>
      <c r="BA701" s="140"/>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row>
    <row r="702" spans="1:111" ht="9" customHeight="1">
      <c r="Q702" s="417"/>
      <c r="R702" s="417"/>
      <c r="S702" s="417"/>
      <c r="T702" s="417"/>
      <c r="AC702" s="417"/>
      <c r="AD702" s="417"/>
      <c r="AE702" s="417"/>
      <c r="AF702" s="417"/>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row>
    <row r="703" spans="1:111" ht="4.5" customHeight="1">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row>
    <row r="704" spans="1:111" ht="9" customHeight="1">
      <c r="A704" s="154"/>
      <c r="B704" s="154"/>
      <c r="C704" s="154"/>
      <c r="D704" s="154"/>
      <c r="E704" s="154"/>
      <c r="F704" s="154"/>
      <c r="G704" s="154"/>
      <c r="H704" s="154"/>
      <c r="I704" s="154"/>
      <c r="J704" s="416" t="str">
        <f>IF(C690="","","Quantidade:")</f>
        <v>Quantidade:</v>
      </c>
      <c r="K704" s="416"/>
      <c r="L704" s="416"/>
      <c r="M704" s="416"/>
      <c r="N704" s="416"/>
      <c r="O704" s="416"/>
      <c r="P704" s="154"/>
      <c r="Q704" s="417">
        <v>300</v>
      </c>
      <c r="R704" s="417"/>
      <c r="S704" s="417"/>
      <c r="T704" s="417"/>
      <c r="U704" s="154"/>
      <c r="V704" s="416" t="str">
        <f>IF(C690="","","Unidade:")</f>
        <v>Unidade:</v>
      </c>
      <c r="W704" s="416"/>
      <c r="X704" s="416"/>
      <c r="Y704" s="416"/>
      <c r="Z704" s="416"/>
      <c r="AA704" s="416"/>
      <c r="AB704" s="154"/>
      <c r="AC704" s="418" t="s">
        <v>589</v>
      </c>
      <c r="AD704" s="418"/>
      <c r="AE704" s="418"/>
      <c r="AF704" s="418"/>
      <c r="AG704" s="418"/>
      <c r="AH704" s="418"/>
      <c r="AI704" s="418"/>
      <c r="AJ704" s="418"/>
      <c r="AK704" s="418"/>
      <c r="AL704" s="418"/>
      <c r="AM704" s="418"/>
      <c r="AN704" s="418"/>
      <c r="AO704" s="418"/>
      <c r="AP704" s="418"/>
      <c r="AQ704" s="418"/>
      <c r="AR704" s="418"/>
      <c r="AS704" s="418"/>
      <c r="AT704" s="418"/>
      <c r="AU704" s="418"/>
      <c r="AV704" s="418"/>
      <c r="AW704" s="418"/>
      <c r="AX704" s="418"/>
      <c r="AY704" s="418"/>
      <c r="AZ704" s="418"/>
      <c r="BA704" s="418"/>
      <c r="BB704" s="154"/>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row>
    <row r="705" spans="1:111" ht="9" customHeight="1">
      <c r="A705" s="154"/>
      <c r="B705" s="154"/>
      <c r="C705" s="154"/>
      <c r="D705" s="154"/>
      <c r="E705" s="154"/>
      <c r="F705" s="154"/>
      <c r="G705" s="154"/>
      <c r="H705" s="154"/>
      <c r="I705" s="154"/>
      <c r="J705" s="416"/>
      <c r="K705" s="416"/>
      <c r="L705" s="416"/>
      <c r="M705" s="416"/>
      <c r="N705" s="416"/>
      <c r="O705" s="416"/>
      <c r="P705" s="154"/>
      <c r="Q705" s="417"/>
      <c r="R705" s="417"/>
      <c r="S705" s="417"/>
      <c r="T705" s="417"/>
      <c r="U705" s="154"/>
      <c r="V705" s="416"/>
      <c r="W705" s="416"/>
      <c r="X705" s="416"/>
      <c r="Y705" s="416"/>
      <c r="Z705" s="416"/>
      <c r="AA705" s="416"/>
      <c r="AB705" s="154"/>
      <c r="AC705" s="418"/>
      <c r="AD705" s="418"/>
      <c r="AE705" s="418"/>
      <c r="AF705" s="418"/>
      <c r="AG705" s="418"/>
      <c r="AH705" s="418"/>
      <c r="AI705" s="418"/>
      <c r="AJ705" s="418"/>
      <c r="AK705" s="418"/>
      <c r="AL705" s="418"/>
      <c r="AM705" s="418"/>
      <c r="AN705" s="418"/>
      <c r="AO705" s="418"/>
      <c r="AP705" s="418"/>
      <c r="AQ705" s="418"/>
      <c r="AR705" s="418"/>
      <c r="AS705" s="418"/>
      <c r="AT705" s="418"/>
      <c r="AU705" s="418"/>
      <c r="AV705" s="418"/>
      <c r="AW705" s="418"/>
      <c r="AX705" s="418"/>
      <c r="AY705" s="418"/>
      <c r="AZ705" s="418"/>
      <c r="BA705" s="418"/>
      <c r="BB705" s="154"/>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row>
    <row r="706" spans="1:111" ht="9" customHeight="1">
      <c r="A706" s="154"/>
      <c r="B706" s="154"/>
      <c r="C706" s="154"/>
      <c r="D706" s="154"/>
      <c r="E706" s="154"/>
      <c r="F706" s="154"/>
      <c r="G706" s="154"/>
      <c r="H706" s="154"/>
      <c r="I706" s="154"/>
      <c r="J706" s="154"/>
      <c r="K706" s="154"/>
      <c r="L706" s="154"/>
      <c r="M706" s="154"/>
      <c r="N706" s="154"/>
      <c r="O706" s="154"/>
      <c r="P706" s="154"/>
      <c r="Q706" s="417"/>
      <c r="R706" s="417"/>
      <c r="S706" s="417"/>
      <c r="T706" s="417"/>
      <c r="U706" s="154"/>
      <c r="V706" s="154"/>
      <c r="W706" s="154"/>
      <c r="X706" s="154"/>
      <c r="Y706" s="154"/>
      <c r="Z706" s="154"/>
      <c r="AA706" s="154"/>
      <c r="AB706" s="154"/>
      <c r="AC706" s="418"/>
      <c r="AD706" s="418"/>
      <c r="AE706" s="418"/>
      <c r="AF706" s="418"/>
      <c r="AG706" s="418"/>
      <c r="AH706" s="418"/>
      <c r="AI706" s="418"/>
      <c r="AJ706" s="418"/>
      <c r="AK706" s="418"/>
      <c r="AL706" s="418"/>
      <c r="AM706" s="418"/>
      <c r="AN706" s="418"/>
      <c r="AO706" s="418"/>
      <c r="AP706" s="418"/>
      <c r="AQ706" s="418"/>
      <c r="AR706" s="418"/>
      <c r="AS706" s="418"/>
      <c r="AT706" s="418"/>
      <c r="AU706" s="418"/>
      <c r="AV706" s="418"/>
      <c r="AW706" s="418"/>
      <c r="AX706" s="418"/>
      <c r="AY706" s="418"/>
      <c r="AZ706" s="418"/>
      <c r="BA706" s="418"/>
      <c r="BB706" s="154"/>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row>
    <row r="707" spans="1:111" ht="4.5" customHeight="1">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row>
    <row r="708" spans="1:111" ht="9" customHeight="1">
      <c r="A708" s="154"/>
      <c r="B708" s="154"/>
      <c r="C708" s="154"/>
      <c r="D708" s="154"/>
      <c r="E708" s="154"/>
      <c r="F708" s="154"/>
      <c r="G708" s="154"/>
      <c r="H708" s="154"/>
      <c r="I708" s="154"/>
      <c r="J708" s="416" t="str">
        <f>IF(C690="","","Valor Unitário (R$):")</f>
        <v>Valor Unitário (R$):</v>
      </c>
      <c r="K708" s="416"/>
      <c r="L708" s="416"/>
      <c r="M708" s="416"/>
      <c r="N708" s="416"/>
      <c r="O708" s="416"/>
      <c r="P708" s="154"/>
      <c r="Q708" s="419">
        <v>86.45</v>
      </c>
      <c r="R708" s="419"/>
      <c r="S708" s="419"/>
      <c r="T708" s="419"/>
      <c r="U708" s="419"/>
      <c r="V708" s="419"/>
      <c r="W708" s="419"/>
      <c r="X708" s="419"/>
      <c r="Y708" s="154"/>
      <c r="Z708" s="416" t="str">
        <f>IF(C690="","",IF(J696="52 Equipamentos e Material Permanente","Tempo de Uso:",""))</f>
        <v/>
      </c>
      <c r="AA708" s="416"/>
      <c r="AB708" s="416"/>
      <c r="AC708" s="416"/>
      <c r="AD708" s="416"/>
      <c r="AE708" s="416"/>
      <c r="AF708" s="154"/>
      <c r="AG708" s="420"/>
      <c r="AH708" s="420"/>
      <c r="AI708" s="420"/>
      <c r="AJ708" s="420"/>
      <c r="AK708" s="420"/>
      <c r="AL708" s="420"/>
      <c r="AM708" s="420"/>
      <c r="AN708" s="420"/>
      <c r="AO708" s="420"/>
      <c r="AP708" s="420"/>
      <c r="AQ708" s="420"/>
      <c r="AR708" s="420"/>
      <c r="AS708" s="420"/>
      <c r="AT708" s="420"/>
      <c r="AU708" s="420"/>
      <c r="AV708" s="420"/>
      <c r="AW708" s="420"/>
      <c r="AX708" s="420"/>
      <c r="AY708" s="420"/>
      <c r="AZ708" s="420"/>
      <c r="BA708" s="420"/>
      <c r="BB708" s="154"/>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row>
    <row r="709" spans="1:111" ht="9" customHeight="1">
      <c r="A709" s="154"/>
      <c r="B709" s="154"/>
      <c r="C709" s="154"/>
      <c r="D709" s="154"/>
      <c r="E709" s="154"/>
      <c r="F709" s="154"/>
      <c r="G709" s="154"/>
      <c r="H709" s="154"/>
      <c r="I709" s="154"/>
      <c r="J709" s="416"/>
      <c r="K709" s="416"/>
      <c r="L709" s="416"/>
      <c r="M709" s="416"/>
      <c r="N709" s="416"/>
      <c r="O709" s="416"/>
      <c r="P709" s="154"/>
      <c r="Q709" s="419"/>
      <c r="R709" s="419"/>
      <c r="S709" s="419"/>
      <c r="T709" s="419"/>
      <c r="U709" s="419"/>
      <c r="V709" s="419"/>
      <c r="W709" s="419"/>
      <c r="X709" s="419"/>
      <c r="Y709" s="154"/>
      <c r="Z709" s="416"/>
      <c r="AA709" s="416"/>
      <c r="AB709" s="416"/>
      <c r="AC709" s="416"/>
      <c r="AD709" s="416"/>
      <c r="AE709" s="416"/>
      <c r="AF709" s="154"/>
      <c r="AG709" s="420"/>
      <c r="AH709" s="420"/>
      <c r="AI709" s="420"/>
      <c r="AJ709" s="420"/>
      <c r="AK709" s="420"/>
      <c r="AL709" s="420"/>
      <c r="AM709" s="420"/>
      <c r="AN709" s="420"/>
      <c r="AO709" s="420"/>
      <c r="AP709" s="420"/>
      <c r="AQ709" s="420"/>
      <c r="AR709" s="420"/>
      <c r="AS709" s="420"/>
      <c r="AT709" s="420"/>
      <c r="AU709" s="420"/>
      <c r="AV709" s="420"/>
      <c r="AW709" s="420"/>
      <c r="AX709" s="420"/>
      <c r="AY709" s="420"/>
      <c r="AZ709" s="420"/>
      <c r="BA709" s="420"/>
      <c r="BB709" s="154"/>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row>
    <row r="710" spans="1:111" ht="9" customHeight="1">
      <c r="A710" s="154"/>
      <c r="B710" s="154"/>
      <c r="C710" s="154"/>
      <c r="D710" s="154"/>
      <c r="E710" s="154"/>
      <c r="F710" s="154"/>
      <c r="G710" s="154"/>
      <c r="H710" s="154"/>
      <c r="I710" s="154"/>
      <c r="J710" s="154"/>
      <c r="K710" s="154"/>
      <c r="L710" s="154"/>
      <c r="M710" s="154"/>
      <c r="N710" s="154"/>
      <c r="O710" s="154"/>
      <c r="P710" s="154"/>
      <c r="Q710" s="419"/>
      <c r="R710" s="419"/>
      <c r="S710" s="419"/>
      <c r="T710" s="419"/>
      <c r="U710" s="419"/>
      <c r="V710" s="419"/>
      <c r="W710" s="419"/>
      <c r="X710" s="419"/>
      <c r="Y710" s="154"/>
      <c r="Z710" s="154"/>
      <c r="AA710" s="154"/>
      <c r="AB710" s="154"/>
      <c r="AC710" s="154"/>
      <c r="AD710" s="154"/>
      <c r="AE710" s="154"/>
      <c r="AF710" s="154"/>
      <c r="AG710" s="420"/>
      <c r="AH710" s="420"/>
      <c r="AI710" s="420"/>
      <c r="AJ710" s="420"/>
      <c r="AK710" s="420"/>
      <c r="AL710" s="420"/>
      <c r="AM710" s="420"/>
      <c r="AN710" s="420"/>
      <c r="AO710" s="420"/>
      <c r="AP710" s="420"/>
      <c r="AQ710" s="420"/>
      <c r="AR710" s="420"/>
      <c r="AS710" s="420"/>
      <c r="AT710" s="420"/>
      <c r="AU710" s="420"/>
      <c r="AV710" s="420"/>
      <c r="AW710" s="420"/>
      <c r="AX710" s="420"/>
      <c r="AY710" s="420"/>
      <c r="AZ710" s="420"/>
      <c r="BA710" s="420"/>
      <c r="BB710" s="154"/>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c r="BY710" s="115"/>
      <c r="BZ710" s="115"/>
      <c r="CA710" s="115"/>
      <c r="CB710" s="115"/>
      <c r="CC710" s="115"/>
      <c r="CD710" s="115"/>
      <c r="CE710" s="115"/>
      <c r="CF710" s="115"/>
      <c r="CG710" s="115"/>
      <c r="CH710" s="115"/>
      <c r="CI710" s="115"/>
      <c r="CJ710" s="115"/>
      <c r="CK710" s="115"/>
      <c r="CL710" s="115"/>
      <c r="CM710" s="115"/>
      <c r="CN710" s="115"/>
      <c r="CO710" s="115"/>
      <c r="CP710" s="115"/>
      <c r="CQ710" s="115"/>
      <c r="CR710" s="115"/>
      <c r="CS710" s="115"/>
      <c r="CT710" s="115"/>
      <c r="CU710" s="115"/>
      <c r="CV710" s="115"/>
      <c r="CW710" s="115"/>
      <c r="CX710" s="115"/>
      <c r="CY710" s="115"/>
      <c r="CZ710" s="115"/>
      <c r="DA710" s="115"/>
      <c r="DB710" s="115"/>
      <c r="DC710" s="115"/>
      <c r="DD710" s="115"/>
      <c r="DE710" s="115"/>
      <c r="DF710" s="115"/>
      <c r="DG710" s="115"/>
    </row>
    <row r="711" spans="1:111" ht="4.5" customHeight="1">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c r="BY711" s="115"/>
      <c r="BZ711" s="115"/>
      <c r="CA711" s="115"/>
      <c r="CB711" s="115"/>
      <c r="CC711" s="115"/>
      <c r="CD711" s="115"/>
      <c r="CE711" s="115"/>
      <c r="CF711" s="115"/>
      <c r="CG711" s="115"/>
      <c r="CH711" s="115"/>
      <c r="CI711" s="115"/>
      <c r="CJ711" s="115"/>
      <c r="CK711" s="115"/>
      <c r="CL711" s="115"/>
      <c r="CM711" s="115"/>
      <c r="CN711" s="115"/>
      <c r="CO711" s="115"/>
      <c r="CP711" s="115"/>
      <c r="CQ711" s="115"/>
      <c r="CR711" s="115"/>
      <c r="CS711" s="115"/>
      <c r="CT711" s="115"/>
      <c r="CU711" s="115"/>
      <c r="CV711" s="115"/>
      <c r="CW711" s="115"/>
      <c r="CX711" s="115"/>
      <c r="CY711" s="115"/>
      <c r="CZ711" s="115"/>
      <c r="DA711" s="115"/>
      <c r="DB711" s="115"/>
      <c r="DC711" s="115"/>
      <c r="DD711" s="115"/>
      <c r="DE711" s="115"/>
      <c r="DF711" s="115"/>
      <c r="DG711" s="115"/>
    </row>
    <row r="712" spans="1:111" ht="9" customHeight="1">
      <c r="A712" s="154"/>
      <c r="B712" s="154"/>
      <c r="C712" s="154"/>
      <c r="D712" s="154"/>
      <c r="E712" s="154"/>
      <c r="F712" s="154"/>
      <c r="G712" s="154"/>
      <c r="H712" s="154"/>
      <c r="I712" s="154"/>
      <c r="J712" s="416" t="str">
        <f>IF(C690="","","Valor Total (R$):")</f>
        <v>Valor Total (R$):</v>
      </c>
      <c r="K712" s="416"/>
      <c r="L712" s="416"/>
      <c r="M712" s="416"/>
      <c r="N712" s="416"/>
      <c r="O712" s="416"/>
      <c r="P712" s="154"/>
      <c r="Q712" s="419">
        <f>IF(Q708="","",Q704*Q708)</f>
        <v>25935</v>
      </c>
      <c r="R712" s="419"/>
      <c r="S712" s="419"/>
      <c r="T712" s="419"/>
      <c r="U712" s="419"/>
      <c r="V712" s="419"/>
      <c r="W712" s="419"/>
      <c r="X712" s="419"/>
      <c r="Y712" s="154"/>
      <c r="Z712" s="416" t="str">
        <f>IF(C690="","",IF(J696="52 Equipamentos e Material Permanente","Justificativa e Utilização:",""))</f>
        <v/>
      </c>
      <c r="AA712" s="416"/>
      <c r="AB712" s="416"/>
      <c r="AC712" s="416"/>
      <c r="AD712" s="416"/>
      <c r="AE712" s="416"/>
      <c r="AF712" s="154"/>
      <c r="AG712" s="420"/>
      <c r="AH712" s="420"/>
      <c r="AI712" s="420"/>
      <c r="AJ712" s="420"/>
      <c r="AK712" s="420"/>
      <c r="AL712" s="420"/>
      <c r="AM712" s="420"/>
      <c r="AN712" s="420"/>
      <c r="AO712" s="420"/>
      <c r="AP712" s="420"/>
      <c r="AQ712" s="420"/>
      <c r="AR712" s="420"/>
      <c r="AS712" s="420"/>
      <c r="AT712" s="420"/>
      <c r="AU712" s="420"/>
      <c r="AV712" s="420"/>
      <c r="AW712" s="420"/>
      <c r="AX712" s="420"/>
      <c r="AY712" s="420"/>
      <c r="AZ712" s="420"/>
      <c r="BA712" s="420"/>
      <c r="BB712" s="154"/>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c r="BY712" s="115"/>
      <c r="BZ712" s="115"/>
      <c r="CA712" s="115"/>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5"/>
      <c r="DD712" s="115"/>
      <c r="DE712" s="115"/>
      <c r="DF712" s="115"/>
      <c r="DG712" s="115"/>
    </row>
    <row r="713" spans="1:111" ht="9" customHeight="1">
      <c r="A713" s="154"/>
      <c r="B713" s="154"/>
      <c r="C713" s="154"/>
      <c r="D713" s="154"/>
      <c r="E713" s="154"/>
      <c r="F713" s="154"/>
      <c r="G713" s="154"/>
      <c r="H713" s="154"/>
      <c r="I713" s="154"/>
      <c r="J713" s="416"/>
      <c r="K713" s="416"/>
      <c r="L713" s="416"/>
      <c r="M713" s="416"/>
      <c r="N713" s="416"/>
      <c r="O713" s="416"/>
      <c r="P713" s="154"/>
      <c r="Q713" s="419"/>
      <c r="R713" s="419"/>
      <c r="S713" s="419"/>
      <c r="T713" s="419"/>
      <c r="U713" s="419"/>
      <c r="V713" s="419"/>
      <c r="W713" s="419"/>
      <c r="X713" s="419"/>
      <c r="Y713" s="154"/>
      <c r="Z713" s="416"/>
      <c r="AA713" s="416"/>
      <c r="AB713" s="416"/>
      <c r="AC713" s="416"/>
      <c r="AD713" s="416"/>
      <c r="AE713" s="416"/>
      <c r="AF713" s="154"/>
      <c r="AG713" s="420"/>
      <c r="AH713" s="420"/>
      <c r="AI713" s="420"/>
      <c r="AJ713" s="420"/>
      <c r="AK713" s="420"/>
      <c r="AL713" s="420"/>
      <c r="AM713" s="420"/>
      <c r="AN713" s="420"/>
      <c r="AO713" s="420"/>
      <c r="AP713" s="420"/>
      <c r="AQ713" s="420"/>
      <c r="AR713" s="420"/>
      <c r="AS713" s="420"/>
      <c r="AT713" s="420"/>
      <c r="AU713" s="420"/>
      <c r="AV713" s="420"/>
      <c r="AW713" s="420"/>
      <c r="AX713" s="420"/>
      <c r="AY713" s="420"/>
      <c r="AZ713" s="420"/>
      <c r="BA713" s="420"/>
      <c r="BB713" s="154"/>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c r="BY713" s="115"/>
      <c r="BZ713" s="115"/>
      <c r="CA713" s="115"/>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5"/>
      <c r="DD713" s="115"/>
      <c r="DE713" s="115"/>
      <c r="DF713" s="115"/>
      <c r="DG713" s="115"/>
    </row>
    <row r="714" spans="1:111" ht="9" customHeight="1">
      <c r="A714" s="154"/>
      <c r="B714" s="154"/>
      <c r="C714" s="154"/>
      <c r="D714" s="154"/>
      <c r="E714" s="154"/>
      <c r="F714" s="154"/>
      <c r="G714" s="154"/>
      <c r="H714" s="154"/>
      <c r="I714" s="154"/>
      <c r="J714" s="154"/>
      <c r="K714" s="154"/>
      <c r="L714" s="154"/>
      <c r="M714" s="154"/>
      <c r="N714" s="154"/>
      <c r="O714" s="154"/>
      <c r="P714" s="154"/>
      <c r="Q714" s="419"/>
      <c r="R714" s="419"/>
      <c r="S714" s="419"/>
      <c r="T714" s="419"/>
      <c r="U714" s="419"/>
      <c r="V714" s="419"/>
      <c r="W714" s="419"/>
      <c r="X714" s="419"/>
      <c r="Y714" s="154"/>
      <c r="Z714" s="154"/>
      <c r="AA714" s="154"/>
      <c r="AB714" s="154"/>
      <c r="AC714" s="154"/>
      <c r="AD714" s="154"/>
      <c r="AE714" s="154"/>
      <c r="AF714" s="154"/>
      <c r="AG714" s="420"/>
      <c r="AH714" s="420"/>
      <c r="AI714" s="420"/>
      <c r="AJ714" s="420"/>
      <c r="AK714" s="420"/>
      <c r="AL714" s="420"/>
      <c r="AM714" s="420"/>
      <c r="AN714" s="420"/>
      <c r="AO714" s="420"/>
      <c r="AP714" s="420"/>
      <c r="AQ714" s="420"/>
      <c r="AR714" s="420"/>
      <c r="AS714" s="420"/>
      <c r="AT714" s="420"/>
      <c r="AU714" s="420"/>
      <c r="AV714" s="420"/>
      <c r="AW714" s="420"/>
      <c r="AX714" s="420"/>
      <c r="AY714" s="420"/>
      <c r="AZ714" s="420"/>
      <c r="BA714" s="420"/>
      <c r="BB714" s="154"/>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c r="BY714" s="115"/>
      <c r="BZ714" s="115"/>
      <c r="CA714" s="115"/>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5"/>
      <c r="DD714" s="115"/>
      <c r="DE714" s="115"/>
      <c r="DF714" s="115"/>
      <c r="DG714" s="115"/>
    </row>
    <row r="715" spans="1:111" ht="9" customHeight="1">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420"/>
      <c r="AH715" s="420"/>
      <c r="AI715" s="420"/>
      <c r="AJ715" s="420"/>
      <c r="AK715" s="420"/>
      <c r="AL715" s="420"/>
      <c r="AM715" s="420"/>
      <c r="AN715" s="420"/>
      <c r="AO715" s="420"/>
      <c r="AP715" s="420"/>
      <c r="AQ715" s="420"/>
      <c r="AR715" s="420"/>
      <c r="AS715" s="420"/>
      <c r="AT715" s="420"/>
      <c r="AU715" s="420"/>
      <c r="AV715" s="420"/>
      <c r="AW715" s="420"/>
      <c r="AX715" s="420"/>
      <c r="AY715" s="420"/>
      <c r="AZ715" s="420"/>
      <c r="BA715" s="420"/>
      <c r="BB715" s="154"/>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c r="BY715" s="115"/>
      <c r="BZ715" s="115"/>
      <c r="CA715" s="115"/>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5"/>
      <c r="DD715" s="115"/>
      <c r="DE715" s="115"/>
      <c r="DF715" s="115"/>
      <c r="DG715" s="115"/>
    </row>
    <row r="716" spans="1:111" ht="9" customHeight="1">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420"/>
      <c r="AH716" s="420"/>
      <c r="AI716" s="420"/>
      <c r="AJ716" s="420"/>
      <c r="AK716" s="420"/>
      <c r="AL716" s="420"/>
      <c r="AM716" s="420"/>
      <c r="AN716" s="420"/>
      <c r="AO716" s="420"/>
      <c r="AP716" s="420"/>
      <c r="AQ716" s="420"/>
      <c r="AR716" s="420"/>
      <c r="AS716" s="420"/>
      <c r="AT716" s="420"/>
      <c r="AU716" s="420"/>
      <c r="AV716" s="420"/>
      <c r="AW716" s="420"/>
      <c r="AX716" s="420"/>
      <c r="AY716" s="420"/>
      <c r="AZ716" s="420"/>
      <c r="BA716" s="420"/>
      <c r="BB716" s="154"/>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c r="BY716" s="115"/>
      <c r="BZ716" s="115"/>
      <c r="CA716" s="115"/>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5"/>
      <c r="DD716" s="115"/>
      <c r="DE716" s="115"/>
      <c r="DF716" s="115"/>
      <c r="DG716" s="115"/>
    </row>
    <row r="717" spans="1:111" ht="9" customHeight="1">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420"/>
      <c r="AH717" s="420"/>
      <c r="AI717" s="420"/>
      <c r="AJ717" s="420"/>
      <c r="AK717" s="420"/>
      <c r="AL717" s="420"/>
      <c r="AM717" s="420"/>
      <c r="AN717" s="420"/>
      <c r="AO717" s="420"/>
      <c r="AP717" s="420"/>
      <c r="AQ717" s="420"/>
      <c r="AR717" s="420"/>
      <c r="AS717" s="420"/>
      <c r="AT717" s="420"/>
      <c r="AU717" s="420"/>
      <c r="AV717" s="420"/>
      <c r="AW717" s="420"/>
      <c r="AX717" s="420"/>
      <c r="AY717" s="420"/>
      <c r="AZ717" s="420"/>
      <c r="BA717" s="420"/>
      <c r="BB717" s="154"/>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c r="BY717" s="115"/>
      <c r="BZ717" s="115"/>
      <c r="CA717" s="115"/>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5"/>
      <c r="DD717" s="115"/>
      <c r="DE717" s="115"/>
      <c r="DF717" s="115"/>
      <c r="DG717" s="115"/>
    </row>
    <row r="718" spans="1:111" ht="15" customHeight="1">
      <c r="B718" s="55"/>
      <c r="C718" s="55"/>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141"/>
      <c r="AL718" s="141"/>
      <c r="AM718" s="141"/>
      <c r="AN718" s="141"/>
      <c r="AO718" s="140"/>
      <c r="AP718" s="140"/>
      <c r="AQ718" s="140"/>
      <c r="AR718" s="140"/>
      <c r="AS718" s="142"/>
      <c r="AT718" s="142"/>
      <c r="AU718" s="142"/>
      <c r="AV718" s="142"/>
      <c r="AW718" s="140"/>
      <c r="AX718" s="140"/>
      <c r="AY718" s="140"/>
      <c r="AZ718" s="140"/>
      <c r="BA718" s="140"/>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c r="BY718" s="115"/>
      <c r="BZ718" s="115"/>
      <c r="CA718" s="115"/>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5"/>
      <c r="DD718" s="115"/>
      <c r="DE718" s="115"/>
      <c r="DF718" s="115"/>
      <c r="DG718" s="115"/>
    </row>
    <row r="719" spans="1:111" ht="15" customHeight="1">
      <c r="B719" s="55"/>
      <c r="C719" s="422" t="str">
        <f>IF($AA$165&gt;=20,"DESPESA 20","")</f>
        <v/>
      </c>
      <c r="D719" s="422"/>
      <c r="E719" s="422"/>
      <c r="F719" s="422"/>
      <c r="G719" s="422"/>
      <c r="H719" s="422"/>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141"/>
      <c r="AL719" s="141"/>
      <c r="AM719" s="141"/>
      <c r="AN719" s="141"/>
      <c r="AO719" s="140"/>
      <c r="AP719" s="140"/>
      <c r="AQ719" s="140"/>
      <c r="AR719" s="140"/>
      <c r="AS719" s="142"/>
      <c r="AT719" s="142"/>
      <c r="AU719" s="142"/>
      <c r="AV719" s="142"/>
      <c r="AW719" s="140"/>
      <c r="AX719" s="140"/>
      <c r="AY719" s="140"/>
      <c r="AZ719" s="140"/>
      <c r="BA719" s="140"/>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c r="BY719" s="115"/>
      <c r="BZ719" s="115"/>
      <c r="CA719" s="115"/>
      <c r="CB719" s="115"/>
      <c r="CC719" s="115"/>
      <c r="CD719" s="115"/>
      <c r="CE719" s="115"/>
      <c r="CF719" s="115"/>
      <c r="CG719" s="115"/>
      <c r="CH719" s="115"/>
      <c r="CI719" s="115"/>
      <c r="CJ719" s="115"/>
      <c r="CK719" s="115"/>
      <c r="CL719" s="115"/>
      <c r="CM719" s="115"/>
      <c r="CN719" s="115"/>
      <c r="CO719" s="115"/>
      <c r="CP719" s="115"/>
      <c r="CQ719" s="115"/>
      <c r="CR719" s="115"/>
      <c r="CS719" s="115"/>
      <c r="CT719" s="115"/>
      <c r="CU719" s="115"/>
      <c r="CV719" s="115"/>
      <c r="CW719" s="115"/>
      <c r="CX719" s="115"/>
      <c r="CY719" s="115"/>
      <c r="CZ719" s="115"/>
      <c r="DA719" s="115"/>
      <c r="DB719" s="115"/>
      <c r="DC719" s="115"/>
      <c r="DD719" s="115"/>
      <c r="DE719" s="115"/>
      <c r="DF719" s="115"/>
      <c r="DG719" s="115"/>
    </row>
    <row r="720" spans="1:111" ht="4.5" customHeight="1">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c r="BY720" s="115"/>
      <c r="BZ720" s="115"/>
      <c r="CA720" s="115"/>
      <c r="CB720" s="115"/>
      <c r="CC720" s="115"/>
      <c r="CD720" s="115"/>
      <c r="CE720" s="115"/>
      <c r="CF720" s="115"/>
      <c r="CG720" s="115"/>
      <c r="CH720" s="115"/>
      <c r="CI720" s="115"/>
      <c r="CJ720" s="115"/>
      <c r="CK720" s="115"/>
      <c r="CL720" s="115"/>
      <c r="CM720" s="115"/>
      <c r="CN720" s="115"/>
      <c r="CO720" s="115"/>
      <c r="CP720" s="115"/>
      <c r="CQ720" s="115"/>
      <c r="CR720" s="115"/>
      <c r="CS720" s="115"/>
      <c r="CT720" s="115"/>
      <c r="CU720" s="115"/>
      <c r="CV720" s="115"/>
      <c r="CW720" s="115"/>
      <c r="CX720" s="115"/>
      <c r="CY720" s="115"/>
      <c r="CZ720" s="115"/>
      <c r="DA720" s="115"/>
      <c r="DB720" s="115"/>
      <c r="DC720" s="115"/>
      <c r="DD720" s="115"/>
      <c r="DE720" s="115"/>
      <c r="DF720" s="115"/>
      <c r="DG720" s="115"/>
    </row>
    <row r="721" spans="1:111" ht="9" customHeight="1">
      <c r="C721" s="416" t="str">
        <f>IF(C719="","","Descrição da Despesa:")</f>
        <v/>
      </c>
      <c r="D721" s="416"/>
      <c r="E721" s="416"/>
      <c r="F721" s="416"/>
      <c r="G721" s="416"/>
      <c r="H721" s="416"/>
      <c r="I721" s="60"/>
      <c r="J721" s="421"/>
      <c r="K721" s="421"/>
      <c r="L721" s="421"/>
      <c r="M721" s="421"/>
      <c r="N721" s="421"/>
      <c r="O721" s="421"/>
      <c r="P721" s="421"/>
      <c r="Q721" s="421"/>
      <c r="R721" s="421"/>
      <c r="S721" s="421"/>
      <c r="T721" s="421"/>
      <c r="U721" s="421"/>
      <c r="V721" s="421"/>
      <c r="W721" s="421"/>
      <c r="X721" s="421"/>
      <c r="Y721" s="421"/>
      <c r="Z721" s="421"/>
      <c r="AA721" s="421"/>
      <c r="AB721" s="421"/>
      <c r="AC721" s="421"/>
      <c r="AD721" s="421"/>
      <c r="AE721" s="421"/>
      <c r="AF721" s="421"/>
      <c r="AG721" s="421"/>
      <c r="AH721" s="421"/>
      <c r="AI721" s="421"/>
      <c r="AJ721" s="421"/>
      <c r="AK721" s="421"/>
      <c r="AL721" s="421"/>
      <c r="AM721" s="421"/>
      <c r="AN721" s="421"/>
      <c r="AO721" s="421"/>
      <c r="AP721" s="421"/>
      <c r="AQ721" s="421"/>
      <c r="AR721" s="421"/>
      <c r="AS721" s="421"/>
      <c r="AT721" s="421"/>
      <c r="AU721" s="421"/>
      <c r="AV721" s="421"/>
      <c r="AW721" s="421"/>
      <c r="AX721" s="421"/>
      <c r="AY721" s="421"/>
      <c r="AZ721" s="421"/>
      <c r="BA721" s="421"/>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c r="BY721" s="115"/>
      <c r="BZ721" s="115"/>
      <c r="CA721" s="115"/>
      <c r="CB721" s="115"/>
      <c r="CC721" s="115"/>
      <c r="CD721" s="115"/>
      <c r="CE721" s="115"/>
      <c r="CF721" s="115"/>
      <c r="CG721" s="115"/>
      <c r="CH721" s="115"/>
      <c r="CI721" s="115"/>
      <c r="CJ721" s="115"/>
      <c r="CK721" s="115"/>
      <c r="CL721" s="115"/>
      <c r="CM721" s="115"/>
      <c r="CN721" s="115"/>
      <c r="CO721" s="115"/>
      <c r="CP721" s="115"/>
      <c r="CQ721" s="115"/>
      <c r="CR721" s="115"/>
      <c r="CS721" s="115"/>
      <c r="CT721" s="115"/>
      <c r="CU721" s="115"/>
      <c r="CV721" s="115"/>
      <c r="CW721" s="115"/>
      <c r="CX721" s="115"/>
      <c r="CY721" s="115"/>
      <c r="CZ721" s="115"/>
      <c r="DA721" s="115"/>
      <c r="DB721" s="115"/>
      <c r="DC721" s="115"/>
      <c r="DD721" s="115"/>
      <c r="DE721" s="115"/>
      <c r="DF721" s="115"/>
      <c r="DG721" s="115"/>
    </row>
    <row r="722" spans="1:111" ht="9" customHeight="1">
      <c r="C722" s="416"/>
      <c r="D722" s="416"/>
      <c r="E722" s="416"/>
      <c r="F722" s="416"/>
      <c r="G722" s="416"/>
      <c r="H722" s="416"/>
      <c r="I722" s="60"/>
      <c r="J722" s="421"/>
      <c r="K722" s="421"/>
      <c r="L722" s="421"/>
      <c r="M722" s="421"/>
      <c r="N722" s="421"/>
      <c r="O722" s="421"/>
      <c r="P722" s="421"/>
      <c r="Q722" s="421"/>
      <c r="R722" s="421"/>
      <c r="S722" s="421"/>
      <c r="T722" s="421"/>
      <c r="U722" s="421"/>
      <c r="V722" s="421"/>
      <c r="W722" s="421"/>
      <c r="X722" s="421"/>
      <c r="Y722" s="421"/>
      <c r="Z722" s="421"/>
      <c r="AA722" s="421"/>
      <c r="AB722" s="421"/>
      <c r="AC722" s="421"/>
      <c r="AD722" s="421"/>
      <c r="AE722" s="421"/>
      <c r="AF722" s="421"/>
      <c r="AG722" s="421"/>
      <c r="AH722" s="421"/>
      <c r="AI722" s="421"/>
      <c r="AJ722" s="421"/>
      <c r="AK722" s="421"/>
      <c r="AL722" s="421"/>
      <c r="AM722" s="421"/>
      <c r="AN722" s="421"/>
      <c r="AO722" s="421"/>
      <c r="AP722" s="421"/>
      <c r="AQ722" s="421"/>
      <c r="AR722" s="421"/>
      <c r="AS722" s="421"/>
      <c r="AT722" s="421"/>
      <c r="AU722" s="421"/>
      <c r="AV722" s="421"/>
      <c r="AW722" s="421"/>
      <c r="AX722" s="421"/>
      <c r="AY722" s="421"/>
      <c r="AZ722" s="421"/>
      <c r="BA722" s="421"/>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c r="BY722" s="115"/>
      <c r="BZ722" s="115"/>
      <c r="CA722" s="115"/>
      <c r="CB722" s="115"/>
      <c r="CC722" s="115"/>
      <c r="CD722" s="115"/>
      <c r="CE722" s="115"/>
      <c r="CF722" s="115"/>
      <c r="CG722" s="115"/>
      <c r="CH722" s="115"/>
      <c r="CI722" s="115"/>
      <c r="CJ722" s="115"/>
      <c r="CK722" s="115"/>
      <c r="CL722" s="115"/>
      <c r="CM722" s="115"/>
      <c r="CN722" s="115"/>
      <c r="CO722" s="115"/>
      <c r="CP722" s="115"/>
      <c r="CQ722" s="115"/>
      <c r="CR722" s="115"/>
      <c r="CS722" s="115"/>
      <c r="CT722" s="115"/>
      <c r="CU722" s="115"/>
      <c r="CV722" s="115"/>
      <c r="CW722" s="115"/>
      <c r="CX722" s="115"/>
      <c r="CY722" s="115"/>
      <c r="CZ722" s="115"/>
      <c r="DA722" s="115"/>
      <c r="DB722" s="115"/>
      <c r="DC722" s="115"/>
      <c r="DD722" s="115"/>
      <c r="DE722" s="115"/>
      <c r="DF722" s="115"/>
      <c r="DG722" s="115"/>
    </row>
    <row r="723" spans="1:111" ht="9" customHeight="1">
      <c r="C723" s="416"/>
      <c r="D723" s="416"/>
      <c r="E723" s="416"/>
      <c r="F723" s="416"/>
      <c r="G723" s="416"/>
      <c r="H723" s="416"/>
      <c r="I723" s="60"/>
      <c r="J723" s="421"/>
      <c r="K723" s="421"/>
      <c r="L723" s="421"/>
      <c r="M723" s="421"/>
      <c r="N723" s="421"/>
      <c r="O723" s="421"/>
      <c r="P723" s="421"/>
      <c r="Q723" s="421"/>
      <c r="R723" s="421"/>
      <c r="S723" s="421"/>
      <c r="T723" s="421"/>
      <c r="U723" s="421"/>
      <c r="V723" s="421"/>
      <c r="W723" s="421"/>
      <c r="X723" s="421"/>
      <c r="Y723" s="421"/>
      <c r="Z723" s="421"/>
      <c r="AA723" s="421"/>
      <c r="AB723" s="421"/>
      <c r="AC723" s="421"/>
      <c r="AD723" s="421"/>
      <c r="AE723" s="421"/>
      <c r="AF723" s="421"/>
      <c r="AG723" s="421"/>
      <c r="AH723" s="421"/>
      <c r="AI723" s="421"/>
      <c r="AJ723" s="421"/>
      <c r="AK723" s="421"/>
      <c r="AL723" s="421"/>
      <c r="AM723" s="421"/>
      <c r="AN723" s="421"/>
      <c r="AO723" s="421"/>
      <c r="AP723" s="421"/>
      <c r="AQ723" s="421"/>
      <c r="AR723" s="421"/>
      <c r="AS723" s="421"/>
      <c r="AT723" s="421"/>
      <c r="AU723" s="421"/>
      <c r="AV723" s="421"/>
      <c r="AW723" s="421"/>
      <c r="AX723" s="421"/>
      <c r="AY723" s="421"/>
      <c r="AZ723" s="421"/>
      <c r="BA723" s="421"/>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c r="BY723" s="115"/>
      <c r="BZ723" s="115"/>
      <c r="CA723" s="115"/>
      <c r="CB723" s="115"/>
      <c r="CC723" s="115"/>
      <c r="CD723" s="115"/>
      <c r="CE723" s="115"/>
      <c r="CF723" s="115"/>
      <c r="CG723" s="115"/>
      <c r="CH723" s="115"/>
      <c r="CI723" s="115"/>
      <c r="CJ723" s="115"/>
      <c r="CK723" s="115"/>
      <c r="CL723" s="115"/>
      <c r="CM723" s="115"/>
      <c r="CN723" s="115"/>
      <c r="CO723" s="115"/>
      <c r="CP723" s="115"/>
      <c r="CQ723" s="115"/>
      <c r="CR723" s="115"/>
      <c r="CS723" s="115"/>
      <c r="CT723" s="115"/>
      <c r="CU723" s="115"/>
      <c r="CV723" s="115"/>
      <c r="CW723" s="115"/>
      <c r="CX723" s="115"/>
      <c r="CY723" s="115"/>
      <c r="CZ723" s="115"/>
      <c r="DA723" s="115"/>
      <c r="DB723" s="115"/>
      <c r="DC723" s="115"/>
      <c r="DD723" s="115"/>
      <c r="DE723" s="115"/>
      <c r="DF723" s="115"/>
      <c r="DG723" s="115"/>
    </row>
    <row r="724" spans="1:111" ht="4.5" customHeight="1">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c r="BY724" s="115"/>
      <c r="BZ724" s="115"/>
      <c r="CA724" s="115"/>
      <c r="CB724" s="115"/>
      <c r="CC724" s="115"/>
      <c r="CD724" s="115"/>
      <c r="CE724" s="115"/>
      <c r="CF724" s="115"/>
      <c r="CG724" s="115"/>
      <c r="CH724" s="115"/>
      <c r="CI724" s="115"/>
      <c r="CJ724" s="115"/>
      <c r="CK724" s="115"/>
      <c r="CL724" s="115"/>
      <c r="CM724" s="115"/>
      <c r="CN724" s="115"/>
      <c r="CO724" s="115"/>
      <c r="CP724" s="115"/>
      <c r="CQ724" s="115"/>
      <c r="CR724" s="115"/>
      <c r="CS724" s="115"/>
      <c r="CT724" s="115"/>
      <c r="CU724" s="115"/>
      <c r="CV724" s="115"/>
      <c r="CW724" s="115"/>
      <c r="CX724" s="115"/>
      <c r="CY724" s="115"/>
      <c r="CZ724" s="115"/>
      <c r="DA724" s="115"/>
      <c r="DB724" s="115"/>
      <c r="DC724" s="115"/>
      <c r="DD724" s="115"/>
      <c r="DE724" s="115"/>
      <c r="DF724" s="115"/>
      <c r="DG724" s="115"/>
    </row>
    <row r="725" spans="1:111" ht="9" customHeight="1">
      <c r="C725" s="416" t="str">
        <f>IF(C719="","","Elemento de Despesa:")</f>
        <v/>
      </c>
      <c r="D725" s="416"/>
      <c r="E725" s="416"/>
      <c r="F725" s="416"/>
      <c r="G725" s="416"/>
      <c r="H725" s="416"/>
      <c r="J725" s="421"/>
      <c r="K725" s="421"/>
      <c r="L725" s="421"/>
      <c r="M725" s="421"/>
      <c r="N725" s="421"/>
      <c r="O725" s="421"/>
      <c r="P725" s="421"/>
      <c r="Q725" s="421"/>
      <c r="R725" s="421"/>
      <c r="S725" s="421"/>
      <c r="T725" s="421"/>
      <c r="U725" s="421"/>
      <c r="V725" s="421"/>
      <c r="W725" s="421"/>
      <c r="X725" s="421"/>
      <c r="Y725" s="421"/>
      <c r="Z725" s="421"/>
      <c r="AA725" s="421"/>
      <c r="AB725" s="421"/>
      <c r="AC725" s="421"/>
      <c r="AD725" s="421"/>
      <c r="AE725" s="421"/>
      <c r="AF725" s="421"/>
      <c r="AG725" s="421"/>
      <c r="AH725" s="421"/>
      <c r="AI725" s="421"/>
      <c r="AJ725" s="421"/>
      <c r="AK725" s="421"/>
      <c r="AL725" s="421"/>
      <c r="AM725" s="421"/>
      <c r="AN725" s="421"/>
      <c r="AO725" s="421"/>
      <c r="AP725" s="421"/>
      <c r="AQ725" s="421"/>
      <c r="AR725" s="421"/>
      <c r="AS725" s="421"/>
      <c r="AT725" s="421"/>
      <c r="AU725" s="421"/>
      <c r="AV725" s="421"/>
      <c r="AW725" s="421"/>
      <c r="AX725" s="421"/>
      <c r="AY725" s="421"/>
      <c r="AZ725" s="421"/>
      <c r="BA725" s="421"/>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c r="BY725" s="115"/>
      <c r="BZ725" s="115"/>
      <c r="CA725" s="115"/>
      <c r="CB725" s="115"/>
      <c r="CC725" s="115"/>
      <c r="CD725" s="115"/>
      <c r="CE725" s="115"/>
      <c r="CF725" s="115"/>
      <c r="CG725" s="115"/>
      <c r="CH725" s="115"/>
      <c r="CI725" s="115"/>
      <c r="CJ725" s="115"/>
      <c r="CK725" s="115"/>
      <c r="CL725" s="115"/>
      <c r="CM725" s="115"/>
      <c r="CN725" s="115"/>
      <c r="CO725" s="115"/>
      <c r="CP725" s="115"/>
      <c r="CQ725" s="115"/>
      <c r="CR725" s="115"/>
      <c r="CS725" s="115"/>
      <c r="CT725" s="115"/>
      <c r="CU725" s="115"/>
      <c r="CV725" s="115"/>
      <c r="CW725" s="115"/>
      <c r="CX725" s="115"/>
      <c r="CY725" s="115"/>
      <c r="CZ725" s="115"/>
      <c r="DA725" s="115"/>
      <c r="DB725" s="115"/>
      <c r="DC725" s="115"/>
      <c r="DD725" s="115"/>
      <c r="DE725" s="115"/>
      <c r="DF725" s="115"/>
      <c r="DG725" s="115"/>
    </row>
    <row r="726" spans="1:111" ht="9" customHeight="1">
      <c r="C726" s="416"/>
      <c r="D726" s="416"/>
      <c r="E726" s="416"/>
      <c r="F726" s="416"/>
      <c r="G726" s="416"/>
      <c r="H726" s="416"/>
      <c r="J726" s="421"/>
      <c r="K726" s="421"/>
      <c r="L726" s="421"/>
      <c r="M726" s="421"/>
      <c r="N726" s="421"/>
      <c r="O726" s="421"/>
      <c r="P726" s="421"/>
      <c r="Q726" s="421"/>
      <c r="R726" s="421"/>
      <c r="S726" s="421"/>
      <c r="T726" s="421"/>
      <c r="U726" s="421"/>
      <c r="V726" s="421"/>
      <c r="W726" s="421"/>
      <c r="X726" s="421"/>
      <c r="Y726" s="421"/>
      <c r="Z726" s="421"/>
      <c r="AA726" s="421"/>
      <c r="AB726" s="421"/>
      <c r="AC726" s="421"/>
      <c r="AD726" s="421"/>
      <c r="AE726" s="421"/>
      <c r="AF726" s="421"/>
      <c r="AG726" s="421"/>
      <c r="AH726" s="421"/>
      <c r="AI726" s="421"/>
      <c r="AJ726" s="421"/>
      <c r="AK726" s="421"/>
      <c r="AL726" s="421"/>
      <c r="AM726" s="421"/>
      <c r="AN726" s="421"/>
      <c r="AO726" s="421"/>
      <c r="AP726" s="421"/>
      <c r="AQ726" s="421"/>
      <c r="AR726" s="421"/>
      <c r="AS726" s="421"/>
      <c r="AT726" s="421"/>
      <c r="AU726" s="421"/>
      <c r="AV726" s="421"/>
      <c r="AW726" s="421"/>
      <c r="AX726" s="421"/>
      <c r="AY726" s="421"/>
      <c r="AZ726" s="421"/>
      <c r="BA726" s="421"/>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c r="BY726" s="115"/>
      <c r="BZ726" s="115"/>
      <c r="CA726" s="115"/>
      <c r="CB726" s="115"/>
      <c r="CC726" s="115"/>
      <c r="CD726" s="115"/>
      <c r="CE726" s="115"/>
      <c r="CF726" s="115"/>
      <c r="CG726" s="115"/>
      <c r="CH726" s="115"/>
      <c r="CI726" s="115"/>
      <c r="CJ726" s="115"/>
      <c r="CK726" s="115"/>
      <c r="CL726" s="115"/>
      <c r="CM726" s="115"/>
      <c r="CN726" s="115"/>
      <c r="CO726" s="115"/>
      <c r="CP726" s="115"/>
      <c r="CQ726" s="115"/>
      <c r="CR726" s="115"/>
      <c r="CS726" s="115"/>
      <c r="CT726" s="115"/>
      <c r="CU726" s="115"/>
      <c r="CV726" s="115"/>
      <c r="CW726" s="115"/>
      <c r="CX726" s="115"/>
      <c r="CY726" s="115"/>
      <c r="CZ726" s="115"/>
      <c r="DA726" s="115"/>
      <c r="DB726" s="115"/>
      <c r="DC726" s="115"/>
      <c r="DD726" s="115"/>
      <c r="DE726" s="115"/>
      <c r="DF726" s="115"/>
      <c r="DG726" s="115"/>
    </row>
    <row r="727" spans="1:111" ht="9" customHeight="1">
      <c r="C727" s="416"/>
      <c r="D727" s="416"/>
      <c r="E727" s="416"/>
      <c r="F727" s="416"/>
      <c r="G727" s="416"/>
      <c r="H727" s="416"/>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1"/>
      <c r="AY727" s="421"/>
      <c r="AZ727" s="421"/>
      <c r="BA727" s="421"/>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c r="BY727" s="115"/>
      <c r="BZ727" s="115"/>
      <c r="CA727" s="115"/>
      <c r="CB727" s="115"/>
      <c r="CC727" s="115"/>
      <c r="CD727" s="115"/>
      <c r="CE727" s="115"/>
      <c r="CF727" s="115"/>
      <c r="CG727" s="115"/>
      <c r="CH727" s="115"/>
      <c r="CI727" s="115"/>
      <c r="CJ727" s="115"/>
      <c r="CK727" s="115"/>
      <c r="CL727" s="115"/>
      <c r="CM727" s="115"/>
      <c r="CN727" s="115"/>
      <c r="CO727" s="115"/>
      <c r="CP727" s="115"/>
      <c r="CQ727" s="115"/>
      <c r="CR727" s="115"/>
      <c r="CS727" s="115"/>
      <c r="CT727" s="115"/>
      <c r="CU727" s="115"/>
      <c r="CV727" s="115"/>
      <c r="CW727" s="115"/>
      <c r="CX727" s="115"/>
      <c r="CY727" s="115"/>
      <c r="CZ727" s="115"/>
      <c r="DA727" s="115"/>
      <c r="DB727" s="115"/>
      <c r="DC727" s="115"/>
      <c r="DD727" s="115"/>
      <c r="DE727" s="115"/>
      <c r="DF727" s="115"/>
      <c r="DG727" s="115"/>
    </row>
    <row r="728" spans="1:111" ht="4.5" customHeight="1">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c r="BY728" s="115"/>
      <c r="BZ728" s="115"/>
      <c r="CA728" s="115"/>
      <c r="CB728" s="115"/>
      <c r="CC728" s="115"/>
      <c r="CD728" s="115"/>
      <c r="CE728" s="115"/>
      <c r="CF728" s="115"/>
      <c r="CG728" s="115"/>
      <c r="CH728" s="115"/>
      <c r="CI728" s="115"/>
      <c r="CJ728" s="115"/>
      <c r="CK728" s="115"/>
      <c r="CL728" s="115"/>
      <c r="CM728" s="115"/>
      <c r="CN728" s="115"/>
      <c r="CO728" s="115"/>
      <c r="CP728" s="115"/>
      <c r="CQ728" s="115"/>
      <c r="CR728" s="115"/>
      <c r="CS728" s="115"/>
      <c r="CT728" s="115"/>
      <c r="CU728" s="115"/>
      <c r="CV728" s="115"/>
      <c r="CW728" s="115"/>
      <c r="CX728" s="115"/>
      <c r="CY728" s="115"/>
      <c r="CZ728" s="115"/>
      <c r="DA728" s="115"/>
      <c r="DB728" s="115"/>
      <c r="DC728" s="115"/>
      <c r="DD728" s="115"/>
      <c r="DE728" s="115"/>
      <c r="DF728" s="115"/>
      <c r="DG728" s="115"/>
    </row>
    <row r="729" spans="1:111" ht="9" customHeight="1">
      <c r="A729" s="61" t="str">
        <f>CONCATENATE(Q729,AC729)</f>
        <v/>
      </c>
      <c r="J729" s="416" t="str">
        <f>IF(C719="","","Meta Vinculada:")</f>
        <v/>
      </c>
      <c r="K729" s="416"/>
      <c r="L729" s="416"/>
      <c r="M729" s="416"/>
      <c r="N729" s="416"/>
      <c r="O729" s="416"/>
      <c r="Q729" s="417"/>
      <c r="R729" s="417"/>
      <c r="S729" s="417"/>
      <c r="T729" s="417"/>
      <c r="U729" s="56"/>
      <c r="V729" s="416" t="str">
        <f>IF(C719="","","Etapa Vinculada:")</f>
        <v/>
      </c>
      <c r="W729" s="416"/>
      <c r="X729" s="416"/>
      <c r="Y729" s="416"/>
      <c r="Z729" s="416"/>
      <c r="AA729" s="416"/>
      <c r="AC729" s="417"/>
      <c r="AD729" s="417"/>
      <c r="AE729" s="417"/>
      <c r="AF729" s="417"/>
      <c r="AG729" s="56"/>
      <c r="AH729" s="56"/>
      <c r="AI729" s="56"/>
      <c r="AJ729" s="56"/>
      <c r="AK729" s="141"/>
      <c r="AL729" s="141"/>
      <c r="AM729" s="141"/>
      <c r="AN729" s="141"/>
      <c r="AO729" s="140"/>
      <c r="AP729" s="140"/>
      <c r="AQ729" s="140"/>
      <c r="AR729" s="140"/>
      <c r="AS729" s="142"/>
      <c r="AT729" s="142"/>
      <c r="AU729" s="142"/>
      <c r="AV729" s="142"/>
      <c r="AW729" s="140"/>
      <c r="AX729" s="140"/>
      <c r="AY729" s="140"/>
      <c r="AZ729" s="140"/>
      <c r="BA729" s="140"/>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c r="BY729" s="115"/>
      <c r="BZ729" s="115"/>
      <c r="CA729" s="115"/>
      <c r="CB729" s="115"/>
      <c r="CC729" s="115"/>
      <c r="CD729" s="115"/>
      <c r="CE729" s="115"/>
      <c r="CF729" s="115"/>
      <c r="CG729" s="115"/>
      <c r="CH729" s="115"/>
      <c r="CI729" s="115"/>
      <c r="CJ729" s="115"/>
      <c r="CK729" s="115"/>
      <c r="CL729" s="115"/>
      <c r="CM729" s="115"/>
      <c r="CN729" s="115"/>
      <c r="CO729" s="115"/>
      <c r="CP729" s="115"/>
      <c r="CQ729" s="115"/>
      <c r="CR729" s="115"/>
      <c r="CS729" s="115"/>
      <c r="CT729" s="115"/>
      <c r="CU729" s="115"/>
      <c r="CV729" s="115"/>
      <c r="CW729" s="115"/>
      <c r="CX729" s="115"/>
      <c r="CY729" s="115"/>
      <c r="CZ729" s="115"/>
      <c r="DA729" s="115"/>
      <c r="DB729" s="115"/>
      <c r="DC729" s="115"/>
      <c r="DD729" s="115"/>
      <c r="DE729" s="115"/>
      <c r="DF729" s="115"/>
      <c r="DG729" s="115"/>
    </row>
    <row r="730" spans="1:111" ht="9" customHeight="1">
      <c r="B730" s="55"/>
      <c r="C730" s="55"/>
      <c r="D730" s="56"/>
      <c r="E730" s="56"/>
      <c r="F730" s="56"/>
      <c r="G730" s="56"/>
      <c r="H730" s="56"/>
      <c r="I730" s="56"/>
      <c r="J730" s="416"/>
      <c r="K730" s="416"/>
      <c r="L730" s="416"/>
      <c r="M730" s="416"/>
      <c r="N730" s="416"/>
      <c r="O730" s="416"/>
      <c r="Q730" s="417"/>
      <c r="R730" s="417"/>
      <c r="S730" s="417"/>
      <c r="T730" s="417"/>
      <c r="U730" s="56"/>
      <c r="V730" s="416"/>
      <c r="W730" s="416"/>
      <c r="X730" s="416"/>
      <c r="Y730" s="416"/>
      <c r="Z730" s="416"/>
      <c r="AA730" s="416"/>
      <c r="AC730" s="417"/>
      <c r="AD730" s="417"/>
      <c r="AE730" s="417"/>
      <c r="AF730" s="417"/>
      <c r="AG730" s="56"/>
      <c r="AH730" s="56"/>
      <c r="AI730" s="56"/>
      <c r="AJ730" s="56"/>
      <c r="AK730" s="141"/>
      <c r="AL730" s="141"/>
      <c r="AM730" s="141"/>
      <c r="AN730" s="141"/>
      <c r="AO730" s="140"/>
      <c r="AP730" s="140"/>
      <c r="AQ730" s="140"/>
      <c r="AR730" s="140"/>
      <c r="AS730" s="142"/>
      <c r="AT730" s="142"/>
      <c r="AU730" s="142"/>
      <c r="AV730" s="142"/>
      <c r="AW730" s="140"/>
      <c r="AX730" s="140"/>
      <c r="AY730" s="140"/>
      <c r="AZ730" s="140"/>
      <c r="BA730" s="140"/>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c r="BY730" s="115"/>
      <c r="BZ730" s="115"/>
      <c r="CA730" s="115"/>
      <c r="CB730" s="115"/>
      <c r="CC730" s="115"/>
      <c r="CD730" s="115"/>
      <c r="CE730" s="115"/>
      <c r="CF730" s="115"/>
      <c r="CG730" s="115"/>
      <c r="CH730" s="115"/>
      <c r="CI730" s="115"/>
      <c r="CJ730" s="115"/>
      <c r="CK730" s="115"/>
      <c r="CL730" s="115"/>
      <c r="CM730" s="115"/>
      <c r="CN730" s="115"/>
      <c r="CO730" s="115"/>
      <c r="CP730" s="115"/>
      <c r="CQ730" s="115"/>
      <c r="CR730" s="115"/>
      <c r="CS730" s="115"/>
      <c r="CT730" s="115"/>
      <c r="CU730" s="115"/>
      <c r="CV730" s="115"/>
      <c r="CW730" s="115"/>
      <c r="CX730" s="115"/>
      <c r="CY730" s="115"/>
      <c r="CZ730" s="115"/>
      <c r="DA730" s="115"/>
      <c r="DB730" s="115"/>
      <c r="DC730" s="115"/>
      <c r="DD730" s="115"/>
      <c r="DE730" s="115"/>
      <c r="DF730" s="115"/>
      <c r="DG730" s="115"/>
    </row>
    <row r="731" spans="1:111" ht="9" customHeight="1">
      <c r="Q731" s="417"/>
      <c r="R731" s="417"/>
      <c r="S731" s="417"/>
      <c r="T731" s="417"/>
      <c r="AC731" s="417"/>
      <c r="AD731" s="417"/>
      <c r="AE731" s="417"/>
      <c r="AF731" s="417"/>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c r="BY731" s="115"/>
      <c r="BZ731" s="115"/>
      <c r="CA731" s="115"/>
      <c r="CB731" s="115"/>
      <c r="CC731" s="115"/>
      <c r="CD731" s="115"/>
      <c r="CE731" s="115"/>
      <c r="CF731" s="115"/>
      <c r="CG731" s="115"/>
      <c r="CH731" s="115"/>
      <c r="CI731" s="115"/>
      <c r="CJ731" s="115"/>
      <c r="CK731" s="115"/>
      <c r="CL731" s="115"/>
      <c r="CM731" s="115"/>
      <c r="CN731" s="115"/>
      <c r="CO731" s="115"/>
      <c r="CP731" s="115"/>
      <c r="CQ731" s="115"/>
      <c r="CR731" s="115"/>
      <c r="CS731" s="115"/>
      <c r="CT731" s="115"/>
      <c r="CU731" s="115"/>
      <c r="CV731" s="115"/>
      <c r="CW731" s="115"/>
      <c r="CX731" s="115"/>
      <c r="CY731" s="115"/>
      <c r="CZ731" s="115"/>
      <c r="DA731" s="115"/>
      <c r="DB731" s="115"/>
      <c r="DC731" s="115"/>
      <c r="DD731" s="115"/>
      <c r="DE731" s="115"/>
      <c r="DF731" s="115"/>
      <c r="DG731" s="115"/>
    </row>
    <row r="732" spans="1:111" ht="4.5" customHeight="1">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c r="BY732" s="115"/>
      <c r="BZ732" s="115"/>
      <c r="CA732" s="115"/>
      <c r="CB732" s="115"/>
      <c r="CC732" s="115"/>
      <c r="CD732" s="115"/>
      <c r="CE732" s="115"/>
      <c r="CF732" s="115"/>
      <c r="CG732" s="115"/>
      <c r="CH732" s="115"/>
      <c r="CI732" s="115"/>
      <c r="CJ732" s="115"/>
      <c r="CK732" s="115"/>
      <c r="CL732" s="115"/>
      <c r="CM732" s="115"/>
      <c r="CN732" s="115"/>
      <c r="CO732" s="115"/>
      <c r="CP732" s="115"/>
      <c r="CQ732" s="115"/>
      <c r="CR732" s="115"/>
      <c r="CS732" s="115"/>
      <c r="CT732" s="115"/>
      <c r="CU732" s="115"/>
      <c r="CV732" s="115"/>
      <c r="CW732" s="115"/>
      <c r="CX732" s="115"/>
      <c r="CY732" s="115"/>
      <c r="CZ732" s="115"/>
      <c r="DA732" s="115"/>
      <c r="DB732" s="115"/>
      <c r="DC732" s="115"/>
      <c r="DD732" s="115"/>
      <c r="DE732" s="115"/>
      <c r="DF732" s="115"/>
      <c r="DG732" s="115"/>
    </row>
    <row r="733" spans="1:111" ht="9" customHeight="1">
      <c r="A733" s="154"/>
      <c r="B733" s="154"/>
      <c r="C733" s="154"/>
      <c r="D733" s="154"/>
      <c r="E733" s="154"/>
      <c r="F733" s="154"/>
      <c r="G733" s="154"/>
      <c r="H733" s="154"/>
      <c r="I733" s="154"/>
      <c r="J733" s="416" t="str">
        <f>IF(C719="","","Quantidade:")</f>
        <v/>
      </c>
      <c r="K733" s="416"/>
      <c r="L733" s="416"/>
      <c r="M733" s="416"/>
      <c r="N733" s="416"/>
      <c r="O733" s="416"/>
      <c r="P733" s="154"/>
      <c r="Q733" s="417"/>
      <c r="R733" s="417"/>
      <c r="S733" s="417"/>
      <c r="T733" s="417"/>
      <c r="U733" s="154"/>
      <c r="V733" s="416" t="str">
        <f>IF(C719="","","Unidade:")</f>
        <v/>
      </c>
      <c r="W733" s="416"/>
      <c r="X733" s="416"/>
      <c r="Y733" s="416"/>
      <c r="Z733" s="416"/>
      <c r="AA733" s="416"/>
      <c r="AB733" s="154"/>
      <c r="AC733" s="418"/>
      <c r="AD733" s="418"/>
      <c r="AE733" s="418"/>
      <c r="AF733" s="418"/>
      <c r="AG733" s="418"/>
      <c r="AH733" s="418"/>
      <c r="AI733" s="418"/>
      <c r="AJ733" s="418"/>
      <c r="AK733" s="418"/>
      <c r="AL733" s="418"/>
      <c r="AM733" s="418"/>
      <c r="AN733" s="418"/>
      <c r="AO733" s="418"/>
      <c r="AP733" s="418"/>
      <c r="AQ733" s="418"/>
      <c r="AR733" s="418"/>
      <c r="AS733" s="418"/>
      <c r="AT733" s="418"/>
      <c r="AU733" s="418"/>
      <c r="AV733" s="418"/>
      <c r="AW733" s="418"/>
      <c r="AX733" s="418"/>
      <c r="AY733" s="418"/>
      <c r="AZ733" s="418"/>
      <c r="BA733" s="418"/>
      <c r="BB733" s="154"/>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c r="BY733" s="115"/>
      <c r="BZ733" s="115"/>
      <c r="CA733" s="115"/>
      <c r="CB733" s="115"/>
      <c r="CC733" s="115"/>
      <c r="CD733" s="115"/>
      <c r="CE733" s="115"/>
      <c r="CF733" s="115"/>
      <c r="CG733" s="115"/>
      <c r="CH733" s="115"/>
      <c r="CI733" s="115"/>
      <c r="CJ733" s="115"/>
      <c r="CK733" s="115"/>
      <c r="CL733" s="115"/>
      <c r="CM733" s="115"/>
      <c r="CN733" s="115"/>
      <c r="CO733" s="115"/>
      <c r="CP733" s="115"/>
      <c r="CQ733" s="115"/>
      <c r="CR733" s="115"/>
      <c r="CS733" s="115"/>
      <c r="CT733" s="115"/>
      <c r="CU733" s="115"/>
      <c r="CV733" s="115"/>
      <c r="CW733" s="115"/>
      <c r="CX733" s="115"/>
      <c r="CY733" s="115"/>
      <c r="CZ733" s="115"/>
      <c r="DA733" s="115"/>
      <c r="DB733" s="115"/>
      <c r="DC733" s="115"/>
      <c r="DD733" s="115"/>
      <c r="DE733" s="115"/>
      <c r="DF733" s="115"/>
      <c r="DG733" s="115"/>
    </row>
    <row r="734" spans="1:111" ht="9" customHeight="1">
      <c r="A734" s="154"/>
      <c r="B734" s="154"/>
      <c r="C734" s="154"/>
      <c r="D734" s="154"/>
      <c r="E734" s="154"/>
      <c r="F734" s="154"/>
      <c r="G734" s="154"/>
      <c r="H734" s="154"/>
      <c r="I734" s="154"/>
      <c r="J734" s="416"/>
      <c r="K734" s="416"/>
      <c r="L734" s="416"/>
      <c r="M734" s="416"/>
      <c r="N734" s="416"/>
      <c r="O734" s="416"/>
      <c r="P734" s="154"/>
      <c r="Q734" s="417"/>
      <c r="R734" s="417"/>
      <c r="S734" s="417"/>
      <c r="T734" s="417"/>
      <c r="U734" s="154"/>
      <c r="V734" s="416"/>
      <c r="W734" s="416"/>
      <c r="X734" s="416"/>
      <c r="Y734" s="416"/>
      <c r="Z734" s="416"/>
      <c r="AA734" s="416"/>
      <c r="AB734" s="154"/>
      <c r="AC734" s="418"/>
      <c r="AD734" s="418"/>
      <c r="AE734" s="418"/>
      <c r="AF734" s="418"/>
      <c r="AG734" s="418"/>
      <c r="AH734" s="418"/>
      <c r="AI734" s="418"/>
      <c r="AJ734" s="418"/>
      <c r="AK734" s="418"/>
      <c r="AL734" s="418"/>
      <c r="AM734" s="418"/>
      <c r="AN734" s="418"/>
      <c r="AO734" s="418"/>
      <c r="AP734" s="418"/>
      <c r="AQ734" s="418"/>
      <c r="AR734" s="418"/>
      <c r="AS734" s="418"/>
      <c r="AT734" s="418"/>
      <c r="AU734" s="418"/>
      <c r="AV734" s="418"/>
      <c r="AW734" s="418"/>
      <c r="AX734" s="418"/>
      <c r="AY734" s="418"/>
      <c r="AZ734" s="418"/>
      <c r="BA734" s="418"/>
      <c r="BB734" s="154"/>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c r="BY734" s="115"/>
      <c r="BZ734" s="115"/>
      <c r="CA734" s="115"/>
      <c r="CB734" s="115"/>
      <c r="CC734" s="115"/>
      <c r="CD734" s="115"/>
      <c r="CE734" s="115"/>
      <c r="CF734" s="115"/>
      <c r="CG734" s="115"/>
      <c r="CH734" s="115"/>
      <c r="CI734" s="115"/>
      <c r="CJ734" s="115"/>
      <c r="CK734" s="115"/>
      <c r="CL734" s="115"/>
      <c r="CM734" s="115"/>
      <c r="CN734" s="115"/>
      <c r="CO734" s="115"/>
      <c r="CP734" s="115"/>
      <c r="CQ734" s="115"/>
      <c r="CR734" s="115"/>
      <c r="CS734" s="115"/>
      <c r="CT734" s="115"/>
      <c r="CU734" s="115"/>
      <c r="CV734" s="115"/>
      <c r="CW734" s="115"/>
      <c r="CX734" s="115"/>
      <c r="CY734" s="115"/>
      <c r="CZ734" s="115"/>
      <c r="DA734" s="115"/>
      <c r="DB734" s="115"/>
      <c r="DC734" s="115"/>
      <c r="DD734" s="115"/>
      <c r="DE734" s="115"/>
      <c r="DF734" s="115"/>
      <c r="DG734" s="115"/>
    </row>
    <row r="735" spans="1:111" ht="9" customHeight="1">
      <c r="A735" s="154"/>
      <c r="B735" s="154"/>
      <c r="C735" s="154"/>
      <c r="D735" s="154"/>
      <c r="E735" s="154"/>
      <c r="F735" s="154"/>
      <c r="G735" s="154"/>
      <c r="H735" s="154"/>
      <c r="I735" s="154"/>
      <c r="J735" s="154"/>
      <c r="K735" s="154"/>
      <c r="L735" s="154"/>
      <c r="M735" s="154"/>
      <c r="N735" s="154"/>
      <c r="O735" s="154"/>
      <c r="P735" s="154"/>
      <c r="Q735" s="417"/>
      <c r="R735" s="417"/>
      <c r="S735" s="417"/>
      <c r="T735" s="417"/>
      <c r="U735" s="154"/>
      <c r="V735" s="154"/>
      <c r="W735" s="154"/>
      <c r="X735" s="154"/>
      <c r="Y735" s="154"/>
      <c r="Z735" s="154"/>
      <c r="AA735" s="154"/>
      <c r="AB735" s="154"/>
      <c r="AC735" s="418"/>
      <c r="AD735" s="418"/>
      <c r="AE735" s="418"/>
      <c r="AF735" s="418"/>
      <c r="AG735" s="418"/>
      <c r="AH735" s="418"/>
      <c r="AI735" s="418"/>
      <c r="AJ735" s="418"/>
      <c r="AK735" s="418"/>
      <c r="AL735" s="418"/>
      <c r="AM735" s="418"/>
      <c r="AN735" s="418"/>
      <c r="AO735" s="418"/>
      <c r="AP735" s="418"/>
      <c r="AQ735" s="418"/>
      <c r="AR735" s="418"/>
      <c r="AS735" s="418"/>
      <c r="AT735" s="418"/>
      <c r="AU735" s="418"/>
      <c r="AV735" s="418"/>
      <c r="AW735" s="418"/>
      <c r="AX735" s="418"/>
      <c r="AY735" s="418"/>
      <c r="AZ735" s="418"/>
      <c r="BA735" s="418"/>
      <c r="BB735" s="154"/>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c r="BY735" s="115"/>
      <c r="BZ735" s="115"/>
      <c r="CA735" s="115"/>
      <c r="CB735" s="115"/>
      <c r="CC735" s="115"/>
      <c r="CD735" s="115"/>
      <c r="CE735" s="115"/>
      <c r="CF735" s="115"/>
      <c r="CG735" s="115"/>
      <c r="CH735" s="115"/>
      <c r="CI735" s="115"/>
      <c r="CJ735" s="115"/>
      <c r="CK735" s="115"/>
      <c r="CL735" s="115"/>
      <c r="CM735" s="115"/>
      <c r="CN735" s="115"/>
      <c r="CO735" s="115"/>
      <c r="CP735" s="115"/>
      <c r="CQ735" s="115"/>
      <c r="CR735" s="115"/>
      <c r="CS735" s="115"/>
      <c r="CT735" s="115"/>
      <c r="CU735" s="115"/>
      <c r="CV735" s="115"/>
      <c r="CW735" s="115"/>
      <c r="CX735" s="115"/>
      <c r="CY735" s="115"/>
      <c r="CZ735" s="115"/>
      <c r="DA735" s="115"/>
      <c r="DB735" s="115"/>
      <c r="DC735" s="115"/>
      <c r="DD735" s="115"/>
      <c r="DE735" s="115"/>
      <c r="DF735" s="115"/>
      <c r="DG735" s="115"/>
    </row>
    <row r="736" spans="1:111" ht="4.5" customHeight="1">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c r="BY736" s="115"/>
      <c r="BZ736" s="115"/>
      <c r="CA736" s="115"/>
      <c r="CB736" s="115"/>
      <c r="CC736" s="115"/>
      <c r="CD736" s="115"/>
      <c r="CE736" s="115"/>
      <c r="CF736" s="115"/>
      <c r="CG736" s="115"/>
      <c r="CH736" s="115"/>
      <c r="CI736" s="115"/>
      <c r="CJ736" s="115"/>
      <c r="CK736" s="115"/>
      <c r="CL736" s="115"/>
      <c r="CM736" s="115"/>
      <c r="CN736" s="115"/>
      <c r="CO736" s="115"/>
      <c r="CP736" s="115"/>
      <c r="CQ736" s="115"/>
      <c r="CR736" s="115"/>
      <c r="CS736" s="115"/>
      <c r="CT736" s="115"/>
      <c r="CU736" s="115"/>
      <c r="CV736" s="115"/>
      <c r="CW736" s="115"/>
      <c r="CX736" s="115"/>
      <c r="CY736" s="115"/>
      <c r="CZ736" s="115"/>
      <c r="DA736" s="115"/>
      <c r="DB736" s="115"/>
      <c r="DC736" s="115"/>
      <c r="DD736" s="115"/>
      <c r="DE736" s="115"/>
      <c r="DF736" s="115"/>
      <c r="DG736" s="115"/>
    </row>
    <row r="737" spans="1:111" ht="9" customHeight="1">
      <c r="A737" s="154"/>
      <c r="B737" s="154"/>
      <c r="C737" s="154"/>
      <c r="D737" s="154"/>
      <c r="E737" s="154"/>
      <c r="F737" s="154"/>
      <c r="G737" s="154"/>
      <c r="H737" s="154"/>
      <c r="I737" s="154"/>
      <c r="J737" s="416" t="str">
        <f>IF(C719="","","Valor Unitário (R$):")</f>
        <v/>
      </c>
      <c r="K737" s="416"/>
      <c r="L737" s="416"/>
      <c r="M737" s="416"/>
      <c r="N737" s="416"/>
      <c r="O737" s="416"/>
      <c r="P737" s="154"/>
      <c r="Q737" s="419"/>
      <c r="R737" s="419"/>
      <c r="S737" s="419"/>
      <c r="T737" s="419"/>
      <c r="U737" s="419"/>
      <c r="V737" s="419"/>
      <c r="W737" s="419"/>
      <c r="X737" s="419"/>
      <c r="Y737" s="154"/>
      <c r="Z737" s="416" t="str">
        <f>IF(C719="","",IF(J725="52 Equipamentos e Material Permanente","Tempo de Uso:",""))</f>
        <v/>
      </c>
      <c r="AA737" s="416"/>
      <c r="AB737" s="416"/>
      <c r="AC737" s="416"/>
      <c r="AD737" s="416"/>
      <c r="AE737" s="416"/>
      <c r="AF737" s="154"/>
      <c r="AG737" s="420"/>
      <c r="AH737" s="420"/>
      <c r="AI737" s="420"/>
      <c r="AJ737" s="420"/>
      <c r="AK737" s="420"/>
      <c r="AL737" s="420"/>
      <c r="AM737" s="420"/>
      <c r="AN737" s="420"/>
      <c r="AO737" s="420"/>
      <c r="AP737" s="420"/>
      <c r="AQ737" s="420"/>
      <c r="AR737" s="420"/>
      <c r="AS737" s="420"/>
      <c r="AT737" s="420"/>
      <c r="AU737" s="420"/>
      <c r="AV737" s="420"/>
      <c r="AW737" s="420"/>
      <c r="AX737" s="420"/>
      <c r="AY737" s="420"/>
      <c r="AZ737" s="420"/>
      <c r="BA737" s="420"/>
      <c r="BB737" s="154"/>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c r="BY737" s="115"/>
      <c r="BZ737" s="115"/>
      <c r="CA737" s="115"/>
      <c r="CB737" s="115"/>
      <c r="CC737" s="115"/>
      <c r="CD737" s="115"/>
      <c r="CE737" s="115"/>
      <c r="CF737" s="115"/>
      <c r="CG737" s="115"/>
      <c r="CH737" s="115"/>
      <c r="CI737" s="115"/>
      <c r="CJ737" s="115"/>
      <c r="CK737" s="115"/>
      <c r="CL737" s="115"/>
      <c r="CM737" s="115"/>
      <c r="CN737" s="115"/>
      <c r="CO737" s="115"/>
      <c r="CP737" s="115"/>
      <c r="CQ737" s="115"/>
      <c r="CR737" s="115"/>
      <c r="CS737" s="115"/>
      <c r="CT737" s="115"/>
      <c r="CU737" s="115"/>
      <c r="CV737" s="115"/>
      <c r="CW737" s="115"/>
      <c r="CX737" s="115"/>
      <c r="CY737" s="115"/>
      <c r="CZ737" s="115"/>
      <c r="DA737" s="115"/>
      <c r="DB737" s="115"/>
      <c r="DC737" s="115"/>
      <c r="DD737" s="115"/>
      <c r="DE737" s="115"/>
      <c r="DF737" s="115"/>
      <c r="DG737" s="115"/>
    </row>
    <row r="738" spans="1:111" ht="9" customHeight="1">
      <c r="A738" s="154"/>
      <c r="B738" s="154"/>
      <c r="C738" s="154"/>
      <c r="D738" s="154"/>
      <c r="E738" s="154"/>
      <c r="F738" s="154"/>
      <c r="G738" s="154"/>
      <c r="H738" s="154"/>
      <c r="I738" s="154"/>
      <c r="J738" s="416"/>
      <c r="K738" s="416"/>
      <c r="L738" s="416"/>
      <c r="M738" s="416"/>
      <c r="N738" s="416"/>
      <c r="O738" s="416"/>
      <c r="P738" s="154"/>
      <c r="Q738" s="419"/>
      <c r="R738" s="419"/>
      <c r="S738" s="419"/>
      <c r="T738" s="419"/>
      <c r="U738" s="419"/>
      <c r="V738" s="419"/>
      <c r="W738" s="419"/>
      <c r="X738" s="419"/>
      <c r="Y738" s="154"/>
      <c r="Z738" s="416"/>
      <c r="AA738" s="416"/>
      <c r="AB738" s="416"/>
      <c r="AC738" s="416"/>
      <c r="AD738" s="416"/>
      <c r="AE738" s="416"/>
      <c r="AF738" s="154"/>
      <c r="AG738" s="420"/>
      <c r="AH738" s="420"/>
      <c r="AI738" s="420"/>
      <c r="AJ738" s="420"/>
      <c r="AK738" s="420"/>
      <c r="AL738" s="420"/>
      <c r="AM738" s="420"/>
      <c r="AN738" s="420"/>
      <c r="AO738" s="420"/>
      <c r="AP738" s="420"/>
      <c r="AQ738" s="420"/>
      <c r="AR738" s="420"/>
      <c r="AS738" s="420"/>
      <c r="AT738" s="420"/>
      <c r="AU738" s="420"/>
      <c r="AV738" s="420"/>
      <c r="AW738" s="420"/>
      <c r="AX738" s="420"/>
      <c r="AY738" s="420"/>
      <c r="AZ738" s="420"/>
      <c r="BA738" s="420"/>
      <c r="BB738" s="154"/>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c r="BY738" s="115"/>
      <c r="BZ738" s="115"/>
      <c r="CA738" s="115"/>
      <c r="CB738" s="115"/>
      <c r="CC738" s="115"/>
      <c r="CD738" s="115"/>
      <c r="CE738" s="115"/>
      <c r="CF738" s="115"/>
      <c r="CG738" s="115"/>
      <c r="CH738" s="115"/>
      <c r="CI738" s="115"/>
      <c r="CJ738" s="115"/>
      <c r="CK738" s="115"/>
      <c r="CL738" s="115"/>
      <c r="CM738" s="115"/>
      <c r="CN738" s="115"/>
      <c r="CO738" s="115"/>
      <c r="CP738" s="115"/>
      <c r="CQ738" s="115"/>
      <c r="CR738" s="115"/>
      <c r="CS738" s="115"/>
      <c r="CT738" s="115"/>
      <c r="CU738" s="115"/>
      <c r="CV738" s="115"/>
      <c r="CW738" s="115"/>
      <c r="CX738" s="115"/>
      <c r="CY738" s="115"/>
      <c r="CZ738" s="115"/>
      <c r="DA738" s="115"/>
      <c r="DB738" s="115"/>
      <c r="DC738" s="115"/>
      <c r="DD738" s="115"/>
      <c r="DE738" s="115"/>
      <c r="DF738" s="115"/>
      <c r="DG738" s="115"/>
    </row>
    <row r="739" spans="1:111" ht="9" customHeight="1">
      <c r="A739" s="154"/>
      <c r="B739" s="154"/>
      <c r="C739" s="154"/>
      <c r="D739" s="154"/>
      <c r="E739" s="154"/>
      <c r="F739" s="154"/>
      <c r="G739" s="154"/>
      <c r="H739" s="154"/>
      <c r="I739" s="154"/>
      <c r="J739" s="154"/>
      <c r="K739" s="154"/>
      <c r="L739" s="154"/>
      <c r="M739" s="154"/>
      <c r="N739" s="154"/>
      <c r="O739" s="154"/>
      <c r="P739" s="154"/>
      <c r="Q739" s="419"/>
      <c r="R739" s="419"/>
      <c r="S739" s="419"/>
      <c r="T739" s="419"/>
      <c r="U739" s="419"/>
      <c r="V739" s="419"/>
      <c r="W739" s="419"/>
      <c r="X739" s="419"/>
      <c r="Y739" s="154"/>
      <c r="Z739" s="154"/>
      <c r="AA739" s="154"/>
      <c r="AB739" s="154"/>
      <c r="AC739" s="154"/>
      <c r="AD739" s="154"/>
      <c r="AE739" s="154"/>
      <c r="AF739" s="154"/>
      <c r="AG739" s="420"/>
      <c r="AH739" s="420"/>
      <c r="AI739" s="420"/>
      <c r="AJ739" s="420"/>
      <c r="AK739" s="420"/>
      <c r="AL739" s="420"/>
      <c r="AM739" s="420"/>
      <c r="AN739" s="420"/>
      <c r="AO739" s="420"/>
      <c r="AP739" s="420"/>
      <c r="AQ739" s="420"/>
      <c r="AR739" s="420"/>
      <c r="AS739" s="420"/>
      <c r="AT739" s="420"/>
      <c r="AU739" s="420"/>
      <c r="AV739" s="420"/>
      <c r="AW739" s="420"/>
      <c r="AX739" s="420"/>
      <c r="AY739" s="420"/>
      <c r="AZ739" s="420"/>
      <c r="BA739" s="420"/>
      <c r="BB739" s="154"/>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c r="BY739" s="115"/>
      <c r="BZ739" s="115"/>
      <c r="CA739" s="115"/>
      <c r="CB739" s="115"/>
      <c r="CC739" s="115"/>
      <c r="CD739" s="115"/>
      <c r="CE739" s="115"/>
      <c r="CF739" s="115"/>
      <c r="CG739" s="115"/>
      <c r="CH739" s="115"/>
      <c r="CI739" s="115"/>
      <c r="CJ739" s="115"/>
      <c r="CK739" s="115"/>
      <c r="CL739" s="115"/>
      <c r="CM739" s="115"/>
      <c r="CN739" s="115"/>
      <c r="CO739" s="115"/>
      <c r="CP739" s="115"/>
      <c r="CQ739" s="115"/>
      <c r="CR739" s="115"/>
      <c r="CS739" s="115"/>
      <c r="CT739" s="115"/>
      <c r="CU739" s="115"/>
      <c r="CV739" s="115"/>
      <c r="CW739" s="115"/>
      <c r="CX739" s="115"/>
      <c r="CY739" s="115"/>
      <c r="CZ739" s="115"/>
      <c r="DA739" s="115"/>
      <c r="DB739" s="115"/>
      <c r="DC739" s="115"/>
      <c r="DD739" s="115"/>
      <c r="DE739" s="115"/>
      <c r="DF739" s="115"/>
      <c r="DG739" s="115"/>
    </row>
    <row r="740" spans="1:111" ht="4.5" customHeight="1">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c r="BY740" s="115"/>
      <c r="BZ740" s="115"/>
      <c r="CA740" s="115"/>
      <c r="CB740" s="115"/>
      <c r="CC740" s="115"/>
      <c r="CD740" s="115"/>
      <c r="CE740" s="115"/>
      <c r="CF740" s="115"/>
      <c r="CG740" s="115"/>
      <c r="CH740" s="115"/>
      <c r="CI740" s="115"/>
      <c r="CJ740" s="115"/>
      <c r="CK740" s="115"/>
      <c r="CL740" s="115"/>
      <c r="CM740" s="115"/>
      <c r="CN740" s="115"/>
      <c r="CO740" s="115"/>
      <c r="CP740" s="115"/>
      <c r="CQ740" s="115"/>
      <c r="CR740" s="115"/>
      <c r="CS740" s="115"/>
      <c r="CT740" s="115"/>
      <c r="CU740" s="115"/>
      <c r="CV740" s="115"/>
      <c r="CW740" s="115"/>
      <c r="CX740" s="115"/>
      <c r="CY740" s="115"/>
      <c r="CZ740" s="115"/>
      <c r="DA740" s="115"/>
      <c r="DB740" s="115"/>
      <c r="DC740" s="115"/>
      <c r="DD740" s="115"/>
      <c r="DE740" s="115"/>
      <c r="DF740" s="115"/>
      <c r="DG740" s="115"/>
    </row>
    <row r="741" spans="1:111" ht="9" customHeight="1">
      <c r="A741" s="154"/>
      <c r="B741" s="154"/>
      <c r="C741" s="154"/>
      <c r="D741" s="154"/>
      <c r="E741" s="154"/>
      <c r="F741" s="154"/>
      <c r="G741" s="154"/>
      <c r="H741" s="154"/>
      <c r="I741" s="154"/>
      <c r="J741" s="416" t="str">
        <f>IF(C719="","","Valor Total (R$):")</f>
        <v/>
      </c>
      <c r="K741" s="416"/>
      <c r="L741" s="416"/>
      <c r="M741" s="416"/>
      <c r="N741" s="416"/>
      <c r="O741" s="416"/>
      <c r="P741" s="154"/>
      <c r="Q741" s="419" t="str">
        <f>IF(Q737="","",Q733*Q737)</f>
        <v/>
      </c>
      <c r="R741" s="419"/>
      <c r="S741" s="419"/>
      <c r="T741" s="419"/>
      <c r="U741" s="419"/>
      <c r="V741" s="419"/>
      <c r="W741" s="419"/>
      <c r="X741" s="419"/>
      <c r="Y741" s="154"/>
      <c r="Z741" s="416" t="str">
        <f>IF(C719="","",IF(J725="52 Equipamentos e Material Permanente","Justificativa e Utilização:",""))</f>
        <v/>
      </c>
      <c r="AA741" s="416"/>
      <c r="AB741" s="416"/>
      <c r="AC741" s="416"/>
      <c r="AD741" s="416"/>
      <c r="AE741" s="416"/>
      <c r="AF741" s="154"/>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154"/>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c r="BY741" s="115"/>
      <c r="BZ741" s="115"/>
      <c r="CA741" s="115"/>
      <c r="CB741" s="115"/>
      <c r="CC741" s="115"/>
      <c r="CD741" s="115"/>
      <c r="CE741" s="115"/>
      <c r="CF741" s="115"/>
      <c r="CG741" s="115"/>
      <c r="CH741" s="115"/>
      <c r="CI741" s="115"/>
      <c r="CJ741" s="115"/>
      <c r="CK741" s="115"/>
      <c r="CL741" s="115"/>
      <c r="CM741" s="115"/>
      <c r="CN741" s="115"/>
      <c r="CO741" s="115"/>
      <c r="CP741" s="115"/>
      <c r="CQ741" s="115"/>
      <c r="CR741" s="115"/>
      <c r="CS741" s="115"/>
      <c r="CT741" s="115"/>
      <c r="CU741" s="115"/>
      <c r="CV741" s="115"/>
      <c r="CW741" s="115"/>
      <c r="CX741" s="115"/>
      <c r="CY741" s="115"/>
      <c r="CZ741" s="115"/>
      <c r="DA741" s="115"/>
      <c r="DB741" s="115"/>
      <c r="DC741" s="115"/>
      <c r="DD741" s="115"/>
      <c r="DE741" s="115"/>
      <c r="DF741" s="115"/>
      <c r="DG741" s="115"/>
    </row>
    <row r="742" spans="1:111" ht="9" customHeight="1">
      <c r="A742" s="154"/>
      <c r="B742" s="154"/>
      <c r="C742" s="154"/>
      <c r="D742" s="154"/>
      <c r="E742" s="154"/>
      <c r="F742" s="154"/>
      <c r="G742" s="154"/>
      <c r="H742" s="154"/>
      <c r="I742" s="154"/>
      <c r="J742" s="416"/>
      <c r="K742" s="416"/>
      <c r="L742" s="416"/>
      <c r="M742" s="416"/>
      <c r="N742" s="416"/>
      <c r="O742" s="416"/>
      <c r="P742" s="154"/>
      <c r="Q742" s="419"/>
      <c r="R742" s="419"/>
      <c r="S742" s="419"/>
      <c r="T742" s="419"/>
      <c r="U742" s="419"/>
      <c r="V742" s="419"/>
      <c r="W742" s="419"/>
      <c r="X742" s="419"/>
      <c r="Y742" s="154"/>
      <c r="Z742" s="416"/>
      <c r="AA742" s="416"/>
      <c r="AB742" s="416"/>
      <c r="AC742" s="416"/>
      <c r="AD742" s="416"/>
      <c r="AE742" s="416"/>
      <c r="AF742" s="154"/>
      <c r="AG742" s="420"/>
      <c r="AH742" s="420"/>
      <c r="AI742" s="420"/>
      <c r="AJ742" s="420"/>
      <c r="AK742" s="420"/>
      <c r="AL742" s="420"/>
      <c r="AM742" s="420"/>
      <c r="AN742" s="420"/>
      <c r="AO742" s="420"/>
      <c r="AP742" s="420"/>
      <c r="AQ742" s="420"/>
      <c r="AR742" s="420"/>
      <c r="AS742" s="420"/>
      <c r="AT742" s="420"/>
      <c r="AU742" s="420"/>
      <c r="AV742" s="420"/>
      <c r="AW742" s="420"/>
      <c r="AX742" s="420"/>
      <c r="AY742" s="420"/>
      <c r="AZ742" s="420"/>
      <c r="BA742" s="420"/>
      <c r="BB742" s="154"/>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c r="BY742" s="115"/>
      <c r="BZ742" s="115"/>
      <c r="CA742" s="115"/>
      <c r="CB742" s="115"/>
      <c r="CC742" s="115"/>
      <c r="CD742" s="115"/>
      <c r="CE742" s="115"/>
      <c r="CF742" s="115"/>
      <c r="CG742" s="115"/>
      <c r="CH742" s="115"/>
      <c r="CI742" s="115"/>
      <c r="CJ742" s="115"/>
      <c r="CK742" s="115"/>
      <c r="CL742" s="115"/>
      <c r="CM742" s="115"/>
      <c r="CN742" s="115"/>
      <c r="CO742" s="115"/>
      <c r="CP742" s="115"/>
      <c r="CQ742" s="115"/>
      <c r="CR742" s="115"/>
      <c r="CS742" s="115"/>
      <c r="CT742" s="115"/>
      <c r="CU742" s="115"/>
      <c r="CV742" s="115"/>
      <c r="CW742" s="115"/>
      <c r="CX742" s="115"/>
      <c r="CY742" s="115"/>
      <c r="CZ742" s="115"/>
      <c r="DA742" s="115"/>
      <c r="DB742" s="115"/>
      <c r="DC742" s="115"/>
      <c r="DD742" s="115"/>
      <c r="DE742" s="115"/>
      <c r="DF742" s="115"/>
      <c r="DG742" s="115"/>
    </row>
    <row r="743" spans="1:111" ht="9" customHeight="1">
      <c r="A743" s="154"/>
      <c r="B743" s="154"/>
      <c r="C743" s="154"/>
      <c r="D743" s="154"/>
      <c r="E743" s="154"/>
      <c r="F743" s="154"/>
      <c r="G743" s="154"/>
      <c r="H743" s="154"/>
      <c r="I743" s="154"/>
      <c r="J743" s="154"/>
      <c r="K743" s="154"/>
      <c r="L743" s="154"/>
      <c r="M743" s="154"/>
      <c r="N743" s="154"/>
      <c r="O743" s="154"/>
      <c r="P743" s="154"/>
      <c r="Q743" s="419"/>
      <c r="R743" s="419"/>
      <c r="S743" s="419"/>
      <c r="T743" s="419"/>
      <c r="U743" s="419"/>
      <c r="V743" s="419"/>
      <c r="W743" s="419"/>
      <c r="X743" s="419"/>
      <c r="Y743" s="154"/>
      <c r="Z743" s="154"/>
      <c r="AA743" s="154"/>
      <c r="AB743" s="154"/>
      <c r="AC743" s="154"/>
      <c r="AD743" s="154"/>
      <c r="AE743" s="154"/>
      <c r="AF743" s="154"/>
      <c r="AG743" s="420"/>
      <c r="AH743" s="420"/>
      <c r="AI743" s="420"/>
      <c r="AJ743" s="420"/>
      <c r="AK743" s="420"/>
      <c r="AL743" s="420"/>
      <c r="AM743" s="420"/>
      <c r="AN743" s="420"/>
      <c r="AO743" s="420"/>
      <c r="AP743" s="420"/>
      <c r="AQ743" s="420"/>
      <c r="AR743" s="420"/>
      <c r="AS743" s="420"/>
      <c r="AT743" s="420"/>
      <c r="AU743" s="420"/>
      <c r="AV743" s="420"/>
      <c r="AW743" s="420"/>
      <c r="AX743" s="420"/>
      <c r="AY743" s="420"/>
      <c r="AZ743" s="420"/>
      <c r="BA743" s="420"/>
      <c r="BB743" s="154"/>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c r="BY743" s="115"/>
      <c r="BZ743" s="115"/>
      <c r="CA743" s="115"/>
      <c r="CB743" s="115"/>
      <c r="CC743" s="115"/>
      <c r="CD743" s="115"/>
      <c r="CE743" s="115"/>
      <c r="CF743" s="115"/>
      <c r="CG743" s="115"/>
      <c r="CH743" s="115"/>
      <c r="CI743" s="115"/>
      <c r="CJ743" s="115"/>
      <c r="CK743" s="115"/>
      <c r="CL743" s="115"/>
      <c r="CM743" s="115"/>
      <c r="CN743" s="115"/>
      <c r="CO743" s="115"/>
      <c r="CP743" s="115"/>
      <c r="CQ743" s="115"/>
      <c r="CR743" s="115"/>
      <c r="CS743" s="115"/>
      <c r="CT743" s="115"/>
      <c r="CU743" s="115"/>
      <c r="CV743" s="115"/>
      <c r="CW743" s="115"/>
      <c r="CX743" s="115"/>
      <c r="CY743" s="115"/>
      <c r="CZ743" s="115"/>
      <c r="DA743" s="115"/>
      <c r="DB743" s="115"/>
      <c r="DC743" s="115"/>
      <c r="DD743" s="115"/>
      <c r="DE743" s="115"/>
      <c r="DF743" s="115"/>
      <c r="DG743" s="115"/>
    </row>
    <row r="744" spans="1:111" ht="9" customHeight="1">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420"/>
      <c r="AH744" s="420"/>
      <c r="AI744" s="420"/>
      <c r="AJ744" s="420"/>
      <c r="AK744" s="420"/>
      <c r="AL744" s="420"/>
      <c r="AM744" s="420"/>
      <c r="AN744" s="420"/>
      <c r="AO744" s="420"/>
      <c r="AP744" s="420"/>
      <c r="AQ744" s="420"/>
      <c r="AR744" s="420"/>
      <c r="AS744" s="420"/>
      <c r="AT744" s="420"/>
      <c r="AU744" s="420"/>
      <c r="AV744" s="420"/>
      <c r="AW744" s="420"/>
      <c r="AX744" s="420"/>
      <c r="AY744" s="420"/>
      <c r="AZ744" s="420"/>
      <c r="BA744" s="420"/>
      <c r="BB744" s="154"/>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c r="BY744" s="115"/>
      <c r="BZ744" s="115"/>
      <c r="CA744" s="115"/>
      <c r="CB744" s="115"/>
      <c r="CC744" s="115"/>
      <c r="CD744" s="115"/>
      <c r="CE744" s="115"/>
      <c r="CF744" s="115"/>
      <c r="CG744" s="115"/>
      <c r="CH744" s="115"/>
      <c r="CI744" s="115"/>
      <c r="CJ744" s="115"/>
      <c r="CK744" s="115"/>
      <c r="CL744" s="115"/>
      <c r="CM744" s="115"/>
      <c r="CN744" s="115"/>
      <c r="CO744" s="115"/>
      <c r="CP744" s="115"/>
      <c r="CQ744" s="115"/>
      <c r="CR744" s="115"/>
      <c r="CS744" s="115"/>
      <c r="CT744" s="115"/>
      <c r="CU744" s="115"/>
      <c r="CV744" s="115"/>
      <c r="CW744" s="115"/>
      <c r="CX744" s="115"/>
      <c r="CY744" s="115"/>
      <c r="CZ744" s="115"/>
      <c r="DA744" s="115"/>
      <c r="DB744" s="115"/>
      <c r="DC744" s="115"/>
      <c r="DD744" s="115"/>
      <c r="DE744" s="115"/>
      <c r="DF744" s="115"/>
      <c r="DG744" s="115"/>
    </row>
    <row r="745" spans="1:111" ht="9" customHeight="1">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420"/>
      <c r="AH745" s="420"/>
      <c r="AI745" s="420"/>
      <c r="AJ745" s="420"/>
      <c r="AK745" s="420"/>
      <c r="AL745" s="420"/>
      <c r="AM745" s="420"/>
      <c r="AN745" s="420"/>
      <c r="AO745" s="420"/>
      <c r="AP745" s="420"/>
      <c r="AQ745" s="420"/>
      <c r="AR745" s="420"/>
      <c r="AS745" s="420"/>
      <c r="AT745" s="420"/>
      <c r="AU745" s="420"/>
      <c r="AV745" s="420"/>
      <c r="AW745" s="420"/>
      <c r="AX745" s="420"/>
      <c r="AY745" s="420"/>
      <c r="AZ745" s="420"/>
      <c r="BA745" s="420"/>
      <c r="BB745" s="154"/>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c r="BY745" s="115"/>
      <c r="BZ745" s="115"/>
      <c r="CA745" s="115"/>
      <c r="CB745" s="115"/>
      <c r="CC745" s="115"/>
      <c r="CD745" s="115"/>
      <c r="CE745" s="115"/>
      <c r="CF745" s="115"/>
      <c r="CG745" s="115"/>
      <c r="CH745" s="115"/>
      <c r="CI745" s="115"/>
      <c r="CJ745" s="115"/>
      <c r="CK745" s="115"/>
      <c r="CL745" s="115"/>
      <c r="CM745" s="115"/>
      <c r="CN745" s="115"/>
      <c r="CO745" s="115"/>
      <c r="CP745" s="115"/>
      <c r="CQ745" s="115"/>
      <c r="CR745" s="115"/>
      <c r="CS745" s="115"/>
      <c r="CT745" s="115"/>
      <c r="CU745" s="115"/>
      <c r="CV745" s="115"/>
      <c r="CW745" s="115"/>
      <c r="CX745" s="115"/>
      <c r="CY745" s="115"/>
      <c r="CZ745" s="115"/>
      <c r="DA745" s="115"/>
      <c r="DB745" s="115"/>
      <c r="DC745" s="115"/>
      <c r="DD745" s="115"/>
      <c r="DE745" s="115"/>
      <c r="DF745" s="115"/>
      <c r="DG745" s="115"/>
    </row>
    <row r="746" spans="1:111" ht="9" customHeight="1">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420"/>
      <c r="AH746" s="420"/>
      <c r="AI746" s="420"/>
      <c r="AJ746" s="420"/>
      <c r="AK746" s="420"/>
      <c r="AL746" s="420"/>
      <c r="AM746" s="420"/>
      <c r="AN746" s="420"/>
      <c r="AO746" s="420"/>
      <c r="AP746" s="420"/>
      <c r="AQ746" s="420"/>
      <c r="AR746" s="420"/>
      <c r="AS746" s="420"/>
      <c r="AT746" s="420"/>
      <c r="AU746" s="420"/>
      <c r="AV746" s="420"/>
      <c r="AW746" s="420"/>
      <c r="AX746" s="420"/>
      <c r="AY746" s="420"/>
      <c r="AZ746" s="420"/>
      <c r="BA746" s="420"/>
      <c r="BB746" s="154"/>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c r="BY746" s="115"/>
      <c r="BZ746" s="115"/>
      <c r="CA746" s="115"/>
      <c r="CB746" s="115"/>
      <c r="CC746" s="115"/>
      <c r="CD746" s="115"/>
      <c r="CE746" s="115"/>
      <c r="CF746" s="115"/>
      <c r="CG746" s="115"/>
      <c r="CH746" s="115"/>
      <c r="CI746" s="115"/>
      <c r="CJ746" s="115"/>
      <c r="CK746" s="115"/>
      <c r="CL746" s="115"/>
      <c r="CM746" s="115"/>
      <c r="CN746" s="115"/>
      <c r="CO746" s="115"/>
      <c r="CP746" s="115"/>
      <c r="CQ746" s="115"/>
      <c r="CR746" s="115"/>
      <c r="CS746" s="115"/>
      <c r="CT746" s="115"/>
      <c r="CU746" s="115"/>
      <c r="CV746" s="115"/>
      <c r="CW746" s="115"/>
      <c r="CX746" s="115"/>
      <c r="CY746" s="115"/>
      <c r="CZ746" s="115"/>
      <c r="DA746" s="115"/>
      <c r="DB746" s="115"/>
      <c r="DC746" s="115"/>
      <c r="DD746" s="115"/>
      <c r="DE746" s="115"/>
      <c r="DF746" s="115"/>
      <c r="DG746" s="115"/>
    </row>
    <row r="747" spans="1:111" ht="15" customHeight="1">
      <c r="B747" s="55"/>
      <c r="C747" s="55"/>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141"/>
      <c r="AL747" s="141"/>
      <c r="AM747" s="141"/>
      <c r="AN747" s="141"/>
      <c r="AO747" s="140"/>
      <c r="AP747" s="140"/>
      <c r="AQ747" s="140"/>
      <c r="AR747" s="140"/>
      <c r="AS747" s="142"/>
      <c r="AT747" s="142"/>
      <c r="AU747" s="142"/>
      <c r="AV747" s="142"/>
      <c r="AW747" s="140"/>
      <c r="AX747" s="140"/>
      <c r="AY747" s="140"/>
      <c r="AZ747" s="140"/>
      <c r="BA747" s="140"/>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c r="BY747" s="115"/>
      <c r="BZ747" s="115"/>
      <c r="CA747" s="115"/>
      <c r="CB747" s="115"/>
      <c r="CC747" s="115"/>
      <c r="CD747" s="115"/>
      <c r="CE747" s="115"/>
      <c r="CF747" s="115"/>
      <c r="CG747" s="115"/>
      <c r="CH747" s="115"/>
      <c r="CI747" s="115"/>
      <c r="CJ747" s="115"/>
      <c r="CK747" s="115"/>
      <c r="CL747" s="115"/>
      <c r="CM747" s="115"/>
      <c r="CN747" s="115"/>
      <c r="CO747" s="115"/>
      <c r="CP747" s="115"/>
      <c r="CQ747" s="115"/>
      <c r="CR747" s="115"/>
      <c r="CS747" s="115"/>
      <c r="CT747" s="115"/>
      <c r="CU747" s="115"/>
      <c r="CV747" s="115"/>
      <c r="CW747" s="115"/>
      <c r="CX747" s="115"/>
      <c r="CY747" s="115"/>
      <c r="CZ747" s="115"/>
      <c r="DA747" s="115"/>
      <c r="DB747" s="115"/>
      <c r="DC747" s="115"/>
      <c r="DD747" s="115"/>
      <c r="DE747" s="115"/>
      <c r="DF747" s="115"/>
      <c r="DG747" s="115"/>
    </row>
    <row r="748" spans="1:111" ht="15" customHeight="1">
      <c r="B748" s="55"/>
      <c r="C748" s="422" t="str">
        <f>IF($AA$165&gt;=21,"DESPESA 21","")</f>
        <v/>
      </c>
      <c r="D748" s="422"/>
      <c r="E748" s="422"/>
      <c r="F748" s="422"/>
      <c r="G748" s="422"/>
      <c r="H748" s="422"/>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141"/>
      <c r="AL748" s="141"/>
      <c r="AM748" s="141"/>
      <c r="AN748" s="141"/>
      <c r="AO748" s="140"/>
      <c r="AP748" s="140"/>
      <c r="AQ748" s="140"/>
      <c r="AR748" s="140"/>
      <c r="AS748" s="142"/>
      <c r="AT748" s="142"/>
      <c r="AU748" s="142"/>
      <c r="AV748" s="142"/>
      <c r="AW748" s="140"/>
      <c r="AX748" s="140"/>
      <c r="AY748" s="140"/>
      <c r="AZ748" s="140"/>
      <c r="BA748" s="140"/>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c r="BY748" s="115"/>
      <c r="BZ748" s="115"/>
      <c r="CA748" s="115"/>
      <c r="CB748" s="115"/>
      <c r="CC748" s="115"/>
      <c r="CD748" s="115"/>
      <c r="CE748" s="115"/>
      <c r="CF748" s="115"/>
      <c r="CG748" s="115"/>
      <c r="CH748" s="115"/>
      <c r="CI748" s="115"/>
      <c r="CJ748" s="115"/>
      <c r="CK748" s="115"/>
      <c r="CL748" s="115"/>
      <c r="CM748" s="115"/>
      <c r="CN748" s="115"/>
      <c r="CO748" s="115"/>
      <c r="CP748" s="115"/>
      <c r="CQ748" s="115"/>
      <c r="CR748" s="115"/>
      <c r="CS748" s="115"/>
      <c r="CT748" s="115"/>
      <c r="CU748" s="115"/>
      <c r="CV748" s="115"/>
      <c r="CW748" s="115"/>
      <c r="CX748" s="115"/>
      <c r="CY748" s="115"/>
      <c r="CZ748" s="115"/>
      <c r="DA748" s="115"/>
      <c r="DB748" s="115"/>
      <c r="DC748" s="115"/>
      <c r="DD748" s="115"/>
      <c r="DE748" s="115"/>
      <c r="DF748" s="115"/>
      <c r="DG748" s="115"/>
    </row>
    <row r="749" spans="1:111" ht="4.5" customHeight="1">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c r="BY749" s="115"/>
      <c r="BZ749" s="115"/>
      <c r="CA749" s="115"/>
      <c r="CB749" s="115"/>
      <c r="CC749" s="115"/>
      <c r="CD749" s="115"/>
      <c r="CE749" s="115"/>
      <c r="CF749" s="115"/>
      <c r="CG749" s="115"/>
      <c r="CH749" s="115"/>
      <c r="CI749" s="115"/>
      <c r="CJ749" s="115"/>
      <c r="CK749" s="115"/>
      <c r="CL749" s="115"/>
      <c r="CM749" s="115"/>
      <c r="CN749" s="115"/>
      <c r="CO749" s="115"/>
      <c r="CP749" s="115"/>
      <c r="CQ749" s="115"/>
      <c r="CR749" s="115"/>
      <c r="CS749" s="115"/>
      <c r="CT749" s="115"/>
      <c r="CU749" s="115"/>
      <c r="CV749" s="115"/>
      <c r="CW749" s="115"/>
      <c r="CX749" s="115"/>
      <c r="CY749" s="115"/>
      <c r="CZ749" s="115"/>
      <c r="DA749" s="115"/>
      <c r="DB749" s="115"/>
      <c r="DC749" s="115"/>
      <c r="DD749" s="115"/>
      <c r="DE749" s="115"/>
      <c r="DF749" s="115"/>
      <c r="DG749" s="115"/>
    </row>
    <row r="750" spans="1:111" ht="9" customHeight="1">
      <c r="C750" s="416" t="str">
        <f>IF(C748="","","Descrição da Despesa:")</f>
        <v/>
      </c>
      <c r="D750" s="416"/>
      <c r="E750" s="416"/>
      <c r="F750" s="416"/>
      <c r="G750" s="416"/>
      <c r="H750" s="416"/>
      <c r="I750" s="60"/>
      <c r="J750" s="421"/>
      <c r="K750" s="421"/>
      <c r="L750" s="421"/>
      <c r="M750" s="421"/>
      <c r="N750" s="421"/>
      <c r="O750" s="421"/>
      <c r="P750" s="421"/>
      <c r="Q750" s="421"/>
      <c r="R750" s="421"/>
      <c r="S750" s="421"/>
      <c r="T750" s="421"/>
      <c r="U750" s="421"/>
      <c r="V750" s="421"/>
      <c r="W750" s="421"/>
      <c r="X750" s="421"/>
      <c r="Y750" s="421"/>
      <c r="Z750" s="421"/>
      <c r="AA750" s="421"/>
      <c r="AB750" s="421"/>
      <c r="AC750" s="421"/>
      <c r="AD750" s="421"/>
      <c r="AE750" s="421"/>
      <c r="AF750" s="421"/>
      <c r="AG750" s="421"/>
      <c r="AH750" s="421"/>
      <c r="AI750" s="421"/>
      <c r="AJ750" s="421"/>
      <c r="AK750" s="421"/>
      <c r="AL750" s="421"/>
      <c r="AM750" s="421"/>
      <c r="AN750" s="421"/>
      <c r="AO750" s="421"/>
      <c r="AP750" s="421"/>
      <c r="AQ750" s="421"/>
      <c r="AR750" s="421"/>
      <c r="AS750" s="421"/>
      <c r="AT750" s="421"/>
      <c r="AU750" s="421"/>
      <c r="AV750" s="421"/>
      <c r="AW750" s="421"/>
      <c r="AX750" s="421"/>
      <c r="AY750" s="421"/>
      <c r="AZ750" s="421"/>
      <c r="BA750" s="421"/>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c r="BY750" s="115"/>
      <c r="BZ750" s="115"/>
      <c r="CA750" s="115"/>
      <c r="CB750" s="115"/>
      <c r="CC750" s="115"/>
      <c r="CD750" s="115"/>
      <c r="CE750" s="115"/>
      <c r="CF750" s="115"/>
      <c r="CG750" s="115"/>
      <c r="CH750" s="115"/>
      <c r="CI750" s="115"/>
      <c r="CJ750" s="115"/>
      <c r="CK750" s="115"/>
      <c r="CL750" s="115"/>
      <c r="CM750" s="115"/>
      <c r="CN750" s="115"/>
      <c r="CO750" s="115"/>
      <c r="CP750" s="115"/>
      <c r="CQ750" s="115"/>
      <c r="CR750" s="115"/>
      <c r="CS750" s="115"/>
      <c r="CT750" s="115"/>
      <c r="CU750" s="115"/>
      <c r="CV750" s="115"/>
      <c r="CW750" s="115"/>
      <c r="CX750" s="115"/>
      <c r="CY750" s="115"/>
      <c r="CZ750" s="115"/>
      <c r="DA750" s="115"/>
      <c r="DB750" s="115"/>
      <c r="DC750" s="115"/>
      <c r="DD750" s="115"/>
      <c r="DE750" s="115"/>
      <c r="DF750" s="115"/>
      <c r="DG750" s="115"/>
    </row>
    <row r="751" spans="1:111" ht="9" customHeight="1">
      <c r="C751" s="416"/>
      <c r="D751" s="416"/>
      <c r="E751" s="416"/>
      <c r="F751" s="416"/>
      <c r="G751" s="416"/>
      <c r="H751" s="416"/>
      <c r="I751" s="60"/>
      <c r="J751" s="421"/>
      <c r="K751" s="421"/>
      <c r="L751" s="421"/>
      <c r="M751" s="421"/>
      <c r="N751" s="421"/>
      <c r="O751" s="421"/>
      <c r="P751" s="421"/>
      <c r="Q751" s="421"/>
      <c r="R751" s="421"/>
      <c r="S751" s="421"/>
      <c r="T751" s="421"/>
      <c r="U751" s="421"/>
      <c r="V751" s="421"/>
      <c r="W751" s="421"/>
      <c r="X751" s="421"/>
      <c r="Y751" s="421"/>
      <c r="Z751" s="421"/>
      <c r="AA751" s="421"/>
      <c r="AB751" s="421"/>
      <c r="AC751" s="421"/>
      <c r="AD751" s="421"/>
      <c r="AE751" s="421"/>
      <c r="AF751" s="421"/>
      <c r="AG751" s="421"/>
      <c r="AH751" s="421"/>
      <c r="AI751" s="421"/>
      <c r="AJ751" s="421"/>
      <c r="AK751" s="421"/>
      <c r="AL751" s="421"/>
      <c r="AM751" s="421"/>
      <c r="AN751" s="421"/>
      <c r="AO751" s="421"/>
      <c r="AP751" s="421"/>
      <c r="AQ751" s="421"/>
      <c r="AR751" s="421"/>
      <c r="AS751" s="421"/>
      <c r="AT751" s="421"/>
      <c r="AU751" s="421"/>
      <c r="AV751" s="421"/>
      <c r="AW751" s="421"/>
      <c r="AX751" s="421"/>
      <c r="AY751" s="421"/>
      <c r="AZ751" s="421"/>
      <c r="BA751" s="421"/>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c r="BY751" s="115"/>
      <c r="BZ751" s="115"/>
      <c r="CA751" s="115"/>
      <c r="CB751" s="115"/>
      <c r="CC751" s="115"/>
      <c r="CD751" s="115"/>
      <c r="CE751" s="115"/>
      <c r="CF751" s="115"/>
      <c r="CG751" s="115"/>
      <c r="CH751" s="115"/>
      <c r="CI751" s="115"/>
      <c r="CJ751" s="115"/>
      <c r="CK751" s="115"/>
      <c r="CL751" s="115"/>
      <c r="CM751" s="115"/>
      <c r="CN751" s="115"/>
      <c r="CO751" s="115"/>
      <c r="CP751" s="115"/>
      <c r="CQ751" s="115"/>
      <c r="CR751" s="115"/>
      <c r="CS751" s="115"/>
      <c r="CT751" s="115"/>
      <c r="CU751" s="115"/>
      <c r="CV751" s="115"/>
      <c r="CW751" s="115"/>
      <c r="CX751" s="115"/>
      <c r="CY751" s="115"/>
      <c r="CZ751" s="115"/>
      <c r="DA751" s="115"/>
      <c r="DB751" s="115"/>
      <c r="DC751" s="115"/>
      <c r="DD751" s="115"/>
      <c r="DE751" s="115"/>
      <c r="DF751" s="115"/>
      <c r="DG751" s="115"/>
    </row>
    <row r="752" spans="1:111" ht="9" customHeight="1">
      <c r="C752" s="416"/>
      <c r="D752" s="416"/>
      <c r="E752" s="416"/>
      <c r="F752" s="416"/>
      <c r="G752" s="416"/>
      <c r="H752" s="416"/>
      <c r="I752" s="60"/>
      <c r="J752" s="421"/>
      <c r="K752" s="421"/>
      <c r="L752" s="421"/>
      <c r="M752" s="421"/>
      <c r="N752" s="421"/>
      <c r="O752" s="421"/>
      <c r="P752" s="421"/>
      <c r="Q752" s="421"/>
      <c r="R752" s="421"/>
      <c r="S752" s="421"/>
      <c r="T752" s="421"/>
      <c r="U752" s="421"/>
      <c r="V752" s="421"/>
      <c r="W752" s="421"/>
      <c r="X752" s="421"/>
      <c r="Y752" s="421"/>
      <c r="Z752" s="421"/>
      <c r="AA752" s="421"/>
      <c r="AB752" s="421"/>
      <c r="AC752" s="421"/>
      <c r="AD752" s="421"/>
      <c r="AE752" s="421"/>
      <c r="AF752" s="421"/>
      <c r="AG752" s="421"/>
      <c r="AH752" s="421"/>
      <c r="AI752" s="421"/>
      <c r="AJ752" s="421"/>
      <c r="AK752" s="421"/>
      <c r="AL752" s="421"/>
      <c r="AM752" s="421"/>
      <c r="AN752" s="421"/>
      <c r="AO752" s="421"/>
      <c r="AP752" s="421"/>
      <c r="AQ752" s="421"/>
      <c r="AR752" s="421"/>
      <c r="AS752" s="421"/>
      <c r="AT752" s="421"/>
      <c r="AU752" s="421"/>
      <c r="AV752" s="421"/>
      <c r="AW752" s="421"/>
      <c r="AX752" s="421"/>
      <c r="AY752" s="421"/>
      <c r="AZ752" s="421"/>
      <c r="BA752" s="421"/>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c r="BY752" s="115"/>
      <c r="BZ752" s="115"/>
      <c r="CA752" s="115"/>
      <c r="CB752" s="115"/>
      <c r="CC752" s="115"/>
      <c r="CD752" s="115"/>
      <c r="CE752" s="115"/>
      <c r="CF752" s="115"/>
      <c r="CG752" s="115"/>
      <c r="CH752" s="115"/>
      <c r="CI752" s="115"/>
      <c r="CJ752" s="115"/>
      <c r="CK752" s="115"/>
      <c r="CL752" s="115"/>
      <c r="CM752" s="115"/>
      <c r="CN752" s="115"/>
      <c r="CO752" s="115"/>
      <c r="CP752" s="115"/>
      <c r="CQ752" s="115"/>
      <c r="CR752" s="115"/>
      <c r="CS752" s="115"/>
      <c r="CT752" s="115"/>
      <c r="CU752" s="115"/>
      <c r="CV752" s="115"/>
      <c r="CW752" s="115"/>
      <c r="CX752" s="115"/>
      <c r="CY752" s="115"/>
      <c r="CZ752" s="115"/>
      <c r="DA752" s="115"/>
      <c r="DB752" s="115"/>
      <c r="DC752" s="115"/>
      <c r="DD752" s="115"/>
      <c r="DE752" s="115"/>
      <c r="DF752" s="115"/>
      <c r="DG752" s="115"/>
    </row>
    <row r="753" spans="1:111" ht="4.5" customHeight="1">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c r="BY753" s="115"/>
      <c r="BZ753" s="115"/>
      <c r="CA753" s="115"/>
      <c r="CB753" s="115"/>
      <c r="CC753" s="115"/>
      <c r="CD753" s="115"/>
      <c r="CE753" s="115"/>
      <c r="CF753" s="115"/>
      <c r="CG753" s="115"/>
      <c r="CH753" s="115"/>
      <c r="CI753" s="115"/>
      <c r="CJ753" s="115"/>
      <c r="CK753" s="115"/>
      <c r="CL753" s="115"/>
      <c r="CM753" s="115"/>
      <c r="CN753" s="115"/>
      <c r="CO753" s="115"/>
      <c r="CP753" s="115"/>
      <c r="CQ753" s="115"/>
      <c r="CR753" s="115"/>
      <c r="CS753" s="115"/>
      <c r="CT753" s="115"/>
      <c r="CU753" s="115"/>
      <c r="CV753" s="115"/>
      <c r="CW753" s="115"/>
      <c r="CX753" s="115"/>
      <c r="CY753" s="115"/>
      <c r="CZ753" s="115"/>
      <c r="DA753" s="115"/>
      <c r="DB753" s="115"/>
      <c r="DC753" s="115"/>
      <c r="DD753" s="115"/>
      <c r="DE753" s="115"/>
      <c r="DF753" s="115"/>
      <c r="DG753" s="115"/>
    </row>
    <row r="754" spans="1:111" ht="9" customHeight="1">
      <c r="C754" s="416" t="str">
        <f>IF(C748="","","Elemento de Despesa:")</f>
        <v/>
      </c>
      <c r="D754" s="416"/>
      <c r="E754" s="416"/>
      <c r="F754" s="416"/>
      <c r="G754" s="416"/>
      <c r="H754" s="416"/>
      <c r="J754" s="421"/>
      <c r="K754" s="421"/>
      <c r="L754" s="421"/>
      <c r="M754" s="421"/>
      <c r="N754" s="421"/>
      <c r="O754" s="421"/>
      <c r="P754" s="421"/>
      <c r="Q754" s="421"/>
      <c r="R754" s="421"/>
      <c r="S754" s="421"/>
      <c r="T754" s="421"/>
      <c r="U754" s="421"/>
      <c r="V754" s="421"/>
      <c r="W754" s="421"/>
      <c r="X754" s="421"/>
      <c r="Y754" s="421"/>
      <c r="Z754" s="421"/>
      <c r="AA754" s="421"/>
      <c r="AB754" s="421"/>
      <c r="AC754" s="421"/>
      <c r="AD754" s="421"/>
      <c r="AE754" s="421"/>
      <c r="AF754" s="421"/>
      <c r="AG754" s="421"/>
      <c r="AH754" s="421"/>
      <c r="AI754" s="421"/>
      <c r="AJ754" s="421"/>
      <c r="AK754" s="421"/>
      <c r="AL754" s="421"/>
      <c r="AM754" s="421"/>
      <c r="AN754" s="421"/>
      <c r="AO754" s="421"/>
      <c r="AP754" s="421"/>
      <c r="AQ754" s="421"/>
      <c r="AR754" s="421"/>
      <c r="AS754" s="421"/>
      <c r="AT754" s="421"/>
      <c r="AU754" s="421"/>
      <c r="AV754" s="421"/>
      <c r="AW754" s="421"/>
      <c r="AX754" s="421"/>
      <c r="AY754" s="421"/>
      <c r="AZ754" s="421"/>
      <c r="BA754" s="421"/>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c r="BY754" s="115"/>
      <c r="BZ754" s="115"/>
      <c r="CA754" s="115"/>
      <c r="CB754" s="115"/>
      <c r="CC754" s="115"/>
      <c r="CD754" s="115"/>
      <c r="CE754" s="115"/>
      <c r="CF754" s="115"/>
      <c r="CG754" s="115"/>
      <c r="CH754" s="115"/>
      <c r="CI754" s="115"/>
      <c r="CJ754" s="115"/>
      <c r="CK754" s="115"/>
      <c r="CL754" s="115"/>
      <c r="CM754" s="115"/>
      <c r="CN754" s="115"/>
      <c r="CO754" s="115"/>
      <c r="CP754" s="115"/>
      <c r="CQ754" s="115"/>
      <c r="CR754" s="115"/>
      <c r="CS754" s="115"/>
      <c r="CT754" s="115"/>
      <c r="CU754" s="115"/>
      <c r="CV754" s="115"/>
      <c r="CW754" s="115"/>
      <c r="CX754" s="115"/>
      <c r="CY754" s="115"/>
      <c r="CZ754" s="115"/>
      <c r="DA754" s="115"/>
      <c r="DB754" s="115"/>
      <c r="DC754" s="115"/>
      <c r="DD754" s="115"/>
      <c r="DE754" s="115"/>
      <c r="DF754" s="115"/>
      <c r="DG754" s="115"/>
    </row>
    <row r="755" spans="1:111" ht="9" customHeight="1">
      <c r="C755" s="416"/>
      <c r="D755" s="416"/>
      <c r="E755" s="416"/>
      <c r="F755" s="416"/>
      <c r="G755" s="416"/>
      <c r="H755" s="416"/>
      <c r="J755" s="421"/>
      <c r="K755" s="421"/>
      <c r="L755" s="421"/>
      <c r="M755" s="421"/>
      <c r="N755" s="421"/>
      <c r="O755" s="421"/>
      <c r="P755" s="421"/>
      <c r="Q755" s="421"/>
      <c r="R755" s="421"/>
      <c r="S755" s="421"/>
      <c r="T755" s="421"/>
      <c r="U755" s="421"/>
      <c r="V755" s="421"/>
      <c r="W755" s="421"/>
      <c r="X755" s="421"/>
      <c r="Y755" s="421"/>
      <c r="Z755" s="421"/>
      <c r="AA755" s="421"/>
      <c r="AB755" s="421"/>
      <c r="AC755" s="421"/>
      <c r="AD755" s="421"/>
      <c r="AE755" s="421"/>
      <c r="AF755" s="421"/>
      <c r="AG755" s="421"/>
      <c r="AH755" s="421"/>
      <c r="AI755" s="421"/>
      <c r="AJ755" s="421"/>
      <c r="AK755" s="421"/>
      <c r="AL755" s="421"/>
      <c r="AM755" s="421"/>
      <c r="AN755" s="421"/>
      <c r="AO755" s="421"/>
      <c r="AP755" s="421"/>
      <c r="AQ755" s="421"/>
      <c r="AR755" s="421"/>
      <c r="AS755" s="421"/>
      <c r="AT755" s="421"/>
      <c r="AU755" s="421"/>
      <c r="AV755" s="421"/>
      <c r="AW755" s="421"/>
      <c r="AX755" s="421"/>
      <c r="AY755" s="421"/>
      <c r="AZ755" s="421"/>
      <c r="BA755" s="421"/>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c r="BY755" s="115"/>
      <c r="BZ755" s="115"/>
      <c r="CA755" s="115"/>
      <c r="CB755" s="115"/>
      <c r="CC755" s="115"/>
      <c r="CD755" s="115"/>
      <c r="CE755" s="115"/>
      <c r="CF755" s="115"/>
      <c r="CG755" s="115"/>
      <c r="CH755" s="115"/>
      <c r="CI755" s="115"/>
      <c r="CJ755" s="115"/>
      <c r="CK755" s="115"/>
      <c r="CL755" s="115"/>
      <c r="CM755" s="115"/>
      <c r="CN755" s="115"/>
      <c r="CO755" s="115"/>
      <c r="CP755" s="115"/>
      <c r="CQ755" s="115"/>
      <c r="CR755" s="115"/>
      <c r="CS755" s="115"/>
      <c r="CT755" s="115"/>
      <c r="CU755" s="115"/>
      <c r="CV755" s="115"/>
      <c r="CW755" s="115"/>
      <c r="CX755" s="115"/>
      <c r="CY755" s="115"/>
      <c r="CZ755" s="115"/>
      <c r="DA755" s="115"/>
      <c r="DB755" s="115"/>
      <c r="DC755" s="115"/>
      <c r="DD755" s="115"/>
      <c r="DE755" s="115"/>
      <c r="DF755" s="115"/>
      <c r="DG755" s="115"/>
    </row>
    <row r="756" spans="1:111" ht="9" customHeight="1">
      <c r="C756" s="416"/>
      <c r="D756" s="416"/>
      <c r="E756" s="416"/>
      <c r="F756" s="416"/>
      <c r="G756" s="416"/>
      <c r="H756" s="416"/>
      <c r="J756" s="421"/>
      <c r="K756" s="421"/>
      <c r="L756" s="421"/>
      <c r="M756" s="421"/>
      <c r="N756" s="421"/>
      <c r="O756" s="421"/>
      <c r="P756" s="421"/>
      <c r="Q756" s="421"/>
      <c r="R756" s="421"/>
      <c r="S756" s="421"/>
      <c r="T756" s="421"/>
      <c r="U756" s="421"/>
      <c r="V756" s="421"/>
      <c r="W756" s="421"/>
      <c r="X756" s="421"/>
      <c r="Y756" s="421"/>
      <c r="Z756" s="421"/>
      <c r="AA756" s="421"/>
      <c r="AB756" s="421"/>
      <c r="AC756" s="421"/>
      <c r="AD756" s="421"/>
      <c r="AE756" s="421"/>
      <c r="AF756" s="421"/>
      <c r="AG756" s="421"/>
      <c r="AH756" s="421"/>
      <c r="AI756" s="421"/>
      <c r="AJ756" s="421"/>
      <c r="AK756" s="421"/>
      <c r="AL756" s="421"/>
      <c r="AM756" s="421"/>
      <c r="AN756" s="421"/>
      <c r="AO756" s="421"/>
      <c r="AP756" s="421"/>
      <c r="AQ756" s="421"/>
      <c r="AR756" s="421"/>
      <c r="AS756" s="421"/>
      <c r="AT756" s="421"/>
      <c r="AU756" s="421"/>
      <c r="AV756" s="421"/>
      <c r="AW756" s="421"/>
      <c r="AX756" s="421"/>
      <c r="AY756" s="421"/>
      <c r="AZ756" s="421"/>
      <c r="BA756" s="421"/>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c r="BY756" s="115"/>
      <c r="BZ756" s="115"/>
      <c r="CA756" s="115"/>
      <c r="CB756" s="115"/>
      <c r="CC756" s="115"/>
      <c r="CD756" s="115"/>
      <c r="CE756" s="115"/>
      <c r="CF756" s="115"/>
      <c r="CG756" s="115"/>
      <c r="CH756" s="115"/>
      <c r="CI756" s="115"/>
      <c r="CJ756" s="115"/>
      <c r="CK756" s="115"/>
      <c r="CL756" s="115"/>
      <c r="CM756" s="115"/>
      <c r="CN756" s="115"/>
      <c r="CO756" s="115"/>
      <c r="CP756" s="115"/>
      <c r="CQ756" s="115"/>
      <c r="CR756" s="115"/>
      <c r="CS756" s="115"/>
      <c r="CT756" s="115"/>
      <c r="CU756" s="115"/>
      <c r="CV756" s="115"/>
      <c r="CW756" s="115"/>
      <c r="CX756" s="115"/>
      <c r="CY756" s="115"/>
      <c r="CZ756" s="115"/>
      <c r="DA756" s="115"/>
      <c r="DB756" s="115"/>
      <c r="DC756" s="115"/>
      <c r="DD756" s="115"/>
      <c r="DE756" s="115"/>
      <c r="DF756" s="115"/>
      <c r="DG756" s="115"/>
    </row>
    <row r="757" spans="1:111" ht="4.5" customHeight="1">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c r="BY757" s="115"/>
      <c r="BZ757" s="115"/>
      <c r="CA757" s="115"/>
      <c r="CB757" s="115"/>
      <c r="CC757" s="115"/>
      <c r="CD757" s="115"/>
      <c r="CE757" s="115"/>
      <c r="CF757" s="115"/>
      <c r="CG757" s="115"/>
      <c r="CH757" s="115"/>
      <c r="CI757" s="115"/>
      <c r="CJ757" s="115"/>
      <c r="CK757" s="115"/>
      <c r="CL757" s="115"/>
      <c r="CM757" s="115"/>
      <c r="CN757" s="115"/>
      <c r="CO757" s="115"/>
      <c r="CP757" s="115"/>
      <c r="CQ757" s="115"/>
      <c r="CR757" s="115"/>
      <c r="CS757" s="115"/>
      <c r="CT757" s="115"/>
      <c r="CU757" s="115"/>
      <c r="CV757" s="115"/>
      <c r="CW757" s="115"/>
      <c r="CX757" s="115"/>
      <c r="CY757" s="115"/>
      <c r="CZ757" s="115"/>
      <c r="DA757" s="115"/>
      <c r="DB757" s="115"/>
      <c r="DC757" s="115"/>
      <c r="DD757" s="115"/>
      <c r="DE757" s="115"/>
      <c r="DF757" s="115"/>
      <c r="DG757" s="115"/>
    </row>
    <row r="758" spans="1:111" ht="9" customHeight="1">
      <c r="A758" s="61" t="str">
        <f>CONCATENATE(Q758,AC758)</f>
        <v/>
      </c>
      <c r="J758" s="416" t="str">
        <f>IF(C748="","","Meta Vinculada:")</f>
        <v/>
      </c>
      <c r="K758" s="416"/>
      <c r="L758" s="416"/>
      <c r="M758" s="416"/>
      <c r="N758" s="416"/>
      <c r="O758" s="416"/>
      <c r="Q758" s="417"/>
      <c r="R758" s="417"/>
      <c r="S758" s="417"/>
      <c r="T758" s="417"/>
      <c r="U758" s="56"/>
      <c r="V758" s="416" t="str">
        <f>IF(C748="","","Etapa Vinculada:")</f>
        <v/>
      </c>
      <c r="W758" s="416"/>
      <c r="X758" s="416"/>
      <c r="Y758" s="416"/>
      <c r="Z758" s="416"/>
      <c r="AA758" s="416"/>
      <c r="AC758" s="417"/>
      <c r="AD758" s="417"/>
      <c r="AE758" s="417"/>
      <c r="AF758" s="417"/>
      <c r="AG758" s="56"/>
      <c r="AH758" s="56"/>
      <c r="AI758" s="56"/>
      <c r="AJ758" s="56"/>
      <c r="AK758" s="141"/>
      <c r="AL758" s="141"/>
      <c r="AM758" s="141"/>
      <c r="AN758" s="141"/>
      <c r="AO758" s="140"/>
      <c r="AP758" s="140"/>
      <c r="AQ758" s="140"/>
      <c r="AR758" s="140"/>
      <c r="AS758" s="142"/>
      <c r="AT758" s="142"/>
      <c r="AU758" s="142"/>
      <c r="AV758" s="142"/>
      <c r="AW758" s="140"/>
      <c r="AX758" s="140"/>
      <c r="AY758" s="140"/>
      <c r="AZ758" s="140"/>
      <c r="BA758" s="140"/>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c r="BY758" s="115"/>
      <c r="BZ758" s="115"/>
      <c r="CA758" s="115"/>
      <c r="CB758" s="115"/>
      <c r="CC758" s="115"/>
      <c r="CD758" s="115"/>
      <c r="CE758" s="115"/>
      <c r="CF758" s="115"/>
      <c r="CG758" s="115"/>
      <c r="CH758" s="115"/>
      <c r="CI758" s="115"/>
      <c r="CJ758" s="115"/>
      <c r="CK758" s="115"/>
      <c r="CL758" s="115"/>
      <c r="CM758" s="115"/>
      <c r="CN758" s="115"/>
      <c r="CO758" s="115"/>
      <c r="CP758" s="115"/>
      <c r="CQ758" s="115"/>
      <c r="CR758" s="115"/>
      <c r="CS758" s="115"/>
      <c r="CT758" s="115"/>
      <c r="CU758" s="115"/>
      <c r="CV758" s="115"/>
      <c r="CW758" s="115"/>
      <c r="CX758" s="115"/>
      <c r="CY758" s="115"/>
      <c r="CZ758" s="115"/>
      <c r="DA758" s="115"/>
      <c r="DB758" s="115"/>
      <c r="DC758" s="115"/>
      <c r="DD758" s="115"/>
      <c r="DE758" s="115"/>
      <c r="DF758" s="115"/>
      <c r="DG758" s="115"/>
    </row>
    <row r="759" spans="1:111" ht="9" customHeight="1">
      <c r="B759" s="55"/>
      <c r="C759" s="55"/>
      <c r="D759" s="56"/>
      <c r="E759" s="56"/>
      <c r="F759" s="56"/>
      <c r="G759" s="56"/>
      <c r="H759" s="56"/>
      <c r="I759" s="56"/>
      <c r="J759" s="416"/>
      <c r="K759" s="416"/>
      <c r="L759" s="416"/>
      <c r="M759" s="416"/>
      <c r="N759" s="416"/>
      <c r="O759" s="416"/>
      <c r="Q759" s="417"/>
      <c r="R759" s="417"/>
      <c r="S759" s="417"/>
      <c r="T759" s="417"/>
      <c r="U759" s="56"/>
      <c r="V759" s="416"/>
      <c r="W759" s="416"/>
      <c r="X759" s="416"/>
      <c r="Y759" s="416"/>
      <c r="Z759" s="416"/>
      <c r="AA759" s="416"/>
      <c r="AC759" s="417"/>
      <c r="AD759" s="417"/>
      <c r="AE759" s="417"/>
      <c r="AF759" s="417"/>
      <c r="AG759" s="56"/>
      <c r="AH759" s="56"/>
      <c r="AI759" s="56"/>
      <c r="AJ759" s="56"/>
      <c r="AK759" s="141"/>
      <c r="AL759" s="141"/>
      <c r="AM759" s="141"/>
      <c r="AN759" s="141"/>
      <c r="AO759" s="140"/>
      <c r="AP759" s="140"/>
      <c r="AQ759" s="140"/>
      <c r="AR759" s="140"/>
      <c r="AS759" s="142"/>
      <c r="AT759" s="142"/>
      <c r="AU759" s="142"/>
      <c r="AV759" s="142"/>
      <c r="AW759" s="140"/>
      <c r="AX759" s="140"/>
      <c r="AY759" s="140"/>
      <c r="AZ759" s="140"/>
      <c r="BA759" s="140"/>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c r="BY759" s="115"/>
      <c r="BZ759" s="115"/>
      <c r="CA759" s="115"/>
      <c r="CB759" s="115"/>
      <c r="CC759" s="115"/>
      <c r="CD759" s="115"/>
      <c r="CE759" s="115"/>
      <c r="CF759" s="115"/>
      <c r="CG759" s="115"/>
      <c r="CH759" s="115"/>
      <c r="CI759" s="115"/>
      <c r="CJ759" s="115"/>
      <c r="CK759" s="115"/>
      <c r="CL759" s="115"/>
      <c r="CM759" s="115"/>
      <c r="CN759" s="115"/>
      <c r="CO759" s="115"/>
      <c r="CP759" s="115"/>
      <c r="CQ759" s="115"/>
      <c r="CR759" s="115"/>
      <c r="CS759" s="115"/>
      <c r="CT759" s="115"/>
      <c r="CU759" s="115"/>
      <c r="CV759" s="115"/>
      <c r="CW759" s="115"/>
      <c r="CX759" s="115"/>
      <c r="CY759" s="115"/>
      <c r="CZ759" s="115"/>
      <c r="DA759" s="115"/>
      <c r="DB759" s="115"/>
      <c r="DC759" s="115"/>
      <c r="DD759" s="115"/>
      <c r="DE759" s="115"/>
      <c r="DF759" s="115"/>
      <c r="DG759" s="115"/>
    </row>
    <row r="760" spans="1:111" ht="9" customHeight="1">
      <c r="Q760" s="417"/>
      <c r="R760" s="417"/>
      <c r="S760" s="417"/>
      <c r="T760" s="417"/>
      <c r="AC760" s="417"/>
      <c r="AD760" s="417"/>
      <c r="AE760" s="417"/>
      <c r="AF760" s="417"/>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c r="BY760" s="115"/>
      <c r="BZ760" s="115"/>
      <c r="CA760" s="115"/>
      <c r="CB760" s="115"/>
      <c r="CC760" s="115"/>
      <c r="CD760" s="115"/>
      <c r="CE760" s="115"/>
      <c r="CF760" s="115"/>
      <c r="CG760" s="115"/>
      <c r="CH760" s="115"/>
      <c r="CI760" s="115"/>
      <c r="CJ760" s="115"/>
      <c r="CK760" s="115"/>
      <c r="CL760" s="115"/>
      <c r="CM760" s="115"/>
      <c r="CN760" s="115"/>
      <c r="CO760" s="115"/>
      <c r="CP760" s="115"/>
      <c r="CQ760" s="115"/>
      <c r="CR760" s="115"/>
      <c r="CS760" s="115"/>
      <c r="CT760" s="115"/>
      <c r="CU760" s="115"/>
      <c r="CV760" s="115"/>
      <c r="CW760" s="115"/>
      <c r="CX760" s="115"/>
      <c r="CY760" s="115"/>
      <c r="CZ760" s="115"/>
      <c r="DA760" s="115"/>
      <c r="DB760" s="115"/>
      <c r="DC760" s="115"/>
      <c r="DD760" s="115"/>
      <c r="DE760" s="115"/>
      <c r="DF760" s="115"/>
      <c r="DG760" s="115"/>
    </row>
    <row r="761" spans="1:111" ht="4.5" customHeight="1">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c r="BY761" s="115"/>
      <c r="BZ761" s="115"/>
      <c r="CA761" s="115"/>
      <c r="CB761" s="115"/>
      <c r="CC761" s="115"/>
      <c r="CD761" s="115"/>
      <c r="CE761" s="115"/>
      <c r="CF761" s="115"/>
      <c r="CG761" s="115"/>
      <c r="CH761" s="115"/>
      <c r="CI761" s="115"/>
      <c r="CJ761" s="115"/>
      <c r="CK761" s="115"/>
      <c r="CL761" s="115"/>
      <c r="CM761" s="115"/>
      <c r="CN761" s="115"/>
      <c r="CO761" s="115"/>
      <c r="CP761" s="115"/>
      <c r="CQ761" s="115"/>
      <c r="CR761" s="115"/>
      <c r="CS761" s="115"/>
      <c r="CT761" s="115"/>
      <c r="CU761" s="115"/>
      <c r="CV761" s="115"/>
      <c r="CW761" s="115"/>
      <c r="CX761" s="115"/>
      <c r="CY761" s="115"/>
      <c r="CZ761" s="115"/>
      <c r="DA761" s="115"/>
      <c r="DB761" s="115"/>
      <c r="DC761" s="115"/>
      <c r="DD761" s="115"/>
      <c r="DE761" s="115"/>
      <c r="DF761" s="115"/>
      <c r="DG761" s="115"/>
    </row>
    <row r="762" spans="1:111" ht="9" customHeight="1">
      <c r="A762" s="154"/>
      <c r="B762" s="154"/>
      <c r="C762" s="154"/>
      <c r="D762" s="154"/>
      <c r="E762" s="154"/>
      <c r="F762" s="154"/>
      <c r="G762" s="154"/>
      <c r="H762" s="154"/>
      <c r="I762" s="154"/>
      <c r="J762" s="416" t="str">
        <f>IF(C748="","","Quantidade:")</f>
        <v/>
      </c>
      <c r="K762" s="416"/>
      <c r="L762" s="416"/>
      <c r="M762" s="416"/>
      <c r="N762" s="416"/>
      <c r="O762" s="416"/>
      <c r="P762" s="154"/>
      <c r="Q762" s="417"/>
      <c r="R762" s="417"/>
      <c r="S762" s="417"/>
      <c r="T762" s="417"/>
      <c r="U762" s="154"/>
      <c r="V762" s="416" t="str">
        <f>IF(C748="","","Unidade:")</f>
        <v/>
      </c>
      <c r="W762" s="416"/>
      <c r="X762" s="416"/>
      <c r="Y762" s="416"/>
      <c r="Z762" s="416"/>
      <c r="AA762" s="416"/>
      <c r="AB762" s="154"/>
      <c r="AC762" s="418"/>
      <c r="AD762" s="418"/>
      <c r="AE762" s="418"/>
      <c r="AF762" s="418"/>
      <c r="AG762" s="418"/>
      <c r="AH762" s="418"/>
      <c r="AI762" s="418"/>
      <c r="AJ762" s="418"/>
      <c r="AK762" s="418"/>
      <c r="AL762" s="418"/>
      <c r="AM762" s="418"/>
      <c r="AN762" s="418"/>
      <c r="AO762" s="418"/>
      <c r="AP762" s="418"/>
      <c r="AQ762" s="418"/>
      <c r="AR762" s="418"/>
      <c r="AS762" s="418"/>
      <c r="AT762" s="418"/>
      <c r="AU762" s="418"/>
      <c r="AV762" s="418"/>
      <c r="AW762" s="418"/>
      <c r="AX762" s="418"/>
      <c r="AY762" s="418"/>
      <c r="AZ762" s="418"/>
      <c r="BA762" s="418"/>
      <c r="BB762" s="154"/>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c r="BY762" s="115"/>
      <c r="BZ762" s="115"/>
      <c r="CA762" s="115"/>
      <c r="CB762" s="115"/>
      <c r="CC762" s="115"/>
      <c r="CD762" s="115"/>
      <c r="CE762" s="115"/>
      <c r="CF762" s="115"/>
      <c r="CG762" s="115"/>
      <c r="CH762" s="115"/>
      <c r="CI762" s="115"/>
      <c r="CJ762" s="115"/>
      <c r="CK762" s="115"/>
      <c r="CL762" s="115"/>
      <c r="CM762" s="115"/>
      <c r="CN762" s="115"/>
      <c r="CO762" s="115"/>
      <c r="CP762" s="115"/>
      <c r="CQ762" s="115"/>
      <c r="CR762" s="115"/>
      <c r="CS762" s="115"/>
      <c r="CT762" s="115"/>
      <c r="CU762" s="115"/>
      <c r="CV762" s="115"/>
      <c r="CW762" s="115"/>
      <c r="CX762" s="115"/>
      <c r="CY762" s="115"/>
      <c r="CZ762" s="115"/>
      <c r="DA762" s="115"/>
      <c r="DB762" s="115"/>
      <c r="DC762" s="115"/>
      <c r="DD762" s="115"/>
      <c r="DE762" s="115"/>
      <c r="DF762" s="115"/>
      <c r="DG762" s="115"/>
    </row>
    <row r="763" spans="1:111" ht="9" customHeight="1">
      <c r="A763" s="154"/>
      <c r="B763" s="154"/>
      <c r="C763" s="154"/>
      <c r="D763" s="154"/>
      <c r="E763" s="154"/>
      <c r="F763" s="154"/>
      <c r="G763" s="154"/>
      <c r="H763" s="154"/>
      <c r="I763" s="154"/>
      <c r="J763" s="416"/>
      <c r="K763" s="416"/>
      <c r="L763" s="416"/>
      <c r="M763" s="416"/>
      <c r="N763" s="416"/>
      <c r="O763" s="416"/>
      <c r="P763" s="154"/>
      <c r="Q763" s="417"/>
      <c r="R763" s="417"/>
      <c r="S763" s="417"/>
      <c r="T763" s="417"/>
      <c r="U763" s="154"/>
      <c r="V763" s="416"/>
      <c r="W763" s="416"/>
      <c r="X763" s="416"/>
      <c r="Y763" s="416"/>
      <c r="Z763" s="416"/>
      <c r="AA763" s="416"/>
      <c r="AB763" s="154"/>
      <c r="AC763" s="418"/>
      <c r="AD763" s="418"/>
      <c r="AE763" s="418"/>
      <c r="AF763" s="418"/>
      <c r="AG763" s="418"/>
      <c r="AH763" s="418"/>
      <c r="AI763" s="418"/>
      <c r="AJ763" s="418"/>
      <c r="AK763" s="418"/>
      <c r="AL763" s="418"/>
      <c r="AM763" s="418"/>
      <c r="AN763" s="418"/>
      <c r="AO763" s="418"/>
      <c r="AP763" s="418"/>
      <c r="AQ763" s="418"/>
      <c r="AR763" s="418"/>
      <c r="AS763" s="418"/>
      <c r="AT763" s="418"/>
      <c r="AU763" s="418"/>
      <c r="AV763" s="418"/>
      <c r="AW763" s="418"/>
      <c r="AX763" s="418"/>
      <c r="AY763" s="418"/>
      <c r="AZ763" s="418"/>
      <c r="BA763" s="418"/>
      <c r="BB763" s="154"/>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c r="BY763" s="115"/>
      <c r="BZ763" s="115"/>
      <c r="CA763" s="115"/>
      <c r="CB763" s="115"/>
      <c r="CC763" s="115"/>
      <c r="CD763" s="115"/>
      <c r="CE763" s="115"/>
      <c r="CF763" s="115"/>
      <c r="CG763" s="115"/>
      <c r="CH763" s="115"/>
      <c r="CI763" s="115"/>
      <c r="CJ763" s="115"/>
      <c r="CK763" s="115"/>
      <c r="CL763" s="115"/>
      <c r="CM763" s="115"/>
      <c r="CN763" s="115"/>
      <c r="CO763" s="115"/>
      <c r="CP763" s="115"/>
      <c r="CQ763" s="115"/>
      <c r="CR763" s="115"/>
      <c r="CS763" s="115"/>
      <c r="CT763" s="115"/>
      <c r="CU763" s="115"/>
      <c r="CV763" s="115"/>
      <c r="CW763" s="115"/>
      <c r="CX763" s="115"/>
      <c r="CY763" s="115"/>
      <c r="CZ763" s="115"/>
      <c r="DA763" s="115"/>
      <c r="DB763" s="115"/>
      <c r="DC763" s="115"/>
      <c r="DD763" s="115"/>
      <c r="DE763" s="115"/>
      <c r="DF763" s="115"/>
      <c r="DG763" s="115"/>
    </row>
    <row r="764" spans="1:111" ht="9" customHeight="1">
      <c r="A764" s="154"/>
      <c r="B764" s="154"/>
      <c r="C764" s="154"/>
      <c r="D764" s="154"/>
      <c r="E764" s="154"/>
      <c r="F764" s="154"/>
      <c r="G764" s="154"/>
      <c r="H764" s="154"/>
      <c r="I764" s="154"/>
      <c r="J764" s="154"/>
      <c r="K764" s="154"/>
      <c r="L764" s="154"/>
      <c r="M764" s="154"/>
      <c r="N764" s="154"/>
      <c r="O764" s="154"/>
      <c r="P764" s="154"/>
      <c r="Q764" s="417"/>
      <c r="R764" s="417"/>
      <c r="S764" s="417"/>
      <c r="T764" s="417"/>
      <c r="U764" s="154"/>
      <c r="V764" s="154"/>
      <c r="W764" s="154"/>
      <c r="X764" s="154"/>
      <c r="Y764" s="154"/>
      <c r="Z764" s="154"/>
      <c r="AA764" s="154"/>
      <c r="AB764" s="154"/>
      <c r="AC764" s="418"/>
      <c r="AD764" s="418"/>
      <c r="AE764" s="418"/>
      <c r="AF764" s="418"/>
      <c r="AG764" s="418"/>
      <c r="AH764" s="418"/>
      <c r="AI764" s="418"/>
      <c r="AJ764" s="418"/>
      <c r="AK764" s="418"/>
      <c r="AL764" s="418"/>
      <c r="AM764" s="418"/>
      <c r="AN764" s="418"/>
      <c r="AO764" s="418"/>
      <c r="AP764" s="418"/>
      <c r="AQ764" s="418"/>
      <c r="AR764" s="418"/>
      <c r="AS764" s="418"/>
      <c r="AT764" s="418"/>
      <c r="AU764" s="418"/>
      <c r="AV764" s="418"/>
      <c r="AW764" s="418"/>
      <c r="AX764" s="418"/>
      <c r="AY764" s="418"/>
      <c r="AZ764" s="418"/>
      <c r="BA764" s="418"/>
      <c r="BB764" s="154"/>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c r="BY764" s="115"/>
      <c r="BZ764" s="115"/>
      <c r="CA764" s="115"/>
      <c r="CB764" s="115"/>
      <c r="CC764" s="115"/>
      <c r="CD764" s="115"/>
      <c r="CE764" s="115"/>
      <c r="CF764" s="115"/>
      <c r="CG764" s="115"/>
      <c r="CH764" s="115"/>
      <c r="CI764" s="115"/>
      <c r="CJ764" s="115"/>
      <c r="CK764" s="115"/>
      <c r="CL764" s="115"/>
      <c r="CM764" s="115"/>
      <c r="CN764" s="115"/>
      <c r="CO764" s="115"/>
      <c r="CP764" s="115"/>
      <c r="CQ764" s="115"/>
      <c r="CR764" s="115"/>
      <c r="CS764" s="115"/>
      <c r="CT764" s="115"/>
      <c r="CU764" s="115"/>
      <c r="CV764" s="115"/>
      <c r="CW764" s="115"/>
      <c r="CX764" s="115"/>
      <c r="CY764" s="115"/>
      <c r="CZ764" s="115"/>
      <c r="DA764" s="115"/>
      <c r="DB764" s="115"/>
      <c r="DC764" s="115"/>
      <c r="DD764" s="115"/>
      <c r="DE764" s="115"/>
      <c r="DF764" s="115"/>
      <c r="DG764" s="115"/>
    </row>
    <row r="765" spans="1:111" ht="4.5" customHeight="1">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c r="BY765" s="115"/>
      <c r="BZ765" s="115"/>
      <c r="CA765" s="115"/>
      <c r="CB765" s="115"/>
      <c r="CC765" s="115"/>
      <c r="CD765" s="115"/>
      <c r="CE765" s="115"/>
      <c r="CF765" s="115"/>
      <c r="CG765" s="115"/>
      <c r="CH765" s="115"/>
      <c r="CI765" s="115"/>
      <c r="CJ765" s="115"/>
      <c r="CK765" s="115"/>
      <c r="CL765" s="115"/>
      <c r="CM765" s="115"/>
      <c r="CN765" s="115"/>
      <c r="CO765" s="115"/>
      <c r="CP765" s="115"/>
      <c r="CQ765" s="115"/>
      <c r="CR765" s="115"/>
      <c r="CS765" s="115"/>
      <c r="CT765" s="115"/>
      <c r="CU765" s="115"/>
      <c r="CV765" s="115"/>
      <c r="CW765" s="115"/>
      <c r="CX765" s="115"/>
      <c r="CY765" s="115"/>
      <c r="CZ765" s="115"/>
      <c r="DA765" s="115"/>
      <c r="DB765" s="115"/>
      <c r="DC765" s="115"/>
      <c r="DD765" s="115"/>
      <c r="DE765" s="115"/>
      <c r="DF765" s="115"/>
      <c r="DG765" s="115"/>
    </row>
    <row r="766" spans="1:111" ht="9" customHeight="1">
      <c r="A766" s="154"/>
      <c r="B766" s="154"/>
      <c r="C766" s="154"/>
      <c r="D766" s="154"/>
      <c r="E766" s="154"/>
      <c r="F766" s="154"/>
      <c r="G766" s="154"/>
      <c r="H766" s="154"/>
      <c r="I766" s="154"/>
      <c r="J766" s="416" t="str">
        <f>IF(C748="","","Valor Unitário (R$):")</f>
        <v/>
      </c>
      <c r="K766" s="416"/>
      <c r="L766" s="416"/>
      <c r="M766" s="416"/>
      <c r="N766" s="416"/>
      <c r="O766" s="416"/>
      <c r="P766" s="154"/>
      <c r="Q766" s="419"/>
      <c r="R766" s="419"/>
      <c r="S766" s="419"/>
      <c r="T766" s="419"/>
      <c r="U766" s="419"/>
      <c r="V766" s="419"/>
      <c r="W766" s="419"/>
      <c r="X766" s="419"/>
      <c r="Y766" s="154"/>
      <c r="Z766" s="416" t="str">
        <f>IF(C748="","",IF(J754="52 Equipamentos e Material Permanente","Tempo de Uso:",""))</f>
        <v/>
      </c>
      <c r="AA766" s="416"/>
      <c r="AB766" s="416"/>
      <c r="AC766" s="416"/>
      <c r="AD766" s="416"/>
      <c r="AE766" s="416"/>
      <c r="AF766" s="154"/>
      <c r="AG766" s="420"/>
      <c r="AH766" s="420"/>
      <c r="AI766" s="420"/>
      <c r="AJ766" s="420"/>
      <c r="AK766" s="420"/>
      <c r="AL766" s="420"/>
      <c r="AM766" s="420"/>
      <c r="AN766" s="420"/>
      <c r="AO766" s="420"/>
      <c r="AP766" s="420"/>
      <c r="AQ766" s="420"/>
      <c r="AR766" s="420"/>
      <c r="AS766" s="420"/>
      <c r="AT766" s="420"/>
      <c r="AU766" s="420"/>
      <c r="AV766" s="420"/>
      <c r="AW766" s="420"/>
      <c r="AX766" s="420"/>
      <c r="AY766" s="420"/>
      <c r="AZ766" s="420"/>
      <c r="BA766" s="420"/>
      <c r="BB766" s="154"/>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c r="BY766" s="115"/>
      <c r="BZ766" s="115"/>
      <c r="CA766" s="115"/>
      <c r="CB766" s="115"/>
      <c r="CC766" s="115"/>
      <c r="CD766" s="115"/>
      <c r="CE766" s="115"/>
      <c r="CF766" s="115"/>
      <c r="CG766" s="115"/>
      <c r="CH766" s="115"/>
      <c r="CI766" s="115"/>
      <c r="CJ766" s="115"/>
      <c r="CK766" s="115"/>
      <c r="CL766" s="115"/>
      <c r="CM766" s="115"/>
      <c r="CN766" s="115"/>
      <c r="CO766" s="115"/>
      <c r="CP766" s="115"/>
      <c r="CQ766" s="115"/>
      <c r="CR766" s="115"/>
      <c r="CS766" s="115"/>
      <c r="CT766" s="115"/>
      <c r="CU766" s="115"/>
      <c r="CV766" s="115"/>
      <c r="CW766" s="115"/>
      <c r="CX766" s="115"/>
      <c r="CY766" s="115"/>
      <c r="CZ766" s="115"/>
      <c r="DA766" s="115"/>
      <c r="DB766" s="115"/>
      <c r="DC766" s="115"/>
      <c r="DD766" s="115"/>
      <c r="DE766" s="115"/>
      <c r="DF766" s="115"/>
      <c r="DG766" s="115"/>
    </row>
    <row r="767" spans="1:111" ht="9" customHeight="1">
      <c r="A767" s="154"/>
      <c r="B767" s="154"/>
      <c r="C767" s="154"/>
      <c r="D767" s="154"/>
      <c r="E767" s="154"/>
      <c r="F767" s="154"/>
      <c r="G767" s="154"/>
      <c r="H767" s="154"/>
      <c r="I767" s="154"/>
      <c r="J767" s="416"/>
      <c r="K767" s="416"/>
      <c r="L767" s="416"/>
      <c r="M767" s="416"/>
      <c r="N767" s="416"/>
      <c r="O767" s="416"/>
      <c r="P767" s="154"/>
      <c r="Q767" s="419"/>
      <c r="R767" s="419"/>
      <c r="S767" s="419"/>
      <c r="T767" s="419"/>
      <c r="U767" s="419"/>
      <c r="V767" s="419"/>
      <c r="W767" s="419"/>
      <c r="X767" s="419"/>
      <c r="Y767" s="154"/>
      <c r="Z767" s="416"/>
      <c r="AA767" s="416"/>
      <c r="AB767" s="416"/>
      <c r="AC767" s="416"/>
      <c r="AD767" s="416"/>
      <c r="AE767" s="416"/>
      <c r="AF767" s="154"/>
      <c r="AG767" s="420"/>
      <c r="AH767" s="420"/>
      <c r="AI767" s="420"/>
      <c r="AJ767" s="420"/>
      <c r="AK767" s="420"/>
      <c r="AL767" s="420"/>
      <c r="AM767" s="420"/>
      <c r="AN767" s="420"/>
      <c r="AO767" s="420"/>
      <c r="AP767" s="420"/>
      <c r="AQ767" s="420"/>
      <c r="AR767" s="420"/>
      <c r="AS767" s="420"/>
      <c r="AT767" s="420"/>
      <c r="AU767" s="420"/>
      <c r="AV767" s="420"/>
      <c r="AW767" s="420"/>
      <c r="AX767" s="420"/>
      <c r="AY767" s="420"/>
      <c r="AZ767" s="420"/>
      <c r="BA767" s="420"/>
      <c r="BB767" s="154"/>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c r="BY767" s="115"/>
      <c r="BZ767" s="115"/>
      <c r="CA767" s="115"/>
      <c r="CB767" s="115"/>
      <c r="CC767" s="115"/>
      <c r="CD767" s="115"/>
      <c r="CE767" s="115"/>
      <c r="CF767" s="115"/>
      <c r="CG767" s="115"/>
      <c r="CH767" s="115"/>
      <c r="CI767" s="115"/>
      <c r="CJ767" s="115"/>
      <c r="CK767" s="115"/>
      <c r="CL767" s="115"/>
      <c r="CM767" s="115"/>
      <c r="CN767" s="115"/>
      <c r="CO767" s="115"/>
      <c r="CP767" s="115"/>
      <c r="CQ767" s="115"/>
      <c r="CR767" s="115"/>
      <c r="CS767" s="115"/>
      <c r="CT767" s="115"/>
      <c r="CU767" s="115"/>
      <c r="CV767" s="115"/>
      <c r="CW767" s="115"/>
      <c r="CX767" s="115"/>
      <c r="CY767" s="115"/>
      <c r="CZ767" s="115"/>
      <c r="DA767" s="115"/>
      <c r="DB767" s="115"/>
      <c r="DC767" s="115"/>
      <c r="DD767" s="115"/>
      <c r="DE767" s="115"/>
      <c r="DF767" s="115"/>
      <c r="DG767" s="115"/>
    </row>
    <row r="768" spans="1:111" ht="9" customHeight="1">
      <c r="A768" s="154"/>
      <c r="B768" s="154"/>
      <c r="C768" s="154"/>
      <c r="D768" s="154"/>
      <c r="E768" s="154"/>
      <c r="F768" s="154"/>
      <c r="G768" s="154"/>
      <c r="H768" s="154"/>
      <c r="I768" s="154"/>
      <c r="J768" s="154"/>
      <c r="K768" s="154"/>
      <c r="L768" s="154"/>
      <c r="M768" s="154"/>
      <c r="N768" s="154"/>
      <c r="O768" s="154"/>
      <c r="P768" s="154"/>
      <c r="Q768" s="419"/>
      <c r="R768" s="419"/>
      <c r="S768" s="419"/>
      <c r="T768" s="419"/>
      <c r="U768" s="419"/>
      <c r="V768" s="419"/>
      <c r="W768" s="419"/>
      <c r="X768" s="419"/>
      <c r="Y768" s="154"/>
      <c r="Z768" s="154"/>
      <c r="AA768" s="154"/>
      <c r="AB768" s="154"/>
      <c r="AC768" s="154"/>
      <c r="AD768" s="154"/>
      <c r="AE768" s="154"/>
      <c r="AF768" s="154"/>
      <c r="AG768" s="420"/>
      <c r="AH768" s="420"/>
      <c r="AI768" s="420"/>
      <c r="AJ768" s="420"/>
      <c r="AK768" s="420"/>
      <c r="AL768" s="420"/>
      <c r="AM768" s="420"/>
      <c r="AN768" s="420"/>
      <c r="AO768" s="420"/>
      <c r="AP768" s="420"/>
      <c r="AQ768" s="420"/>
      <c r="AR768" s="420"/>
      <c r="AS768" s="420"/>
      <c r="AT768" s="420"/>
      <c r="AU768" s="420"/>
      <c r="AV768" s="420"/>
      <c r="AW768" s="420"/>
      <c r="AX768" s="420"/>
      <c r="AY768" s="420"/>
      <c r="AZ768" s="420"/>
      <c r="BA768" s="420"/>
      <c r="BB768" s="154"/>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c r="BY768" s="115"/>
      <c r="BZ768" s="115"/>
      <c r="CA768" s="115"/>
      <c r="CB768" s="115"/>
      <c r="CC768" s="115"/>
      <c r="CD768" s="115"/>
      <c r="CE768" s="115"/>
      <c r="CF768" s="115"/>
      <c r="CG768" s="115"/>
      <c r="CH768" s="115"/>
      <c r="CI768" s="115"/>
      <c r="CJ768" s="115"/>
      <c r="CK768" s="115"/>
      <c r="CL768" s="115"/>
      <c r="CM768" s="115"/>
      <c r="CN768" s="115"/>
      <c r="CO768" s="115"/>
      <c r="CP768" s="115"/>
      <c r="CQ768" s="115"/>
      <c r="CR768" s="115"/>
      <c r="CS768" s="115"/>
      <c r="CT768" s="115"/>
      <c r="CU768" s="115"/>
      <c r="CV768" s="115"/>
      <c r="CW768" s="115"/>
      <c r="CX768" s="115"/>
      <c r="CY768" s="115"/>
      <c r="CZ768" s="115"/>
      <c r="DA768" s="115"/>
      <c r="DB768" s="115"/>
      <c r="DC768" s="115"/>
      <c r="DD768" s="115"/>
      <c r="DE768" s="115"/>
      <c r="DF768" s="115"/>
      <c r="DG768" s="115"/>
    </row>
    <row r="769" spans="1:111" ht="4.5" customHeight="1">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c r="BY769" s="115"/>
      <c r="BZ769" s="115"/>
      <c r="CA769" s="115"/>
      <c r="CB769" s="115"/>
      <c r="CC769" s="115"/>
      <c r="CD769" s="115"/>
      <c r="CE769" s="115"/>
      <c r="CF769" s="115"/>
      <c r="CG769" s="115"/>
      <c r="CH769" s="115"/>
      <c r="CI769" s="115"/>
      <c r="CJ769" s="115"/>
      <c r="CK769" s="115"/>
      <c r="CL769" s="115"/>
      <c r="CM769" s="115"/>
      <c r="CN769" s="115"/>
      <c r="CO769" s="115"/>
      <c r="CP769" s="115"/>
      <c r="CQ769" s="115"/>
      <c r="CR769" s="115"/>
      <c r="CS769" s="115"/>
      <c r="CT769" s="115"/>
      <c r="CU769" s="115"/>
      <c r="CV769" s="115"/>
      <c r="CW769" s="115"/>
      <c r="CX769" s="115"/>
      <c r="CY769" s="115"/>
      <c r="CZ769" s="115"/>
      <c r="DA769" s="115"/>
      <c r="DB769" s="115"/>
      <c r="DC769" s="115"/>
      <c r="DD769" s="115"/>
      <c r="DE769" s="115"/>
      <c r="DF769" s="115"/>
      <c r="DG769" s="115"/>
    </row>
    <row r="770" spans="1:111" ht="9" customHeight="1">
      <c r="A770" s="154"/>
      <c r="B770" s="154"/>
      <c r="C770" s="154"/>
      <c r="D770" s="154"/>
      <c r="E770" s="154"/>
      <c r="F770" s="154"/>
      <c r="G770" s="154"/>
      <c r="H770" s="154"/>
      <c r="I770" s="154"/>
      <c r="J770" s="416" t="str">
        <f>IF(C748="","","Valor Total (R$):")</f>
        <v/>
      </c>
      <c r="K770" s="416"/>
      <c r="L770" s="416"/>
      <c r="M770" s="416"/>
      <c r="N770" s="416"/>
      <c r="O770" s="416"/>
      <c r="P770" s="154"/>
      <c r="Q770" s="419" t="str">
        <f>IF(Q766="","",Q762*Q766)</f>
        <v/>
      </c>
      <c r="R770" s="419"/>
      <c r="S770" s="419"/>
      <c r="T770" s="419"/>
      <c r="U770" s="419"/>
      <c r="V770" s="419"/>
      <c r="W770" s="419"/>
      <c r="X770" s="419"/>
      <c r="Y770" s="154"/>
      <c r="Z770" s="416" t="str">
        <f>IF(C748="","",IF(J754="52 Equipamentos e Material Permanente","Justificativa e Utilização:",""))</f>
        <v/>
      </c>
      <c r="AA770" s="416"/>
      <c r="AB770" s="416"/>
      <c r="AC770" s="416"/>
      <c r="AD770" s="416"/>
      <c r="AE770" s="416"/>
      <c r="AF770" s="154"/>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154"/>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c r="BY770" s="115"/>
      <c r="BZ770" s="115"/>
      <c r="CA770" s="115"/>
      <c r="CB770" s="115"/>
      <c r="CC770" s="115"/>
      <c r="CD770" s="115"/>
      <c r="CE770" s="115"/>
      <c r="CF770" s="115"/>
      <c r="CG770" s="115"/>
      <c r="CH770" s="115"/>
      <c r="CI770" s="115"/>
      <c r="CJ770" s="115"/>
      <c r="CK770" s="115"/>
      <c r="CL770" s="115"/>
      <c r="CM770" s="115"/>
      <c r="CN770" s="115"/>
      <c r="CO770" s="115"/>
      <c r="CP770" s="115"/>
      <c r="CQ770" s="115"/>
      <c r="CR770" s="115"/>
      <c r="CS770" s="115"/>
      <c r="CT770" s="115"/>
      <c r="CU770" s="115"/>
      <c r="CV770" s="115"/>
      <c r="CW770" s="115"/>
      <c r="CX770" s="115"/>
      <c r="CY770" s="115"/>
      <c r="CZ770" s="115"/>
      <c r="DA770" s="115"/>
      <c r="DB770" s="115"/>
      <c r="DC770" s="115"/>
      <c r="DD770" s="115"/>
      <c r="DE770" s="115"/>
      <c r="DF770" s="115"/>
      <c r="DG770" s="115"/>
    </row>
    <row r="771" spans="1:111" ht="9" customHeight="1">
      <c r="A771" s="154"/>
      <c r="B771" s="154"/>
      <c r="C771" s="154"/>
      <c r="D771" s="154"/>
      <c r="E771" s="154"/>
      <c r="F771" s="154"/>
      <c r="G771" s="154"/>
      <c r="H771" s="154"/>
      <c r="I771" s="154"/>
      <c r="J771" s="416"/>
      <c r="K771" s="416"/>
      <c r="L771" s="416"/>
      <c r="M771" s="416"/>
      <c r="N771" s="416"/>
      <c r="O771" s="416"/>
      <c r="P771" s="154"/>
      <c r="Q771" s="419"/>
      <c r="R771" s="419"/>
      <c r="S771" s="419"/>
      <c r="T771" s="419"/>
      <c r="U771" s="419"/>
      <c r="V771" s="419"/>
      <c r="W771" s="419"/>
      <c r="X771" s="419"/>
      <c r="Y771" s="154"/>
      <c r="Z771" s="416"/>
      <c r="AA771" s="416"/>
      <c r="AB771" s="416"/>
      <c r="AC771" s="416"/>
      <c r="AD771" s="416"/>
      <c r="AE771" s="416"/>
      <c r="AF771" s="154"/>
      <c r="AG771" s="420"/>
      <c r="AH771" s="420"/>
      <c r="AI771" s="420"/>
      <c r="AJ771" s="420"/>
      <c r="AK771" s="420"/>
      <c r="AL771" s="420"/>
      <c r="AM771" s="420"/>
      <c r="AN771" s="420"/>
      <c r="AO771" s="420"/>
      <c r="AP771" s="420"/>
      <c r="AQ771" s="420"/>
      <c r="AR771" s="420"/>
      <c r="AS771" s="420"/>
      <c r="AT771" s="420"/>
      <c r="AU771" s="420"/>
      <c r="AV771" s="420"/>
      <c r="AW771" s="420"/>
      <c r="AX771" s="420"/>
      <c r="AY771" s="420"/>
      <c r="AZ771" s="420"/>
      <c r="BA771" s="420"/>
      <c r="BB771" s="154"/>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c r="BY771" s="115"/>
      <c r="BZ771" s="115"/>
      <c r="CA771" s="115"/>
      <c r="CB771" s="115"/>
      <c r="CC771" s="115"/>
      <c r="CD771" s="115"/>
      <c r="CE771" s="115"/>
      <c r="CF771" s="115"/>
      <c r="CG771" s="115"/>
      <c r="CH771" s="115"/>
      <c r="CI771" s="115"/>
      <c r="CJ771" s="115"/>
      <c r="CK771" s="115"/>
      <c r="CL771" s="115"/>
      <c r="CM771" s="115"/>
      <c r="CN771" s="115"/>
      <c r="CO771" s="115"/>
      <c r="CP771" s="115"/>
      <c r="CQ771" s="115"/>
      <c r="CR771" s="115"/>
      <c r="CS771" s="115"/>
      <c r="CT771" s="115"/>
      <c r="CU771" s="115"/>
      <c r="CV771" s="115"/>
      <c r="CW771" s="115"/>
      <c r="CX771" s="115"/>
      <c r="CY771" s="115"/>
      <c r="CZ771" s="115"/>
      <c r="DA771" s="115"/>
      <c r="DB771" s="115"/>
      <c r="DC771" s="115"/>
      <c r="DD771" s="115"/>
      <c r="DE771" s="115"/>
      <c r="DF771" s="115"/>
      <c r="DG771" s="115"/>
    </row>
    <row r="772" spans="1:111" ht="9" customHeight="1">
      <c r="A772" s="154"/>
      <c r="B772" s="154"/>
      <c r="C772" s="154"/>
      <c r="D772" s="154"/>
      <c r="E772" s="154"/>
      <c r="F772" s="154"/>
      <c r="G772" s="154"/>
      <c r="H772" s="154"/>
      <c r="I772" s="154"/>
      <c r="J772" s="154"/>
      <c r="K772" s="154"/>
      <c r="L772" s="154"/>
      <c r="M772" s="154"/>
      <c r="N772" s="154"/>
      <c r="O772" s="154"/>
      <c r="P772" s="154"/>
      <c r="Q772" s="419"/>
      <c r="R772" s="419"/>
      <c r="S772" s="419"/>
      <c r="T772" s="419"/>
      <c r="U772" s="419"/>
      <c r="V772" s="419"/>
      <c r="W772" s="419"/>
      <c r="X772" s="419"/>
      <c r="Y772" s="154"/>
      <c r="Z772" s="154"/>
      <c r="AA772" s="154"/>
      <c r="AB772" s="154"/>
      <c r="AC772" s="154"/>
      <c r="AD772" s="154"/>
      <c r="AE772" s="154"/>
      <c r="AF772" s="154"/>
      <c r="AG772" s="420"/>
      <c r="AH772" s="420"/>
      <c r="AI772" s="420"/>
      <c r="AJ772" s="420"/>
      <c r="AK772" s="420"/>
      <c r="AL772" s="420"/>
      <c r="AM772" s="420"/>
      <c r="AN772" s="420"/>
      <c r="AO772" s="420"/>
      <c r="AP772" s="420"/>
      <c r="AQ772" s="420"/>
      <c r="AR772" s="420"/>
      <c r="AS772" s="420"/>
      <c r="AT772" s="420"/>
      <c r="AU772" s="420"/>
      <c r="AV772" s="420"/>
      <c r="AW772" s="420"/>
      <c r="AX772" s="420"/>
      <c r="AY772" s="420"/>
      <c r="AZ772" s="420"/>
      <c r="BA772" s="420"/>
      <c r="BB772" s="154"/>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c r="BY772" s="115"/>
      <c r="BZ772" s="115"/>
      <c r="CA772" s="115"/>
      <c r="CB772" s="115"/>
      <c r="CC772" s="115"/>
      <c r="CD772" s="115"/>
      <c r="CE772" s="115"/>
      <c r="CF772" s="115"/>
      <c r="CG772" s="115"/>
      <c r="CH772" s="115"/>
      <c r="CI772" s="115"/>
      <c r="CJ772" s="115"/>
      <c r="CK772" s="115"/>
      <c r="CL772" s="115"/>
      <c r="CM772" s="115"/>
      <c r="CN772" s="115"/>
      <c r="CO772" s="115"/>
      <c r="CP772" s="115"/>
      <c r="CQ772" s="115"/>
      <c r="CR772" s="115"/>
      <c r="CS772" s="115"/>
      <c r="CT772" s="115"/>
      <c r="CU772" s="115"/>
      <c r="CV772" s="115"/>
      <c r="CW772" s="115"/>
      <c r="CX772" s="115"/>
      <c r="CY772" s="115"/>
      <c r="CZ772" s="115"/>
      <c r="DA772" s="115"/>
      <c r="DB772" s="115"/>
      <c r="DC772" s="115"/>
      <c r="DD772" s="115"/>
      <c r="DE772" s="115"/>
      <c r="DF772" s="115"/>
      <c r="DG772" s="115"/>
    </row>
    <row r="773" spans="1:111" ht="9" customHeight="1">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420"/>
      <c r="AH773" s="420"/>
      <c r="AI773" s="420"/>
      <c r="AJ773" s="420"/>
      <c r="AK773" s="420"/>
      <c r="AL773" s="420"/>
      <c r="AM773" s="420"/>
      <c r="AN773" s="420"/>
      <c r="AO773" s="420"/>
      <c r="AP773" s="420"/>
      <c r="AQ773" s="420"/>
      <c r="AR773" s="420"/>
      <c r="AS773" s="420"/>
      <c r="AT773" s="420"/>
      <c r="AU773" s="420"/>
      <c r="AV773" s="420"/>
      <c r="AW773" s="420"/>
      <c r="AX773" s="420"/>
      <c r="AY773" s="420"/>
      <c r="AZ773" s="420"/>
      <c r="BA773" s="420"/>
      <c r="BB773" s="154"/>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c r="BY773" s="115"/>
      <c r="BZ773" s="115"/>
      <c r="CA773" s="115"/>
      <c r="CB773" s="115"/>
      <c r="CC773" s="115"/>
      <c r="CD773" s="115"/>
      <c r="CE773" s="115"/>
      <c r="CF773" s="115"/>
      <c r="CG773" s="115"/>
      <c r="CH773" s="115"/>
      <c r="CI773" s="115"/>
      <c r="CJ773" s="115"/>
      <c r="CK773" s="115"/>
      <c r="CL773" s="115"/>
      <c r="CM773" s="115"/>
      <c r="CN773" s="115"/>
      <c r="CO773" s="115"/>
      <c r="CP773" s="115"/>
      <c r="CQ773" s="115"/>
      <c r="CR773" s="115"/>
      <c r="CS773" s="115"/>
      <c r="CT773" s="115"/>
      <c r="CU773" s="115"/>
      <c r="CV773" s="115"/>
      <c r="CW773" s="115"/>
      <c r="CX773" s="115"/>
      <c r="CY773" s="115"/>
      <c r="CZ773" s="115"/>
      <c r="DA773" s="115"/>
      <c r="DB773" s="115"/>
      <c r="DC773" s="115"/>
      <c r="DD773" s="115"/>
      <c r="DE773" s="115"/>
      <c r="DF773" s="115"/>
      <c r="DG773" s="115"/>
    </row>
    <row r="774" spans="1:111" ht="9" customHeight="1">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420"/>
      <c r="AH774" s="420"/>
      <c r="AI774" s="420"/>
      <c r="AJ774" s="420"/>
      <c r="AK774" s="420"/>
      <c r="AL774" s="420"/>
      <c r="AM774" s="420"/>
      <c r="AN774" s="420"/>
      <c r="AO774" s="420"/>
      <c r="AP774" s="420"/>
      <c r="AQ774" s="420"/>
      <c r="AR774" s="420"/>
      <c r="AS774" s="420"/>
      <c r="AT774" s="420"/>
      <c r="AU774" s="420"/>
      <c r="AV774" s="420"/>
      <c r="AW774" s="420"/>
      <c r="AX774" s="420"/>
      <c r="AY774" s="420"/>
      <c r="AZ774" s="420"/>
      <c r="BA774" s="420"/>
      <c r="BB774" s="154"/>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c r="BY774" s="115"/>
      <c r="BZ774" s="115"/>
      <c r="CA774" s="115"/>
      <c r="CB774" s="115"/>
      <c r="CC774" s="115"/>
      <c r="CD774" s="115"/>
      <c r="CE774" s="115"/>
      <c r="CF774" s="115"/>
      <c r="CG774" s="115"/>
      <c r="CH774" s="115"/>
      <c r="CI774" s="115"/>
      <c r="CJ774" s="115"/>
      <c r="CK774" s="115"/>
      <c r="CL774" s="115"/>
      <c r="CM774" s="115"/>
      <c r="CN774" s="115"/>
      <c r="CO774" s="115"/>
      <c r="CP774" s="115"/>
      <c r="CQ774" s="115"/>
      <c r="CR774" s="115"/>
      <c r="CS774" s="115"/>
      <c r="CT774" s="115"/>
      <c r="CU774" s="115"/>
      <c r="CV774" s="115"/>
      <c r="CW774" s="115"/>
      <c r="CX774" s="115"/>
      <c r="CY774" s="115"/>
      <c r="CZ774" s="115"/>
      <c r="DA774" s="115"/>
      <c r="DB774" s="115"/>
      <c r="DC774" s="115"/>
      <c r="DD774" s="115"/>
      <c r="DE774" s="115"/>
      <c r="DF774" s="115"/>
      <c r="DG774" s="115"/>
    </row>
    <row r="775" spans="1:111" ht="9" customHeight="1">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420"/>
      <c r="AH775" s="420"/>
      <c r="AI775" s="420"/>
      <c r="AJ775" s="420"/>
      <c r="AK775" s="420"/>
      <c r="AL775" s="420"/>
      <c r="AM775" s="420"/>
      <c r="AN775" s="420"/>
      <c r="AO775" s="420"/>
      <c r="AP775" s="420"/>
      <c r="AQ775" s="420"/>
      <c r="AR775" s="420"/>
      <c r="AS775" s="420"/>
      <c r="AT775" s="420"/>
      <c r="AU775" s="420"/>
      <c r="AV775" s="420"/>
      <c r="AW775" s="420"/>
      <c r="AX775" s="420"/>
      <c r="AY775" s="420"/>
      <c r="AZ775" s="420"/>
      <c r="BA775" s="420"/>
      <c r="BB775" s="154"/>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c r="BY775" s="115"/>
      <c r="BZ775" s="115"/>
      <c r="CA775" s="115"/>
      <c r="CB775" s="115"/>
      <c r="CC775" s="115"/>
      <c r="CD775" s="115"/>
      <c r="CE775" s="115"/>
      <c r="CF775" s="115"/>
      <c r="CG775" s="115"/>
      <c r="CH775" s="115"/>
      <c r="CI775" s="115"/>
      <c r="CJ775" s="115"/>
      <c r="CK775" s="115"/>
      <c r="CL775" s="115"/>
      <c r="CM775" s="115"/>
      <c r="CN775" s="115"/>
      <c r="CO775" s="115"/>
      <c r="CP775" s="115"/>
      <c r="CQ775" s="115"/>
      <c r="CR775" s="115"/>
      <c r="CS775" s="115"/>
      <c r="CT775" s="115"/>
      <c r="CU775" s="115"/>
      <c r="CV775" s="115"/>
      <c r="CW775" s="115"/>
      <c r="CX775" s="115"/>
      <c r="CY775" s="115"/>
      <c r="CZ775" s="115"/>
      <c r="DA775" s="115"/>
      <c r="DB775" s="115"/>
      <c r="DC775" s="115"/>
      <c r="DD775" s="115"/>
      <c r="DE775" s="115"/>
      <c r="DF775" s="115"/>
      <c r="DG775" s="115"/>
    </row>
    <row r="776" spans="1:111" ht="15" customHeight="1">
      <c r="B776" s="55"/>
      <c r="C776" s="55"/>
      <c r="D776" s="56"/>
      <c r="E776" s="56"/>
      <c r="F776" s="56"/>
      <c r="G776" s="56"/>
      <c r="H776" s="56"/>
      <c r="I776" s="56"/>
      <c r="J776" s="56"/>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141"/>
      <c r="AL776" s="141"/>
      <c r="AM776" s="141"/>
      <c r="AN776" s="141"/>
      <c r="AO776" s="140"/>
      <c r="AP776" s="140"/>
      <c r="AQ776" s="140"/>
      <c r="AR776" s="140"/>
      <c r="AS776" s="142"/>
      <c r="AT776" s="142"/>
      <c r="AU776" s="142"/>
      <c r="AV776" s="142"/>
      <c r="AW776" s="140"/>
      <c r="AX776" s="140"/>
      <c r="AY776" s="140"/>
      <c r="AZ776" s="140"/>
      <c r="BA776" s="140"/>
      <c r="BC776" s="115"/>
      <c r="BD776" s="115"/>
      <c r="BE776" s="115"/>
      <c r="BF776" s="115"/>
      <c r="BG776" s="115"/>
      <c r="BH776" s="155"/>
      <c r="BI776" s="155"/>
      <c r="BJ776" s="155"/>
      <c r="BK776" s="155"/>
      <c r="BL776" s="155"/>
      <c r="BM776" s="155"/>
      <c r="BN776" s="155"/>
      <c r="BO776" s="155"/>
      <c r="BP776" s="155"/>
      <c r="BQ776" s="155"/>
      <c r="BR776" s="155"/>
      <c r="BS776" s="155"/>
      <c r="BT776" s="155"/>
      <c r="BU776" s="155"/>
      <c r="BV776" s="155"/>
      <c r="BW776" s="155"/>
      <c r="BX776" s="155"/>
      <c r="BY776" s="155"/>
      <c r="BZ776" s="155"/>
      <c r="CA776" s="155"/>
      <c r="CB776" s="155"/>
      <c r="CC776" s="155"/>
      <c r="CD776" s="155"/>
      <c r="CE776" s="155"/>
      <c r="CF776" s="155"/>
      <c r="CG776" s="155"/>
      <c r="CH776" s="155"/>
      <c r="CI776" s="155"/>
      <c r="CJ776" s="155"/>
      <c r="CK776" s="155"/>
      <c r="CL776" s="155"/>
      <c r="CM776" s="155"/>
      <c r="CN776" s="155"/>
      <c r="CO776" s="155"/>
      <c r="CP776" s="155"/>
      <c r="CQ776" s="155"/>
      <c r="CR776" s="155"/>
      <c r="CS776" s="155"/>
      <c r="CT776" s="155"/>
      <c r="CU776" s="155"/>
      <c r="CV776" s="155"/>
      <c r="CW776" s="155"/>
      <c r="CX776" s="155"/>
      <c r="CY776" s="155"/>
      <c r="CZ776" s="155"/>
      <c r="DA776" s="155"/>
      <c r="DB776" s="155"/>
      <c r="DC776" s="155"/>
      <c r="DD776" s="155"/>
      <c r="DE776" s="155"/>
      <c r="DF776" s="155"/>
      <c r="DG776" s="115"/>
    </row>
    <row r="777" spans="1:111" ht="15" customHeight="1">
      <c r="B777" s="55"/>
      <c r="C777" s="422" t="str">
        <f>IF($AA$165&gt;=22,"DESPESA 22","")</f>
        <v/>
      </c>
      <c r="D777" s="422"/>
      <c r="E777" s="422"/>
      <c r="F777" s="422"/>
      <c r="G777" s="422"/>
      <c r="H777" s="422"/>
      <c r="I777" s="56"/>
      <c r="J777" s="56"/>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141"/>
      <c r="AL777" s="141"/>
      <c r="AM777" s="141"/>
      <c r="AN777" s="141"/>
      <c r="AO777" s="140"/>
      <c r="AP777" s="140"/>
      <c r="AQ777" s="140"/>
      <c r="AR777" s="140"/>
      <c r="AS777" s="142"/>
      <c r="AT777" s="142"/>
      <c r="AU777" s="142"/>
      <c r="AV777" s="142"/>
      <c r="AW777" s="140"/>
      <c r="AX777" s="140"/>
      <c r="AY777" s="140"/>
      <c r="AZ777" s="140"/>
      <c r="BA777" s="140"/>
      <c r="BC777" s="115"/>
      <c r="BD777" s="115"/>
      <c r="BE777" s="115"/>
      <c r="BF777" s="115"/>
      <c r="BG777" s="115"/>
      <c r="BH777" s="155"/>
      <c r="BI777" s="155"/>
      <c r="BJ777" s="155"/>
      <c r="BK777" s="155"/>
      <c r="BL777" s="155"/>
      <c r="BM777" s="155"/>
      <c r="BN777" s="155"/>
      <c r="BO777" s="155"/>
      <c r="BP777" s="155"/>
      <c r="BQ777" s="155"/>
      <c r="BR777" s="155"/>
      <c r="BS777" s="155"/>
      <c r="BT777" s="155"/>
      <c r="BU777" s="155"/>
      <c r="BV777" s="155"/>
      <c r="BW777" s="155"/>
      <c r="BX777" s="155"/>
      <c r="BY777" s="155"/>
      <c r="BZ777" s="155"/>
      <c r="CA777" s="155"/>
      <c r="CB777" s="155"/>
      <c r="CC777" s="155"/>
      <c r="CD777" s="155"/>
      <c r="CE777" s="155"/>
      <c r="CF777" s="155"/>
      <c r="CG777" s="155"/>
      <c r="CH777" s="155"/>
      <c r="CI777" s="155"/>
      <c r="CJ777" s="155"/>
      <c r="CK777" s="155"/>
      <c r="CL777" s="155"/>
      <c r="CM777" s="155"/>
      <c r="CN777" s="155"/>
      <c r="CO777" s="155"/>
      <c r="CP777" s="155"/>
      <c r="CQ777" s="155"/>
      <c r="CR777" s="155"/>
      <c r="CS777" s="155"/>
      <c r="CT777" s="155"/>
      <c r="CU777" s="155"/>
      <c r="CV777" s="155"/>
      <c r="CW777" s="155"/>
      <c r="CX777" s="155"/>
      <c r="CY777" s="155"/>
      <c r="CZ777" s="155"/>
      <c r="DA777" s="155"/>
      <c r="DB777" s="155"/>
      <c r="DC777" s="155"/>
      <c r="DD777" s="155"/>
      <c r="DE777" s="155"/>
      <c r="DF777" s="155"/>
      <c r="DG777" s="115"/>
    </row>
    <row r="778" spans="1:111" ht="4.5" customHeight="1">
      <c r="BC778" s="115"/>
      <c r="BD778" s="115"/>
      <c r="BE778" s="115"/>
      <c r="BF778" s="115"/>
      <c r="BG778" s="115"/>
      <c r="BH778" s="155"/>
      <c r="BI778" s="155"/>
      <c r="BJ778" s="155"/>
      <c r="BK778" s="155"/>
      <c r="BL778" s="155"/>
      <c r="BM778" s="155"/>
      <c r="BN778" s="155"/>
      <c r="BO778" s="155"/>
      <c r="BP778" s="155"/>
      <c r="BQ778" s="155"/>
      <c r="BR778" s="155"/>
      <c r="BS778" s="155"/>
      <c r="BT778" s="155"/>
      <c r="BU778" s="155"/>
      <c r="BV778" s="155"/>
      <c r="BW778" s="155"/>
      <c r="BX778" s="155"/>
      <c r="BY778" s="155"/>
      <c r="BZ778" s="155"/>
      <c r="CA778" s="155"/>
      <c r="CB778" s="155"/>
      <c r="CC778" s="155"/>
      <c r="CD778" s="155"/>
      <c r="CE778" s="155"/>
      <c r="CF778" s="155"/>
      <c r="CG778" s="155"/>
      <c r="CH778" s="155"/>
      <c r="CI778" s="155"/>
      <c r="CJ778" s="155"/>
      <c r="CK778" s="155"/>
      <c r="CL778" s="155"/>
      <c r="CM778" s="155"/>
      <c r="CN778" s="155"/>
      <c r="CO778" s="155"/>
      <c r="CP778" s="155"/>
      <c r="CQ778" s="155"/>
      <c r="CR778" s="155"/>
      <c r="CS778" s="155"/>
      <c r="CT778" s="155"/>
      <c r="CU778" s="155"/>
      <c r="CV778" s="155"/>
      <c r="CW778" s="155"/>
      <c r="CX778" s="155"/>
      <c r="CY778" s="155"/>
      <c r="CZ778" s="155"/>
      <c r="DA778" s="155"/>
      <c r="DB778" s="155"/>
      <c r="DC778" s="155"/>
      <c r="DD778" s="155"/>
      <c r="DE778" s="155"/>
      <c r="DF778" s="155"/>
      <c r="DG778" s="115"/>
    </row>
    <row r="779" spans="1:111" ht="9" customHeight="1">
      <c r="C779" s="416" t="str">
        <f>IF(C777="","","Descrição da Despesa:")</f>
        <v/>
      </c>
      <c r="D779" s="416"/>
      <c r="E779" s="416"/>
      <c r="F779" s="416"/>
      <c r="G779" s="416"/>
      <c r="H779" s="416"/>
      <c r="I779" s="60"/>
      <c r="J779" s="421"/>
      <c r="K779" s="421"/>
      <c r="L779" s="421"/>
      <c r="M779" s="421"/>
      <c r="N779" s="421"/>
      <c r="O779" s="421"/>
      <c r="P779" s="421"/>
      <c r="Q779" s="421"/>
      <c r="R779" s="421"/>
      <c r="S779" s="421"/>
      <c r="T779" s="421"/>
      <c r="U779" s="421"/>
      <c r="V779" s="421"/>
      <c r="W779" s="421"/>
      <c r="X779" s="421"/>
      <c r="Y779" s="421"/>
      <c r="Z779" s="421"/>
      <c r="AA779" s="421"/>
      <c r="AB779" s="421"/>
      <c r="AC779" s="421"/>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1"/>
      <c r="AY779" s="421"/>
      <c r="AZ779" s="421"/>
      <c r="BA779" s="421"/>
      <c r="BC779" s="115"/>
      <c r="BD779" s="115"/>
      <c r="BE779" s="115"/>
      <c r="BF779" s="115"/>
      <c r="BG779" s="115"/>
      <c r="BH779" s="155"/>
      <c r="BI779" s="155"/>
      <c r="BJ779" s="155"/>
      <c r="BK779" s="155"/>
      <c r="BL779" s="155"/>
      <c r="BM779" s="155"/>
      <c r="BN779" s="155"/>
      <c r="BO779" s="155"/>
      <c r="BP779" s="155"/>
      <c r="BQ779" s="155"/>
      <c r="BR779" s="155"/>
      <c r="BS779" s="155"/>
      <c r="BT779" s="155"/>
      <c r="BU779" s="155"/>
      <c r="BV779" s="155"/>
      <c r="BW779" s="155"/>
      <c r="BX779" s="155"/>
      <c r="BY779" s="155"/>
      <c r="BZ779" s="155"/>
      <c r="CA779" s="155"/>
      <c r="CB779" s="155"/>
      <c r="CC779" s="155"/>
      <c r="CD779" s="155"/>
      <c r="CE779" s="155"/>
      <c r="CF779" s="155"/>
      <c r="CG779" s="155"/>
      <c r="CH779" s="155"/>
      <c r="CI779" s="155"/>
      <c r="CJ779" s="155"/>
      <c r="CK779" s="155"/>
      <c r="CL779" s="155"/>
      <c r="CM779" s="155"/>
      <c r="CN779" s="155"/>
      <c r="CO779" s="155"/>
      <c r="CP779" s="155"/>
      <c r="CQ779" s="155"/>
      <c r="CR779" s="155"/>
      <c r="CS779" s="155"/>
      <c r="CT779" s="155"/>
      <c r="CU779" s="155"/>
      <c r="CV779" s="155"/>
      <c r="CW779" s="155"/>
      <c r="CX779" s="155"/>
      <c r="CY779" s="155"/>
      <c r="CZ779" s="155"/>
      <c r="DA779" s="155"/>
      <c r="DB779" s="155"/>
      <c r="DC779" s="155"/>
      <c r="DD779" s="155"/>
      <c r="DE779" s="155"/>
      <c r="DF779" s="155"/>
      <c r="DG779" s="115"/>
    </row>
    <row r="780" spans="1:111" ht="9" customHeight="1">
      <c r="C780" s="416"/>
      <c r="D780" s="416"/>
      <c r="E780" s="416"/>
      <c r="F780" s="416"/>
      <c r="G780" s="416"/>
      <c r="H780" s="416"/>
      <c r="I780" s="60"/>
      <c r="J780" s="421"/>
      <c r="K780" s="421"/>
      <c r="L780" s="421"/>
      <c r="M780" s="421"/>
      <c r="N780" s="421"/>
      <c r="O780" s="421"/>
      <c r="P780" s="421"/>
      <c r="Q780" s="421"/>
      <c r="R780" s="421"/>
      <c r="S780" s="421"/>
      <c r="T780" s="421"/>
      <c r="U780" s="421"/>
      <c r="V780" s="421"/>
      <c r="W780" s="421"/>
      <c r="X780" s="421"/>
      <c r="Y780" s="421"/>
      <c r="Z780" s="421"/>
      <c r="AA780" s="421"/>
      <c r="AB780" s="421"/>
      <c r="AC780" s="421"/>
      <c r="AD780" s="421"/>
      <c r="AE780" s="421"/>
      <c r="AF780" s="421"/>
      <c r="AG780" s="421"/>
      <c r="AH780" s="421"/>
      <c r="AI780" s="421"/>
      <c r="AJ780" s="421"/>
      <c r="AK780" s="421"/>
      <c r="AL780" s="421"/>
      <c r="AM780" s="421"/>
      <c r="AN780" s="421"/>
      <c r="AO780" s="421"/>
      <c r="AP780" s="421"/>
      <c r="AQ780" s="421"/>
      <c r="AR780" s="421"/>
      <c r="AS780" s="421"/>
      <c r="AT780" s="421"/>
      <c r="AU780" s="421"/>
      <c r="AV780" s="421"/>
      <c r="AW780" s="421"/>
      <c r="AX780" s="421"/>
      <c r="AY780" s="421"/>
      <c r="AZ780" s="421"/>
      <c r="BA780" s="421"/>
      <c r="BC780" s="115"/>
      <c r="BD780" s="115"/>
      <c r="BE780" s="115"/>
      <c r="BF780" s="115"/>
      <c r="BG780" s="115"/>
      <c r="BH780" s="155"/>
      <c r="BI780" s="155"/>
      <c r="BJ780" s="155"/>
      <c r="BK780" s="155"/>
      <c r="BL780" s="155"/>
      <c r="BM780" s="155"/>
      <c r="BN780" s="155"/>
      <c r="BO780" s="155"/>
      <c r="BP780" s="155"/>
      <c r="BQ780" s="155"/>
      <c r="BR780" s="155"/>
      <c r="BS780" s="155"/>
      <c r="BT780" s="155"/>
      <c r="BU780" s="155"/>
      <c r="BV780" s="155"/>
      <c r="BW780" s="155"/>
      <c r="BX780" s="155"/>
      <c r="BY780" s="155"/>
      <c r="BZ780" s="155"/>
      <c r="CA780" s="155"/>
      <c r="CB780" s="155"/>
      <c r="CC780" s="155"/>
      <c r="CD780" s="155"/>
      <c r="CE780" s="155"/>
      <c r="CF780" s="155"/>
      <c r="CG780" s="155"/>
      <c r="CH780" s="155"/>
      <c r="CI780" s="155"/>
      <c r="CJ780" s="155"/>
      <c r="CK780" s="155"/>
      <c r="CL780" s="155"/>
      <c r="CM780" s="155"/>
      <c r="CN780" s="155"/>
      <c r="CO780" s="155"/>
      <c r="CP780" s="155"/>
      <c r="CQ780" s="155"/>
      <c r="CR780" s="155"/>
      <c r="CS780" s="155"/>
      <c r="CT780" s="155"/>
      <c r="CU780" s="155"/>
      <c r="CV780" s="155"/>
      <c r="CW780" s="155"/>
      <c r="CX780" s="155"/>
      <c r="CY780" s="155"/>
      <c r="CZ780" s="155"/>
      <c r="DA780" s="155"/>
      <c r="DB780" s="155"/>
      <c r="DC780" s="155"/>
      <c r="DD780" s="155"/>
      <c r="DE780" s="155"/>
      <c r="DF780" s="155"/>
      <c r="DG780" s="115"/>
    </row>
    <row r="781" spans="1:111" ht="9" customHeight="1">
      <c r="C781" s="416"/>
      <c r="D781" s="416"/>
      <c r="E781" s="416"/>
      <c r="F781" s="416"/>
      <c r="G781" s="416"/>
      <c r="H781" s="416"/>
      <c r="I781" s="60"/>
      <c r="J781" s="421"/>
      <c r="K781" s="421"/>
      <c r="L781" s="421"/>
      <c r="M781" s="421"/>
      <c r="N781" s="421"/>
      <c r="O781" s="421"/>
      <c r="P781" s="421"/>
      <c r="Q781" s="421"/>
      <c r="R781" s="421"/>
      <c r="S781" s="421"/>
      <c r="T781" s="421"/>
      <c r="U781" s="421"/>
      <c r="V781" s="421"/>
      <c r="W781" s="421"/>
      <c r="X781" s="421"/>
      <c r="Y781" s="421"/>
      <c r="Z781" s="421"/>
      <c r="AA781" s="421"/>
      <c r="AB781" s="421"/>
      <c r="AC781" s="421"/>
      <c r="AD781" s="421"/>
      <c r="AE781" s="421"/>
      <c r="AF781" s="421"/>
      <c r="AG781" s="421"/>
      <c r="AH781" s="421"/>
      <c r="AI781" s="421"/>
      <c r="AJ781" s="421"/>
      <c r="AK781" s="421"/>
      <c r="AL781" s="421"/>
      <c r="AM781" s="421"/>
      <c r="AN781" s="421"/>
      <c r="AO781" s="421"/>
      <c r="AP781" s="421"/>
      <c r="AQ781" s="421"/>
      <c r="AR781" s="421"/>
      <c r="AS781" s="421"/>
      <c r="AT781" s="421"/>
      <c r="AU781" s="421"/>
      <c r="AV781" s="421"/>
      <c r="AW781" s="421"/>
      <c r="AX781" s="421"/>
      <c r="AY781" s="421"/>
      <c r="AZ781" s="421"/>
      <c r="BA781" s="421"/>
      <c r="BC781" s="115"/>
      <c r="BD781" s="115"/>
      <c r="BE781" s="115"/>
      <c r="BF781" s="115"/>
      <c r="BG781" s="115"/>
      <c r="BH781" s="155"/>
      <c r="BI781" s="155"/>
      <c r="BJ781" s="155"/>
      <c r="BK781" s="155"/>
      <c r="BL781" s="155"/>
      <c r="BM781" s="155"/>
      <c r="BN781" s="155"/>
      <c r="BO781" s="155"/>
      <c r="BP781" s="155"/>
      <c r="BQ781" s="155"/>
      <c r="BR781" s="155"/>
      <c r="BS781" s="155"/>
      <c r="BT781" s="155"/>
      <c r="BU781" s="155"/>
      <c r="BV781" s="155"/>
      <c r="BW781" s="155"/>
      <c r="BX781" s="155"/>
      <c r="BY781" s="155"/>
      <c r="BZ781" s="155"/>
      <c r="CA781" s="155"/>
      <c r="CB781" s="155"/>
      <c r="CC781" s="155"/>
      <c r="CD781" s="155"/>
      <c r="CE781" s="155"/>
      <c r="CF781" s="155"/>
      <c r="CG781" s="155"/>
      <c r="CH781" s="155"/>
      <c r="CI781" s="155"/>
      <c r="CJ781" s="155"/>
      <c r="CK781" s="155"/>
      <c r="CL781" s="155"/>
      <c r="CM781" s="155"/>
      <c r="CN781" s="155"/>
      <c r="CO781" s="155"/>
      <c r="CP781" s="155"/>
      <c r="CQ781" s="155"/>
      <c r="CR781" s="155"/>
      <c r="CS781" s="155"/>
      <c r="CT781" s="155"/>
      <c r="CU781" s="155"/>
      <c r="CV781" s="155"/>
      <c r="CW781" s="155"/>
      <c r="CX781" s="155"/>
      <c r="CY781" s="155"/>
      <c r="CZ781" s="155"/>
      <c r="DA781" s="155"/>
      <c r="DB781" s="155"/>
      <c r="DC781" s="155"/>
      <c r="DD781" s="155"/>
      <c r="DE781" s="155"/>
      <c r="DF781" s="155"/>
      <c r="DG781" s="115"/>
    </row>
    <row r="782" spans="1:111" ht="4.5" customHeight="1">
      <c r="BC782" s="115"/>
      <c r="BD782" s="115"/>
      <c r="BE782" s="115"/>
      <c r="BF782" s="115"/>
      <c r="BG782" s="115"/>
      <c r="BH782" s="155"/>
      <c r="BI782" s="155"/>
      <c r="BJ782" s="155"/>
      <c r="BK782" s="155"/>
      <c r="BL782" s="155"/>
      <c r="BM782" s="155"/>
      <c r="BN782" s="155"/>
      <c r="BO782" s="155"/>
      <c r="BP782" s="155"/>
      <c r="BQ782" s="155"/>
      <c r="BR782" s="155"/>
      <c r="BS782" s="155"/>
      <c r="BT782" s="155"/>
      <c r="BU782" s="155"/>
      <c r="BV782" s="155"/>
      <c r="BW782" s="155"/>
      <c r="BX782" s="155"/>
      <c r="BY782" s="155"/>
      <c r="BZ782" s="155"/>
      <c r="CA782" s="155"/>
      <c r="CB782" s="155"/>
      <c r="CC782" s="155"/>
      <c r="CD782" s="155"/>
      <c r="CE782" s="155"/>
      <c r="CF782" s="155"/>
      <c r="CG782" s="155"/>
      <c r="CH782" s="155"/>
      <c r="CI782" s="155"/>
      <c r="CJ782" s="155"/>
      <c r="CK782" s="155"/>
      <c r="CL782" s="155"/>
      <c r="CM782" s="155"/>
      <c r="CN782" s="155"/>
      <c r="CO782" s="155"/>
      <c r="CP782" s="155"/>
      <c r="CQ782" s="155"/>
      <c r="CR782" s="155"/>
      <c r="CS782" s="155"/>
      <c r="CT782" s="155"/>
      <c r="CU782" s="155"/>
      <c r="CV782" s="155"/>
      <c r="CW782" s="155"/>
      <c r="CX782" s="155"/>
      <c r="CY782" s="155"/>
      <c r="CZ782" s="155"/>
      <c r="DA782" s="155"/>
      <c r="DB782" s="155"/>
      <c r="DC782" s="155"/>
      <c r="DD782" s="155"/>
      <c r="DE782" s="155"/>
      <c r="DF782" s="155"/>
      <c r="DG782" s="115"/>
    </row>
    <row r="783" spans="1:111" ht="9" customHeight="1">
      <c r="C783" s="416" t="str">
        <f>IF(C777="","","Elemento de Despesa:")</f>
        <v/>
      </c>
      <c r="D783" s="416"/>
      <c r="E783" s="416"/>
      <c r="F783" s="416"/>
      <c r="G783" s="416"/>
      <c r="H783" s="416"/>
      <c r="J783" s="421"/>
      <c r="K783" s="421"/>
      <c r="L783" s="421"/>
      <c r="M783" s="421"/>
      <c r="N783" s="421"/>
      <c r="O783" s="421"/>
      <c r="P783" s="421"/>
      <c r="Q783" s="421"/>
      <c r="R783" s="421"/>
      <c r="S783" s="421"/>
      <c r="T783" s="421"/>
      <c r="U783" s="421"/>
      <c r="V783" s="421"/>
      <c r="W783" s="421"/>
      <c r="X783" s="421"/>
      <c r="Y783" s="421"/>
      <c r="Z783" s="421"/>
      <c r="AA783" s="421"/>
      <c r="AB783" s="421"/>
      <c r="AC783" s="421"/>
      <c r="AD783" s="421"/>
      <c r="AE783" s="421"/>
      <c r="AF783" s="421"/>
      <c r="AG783" s="421"/>
      <c r="AH783" s="421"/>
      <c r="AI783" s="421"/>
      <c r="AJ783" s="421"/>
      <c r="AK783" s="421"/>
      <c r="AL783" s="421"/>
      <c r="AM783" s="421"/>
      <c r="AN783" s="421"/>
      <c r="AO783" s="421"/>
      <c r="AP783" s="421"/>
      <c r="AQ783" s="421"/>
      <c r="AR783" s="421"/>
      <c r="AS783" s="421"/>
      <c r="AT783" s="421"/>
      <c r="AU783" s="421"/>
      <c r="AV783" s="421"/>
      <c r="AW783" s="421"/>
      <c r="AX783" s="421"/>
      <c r="AY783" s="421"/>
      <c r="AZ783" s="421"/>
      <c r="BA783" s="421"/>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c r="BY783" s="115"/>
      <c r="BZ783" s="115"/>
      <c r="CA783" s="115"/>
      <c r="CB783" s="115"/>
      <c r="CC783" s="115"/>
      <c r="CD783" s="115"/>
      <c r="CE783" s="115"/>
      <c r="CF783" s="115"/>
      <c r="CG783" s="115"/>
      <c r="CH783" s="115"/>
      <c r="CI783" s="115"/>
      <c r="CJ783" s="115"/>
      <c r="CK783" s="115"/>
      <c r="CL783" s="115"/>
      <c r="CM783" s="115"/>
      <c r="CN783" s="115"/>
      <c r="CO783" s="115"/>
      <c r="CP783" s="115"/>
      <c r="CQ783" s="115"/>
      <c r="CR783" s="115"/>
      <c r="CS783" s="115"/>
      <c r="CT783" s="115"/>
      <c r="CU783" s="115"/>
      <c r="CV783" s="115"/>
      <c r="CW783" s="115"/>
      <c r="CX783" s="115"/>
      <c r="CY783" s="115"/>
      <c r="CZ783" s="115"/>
      <c r="DA783" s="115"/>
      <c r="DB783" s="115"/>
      <c r="DC783" s="115"/>
      <c r="DD783" s="115"/>
      <c r="DE783" s="115"/>
      <c r="DF783" s="115"/>
      <c r="DG783" s="115"/>
    </row>
    <row r="784" spans="1:111" ht="9" customHeight="1">
      <c r="C784" s="416"/>
      <c r="D784" s="416"/>
      <c r="E784" s="416"/>
      <c r="F784" s="416"/>
      <c r="G784" s="416"/>
      <c r="H784" s="416"/>
      <c r="J784" s="421"/>
      <c r="K784" s="421"/>
      <c r="L784" s="421"/>
      <c r="M784" s="421"/>
      <c r="N784" s="421"/>
      <c r="O784" s="421"/>
      <c r="P784" s="421"/>
      <c r="Q784" s="421"/>
      <c r="R784" s="421"/>
      <c r="S784" s="421"/>
      <c r="T784" s="421"/>
      <c r="U784" s="421"/>
      <c r="V784" s="421"/>
      <c r="W784" s="421"/>
      <c r="X784" s="421"/>
      <c r="Y784" s="421"/>
      <c r="Z784" s="421"/>
      <c r="AA784" s="421"/>
      <c r="AB784" s="421"/>
      <c r="AC784" s="421"/>
      <c r="AD784" s="421"/>
      <c r="AE784" s="421"/>
      <c r="AF784" s="421"/>
      <c r="AG784" s="421"/>
      <c r="AH784" s="421"/>
      <c r="AI784" s="421"/>
      <c r="AJ784" s="421"/>
      <c r="AK784" s="421"/>
      <c r="AL784" s="421"/>
      <c r="AM784" s="421"/>
      <c r="AN784" s="421"/>
      <c r="AO784" s="421"/>
      <c r="AP784" s="421"/>
      <c r="AQ784" s="421"/>
      <c r="AR784" s="421"/>
      <c r="AS784" s="421"/>
      <c r="AT784" s="421"/>
      <c r="AU784" s="421"/>
      <c r="AV784" s="421"/>
      <c r="AW784" s="421"/>
      <c r="AX784" s="421"/>
      <c r="AY784" s="421"/>
      <c r="AZ784" s="421"/>
      <c r="BA784" s="421"/>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c r="BY784" s="115"/>
      <c r="BZ784" s="115"/>
      <c r="CA784" s="115"/>
      <c r="CB784" s="115"/>
      <c r="CC784" s="115"/>
      <c r="CD784" s="115"/>
      <c r="CE784" s="115"/>
      <c r="CF784" s="115"/>
      <c r="CG784" s="115"/>
      <c r="CH784" s="115"/>
      <c r="CI784" s="115"/>
      <c r="CJ784" s="115"/>
      <c r="CK784" s="115"/>
      <c r="CL784" s="115"/>
      <c r="CM784" s="115"/>
      <c r="CN784" s="115"/>
      <c r="CO784" s="115"/>
      <c r="CP784" s="115"/>
      <c r="CQ784" s="115"/>
      <c r="CR784" s="115"/>
      <c r="CS784" s="115"/>
      <c r="CT784" s="115"/>
      <c r="CU784" s="115"/>
      <c r="CV784" s="115"/>
      <c r="CW784" s="115"/>
      <c r="CX784" s="115"/>
      <c r="CY784" s="115"/>
      <c r="CZ784" s="115"/>
      <c r="DA784" s="115"/>
      <c r="DB784" s="115"/>
      <c r="DC784" s="115"/>
      <c r="DD784" s="115"/>
      <c r="DE784" s="115"/>
      <c r="DF784" s="115"/>
      <c r="DG784" s="115"/>
    </row>
    <row r="785" spans="1:111" ht="9" customHeight="1">
      <c r="C785" s="416"/>
      <c r="D785" s="416"/>
      <c r="E785" s="416"/>
      <c r="F785" s="416"/>
      <c r="G785" s="416"/>
      <c r="H785" s="416"/>
      <c r="J785" s="421"/>
      <c r="K785" s="421"/>
      <c r="L785" s="421"/>
      <c r="M785" s="421"/>
      <c r="N785" s="421"/>
      <c r="O785" s="421"/>
      <c r="P785" s="421"/>
      <c r="Q785" s="421"/>
      <c r="R785" s="421"/>
      <c r="S785" s="421"/>
      <c r="T785" s="421"/>
      <c r="U785" s="421"/>
      <c r="V785" s="421"/>
      <c r="W785" s="421"/>
      <c r="X785" s="421"/>
      <c r="Y785" s="421"/>
      <c r="Z785" s="421"/>
      <c r="AA785" s="421"/>
      <c r="AB785" s="421"/>
      <c r="AC785" s="421"/>
      <c r="AD785" s="421"/>
      <c r="AE785" s="421"/>
      <c r="AF785" s="421"/>
      <c r="AG785" s="421"/>
      <c r="AH785" s="421"/>
      <c r="AI785" s="421"/>
      <c r="AJ785" s="421"/>
      <c r="AK785" s="421"/>
      <c r="AL785" s="421"/>
      <c r="AM785" s="421"/>
      <c r="AN785" s="421"/>
      <c r="AO785" s="421"/>
      <c r="AP785" s="421"/>
      <c r="AQ785" s="421"/>
      <c r="AR785" s="421"/>
      <c r="AS785" s="421"/>
      <c r="AT785" s="421"/>
      <c r="AU785" s="421"/>
      <c r="AV785" s="421"/>
      <c r="AW785" s="421"/>
      <c r="AX785" s="421"/>
      <c r="AY785" s="421"/>
      <c r="AZ785" s="421"/>
      <c r="BA785" s="421"/>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c r="BY785" s="115"/>
      <c r="BZ785" s="115"/>
      <c r="CA785" s="115"/>
      <c r="CB785" s="115"/>
      <c r="CC785" s="115"/>
      <c r="CD785" s="115"/>
      <c r="CE785" s="115"/>
      <c r="CF785" s="115"/>
      <c r="CG785" s="115"/>
      <c r="CH785" s="115"/>
      <c r="CI785" s="115"/>
      <c r="CJ785" s="115"/>
      <c r="CK785" s="115"/>
      <c r="CL785" s="115"/>
      <c r="CM785" s="115"/>
      <c r="CN785" s="115"/>
      <c r="CO785" s="115"/>
      <c r="CP785" s="115"/>
      <c r="CQ785" s="115"/>
      <c r="CR785" s="115"/>
      <c r="CS785" s="115"/>
      <c r="CT785" s="115"/>
      <c r="CU785" s="115"/>
      <c r="CV785" s="115"/>
      <c r="CW785" s="115"/>
      <c r="CX785" s="115"/>
      <c r="CY785" s="115"/>
      <c r="CZ785" s="115"/>
      <c r="DA785" s="115"/>
      <c r="DB785" s="115"/>
      <c r="DC785" s="115"/>
      <c r="DD785" s="115"/>
      <c r="DE785" s="115"/>
      <c r="DF785" s="115"/>
      <c r="DG785" s="115"/>
    </row>
    <row r="786" spans="1:111" ht="4.5" customHeight="1">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c r="BY786" s="115"/>
      <c r="BZ786" s="115"/>
      <c r="CA786" s="115"/>
      <c r="CB786" s="115"/>
      <c r="CC786" s="115"/>
      <c r="CD786" s="115"/>
      <c r="CE786" s="115"/>
      <c r="CF786" s="115"/>
      <c r="CG786" s="115"/>
      <c r="CH786" s="115"/>
      <c r="CI786" s="115"/>
      <c r="CJ786" s="115"/>
      <c r="CK786" s="115"/>
      <c r="CL786" s="115"/>
      <c r="CM786" s="115"/>
      <c r="CN786" s="115"/>
      <c r="CO786" s="115"/>
      <c r="CP786" s="115"/>
      <c r="CQ786" s="115"/>
      <c r="CR786" s="115"/>
      <c r="CS786" s="115"/>
      <c r="CT786" s="115"/>
      <c r="CU786" s="115"/>
      <c r="CV786" s="115"/>
      <c r="CW786" s="115"/>
      <c r="CX786" s="115"/>
      <c r="CY786" s="115"/>
      <c r="CZ786" s="115"/>
      <c r="DA786" s="115"/>
      <c r="DB786" s="115"/>
      <c r="DC786" s="115"/>
      <c r="DD786" s="115"/>
      <c r="DE786" s="115"/>
      <c r="DF786" s="115"/>
      <c r="DG786" s="115"/>
    </row>
    <row r="787" spans="1:111" ht="9" customHeight="1">
      <c r="A787" s="61" t="str">
        <f>CONCATENATE(Q787,AC787)</f>
        <v/>
      </c>
      <c r="J787" s="416" t="str">
        <f>IF(C777="","","Meta Vinculada:")</f>
        <v/>
      </c>
      <c r="K787" s="416"/>
      <c r="L787" s="416"/>
      <c r="M787" s="416"/>
      <c r="N787" s="416"/>
      <c r="O787" s="416"/>
      <c r="Q787" s="417"/>
      <c r="R787" s="417"/>
      <c r="S787" s="417"/>
      <c r="T787" s="417"/>
      <c r="U787" s="56"/>
      <c r="V787" s="416" t="str">
        <f>IF(C777="","","Etapa Vinculada:")</f>
        <v/>
      </c>
      <c r="W787" s="416"/>
      <c r="X787" s="416"/>
      <c r="Y787" s="416"/>
      <c r="Z787" s="416"/>
      <c r="AA787" s="416"/>
      <c r="AC787" s="417"/>
      <c r="AD787" s="417"/>
      <c r="AE787" s="417"/>
      <c r="AF787" s="417"/>
      <c r="AG787" s="56"/>
      <c r="AH787" s="56"/>
      <c r="AI787" s="56"/>
      <c r="AJ787" s="56"/>
      <c r="AK787" s="141"/>
      <c r="AL787" s="141"/>
      <c r="AM787" s="141"/>
      <c r="AN787" s="141"/>
      <c r="AO787" s="140"/>
      <c r="AP787" s="140"/>
      <c r="AQ787" s="140"/>
      <c r="AR787" s="140"/>
      <c r="AS787" s="142"/>
      <c r="AT787" s="142"/>
      <c r="AU787" s="142"/>
      <c r="AV787" s="142"/>
      <c r="AW787" s="140"/>
      <c r="AX787" s="140"/>
      <c r="AY787" s="140"/>
      <c r="AZ787" s="140"/>
      <c r="BA787" s="140"/>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c r="BY787" s="115"/>
      <c r="BZ787" s="115"/>
      <c r="CA787" s="115"/>
      <c r="CB787" s="115"/>
      <c r="CC787" s="115"/>
      <c r="CD787" s="115"/>
      <c r="CE787" s="115"/>
      <c r="CF787" s="115"/>
      <c r="CG787" s="115"/>
      <c r="CH787" s="115"/>
      <c r="CI787" s="115"/>
      <c r="CJ787" s="115"/>
      <c r="CK787" s="115"/>
      <c r="CL787" s="115"/>
      <c r="CM787" s="115"/>
      <c r="CN787" s="115"/>
      <c r="CO787" s="115"/>
      <c r="CP787" s="115"/>
      <c r="CQ787" s="115"/>
      <c r="CR787" s="115"/>
      <c r="CS787" s="115"/>
      <c r="CT787" s="115"/>
      <c r="CU787" s="115"/>
      <c r="CV787" s="115"/>
      <c r="CW787" s="115"/>
      <c r="CX787" s="115"/>
      <c r="CY787" s="115"/>
      <c r="CZ787" s="115"/>
      <c r="DA787" s="115"/>
      <c r="DB787" s="115"/>
      <c r="DC787" s="115"/>
      <c r="DD787" s="115"/>
      <c r="DE787" s="115"/>
      <c r="DF787" s="115"/>
      <c r="DG787" s="115"/>
    </row>
    <row r="788" spans="1:111" ht="9" customHeight="1">
      <c r="B788" s="55"/>
      <c r="C788" s="55"/>
      <c r="D788" s="56"/>
      <c r="E788" s="56"/>
      <c r="F788" s="56"/>
      <c r="G788" s="56"/>
      <c r="H788" s="56"/>
      <c r="I788" s="56"/>
      <c r="J788" s="416"/>
      <c r="K788" s="416"/>
      <c r="L788" s="416"/>
      <c r="M788" s="416"/>
      <c r="N788" s="416"/>
      <c r="O788" s="416"/>
      <c r="Q788" s="417"/>
      <c r="R788" s="417"/>
      <c r="S788" s="417"/>
      <c r="T788" s="417"/>
      <c r="U788" s="56"/>
      <c r="V788" s="416"/>
      <c r="W788" s="416"/>
      <c r="X788" s="416"/>
      <c r="Y788" s="416"/>
      <c r="Z788" s="416"/>
      <c r="AA788" s="416"/>
      <c r="AC788" s="417"/>
      <c r="AD788" s="417"/>
      <c r="AE788" s="417"/>
      <c r="AF788" s="417"/>
      <c r="AG788" s="56"/>
      <c r="AH788" s="56"/>
      <c r="AI788" s="56"/>
      <c r="AJ788" s="56"/>
      <c r="AK788" s="141"/>
      <c r="AL788" s="141"/>
      <c r="AM788" s="141"/>
      <c r="AN788" s="141"/>
      <c r="AO788" s="140"/>
      <c r="AP788" s="140"/>
      <c r="AQ788" s="140"/>
      <c r="AR788" s="140"/>
      <c r="AS788" s="142"/>
      <c r="AT788" s="142"/>
      <c r="AU788" s="142"/>
      <c r="AV788" s="142"/>
      <c r="AW788" s="140"/>
      <c r="AX788" s="140"/>
      <c r="AY788" s="140"/>
      <c r="AZ788" s="140"/>
      <c r="BA788" s="140"/>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c r="BY788" s="115"/>
      <c r="BZ788" s="115"/>
      <c r="CA788" s="115"/>
      <c r="CB788" s="115"/>
      <c r="CC788" s="115"/>
      <c r="CD788" s="115"/>
      <c r="CE788" s="115"/>
      <c r="CF788" s="115"/>
      <c r="CG788" s="115"/>
      <c r="CH788" s="115"/>
      <c r="CI788" s="115"/>
      <c r="CJ788" s="115"/>
      <c r="CK788" s="115"/>
      <c r="CL788" s="115"/>
      <c r="CM788" s="115"/>
      <c r="CN788" s="115"/>
      <c r="CO788" s="115"/>
      <c r="CP788" s="115"/>
      <c r="CQ788" s="115"/>
      <c r="CR788" s="115"/>
      <c r="CS788" s="115"/>
      <c r="CT788" s="115"/>
      <c r="CU788" s="115"/>
      <c r="CV788" s="115"/>
      <c r="CW788" s="115"/>
      <c r="CX788" s="115"/>
      <c r="CY788" s="115"/>
      <c r="CZ788" s="115"/>
      <c r="DA788" s="115"/>
      <c r="DB788" s="115"/>
      <c r="DC788" s="115"/>
      <c r="DD788" s="115"/>
      <c r="DE788" s="115"/>
      <c r="DF788" s="115"/>
      <c r="DG788" s="115"/>
    </row>
    <row r="789" spans="1:111" ht="9" customHeight="1">
      <c r="Q789" s="417"/>
      <c r="R789" s="417"/>
      <c r="S789" s="417"/>
      <c r="T789" s="417"/>
      <c r="AC789" s="417"/>
      <c r="AD789" s="417"/>
      <c r="AE789" s="417"/>
      <c r="AF789" s="417"/>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c r="BY789" s="115"/>
      <c r="BZ789" s="115"/>
      <c r="CA789" s="115"/>
      <c r="CB789" s="115"/>
      <c r="CC789" s="115"/>
      <c r="CD789" s="115"/>
      <c r="CE789" s="115"/>
      <c r="CF789" s="115"/>
      <c r="CG789" s="115"/>
      <c r="CH789" s="115"/>
      <c r="CI789" s="115"/>
      <c r="CJ789" s="115"/>
      <c r="CK789" s="115"/>
      <c r="CL789" s="115"/>
      <c r="CM789" s="115"/>
      <c r="CN789" s="115"/>
      <c r="CO789" s="115"/>
      <c r="CP789" s="115"/>
      <c r="CQ789" s="115"/>
      <c r="CR789" s="115"/>
      <c r="CS789" s="115"/>
      <c r="CT789" s="115"/>
      <c r="CU789" s="115"/>
      <c r="CV789" s="115"/>
      <c r="CW789" s="115"/>
      <c r="CX789" s="115"/>
      <c r="CY789" s="115"/>
      <c r="CZ789" s="115"/>
      <c r="DA789" s="115"/>
      <c r="DB789" s="115"/>
      <c r="DC789" s="115"/>
      <c r="DD789" s="115"/>
      <c r="DE789" s="115"/>
      <c r="DF789" s="115"/>
      <c r="DG789" s="115"/>
    </row>
    <row r="790" spans="1:111" ht="4.5" customHeight="1">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c r="BY790" s="115"/>
      <c r="BZ790" s="115"/>
      <c r="CA790" s="115"/>
      <c r="CB790" s="115"/>
      <c r="CC790" s="115"/>
      <c r="CD790" s="115"/>
      <c r="CE790" s="115"/>
      <c r="CF790" s="115"/>
      <c r="CG790" s="115"/>
      <c r="CH790" s="115"/>
      <c r="CI790" s="115"/>
      <c r="CJ790" s="115"/>
      <c r="CK790" s="115"/>
      <c r="CL790" s="115"/>
      <c r="CM790" s="115"/>
      <c r="CN790" s="115"/>
      <c r="CO790" s="115"/>
      <c r="CP790" s="115"/>
      <c r="CQ790" s="115"/>
      <c r="CR790" s="115"/>
      <c r="CS790" s="115"/>
      <c r="CT790" s="115"/>
      <c r="CU790" s="115"/>
      <c r="CV790" s="115"/>
      <c r="CW790" s="115"/>
      <c r="CX790" s="115"/>
      <c r="CY790" s="115"/>
      <c r="CZ790" s="115"/>
      <c r="DA790" s="115"/>
      <c r="DB790" s="115"/>
      <c r="DC790" s="115"/>
      <c r="DD790" s="115"/>
      <c r="DE790" s="115"/>
      <c r="DF790" s="115"/>
      <c r="DG790" s="115"/>
    </row>
    <row r="791" spans="1:111" ht="9" customHeight="1">
      <c r="A791" s="154"/>
      <c r="B791" s="154"/>
      <c r="C791" s="154"/>
      <c r="D791" s="154"/>
      <c r="E791" s="154"/>
      <c r="F791" s="154"/>
      <c r="G791" s="154"/>
      <c r="H791" s="154"/>
      <c r="I791" s="154"/>
      <c r="J791" s="416" t="str">
        <f>IF(C777="","","Quantidade:")</f>
        <v/>
      </c>
      <c r="K791" s="416"/>
      <c r="L791" s="416"/>
      <c r="M791" s="416"/>
      <c r="N791" s="416"/>
      <c r="O791" s="416"/>
      <c r="P791" s="154"/>
      <c r="Q791" s="417"/>
      <c r="R791" s="417"/>
      <c r="S791" s="417"/>
      <c r="T791" s="417"/>
      <c r="U791" s="154"/>
      <c r="V791" s="416" t="str">
        <f>IF(C777="","","Unidade:")</f>
        <v/>
      </c>
      <c r="W791" s="416"/>
      <c r="X791" s="416"/>
      <c r="Y791" s="416"/>
      <c r="Z791" s="416"/>
      <c r="AA791" s="416"/>
      <c r="AB791" s="154"/>
      <c r="AC791" s="418"/>
      <c r="AD791" s="418"/>
      <c r="AE791" s="418"/>
      <c r="AF791" s="418"/>
      <c r="AG791" s="418"/>
      <c r="AH791" s="418"/>
      <c r="AI791" s="418"/>
      <c r="AJ791" s="418"/>
      <c r="AK791" s="418"/>
      <c r="AL791" s="418"/>
      <c r="AM791" s="418"/>
      <c r="AN791" s="418"/>
      <c r="AO791" s="418"/>
      <c r="AP791" s="418"/>
      <c r="AQ791" s="418"/>
      <c r="AR791" s="418"/>
      <c r="AS791" s="418"/>
      <c r="AT791" s="418"/>
      <c r="AU791" s="418"/>
      <c r="AV791" s="418"/>
      <c r="AW791" s="418"/>
      <c r="AX791" s="418"/>
      <c r="AY791" s="418"/>
      <c r="AZ791" s="418"/>
      <c r="BA791" s="418"/>
      <c r="BB791" s="154"/>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c r="BY791" s="115"/>
      <c r="BZ791" s="115"/>
      <c r="CA791" s="115"/>
      <c r="CB791" s="115"/>
      <c r="CC791" s="115"/>
      <c r="CD791" s="115"/>
      <c r="CE791" s="115"/>
      <c r="CF791" s="115"/>
      <c r="CG791" s="115"/>
      <c r="CH791" s="115"/>
      <c r="CI791" s="115"/>
      <c r="CJ791" s="115"/>
      <c r="CK791" s="115"/>
      <c r="CL791" s="115"/>
      <c r="CM791" s="115"/>
      <c r="CN791" s="115"/>
      <c r="CO791" s="115"/>
      <c r="CP791" s="115"/>
      <c r="CQ791" s="115"/>
      <c r="CR791" s="115"/>
      <c r="CS791" s="115"/>
      <c r="CT791" s="115"/>
      <c r="CU791" s="115"/>
      <c r="CV791" s="115"/>
      <c r="CW791" s="115"/>
      <c r="CX791" s="115"/>
      <c r="CY791" s="115"/>
      <c r="CZ791" s="115"/>
      <c r="DA791" s="115"/>
      <c r="DB791" s="115"/>
      <c r="DC791" s="115"/>
      <c r="DD791" s="115"/>
      <c r="DE791" s="115"/>
      <c r="DF791" s="115"/>
      <c r="DG791" s="115"/>
    </row>
    <row r="792" spans="1:111" ht="9" customHeight="1">
      <c r="A792" s="154"/>
      <c r="B792" s="154"/>
      <c r="C792" s="154"/>
      <c r="D792" s="154"/>
      <c r="E792" s="154"/>
      <c r="F792" s="154"/>
      <c r="G792" s="154"/>
      <c r="H792" s="154"/>
      <c r="I792" s="154"/>
      <c r="J792" s="416"/>
      <c r="K792" s="416"/>
      <c r="L792" s="416"/>
      <c r="M792" s="416"/>
      <c r="N792" s="416"/>
      <c r="O792" s="416"/>
      <c r="P792" s="154"/>
      <c r="Q792" s="417"/>
      <c r="R792" s="417"/>
      <c r="S792" s="417"/>
      <c r="T792" s="417"/>
      <c r="U792" s="154"/>
      <c r="V792" s="416"/>
      <c r="W792" s="416"/>
      <c r="X792" s="416"/>
      <c r="Y792" s="416"/>
      <c r="Z792" s="416"/>
      <c r="AA792" s="416"/>
      <c r="AB792" s="154"/>
      <c r="AC792" s="418"/>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8"/>
      <c r="AY792" s="418"/>
      <c r="AZ792" s="418"/>
      <c r="BA792" s="418"/>
      <c r="BB792" s="154"/>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c r="BY792" s="115"/>
      <c r="BZ792" s="115"/>
      <c r="CA792" s="115"/>
      <c r="CB792" s="115"/>
      <c r="CC792" s="115"/>
      <c r="CD792" s="115"/>
      <c r="CE792" s="115"/>
      <c r="CF792" s="115"/>
      <c r="CG792" s="115"/>
      <c r="CH792" s="115"/>
      <c r="CI792" s="115"/>
      <c r="CJ792" s="115"/>
      <c r="CK792" s="115"/>
      <c r="CL792" s="115"/>
      <c r="CM792" s="115"/>
      <c r="CN792" s="115"/>
      <c r="CO792" s="115"/>
      <c r="CP792" s="115"/>
      <c r="CQ792" s="115"/>
      <c r="CR792" s="115"/>
      <c r="CS792" s="115"/>
      <c r="CT792" s="115"/>
      <c r="CU792" s="115"/>
      <c r="CV792" s="115"/>
      <c r="CW792" s="115"/>
      <c r="CX792" s="115"/>
      <c r="CY792" s="115"/>
      <c r="CZ792" s="115"/>
      <c r="DA792" s="115"/>
      <c r="DB792" s="115"/>
      <c r="DC792" s="115"/>
      <c r="DD792" s="115"/>
      <c r="DE792" s="115"/>
      <c r="DF792" s="115"/>
      <c r="DG792" s="115"/>
    </row>
    <row r="793" spans="1:111" ht="9" customHeight="1">
      <c r="A793" s="154"/>
      <c r="B793" s="154"/>
      <c r="C793" s="154"/>
      <c r="D793" s="154"/>
      <c r="E793" s="154"/>
      <c r="F793" s="154"/>
      <c r="G793" s="154"/>
      <c r="H793" s="154"/>
      <c r="I793" s="154"/>
      <c r="J793" s="154"/>
      <c r="K793" s="154"/>
      <c r="L793" s="154"/>
      <c r="M793" s="154"/>
      <c r="N793" s="154"/>
      <c r="O793" s="154"/>
      <c r="P793" s="154"/>
      <c r="Q793" s="417"/>
      <c r="R793" s="417"/>
      <c r="S793" s="417"/>
      <c r="T793" s="417"/>
      <c r="U793" s="154"/>
      <c r="V793" s="154"/>
      <c r="W793" s="154"/>
      <c r="X793" s="154"/>
      <c r="Y793" s="154"/>
      <c r="Z793" s="154"/>
      <c r="AA793" s="154"/>
      <c r="AB793" s="154"/>
      <c r="AC793" s="418"/>
      <c r="AD793" s="418"/>
      <c r="AE793" s="418"/>
      <c r="AF793" s="418"/>
      <c r="AG793" s="418"/>
      <c r="AH793" s="418"/>
      <c r="AI793" s="418"/>
      <c r="AJ793" s="418"/>
      <c r="AK793" s="418"/>
      <c r="AL793" s="418"/>
      <c r="AM793" s="418"/>
      <c r="AN793" s="418"/>
      <c r="AO793" s="418"/>
      <c r="AP793" s="418"/>
      <c r="AQ793" s="418"/>
      <c r="AR793" s="418"/>
      <c r="AS793" s="418"/>
      <c r="AT793" s="418"/>
      <c r="AU793" s="418"/>
      <c r="AV793" s="418"/>
      <c r="AW793" s="418"/>
      <c r="AX793" s="418"/>
      <c r="AY793" s="418"/>
      <c r="AZ793" s="418"/>
      <c r="BA793" s="418"/>
      <c r="BB793" s="154"/>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c r="BY793" s="115"/>
      <c r="BZ793" s="115"/>
      <c r="CA793" s="115"/>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5"/>
      <c r="DD793" s="115"/>
      <c r="DE793" s="115"/>
      <c r="DF793" s="115"/>
      <c r="DG793" s="115"/>
    </row>
    <row r="794" spans="1:111" ht="4.5" customHeight="1">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c r="BY794" s="115"/>
      <c r="BZ794" s="115"/>
      <c r="CA794" s="115"/>
      <c r="CB794" s="115"/>
      <c r="CC794" s="115"/>
      <c r="CD794" s="115"/>
      <c r="CE794" s="115"/>
      <c r="CF794" s="115"/>
      <c r="CG794" s="115"/>
      <c r="CH794" s="115"/>
      <c r="CI794" s="115"/>
      <c r="CJ794" s="115"/>
      <c r="CK794" s="115"/>
      <c r="CL794" s="115"/>
      <c r="CM794" s="115"/>
      <c r="CN794" s="115"/>
      <c r="CO794" s="115"/>
      <c r="CP794" s="115"/>
      <c r="CQ794" s="115"/>
      <c r="CR794" s="115"/>
      <c r="CS794" s="115"/>
      <c r="CT794" s="115"/>
      <c r="CU794" s="115"/>
      <c r="CV794" s="115"/>
      <c r="CW794" s="115"/>
      <c r="CX794" s="115"/>
      <c r="CY794" s="115"/>
      <c r="CZ794" s="115"/>
      <c r="DA794" s="115"/>
      <c r="DB794" s="115"/>
      <c r="DC794" s="115"/>
      <c r="DD794" s="115"/>
      <c r="DE794" s="115"/>
      <c r="DF794" s="115"/>
      <c r="DG794" s="115"/>
    </row>
    <row r="795" spans="1:111" ht="9" customHeight="1">
      <c r="A795" s="154"/>
      <c r="B795" s="154"/>
      <c r="C795" s="154"/>
      <c r="D795" s="154"/>
      <c r="E795" s="154"/>
      <c r="F795" s="154"/>
      <c r="G795" s="154"/>
      <c r="H795" s="154"/>
      <c r="I795" s="154"/>
      <c r="J795" s="416" t="str">
        <f>IF(C777="","","Valor Unitário (R$):")</f>
        <v/>
      </c>
      <c r="K795" s="416"/>
      <c r="L795" s="416"/>
      <c r="M795" s="416"/>
      <c r="N795" s="416"/>
      <c r="O795" s="416"/>
      <c r="P795" s="154"/>
      <c r="Q795" s="419"/>
      <c r="R795" s="419"/>
      <c r="S795" s="419"/>
      <c r="T795" s="419"/>
      <c r="U795" s="419"/>
      <c r="V795" s="419"/>
      <c r="W795" s="419"/>
      <c r="X795" s="419"/>
      <c r="Y795" s="154"/>
      <c r="Z795" s="416" t="str">
        <f>IF(C777="","",IF(J783="52 Equipamentos e Material Permanente","Tempo de Uso:",""))</f>
        <v/>
      </c>
      <c r="AA795" s="416"/>
      <c r="AB795" s="416"/>
      <c r="AC795" s="416"/>
      <c r="AD795" s="416"/>
      <c r="AE795" s="416"/>
      <c r="AF795" s="154"/>
      <c r="AG795" s="420"/>
      <c r="AH795" s="420"/>
      <c r="AI795" s="420"/>
      <c r="AJ795" s="420"/>
      <c r="AK795" s="420"/>
      <c r="AL795" s="420"/>
      <c r="AM795" s="420"/>
      <c r="AN795" s="420"/>
      <c r="AO795" s="420"/>
      <c r="AP795" s="420"/>
      <c r="AQ795" s="420"/>
      <c r="AR795" s="420"/>
      <c r="AS795" s="420"/>
      <c r="AT795" s="420"/>
      <c r="AU795" s="420"/>
      <c r="AV795" s="420"/>
      <c r="AW795" s="420"/>
      <c r="AX795" s="420"/>
      <c r="AY795" s="420"/>
      <c r="AZ795" s="420"/>
      <c r="BA795" s="420"/>
      <c r="BB795" s="154"/>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c r="BY795" s="115"/>
      <c r="BZ795" s="115"/>
      <c r="CA795" s="115"/>
      <c r="CB795" s="115"/>
      <c r="CC795" s="115"/>
      <c r="CD795" s="115"/>
      <c r="CE795" s="115"/>
      <c r="CF795" s="115"/>
      <c r="CG795" s="115"/>
      <c r="CH795" s="115"/>
      <c r="CI795" s="115"/>
      <c r="CJ795" s="115"/>
      <c r="CK795" s="115"/>
      <c r="CL795" s="115"/>
      <c r="CM795" s="115"/>
      <c r="CN795" s="115"/>
      <c r="CO795" s="115"/>
      <c r="CP795" s="115"/>
      <c r="CQ795" s="115"/>
      <c r="CR795" s="115"/>
      <c r="CS795" s="115"/>
      <c r="CT795" s="115"/>
      <c r="CU795" s="115"/>
      <c r="CV795" s="115"/>
      <c r="CW795" s="115"/>
      <c r="CX795" s="115"/>
      <c r="CY795" s="115"/>
      <c r="CZ795" s="115"/>
      <c r="DA795" s="115"/>
      <c r="DB795" s="115"/>
      <c r="DC795" s="115"/>
      <c r="DD795" s="115"/>
      <c r="DE795" s="115"/>
      <c r="DF795" s="115"/>
      <c r="DG795" s="115"/>
    </row>
    <row r="796" spans="1:111" ht="9" customHeight="1">
      <c r="A796" s="154"/>
      <c r="B796" s="154"/>
      <c r="C796" s="154"/>
      <c r="D796" s="154"/>
      <c r="E796" s="154"/>
      <c r="F796" s="154"/>
      <c r="G796" s="154"/>
      <c r="H796" s="154"/>
      <c r="I796" s="154"/>
      <c r="J796" s="416"/>
      <c r="K796" s="416"/>
      <c r="L796" s="416"/>
      <c r="M796" s="416"/>
      <c r="N796" s="416"/>
      <c r="O796" s="416"/>
      <c r="P796" s="154"/>
      <c r="Q796" s="419"/>
      <c r="R796" s="419"/>
      <c r="S796" s="419"/>
      <c r="T796" s="419"/>
      <c r="U796" s="419"/>
      <c r="V796" s="419"/>
      <c r="W796" s="419"/>
      <c r="X796" s="419"/>
      <c r="Y796" s="154"/>
      <c r="Z796" s="416"/>
      <c r="AA796" s="416"/>
      <c r="AB796" s="416"/>
      <c r="AC796" s="416"/>
      <c r="AD796" s="416"/>
      <c r="AE796" s="416"/>
      <c r="AF796" s="154"/>
      <c r="AG796" s="420"/>
      <c r="AH796" s="420"/>
      <c r="AI796" s="420"/>
      <c r="AJ796" s="420"/>
      <c r="AK796" s="420"/>
      <c r="AL796" s="420"/>
      <c r="AM796" s="420"/>
      <c r="AN796" s="420"/>
      <c r="AO796" s="420"/>
      <c r="AP796" s="420"/>
      <c r="AQ796" s="420"/>
      <c r="AR796" s="420"/>
      <c r="AS796" s="420"/>
      <c r="AT796" s="420"/>
      <c r="AU796" s="420"/>
      <c r="AV796" s="420"/>
      <c r="AW796" s="420"/>
      <c r="AX796" s="420"/>
      <c r="AY796" s="420"/>
      <c r="AZ796" s="420"/>
      <c r="BA796" s="420"/>
      <c r="BB796" s="154"/>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c r="BY796" s="115"/>
      <c r="BZ796" s="115"/>
      <c r="CA796" s="115"/>
      <c r="CB796" s="115"/>
      <c r="CC796" s="115"/>
      <c r="CD796" s="115"/>
      <c r="CE796" s="115"/>
      <c r="CF796" s="115"/>
      <c r="CG796" s="115"/>
      <c r="CH796" s="115"/>
      <c r="CI796" s="115"/>
      <c r="CJ796" s="115"/>
      <c r="CK796" s="115"/>
      <c r="CL796" s="115"/>
      <c r="CM796" s="115"/>
      <c r="CN796" s="115"/>
      <c r="CO796" s="115"/>
      <c r="CP796" s="115"/>
      <c r="CQ796" s="115"/>
      <c r="CR796" s="115"/>
      <c r="CS796" s="115"/>
      <c r="CT796" s="115"/>
      <c r="CU796" s="115"/>
      <c r="CV796" s="115"/>
      <c r="CW796" s="115"/>
      <c r="CX796" s="115"/>
      <c r="CY796" s="115"/>
      <c r="CZ796" s="115"/>
      <c r="DA796" s="115"/>
      <c r="DB796" s="115"/>
      <c r="DC796" s="115"/>
      <c r="DD796" s="115"/>
      <c r="DE796" s="115"/>
      <c r="DF796" s="115"/>
      <c r="DG796" s="115"/>
    </row>
    <row r="797" spans="1:111" ht="9" customHeight="1">
      <c r="A797" s="154"/>
      <c r="B797" s="154"/>
      <c r="C797" s="154"/>
      <c r="D797" s="154"/>
      <c r="E797" s="154"/>
      <c r="F797" s="154"/>
      <c r="G797" s="154"/>
      <c r="H797" s="154"/>
      <c r="I797" s="154"/>
      <c r="J797" s="154"/>
      <c r="K797" s="154"/>
      <c r="L797" s="154"/>
      <c r="M797" s="154"/>
      <c r="N797" s="154"/>
      <c r="O797" s="154"/>
      <c r="P797" s="154"/>
      <c r="Q797" s="419"/>
      <c r="R797" s="419"/>
      <c r="S797" s="419"/>
      <c r="T797" s="419"/>
      <c r="U797" s="419"/>
      <c r="V797" s="419"/>
      <c r="W797" s="419"/>
      <c r="X797" s="419"/>
      <c r="Y797" s="154"/>
      <c r="Z797" s="154"/>
      <c r="AA797" s="154"/>
      <c r="AB797" s="154"/>
      <c r="AC797" s="154"/>
      <c r="AD797" s="154"/>
      <c r="AE797" s="154"/>
      <c r="AF797" s="154"/>
      <c r="AG797" s="420"/>
      <c r="AH797" s="420"/>
      <c r="AI797" s="420"/>
      <c r="AJ797" s="420"/>
      <c r="AK797" s="420"/>
      <c r="AL797" s="420"/>
      <c r="AM797" s="420"/>
      <c r="AN797" s="420"/>
      <c r="AO797" s="420"/>
      <c r="AP797" s="420"/>
      <c r="AQ797" s="420"/>
      <c r="AR797" s="420"/>
      <c r="AS797" s="420"/>
      <c r="AT797" s="420"/>
      <c r="AU797" s="420"/>
      <c r="AV797" s="420"/>
      <c r="AW797" s="420"/>
      <c r="AX797" s="420"/>
      <c r="AY797" s="420"/>
      <c r="AZ797" s="420"/>
      <c r="BA797" s="420"/>
      <c r="BB797" s="154"/>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c r="BY797" s="115"/>
      <c r="BZ797" s="115"/>
      <c r="CA797" s="115"/>
      <c r="CB797" s="115"/>
      <c r="CC797" s="115"/>
      <c r="CD797" s="115"/>
      <c r="CE797" s="115"/>
      <c r="CF797" s="115"/>
      <c r="CG797" s="115"/>
      <c r="CH797" s="115"/>
      <c r="CI797" s="115"/>
      <c r="CJ797" s="115"/>
      <c r="CK797" s="115"/>
      <c r="CL797" s="115"/>
      <c r="CM797" s="115"/>
      <c r="CN797" s="115"/>
      <c r="CO797" s="115"/>
      <c r="CP797" s="115"/>
      <c r="CQ797" s="115"/>
      <c r="CR797" s="115"/>
      <c r="CS797" s="115"/>
      <c r="CT797" s="115"/>
      <c r="CU797" s="115"/>
      <c r="CV797" s="115"/>
      <c r="CW797" s="115"/>
      <c r="CX797" s="115"/>
      <c r="CY797" s="115"/>
      <c r="CZ797" s="115"/>
      <c r="DA797" s="115"/>
      <c r="DB797" s="115"/>
      <c r="DC797" s="115"/>
      <c r="DD797" s="115"/>
      <c r="DE797" s="115"/>
      <c r="DF797" s="115"/>
      <c r="DG797" s="115"/>
    </row>
    <row r="798" spans="1:111" ht="4.5" customHeight="1">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c r="BY798" s="115"/>
      <c r="BZ798" s="115"/>
      <c r="CA798" s="115"/>
      <c r="CB798" s="115"/>
      <c r="CC798" s="115"/>
      <c r="CD798" s="115"/>
      <c r="CE798" s="115"/>
      <c r="CF798" s="115"/>
      <c r="CG798" s="115"/>
      <c r="CH798" s="115"/>
      <c r="CI798" s="115"/>
      <c r="CJ798" s="115"/>
      <c r="CK798" s="115"/>
      <c r="CL798" s="115"/>
      <c r="CM798" s="115"/>
      <c r="CN798" s="115"/>
      <c r="CO798" s="115"/>
      <c r="CP798" s="115"/>
      <c r="CQ798" s="115"/>
      <c r="CR798" s="115"/>
      <c r="CS798" s="115"/>
      <c r="CT798" s="115"/>
      <c r="CU798" s="115"/>
      <c r="CV798" s="115"/>
      <c r="CW798" s="115"/>
      <c r="CX798" s="115"/>
      <c r="CY798" s="115"/>
      <c r="CZ798" s="115"/>
      <c r="DA798" s="115"/>
      <c r="DB798" s="115"/>
      <c r="DC798" s="115"/>
      <c r="DD798" s="115"/>
      <c r="DE798" s="115"/>
      <c r="DF798" s="115"/>
      <c r="DG798" s="115"/>
    </row>
    <row r="799" spans="1:111" ht="9" customHeight="1">
      <c r="A799" s="154"/>
      <c r="B799" s="154"/>
      <c r="C799" s="154"/>
      <c r="D799" s="154"/>
      <c r="E799" s="154"/>
      <c r="F799" s="154"/>
      <c r="G799" s="154"/>
      <c r="H799" s="154"/>
      <c r="I799" s="154"/>
      <c r="J799" s="416" t="str">
        <f>IF(C777="","","Valor Total (R$):")</f>
        <v/>
      </c>
      <c r="K799" s="416"/>
      <c r="L799" s="416"/>
      <c r="M799" s="416"/>
      <c r="N799" s="416"/>
      <c r="O799" s="416"/>
      <c r="P799" s="154"/>
      <c r="Q799" s="419" t="str">
        <f>IF(Q795="","",Q791*Q795)</f>
        <v/>
      </c>
      <c r="R799" s="419"/>
      <c r="S799" s="419"/>
      <c r="T799" s="419"/>
      <c r="U799" s="419"/>
      <c r="V799" s="419"/>
      <c r="W799" s="419"/>
      <c r="X799" s="419"/>
      <c r="Y799" s="154"/>
      <c r="Z799" s="416" t="str">
        <f>IF(C777="","",IF(J783="52 Equipamentos e Material Permanente","Justificativa e Utilização:",""))</f>
        <v/>
      </c>
      <c r="AA799" s="416"/>
      <c r="AB799" s="416"/>
      <c r="AC799" s="416"/>
      <c r="AD799" s="416"/>
      <c r="AE799" s="416"/>
      <c r="AF799" s="154"/>
      <c r="AG799" s="420"/>
      <c r="AH799" s="420"/>
      <c r="AI799" s="420"/>
      <c r="AJ799" s="420"/>
      <c r="AK799" s="420"/>
      <c r="AL799" s="420"/>
      <c r="AM799" s="420"/>
      <c r="AN799" s="420"/>
      <c r="AO799" s="420"/>
      <c r="AP799" s="420"/>
      <c r="AQ799" s="420"/>
      <c r="AR799" s="420"/>
      <c r="AS799" s="420"/>
      <c r="AT799" s="420"/>
      <c r="AU799" s="420"/>
      <c r="AV799" s="420"/>
      <c r="AW799" s="420"/>
      <c r="AX799" s="420"/>
      <c r="AY799" s="420"/>
      <c r="AZ799" s="420"/>
      <c r="BA799" s="420"/>
      <c r="BB799" s="154"/>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c r="BY799" s="115"/>
      <c r="BZ799" s="115"/>
      <c r="CA799" s="115"/>
      <c r="CB799" s="115"/>
      <c r="CC799" s="115"/>
      <c r="CD799" s="115"/>
      <c r="CE799" s="115"/>
      <c r="CF799" s="115"/>
      <c r="CG799" s="115"/>
      <c r="CH799" s="115"/>
      <c r="CI799" s="115"/>
      <c r="CJ799" s="115"/>
      <c r="CK799" s="115"/>
      <c r="CL799" s="115"/>
      <c r="CM799" s="115"/>
      <c r="CN799" s="115"/>
      <c r="CO799" s="115"/>
      <c r="CP799" s="115"/>
      <c r="CQ799" s="115"/>
      <c r="CR799" s="115"/>
      <c r="CS799" s="115"/>
      <c r="CT799" s="115"/>
      <c r="CU799" s="115"/>
      <c r="CV799" s="115"/>
      <c r="CW799" s="115"/>
      <c r="CX799" s="115"/>
      <c r="CY799" s="115"/>
      <c r="CZ799" s="115"/>
      <c r="DA799" s="115"/>
      <c r="DB799" s="115"/>
      <c r="DC799" s="115"/>
      <c r="DD799" s="115"/>
      <c r="DE799" s="115"/>
      <c r="DF799" s="115"/>
      <c r="DG799" s="115"/>
    </row>
    <row r="800" spans="1:111" ht="9" customHeight="1">
      <c r="A800" s="154"/>
      <c r="B800" s="154"/>
      <c r="C800" s="154"/>
      <c r="D800" s="154"/>
      <c r="E800" s="154"/>
      <c r="F800" s="154"/>
      <c r="G800" s="154"/>
      <c r="H800" s="154"/>
      <c r="I800" s="154"/>
      <c r="J800" s="416"/>
      <c r="K800" s="416"/>
      <c r="L800" s="416"/>
      <c r="M800" s="416"/>
      <c r="N800" s="416"/>
      <c r="O800" s="416"/>
      <c r="P800" s="154"/>
      <c r="Q800" s="419"/>
      <c r="R800" s="419"/>
      <c r="S800" s="419"/>
      <c r="T800" s="419"/>
      <c r="U800" s="419"/>
      <c r="V800" s="419"/>
      <c r="W800" s="419"/>
      <c r="X800" s="419"/>
      <c r="Y800" s="154"/>
      <c r="Z800" s="416"/>
      <c r="AA800" s="416"/>
      <c r="AB800" s="416"/>
      <c r="AC800" s="416"/>
      <c r="AD800" s="416"/>
      <c r="AE800" s="416"/>
      <c r="AF800" s="154"/>
      <c r="AG800" s="420"/>
      <c r="AH800" s="420"/>
      <c r="AI800" s="420"/>
      <c r="AJ800" s="420"/>
      <c r="AK800" s="420"/>
      <c r="AL800" s="420"/>
      <c r="AM800" s="420"/>
      <c r="AN800" s="420"/>
      <c r="AO800" s="420"/>
      <c r="AP800" s="420"/>
      <c r="AQ800" s="420"/>
      <c r="AR800" s="420"/>
      <c r="AS800" s="420"/>
      <c r="AT800" s="420"/>
      <c r="AU800" s="420"/>
      <c r="AV800" s="420"/>
      <c r="AW800" s="420"/>
      <c r="AX800" s="420"/>
      <c r="AY800" s="420"/>
      <c r="AZ800" s="420"/>
      <c r="BA800" s="420"/>
      <c r="BB800" s="154"/>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c r="BY800" s="115"/>
      <c r="BZ800" s="115"/>
      <c r="CA800" s="115"/>
      <c r="CB800" s="115"/>
      <c r="CC800" s="115"/>
      <c r="CD800" s="115"/>
      <c r="CE800" s="115"/>
      <c r="CF800" s="115"/>
      <c r="CG800" s="115"/>
      <c r="CH800" s="115"/>
      <c r="CI800" s="115"/>
      <c r="CJ800" s="115"/>
      <c r="CK800" s="115"/>
      <c r="CL800" s="115"/>
      <c r="CM800" s="115"/>
      <c r="CN800" s="115"/>
      <c r="CO800" s="115"/>
      <c r="CP800" s="115"/>
      <c r="CQ800" s="115"/>
      <c r="CR800" s="115"/>
      <c r="CS800" s="115"/>
      <c r="CT800" s="115"/>
      <c r="CU800" s="115"/>
      <c r="CV800" s="115"/>
      <c r="CW800" s="115"/>
      <c r="CX800" s="115"/>
      <c r="CY800" s="115"/>
      <c r="CZ800" s="115"/>
      <c r="DA800" s="115"/>
      <c r="DB800" s="115"/>
      <c r="DC800" s="115"/>
      <c r="DD800" s="115"/>
      <c r="DE800" s="115"/>
      <c r="DF800" s="115"/>
      <c r="DG800" s="115"/>
    </row>
    <row r="801" spans="1:111" ht="9" customHeight="1">
      <c r="A801" s="154"/>
      <c r="B801" s="154"/>
      <c r="C801" s="154"/>
      <c r="D801" s="154"/>
      <c r="E801" s="154"/>
      <c r="F801" s="154"/>
      <c r="G801" s="154"/>
      <c r="H801" s="154"/>
      <c r="I801" s="154"/>
      <c r="J801" s="154"/>
      <c r="K801" s="154"/>
      <c r="L801" s="154"/>
      <c r="M801" s="154"/>
      <c r="N801" s="154"/>
      <c r="O801" s="154"/>
      <c r="P801" s="154"/>
      <c r="Q801" s="419"/>
      <c r="R801" s="419"/>
      <c r="S801" s="419"/>
      <c r="T801" s="419"/>
      <c r="U801" s="419"/>
      <c r="V801" s="419"/>
      <c r="W801" s="419"/>
      <c r="X801" s="419"/>
      <c r="Y801" s="154"/>
      <c r="Z801" s="154"/>
      <c r="AA801" s="154"/>
      <c r="AB801" s="154"/>
      <c r="AC801" s="154"/>
      <c r="AD801" s="154"/>
      <c r="AE801" s="154"/>
      <c r="AF801" s="154"/>
      <c r="AG801" s="420"/>
      <c r="AH801" s="420"/>
      <c r="AI801" s="420"/>
      <c r="AJ801" s="420"/>
      <c r="AK801" s="420"/>
      <c r="AL801" s="420"/>
      <c r="AM801" s="420"/>
      <c r="AN801" s="420"/>
      <c r="AO801" s="420"/>
      <c r="AP801" s="420"/>
      <c r="AQ801" s="420"/>
      <c r="AR801" s="420"/>
      <c r="AS801" s="420"/>
      <c r="AT801" s="420"/>
      <c r="AU801" s="420"/>
      <c r="AV801" s="420"/>
      <c r="AW801" s="420"/>
      <c r="AX801" s="420"/>
      <c r="AY801" s="420"/>
      <c r="AZ801" s="420"/>
      <c r="BA801" s="420"/>
      <c r="BB801" s="154"/>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c r="BY801" s="115"/>
      <c r="BZ801" s="115"/>
      <c r="CA801" s="115"/>
      <c r="CB801" s="115"/>
      <c r="CC801" s="115"/>
      <c r="CD801" s="115"/>
      <c r="CE801" s="115"/>
      <c r="CF801" s="115"/>
      <c r="CG801" s="115"/>
      <c r="CH801" s="115"/>
      <c r="CI801" s="115"/>
      <c r="CJ801" s="115"/>
      <c r="CK801" s="115"/>
      <c r="CL801" s="115"/>
      <c r="CM801" s="115"/>
      <c r="CN801" s="115"/>
      <c r="CO801" s="115"/>
      <c r="CP801" s="115"/>
      <c r="CQ801" s="115"/>
      <c r="CR801" s="115"/>
      <c r="CS801" s="115"/>
      <c r="CT801" s="115"/>
      <c r="CU801" s="115"/>
      <c r="CV801" s="115"/>
      <c r="CW801" s="115"/>
      <c r="CX801" s="115"/>
      <c r="CY801" s="115"/>
      <c r="CZ801" s="115"/>
      <c r="DA801" s="115"/>
      <c r="DB801" s="115"/>
      <c r="DC801" s="115"/>
      <c r="DD801" s="115"/>
      <c r="DE801" s="115"/>
      <c r="DF801" s="115"/>
      <c r="DG801" s="115"/>
    </row>
    <row r="802" spans="1:111" ht="9" customHeight="1">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420"/>
      <c r="AH802" s="420"/>
      <c r="AI802" s="420"/>
      <c r="AJ802" s="420"/>
      <c r="AK802" s="420"/>
      <c r="AL802" s="420"/>
      <c r="AM802" s="420"/>
      <c r="AN802" s="420"/>
      <c r="AO802" s="420"/>
      <c r="AP802" s="420"/>
      <c r="AQ802" s="420"/>
      <c r="AR802" s="420"/>
      <c r="AS802" s="420"/>
      <c r="AT802" s="420"/>
      <c r="AU802" s="420"/>
      <c r="AV802" s="420"/>
      <c r="AW802" s="420"/>
      <c r="AX802" s="420"/>
      <c r="AY802" s="420"/>
      <c r="AZ802" s="420"/>
      <c r="BA802" s="420"/>
      <c r="BB802" s="154"/>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c r="BY802" s="115"/>
      <c r="BZ802" s="115"/>
      <c r="CA802" s="115"/>
      <c r="CB802" s="115"/>
      <c r="CC802" s="115"/>
      <c r="CD802" s="115"/>
      <c r="CE802" s="115"/>
      <c r="CF802" s="115"/>
      <c r="CG802" s="115"/>
      <c r="CH802" s="115"/>
      <c r="CI802" s="115"/>
      <c r="CJ802" s="115"/>
      <c r="CK802" s="115"/>
      <c r="CL802" s="115"/>
      <c r="CM802" s="115"/>
      <c r="CN802" s="115"/>
      <c r="CO802" s="115"/>
      <c r="CP802" s="115"/>
      <c r="CQ802" s="115"/>
      <c r="CR802" s="115"/>
      <c r="CS802" s="115"/>
      <c r="CT802" s="115"/>
      <c r="CU802" s="115"/>
      <c r="CV802" s="115"/>
      <c r="CW802" s="115"/>
      <c r="CX802" s="115"/>
      <c r="CY802" s="115"/>
      <c r="CZ802" s="115"/>
      <c r="DA802" s="115"/>
      <c r="DB802" s="115"/>
      <c r="DC802" s="115"/>
      <c r="DD802" s="115"/>
      <c r="DE802" s="115"/>
      <c r="DF802" s="115"/>
      <c r="DG802" s="115"/>
    </row>
    <row r="803" spans="1:111" ht="9" customHeight="1">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420"/>
      <c r="AH803" s="420"/>
      <c r="AI803" s="420"/>
      <c r="AJ803" s="420"/>
      <c r="AK803" s="420"/>
      <c r="AL803" s="420"/>
      <c r="AM803" s="420"/>
      <c r="AN803" s="420"/>
      <c r="AO803" s="420"/>
      <c r="AP803" s="420"/>
      <c r="AQ803" s="420"/>
      <c r="AR803" s="420"/>
      <c r="AS803" s="420"/>
      <c r="AT803" s="420"/>
      <c r="AU803" s="420"/>
      <c r="AV803" s="420"/>
      <c r="AW803" s="420"/>
      <c r="AX803" s="420"/>
      <c r="AY803" s="420"/>
      <c r="AZ803" s="420"/>
      <c r="BA803" s="420"/>
      <c r="BB803" s="154"/>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c r="BY803" s="115"/>
      <c r="BZ803" s="115"/>
      <c r="CA803" s="115"/>
      <c r="CB803" s="115"/>
      <c r="CC803" s="115"/>
      <c r="CD803" s="115"/>
      <c r="CE803" s="115"/>
      <c r="CF803" s="115"/>
      <c r="CG803" s="115"/>
      <c r="CH803" s="115"/>
      <c r="CI803" s="115"/>
      <c r="CJ803" s="115"/>
      <c r="CK803" s="115"/>
      <c r="CL803" s="115"/>
      <c r="CM803" s="115"/>
      <c r="CN803" s="115"/>
      <c r="CO803" s="115"/>
      <c r="CP803" s="115"/>
      <c r="CQ803" s="115"/>
      <c r="CR803" s="115"/>
      <c r="CS803" s="115"/>
      <c r="CT803" s="115"/>
      <c r="CU803" s="115"/>
      <c r="CV803" s="115"/>
      <c r="CW803" s="115"/>
      <c r="CX803" s="115"/>
      <c r="CY803" s="115"/>
      <c r="CZ803" s="115"/>
      <c r="DA803" s="115"/>
      <c r="DB803" s="115"/>
      <c r="DC803" s="115"/>
      <c r="DD803" s="115"/>
      <c r="DE803" s="115"/>
      <c r="DF803" s="115"/>
      <c r="DG803" s="115"/>
    </row>
    <row r="804" spans="1:111" ht="9" customHeight="1">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420"/>
      <c r="AH804" s="420"/>
      <c r="AI804" s="420"/>
      <c r="AJ804" s="420"/>
      <c r="AK804" s="420"/>
      <c r="AL804" s="420"/>
      <c r="AM804" s="420"/>
      <c r="AN804" s="420"/>
      <c r="AO804" s="420"/>
      <c r="AP804" s="420"/>
      <c r="AQ804" s="420"/>
      <c r="AR804" s="420"/>
      <c r="AS804" s="420"/>
      <c r="AT804" s="420"/>
      <c r="AU804" s="420"/>
      <c r="AV804" s="420"/>
      <c r="AW804" s="420"/>
      <c r="AX804" s="420"/>
      <c r="AY804" s="420"/>
      <c r="AZ804" s="420"/>
      <c r="BA804" s="420"/>
      <c r="BB804" s="154"/>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c r="BY804" s="115"/>
      <c r="BZ804" s="115"/>
      <c r="CA804" s="115"/>
      <c r="CB804" s="115"/>
      <c r="CC804" s="115"/>
      <c r="CD804" s="115"/>
      <c r="CE804" s="115"/>
      <c r="CF804" s="115"/>
      <c r="CG804" s="115"/>
      <c r="CH804" s="115"/>
      <c r="CI804" s="115"/>
      <c r="CJ804" s="115"/>
      <c r="CK804" s="115"/>
      <c r="CL804" s="115"/>
      <c r="CM804" s="115"/>
      <c r="CN804" s="115"/>
      <c r="CO804" s="115"/>
      <c r="CP804" s="115"/>
      <c r="CQ804" s="115"/>
      <c r="CR804" s="115"/>
      <c r="CS804" s="115"/>
      <c r="CT804" s="115"/>
      <c r="CU804" s="115"/>
      <c r="CV804" s="115"/>
      <c r="CW804" s="115"/>
      <c r="CX804" s="115"/>
      <c r="CY804" s="115"/>
      <c r="CZ804" s="115"/>
      <c r="DA804" s="115"/>
      <c r="DB804" s="115"/>
      <c r="DC804" s="115"/>
      <c r="DD804" s="115"/>
      <c r="DE804" s="115"/>
      <c r="DF804" s="115"/>
      <c r="DG804" s="115"/>
    </row>
    <row r="805" spans="1:111" ht="14.25" customHeight="1">
      <c r="B805" s="55"/>
      <c r="C805" s="55"/>
      <c r="D805" s="56"/>
      <c r="E805" s="56"/>
      <c r="F805" s="56"/>
      <c r="G805" s="56"/>
      <c r="H805" s="56"/>
      <c r="I805" s="56"/>
      <c r="J805" s="56"/>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141"/>
      <c r="AL805" s="141"/>
      <c r="AM805" s="141"/>
      <c r="AN805" s="141"/>
      <c r="AO805" s="140"/>
      <c r="AP805" s="140"/>
      <c r="AQ805" s="140"/>
      <c r="AR805" s="140"/>
      <c r="AS805" s="142"/>
      <c r="AT805" s="142"/>
      <c r="AU805" s="142"/>
      <c r="AV805" s="142"/>
      <c r="AW805" s="140"/>
      <c r="AX805" s="140"/>
      <c r="AY805" s="140"/>
      <c r="AZ805" s="140"/>
      <c r="BA805" s="140"/>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c r="BY805" s="115"/>
      <c r="BZ805" s="115"/>
      <c r="CA805" s="115"/>
      <c r="CB805" s="115"/>
      <c r="CC805" s="115"/>
      <c r="CD805" s="115"/>
      <c r="CE805" s="115"/>
      <c r="CF805" s="115"/>
      <c r="CG805" s="115"/>
      <c r="CH805" s="115"/>
      <c r="CI805" s="115"/>
      <c r="CJ805" s="115"/>
      <c r="CK805" s="115"/>
      <c r="CL805" s="115"/>
      <c r="CM805" s="115"/>
      <c r="CN805" s="115"/>
      <c r="CO805" s="115"/>
      <c r="CP805" s="115"/>
      <c r="CQ805" s="115"/>
      <c r="CR805" s="115"/>
      <c r="CS805" s="115"/>
      <c r="CT805" s="115"/>
      <c r="CU805" s="115"/>
      <c r="CV805" s="115"/>
      <c r="CW805" s="115"/>
      <c r="CX805" s="115"/>
      <c r="CY805" s="115"/>
      <c r="CZ805" s="115"/>
      <c r="DA805" s="115"/>
      <c r="DB805" s="115"/>
      <c r="DC805" s="115"/>
      <c r="DD805" s="115"/>
      <c r="DE805" s="115"/>
      <c r="DF805" s="115"/>
      <c r="DG805" s="115"/>
    </row>
    <row r="806" spans="1:111" ht="15" customHeight="1">
      <c r="B806" s="55"/>
      <c r="C806" s="422" t="str">
        <f>IF($AA$165&gt;=23,"DESPESA 23","")</f>
        <v/>
      </c>
      <c r="D806" s="422"/>
      <c r="E806" s="422"/>
      <c r="F806" s="422"/>
      <c r="G806" s="422"/>
      <c r="H806" s="422"/>
      <c r="I806" s="56"/>
      <c r="J806" s="56"/>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141"/>
      <c r="AL806" s="141"/>
      <c r="AM806" s="141"/>
      <c r="AN806" s="141"/>
      <c r="AO806" s="140"/>
      <c r="AP806" s="140"/>
      <c r="AQ806" s="140"/>
      <c r="AR806" s="140"/>
      <c r="AS806" s="142"/>
      <c r="AT806" s="142"/>
      <c r="AU806" s="142"/>
      <c r="AV806" s="142"/>
      <c r="AW806" s="140"/>
      <c r="AX806" s="140"/>
      <c r="AY806" s="140"/>
      <c r="AZ806" s="140"/>
      <c r="BA806" s="140"/>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c r="BY806" s="115"/>
      <c r="BZ806" s="115"/>
      <c r="CA806" s="115"/>
      <c r="CB806" s="115"/>
      <c r="CC806" s="115"/>
      <c r="CD806" s="115"/>
      <c r="CE806" s="115"/>
      <c r="CF806" s="115"/>
      <c r="CG806" s="115"/>
      <c r="CH806" s="115"/>
      <c r="CI806" s="115"/>
      <c r="CJ806" s="115"/>
      <c r="CK806" s="115"/>
      <c r="CL806" s="115"/>
      <c r="CM806" s="115"/>
      <c r="CN806" s="115"/>
      <c r="CO806" s="115"/>
      <c r="CP806" s="115"/>
      <c r="CQ806" s="115"/>
      <c r="CR806" s="115"/>
      <c r="CS806" s="115"/>
      <c r="CT806" s="115"/>
      <c r="CU806" s="115"/>
      <c r="CV806" s="115"/>
      <c r="CW806" s="115"/>
      <c r="CX806" s="115"/>
      <c r="CY806" s="115"/>
      <c r="CZ806" s="115"/>
      <c r="DA806" s="115"/>
      <c r="DB806" s="115"/>
      <c r="DC806" s="115"/>
      <c r="DD806" s="115"/>
      <c r="DE806" s="115"/>
      <c r="DF806" s="115"/>
      <c r="DG806" s="115"/>
    </row>
    <row r="807" spans="1:111" ht="4.5" customHeight="1">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c r="BY807" s="115"/>
      <c r="BZ807" s="115"/>
      <c r="CA807" s="115"/>
      <c r="CB807" s="115"/>
      <c r="CC807" s="115"/>
      <c r="CD807" s="115"/>
      <c r="CE807" s="115"/>
      <c r="CF807" s="115"/>
      <c r="CG807" s="115"/>
      <c r="CH807" s="115"/>
      <c r="CI807" s="115"/>
      <c r="CJ807" s="115"/>
      <c r="CK807" s="115"/>
      <c r="CL807" s="115"/>
      <c r="CM807" s="115"/>
      <c r="CN807" s="115"/>
      <c r="CO807" s="115"/>
      <c r="CP807" s="115"/>
      <c r="CQ807" s="115"/>
      <c r="CR807" s="115"/>
      <c r="CS807" s="115"/>
      <c r="CT807" s="115"/>
      <c r="CU807" s="115"/>
      <c r="CV807" s="115"/>
      <c r="CW807" s="115"/>
      <c r="CX807" s="115"/>
      <c r="CY807" s="115"/>
      <c r="CZ807" s="115"/>
      <c r="DA807" s="115"/>
      <c r="DB807" s="115"/>
      <c r="DC807" s="115"/>
      <c r="DD807" s="115"/>
      <c r="DE807" s="115"/>
      <c r="DF807" s="115"/>
      <c r="DG807" s="115"/>
    </row>
    <row r="808" spans="1:111" ht="9" customHeight="1">
      <c r="C808" s="416" t="str">
        <f>IF(C806="","","Descrição da Despesa:")</f>
        <v/>
      </c>
      <c r="D808" s="416"/>
      <c r="E808" s="416"/>
      <c r="F808" s="416"/>
      <c r="G808" s="416"/>
      <c r="H808" s="416"/>
      <c r="I808" s="60"/>
      <c r="J808" s="421"/>
      <c r="K808" s="421"/>
      <c r="L808" s="421"/>
      <c r="M808" s="421"/>
      <c r="N808" s="421"/>
      <c r="O808" s="421"/>
      <c r="P808" s="421"/>
      <c r="Q808" s="421"/>
      <c r="R808" s="421"/>
      <c r="S808" s="421"/>
      <c r="T808" s="421"/>
      <c r="U808" s="421"/>
      <c r="V808" s="421"/>
      <c r="W808" s="421"/>
      <c r="X808" s="421"/>
      <c r="Y808" s="421"/>
      <c r="Z808" s="421"/>
      <c r="AA808" s="421"/>
      <c r="AB808" s="421"/>
      <c r="AC808" s="421"/>
      <c r="AD808" s="421"/>
      <c r="AE808" s="421"/>
      <c r="AF808" s="421"/>
      <c r="AG808" s="421"/>
      <c r="AH808" s="421"/>
      <c r="AI808" s="421"/>
      <c r="AJ808" s="421"/>
      <c r="AK808" s="421"/>
      <c r="AL808" s="421"/>
      <c r="AM808" s="421"/>
      <c r="AN808" s="421"/>
      <c r="AO808" s="421"/>
      <c r="AP808" s="421"/>
      <c r="AQ808" s="421"/>
      <c r="AR808" s="421"/>
      <c r="AS808" s="421"/>
      <c r="AT808" s="421"/>
      <c r="AU808" s="421"/>
      <c r="AV808" s="421"/>
      <c r="AW808" s="421"/>
      <c r="AX808" s="421"/>
      <c r="AY808" s="421"/>
      <c r="AZ808" s="421"/>
      <c r="BA808" s="421"/>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c r="BY808" s="115"/>
      <c r="BZ808" s="115"/>
      <c r="CA808" s="115"/>
      <c r="CB808" s="115"/>
      <c r="CC808" s="115"/>
      <c r="CD808" s="115"/>
      <c r="CE808" s="115"/>
      <c r="CF808" s="115"/>
      <c r="CG808" s="115"/>
      <c r="CH808" s="115"/>
      <c r="CI808" s="115"/>
      <c r="CJ808" s="115"/>
      <c r="CK808" s="115"/>
      <c r="CL808" s="115"/>
      <c r="CM808" s="115"/>
      <c r="CN808" s="115"/>
      <c r="CO808" s="115"/>
      <c r="CP808" s="115"/>
      <c r="CQ808" s="115"/>
      <c r="CR808" s="115"/>
      <c r="CS808" s="115"/>
      <c r="CT808" s="115"/>
      <c r="CU808" s="115"/>
      <c r="CV808" s="115"/>
      <c r="CW808" s="115"/>
      <c r="CX808" s="115"/>
      <c r="CY808" s="115"/>
      <c r="CZ808" s="115"/>
      <c r="DA808" s="115"/>
      <c r="DB808" s="115"/>
      <c r="DC808" s="115"/>
      <c r="DD808" s="115"/>
      <c r="DE808" s="115"/>
      <c r="DF808" s="115"/>
      <c r="DG808" s="115"/>
    </row>
    <row r="809" spans="1:111" ht="9" customHeight="1">
      <c r="C809" s="416"/>
      <c r="D809" s="416"/>
      <c r="E809" s="416"/>
      <c r="F809" s="416"/>
      <c r="G809" s="416"/>
      <c r="H809" s="416"/>
      <c r="I809" s="60"/>
      <c r="J809" s="421"/>
      <c r="K809" s="421"/>
      <c r="L809" s="421"/>
      <c r="M809" s="421"/>
      <c r="N809" s="421"/>
      <c r="O809" s="421"/>
      <c r="P809" s="421"/>
      <c r="Q809" s="421"/>
      <c r="R809" s="421"/>
      <c r="S809" s="421"/>
      <c r="T809" s="421"/>
      <c r="U809" s="421"/>
      <c r="V809" s="421"/>
      <c r="W809" s="421"/>
      <c r="X809" s="421"/>
      <c r="Y809" s="421"/>
      <c r="Z809" s="421"/>
      <c r="AA809" s="421"/>
      <c r="AB809" s="421"/>
      <c r="AC809" s="421"/>
      <c r="AD809" s="421"/>
      <c r="AE809" s="421"/>
      <c r="AF809" s="421"/>
      <c r="AG809" s="421"/>
      <c r="AH809" s="421"/>
      <c r="AI809" s="421"/>
      <c r="AJ809" s="421"/>
      <c r="AK809" s="421"/>
      <c r="AL809" s="421"/>
      <c r="AM809" s="421"/>
      <c r="AN809" s="421"/>
      <c r="AO809" s="421"/>
      <c r="AP809" s="421"/>
      <c r="AQ809" s="421"/>
      <c r="AR809" s="421"/>
      <c r="AS809" s="421"/>
      <c r="AT809" s="421"/>
      <c r="AU809" s="421"/>
      <c r="AV809" s="421"/>
      <c r="AW809" s="421"/>
      <c r="AX809" s="421"/>
      <c r="AY809" s="421"/>
      <c r="AZ809" s="421"/>
      <c r="BA809" s="421"/>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c r="BY809" s="115"/>
      <c r="BZ809" s="115"/>
      <c r="CA809" s="115"/>
      <c r="CB809" s="115"/>
      <c r="CC809" s="115"/>
      <c r="CD809" s="115"/>
      <c r="CE809" s="115"/>
      <c r="CF809" s="115"/>
      <c r="CG809" s="115"/>
      <c r="CH809" s="115"/>
      <c r="CI809" s="115"/>
      <c r="CJ809" s="115"/>
      <c r="CK809" s="115"/>
      <c r="CL809" s="115"/>
      <c r="CM809" s="115"/>
      <c r="CN809" s="115"/>
      <c r="CO809" s="115"/>
      <c r="CP809" s="115"/>
      <c r="CQ809" s="115"/>
      <c r="CR809" s="115"/>
      <c r="CS809" s="115"/>
      <c r="CT809" s="115"/>
      <c r="CU809" s="115"/>
      <c r="CV809" s="115"/>
      <c r="CW809" s="115"/>
      <c r="CX809" s="115"/>
      <c r="CY809" s="115"/>
      <c r="CZ809" s="115"/>
      <c r="DA809" s="115"/>
      <c r="DB809" s="115"/>
      <c r="DC809" s="115"/>
      <c r="DD809" s="115"/>
      <c r="DE809" s="115"/>
      <c r="DF809" s="115"/>
      <c r="DG809" s="115"/>
    </row>
    <row r="810" spans="1:111" ht="9" customHeight="1">
      <c r="C810" s="416"/>
      <c r="D810" s="416"/>
      <c r="E810" s="416"/>
      <c r="F810" s="416"/>
      <c r="G810" s="416"/>
      <c r="H810" s="416"/>
      <c r="I810" s="60"/>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1"/>
      <c r="AL810" s="421"/>
      <c r="AM810" s="421"/>
      <c r="AN810" s="421"/>
      <c r="AO810" s="421"/>
      <c r="AP810" s="421"/>
      <c r="AQ810" s="421"/>
      <c r="AR810" s="421"/>
      <c r="AS810" s="421"/>
      <c r="AT810" s="421"/>
      <c r="AU810" s="421"/>
      <c r="AV810" s="421"/>
      <c r="AW810" s="421"/>
      <c r="AX810" s="421"/>
      <c r="AY810" s="421"/>
      <c r="AZ810" s="421"/>
      <c r="BA810" s="421"/>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c r="BY810" s="115"/>
      <c r="BZ810" s="115"/>
      <c r="CA810" s="115"/>
      <c r="CB810" s="115"/>
      <c r="CC810" s="115"/>
      <c r="CD810" s="115"/>
      <c r="CE810" s="115"/>
      <c r="CF810" s="115"/>
      <c r="CG810" s="115"/>
      <c r="CH810" s="115"/>
      <c r="CI810" s="115"/>
      <c r="CJ810" s="115"/>
      <c r="CK810" s="115"/>
      <c r="CL810" s="115"/>
      <c r="CM810" s="115"/>
      <c r="CN810" s="115"/>
      <c r="CO810" s="115"/>
      <c r="CP810" s="115"/>
      <c r="CQ810" s="115"/>
      <c r="CR810" s="115"/>
      <c r="CS810" s="115"/>
      <c r="CT810" s="115"/>
      <c r="CU810" s="115"/>
      <c r="CV810" s="115"/>
      <c r="CW810" s="115"/>
      <c r="CX810" s="115"/>
      <c r="CY810" s="115"/>
      <c r="CZ810" s="115"/>
      <c r="DA810" s="115"/>
      <c r="DB810" s="115"/>
      <c r="DC810" s="115"/>
      <c r="DD810" s="115"/>
      <c r="DE810" s="115"/>
      <c r="DF810" s="115"/>
      <c r="DG810" s="115"/>
    </row>
    <row r="811" spans="1:111" ht="4.5" customHeight="1">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c r="BY811" s="115"/>
      <c r="BZ811" s="115"/>
      <c r="CA811" s="115"/>
      <c r="CB811" s="115"/>
      <c r="CC811" s="115"/>
      <c r="CD811" s="115"/>
      <c r="CE811" s="115"/>
      <c r="CF811" s="115"/>
      <c r="CG811" s="115"/>
      <c r="CH811" s="115"/>
      <c r="CI811" s="115"/>
      <c r="CJ811" s="115"/>
      <c r="CK811" s="115"/>
      <c r="CL811" s="115"/>
      <c r="CM811" s="115"/>
      <c r="CN811" s="115"/>
      <c r="CO811" s="115"/>
      <c r="CP811" s="115"/>
      <c r="CQ811" s="115"/>
      <c r="CR811" s="115"/>
      <c r="CS811" s="115"/>
      <c r="CT811" s="115"/>
      <c r="CU811" s="115"/>
      <c r="CV811" s="115"/>
      <c r="CW811" s="115"/>
      <c r="CX811" s="115"/>
      <c r="CY811" s="115"/>
      <c r="CZ811" s="115"/>
      <c r="DA811" s="115"/>
      <c r="DB811" s="115"/>
      <c r="DC811" s="115"/>
      <c r="DD811" s="115"/>
      <c r="DE811" s="115"/>
      <c r="DF811" s="115"/>
      <c r="DG811" s="115"/>
    </row>
    <row r="812" spans="1:111" ht="9" customHeight="1">
      <c r="C812" s="416" t="str">
        <f>IF(C806="","","Elemento de Despesa:")</f>
        <v/>
      </c>
      <c r="D812" s="416"/>
      <c r="E812" s="416"/>
      <c r="F812" s="416"/>
      <c r="G812" s="416"/>
      <c r="H812" s="416"/>
      <c r="J812" s="421"/>
      <c r="K812" s="421"/>
      <c r="L812" s="421"/>
      <c r="M812" s="421"/>
      <c r="N812" s="421"/>
      <c r="O812" s="421"/>
      <c r="P812" s="421"/>
      <c r="Q812" s="421"/>
      <c r="R812" s="421"/>
      <c r="S812" s="421"/>
      <c r="T812" s="421"/>
      <c r="U812" s="421"/>
      <c r="V812" s="421"/>
      <c r="W812" s="421"/>
      <c r="X812" s="421"/>
      <c r="Y812" s="421"/>
      <c r="Z812" s="421"/>
      <c r="AA812" s="421"/>
      <c r="AB812" s="421"/>
      <c r="AC812" s="421"/>
      <c r="AD812" s="421"/>
      <c r="AE812" s="421"/>
      <c r="AF812" s="421"/>
      <c r="AG812" s="421"/>
      <c r="AH812" s="421"/>
      <c r="AI812" s="421"/>
      <c r="AJ812" s="421"/>
      <c r="AK812" s="421"/>
      <c r="AL812" s="421"/>
      <c r="AM812" s="421"/>
      <c r="AN812" s="421"/>
      <c r="AO812" s="421"/>
      <c r="AP812" s="421"/>
      <c r="AQ812" s="421"/>
      <c r="AR812" s="421"/>
      <c r="AS812" s="421"/>
      <c r="AT812" s="421"/>
      <c r="AU812" s="421"/>
      <c r="AV812" s="421"/>
      <c r="AW812" s="421"/>
      <c r="AX812" s="421"/>
      <c r="AY812" s="421"/>
      <c r="AZ812" s="421"/>
      <c r="BA812" s="421"/>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c r="BY812" s="115"/>
      <c r="BZ812" s="115"/>
      <c r="CA812" s="115"/>
      <c r="CB812" s="115"/>
      <c r="CC812" s="115"/>
      <c r="CD812" s="115"/>
      <c r="CE812" s="115"/>
      <c r="CF812" s="115"/>
      <c r="CG812" s="115"/>
      <c r="CH812" s="115"/>
      <c r="CI812" s="115"/>
      <c r="CJ812" s="115"/>
      <c r="CK812" s="115"/>
      <c r="CL812" s="115"/>
      <c r="CM812" s="115"/>
      <c r="CN812" s="115"/>
      <c r="CO812" s="115"/>
      <c r="CP812" s="115"/>
      <c r="CQ812" s="115"/>
      <c r="CR812" s="115"/>
      <c r="CS812" s="115"/>
      <c r="CT812" s="115"/>
      <c r="CU812" s="115"/>
      <c r="CV812" s="115"/>
      <c r="CW812" s="115"/>
      <c r="CX812" s="115"/>
      <c r="CY812" s="115"/>
      <c r="CZ812" s="115"/>
      <c r="DA812" s="115"/>
      <c r="DB812" s="115"/>
      <c r="DC812" s="115"/>
      <c r="DD812" s="115"/>
      <c r="DE812" s="115"/>
      <c r="DF812" s="115"/>
      <c r="DG812" s="115"/>
    </row>
    <row r="813" spans="1:111" ht="9" customHeight="1">
      <c r="C813" s="416"/>
      <c r="D813" s="416"/>
      <c r="E813" s="416"/>
      <c r="F813" s="416"/>
      <c r="G813" s="416"/>
      <c r="H813" s="416"/>
      <c r="J813" s="421"/>
      <c r="K813" s="421"/>
      <c r="L813" s="421"/>
      <c r="M813" s="421"/>
      <c r="N813" s="421"/>
      <c r="O813" s="421"/>
      <c r="P813" s="421"/>
      <c r="Q813" s="421"/>
      <c r="R813" s="421"/>
      <c r="S813" s="421"/>
      <c r="T813" s="421"/>
      <c r="U813" s="421"/>
      <c r="V813" s="421"/>
      <c r="W813" s="421"/>
      <c r="X813" s="421"/>
      <c r="Y813" s="421"/>
      <c r="Z813" s="421"/>
      <c r="AA813" s="421"/>
      <c r="AB813" s="421"/>
      <c r="AC813" s="421"/>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1"/>
      <c r="AY813" s="421"/>
      <c r="AZ813" s="421"/>
      <c r="BA813" s="421"/>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c r="BY813" s="115"/>
      <c r="BZ813" s="115"/>
      <c r="CA813" s="115"/>
      <c r="CB813" s="115"/>
      <c r="CC813" s="115"/>
      <c r="CD813" s="115"/>
      <c r="CE813" s="115"/>
      <c r="CF813" s="115"/>
      <c r="CG813" s="115"/>
      <c r="CH813" s="115"/>
      <c r="CI813" s="115"/>
      <c r="CJ813" s="115"/>
      <c r="CK813" s="115"/>
      <c r="CL813" s="115"/>
      <c r="CM813" s="115"/>
      <c r="CN813" s="115"/>
      <c r="CO813" s="115"/>
      <c r="CP813" s="115"/>
      <c r="CQ813" s="115"/>
      <c r="CR813" s="115"/>
      <c r="CS813" s="115"/>
      <c r="CT813" s="115"/>
      <c r="CU813" s="115"/>
      <c r="CV813" s="115"/>
      <c r="CW813" s="115"/>
      <c r="CX813" s="115"/>
      <c r="CY813" s="115"/>
      <c r="CZ813" s="115"/>
      <c r="DA813" s="115"/>
      <c r="DB813" s="115"/>
      <c r="DC813" s="115"/>
      <c r="DD813" s="115"/>
      <c r="DE813" s="115"/>
      <c r="DF813" s="115"/>
      <c r="DG813" s="115"/>
    </row>
    <row r="814" spans="1:111" ht="9" customHeight="1">
      <c r="C814" s="416"/>
      <c r="D814" s="416"/>
      <c r="E814" s="416"/>
      <c r="F814" s="416"/>
      <c r="G814" s="416"/>
      <c r="H814" s="416"/>
      <c r="J814" s="421"/>
      <c r="K814" s="421"/>
      <c r="L814" s="421"/>
      <c r="M814" s="421"/>
      <c r="N814" s="421"/>
      <c r="O814" s="421"/>
      <c r="P814" s="421"/>
      <c r="Q814" s="421"/>
      <c r="R814" s="421"/>
      <c r="S814" s="421"/>
      <c r="T814" s="421"/>
      <c r="U814" s="421"/>
      <c r="V814" s="421"/>
      <c r="W814" s="421"/>
      <c r="X814" s="421"/>
      <c r="Y814" s="421"/>
      <c r="Z814" s="421"/>
      <c r="AA814" s="421"/>
      <c r="AB814" s="421"/>
      <c r="AC814" s="421"/>
      <c r="AD814" s="421"/>
      <c r="AE814" s="421"/>
      <c r="AF814" s="421"/>
      <c r="AG814" s="421"/>
      <c r="AH814" s="421"/>
      <c r="AI814" s="421"/>
      <c r="AJ814" s="421"/>
      <c r="AK814" s="421"/>
      <c r="AL814" s="421"/>
      <c r="AM814" s="421"/>
      <c r="AN814" s="421"/>
      <c r="AO814" s="421"/>
      <c r="AP814" s="421"/>
      <c r="AQ814" s="421"/>
      <c r="AR814" s="421"/>
      <c r="AS814" s="421"/>
      <c r="AT814" s="421"/>
      <c r="AU814" s="421"/>
      <c r="AV814" s="421"/>
      <c r="AW814" s="421"/>
      <c r="AX814" s="421"/>
      <c r="AY814" s="421"/>
      <c r="AZ814" s="421"/>
      <c r="BA814" s="421"/>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c r="BY814" s="115"/>
      <c r="BZ814" s="115"/>
      <c r="CA814" s="115"/>
      <c r="CB814" s="115"/>
      <c r="CC814" s="115"/>
      <c r="CD814" s="115"/>
      <c r="CE814" s="115"/>
      <c r="CF814" s="115"/>
      <c r="CG814" s="115"/>
      <c r="CH814" s="115"/>
      <c r="CI814" s="115"/>
      <c r="CJ814" s="115"/>
      <c r="CK814" s="115"/>
      <c r="CL814" s="115"/>
      <c r="CM814" s="115"/>
      <c r="CN814" s="115"/>
      <c r="CO814" s="115"/>
      <c r="CP814" s="115"/>
      <c r="CQ814" s="115"/>
      <c r="CR814" s="115"/>
      <c r="CS814" s="115"/>
      <c r="CT814" s="115"/>
      <c r="CU814" s="115"/>
      <c r="CV814" s="115"/>
      <c r="CW814" s="115"/>
      <c r="CX814" s="115"/>
      <c r="CY814" s="115"/>
      <c r="CZ814" s="115"/>
      <c r="DA814" s="115"/>
      <c r="DB814" s="115"/>
      <c r="DC814" s="115"/>
      <c r="DD814" s="115"/>
      <c r="DE814" s="115"/>
      <c r="DF814" s="115"/>
      <c r="DG814" s="115"/>
    </row>
    <row r="815" spans="1:111" ht="4.5" customHeight="1">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c r="BY815" s="115"/>
      <c r="BZ815" s="115"/>
      <c r="CA815" s="115"/>
      <c r="CB815" s="115"/>
      <c r="CC815" s="115"/>
      <c r="CD815" s="115"/>
      <c r="CE815" s="115"/>
      <c r="CF815" s="115"/>
      <c r="CG815" s="115"/>
      <c r="CH815" s="115"/>
      <c r="CI815" s="115"/>
      <c r="CJ815" s="115"/>
      <c r="CK815" s="115"/>
      <c r="CL815" s="115"/>
      <c r="CM815" s="115"/>
      <c r="CN815" s="115"/>
      <c r="CO815" s="115"/>
      <c r="CP815" s="115"/>
      <c r="CQ815" s="115"/>
      <c r="CR815" s="115"/>
      <c r="CS815" s="115"/>
      <c r="CT815" s="115"/>
      <c r="CU815" s="115"/>
      <c r="CV815" s="115"/>
      <c r="CW815" s="115"/>
      <c r="CX815" s="115"/>
      <c r="CY815" s="115"/>
      <c r="CZ815" s="115"/>
      <c r="DA815" s="115"/>
      <c r="DB815" s="115"/>
      <c r="DC815" s="115"/>
      <c r="DD815" s="115"/>
      <c r="DE815" s="115"/>
      <c r="DF815" s="115"/>
      <c r="DG815" s="115"/>
    </row>
    <row r="816" spans="1:111" ht="9" customHeight="1">
      <c r="A816" s="61" t="str">
        <f>CONCATENATE(Q816,AC816)</f>
        <v/>
      </c>
      <c r="J816" s="416" t="str">
        <f>IF(C806="","","Meta Vinculada:")</f>
        <v/>
      </c>
      <c r="K816" s="416"/>
      <c r="L816" s="416"/>
      <c r="M816" s="416"/>
      <c r="N816" s="416"/>
      <c r="O816" s="416"/>
      <c r="Q816" s="417"/>
      <c r="R816" s="417"/>
      <c r="S816" s="417"/>
      <c r="T816" s="417"/>
      <c r="U816" s="56"/>
      <c r="V816" s="416" t="str">
        <f>IF(C806="","","Etapa Vinculada:")</f>
        <v/>
      </c>
      <c r="W816" s="416"/>
      <c r="X816" s="416"/>
      <c r="Y816" s="416"/>
      <c r="Z816" s="416"/>
      <c r="AA816" s="416"/>
      <c r="AC816" s="417"/>
      <c r="AD816" s="417"/>
      <c r="AE816" s="417"/>
      <c r="AF816" s="417"/>
      <c r="AG816" s="56"/>
      <c r="AH816" s="56"/>
      <c r="AI816" s="56"/>
      <c r="AJ816" s="56"/>
      <c r="AK816" s="141"/>
      <c r="AL816" s="141"/>
      <c r="AM816" s="141"/>
      <c r="AN816" s="141"/>
      <c r="AO816" s="140"/>
      <c r="AP816" s="140"/>
      <c r="AQ816" s="140"/>
      <c r="AR816" s="140"/>
      <c r="AS816" s="142"/>
      <c r="AT816" s="142"/>
      <c r="AU816" s="142"/>
      <c r="AV816" s="142"/>
      <c r="AW816" s="140"/>
      <c r="AX816" s="140"/>
      <c r="AY816" s="140"/>
      <c r="AZ816" s="140"/>
      <c r="BA816" s="140"/>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c r="BY816" s="115"/>
      <c r="BZ816" s="115"/>
      <c r="CA816" s="115"/>
      <c r="CB816" s="115"/>
      <c r="CC816" s="115"/>
      <c r="CD816" s="115"/>
      <c r="CE816" s="115"/>
      <c r="CF816" s="115"/>
      <c r="CG816" s="115"/>
      <c r="CH816" s="115"/>
      <c r="CI816" s="115"/>
      <c r="CJ816" s="115"/>
      <c r="CK816" s="115"/>
      <c r="CL816" s="115"/>
      <c r="CM816" s="115"/>
      <c r="CN816" s="115"/>
      <c r="CO816" s="115"/>
      <c r="CP816" s="115"/>
      <c r="CQ816" s="115"/>
      <c r="CR816" s="115"/>
      <c r="CS816" s="115"/>
      <c r="CT816" s="115"/>
      <c r="CU816" s="115"/>
      <c r="CV816" s="115"/>
      <c r="CW816" s="115"/>
      <c r="CX816" s="115"/>
      <c r="CY816" s="115"/>
      <c r="CZ816" s="115"/>
      <c r="DA816" s="115"/>
      <c r="DB816" s="115"/>
      <c r="DC816" s="115"/>
      <c r="DD816" s="115"/>
      <c r="DE816" s="115"/>
      <c r="DF816" s="115"/>
      <c r="DG816" s="115"/>
    </row>
    <row r="817" spans="1:111" ht="9" customHeight="1">
      <c r="B817" s="55"/>
      <c r="C817" s="55"/>
      <c r="D817" s="56"/>
      <c r="E817" s="56"/>
      <c r="F817" s="56"/>
      <c r="G817" s="56"/>
      <c r="H817" s="56"/>
      <c r="I817" s="56"/>
      <c r="J817" s="416"/>
      <c r="K817" s="416"/>
      <c r="L817" s="416"/>
      <c r="M817" s="416"/>
      <c r="N817" s="416"/>
      <c r="O817" s="416"/>
      <c r="Q817" s="417"/>
      <c r="R817" s="417"/>
      <c r="S817" s="417"/>
      <c r="T817" s="417"/>
      <c r="U817" s="56"/>
      <c r="V817" s="416"/>
      <c r="W817" s="416"/>
      <c r="X817" s="416"/>
      <c r="Y817" s="416"/>
      <c r="Z817" s="416"/>
      <c r="AA817" s="416"/>
      <c r="AC817" s="417"/>
      <c r="AD817" s="417"/>
      <c r="AE817" s="417"/>
      <c r="AF817" s="417"/>
      <c r="AG817" s="56"/>
      <c r="AH817" s="56"/>
      <c r="AI817" s="56"/>
      <c r="AJ817" s="56"/>
      <c r="AK817" s="141"/>
      <c r="AL817" s="141"/>
      <c r="AM817" s="141"/>
      <c r="AN817" s="141"/>
      <c r="AO817" s="140"/>
      <c r="AP817" s="140"/>
      <c r="AQ817" s="140"/>
      <c r="AR817" s="140"/>
      <c r="AS817" s="142"/>
      <c r="AT817" s="142"/>
      <c r="AU817" s="142"/>
      <c r="AV817" s="142"/>
      <c r="AW817" s="140"/>
      <c r="AX817" s="140"/>
      <c r="AY817" s="140"/>
      <c r="AZ817" s="140"/>
      <c r="BA817" s="140"/>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c r="BY817" s="115"/>
      <c r="BZ817" s="115"/>
      <c r="CA817" s="115"/>
      <c r="CB817" s="115"/>
      <c r="CC817" s="115"/>
      <c r="CD817" s="115"/>
      <c r="CE817" s="115"/>
      <c r="CF817" s="115"/>
      <c r="CG817" s="115"/>
      <c r="CH817" s="115"/>
      <c r="CI817" s="115"/>
      <c r="CJ817" s="115"/>
      <c r="CK817" s="115"/>
      <c r="CL817" s="115"/>
      <c r="CM817" s="115"/>
      <c r="CN817" s="115"/>
      <c r="CO817" s="115"/>
      <c r="CP817" s="115"/>
      <c r="CQ817" s="115"/>
      <c r="CR817" s="115"/>
      <c r="CS817" s="115"/>
      <c r="CT817" s="115"/>
      <c r="CU817" s="115"/>
      <c r="CV817" s="115"/>
      <c r="CW817" s="115"/>
      <c r="CX817" s="115"/>
      <c r="CY817" s="115"/>
      <c r="CZ817" s="115"/>
      <c r="DA817" s="115"/>
      <c r="DB817" s="115"/>
      <c r="DC817" s="115"/>
      <c r="DD817" s="115"/>
      <c r="DE817" s="115"/>
      <c r="DF817" s="115"/>
      <c r="DG817" s="115"/>
    </row>
    <row r="818" spans="1:111" ht="9" customHeight="1">
      <c r="Q818" s="417"/>
      <c r="R818" s="417"/>
      <c r="S818" s="417"/>
      <c r="T818" s="417"/>
      <c r="AC818" s="417"/>
      <c r="AD818" s="417"/>
      <c r="AE818" s="417"/>
      <c r="AF818" s="417"/>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c r="BY818" s="115"/>
      <c r="BZ818" s="115"/>
      <c r="CA818" s="115"/>
      <c r="CB818" s="115"/>
      <c r="CC818" s="115"/>
      <c r="CD818" s="115"/>
      <c r="CE818" s="115"/>
      <c r="CF818" s="115"/>
      <c r="CG818" s="115"/>
      <c r="CH818" s="115"/>
      <c r="CI818" s="115"/>
      <c r="CJ818" s="115"/>
      <c r="CK818" s="115"/>
      <c r="CL818" s="115"/>
      <c r="CM818" s="115"/>
      <c r="CN818" s="115"/>
      <c r="CO818" s="115"/>
      <c r="CP818" s="115"/>
      <c r="CQ818" s="115"/>
      <c r="CR818" s="115"/>
      <c r="CS818" s="115"/>
      <c r="CT818" s="115"/>
      <c r="CU818" s="115"/>
      <c r="CV818" s="115"/>
      <c r="CW818" s="115"/>
      <c r="CX818" s="115"/>
      <c r="CY818" s="115"/>
      <c r="CZ818" s="115"/>
      <c r="DA818" s="115"/>
      <c r="DB818" s="115"/>
      <c r="DC818" s="115"/>
      <c r="DD818" s="115"/>
      <c r="DE818" s="115"/>
      <c r="DF818" s="115"/>
      <c r="DG818" s="115"/>
    </row>
    <row r="819" spans="1:111" ht="4.5" customHeight="1">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c r="BY819" s="115"/>
      <c r="BZ819" s="115"/>
      <c r="CA819" s="115"/>
      <c r="CB819" s="115"/>
      <c r="CC819" s="115"/>
      <c r="CD819" s="115"/>
      <c r="CE819" s="115"/>
      <c r="CF819" s="115"/>
      <c r="CG819" s="115"/>
      <c r="CH819" s="115"/>
      <c r="CI819" s="115"/>
      <c r="CJ819" s="115"/>
      <c r="CK819" s="115"/>
      <c r="CL819" s="115"/>
      <c r="CM819" s="115"/>
      <c r="CN819" s="115"/>
      <c r="CO819" s="115"/>
      <c r="CP819" s="115"/>
      <c r="CQ819" s="115"/>
      <c r="CR819" s="115"/>
      <c r="CS819" s="115"/>
      <c r="CT819" s="115"/>
      <c r="CU819" s="115"/>
      <c r="CV819" s="115"/>
      <c r="CW819" s="115"/>
      <c r="CX819" s="115"/>
      <c r="CY819" s="115"/>
      <c r="CZ819" s="115"/>
      <c r="DA819" s="115"/>
      <c r="DB819" s="115"/>
      <c r="DC819" s="115"/>
      <c r="DD819" s="115"/>
      <c r="DE819" s="115"/>
      <c r="DF819" s="115"/>
      <c r="DG819" s="115"/>
    </row>
    <row r="820" spans="1:111" ht="9" customHeight="1">
      <c r="A820" s="154"/>
      <c r="B820" s="154"/>
      <c r="C820" s="154"/>
      <c r="D820" s="154"/>
      <c r="E820" s="154"/>
      <c r="F820" s="154"/>
      <c r="G820" s="154"/>
      <c r="H820" s="154"/>
      <c r="I820" s="154"/>
      <c r="J820" s="416" t="str">
        <f>IF(C806="","","Quantidade:")</f>
        <v/>
      </c>
      <c r="K820" s="416"/>
      <c r="L820" s="416"/>
      <c r="M820" s="416"/>
      <c r="N820" s="416"/>
      <c r="O820" s="416"/>
      <c r="P820" s="154"/>
      <c r="Q820" s="417"/>
      <c r="R820" s="417"/>
      <c r="S820" s="417"/>
      <c r="T820" s="417"/>
      <c r="U820" s="154"/>
      <c r="V820" s="416" t="str">
        <f>IF(C806="","","Unidade:")</f>
        <v/>
      </c>
      <c r="W820" s="416"/>
      <c r="X820" s="416"/>
      <c r="Y820" s="416"/>
      <c r="Z820" s="416"/>
      <c r="AA820" s="416"/>
      <c r="AB820" s="154"/>
      <c r="AC820" s="418"/>
      <c r="AD820" s="418"/>
      <c r="AE820" s="418"/>
      <c r="AF820" s="418"/>
      <c r="AG820" s="418"/>
      <c r="AH820" s="418"/>
      <c r="AI820" s="418"/>
      <c r="AJ820" s="418"/>
      <c r="AK820" s="418"/>
      <c r="AL820" s="418"/>
      <c r="AM820" s="418"/>
      <c r="AN820" s="418"/>
      <c r="AO820" s="418"/>
      <c r="AP820" s="418"/>
      <c r="AQ820" s="418"/>
      <c r="AR820" s="418"/>
      <c r="AS820" s="418"/>
      <c r="AT820" s="418"/>
      <c r="AU820" s="418"/>
      <c r="AV820" s="418"/>
      <c r="AW820" s="418"/>
      <c r="AX820" s="418"/>
      <c r="AY820" s="418"/>
      <c r="AZ820" s="418"/>
      <c r="BA820" s="418"/>
      <c r="BB820" s="154"/>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c r="BY820" s="115"/>
      <c r="BZ820" s="115"/>
      <c r="CA820" s="115"/>
      <c r="CB820" s="115"/>
      <c r="CC820" s="115"/>
      <c r="CD820" s="115"/>
      <c r="CE820" s="115"/>
      <c r="CF820" s="115"/>
      <c r="CG820" s="115"/>
      <c r="CH820" s="115"/>
      <c r="CI820" s="115"/>
      <c r="CJ820" s="115"/>
      <c r="CK820" s="115"/>
      <c r="CL820" s="115"/>
      <c r="CM820" s="115"/>
      <c r="CN820" s="115"/>
      <c r="CO820" s="115"/>
      <c r="CP820" s="115"/>
      <c r="CQ820" s="115"/>
      <c r="CR820" s="115"/>
      <c r="CS820" s="115"/>
      <c r="CT820" s="115"/>
      <c r="CU820" s="115"/>
      <c r="CV820" s="115"/>
      <c r="CW820" s="115"/>
      <c r="CX820" s="115"/>
      <c r="CY820" s="115"/>
      <c r="CZ820" s="115"/>
      <c r="DA820" s="115"/>
      <c r="DB820" s="115"/>
      <c r="DC820" s="115"/>
      <c r="DD820" s="115"/>
      <c r="DE820" s="115"/>
      <c r="DF820" s="115"/>
      <c r="DG820" s="115"/>
    </row>
    <row r="821" spans="1:111" ht="9" customHeight="1">
      <c r="A821" s="154"/>
      <c r="B821" s="154"/>
      <c r="C821" s="154"/>
      <c r="D821" s="154"/>
      <c r="E821" s="154"/>
      <c r="F821" s="154"/>
      <c r="G821" s="154"/>
      <c r="H821" s="154"/>
      <c r="I821" s="154"/>
      <c r="J821" s="416"/>
      <c r="K821" s="416"/>
      <c r="L821" s="416"/>
      <c r="M821" s="416"/>
      <c r="N821" s="416"/>
      <c r="O821" s="416"/>
      <c r="P821" s="154"/>
      <c r="Q821" s="417"/>
      <c r="R821" s="417"/>
      <c r="S821" s="417"/>
      <c r="T821" s="417"/>
      <c r="U821" s="154"/>
      <c r="V821" s="416"/>
      <c r="W821" s="416"/>
      <c r="X821" s="416"/>
      <c r="Y821" s="416"/>
      <c r="Z821" s="416"/>
      <c r="AA821" s="416"/>
      <c r="AB821" s="154"/>
      <c r="AC821" s="418"/>
      <c r="AD821" s="418"/>
      <c r="AE821" s="418"/>
      <c r="AF821" s="418"/>
      <c r="AG821" s="418"/>
      <c r="AH821" s="418"/>
      <c r="AI821" s="418"/>
      <c r="AJ821" s="418"/>
      <c r="AK821" s="418"/>
      <c r="AL821" s="418"/>
      <c r="AM821" s="418"/>
      <c r="AN821" s="418"/>
      <c r="AO821" s="418"/>
      <c r="AP821" s="418"/>
      <c r="AQ821" s="418"/>
      <c r="AR821" s="418"/>
      <c r="AS821" s="418"/>
      <c r="AT821" s="418"/>
      <c r="AU821" s="418"/>
      <c r="AV821" s="418"/>
      <c r="AW821" s="418"/>
      <c r="AX821" s="418"/>
      <c r="AY821" s="418"/>
      <c r="AZ821" s="418"/>
      <c r="BA821" s="418"/>
      <c r="BB821" s="154"/>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c r="BY821" s="115"/>
      <c r="BZ821" s="115"/>
      <c r="CA821" s="115"/>
      <c r="CB821" s="115"/>
      <c r="CC821" s="115"/>
      <c r="CD821" s="115"/>
      <c r="CE821" s="115"/>
      <c r="CF821" s="115"/>
      <c r="CG821" s="115"/>
      <c r="CH821" s="115"/>
      <c r="CI821" s="115"/>
      <c r="CJ821" s="115"/>
      <c r="CK821" s="115"/>
      <c r="CL821" s="115"/>
      <c r="CM821" s="115"/>
      <c r="CN821" s="115"/>
      <c r="CO821" s="115"/>
      <c r="CP821" s="115"/>
      <c r="CQ821" s="115"/>
      <c r="CR821" s="115"/>
      <c r="CS821" s="115"/>
      <c r="CT821" s="115"/>
      <c r="CU821" s="115"/>
      <c r="CV821" s="115"/>
      <c r="CW821" s="115"/>
      <c r="CX821" s="115"/>
      <c r="CY821" s="115"/>
      <c r="CZ821" s="115"/>
      <c r="DA821" s="115"/>
      <c r="DB821" s="115"/>
      <c r="DC821" s="115"/>
      <c r="DD821" s="115"/>
      <c r="DE821" s="115"/>
      <c r="DF821" s="115"/>
      <c r="DG821" s="115"/>
    </row>
    <row r="822" spans="1:111" ht="9" customHeight="1">
      <c r="A822" s="154"/>
      <c r="B822" s="154"/>
      <c r="C822" s="154"/>
      <c r="D822" s="154"/>
      <c r="E822" s="154"/>
      <c r="F822" s="154"/>
      <c r="G822" s="154"/>
      <c r="H822" s="154"/>
      <c r="I822" s="154"/>
      <c r="J822" s="154"/>
      <c r="K822" s="154"/>
      <c r="L822" s="154"/>
      <c r="M822" s="154"/>
      <c r="N822" s="154"/>
      <c r="O822" s="154"/>
      <c r="P822" s="154"/>
      <c r="Q822" s="417"/>
      <c r="R822" s="417"/>
      <c r="S822" s="417"/>
      <c r="T822" s="417"/>
      <c r="U822" s="154"/>
      <c r="V822" s="154"/>
      <c r="W822" s="154"/>
      <c r="X822" s="154"/>
      <c r="Y822" s="154"/>
      <c r="Z822" s="154"/>
      <c r="AA822" s="154"/>
      <c r="AB822" s="154"/>
      <c r="AC822" s="418"/>
      <c r="AD822" s="418"/>
      <c r="AE822" s="418"/>
      <c r="AF822" s="418"/>
      <c r="AG822" s="418"/>
      <c r="AH822" s="418"/>
      <c r="AI822" s="418"/>
      <c r="AJ822" s="418"/>
      <c r="AK822" s="418"/>
      <c r="AL822" s="418"/>
      <c r="AM822" s="418"/>
      <c r="AN822" s="418"/>
      <c r="AO822" s="418"/>
      <c r="AP822" s="418"/>
      <c r="AQ822" s="418"/>
      <c r="AR822" s="418"/>
      <c r="AS822" s="418"/>
      <c r="AT822" s="418"/>
      <c r="AU822" s="418"/>
      <c r="AV822" s="418"/>
      <c r="AW822" s="418"/>
      <c r="AX822" s="418"/>
      <c r="AY822" s="418"/>
      <c r="AZ822" s="418"/>
      <c r="BA822" s="418"/>
      <c r="BB822" s="154"/>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c r="BY822" s="115"/>
      <c r="BZ822" s="115"/>
      <c r="CA822" s="115"/>
      <c r="CB822" s="115"/>
      <c r="CC822" s="115"/>
      <c r="CD822" s="115"/>
      <c r="CE822" s="115"/>
      <c r="CF822" s="115"/>
      <c r="CG822" s="115"/>
      <c r="CH822" s="115"/>
      <c r="CI822" s="115"/>
      <c r="CJ822" s="115"/>
      <c r="CK822" s="115"/>
      <c r="CL822" s="115"/>
      <c r="CM822" s="115"/>
      <c r="CN822" s="115"/>
      <c r="CO822" s="115"/>
      <c r="CP822" s="115"/>
      <c r="CQ822" s="115"/>
      <c r="CR822" s="115"/>
      <c r="CS822" s="115"/>
      <c r="CT822" s="115"/>
      <c r="CU822" s="115"/>
      <c r="CV822" s="115"/>
      <c r="CW822" s="115"/>
      <c r="CX822" s="115"/>
      <c r="CY822" s="115"/>
      <c r="CZ822" s="115"/>
      <c r="DA822" s="115"/>
      <c r="DB822" s="115"/>
      <c r="DC822" s="115"/>
      <c r="DD822" s="115"/>
      <c r="DE822" s="115"/>
      <c r="DF822" s="115"/>
      <c r="DG822" s="115"/>
    </row>
    <row r="823" spans="1:111" ht="4.5" customHeight="1">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c r="BY823" s="115"/>
      <c r="BZ823" s="115"/>
      <c r="CA823" s="115"/>
      <c r="CB823" s="115"/>
      <c r="CC823" s="115"/>
      <c r="CD823" s="115"/>
      <c r="CE823" s="115"/>
      <c r="CF823" s="115"/>
      <c r="CG823" s="115"/>
      <c r="CH823" s="115"/>
      <c r="CI823" s="115"/>
      <c r="CJ823" s="115"/>
      <c r="CK823" s="115"/>
      <c r="CL823" s="115"/>
      <c r="CM823" s="115"/>
      <c r="CN823" s="115"/>
      <c r="CO823" s="115"/>
      <c r="CP823" s="115"/>
      <c r="CQ823" s="115"/>
      <c r="CR823" s="115"/>
      <c r="CS823" s="115"/>
      <c r="CT823" s="115"/>
      <c r="CU823" s="115"/>
      <c r="CV823" s="115"/>
      <c r="CW823" s="115"/>
      <c r="CX823" s="115"/>
      <c r="CY823" s="115"/>
      <c r="CZ823" s="115"/>
      <c r="DA823" s="115"/>
      <c r="DB823" s="115"/>
      <c r="DC823" s="115"/>
      <c r="DD823" s="115"/>
      <c r="DE823" s="115"/>
      <c r="DF823" s="115"/>
      <c r="DG823" s="115"/>
    </row>
    <row r="824" spans="1:111" ht="9" customHeight="1">
      <c r="A824" s="154"/>
      <c r="B824" s="154"/>
      <c r="C824" s="154"/>
      <c r="D824" s="154"/>
      <c r="E824" s="154"/>
      <c r="F824" s="154"/>
      <c r="G824" s="154"/>
      <c r="H824" s="154"/>
      <c r="I824" s="154"/>
      <c r="J824" s="416" t="str">
        <f>IF(C806="","","Valor Unitário (R$):")</f>
        <v/>
      </c>
      <c r="K824" s="416"/>
      <c r="L824" s="416"/>
      <c r="M824" s="416"/>
      <c r="N824" s="416"/>
      <c r="O824" s="416"/>
      <c r="P824" s="154"/>
      <c r="Q824" s="419"/>
      <c r="R824" s="419"/>
      <c r="S824" s="419"/>
      <c r="T824" s="419"/>
      <c r="U824" s="419"/>
      <c r="V824" s="419"/>
      <c r="W824" s="419"/>
      <c r="X824" s="419"/>
      <c r="Y824" s="154"/>
      <c r="Z824" s="416" t="str">
        <f>IF(C806="","",IF(J812="52 Equipamentos e Material Permanente","Tempo de Uso:",""))</f>
        <v/>
      </c>
      <c r="AA824" s="416"/>
      <c r="AB824" s="416"/>
      <c r="AC824" s="416"/>
      <c r="AD824" s="416"/>
      <c r="AE824" s="416"/>
      <c r="AF824" s="154"/>
      <c r="AG824" s="420"/>
      <c r="AH824" s="420"/>
      <c r="AI824" s="420"/>
      <c r="AJ824" s="420"/>
      <c r="AK824" s="420"/>
      <c r="AL824" s="420"/>
      <c r="AM824" s="420"/>
      <c r="AN824" s="420"/>
      <c r="AO824" s="420"/>
      <c r="AP824" s="420"/>
      <c r="AQ824" s="420"/>
      <c r="AR824" s="420"/>
      <c r="AS824" s="420"/>
      <c r="AT824" s="420"/>
      <c r="AU824" s="420"/>
      <c r="AV824" s="420"/>
      <c r="AW824" s="420"/>
      <c r="AX824" s="420"/>
      <c r="AY824" s="420"/>
      <c r="AZ824" s="420"/>
      <c r="BA824" s="420"/>
      <c r="BB824" s="154"/>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c r="BY824" s="115"/>
      <c r="BZ824" s="115"/>
      <c r="CA824" s="115"/>
      <c r="CB824" s="115"/>
      <c r="CC824" s="115"/>
      <c r="CD824" s="115"/>
      <c r="CE824" s="115"/>
      <c r="CF824" s="115"/>
      <c r="CG824" s="115"/>
      <c r="CH824" s="115"/>
      <c r="CI824" s="115"/>
      <c r="CJ824" s="115"/>
      <c r="CK824" s="115"/>
      <c r="CL824" s="115"/>
      <c r="CM824" s="115"/>
      <c r="CN824" s="115"/>
      <c r="CO824" s="115"/>
      <c r="CP824" s="115"/>
      <c r="CQ824" s="115"/>
      <c r="CR824" s="115"/>
      <c r="CS824" s="115"/>
      <c r="CT824" s="115"/>
      <c r="CU824" s="115"/>
      <c r="CV824" s="115"/>
      <c r="CW824" s="115"/>
      <c r="CX824" s="115"/>
      <c r="CY824" s="115"/>
      <c r="CZ824" s="115"/>
      <c r="DA824" s="115"/>
      <c r="DB824" s="115"/>
      <c r="DC824" s="115"/>
      <c r="DD824" s="115"/>
      <c r="DE824" s="115"/>
      <c r="DF824" s="115"/>
      <c r="DG824" s="115"/>
    </row>
    <row r="825" spans="1:111" ht="9" customHeight="1">
      <c r="A825" s="154"/>
      <c r="B825" s="154"/>
      <c r="C825" s="154"/>
      <c r="D825" s="154"/>
      <c r="E825" s="154"/>
      <c r="F825" s="154"/>
      <c r="G825" s="154"/>
      <c r="H825" s="154"/>
      <c r="I825" s="154"/>
      <c r="J825" s="416"/>
      <c r="K825" s="416"/>
      <c r="L825" s="416"/>
      <c r="M825" s="416"/>
      <c r="N825" s="416"/>
      <c r="O825" s="416"/>
      <c r="P825" s="154"/>
      <c r="Q825" s="419"/>
      <c r="R825" s="419"/>
      <c r="S825" s="419"/>
      <c r="T825" s="419"/>
      <c r="U825" s="419"/>
      <c r="V825" s="419"/>
      <c r="W825" s="419"/>
      <c r="X825" s="419"/>
      <c r="Y825" s="154"/>
      <c r="Z825" s="416"/>
      <c r="AA825" s="416"/>
      <c r="AB825" s="416"/>
      <c r="AC825" s="416"/>
      <c r="AD825" s="416"/>
      <c r="AE825" s="416"/>
      <c r="AF825" s="154"/>
      <c r="AG825" s="420"/>
      <c r="AH825" s="420"/>
      <c r="AI825" s="420"/>
      <c r="AJ825" s="420"/>
      <c r="AK825" s="420"/>
      <c r="AL825" s="420"/>
      <c r="AM825" s="420"/>
      <c r="AN825" s="420"/>
      <c r="AO825" s="420"/>
      <c r="AP825" s="420"/>
      <c r="AQ825" s="420"/>
      <c r="AR825" s="420"/>
      <c r="AS825" s="420"/>
      <c r="AT825" s="420"/>
      <c r="AU825" s="420"/>
      <c r="AV825" s="420"/>
      <c r="AW825" s="420"/>
      <c r="AX825" s="420"/>
      <c r="AY825" s="420"/>
      <c r="AZ825" s="420"/>
      <c r="BA825" s="420"/>
      <c r="BB825" s="154"/>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c r="BY825" s="115"/>
      <c r="BZ825" s="115"/>
      <c r="CA825" s="115"/>
      <c r="CB825" s="115"/>
      <c r="CC825" s="115"/>
      <c r="CD825" s="115"/>
      <c r="CE825" s="115"/>
      <c r="CF825" s="115"/>
      <c r="CG825" s="115"/>
      <c r="CH825" s="115"/>
      <c r="CI825" s="115"/>
      <c r="CJ825" s="115"/>
      <c r="CK825" s="115"/>
      <c r="CL825" s="115"/>
      <c r="CM825" s="115"/>
      <c r="CN825" s="115"/>
      <c r="CO825" s="115"/>
      <c r="CP825" s="115"/>
      <c r="CQ825" s="115"/>
      <c r="CR825" s="115"/>
      <c r="CS825" s="115"/>
      <c r="CT825" s="115"/>
      <c r="CU825" s="115"/>
      <c r="CV825" s="115"/>
      <c r="CW825" s="115"/>
      <c r="CX825" s="115"/>
      <c r="CY825" s="115"/>
      <c r="CZ825" s="115"/>
      <c r="DA825" s="115"/>
      <c r="DB825" s="115"/>
      <c r="DC825" s="115"/>
      <c r="DD825" s="115"/>
      <c r="DE825" s="115"/>
      <c r="DF825" s="115"/>
      <c r="DG825" s="115"/>
    </row>
    <row r="826" spans="1:111" ht="9" customHeight="1">
      <c r="A826" s="154"/>
      <c r="B826" s="154"/>
      <c r="C826" s="154"/>
      <c r="D826" s="154"/>
      <c r="E826" s="154"/>
      <c r="F826" s="154"/>
      <c r="G826" s="154"/>
      <c r="H826" s="154"/>
      <c r="I826" s="154"/>
      <c r="J826" s="154"/>
      <c r="K826" s="154"/>
      <c r="L826" s="154"/>
      <c r="M826" s="154"/>
      <c r="N826" s="154"/>
      <c r="O826" s="154"/>
      <c r="P826" s="154"/>
      <c r="Q826" s="419"/>
      <c r="R826" s="419"/>
      <c r="S826" s="419"/>
      <c r="T826" s="419"/>
      <c r="U826" s="419"/>
      <c r="V826" s="419"/>
      <c r="W826" s="419"/>
      <c r="X826" s="419"/>
      <c r="Y826" s="154"/>
      <c r="Z826" s="154"/>
      <c r="AA826" s="154"/>
      <c r="AB826" s="154"/>
      <c r="AC826" s="154"/>
      <c r="AD826" s="154"/>
      <c r="AE826" s="154"/>
      <c r="AF826" s="154"/>
      <c r="AG826" s="420"/>
      <c r="AH826" s="420"/>
      <c r="AI826" s="420"/>
      <c r="AJ826" s="420"/>
      <c r="AK826" s="420"/>
      <c r="AL826" s="420"/>
      <c r="AM826" s="420"/>
      <c r="AN826" s="420"/>
      <c r="AO826" s="420"/>
      <c r="AP826" s="420"/>
      <c r="AQ826" s="420"/>
      <c r="AR826" s="420"/>
      <c r="AS826" s="420"/>
      <c r="AT826" s="420"/>
      <c r="AU826" s="420"/>
      <c r="AV826" s="420"/>
      <c r="AW826" s="420"/>
      <c r="AX826" s="420"/>
      <c r="AY826" s="420"/>
      <c r="AZ826" s="420"/>
      <c r="BA826" s="420"/>
      <c r="BB826" s="154"/>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c r="BY826" s="115"/>
      <c r="BZ826" s="115"/>
      <c r="CA826" s="115"/>
      <c r="CB826" s="115"/>
      <c r="CC826" s="115"/>
      <c r="CD826" s="115"/>
      <c r="CE826" s="115"/>
      <c r="CF826" s="115"/>
      <c r="CG826" s="115"/>
      <c r="CH826" s="115"/>
      <c r="CI826" s="115"/>
      <c r="CJ826" s="115"/>
      <c r="CK826" s="115"/>
      <c r="CL826" s="115"/>
      <c r="CM826" s="115"/>
      <c r="CN826" s="115"/>
      <c r="CO826" s="115"/>
      <c r="CP826" s="115"/>
      <c r="CQ826" s="115"/>
      <c r="CR826" s="115"/>
      <c r="CS826" s="115"/>
      <c r="CT826" s="115"/>
      <c r="CU826" s="115"/>
      <c r="CV826" s="115"/>
      <c r="CW826" s="115"/>
      <c r="CX826" s="115"/>
      <c r="CY826" s="115"/>
      <c r="CZ826" s="115"/>
      <c r="DA826" s="115"/>
      <c r="DB826" s="115"/>
      <c r="DC826" s="115"/>
      <c r="DD826" s="115"/>
      <c r="DE826" s="115"/>
      <c r="DF826" s="115"/>
      <c r="DG826" s="115"/>
    </row>
    <row r="827" spans="1:111" ht="4.5" customHeight="1">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c r="BY827" s="115"/>
      <c r="BZ827" s="115"/>
      <c r="CA827" s="115"/>
      <c r="CB827" s="115"/>
      <c r="CC827" s="115"/>
      <c r="CD827" s="115"/>
      <c r="CE827" s="115"/>
      <c r="CF827" s="115"/>
      <c r="CG827" s="115"/>
      <c r="CH827" s="115"/>
      <c r="CI827" s="115"/>
      <c r="CJ827" s="115"/>
      <c r="CK827" s="115"/>
      <c r="CL827" s="115"/>
      <c r="CM827" s="115"/>
      <c r="CN827" s="115"/>
      <c r="CO827" s="115"/>
      <c r="CP827" s="115"/>
      <c r="CQ827" s="115"/>
      <c r="CR827" s="115"/>
      <c r="CS827" s="115"/>
      <c r="CT827" s="115"/>
      <c r="CU827" s="115"/>
      <c r="CV827" s="115"/>
      <c r="CW827" s="115"/>
      <c r="CX827" s="115"/>
      <c r="CY827" s="115"/>
      <c r="CZ827" s="115"/>
      <c r="DA827" s="115"/>
      <c r="DB827" s="115"/>
      <c r="DC827" s="115"/>
      <c r="DD827" s="115"/>
      <c r="DE827" s="115"/>
      <c r="DF827" s="115"/>
      <c r="DG827" s="115"/>
    </row>
    <row r="828" spans="1:111" ht="9" customHeight="1">
      <c r="A828" s="154"/>
      <c r="B828" s="154"/>
      <c r="C828" s="154"/>
      <c r="D828" s="154"/>
      <c r="E828" s="154"/>
      <c r="F828" s="154"/>
      <c r="G828" s="154"/>
      <c r="H828" s="154"/>
      <c r="I828" s="154"/>
      <c r="J828" s="416" t="str">
        <f>IF(C806="","","Valor Total (R$):")</f>
        <v/>
      </c>
      <c r="K828" s="416"/>
      <c r="L828" s="416"/>
      <c r="M828" s="416"/>
      <c r="N828" s="416"/>
      <c r="O828" s="416"/>
      <c r="P828" s="154"/>
      <c r="Q828" s="419" t="str">
        <f>IF(Q824="","",Q820*Q824)</f>
        <v/>
      </c>
      <c r="R828" s="419"/>
      <c r="S828" s="419"/>
      <c r="T828" s="419"/>
      <c r="U828" s="419"/>
      <c r="V828" s="419"/>
      <c r="W828" s="419"/>
      <c r="X828" s="419"/>
      <c r="Y828" s="154"/>
      <c r="Z828" s="416" t="str">
        <f>IF(C806="","",IF(J812="52 Equipamentos e Material Permanente","Justificativa e Utilização:",""))</f>
        <v/>
      </c>
      <c r="AA828" s="416"/>
      <c r="AB828" s="416"/>
      <c r="AC828" s="416"/>
      <c r="AD828" s="416"/>
      <c r="AE828" s="416"/>
      <c r="AF828" s="154"/>
      <c r="AG828" s="420"/>
      <c r="AH828" s="420"/>
      <c r="AI828" s="420"/>
      <c r="AJ828" s="420"/>
      <c r="AK828" s="420"/>
      <c r="AL828" s="420"/>
      <c r="AM828" s="420"/>
      <c r="AN828" s="420"/>
      <c r="AO828" s="420"/>
      <c r="AP828" s="420"/>
      <c r="AQ828" s="420"/>
      <c r="AR828" s="420"/>
      <c r="AS828" s="420"/>
      <c r="AT828" s="420"/>
      <c r="AU828" s="420"/>
      <c r="AV828" s="420"/>
      <c r="AW828" s="420"/>
      <c r="AX828" s="420"/>
      <c r="AY828" s="420"/>
      <c r="AZ828" s="420"/>
      <c r="BA828" s="420"/>
      <c r="BB828" s="154"/>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c r="BY828" s="115"/>
      <c r="BZ828" s="115"/>
      <c r="CA828" s="115"/>
      <c r="CB828" s="115"/>
      <c r="CC828" s="115"/>
      <c r="CD828" s="115"/>
      <c r="CE828" s="115"/>
      <c r="CF828" s="115"/>
      <c r="CG828" s="115"/>
      <c r="CH828" s="115"/>
      <c r="CI828" s="115"/>
      <c r="CJ828" s="115"/>
      <c r="CK828" s="115"/>
      <c r="CL828" s="115"/>
      <c r="CM828" s="115"/>
      <c r="CN828" s="115"/>
      <c r="CO828" s="115"/>
      <c r="CP828" s="115"/>
      <c r="CQ828" s="115"/>
      <c r="CR828" s="115"/>
      <c r="CS828" s="115"/>
      <c r="CT828" s="115"/>
      <c r="CU828" s="115"/>
      <c r="CV828" s="115"/>
      <c r="CW828" s="115"/>
      <c r="CX828" s="115"/>
      <c r="CY828" s="115"/>
      <c r="CZ828" s="115"/>
      <c r="DA828" s="115"/>
      <c r="DB828" s="115"/>
      <c r="DC828" s="115"/>
      <c r="DD828" s="115"/>
      <c r="DE828" s="115"/>
      <c r="DF828" s="115"/>
      <c r="DG828" s="115"/>
    </row>
    <row r="829" spans="1:111" ht="9" customHeight="1">
      <c r="A829" s="154"/>
      <c r="B829" s="154"/>
      <c r="C829" s="154"/>
      <c r="D829" s="154"/>
      <c r="E829" s="154"/>
      <c r="F829" s="154"/>
      <c r="G829" s="154"/>
      <c r="H829" s="154"/>
      <c r="I829" s="154"/>
      <c r="J829" s="416"/>
      <c r="K829" s="416"/>
      <c r="L829" s="416"/>
      <c r="M829" s="416"/>
      <c r="N829" s="416"/>
      <c r="O829" s="416"/>
      <c r="P829" s="154"/>
      <c r="Q829" s="419"/>
      <c r="R829" s="419"/>
      <c r="S829" s="419"/>
      <c r="T829" s="419"/>
      <c r="U829" s="419"/>
      <c r="V829" s="419"/>
      <c r="W829" s="419"/>
      <c r="X829" s="419"/>
      <c r="Y829" s="154"/>
      <c r="Z829" s="416"/>
      <c r="AA829" s="416"/>
      <c r="AB829" s="416"/>
      <c r="AC829" s="416"/>
      <c r="AD829" s="416"/>
      <c r="AE829" s="416"/>
      <c r="AF829" s="154"/>
      <c r="AG829" s="420"/>
      <c r="AH829" s="420"/>
      <c r="AI829" s="420"/>
      <c r="AJ829" s="420"/>
      <c r="AK829" s="420"/>
      <c r="AL829" s="420"/>
      <c r="AM829" s="420"/>
      <c r="AN829" s="420"/>
      <c r="AO829" s="420"/>
      <c r="AP829" s="420"/>
      <c r="AQ829" s="420"/>
      <c r="AR829" s="420"/>
      <c r="AS829" s="420"/>
      <c r="AT829" s="420"/>
      <c r="AU829" s="420"/>
      <c r="AV829" s="420"/>
      <c r="AW829" s="420"/>
      <c r="AX829" s="420"/>
      <c r="AY829" s="420"/>
      <c r="AZ829" s="420"/>
      <c r="BA829" s="420"/>
      <c r="BB829" s="154"/>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c r="BY829" s="115"/>
      <c r="BZ829" s="115"/>
      <c r="CA829" s="115"/>
      <c r="CB829" s="115"/>
      <c r="CC829" s="115"/>
      <c r="CD829" s="115"/>
      <c r="CE829" s="115"/>
      <c r="CF829" s="115"/>
      <c r="CG829" s="115"/>
      <c r="CH829" s="115"/>
      <c r="CI829" s="115"/>
      <c r="CJ829" s="115"/>
      <c r="CK829" s="115"/>
      <c r="CL829" s="115"/>
      <c r="CM829" s="115"/>
      <c r="CN829" s="115"/>
      <c r="CO829" s="115"/>
      <c r="CP829" s="115"/>
      <c r="CQ829" s="115"/>
      <c r="CR829" s="115"/>
      <c r="CS829" s="115"/>
      <c r="CT829" s="115"/>
      <c r="CU829" s="115"/>
      <c r="CV829" s="115"/>
      <c r="CW829" s="115"/>
      <c r="CX829" s="115"/>
      <c r="CY829" s="115"/>
      <c r="CZ829" s="115"/>
      <c r="DA829" s="115"/>
      <c r="DB829" s="115"/>
      <c r="DC829" s="115"/>
      <c r="DD829" s="115"/>
      <c r="DE829" s="115"/>
      <c r="DF829" s="115"/>
      <c r="DG829" s="115"/>
    </row>
    <row r="830" spans="1:111" ht="9" customHeight="1">
      <c r="A830" s="154"/>
      <c r="B830" s="154"/>
      <c r="C830" s="154"/>
      <c r="D830" s="154"/>
      <c r="E830" s="154"/>
      <c r="F830" s="154"/>
      <c r="G830" s="154"/>
      <c r="H830" s="154"/>
      <c r="I830" s="154"/>
      <c r="J830" s="154"/>
      <c r="K830" s="154"/>
      <c r="L830" s="154"/>
      <c r="M830" s="154"/>
      <c r="N830" s="154"/>
      <c r="O830" s="154"/>
      <c r="P830" s="154"/>
      <c r="Q830" s="419"/>
      <c r="R830" s="419"/>
      <c r="S830" s="419"/>
      <c r="T830" s="419"/>
      <c r="U830" s="419"/>
      <c r="V830" s="419"/>
      <c r="W830" s="419"/>
      <c r="X830" s="419"/>
      <c r="Y830" s="154"/>
      <c r="Z830" s="154"/>
      <c r="AA830" s="154"/>
      <c r="AB830" s="154"/>
      <c r="AC830" s="154"/>
      <c r="AD830" s="154"/>
      <c r="AE830" s="154"/>
      <c r="AF830" s="154"/>
      <c r="AG830" s="420"/>
      <c r="AH830" s="420"/>
      <c r="AI830" s="420"/>
      <c r="AJ830" s="420"/>
      <c r="AK830" s="420"/>
      <c r="AL830" s="420"/>
      <c r="AM830" s="420"/>
      <c r="AN830" s="420"/>
      <c r="AO830" s="420"/>
      <c r="AP830" s="420"/>
      <c r="AQ830" s="420"/>
      <c r="AR830" s="420"/>
      <c r="AS830" s="420"/>
      <c r="AT830" s="420"/>
      <c r="AU830" s="420"/>
      <c r="AV830" s="420"/>
      <c r="AW830" s="420"/>
      <c r="AX830" s="420"/>
      <c r="AY830" s="420"/>
      <c r="AZ830" s="420"/>
      <c r="BA830" s="420"/>
      <c r="BB830" s="154"/>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c r="BY830" s="115"/>
      <c r="BZ830" s="115"/>
      <c r="CA830" s="115"/>
      <c r="CB830" s="115"/>
      <c r="CC830" s="115"/>
      <c r="CD830" s="115"/>
      <c r="CE830" s="115"/>
      <c r="CF830" s="115"/>
      <c r="CG830" s="115"/>
      <c r="CH830" s="115"/>
      <c r="CI830" s="115"/>
      <c r="CJ830" s="115"/>
      <c r="CK830" s="115"/>
      <c r="CL830" s="115"/>
      <c r="CM830" s="115"/>
      <c r="CN830" s="115"/>
      <c r="CO830" s="115"/>
      <c r="CP830" s="115"/>
      <c r="CQ830" s="115"/>
      <c r="CR830" s="115"/>
      <c r="CS830" s="115"/>
      <c r="CT830" s="115"/>
      <c r="CU830" s="115"/>
      <c r="CV830" s="115"/>
      <c r="CW830" s="115"/>
      <c r="CX830" s="115"/>
      <c r="CY830" s="115"/>
      <c r="CZ830" s="115"/>
      <c r="DA830" s="115"/>
      <c r="DB830" s="115"/>
      <c r="DC830" s="115"/>
      <c r="DD830" s="115"/>
      <c r="DE830" s="115"/>
      <c r="DF830" s="115"/>
      <c r="DG830" s="115"/>
    </row>
    <row r="831" spans="1:111" ht="9" customHeight="1">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420"/>
      <c r="AH831" s="420"/>
      <c r="AI831" s="420"/>
      <c r="AJ831" s="420"/>
      <c r="AK831" s="420"/>
      <c r="AL831" s="420"/>
      <c r="AM831" s="420"/>
      <c r="AN831" s="420"/>
      <c r="AO831" s="420"/>
      <c r="AP831" s="420"/>
      <c r="AQ831" s="420"/>
      <c r="AR831" s="420"/>
      <c r="AS831" s="420"/>
      <c r="AT831" s="420"/>
      <c r="AU831" s="420"/>
      <c r="AV831" s="420"/>
      <c r="AW831" s="420"/>
      <c r="AX831" s="420"/>
      <c r="AY831" s="420"/>
      <c r="AZ831" s="420"/>
      <c r="BA831" s="420"/>
      <c r="BB831" s="154"/>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c r="BY831" s="115"/>
      <c r="BZ831" s="115"/>
      <c r="CA831" s="115"/>
      <c r="CB831" s="115"/>
      <c r="CC831" s="115"/>
      <c r="CD831" s="115"/>
      <c r="CE831" s="115"/>
      <c r="CF831" s="115"/>
      <c r="CG831" s="115"/>
      <c r="CH831" s="115"/>
      <c r="CI831" s="115"/>
      <c r="CJ831" s="115"/>
      <c r="CK831" s="115"/>
      <c r="CL831" s="115"/>
      <c r="CM831" s="115"/>
      <c r="CN831" s="115"/>
      <c r="CO831" s="115"/>
      <c r="CP831" s="115"/>
      <c r="CQ831" s="115"/>
      <c r="CR831" s="115"/>
      <c r="CS831" s="115"/>
      <c r="CT831" s="115"/>
      <c r="CU831" s="115"/>
      <c r="CV831" s="115"/>
      <c r="CW831" s="115"/>
      <c r="CX831" s="115"/>
      <c r="CY831" s="115"/>
      <c r="CZ831" s="115"/>
      <c r="DA831" s="115"/>
      <c r="DB831" s="115"/>
      <c r="DC831" s="115"/>
      <c r="DD831" s="115"/>
      <c r="DE831" s="115"/>
      <c r="DF831" s="115"/>
      <c r="DG831" s="115"/>
    </row>
    <row r="832" spans="1:111" ht="9" customHeight="1">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420"/>
      <c r="AH832" s="420"/>
      <c r="AI832" s="420"/>
      <c r="AJ832" s="420"/>
      <c r="AK832" s="420"/>
      <c r="AL832" s="420"/>
      <c r="AM832" s="420"/>
      <c r="AN832" s="420"/>
      <c r="AO832" s="420"/>
      <c r="AP832" s="420"/>
      <c r="AQ832" s="420"/>
      <c r="AR832" s="420"/>
      <c r="AS832" s="420"/>
      <c r="AT832" s="420"/>
      <c r="AU832" s="420"/>
      <c r="AV832" s="420"/>
      <c r="AW832" s="420"/>
      <c r="AX832" s="420"/>
      <c r="AY832" s="420"/>
      <c r="AZ832" s="420"/>
      <c r="BA832" s="420"/>
      <c r="BB832" s="154"/>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c r="BY832" s="115"/>
      <c r="BZ832" s="115"/>
      <c r="CA832" s="115"/>
      <c r="CB832" s="115"/>
      <c r="CC832" s="115"/>
      <c r="CD832" s="115"/>
      <c r="CE832" s="115"/>
      <c r="CF832" s="115"/>
      <c r="CG832" s="115"/>
      <c r="CH832" s="115"/>
      <c r="CI832" s="115"/>
      <c r="CJ832" s="115"/>
      <c r="CK832" s="115"/>
      <c r="CL832" s="115"/>
      <c r="CM832" s="115"/>
      <c r="CN832" s="115"/>
      <c r="CO832" s="115"/>
      <c r="CP832" s="115"/>
      <c r="CQ832" s="115"/>
      <c r="CR832" s="115"/>
      <c r="CS832" s="115"/>
      <c r="CT832" s="115"/>
      <c r="CU832" s="115"/>
      <c r="CV832" s="115"/>
      <c r="CW832" s="115"/>
      <c r="CX832" s="115"/>
      <c r="CY832" s="115"/>
      <c r="CZ832" s="115"/>
      <c r="DA832" s="115"/>
      <c r="DB832" s="115"/>
      <c r="DC832" s="115"/>
      <c r="DD832" s="115"/>
      <c r="DE832" s="115"/>
      <c r="DF832" s="115"/>
      <c r="DG832" s="115"/>
    </row>
    <row r="833" spans="1:111" ht="9" customHeight="1">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420"/>
      <c r="AH833" s="420"/>
      <c r="AI833" s="420"/>
      <c r="AJ833" s="420"/>
      <c r="AK833" s="420"/>
      <c r="AL833" s="420"/>
      <c r="AM833" s="420"/>
      <c r="AN833" s="420"/>
      <c r="AO833" s="420"/>
      <c r="AP833" s="420"/>
      <c r="AQ833" s="420"/>
      <c r="AR833" s="420"/>
      <c r="AS833" s="420"/>
      <c r="AT833" s="420"/>
      <c r="AU833" s="420"/>
      <c r="AV833" s="420"/>
      <c r="AW833" s="420"/>
      <c r="AX833" s="420"/>
      <c r="AY833" s="420"/>
      <c r="AZ833" s="420"/>
      <c r="BA833" s="420"/>
      <c r="BB833" s="154"/>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c r="BY833" s="115"/>
      <c r="BZ833" s="115"/>
      <c r="CA833" s="115"/>
      <c r="CB833" s="115"/>
      <c r="CC833" s="115"/>
      <c r="CD833" s="115"/>
      <c r="CE833" s="115"/>
      <c r="CF833" s="115"/>
      <c r="CG833" s="115"/>
      <c r="CH833" s="115"/>
      <c r="CI833" s="115"/>
      <c r="CJ833" s="115"/>
      <c r="CK833" s="115"/>
      <c r="CL833" s="115"/>
      <c r="CM833" s="115"/>
      <c r="CN833" s="115"/>
      <c r="CO833" s="115"/>
      <c r="CP833" s="115"/>
      <c r="CQ833" s="115"/>
      <c r="CR833" s="115"/>
      <c r="CS833" s="115"/>
      <c r="CT833" s="115"/>
      <c r="CU833" s="115"/>
      <c r="CV833" s="115"/>
      <c r="CW833" s="115"/>
      <c r="CX833" s="115"/>
      <c r="CY833" s="115"/>
      <c r="CZ833" s="115"/>
      <c r="DA833" s="115"/>
      <c r="DB833" s="115"/>
      <c r="DC833" s="115"/>
      <c r="DD833" s="115"/>
      <c r="DE833" s="115"/>
      <c r="DF833" s="115"/>
      <c r="DG833" s="115"/>
    </row>
    <row r="834" spans="1:111" ht="15" customHeight="1">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c r="BY834" s="115"/>
      <c r="BZ834" s="115"/>
      <c r="CA834" s="115"/>
      <c r="CB834" s="115"/>
      <c r="CC834" s="115"/>
      <c r="CD834" s="115"/>
      <c r="CE834" s="115"/>
      <c r="CF834" s="115"/>
      <c r="CG834" s="115"/>
      <c r="CH834" s="115"/>
      <c r="CI834" s="115"/>
      <c r="CJ834" s="115"/>
      <c r="CK834" s="115"/>
      <c r="CL834" s="115"/>
      <c r="CM834" s="115"/>
      <c r="CN834" s="115"/>
      <c r="CO834" s="115"/>
      <c r="CP834" s="115"/>
      <c r="CQ834" s="115"/>
      <c r="CR834" s="115"/>
      <c r="CS834" s="115"/>
      <c r="CT834" s="115"/>
      <c r="CU834" s="115"/>
      <c r="CV834" s="115"/>
      <c r="CW834" s="115"/>
      <c r="CX834" s="115"/>
      <c r="CY834" s="115"/>
      <c r="CZ834" s="115"/>
      <c r="DA834" s="115"/>
      <c r="DB834" s="115"/>
      <c r="DC834" s="115"/>
      <c r="DD834" s="115"/>
      <c r="DE834" s="115"/>
      <c r="DF834" s="115"/>
      <c r="DG834" s="115"/>
    </row>
    <row r="835" spans="1:111" ht="15" customHeight="1">
      <c r="B835" s="55"/>
      <c r="C835" s="422" t="str">
        <f>IF($AA$165&gt;=24,"DESPESA 24","")</f>
        <v/>
      </c>
      <c r="D835" s="422"/>
      <c r="E835" s="422"/>
      <c r="F835" s="422"/>
      <c r="G835" s="422"/>
      <c r="H835" s="422"/>
      <c r="I835" s="56"/>
      <c r="J835" s="56"/>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141"/>
      <c r="AL835" s="141"/>
      <c r="AM835" s="141"/>
      <c r="AN835" s="141"/>
      <c r="AO835" s="140"/>
      <c r="AP835" s="140"/>
      <c r="AQ835" s="140"/>
      <c r="AR835" s="140"/>
      <c r="AS835" s="142"/>
      <c r="AT835" s="142"/>
      <c r="AU835" s="142"/>
      <c r="AV835" s="142"/>
      <c r="AW835" s="140"/>
      <c r="AX835" s="140"/>
      <c r="AY835" s="140"/>
      <c r="AZ835" s="140"/>
      <c r="BA835" s="140"/>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c r="BY835" s="115"/>
      <c r="BZ835" s="115"/>
      <c r="CA835" s="115"/>
      <c r="CB835" s="115"/>
      <c r="CC835" s="115"/>
      <c r="CD835" s="115"/>
      <c r="CE835" s="115"/>
      <c r="CF835" s="115"/>
      <c r="CG835" s="115"/>
      <c r="CH835" s="115"/>
      <c r="CI835" s="115"/>
      <c r="CJ835" s="115"/>
      <c r="CK835" s="115"/>
      <c r="CL835" s="115"/>
      <c r="CM835" s="115"/>
      <c r="CN835" s="115"/>
      <c r="CO835" s="115"/>
      <c r="CP835" s="115"/>
      <c r="CQ835" s="115"/>
      <c r="CR835" s="115"/>
      <c r="CS835" s="115"/>
      <c r="CT835" s="115"/>
      <c r="CU835" s="115"/>
      <c r="CV835" s="115"/>
      <c r="CW835" s="115"/>
      <c r="CX835" s="115"/>
      <c r="CY835" s="115"/>
      <c r="CZ835" s="115"/>
      <c r="DA835" s="115"/>
      <c r="DB835" s="115"/>
      <c r="DC835" s="115"/>
      <c r="DD835" s="115"/>
      <c r="DE835" s="115"/>
      <c r="DF835" s="115"/>
      <c r="DG835" s="115"/>
    </row>
    <row r="836" spans="1:111" ht="4.5" customHeight="1">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c r="BY836" s="115"/>
      <c r="BZ836" s="115"/>
      <c r="CA836" s="115"/>
      <c r="CB836" s="115"/>
      <c r="CC836" s="115"/>
      <c r="CD836" s="115"/>
      <c r="CE836" s="115"/>
      <c r="CF836" s="115"/>
      <c r="CG836" s="115"/>
      <c r="CH836" s="115"/>
      <c r="CI836" s="115"/>
      <c r="CJ836" s="115"/>
      <c r="CK836" s="115"/>
      <c r="CL836" s="115"/>
      <c r="CM836" s="115"/>
      <c r="CN836" s="115"/>
      <c r="CO836" s="115"/>
      <c r="CP836" s="115"/>
      <c r="CQ836" s="115"/>
      <c r="CR836" s="115"/>
      <c r="CS836" s="115"/>
      <c r="CT836" s="115"/>
      <c r="CU836" s="115"/>
      <c r="CV836" s="115"/>
      <c r="CW836" s="115"/>
      <c r="CX836" s="115"/>
      <c r="CY836" s="115"/>
      <c r="CZ836" s="115"/>
      <c r="DA836" s="115"/>
      <c r="DB836" s="115"/>
      <c r="DC836" s="115"/>
      <c r="DD836" s="115"/>
      <c r="DE836" s="115"/>
      <c r="DF836" s="115"/>
      <c r="DG836" s="115"/>
    </row>
    <row r="837" spans="1:111" ht="9" customHeight="1">
      <c r="C837" s="416" t="str">
        <f>IF(C835="","","Descrição da Despesa:")</f>
        <v/>
      </c>
      <c r="D837" s="416"/>
      <c r="E837" s="416"/>
      <c r="F837" s="416"/>
      <c r="G837" s="416"/>
      <c r="H837" s="416"/>
      <c r="I837" s="60"/>
      <c r="J837" s="421"/>
      <c r="K837" s="421"/>
      <c r="L837" s="421"/>
      <c r="M837" s="421"/>
      <c r="N837" s="421"/>
      <c r="O837" s="421"/>
      <c r="P837" s="421"/>
      <c r="Q837" s="421"/>
      <c r="R837" s="421"/>
      <c r="S837" s="421"/>
      <c r="T837" s="421"/>
      <c r="U837" s="421"/>
      <c r="V837" s="421"/>
      <c r="W837" s="421"/>
      <c r="X837" s="421"/>
      <c r="Y837" s="421"/>
      <c r="Z837" s="421"/>
      <c r="AA837" s="421"/>
      <c r="AB837" s="421"/>
      <c r="AC837" s="421"/>
      <c r="AD837" s="421"/>
      <c r="AE837" s="421"/>
      <c r="AF837" s="421"/>
      <c r="AG837" s="421"/>
      <c r="AH837" s="421"/>
      <c r="AI837" s="421"/>
      <c r="AJ837" s="421"/>
      <c r="AK837" s="421"/>
      <c r="AL837" s="421"/>
      <c r="AM837" s="421"/>
      <c r="AN837" s="421"/>
      <c r="AO837" s="421"/>
      <c r="AP837" s="421"/>
      <c r="AQ837" s="421"/>
      <c r="AR837" s="421"/>
      <c r="AS837" s="421"/>
      <c r="AT837" s="421"/>
      <c r="AU837" s="421"/>
      <c r="AV837" s="421"/>
      <c r="AW837" s="421"/>
      <c r="AX837" s="421"/>
      <c r="AY837" s="421"/>
      <c r="AZ837" s="421"/>
      <c r="BA837" s="421"/>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c r="BY837" s="115"/>
      <c r="BZ837" s="115"/>
      <c r="CA837" s="115"/>
      <c r="CB837" s="115"/>
      <c r="CC837" s="115"/>
      <c r="CD837" s="115"/>
      <c r="CE837" s="115"/>
      <c r="CF837" s="115"/>
      <c r="CG837" s="115"/>
      <c r="CH837" s="115"/>
      <c r="CI837" s="115"/>
      <c r="CJ837" s="115"/>
      <c r="CK837" s="115"/>
      <c r="CL837" s="115"/>
      <c r="CM837" s="115"/>
      <c r="CN837" s="115"/>
      <c r="CO837" s="115"/>
      <c r="CP837" s="115"/>
      <c r="CQ837" s="115"/>
      <c r="CR837" s="115"/>
      <c r="CS837" s="115"/>
      <c r="CT837" s="115"/>
      <c r="CU837" s="115"/>
      <c r="CV837" s="115"/>
      <c r="CW837" s="115"/>
      <c r="CX837" s="115"/>
      <c r="CY837" s="115"/>
      <c r="CZ837" s="115"/>
      <c r="DA837" s="115"/>
      <c r="DB837" s="115"/>
      <c r="DC837" s="115"/>
      <c r="DD837" s="115"/>
      <c r="DE837" s="115"/>
      <c r="DF837" s="115"/>
      <c r="DG837" s="115"/>
    </row>
    <row r="838" spans="1:111" ht="9" customHeight="1">
      <c r="C838" s="416"/>
      <c r="D838" s="416"/>
      <c r="E838" s="416"/>
      <c r="F838" s="416"/>
      <c r="G838" s="416"/>
      <c r="H838" s="416"/>
      <c r="I838" s="60"/>
      <c r="J838" s="421"/>
      <c r="K838" s="421"/>
      <c r="L838" s="421"/>
      <c r="M838" s="421"/>
      <c r="N838" s="421"/>
      <c r="O838" s="421"/>
      <c r="P838" s="421"/>
      <c r="Q838" s="421"/>
      <c r="R838" s="421"/>
      <c r="S838" s="421"/>
      <c r="T838" s="421"/>
      <c r="U838" s="421"/>
      <c r="V838" s="421"/>
      <c r="W838" s="421"/>
      <c r="X838" s="421"/>
      <c r="Y838" s="421"/>
      <c r="Z838" s="421"/>
      <c r="AA838" s="421"/>
      <c r="AB838" s="421"/>
      <c r="AC838" s="421"/>
      <c r="AD838" s="421"/>
      <c r="AE838" s="421"/>
      <c r="AF838" s="421"/>
      <c r="AG838" s="421"/>
      <c r="AH838" s="421"/>
      <c r="AI838" s="421"/>
      <c r="AJ838" s="421"/>
      <c r="AK838" s="421"/>
      <c r="AL838" s="421"/>
      <c r="AM838" s="421"/>
      <c r="AN838" s="421"/>
      <c r="AO838" s="421"/>
      <c r="AP838" s="421"/>
      <c r="AQ838" s="421"/>
      <c r="AR838" s="421"/>
      <c r="AS838" s="421"/>
      <c r="AT838" s="421"/>
      <c r="AU838" s="421"/>
      <c r="AV838" s="421"/>
      <c r="AW838" s="421"/>
      <c r="AX838" s="421"/>
      <c r="AY838" s="421"/>
      <c r="AZ838" s="421"/>
      <c r="BA838" s="421"/>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c r="BY838" s="115"/>
      <c r="BZ838" s="115"/>
      <c r="CA838" s="115"/>
      <c r="CB838" s="115"/>
      <c r="CC838" s="115"/>
      <c r="CD838" s="115"/>
      <c r="CE838" s="115"/>
      <c r="CF838" s="115"/>
      <c r="CG838" s="115"/>
      <c r="CH838" s="115"/>
      <c r="CI838" s="115"/>
      <c r="CJ838" s="115"/>
      <c r="CK838" s="115"/>
      <c r="CL838" s="115"/>
      <c r="CM838" s="115"/>
      <c r="CN838" s="115"/>
      <c r="CO838" s="115"/>
      <c r="CP838" s="115"/>
      <c r="CQ838" s="115"/>
      <c r="CR838" s="115"/>
      <c r="CS838" s="115"/>
      <c r="CT838" s="115"/>
      <c r="CU838" s="115"/>
      <c r="CV838" s="115"/>
      <c r="CW838" s="115"/>
      <c r="CX838" s="115"/>
      <c r="CY838" s="115"/>
      <c r="CZ838" s="115"/>
      <c r="DA838" s="115"/>
      <c r="DB838" s="115"/>
      <c r="DC838" s="115"/>
      <c r="DD838" s="115"/>
      <c r="DE838" s="115"/>
      <c r="DF838" s="115"/>
      <c r="DG838" s="115"/>
    </row>
    <row r="839" spans="1:111" ht="9" customHeight="1">
      <c r="C839" s="416"/>
      <c r="D839" s="416"/>
      <c r="E839" s="416"/>
      <c r="F839" s="416"/>
      <c r="G839" s="416"/>
      <c r="H839" s="416"/>
      <c r="I839" s="60"/>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1"/>
      <c r="AL839" s="421"/>
      <c r="AM839" s="421"/>
      <c r="AN839" s="421"/>
      <c r="AO839" s="421"/>
      <c r="AP839" s="421"/>
      <c r="AQ839" s="421"/>
      <c r="AR839" s="421"/>
      <c r="AS839" s="421"/>
      <c r="AT839" s="421"/>
      <c r="AU839" s="421"/>
      <c r="AV839" s="421"/>
      <c r="AW839" s="421"/>
      <c r="AX839" s="421"/>
      <c r="AY839" s="421"/>
      <c r="AZ839" s="421"/>
      <c r="BA839" s="421"/>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c r="BY839" s="115"/>
      <c r="BZ839" s="115"/>
      <c r="CA839" s="115"/>
      <c r="CB839" s="115"/>
      <c r="CC839" s="115"/>
      <c r="CD839" s="115"/>
      <c r="CE839" s="115"/>
      <c r="CF839" s="115"/>
      <c r="CG839" s="115"/>
      <c r="CH839" s="115"/>
      <c r="CI839" s="115"/>
      <c r="CJ839" s="115"/>
      <c r="CK839" s="115"/>
      <c r="CL839" s="115"/>
      <c r="CM839" s="115"/>
      <c r="CN839" s="115"/>
      <c r="CO839" s="115"/>
      <c r="CP839" s="115"/>
      <c r="CQ839" s="115"/>
      <c r="CR839" s="115"/>
      <c r="CS839" s="115"/>
      <c r="CT839" s="115"/>
      <c r="CU839" s="115"/>
      <c r="CV839" s="115"/>
      <c r="CW839" s="115"/>
      <c r="CX839" s="115"/>
      <c r="CY839" s="115"/>
      <c r="CZ839" s="115"/>
      <c r="DA839" s="115"/>
      <c r="DB839" s="115"/>
      <c r="DC839" s="115"/>
      <c r="DD839" s="115"/>
      <c r="DE839" s="115"/>
      <c r="DF839" s="115"/>
      <c r="DG839" s="115"/>
    </row>
    <row r="840" spans="1:111" ht="4.5" customHeight="1">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c r="BY840" s="115"/>
      <c r="BZ840" s="115"/>
      <c r="CA840" s="115"/>
      <c r="CB840" s="115"/>
      <c r="CC840" s="115"/>
      <c r="CD840" s="115"/>
      <c r="CE840" s="115"/>
      <c r="CF840" s="115"/>
      <c r="CG840" s="115"/>
      <c r="CH840" s="115"/>
      <c r="CI840" s="115"/>
      <c r="CJ840" s="115"/>
      <c r="CK840" s="115"/>
      <c r="CL840" s="115"/>
      <c r="CM840" s="115"/>
      <c r="CN840" s="115"/>
      <c r="CO840" s="115"/>
      <c r="CP840" s="115"/>
      <c r="CQ840" s="115"/>
      <c r="CR840" s="115"/>
      <c r="CS840" s="115"/>
      <c r="CT840" s="115"/>
      <c r="CU840" s="115"/>
      <c r="CV840" s="115"/>
      <c r="CW840" s="115"/>
      <c r="CX840" s="115"/>
      <c r="CY840" s="115"/>
      <c r="CZ840" s="115"/>
      <c r="DA840" s="115"/>
      <c r="DB840" s="115"/>
      <c r="DC840" s="115"/>
      <c r="DD840" s="115"/>
      <c r="DE840" s="115"/>
      <c r="DF840" s="115"/>
      <c r="DG840" s="115"/>
    </row>
    <row r="841" spans="1:111" ht="9" customHeight="1">
      <c r="C841" s="416" t="str">
        <f>IF(C835="","","Elemento de Despesa:")</f>
        <v/>
      </c>
      <c r="D841" s="416"/>
      <c r="E841" s="416"/>
      <c r="F841" s="416"/>
      <c r="G841" s="416"/>
      <c r="H841" s="416"/>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421"/>
      <c r="AL841" s="421"/>
      <c r="AM841" s="421"/>
      <c r="AN841" s="421"/>
      <c r="AO841" s="421"/>
      <c r="AP841" s="421"/>
      <c r="AQ841" s="421"/>
      <c r="AR841" s="421"/>
      <c r="AS841" s="421"/>
      <c r="AT841" s="421"/>
      <c r="AU841" s="421"/>
      <c r="AV841" s="421"/>
      <c r="AW841" s="421"/>
      <c r="AX841" s="421"/>
      <c r="AY841" s="421"/>
      <c r="AZ841" s="421"/>
      <c r="BA841" s="421"/>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c r="BY841" s="115"/>
      <c r="BZ841" s="115"/>
      <c r="CA841" s="115"/>
      <c r="CB841" s="115"/>
      <c r="CC841" s="115"/>
      <c r="CD841" s="115"/>
      <c r="CE841" s="115"/>
      <c r="CF841" s="115"/>
      <c r="CG841" s="115"/>
      <c r="CH841" s="115"/>
      <c r="CI841" s="115"/>
      <c r="CJ841" s="115"/>
      <c r="CK841" s="115"/>
      <c r="CL841" s="115"/>
      <c r="CM841" s="115"/>
      <c r="CN841" s="115"/>
      <c r="CO841" s="115"/>
      <c r="CP841" s="115"/>
      <c r="CQ841" s="115"/>
      <c r="CR841" s="115"/>
      <c r="CS841" s="115"/>
      <c r="CT841" s="115"/>
      <c r="CU841" s="115"/>
      <c r="CV841" s="115"/>
      <c r="CW841" s="115"/>
      <c r="CX841" s="115"/>
      <c r="CY841" s="115"/>
      <c r="CZ841" s="115"/>
      <c r="DA841" s="115"/>
      <c r="DB841" s="115"/>
      <c r="DC841" s="115"/>
      <c r="DD841" s="115"/>
      <c r="DE841" s="115"/>
      <c r="DF841" s="115"/>
      <c r="DG841" s="115"/>
    </row>
    <row r="842" spans="1:111" ht="9" customHeight="1">
      <c r="C842" s="416"/>
      <c r="D842" s="416"/>
      <c r="E842" s="416"/>
      <c r="F842" s="416"/>
      <c r="G842" s="416"/>
      <c r="H842" s="416"/>
      <c r="J842" s="421"/>
      <c r="K842" s="421"/>
      <c r="L842" s="421"/>
      <c r="M842" s="421"/>
      <c r="N842" s="421"/>
      <c r="O842" s="421"/>
      <c r="P842" s="421"/>
      <c r="Q842" s="421"/>
      <c r="R842" s="421"/>
      <c r="S842" s="421"/>
      <c r="T842" s="421"/>
      <c r="U842" s="421"/>
      <c r="V842" s="421"/>
      <c r="W842" s="421"/>
      <c r="X842" s="421"/>
      <c r="Y842" s="421"/>
      <c r="Z842" s="421"/>
      <c r="AA842" s="421"/>
      <c r="AB842" s="421"/>
      <c r="AC842" s="421"/>
      <c r="AD842" s="421"/>
      <c r="AE842" s="421"/>
      <c r="AF842" s="421"/>
      <c r="AG842" s="421"/>
      <c r="AH842" s="421"/>
      <c r="AI842" s="421"/>
      <c r="AJ842" s="421"/>
      <c r="AK842" s="421"/>
      <c r="AL842" s="421"/>
      <c r="AM842" s="421"/>
      <c r="AN842" s="421"/>
      <c r="AO842" s="421"/>
      <c r="AP842" s="421"/>
      <c r="AQ842" s="421"/>
      <c r="AR842" s="421"/>
      <c r="AS842" s="421"/>
      <c r="AT842" s="421"/>
      <c r="AU842" s="421"/>
      <c r="AV842" s="421"/>
      <c r="AW842" s="421"/>
      <c r="AX842" s="421"/>
      <c r="AY842" s="421"/>
      <c r="AZ842" s="421"/>
      <c r="BA842" s="421"/>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c r="BY842" s="115"/>
      <c r="BZ842" s="115"/>
      <c r="CA842" s="115"/>
      <c r="CB842" s="115"/>
      <c r="CC842" s="115"/>
      <c r="CD842" s="115"/>
      <c r="CE842" s="115"/>
      <c r="CF842" s="115"/>
      <c r="CG842" s="115"/>
      <c r="CH842" s="115"/>
      <c r="CI842" s="115"/>
      <c r="CJ842" s="115"/>
      <c r="CK842" s="115"/>
      <c r="CL842" s="115"/>
      <c r="CM842" s="115"/>
      <c r="CN842" s="115"/>
      <c r="CO842" s="115"/>
      <c r="CP842" s="115"/>
      <c r="CQ842" s="115"/>
      <c r="CR842" s="115"/>
      <c r="CS842" s="115"/>
      <c r="CT842" s="115"/>
      <c r="CU842" s="115"/>
      <c r="CV842" s="115"/>
      <c r="CW842" s="115"/>
      <c r="CX842" s="115"/>
      <c r="CY842" s="115"/>
      <c r="CZ842" s="115"/>
      <c r="DA842" s="115"/>
      <c r="DB842" s="115"/>
      <c r="DC842" s="115"/>
      <c r="DD842" s="115"/>
      <c r="DE842" s="115"/>
      <c r="DF842" s="115"/>
      <c r="DG842" s="115"/>
    </row>
    <row r="843" spans="1:111" ht="9" customHeight="1">
      <c r="C843" s="416"/>
      <c r="D843" s="416"/>
      <c r="E843" s="416"/>
      <c r="F843" s="416"/>
      <c r="G843" s="416"/>
      <c r="H843" s="416"/>
      <c r="J843" s="421"/>
      <c r="K843" s="421"/>
      <c r="L843" s="421"/>
      <c r="M843" s="421"/>
      <c r="N843" s="421"/>
      <c r="O843" s="421"/>
      <c r="P843" s="421"/>
      <c r="Q843" s="421"/>
      <c r="R843" s="421"/>
      <c r="S843" s="421"/>
      <c r="T843" s="421"/>
      <c r="U843" s="421"/>
      <c r="V843" s="421"/>
      <c r="W843" s="421"/>
      <c r="X843" s="421"/>
      <c r="Y843" s="421"/>
      <c r="Z843" s="421"/>
      <c r="AA843" s="421"/>
      <c r="AB843" s="421"/>
      <c r="AC843" s="421"/>
      <c r="AD843" s="421"/>
      <c r="AE843" s="421"/>
      <c r="AF843" s="421"/>
      <c r="AG843" s="421"/>
      <c r="AH843" s="421"/>
      <c r="AI843" s="421"/>
      <c r="AJ843" s="421"/>
      <c r="AK843" s="421"/>
      <c r="AL843" s="421"/>
      <c r="AM843" s="421"/>
      <c r="AN843" s="421"/>
      <c r="AO843" s="421"/>
      <c r="AP843" s="421"/>
      <c r="AQ843" s="421"/>
      <c r="AR843" s="421"/>
      <c r="AS843" s="421"/>
      <c r="AT843" s="421"/>
      <c r="AU843" s="421"/>
      <c r="AV843" s="421"/>
      <c r="AW843" s="421"/>
      <c r="AX843" s="421"/>
      <c r="AY843" s="421"/>
      <c r="AZ843" s="421"/>
      <c r="BA843" s="421"/>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c r="BY843" s="115"/>
      <c r="BZ843" s="115"/>
      <c r="CA843" s="115"/>
      <c r="CB843" s="115"/>
      <c r="CC843" s="115"/>
      <c r="CD843" s="115"/>
      <c r="CE843" s="115"/>
      <c r="CF843" s="115"/>
      <c r="CG843" s="115"/>
      <c r="CH843" s="115"/>
      <c r="CI843" s="115"/>
      <c r="CJ843" s="115"/>
      <c r="CK843" s="115"/>
      <c r="CL843" s="115"/>
      <c r="CM843" s="115"/>
      <c r="CN843" s="115"/>
      <c r="CO843" s="115"/>
      <c r="CP843" s="115"/>
      <c r="CQ843" s="115"/>
      <c r="CR843" s="115"/>
      <c r="CS843" s="115"/>
      <c r="CT843" s="115"/>
      <c r="CU843" s="115"/>
      <c r="CV843" s="115"/>
      <c r="CW843" s="115"/>
      <c r="CX843" s="115"/>
      <c r="CY843" s="115"/>
      <c r="CZ843" s="115"/>
      <c r="DA843" s="115"/>
      <c r="DB843" s="115"/>
      <c r="DC843" s="115"/>
      <c r="DD843" s="115"/>
      <c r="DE843" s="115"/>
      <c r="DF843" s="115"/>
      <c r="DG843" s="115"/>
    </row>
    <row r="844" spans="1:111" ht="4.5" customHeight="1">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c r="BY844" s="115"/>
      <c r="BZ844" s="115"/>
      <c r="CA844" s="115"/>
      <c r="CB844" s="115"/>
      <c r="CC844" s="115"/>
      <c r="CD844" s="115"/>
      <c r="CE844" s="115"/>
      <c r="CF844" s="115"/>
      <c r="CG844" s="115"/>
      <c r="CH844" s="115"/>
      <c r="CI844" s="115"/>
      <c r="CJ844" s="115"/>
      <c r="CK844" s="115"/>
      <c r="CL844" s="115"/>
      <c r="CM844" s="115"/>
      <c r="CN844" s="115"/>
      <c r="CO844" s="115"/>
      <c r="CP844" s="115"/>
      <c r="CQ844" s="115"/>
      <c r="CR844" s="115"/>
      <c r="CS844" s="115"/>
      <c r="CT844" s="115"/>
      <c r="CU844" s="115"/>
      <c r="CV844" s="115"/>
      <c r="CW844" s="115"/>
      <c r="CX844" s="115"/>
      <c r="CY844" s="115"/>
      <c r="CZ844" s="115"/>
      <c r="DA844" s="115"/>
      <c r="DB844" s="115"/>
      <c r="DC844" s="115"/>
      <c r="DD844" s="115"/>
      <c r="DE844" s="115"/>
      <c r="DF844" s="115"/>
      <c r="DG844" s="115"/>
    </row>
    <row r="845" spans="1:111" ht="9" customHeight="1">
      <c r="A845" s="61" t="str">
        <f>CONCATENATE(Q845,AC845)</f>
        <v/>
      </c>
      <c r="J845" s="416" t="str">
        <f>IF(C835="","","Meta Vinculada:")</f>
        <v/>
      </c>
      <c r="K845" s="416"/>
      <c r="L845" s="416"/>
      <c r="M845" s="416"/>
      <c r="N845" s="416"/>
      <c r="O845" s="416"/>
      <c r="Q845" s="417"/>
      <c r="R845" s="417"/>
      <c r="S845" s="417"/>
      <c r="T845" s="417"/>
      <c r="U845" s="56"/>
      <c r="V845" s="416" t="str">
        <f>IF(C835="","","Etapa Vinculada:")</f>
        <v/>
      </c>
      <c r="W845" s="416"/>
      <c r="X845" s="416"/>
      <c r="Y845" s="416"/>
      <c r="Z845" s="416"/>
      <c r="AA845" s="416"/>
      <c r="AC845" s="417"/>
      <c r="AD845" s="417"/>
      <c r="AE845" s="417"/>
      <c r="AF845" s="417"/>
      <c r="AG845" s="56"/>
      <c r="AH845" s="56"/>
      <c r="AI845" s="56"/>
      <c r="AJ845" s="56"/>
      <c r="AK845" s="141"/>
      <c r="AL845" s="141"/>
      <c r="AM845" s="141"/>
      <c r="AN845" s="141"/>
      <c r="AO845" s="140"/>
      <c r="AP845" s="140"/>
      <c r="AQ845" s="140"/>
      <c r="AR845" s="140"/>
      <c r="AS845" s="142"/>
      <c r="AT845" s="142"/>
      <c r="AU845" s="142"/>
      <c r="AV845" s="142"/>
      <c r="AW845" s="140"/>
      <c r="AX845" s="140"/>
      <c r="AY845" s="140"/>
      <c r="AZ845" s="140"/>
      <c r="BA845" s="140"/>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c r="BY845" s="115"/>
      <c r="BZ845" s="115"/>
      <c r="CA845" s="115"/>
      <c r="CB845" s="115"/>
      <c r="CC845" s="115"/>
      <c r="CD845" s="115"/>
      <c r="CE845" s="115"/>
      <c r="CF845" s="115"/>
      <c r="CG845" s="115"/>
      <c r="CH845" s="115"/>
      <c r="CI845" s="115"/>
      <c r="CJ845" s="115"/>
      <c r="CK845" s="115"/>
      <c r="CL845" s="115"/>
      <c r="CM845" s="115"/>
      <c r="CN845" s="115"/>
      <c r="CO845" s="115"/>
      <c r="CP845" s="115"/>
      <c r="CQ845" s="115"/>
      <c r="CR845" s="115"/>
      <c r="CS845" s="115"/>
      <c r="CT845" s="115"/>
      <c r="CU845" s="115"/>
      <c r="CV845" s="115"/>
      <c r="CW845" s="115"/>
      <c r="CX845" s="115"/>
      <c r="CY845" s="115"/>
      <c r="CZ845" s="115"/>
      <c r="DA845" s="115"/>
      <c r="DB845" s="115"/>
      <c r="DC845" s="115"/>
      <c r="DD845" s="115"/>
      <c r="DE845" s="115"/>
      <c r="DF845" s="115"/>
      <c r="DG845" s="115"/>
    </row>
    <row r="846" spans="1:111" ht="9" customHeight="1">
      <c r="B846" s="55"/>
      <c r="C846" s="55"/>
      <c r="D846" s="56"/>
      <c r="E846" s="56"/>
      <c r="F846" s="56"/>
      <c r="G846" s="56"/>
      <c r="H846" s="56"/>
      <c r="I846" s="56"/>
      <c r="J846" s="416"/>
      <c r="K846" s="416"/>
      <c r="L846" s="416"/>
      <c r="M846" s="416"/>
      <c r="N846" s="416"/>
      <c r="O846" s="416"/>
      <c r="Q846" s="417"/>
      <c r="R846" s="417"/>
      <c r="S846" s="417"/>
      <c r="T846" s="417"/>
      <c r="U846" s="56"/>
      <c r="V846" s="416"/>
      <c r="W846" s="416"/>
      <c r="X846" s="416"/>
      <c r="Y846" s="416"/>
      <c r="Z846" s="416"/>
      <c r="AA846" s="416"/>
      <c r="AC846" s="417"/>
      <c r="AD846" s="417"/>
      <c r="AE846" s="417"/>
      <c r="AF846" s="417"/>
      <c r="AG846" s="56"/>
      <c r="AH846" s="56"/>
      <c r="AI846" s="56"/>
      <c r="AJ846" s="56"/>
      <c r="AK846" s="141"/>
      <c r="AL846" s="141"/>
      <c r="AM846" s="141"/>
      <c r="AN846" s="141"/>
      <c r="AO846" s="140"/>
      <c r="AP846" s="140"/>
      <c r="AQ846" s="140"/>
      <c r="AR846" s="140"/>
      <c r="AS846" s="142"/>
      <c r="AT846" s="142"/>
      <c r="AU846" s="142"/>
      <c r="AV846" s="142"/>
      <c r="AW846" s="140"/>
      <c r="AX846" s="140"/>
      <c r="AY846" s="140"/>
      <c r="AZ846" s="140"/>
      <c r="BA846" s="140"/>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c r="BY846" s="115"/>
      <c r="BZ846" s="115"/>
      <c r="CA846" s="115"/>
      <c r="CB846" s="115"/>
      <c r="CC846" s="115"/>
      <c r="CD846" s="115"/>
      <c r="CE846" s="115"/>
      <c r="CF846" s="115"/>
      <c r="CG846" s="115"/>
      <c r="CH846" s="115"/>
      <c r="CI846" s="115"/>
      <c r="CJ846" s="115"/>
      <c r="CK846" s="115"/>
      <c r="CL846" s="115"/>
      <c r="CM846" s="115"/>
      <c r="CN846" s="115"/>
      <c r="CO846" s="115"/>
      <c r="CP846" s="115"/>
      <c r="CQ846" s="115"/>
      <c r="CR846" s="115"/>
      <c r="CS846" s="115"/>
      <c r="CT846" s="115"/>
      <c r="CU846" s="115"/>
      <c r="CV846" s="115"/>
      <c r="CW846" s="115"/>
      <c r="CX846" s="115"/>
      <c r="CY846" s="115"/>
      <c r="CZ846" s="115"/>
      <c r="DA846" s="115"/>
      <c r="DB846" s="115"/>
      <c r="DC846" s="115"/>
      <c r="DD846" s="115"/>
      <c r="DE846" s="115"/>
      <c r="DF846" s="115"/>
      <c r="DG846" s="115"/>
    </row>
    <row r="847" spans="1:111" ht="9" customHeight="1">
      <c r="Q847" s="417"/>
      <c r="R847" s="417"/>
      <c r="S847" s="417"/>
      <c r="T847" s="417"/>
      <c r="AC847" s="417"/>
      <c r="AD847" s="417"/>
      <c r="AE847" s="417"/>
      <c r="AF847" s="417"/>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c r="BY847" s="115"/>
      <c r="BZ847" s="115"/>
      <c r="CA847" s="115"/>
      <c r="CB847" s="115"/>
      <c r="CC847" s="115"/>
      <c r="CD847" s="115"/>
      <c r="CE847" s="115"/>
      <c r="CF847" s="115"/>
      <c r="CG847" s="115"/>
      <c r="CH847" s="115"/>
      <c r="CI847" s="115"/>
      <c r="CJ847" s="115"/>
      <c r="CK847" s="115"/>
      <c r="CL847" s="115"/>
      <c r="CM847" s="115"/>
      <c r="CN847" s="115"/>
      <c r="CO847" s="115"/>
      <c r="CP847" s="115"/>
      <c r="CQ847" s="115"/>
      <c r="CR847" s="115"/>
      <c r="CS847" s="115"/>
      <c r="CT847" s="115"/>
      <c r="CU847" s="115"/>
      <c r="CV847" s="115"/>
      <c r="CW847" s="115"/>
      <c r="CX847" s="115"/>
      <c r="CY847" s="115"/>
      <c r="CZ847" s="115"/>
      <c r="DA847" s="115"/>
      <c r="DB847" s="115"/>
      <c r="DC847" s="115"/>
      <c r="DD847" s="115"/>
      <c r="DE847" s="115"/>
      <c r="DF847" s="115"/>
      <c r="DG847" s="115"/>
    </row>
    <row r="848" spans="1:111" ht="4.5" customHeight="1">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c r="BY848" s="115"/>
      <c r="BZ848" s="115"/>
      <c r="CA848" s="115"/>
      <c r="CB848" s="115"/>
      <c r="CC848" s="115"/>
      <c r="CD848" s="115"/>
      <c r="CE848" s="115"/>
      <c r="CF848" s="115"/>
      <c r="CG848" s="115"/>
      <c r="CH848" s="115"/>
      <c r="CI848" s="115"/>
      <c r="CJ848" s="115"/>
      <c r="CK848" s="115"/>
      <c r="CL848" s="115"/>
      <c r="CM848" s="115"/>
      <c r="CN848" s="115"/>
      <c r="CO848" s="115"/>
      <c r="CP848" s="115"/>
      <c r="CQ848" s="115"/>
      <c r="CR848" s="115"/>
      <c r="CS848" s="115"/>
      <c r="CT848" s="115"/>
      <c r="CU848" s="115"/>
      <c r="CV848" s="115"/>
      <c r="CW848" s="115"/>
      <c r="CX848" s="115"/>
      <c r="CY848" s="115"/>
      <c r="CZ848" s="115"/>
      <c r="DA848" s="115"/>
      <c r="DB848" s="115"/>
      <c r="DC848" s="115"/>
      <c r="DD848" s="115"/>
      <c r="DE848" s="115"/>
      <c r="DF848" s="115"/>
      <c r="DG848" s="115"/>
    </row>
    <row r="849" spans="1:111" ht="9" customHeight="1">
      <c r="A849" s="154"/>
      <c r="B849" s="154"/>
      <c r="C849" s="154"/>
      <c r="D849" s="154"/>
      <c r="E849" s="154"/>
      <c r="F849" s="154"/>
      <c r="G849" s="154"/>
      <c r="H849" s="154"/>
      <c r="I849" s="154"/>
      <c r="J849" s="416" t="str">
        <f>IF(C835="","","Quantidade:")</f>
        <v/>
      </c>
      <c r="K849" s="416"/>
      <c r="L849" s="416"/>
      <c r="M849" s="416"/>
      <c r="N849" s="416"/>
      <c r="O849" s="416"/>
      <c r="P849" s="154"/>
      <c r="Q849" s="417"/>
      <c r="R849" s="417"/>
      <c r="S849" s="417"/>
      <c r="T849" s="417"/>
      <c r="U849" s="154"/>
      <c r="V849" s="416" t="str">
        <f>IF(C835="","","Unidade:")</f>
        <v/>
      </c>
      <c r="W849" s="416"/>
      <c r="X849" s="416"/>
      <c r="Y849" s="416"/>
      <c r="Z849" s="416"/>
      <c r="AA849" s="416"/>
      <c r="AB849" s="154"/>
      <c r="AC849" s="418"/>
      <c r="AD849" s="418"/>
      <c r="AE849" s="418"/>
      <c r="AF849" s="418"/>
      <c r="AG849" s="418"/>
      <c r="AH849" s="418"/>
      <c r="AI849" s="418"/>
      <c r="AJ849" s="418"/>
      <c r="AK849" s="418"/>
      <c r="AL849" s="418"/>
      <c r="AM849" s="418"/>
      <c r="AN849" s="418"/>
      <c r="AO849" s="418"/>
      <c r="AP849" s="418"/>
      <c r="AQ849" s="418"/>
      <c r="AR849" s="418"/>
      <c r="AS849" s="418"/>
      <c r="AT849" s="418"/>
      <c r="AU849" s="418"/>
      <c r="AV849" s="418"/>
      <c r="AW849" s="418"/>
      <c r="AX849" s="418"/>
      <c r="AY849" s="418"/>
      <c r="AZ849" s="418"/>
      <c r="BA849" s="418"/>
      <c r="BB849" s="154"/>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c r="BY849" s="115"/>
      <c r="BZ849" s="115"/>
      <c r="CA849" s="115"/>
      <c r="CB849" s="115"/>
      <c r="CC849" s="115"/>
      <c r="CD849" s="115"/>
      <c r="CE849" s="115"/>
      <c r="CF849" s="115"/>
      <c r="CG849" s="115"/>
      <c r="CH849" s="115"/>
      <c r="CI849" s="115"/>
      <c r="CJ849" s="115"/>
      <c r="CK849" s="115"/>
      <c r="CL849" s="115"/>
      <c r="CM849" s="115"/>
      <c r="CN849" s="115"/>
      <c r="CO849" s="115"/>
      <c r="CP849" s="115"/>
      <c r="CQ849" s="115"/>
      <c r="CR849" s="115"/>
      <c r="CS849" s="115"/>
      <c r="CT849" s="115"/>
      <c r="CU849" s="115"/>
      <c r="CV849" s="115"/>
      <c r="CW849" s="115"/>
      <c r="CX849" s="115"/>
      <c r="CY849" s="115"/>
      <c r="CZ849" s="115"/>
      <c r="DA849" s="115"/>
      <c r="DB849" s="115"/>
      <c r="DC849" s="115"/>
      <c r="DD849" s="115"/>
      <c r="DE849" s="115"/>
      <c r="DF849" s="115"/>
      <c r="DG849" s="115"/>
    </row>
    <row r="850" spans="1:111" ht="9" customHeight="1">
      <c r="A850" s="154"/>
      <c r="B850" s="154"/>
      <c r="C850" s="154"/>
      <c r="D850" s="154"/>
      <c r="E850" s="154"/>
      <c r="F850" s="154"/>
      <c r="G850" s="154"/>
      <c r="H850" s="154"/>
      <c r="I850" s="154"/>
      <c r="J850" s="416"/>
      <c r="K850" s="416"/>
      <c r="L850" s="416"/>
      <c r="M850" s="416"/>
      <c r="N850" s="416"/>
      <c r="O850" s="416"/>
      <c r="P850" s="154"/>
      <c r="Q850" s="417"/>
      <c r="R850" s="417"/>
      <c r="S850" s="417"/>
      <c r="T850" s="417"/>
      <c r="U850" s="154"/>
      <c r="V850" s="416"/>
      <c r="W850" s="416"/>
      <c r="X850" s="416"/>
      <c r="Y850" s="416"/>
      <c r="Z850" s="416"/>
      <c r="AA850" s="416"/>
      <c r="AB850" s="154"/>
      <c r="AC850" s="418"/>
      <c r="AD850" s="418"/>
      <c r="AE850" s="418"/>
      <c r="AF850" s="418"/>
      <c r="AG850" s="418"/>
      <c r="AH850" s="418"/>
      <c r="AI850" s="418"/>
      <c r="AJ850" s="418"/>
      <c r="AK850" s="418"/>
      <c r="AL850" s="418"/>
      <c r="AM850" s="418"/>
      <c r="AN850" s="418"/>
      <c r="AO850" s="418"/>
      <c r="AP850" s="418"/>
      <c r="AQ850" s="418"/>
      <c r="AR850" s="418"/>
      <c r="AS850" s="418"/>
      <c r="AT850" s="418"/>
      <c r="AU850" s="418"/>
      <c r="AV850" s="418"/>
      <c r="AW850" s="418"/>
      <c r="AX850" s="418"/>
      <c r="AY850" s="418"/>
      <c r="AZ850" s="418"/>
      <c r="BA850" s="418"/>
      <c r="BB850" s="154"/>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c r="BY850" s="115"/>
      <c r="BZ850" s="115"/>
      <c r="CA850" s="115"/>
      <c r="CB850" s="115"/>
      <c r="CC850" s="115"/>
      <c r="CD850" s="115"/>
      <c r="CE850" s="115"/>
      <c r="CF850" s="115"/>
      <c r="CG850" s="115"/>
      <c r="CH850" s="115"/>
      <c r="CI850" s="115"/>
      <c r="CJ850" s="115"/>
      <c r="CK850" s="115"/>
      <c r="CL850" s="115"/>
      <c r="CM850" s="115"/>
      <c r="CN850" s="115"/>
      <c r="CO850" s="115"/>
      <c r="CP850" s="115"/>
      <c r="CQ850" s="115"/>
      <c r="CR850" s="115"/>
      <c r="CS850" s="115"/>
      <c r="CT850" s="115"/>
      <c r="CU850" s="115"/>
      <c r="CV850" s="115"/>
      <c r="CW850" s="115"/>
      <c r="CX850" s="115"/>
      <c r="CY850" s="115"/>
      <c r="CZ850" s="115"/>
      <c r="DA850" s="115"/>
      <c r="DB850" s="115"/>
      <c r="DC850" s="115"/>
      <c r="DD850" s="115"/>
      <c r="DE850" s="115"/>
      <c r="DF850" s="115"/>
      <c r="DG850" s="115"/>
    </row>
    <row r="851" spans="1:111" ht="9" customHeight="1">
      <c r="A851" s="154"/>
      <c r="B851" s="154"/>
      <c r="C851" s="154"/>
      <c r="D851" s="154"/>
      <c r="E851" s="154"/>
      <c r="F851" s="154"/>
      <c r="G851" s="154"/>
      <c r="H851" s="154"/>
      <c r="I851" s="154"/>
      <c r="J851" s="154"/>
      <c r="K851" s="154"/>
      <c r="L851" s="154"/>
      <c r="M851" s="154"/>
      <c r="N851" s="154"/>
      <c r="O851" s="154"/>
      <c r="P851" s="154"/>
      <c r="Q851" s="417"/>
      <c r="R851" s="417"/>
      <c r="S851" s="417"/>
      <c r="T851" s="417"/>
      <c r="U851" s="154"/>
      <c r="V851" s="154"/>
      <c r="W851" s="154"/>
      <c r="X851" s="154"/>
      <c r="Y851" s="154"/>
      <c r="Z851" s="154"/>
      <c r="AA851" s="154"/>
      <c r="AB851" s="154"/>
      <c r="AC851" s="418"/>
      <c r="AD851" s="418"/>
      <c r="AE851" s="418"/>
      <c r="AF851" s="418"/>
      <c r="AG851" s="418"/>
      <c r="AH851" s="418"/>
      <c r="AI851" s="418"/>
      <c r="AJ851" s="418"/>
      <c r="AK851" s="418"/>
      <c r="AL851" s="418"/>
      <c r="AM851" s="418"/>
      <c r="AN851" s="418"/>
      <c r="AO851" s="418"/>
      <c r="AP851" s="418"/>
      <c r="AQ851" s="418"/>
      <c r="AR851" s="418"/>
      <c r="AS851" s="418"/>
      <c r="AT851" s="418"/>
      <c r="AU851" s="418"/>
      <c r="AV851" s="418"/>
      <c r="AW851" s="418"/>
      <c r="AX851" s="418"/>
      <c r="AY851" s="418"/>
      <c r="AZ851" s="418"/>
      <c r="BA851" s="418"/>
      <c r="BB851" s="154"/>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c r="BY851" s="115"/>
      <c r="BZ851" s="115"/>
      <c r="CA851" s="115"/>
      <c r="CB851" s="115"/>
      <c r="CC851" s="115"/>
      <c r="CD851" s="115"/>
      <c r="CE851" s="115"/>
      <c r="CF851" s="115"/>
      <c r="CG851" s="115"/>
      <c r="CH851" s="115"/>
      <c r="CI851" s="115"/>
      <c r="CJ851" s="115"/>
      <c r="CK851" s="115"/>
      <c r="CL851" s="115"/>
      <c r="CM851" s="115"/>
      <c r="CN851" s="115"/>
      <c r="CO851" s="115"/>
      <c r="CP851" s="115"/>
      <c r="CQ851" s="115"/>
      <c r="CR851" s="115"/>
      <c r="CS851" s="115"/>
      <c r="CT851" s="115"/>
      <c r="CU851" s="115"/>
      <c r="CV851" s="115"/>
      <c r="CW851" s="115"/>
      <c r="CX851" s="115"/>
      <c r="CY851" s="115"/>
      <c r="CZ851" s="115"/>
      <c r="DA851" s="115"/>
      <c r="DB851" s="115"/>
      <c r="DC851" s="115"/>
      <c r="DD851" s="115"/>
      <c r="DE851" s="115"/>
      <c r="DF851" s="115"/>
      <c r="DG851" s="115"/>
    </row>
    <row r="852" spans="1:111" ht="4.5" customHeight="1">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c r="BY852" s="115"/>
      <c r="BZ852" s="115"/>
      <c r="CA852" s="115"/>
      <c r="CB852" s="115"/>
      <c r="CC852" s="115"/>
      <c r="CD852" s="115"/>
      <c r="CE852" s="115"/>
      <c r="CF852" s="115"/>
      <c r="CG852" s="115"/>
      <c r="CH852" s="115"/>
      <c r="CI852" s="115"/>
      <c r="CJ852" s="115"/>
      <c r="CK852" s="115"/>
      <c r="CL852" s="115"/>
      <c r="CM852" s="115"/>
      <c r="CN852" s="115"/>
      <c r="CO852" s="115"/>
      <c r="CP852" s="115"/>
      <c r="CQ852" s="115"/>
      <c r="CR852" s="115"/>
      <c r="CS852" s="115"/>
      <c r="CT852" s="115"/>
      <c r="CU852" s="115"/>
      <c r="CV852" s="115"/>
      <c r="CW852" s="115"/>
      <c r="CX852" s="115"/>
      <c r="CY852" s="115"/>
      <c r="CZ852" s="115"/>
      <c r="DA852" s="115"/>
      <c r="DB852" s="115"/>
      <c r="DC852" s="115"/>
      <c r="DD852" s="115"/>
      <c r="DE852" s="115"/>
      <c r="DF852" s="115"/>
      <c r="DG852" s="115"/>
    </row>
    <row r="853" spans="1:111" ht="9" customHeight="1">
      <c r="A853" s="154"/>
      <c r="B853" s="154"/>
      <c r="C853" s="154"/>
      <c r="D853" s="154"/>
      <c r="E853" s="154"/>
      <c r="F853" s="154"/>
      <c r="G853" s="154"/>
      <c r="H853" s="154"/>
      <c r="I853" s="154"/>
      <c r="J853" s="416" t="str">
        <f>IF(C835="","","Valor Unitário (R$):")</f>
        <v/>
      </c>
      <c r="K853" s="416"/>
      <c r="L853" s="416"/>
      <c r="M853" s="416"/>
      <c r="N853" s="416"/>
      <c r="O853" s="416"/>
      <c r="P853" s="154"/>
      <c r="Q853" s="419"/>
      <c r="R853" s="419"/>
      <c r="S853" s="419"/>
      <c r="T853" s="419"/>
      <c r="U853" s="419"/>
      <c r="V853" s="419"/>
      <c r="W853" s="419"/>
      <c r="X853" s="419"/>
      <c r="Y853" s="154"/>
      <c r="Z853" s="416" t="str">
        <f>IF(C835="","",IF(J841="52 Equipamentos e Material Permanente","Tempo de Uso:",""))</f>
        <v/>
      </c>
      <c r="AA853" s="416"/>
      <c r="AB853" s="416"/>
      <c r="AC853" s="416"/>
      <c r="AD853" s="416"/>
      <c r="AE853" s="416"/>
      <c r="AF853" s="154"/>
      <c r="AG853" s="420"/>
      <c r="AH853" s="420"/>
      <c r="AI853" s="420"/>
      <c r="AJ853" s="420"/>
      <c r="AK853" s="420"/>
      <c r="AL853" s="420"/>
      <c r="AM853" s="420"/>
      <c r="AN853" s="420"/>
      <c r="AO853" s="420"/>
      <c r="AP853" s="420"/>
      <c r="AQ853" s="420"/>
      <c r="AR853" s="420"/>
      <c r="AS853" s="420"/>
      <c r="AT853" s="420"/>
      <c r="AU853" s="420"/>
      <c r="AV853" s="420"/>
      <c r="AW853" s="420"/>
      <c r="AX853" s="420"/>
      <c r="AY853" s="420"/>
      <c r="AZ853" s="420"/>
      <c r="BA853" s="420"/>
      <c r="BB853" s="154"/>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c r="BY853" s="115"/>
      <c r="BZ853" s="115"/>
      <c r="CA853" s="115"/>
      <c r="CB853" s="115"/>
      <c r="CC853" s="115"/>
      <c r="CD853" s="115"/>
      <c r="CE853" s="115"/>
      <c r="CF853" s="115"/>
      <c r="CG853" s="115"/>
      <c r="CH853" s="115"/>
      <c r="CI853" s="115"/>
      <c r="CJ853" s="115"/>
      <c r="CK853" s="115"/>
      <c r="CL853" s="115"/>
      <c r="CM853" s="115"/>
      <c r="CN853" s="115"/>
      <c r="CO853" s="115"/>
      <c r="CP853" s="115"/>
      <c r="CQ853" s="115"/>
      <c r="CR853" s="115"/>
      <c r="CS853" s="115"/>
      <c r="CT853" s="115"/>
      <c r="CU853" s="115"/>
      <c r="CV853" s="115"/>
      <c r="CW853" s="115"/>
      <c r="CX853" s="115"/>
      <c r="CY853" s="115"/>
      <c r="CZ853" s="115"/>
      <c r="DA853" s="115"/>
      <c r="DB853" s="115"/>
      <c r="DC853" s="115"/>
      <c r="DD853" s="115"/>
      <c r="DE853" s="115"/>
      <c r="DF853" s="115"/>
      <c r="DG853" s="115"/>
    </row>
    <row r="854" spans="1:111" ht="9" customHeight="1">
      <c r="A854" s="154"/>
      <c r="B854" s="154"/>
      <c r="C854" s="154"/>
      <c r="D854" s="154"/>
      <c r="E854" s="154"/>
      <c r="F854" s="154"/>
      <c r="G854" s="154"/>
      <c r="H854" s="154"/>
      <c r="I854" s="154"/>
      <c r="J854" s="416"/>
      <c r="K854" s="416"/>
      <c r="L854" s="416"/>
      <c r="M854" s="416"/>
      <c r="N854" s="416"/>
      <c r="O854" s="416"/>
      <c r="P854" s="154"/>
      <c r="Q854" s="419"/>
      <c r="R854" s="419"/>
      <c r="S854" s="419"/>
      <c r="T854" s="419"/>
      <c r="U854" s="419"/>
      <c r="V854" s="419"/>
      <c r="W854" s="419"/>
      <c r="X854" s="419"/>
      <c r="Y854" s="154"/>
      <c r="Z854" s="416"/>
      <c r="AA854" s="416"/>
      <c r="AB854" s="416"/>
      <c r="AC854" s="416"/>
      <c r="AD854" s="416"/>
      <c r="AE854" s="416"/>
      <c r="AF854" s="154"/>
      <c r="AG854" s="420"/>
      <c r="AH854" s="420"/>
      <c r="AI854" s="420"/>
      <c r="AJ854" s="420"/>
      <c r="AK854" s="420"/>
      <c r="AL854" s="420"/>
      <c r="AM854" s="420"/>
      <c r="AN854" s="420"/>
      <c r="AO854" s="420"/>
      <c r="AP854" s="420"/>
      <c r="AQ854" s="420"/>
      <c r="AR854" s="420"/>
      <c r="AS854" s="420"/>
      <c r="AT854" s="420"/>
      <c r="AU854" s="420"/>
      <c r="AV854" s="420"/>
      <c r="AW854" s="420"/>
      <c r="AX854" s="420"/>
      <c r="AY854" s="420"/>
      <c r="AZ854" s="420"/>
      <c r="BA854" s="420"/>
      <c r="BB854" s="154"/>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c r="BY854" s="115"/>
      <c r="BZ854" s="115"/>
      <c r="CA854" s="115"/>
      <c r="CB854" s="115"/>
      <c r="CC854" s="115"/>
      <c r="CD854" s="115"/>
      <c r="CE854" s="115"/>
      <c r="CF854" s="115"/>
      <c r="CG854" s="115"/>
      <c r="CH854" s="115"/>
      <c r="CI854" s="115"/>
      <c r="CJ854" s="115"/>
      <c r="CK854" s="115"/>
      <c r="CL854" s="115"/>
      <c r="CM854" s="115"/>
      <c r="CN854" s="115"/>
      <c r="CO854" s="115"/>
      <c r="CP854" s="115"/>
      <c r="CQ854" s="115"/>
      <c r="CR854" s="115"/>
      <c r="CS854" s="115"/>
      <c r="CT854" s="115"/>
      <c r="CU854" s="115"/>
      <c r="CV854" s="115"/>
      <c r="CW854" s="115"/>
      <c r="CX854" s="115"/>
      <c r="CY854" s="115"/>
      <c r="CZ854" s="115"/>
      <c r="DA854" s="115"/>
      <c r="DB854" s="115"/>
      <c r="DC854" s="115"/>
      <c r="DD854" s="115"/>
      <c r="DE854" s="115"/>
      <c r="DF854" s="115"/>
      <c r="DG854" s="115"/>
    </row>
    <row r="855" spans="1:111" ht="9" customHeight="1">
      <c r="A855" s="154"/>
      <c r="B855" s="154"/>
      <c r="C855" s="154"/>
      <c r="D855" s="154"/>
      <c r="E855" s="154"/>
      <c r="F855" s="154"/>
      <c r="G855" s="154"/>
      <c r="H855" s="154"/>
      <c r="I855" s="154"/>
      <c r="J855" s="154"/>
      <c r="K855" s="154"/>
      <c r="L855" s="154"/>
      <c r="M855" s="154"/>
      <c r="N855" s="154"/>
      <c r="O855" s="154"/>
      <c r="P855" s="154"/>
      <c r="Q855" s="419"/>
      <c r="R855" s="419"/>
      <c r="S855" s="419"/>
      <c r="T855" s="419"/>
      <c r="U855" s="419"/>
      <c r="V855" s="419"/>
      <c r="W855" s="419"/>
      <c r="X855" s="419"/>
      <c r="Y855" s="154"/>
      <c r="Z855" s="154"/>
      <c r="AA855" s="154"/>
      <c r="AB855" s="154"/>
      <c r="AC855" s="154"/>
      <c r="AD855" s="154"/>
      <c r="AE855" s="154"/>
      <c r="AF855" s="154"/>
      <c r="AG855" s="420"/>
      <c r="AH855" s="420"/>
      <c r="AI855" s="420"/>
      <c r="AJ855" s="420"/>
      <c r="AK855" s="420"/>
      <c r="AL855" s="420"/>
      <c r="AM855" s="420"/>
      <c r="AN855" s="420"/>
      <c r="AO855" s="420"/>
      <c r="AP855" s="420"/>
      <c r="AQ855" s="420"/>
      <c r="AR855" s="420"/>
      <c r="AS855" s="420"/>
      <c r="AT855" s="420"/>
      <c r="AU855" s="420"/>
      <c r="AV855" s="420"/>
      <c r="AW855" s="420"/>
      <c r="AX855" s="420"/>
      <c r="AY855" s="420"/>
      <c r="AZ855" s="420"/>
      <c r="BA855" s="420"/>
      <c r="BB855" s="154"/>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c r="BY855" s="115"/>
      <c r="BZ855" s="115"/>
      <c r="CA855" s="115"/>
      <c r="CB855" s="115"/>
      <c r="CC855" s="115"/>
      <c r="CD855" s="115"/>
      <c r="CE855" s="115"/>
      <c r="CF855" s="115"/>
      <c r="CG855" s="115"/>
      <c r="CH855" s="115"/>
      <c r="CI855" s="115"/>
      <c r="CJ855" s="115"/>
      <c r="CK855" s="115"/>
      <c r="CL855" s="115"/>
      <c r="CM855" s="115"/>
      <c r="CN855" s="115"/>
      <c r="CO855" s="115"/>
      <c r="CP855" s="115"/>
      <c r="CQ855" s="115"/>
      <c r="CR855" s="115"/>
      <c r="CS855" s="115"/>
      <c r="CT855" s="115"/>
      <c r="CU855" s="115"/>
      <c r="CV855" s="115"/>
      <c r="CW855" s="115"/>
      <c r="CX855" s="115"/>
      <c r="CY855" s="115"/>
      <c r="CZ855" s="115"/>
      <c r="DA855" s="115"/>
      <c r="DB855" s="115"/>
      <c r="DC855" s="115"/>
      <c r="DD855" s="115"/>
      <c r="DE855" s="115"/>
      <c r="DF855" s="115"/>
      <c r="DG855" s="115"/>
    </row>
    <row r="856" spans="1:111" ht="4.5" customHeight="1">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c r="BY856" s="115"/>
      <c r="BZ856" s="115"/>
      <c r="CA856" s="115"/>
      <c r="CB856" s="115"/>
      <c r="CC856" s="115"/>
      <c r="CD856" s="115"/>
      <c r="CE856" s="115"/>
      <c r="CF856" s="115"/>
      <c r="CG856" s="115"/>
      <c r="CH856" s="115"/>
      <c r="CI856" s="115"/>
      <c r="CJ856" s="115"/>
      <c r="CK856" s="115"/>
      <c r="CL856" s="115"/>
      <c r="CM856" s="115"/>
      <c r="CN856" s="115"/>
      <c r="CO856" s="115"/>
      <c r="CP856" s="115"/>
      <c r="CQ856" s="115"/>
      <c r="CR856" s="115"/>
      <c r="CS856" s="115"/>
      <c r="CT856" s="115"/>
      <c r="CU856" s="115"/>
      <c r="CV856" s="115"/>
      <c r="CW856" s="115"/>
      <c r="CX856" s="115"/>
      <c r="CY856" s="115"/>
      <c r="CZ856" s="115"/>
      <c r="DA856" s="115"/>
      <c r="DB856" s="115"/>
      <c r="DC856" s="115"/>
      <c r="DD856" s="115"/>
      <c r="DE856" s="115"/>
      <c r="DF856" s="115"/>
      <c r="DG856" s="115"/>
    </row>
    <row r="857" spans="1:111" ht="9" customHeight="1">
      <c r="A857" s="154"/>
      <c r="B857" s="154"/>
      <c r="C857" s="154"/>
      <c r="D857" s="154"/>
      <c r="E857" s="154"/>
      <c r="F857" s="154"/>
      <c r="G857" s="154"/>
      <c r="H857" s="154"/>
      <c r="I857" s="154"/>
      <c r="J857" s="416" t="str">
        <f>IF(C835="","","Valor Total (R$):")</f>
        <v/>
      </c>
      <c r="K857" s="416"/>
      <c r="L857" s="416"/>
      <c r="M857" s="416"/>
      <c r="N857" s="416"/>
      <c r="O857" s="416"/>
      <c r="P857" s="154"/>
      <c r="Q857" s="419" t="str">
        <f>IF(Q853="","",Q849*Q853)</f>
        <v/>
      </c>
      <c r="R857" s="419"/>
      <c r="S857" s="419"/>
      <c r="T857" s="419"/>
      <c r="U857" s="419"/>
      <c r="V857" s="419"/>
      <c r="W857" s="419"/>
      <c r="X857" s="419"/>
      <c r="Y857" s="154"/>
      <c r="Z857" s="416" t="str">
        <f>IF(C835="","",IF(J841="52 Equipamentos e Material Permanente","Justificativa e Utilização:",""))</f>
        <v/>
      </c>
      <c r="AA857" s="416"/>
      <c r="AB857" s="416"/>
      <c r="AC857" s="416"/>
      <c r="AD857" s="416"/>
      <c r="AE857" s="416"/>
      <c r="AF857" s="154"/>
      <c r="AG857" s="420"/>
      <c r="AH857" s="420"/>
      <c r="AI857" s="420"/>
      <c r="AJ857" s="420"/>
      <c r="AK857" s="420"/>
      <c r="AL857" s="420"/>
      <c r="AM857" s="420"/>
      <c r="AN857" s="420"/>
      <c r="AO857" s="420"/>
      <c r="AP857" s="420"/>
      <c r="AQ857" s="420"/>
      <c r="AR857" s="420"/>
      <c r="AS857" s="420"/>
      <c r="AT857" s="420"/>
      <c r="AU857" s="420"/>
      <c r="AV857" s="420"/>
      <c r="AW857" s="420"/>
      <c r="AX857" s="420"/>
      <c r="AY857" s="420"/>
      <c r="AZ857" s="420"/>
      <c r="BA857" s="420"/>
      <c r="BB857" s="154"/>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c r="BY857" s="115"/>
      <c r="BZ857" s="115"/>
      <c r="CA857" s="115"/>
      <c r="CB857" s="115"/>
      <c r="CC857" s="115"/>
      <c r="CD857" s="115"/>
      <c r="CE857" s="115"/>
      <c r="CF857" s="115"/>
      <c r="CG857" s="115"/>
      <c r="CH857" s="115"/>
      <c r="CI857" s="115"/>
      <c r="CJ857" s="115"/>
      <c r="CK857" s="115"/>
      <c r="CL857" s="115"/>
      <c r="CM857" s="115"/>
      <c r="CN857" s="115"/>
      <c r="CO857" s="115"/>
      <c r="CP857" s="115"/>
      <c r="CQ857" s="115"/>
      <c r="CR857" s="115"/>
      <c r="CS857" s="115"/>
      <c r="CT857" s="115"/>
      <c r="CU857" s="115"/>
      <c r="CV857" s="115"/>
      <c r="CW857" s="115"/>
      <c r="CX857" s="115"/>
      <c r="CY857" s="115"/>
      <c r="CZ857" s="115"/>
      <c r="DA857" s="115"/>
      <c r="DB857" s="115"/>
      <c r="DC857" s="115"/>
      <c r="DD857" s="115"/>
      <c r="DE857" s="115"/>
      <c r="DF857" s="115"/>
      <c r="DG857" s="115"/>
    </row>
    <row r="858" spans="1:111" ht="9" customHeight="1">
      <c r="A858" s="154"/>
      <c r="B858" s="154"/>
      <c r="C858" s="154"/>
      <c r="D858" s="154"/>
      <c r="E858" s="154"/>
      <c r="F858" s="154"/>
      <c r="G858" s="154"/>
      <c r="H858" s="154"/>
      <c r="I858" s="154"/>
      <c r="J858" s="416"/>
      <c r="K858" s="416"/>
      <c r="L858" s="416"/>
      <c r="M858" s="416"/>
      <c r="N858" s="416"/>
      <c r="O858" s="416"/>
      <c r="P858" s="154"/>
      <c r="Q858" s="419"/>
      <c r="R858" s="419"/>
      <c r="S858" s="419"/>
      <c r="T858" s="419"/>
      <c r="U858" s="419"/>
      <c r="V858" s="419"/>
      <c r="W858" s="419"/>
      <c r="X858" s="419"/>
      <c r="Y858" s="154"/>
      <c r="Z858" s="416"/>
      <c r="AA858" s="416"/>
      <c r="AB858" s="416"/>
      <c r="AC858" s="416"/>
      <c r="AD858" s="416"/>
      <c r="AE858" s="416"/>
      <c r="AF858" s="154"/>
      <c r="AG858" s="420"/>
      <c r="AH858" s="420"/>
      <c r="AI858" s="420"/>
      <c r="AJ858" s="420"/>
      <c r="AK858" s="420"/>
      <c r="AL858" s="420"/>
      <c r="AM858" s="420"/>
      <c r="AN858" s="420"/>
      <c r="AO858" s="420"/>
      <c r="AP858" s="420"/>
      <c r="AQ858" s="420"/>
      <c r="AR858" s="420"/>
      <c r="AS858" s="420"/>
      <c r="AT858" s="420"/>
      <c r="AU858" s="420"/>
      <c r="AV858" s="420"/>
      <c r="AW858" s="420"/>
      <c r="AX858" s="420"/>
      <c r="AY858" s="420"/>
      <c r="AZ858" s="420"/>
      <c r="BA858" s="420"/>
      <c r="BB858" s="154"/>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c r="BY858" s="115"/>
      <c r="BZ858" s="115"/>
      <c r="CA858" s="115"/>
      <c r="CB858" s="115"/>
      <c r="CC858" s="115"/>
      <c r="CD858" s="115"/>
      <c r="CE858" s="115"/>
      <c r="CF858" s="115"/>
      <c r="CG858" s="115"/>
      <c r="CH858" s="115"/>
      <c r="CI858" s="115"/>
      <c r="CJ858" s="115"/>
      <c r="CK858" s="115"/>
      <c r="CL858" s="115"/>
      <c r="CM858" s="115"/>
      <c r="CN858" s="115"/>
      <c r="CO858" s="115"/>
      <c r="CP858" s="115"/>
      <c r="CQ858" s="115"/>
      <c r="CR858" s="115"/>
      <c r="CS858" s="115"/>
      <c r="CT858" s="115"/>
      <c r="CU858" s="115"/>
      <c r="CV858" s="115"/>
      <c r="CW858" s="115"/>
      <c r="CX858" s="115"/>
      <c r="CY858" s="115"/>
      <c r="CZ858" s="115"/>
      <c r="DA858" s="115"/>
      <c r="DB858" s="115"/>
      <c r="DC858" s="115"/>
      <c r="DD858" s="115"/>
      <c r="DE858" s="115"/>
      <c r="DF858" s="115"/>
      <c r="DG858" s="115"/>
    </row>
    <row r="859" spans="1:111" ht="9" customHeight="1">
      <c r="A859" s="154"/>
      <c r="B859" s="154"/>
      <c r="C859" s="154"/>
      <c r="D859" s="154"/>
      <c r="E859" s="154"/>
      <c r="F859" s="154"/>
      <c r="G859" s="154"/>
      <c r="H859" s="154"/>
      <c r="I859" s="154"/>
      <c r="J859" s="154"/>
      <c r="K859" s="154"/>
      <c r="L859" s="154"/>
      <c r="M859" s="154"/>
      <c r="N859" s="154"/>
      <c r="O859" s="154"/>
      <c r="P859" s="154"/>
      <c r="Q859" s="419"/>
      <c r="R859" s="419"/>
      <c r="S859" s="419"/>
      <c r="T859" s="419"/>
      <c r="U859" s="419"/>
      <c r="V859" s="419"/>
      <c r="W859" s="419"/>
      <c r="X859" s="419"/>
      <c r="Y859" s="154"/>
      <c r="Z859" s="154"/>
      <c r="AA859" s="154"/>
      <c r="AB859" s="154"/>
      <c r="AC859" s="154"/>
      <c r="AD859" s="154"/>
      <c r="AE859" s="154"/>
      <c r="AF859" s="154"/>
      <c r="AG859" s="420"/>
      <c r="AH859" s="420"/>
      <c r="AI859" s="420"/>
      <c r="AJ859" s="420"/>
      <c r="AK859" s="420"/>
      <c r="AL859" s="420"/>
      <c r="AM859" s="420"/>
      <c r="AN859" s="420"/>
      <c r="AO859" s="420"/>
      <c r="AP859" s="420"/>
      <c r="AQ859" s="420"/>
      <c r="AR859" s="420"/>
      <c r="AS859" s="420"/>
      <c r="AT859" s="420"/>
      <c r="AU859" s="420"/>
      <c r="AV859" s="420"/>
      <c r="AW859" s="420"/>
      <c r="AX859" s="420"/>
      <c r="AY859" s="420"/>
      <c r="AZ859" s="420"/>
      <c r="BA859" s="420"/>
      <c r="BB859" s="154"/>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c r="BY859" s="115"/>
      <c r="BZ859" s="115"/>
      <c r="CA859" s="115"/>
      <c r="CB859" s="115"/>
      <c r="CC859" s="115"/>
      <c r="CD859" s="115"/>
      <c r="CE859" s="115"/>
      <c r="CF859" s="115"/>
      <c r="CG859" s="115"/>
      <c r="CH859" s="115"/>
      <c r="CI859" s="115"/>
      <c r="CJ859" s="115"/>
      <c r="CK859" s="115"/>
      <c r="CL859" s="115"/>
      <c r="CM859" s="115"/>
      <c r="CN859" s="115"/>
      <c r="CO859" s="115"/>
      <c r="CP859" s="115"/>
      <c r="CQ859" s="115"/>
      <c r="CR859" s="115"/>
      <c r="CS859" s="115"/>
      <c r="CT859" s="115"/>
      <c r="CU859" s="115"/>
      <c r="CV859" s="115"/>
      <c r="CW859" s="115"/>
      <c r="CX859" s="115"/>
      <c r="CY859" s="115"/>
      <c r="CZ859" s="115"/>
      <c r="DA859" s="115"/>
      <c r="DB859" s="115"/>
      <c r="DC859" s="115"/>
      <c r="DD859" s="115"/>
      <c r="DE859" s="115"/>
      <c r="DF859" s="115"/>
      <c r="DG859" s="115"/>
    </row>
    <row r="860" spans="1:111" ht="9" customHeight="1">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420"/>
      <c r="AH860" s="420"/>
      <c r="AI860" s="420"/>
      <c r="AJ860" s="420"/>
      <c r="AK860" s="420"/>
      <c r="AL860" s="420"/>
      <c r="AM860" s="420"/>
      <c r="AN860" s="420"/>
      <c r="AO860" s="420"/>
      <c r="AP860" s="420"/>
      <c r="AQ860" s="420"/>
      <c r="AR860" s="420"/>
      <c r="AS860" s="420"/>
      <c r="AT860" s="420"/>
      <c r="AU860" s="420"/>
      <c r="AV860" s="420"/>
      <c r="AW860" s="420"/>
      <c r="AX860" s="420"/>
      <c r="AY860" s="420"/>
      <c r="AZ860" s="420"/>
      <c r="BA860" s="420"/>
      <c r="BB860" s="154"/>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c r="BY860" s="115"/>
      <c r="BZ860" s="115"/>
      <c r="CA860" s="115"/>
      <c r="CB860" s="115"/>
      <c r="CC860" s="115"/>
      <c r="CD860" s="115"/>
      <c r="CE860" s="115"/>
      <c r="CF860" s="115"/>
      <c r="CG860" s="115"/>
      <c r="CH860" s="115"/>
      <c r="CI860" s="115"/>
      <c r="CJ860" s="115"/>
      <c r="CK860" s="115"/>
      <c r="CL860" s="115"/>
      <c r="CM860" s="115"/>
      <c r="CN860" s="115"/>
      <c r="CO860" s="115"/>
      <c r="CP860" s="115"/>
      <c r="CQ860" s="115"/>
      <c r="CR860" s="115"/>
      <c r="CS860" s="115"/>
      <c r="CT860" s="115"/>
      <c r="CU860" s="115"/>
      <c r="CV860" s="115"/>
      <c r="CW860" s="115"/>
      <c r="CX860" s="115"/>
      <c r="CY860" s="115"/>
      <c r="CZ860" s="115"/>
      <c r="DA860" s="115"/>
      <c r="DB860" s="115"/>
      <c r="DC860" s="115"/>
      <c r="DD860" s="115"/>
      <c r="DE860" s="115"/>
      <c r="DF860" s="115"/>
      <c r="DG860" s="115"/>
    </row>
    <row r="861" spans="1:111" ht="9" customHeight="1">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420"/>
      <c r="AH861" s="420"/>
      <c r="AI861" s="420"/>
      <c r="AJ861" s="420"/>
      <c r="AK861" s="420"/>
      <c r="AL861" s="420"/>
      <c r="AM861" s="420"/>
      <c r="AN861" s="420"/>
      <c r="AO861" s="420"/>
      <c r="AP861" s="420"/>
      <c r="AQ861" s="420"/>
      <c r="AR861" s="420"/>
      <c r="AS861" s="420"/>
      <c r="AT861" s="420"/>
      <c r="AU861" s="420"/>
      <c r="AV861" s="420"/>
      <c r="AW861" s="420"/>
      <c r="AX861" s="420"/>
      <c r="AY861" s="420"/>
      <c r="AZ861" s="420"/>
      <c r="BA861" s="420"/>
      <c r="BB861" s="154"/>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c r="BY861" s="115"/>
      <c r="BZ861" s="115"/>
      <c r="CA861" s="115"/>
      <c r="CB861" s="115"/>
      <c r="CC861" s="115"/>
      <c r="CD861" s="115"/>
      <c r="CE861" s="115"/>
      <c r="CF861" s="115"/>
      <c r="CG861" s="115"/>
      <c r="CH861" s="115"/>
      <c r="CI861" s="115"/>
      <c r="CJ861" s="115"/>
      <c r="CK861" s="115"/>
      <c r="CL861" s="115"/>
      <c r="CM861" s="115"/>
      <c r="CN861" s="115"/>
      <c r="CO861" s="115"/>
      <c r="CP861" s="115"/>
      <c r="CQ861" s="115"/>
      <c r="CR861" s="115"/>
      <c r="CS861" s="115"/>
      <c r="CT861" s="115"/>
      <c r="CU861" s="115"/>
      <c r="CV861" s="115"/>
      <c r="CW861" s="115"/>
      <c r="CX861" s="115"/>
      <c r="CY861" s="115"/>
      <c r="CZ861" s="115"/>
      <c r="DA861" s="115"/>
      <c r="DB861" s="115"/>
      <c r="DC861" s="115"/>
      <c r="DD861" s="115"/>
      <c r="DE861" s="115"/>
      <c r="DF861" s="115"/>
      <c r="DG861" s="115"/>
    </row>
    <row r="862" spans="1:111" ht="9" customHeight="1">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420"/>
      <c r="AH862" s="420"/>
      <c r="AI862" s="420"/>
      <c r="AJ862" s="420"/>
      <c r="AK862" s="420"/>
      <c r="AL862" s="420"/>
      <c r="AM862" s="420"/>
      <c r="AN862" s="420"/>
      <c r="AO862" s="420"/>
      <c r="AP862" s="420"/>
      <c r="AQ862" s="420"/>
      <c r="AR862" s="420"/>
      <c r="AS862" s="420"/>
      <c r="AT862" s="420"/>
      <c r="AU862" s="420"/>
      <c r="AV862" s="420"/>
      <c r="AW862" s="420"/>
      <c r="AX862" s="420"/>
      <c r="AY862" s="420"/>
      <c r="AZ862" s="420"/>
      <c r="BA862" s="420"/>
      <c r="BB862" s="154"/>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c r="BY862" s="115"/>
      <c r="BZ862" s="115"/>
      <c r="CA862" s="115"/>
      <c r="CB862" s="115"/>
      <c r="CC862" s="115"/>
      <c r="CD862" s="115"/>
      <c r="CE862" s="115"/>
      <c r="CF862" s="115"/>
      <c r="CG862" s="115"/>
      <c r="CH862" s="115"/>
      <c r="CI862" s="115"/>
      <c r="CJ862" s="115"/>
      <c r="CK862" s="115"/>
      <c r="CL862" s="115"/>
      <c r="CM862" s="115"/>
      <c r="CN862" s="115"/>
      <c r="CO862" s="115"/>
      <c r="CP862" s="115"/>
      <c r="CQ862" s="115"/>
      <c r="CR862" s="115"/>
      <c r="CS862" s="115"/>
      <c r="CT862" s="115"/>
      <c r="CU862" s="115"/>
      <c r="CV862" s="115"/>
      <c r="CW862" s="115"/>
      <c r="CX862" s="115"/>
      <c r="CY862" s="115"/>
      <c r="CZ862" s="115"/>
      <c r="DA862" s="115"/>
      <c r="DB862" s="115"/>
      <c r="DC862" s="115"/>
      <c r="DD862" s="115"/>
      <c r="DE862" s="115"/>
      <c r="DF862" s="115"/>
      <c r="DG862" s="115"/>
    </row>
    <row r="863" spans="1:111" ht="15" customHeight="1">
      <c r="B863" s="55"/>
      <c r="C863" s="55"/>
      <c r="D863" s="56"/>
      <c r="E863" s="56"/>
      <c r="F863" s="56"/>
      <c r="G863" s="56"/>
      <c r="H863" s="56"/>
      <c r="I863" s="56"/>
      <c r="J863" s="56"/>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141"/>
      <c r="AL863" s="141"/>
      <c r="AM863" s="141"/>
      <c r="AN863" s="141"/>
      <c r="AO863" s="140"/>
      <c r="AP863" s="140"/>
      <c r="AQ863" s="140"/>
      <c r="AR863" s="140"/>
      <c r="AS863" s="142"/>
      <c r="AT863" s="142"/>
      <c r="AU863" s="142"/>
      <c r="AV863" s="142"/>
      <c r="AW863" s="140"/>
      <c r="AX863" s="140"/>
      <c r="AY863" s="140"/>
      <c r="AZ863" s="140"/>
      <c r="BA863" s="140"/>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c r="BY863" s="115"/>
      <c r="BZ863" s="115"/>
      <c r="CA863" s="115"/>
      <c r="CB863" s="115"/>
      <c r="CC863" s="115"/>
      <c r="CD863" s="115"/>
      <c r="CE863" s="115"/>
      <c r="CF863" s="115"/>
      <c r="CG863" s="115"/>
      <c r="CH863" s="115"/>
      <c r="CI863" s="115"/>
      <c r="CJ863" s="115"/>
      <c r="CK863" s="115"/>
      <c r="CL863" s="115"/>
      <c r="CM863" s="115"/>
      <c r="CN863" s="115"/>
      <c r="CO863" s="115"/>
      <c r="CP863" s="115"/>
      <c r="CQ863" s="115"/>
      <c r="CR863" s="115"/>
      <c r="CS863" s="115"/>
      <c r="CT863" s="115"/>
      <c r="CU863" s="115"/>
      <c r="CV863" s="115"/>
      <c r="CW863" s="115"/>
      <c r="CX863" s="115"/>
      <c r="CY863" s="115"/>
      <c r="CZ863" s="115"/>
      <c r="DA863" s="115"/>
      <c r="DB863" s="115"/>
      <c r="DC863" s="115"/>
      <c r="DD863" s="115"/>
      <c r="DE863" s="115"/>
      <c r="DF863" s="115"/>
      <c r="DG863" s="115"/>
    </row>
    <row r="864" spans="1:111" ht="15" customHeight="1">
      <c r="B864" s="55"/>
      <c r="C864" s="422" t="str">
        <f>IF($AA$165&gt;=25,"DESPESA 25","")</f>
        <v/>
      </c>
      <c r="D864" s="422"/>
      <c r="E864" s="422"/>
      <c r="F864" s="422"/>
      <c r="G864" s="422"/>
      <c r="H864" s="422"/>
      <c r="I864" s="56"/>
      <c r="J864" s="56"/>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141"/>
      <c r="AL864" s="141"/>
      <c r="AM864" s="141"/>
      <c r="AN864" s="141"/>
      <c r="AO864" s="140"/>
      <c r="AP864" s="140"/>
      <c r="AQ864" s="140"/>
      <c r="AR864" s="140"/>
      <c r="AS864" s="142"/>
      <c r="AT864" s="142"/>
      <c r="AU864" s="142"/>
      <c r="AV864" s="142"/>
      <c r="AW864" s="140"/>
      <c r="AX864" s="140"/>
      <c r="AY864" s="140"/>
      <c r="AZ864" s="140"/>
      <c r="BA864" s="140"/>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c r="BY864" s="115"/>
      <c r="BZ864" s="115"/>
      <c r="CA864" s="115"/>
      <c r="CB864" s="115"/>
      <c r="CC864" s="115"/>
      <c r="CD864" s="115"/>
      <c r="CE864" s="115"/>
      <c r="CF864" s="115"/>
      <c r="CG864" s="115"/>
      <c r="CH864" s="115"/>
      <c r="CI864" s="115"/>
      <c r="CJ864" s="115"/>
      <c r="CK864" s="115"/>
      <c r="CL864" s="115"/>
      <c r="CM864" s="115"/>
      <c r="CN864" s="115"/>
      <c r="CO864" s="115"/>
      <c r="CP864" s="115"/>
      <c r="CQ864" s="115"/>
      <c r="CR864" s="115"/>
      <c r="CS864" s="115"/>
      <c r="CT864" s="115"/>
      <c r="CU864" s="115"/>
      <c r="CV864" s="115"/>
      <c r="CW864" s="115"/>
      <c r="CX864" s="115"/>
      <c r="CY864" s="115"/>
      <c r="CZ864" s="115"/>
      <c r="DA864" s="115"/>
      <c r="DB864" s="115"/>
      <c r="DC864" s="115"/>
      <c r="DD864" s="115"/>
      <c r="DE864" s="115"/>
      <c r="DF864" s="115"/>
      <c r="DG864" s="115"/>
    </row>
    <row r="865" spans="1:111" ht="4.5" customHeight="1">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c r="BY865" s="115"/>
      <c r="BZ865" s="115"/>
      <c r="CA865" s="115"/>
      <c r="CB865" s="115"/>
      <c r="CC865" s="115"/>
      <c r="CD865" s="115"/>
      <c r="CE865" s="115"/>
      <c r="CF865" s="115"/>
      <c r="CG865" s="115"/>
      <c r="CH865" s="115"/>
      <c r="CI865" s="115"/>
      <c r="CJ865" s="115"/>
      <c r="CK865" s="115"/>
      <c r="CL865" s="115"/>
      <c r="CM865" s="115"/>
      <c r="CN865" s="115"/>
      <c r="CO865" s="115"/>
      <c r="CP865" s="115"/>
      <c r="CQ865" s="115"/>
      <c r="CR865" s="115"/>
      <c r="CS865" s="115"/>
      <c r="CT865" s="115"/>
      <c r="CU865" s="115"/>
      <c r="CV865" s="115"/>
      <c r="CW865" s="115"/>
      <c r="CX865" s="115"/>
      <c r="CY865" s="115"/>
      <c r="CZ865" s="115"/>
      <c r="DA865" s="115"/>
      <c r="DB865" s="115"/>
      <c r="DC865" s="115"/>
      <c r="DD865" s="115"/>
      <c r="DE865" s="115"/>
      <c r="DF865" s="115"/>
      <c r="DG865" s="115"/>
    </row>
    <row r="866" spans="1:111" ht="9" customHeight="1">
      <c r="C866" s="416" t="str">
        <f>IF(C864="","","Descrição da Despesa:")</f>
        <v/>
      </c>
      <c r="D866" s="416"/>
      <c r="E866" s="416"/>
      <c r="F866" s="416"/>
      <c r="G866" s="416"/>
      <c r="H866" s="416"/>
      <c r="I866" s="60"/>
      <c r="J866" s="421"/>
      <c r="K866" s="421"/>
      <c r="L866" s="421"/>
      <c r="M866" s="421"/>
      <c r="N866" s="421"/>
      <c r="O866" s="421"/>
      <c r="P866" s="421"/>
      <c r="Q866" s="421"/>
      <c r="R866" s="421"/>
      <c r="S866" s="421"/>
      <c r="T866" s="421"/>
      <c r="U866" s="421"/>
      <c r="V866" s="421"/>
      <c r="W866" s="421"/>
      <c r="X866" s="421"/>
      <c r="Y866" s="421"/>
      <c r="Z866" s="421"/>
      <c r="AA866" s="421"/>
      <c r="AB866" s="421"/>
      <c r="AC866" s="421"/>
      <c r="AD866" s="421"/>
      <c r="AE866" s="421"/>
      <c r="AF866" s="421"/>
      <c r="AG866" s="421"/>
      <c r="AH866" s="421"/>
      <c r="AI866" s="421"/>
      <c r="AJ866" s="421"/>
      <c r="AK866" s="421"/>
      <c r="AL866" s="421"/>
      <c r="AM866" s="421"/>
      <c r="AN866" s="421"/>
      <c r="AO866" s="421"/>
      <c r="AP866" s="421"/>
      <c r="AQ866" s="421"/>
      <c r="AR866" s="421"/>
      <c r="AS866" s="421"/>
      <c r="AT866" s="421"/>
      <c r="AU866" s="421"/>
      <c r="AV866" s="421"/>
      <c r="AW866" s="421"/>
      <c r="AX866" s="421"/>
      <c r="AY866" s="421"/>
      <c r="AZ866" s="421"/>
      <c r="BA866" s="421"/>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c r="BY866" s="115"/>
      <c r="BZ866" s="115"/>
      <c r="CA866" s="115"/>
      <c r="CB866" s="115"/>
      <c r="CC866" s="115"/>
      <c r="CD866" s="115"/>
      <c r="CE866" s="115"/>
      <c r="CF866" s="115"/>
      <c r="CG866" s="115"/>
      <c r="CH866" s="115"/>
      <c r="CI866" s="115"/>
      <c r="CJ866" s="115"/>
      <c r="CK866" s="115"/>
      <c r="CL866" s="115"/>
      <c r="CM866" s="115"/>
      <c r="CN866" s="115"/>
      <c r="CO866" s="115"/>
      <c r="CP866" s="115"/>
      <c r="CQ866" s="115"/>
      <c r="CR866" s="115"/>
      <c r="CS866" s="115"/>
      <c r="CT866" s="115"/>
      <c r="CU866" s="115"/>
      <c r="CV866" s="115"/>
      <c r="CW866" s="115"/>
      <c r="CX866" s="115"/>
      <c r="CY866" s="115"/>
      <c r="CZ866" s="115"/>
      <c r="DA866" s="115"/>
      <c r="DB866" s="115"/>
      <c r="DC866" s="115"/>
      <c r="DD866" s="115"/>
      <c r="DE866" s="115"/>
      <c r="DF866" s="115"/>
      <c r="DG866" s="115"/>
    </row>
    <row r="867" spans="1:111" ht="9" customHeight="1">
      <c r="C867" s="416"/>
      <c r="D867" s="416"/>
      <c r="E867" s="416"/>
      <c r="F867" s="416"/>
      <c r="G867" s="416"/>
      <c r="H867" s="416"/>
      <c r="I867" s="60"/>
      <c r="J867" s="421"/>
      <c r="K867" s="421"/>
      <c r="L867" s="421"/>
      <c r="M867" s="421"/>
      <c r="N867" s="421"/>
      <c r="O867" s="421"/>
      <c r="P867" s="421"/>
      <c r="Q867" s="421"/>
      <c r="R867" s="421"/>
      <c r="S867" s="421"/>
      <c r="T867" s="421"/>
      <c r="U867" s="421"/>
      <c r="V867" s="421"/>
      <c r="W867" s="421"/>
      <c r="X867" s="421"/>
      <c r="Y867" s="421"/>
      <c r="Z867" s="421"/>
      <c r="AA867" s="421"/>
      <c r="AB867" s="421"/>
      <c r="AC867" s="421"/>
      <c r="AD867" s="421"/>
      <c r="AE867" s="421"/>
      <c r="AF867" s="421"/>
      <c r="AG867" s="421"/>
      <c r="AH867" s="421"/>
      <c r="AI867" s="421"/>
      <c r="AJ867" s="421"/>
      <c r="AK867" s="421"/>
      <c r="AL867" s="421"/>
      <c r="AM867" s="421"/>
      <c r="AN867" s="421"/>
      <c r="AO867" s="421"/>
      <c r="AP867" s="421"/>
      <c r="AQ867" s="421"/>
      <c r="AR867" s="421"/>
      <c r="AS867" s="421"/>
      <c r="AT867" s="421"/>
      <c r="AU867" s="421"/>
      <c r="AV867" s="421"/>
      <c r="AW867" s="421"/>
      <c r="AX867" s="421"/>
      <c r="AY867" s="421"/>
      <c r="AZ867" s="421"/>
      <c r="BA867" s="421"/>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c r="BY867" s="115"/>
      <c r="BZ867" s="115"/>
      <c r="CA867" s="115"/>
      <c r="CB867" s="115"/>
      <c r="CC867" s="115"/>
      <c r="CD867" s="115"/>
      <c r="CE867" s="115"/>
      <c r="CF867" s="115"/>
      <c r="CG867" s="115"/>
      <c r="CH867" s="115"/>
      <c r="CI867" s="115"/>
      <c r="CJ867" s="115"/>
      <c r="CK867" s="115"/>
      <c r="CL867" s="115"/>
      <c r="CM867" s="115"/>
      <c r="CN867" s="115"/>
      <c r="CO867" s="115"/>
      <c r="CP867" s="115"/>
      <c r="CQ867" s="115"/>
      <c r="CR867" s="115"/>
      <c r="CS867" s="115"/>
      <c r="CT867" s="115"/>
      <c r="CU867" s="115"/>
      <c r="CV867" s="115"/>
      <c r="CW867" s="115"/>
      <c r="CX867" s="115"/>
      <c r="CY867" s="115"/>
      <c r="CZ867" s="115"/>
      <c r="DA867" s="115"/>
      <c r="DB867" s="115"/>
      <c r="DC867" s="115"/>
      <c r="DD867" s="115"/>
      <c r="DE867" s="115"/>
      <c r="DF867" s="115"/>
      <c r="DG867" s="115"/>
    </row>
    <row r="868" spans="1:111" ht="9" customHeight="1">
      <c r="C868" s="416"/>
      <c r="D868" s="416"/>
      <c r="E868" s="416"/>
      <c r="F868" s="416"/>
      <c r="G868" s="416"/>
      <c r="H868" s="416"/>
      <c r="I868" s="60"/>
      <c r="J868" s="421"/>
      <c r="K868" s="421"/>
      <c r="L868" s="421"/>
      <c r="M868" s="421"/>
      <c r="N868" s="421"/>
      <c r="O868" s="421"/>
      <c r="P868" s="421"/>
      <c r="Q868" s="421"/>
      <c r="R868" s="421"/>
      <c r="S868" s="421"/>
      <c r="T868" s="421"/>
      <c r="U868" s="421"/>
      <c r="V868" s="421"/>
      <c r="W868" s="421"/>
      <c r="X868" s="421"/>
      <c r="Y868" s="421"/>
      <c r="Z868" s="421"/>
      <c r="AA868" s="421"/>
      <c r="AB868" s="421"/>
      <c r="AC868" s="421"/>
      <c r="AD868" s="421"/>
      <c r="AE868" s="421"/>
      <c r="AF868" s="421"/>
      <c r="AG868" s="421"/>
      <c r="AH868" s="421"/>
      <c r="AI868" s="421"/>
      <c r="AJ868" s="421"/>
      <c r="AK868" s="421"/>
      <c r="AL868" s="421"/>
      <c r="AM868" s="421"/>
      <c r="AN868" s="421"/>
      <c r="AO868" s="421"/>
      <c r="AP868" s="421"/>
      <c r="AQ868" s="421"/>
      <c r="AR868" s="421"/>
      <c r="AS868" s="421"/>
      <c r="AT868" s="421"/>
      <c r="AU868" s="421"/>
      <c r="AV868" s="421"/>
      <c r="AW868" s="421"/>
      <c r="AX868" s="421"/>
      <c r="AY868" s="421"/>
      <c r="AZ868" s="421"/>
      <c r="BA868" s="421"/>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c r="BY868" s="115"/>
      <c r="BZ868" s="115"/>
      <c r="CA868" s="115"/>
      <c r="CB868" s="115"/>
      <c r="CC868" s="115"/>
      <c r="CD868" s="115"/>
      <c r="CE868" s="115"/>
      <c r="CF868" s="115"/>
      <c r="CG868" s="115"/>
      <c r="CH868" s="115"/>
      <c r="CI868" s="115"/>
      <c r="CJ868" s="115"/>
      <c r="CK868" s="115"/>
      <c r="CL868" s="115"/>
      <c r="CM868" s="115"/>
      <c r="CN868" s="115"/>
      <c r="CO868" s="115"/>
      <c r="CP868" s="115"/>
      <c r="CQ868" s="115"/>
      <c r="CR868" s="115"/>
      <c r="CS868" s="115"/>
      <c r="CT868" s="115"/>
      <c r="CU868" s="115"/>
      <c r="CV868" s="115"/>
      <c r="CW868" s="115"/>
      <c r="CX868" s="115"/>
      <c r="CY868" s="115"/>
      <c r="CZ868" s="115"/>
      <c r="DA868" s="115"/>
      <c r="DB868" s="115"/>
      <c r="DC868" s="115"/>
      <c r="DD868" s="115"/>
      <c r="DE868" s="115"/>
      <c r="DF868" s="115"/>
      <c r="DG868" s="115"/>
    </row>
    <row r="869" spans="1:111" ht="4.5" customHeight="1">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c r="BY869" s="115"/>
      <c r="BZ869" s="115"/>
      <c r="CA869" s="115"/>
      <c r="CB869" s="115"/>
      <c r="CC869" s="115"/>
      <c r="CD869" s="115"/>
      <c r="CE869" s="115"/>
      <c r="CF869" s="115"/>
      <c r="CG869" s="115"/>
      <c r="CH869" s="115"/>
      <c r="CI869" s="115"/>
      <c r="CJ869" s="115"/>
      <c r="CK869" s="115"/>
      <c r="CL869" s="115"/>
      <c r="CM869" s="115"/>
      <c r="CN869" s="115"/>
      <c r="CO869" s="115"/>
      <c r="CP869" s="115"/>
      <c r="CQ869" s="115"/>
      <c r="CR869" s="115"/>
      <c r="CS869" s="115"/>
      <c r="CT869" s="115"/>
      <c r="CU869" s="115"/>
      <c r="CV869" s="115"/>
      <c r="CW869" s="115"/>
      <c r="CX869" s="115"/>
      <c r="CY869" s="115"/>
      <c r="CZ869" s="115"/>
      <c r="DA869" s="115"/>
      <c r="DB869" s="115"/>
      <c r="DC869" s="115"/>
      <c r="DD869" s="115"/>
      <c r="DE869" s="115"/>
      <c r="DF869" s="115"/>
      <c r="DG869" s="115"/>
    </row>
    <row r="870" spans="1:111" ht="9" customHeight="1">
      <c r="C870" s="416" t="str">
        <f>IF(C864="","","Elemento de Despesa:")</f>
        <v/>
      </c>
      <c r="D870" s="416"/>
      <c r="E870" s="416"/>
      <c r="F870" s="416"/>
      <c r="G870" s="416"/>
      <c r="H870" s="416"/>
      <c r="J870" s="421"/>
      <c r="K870" s="421"/>
      <c r="L870" s="421"/>
      <c r="M870" s="421"/>
      <c r="N870" s="421"/>
      <c r="O870" s="421"/>
      <c r="P870" s="421"/>
      <c r="Q870" s="421"/>
      <c r="R870" s="421"/>
      <c r="S870" s="421"/>
      <c r="T870" s="421"/>
      <c r="U870" s="421"/>
      <c r="V870" s="421"/>
      <c r="W870" s="421"/>
      <c r="X870" s="421"/>
      <c r="Y870" s="421"/>
      <c r="Z870" s="421"/>
      <c r="AA870" s="421"/>
      <c r="AB870" s="421"/>
      <c r="AC870" s="421"/>
      <c r="AD870" s="421"/>
      <c r="AE870" s="421"/>
      <c r="AF870" s="421"/>
      <c r="AG870" s="421"/>
      <c r="AH870" s="421"/>
      <c r="AI870" s="421"/>
      <c r="AJ870" s="421"/>
      <c r="AK870" s="421"/>
      <c r="AL870" s="421"/>
      <c r="AM870" s="421"/>
      <c r="AN870" s="421"/>
      <c r="AO870" s="421"/>
      <c r="AP870" s="421"/>
      <c r="AQ870" s="421"/>
      <c r="AR870" s="421"/>
      <c r="AS870" s="421"/>
      <c r="AT870" s="421"/>
      <c r="AU870" s="421"/>
      <c r="AV870" s="421"/>
      <c r="AW870" s="421"/>
      <c r="AX870" s="421"/>
      <c r="AY870" s="421"/>
      <c r="AZ870" s="421"/>
      <c r="BA870" s="421"/>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c r="BY870" s="115"/>
      <c r="BZ870" s="115"/>
      <c r="CA870" s="115"/>
      <c r="CB870" s="115"/>
      <c r="CC870" s="115"/>
      <c r="CD870" s="115"/>
      <c r="CE870" s="115"/>
      <c r="CF870" s="115"/>
      <c r="CG870" s="115"/>
      <c r="CH870" s="115"/>
      <c r="CI870" s="115"/>
      <c r="CJ870" s="115"/>
      <c r="CK870" s="115"/>
      <c r="CL870" s="115"/>
      <c r="CM870" s="115"/>
      <c r="CN870" s="115"/>
      <c r="CO870" s="115"/>
      <c r="CP870" s="115"/>
      <c r="CQ870" s="115"/>
      <c r="CR870" s="115"/>
      <c r="CS870" s="115"/>
      <c r="CT870" s="115"/>
      <c r="CU870" s="115"/>
      <c r="CV870" s="115"/>
      <c r="CW870" s="115"/>
      <c r="CX870" s="115"/>
      <c r="CY870" s="115"/>
      <c r="CZ870" s="115"/>
      <c r="DA870" s="115"/>
      <c r="DB870" s="115"/>
      <c r="DC870" s="115"/>
      <c r="DD870" s="115"/>
      <c r="DE870" s="115"/>
      <c r="DF870" s="115"/>
      <c r="DG870" s="115"/>
    </row>
    <row r="871" spans="1:111" ht="9" customHeight="1">
      <c r="C871" s="416"/>
      <c r="D871" s="416"/>
      <c r="E871" s="416"/>
      <c r="F871" s="416"/>
      <c r="G871" s="416"/>
      <c r="H871" s="416"/>
      <c r="J871" s="421"/>
      <c r="K871" s="421"/>
      <c r="L871" s="421"/>
      <c r="M871" s="421"/>
      <c r="N871" s="421"/>
      <c r="O871" s="421"/>
      <c r="P871" s="421"/>
      <c r="Q871" s="421"/>
      <c r="R871" s="421"/>
      <c r="S871" s="421"/>
      <c r="T871" s="421"/>
      <c r="U871" s="421"/>
      <c r="V871" s="421"/>
      <c r="W871" s="421"/>
      <c r="X871" s="421"/>
      <c r="Y871" s="421"/>
      <c r="Z871" s="421"/>
      <c r="AA871" s="421"/>
      <c r="AB871" s="421"/>
      <c r="AC871" s="421"/>
      <c r="AD871" s="421"/>
      <c r="AE871" s="421"/>
      <c r="AF871" s="421"/>
      <c r="AG871" s="421"/>
      <c r="AH871" s="421"/>
      <c r="AI871" s="421"/>
      <c r="AJ871" s="421"/>
      <c r="AK871" s="421"/>
      <c r="AL871" s="421"/>
      <c r="AM871" s="421"/>
      <c r="AN871" s="421"/>
      <c r="AO871" s="421"/>
      <c r="AP871" s="421"/>
      <c r="AQ871" s="421"/>
      <c r="AR871" s="421"/>
      <c r="AS871" s="421"/>
      <c r="AT871" s="421"/>
      <c r="AU871" s="421"/>
      <c r="AV871" s="421"/>
      <c r="AW871" s="421"/>
      <c r="AX871" s="421"/>
      <c r="AY871" s="421"/>
      <c r="AZ871" s="421"/>
      <c r="BA871" s="421"/>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c r="BY871" s="115"/>
      <c r="BZ871" s="115"/>
      <c r="CA871" s="115"/>
      <c r="CB871" s="115"/>
      <c r="CC871" s="115"/>
      <c r="CD871" s="115"/>
      <c r="CE871" s="115"/>
      <c r="CF871" s="115"/>
      <c r="CG871" s="115"/>
      <c r="CH871" s="115"/>
      <c r="CI871" s="115"/>
      <c r="CJ871" s="115"/>
      <c r="CK871" s="115"/>
      <c r="CL871" s="115"/>
      <c r="CM871" s="115"/>
      <c r="CN871" s="115"/>
      <c r="CO871" s="115"/>
      <c r="CP871" s="115"/>
      <c r="CQ871" s="115"/>
      <c r="CR871" s="115"/>
      <c r="CS871" s="115"/>
      <c r="CT871" s="115"/>
      <c r="CU871" s="115"/>
      <c r="CV871" s="115"/>
      <c r="CW871" s="115"/>
      <c r="CX871" s="115"/>
      <c r="CY871" s="115"/>
      <c r="CZ871" s="115"/>
      <c r="DA871" s="115"/>
      <c r="DB871" s="115"/>
      <c r="DC871" s="115"/>
      <c r="DD871" s="115"/>
      <c r="DE871" s="115"/>
      <c r="DF871" s="115"/>
      <c r="DG871" s="115"/>
    </row>
    <row r="872" spans="1:111" ht="9" customHeight="1">
      <c r="C872" s="416"/>
      <c r="D872" s="416"/>
      <c r="E872" s="416"/>
      <c r="F872" s="416"/>
      <c r="G872" s="416"/>
      <c r="H872" s="416"/>
      <c r="J872" s="421"/>
      <c r="K872" s="421"/>
      <c r="L872" s="421"/>
      <c r="M872" s="421"/>
      <c r="N872" s="421"/>
      <c r="O872" s="421"/>
      <c r="P872" s="421"/>
      <c r="Q872" s="421"/>
      <c r="R872" s="421"/>
      <c r="S872" s="421"/>
      <c r="T872" s="421"/>
      <c r="U872" s="421"/>
      <c r="V872" s="421"/>
      <c r="W872" s="421"/>
      <c r="X872" s="421"/>
      <c r="Y872" s="421"/>
      <c r="Z872" s="421"/>
      <c r="AA872" s="421"/>
      <c r="AB872" s="421"/>
      <c r="AC872" s="421"/>
      <c r="AD872" s="421"/>
      <c r="AE872" s="421"/>
      <c r="AF872" s="421"/>
      <c r="AG872" s="421"/>
      <c r="AH872" s="421"/>
      <c r="AI872" s="421"/>
      <c r="AJ872" s="421"/>
      <c r="AK872" s="421"/>
      <c r="AL872" s="421"/>
      <c r="AM872" s="421"/>
      <c r="AN872" s="421"/>
      <c r="AO872" s="421"/>
      <c r="AP872" s="421"/>
      <c r="AQ872" s="421"/>
      <c r="AR872" s="421"/>
      <c r="AS872" s="421"/>
      <c r="AT872" s="421"/>
      <c r="AU872" s="421"/>
      <c r="AV872" s="421"/>
      <c r="AW872" s="421"/>
      <c r="AX872" s="421"/>
      <c r="AY872" s="421"/>
      <c r="AZ872" s="421"/>
      <c r="BA872" s="421"/>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c r="BY872" s="115"/>
      <c r="BZ872" s="115"/>
      <c r="CA872" s="115"/>
      <c r="CB872" s="115"/>
      <c r="CC872" s="115"/>
      <c r="CD872" s="115"/>
      <c r="CE872" s="115"/>
      <c r="CF872" s="115"/>
      <c r="CG872" s="115"/>
      <c r="CH872" s="115"/>
      <c r="CI872" s="115"/>
      <c r="CJ872" s="115"/>
      <c r="CK872" s="115"/>
      <c r="CL872" s="115"/>
      <c r="CM872" s="115"/>
      <c r="CN872" s="115"/>
      <c r="CO872" s="115"/>
      <c r="CP872" s="115"/>
      <c r="CQ872" s="115"/>
      <c r="CR872" s="115"/>
      <c r="CS872" s="115"/>
      <c r="CT872" s="115"/>
      <c r="CU872" s="115"/>
      <c r="CV872" s="115"/>
      <c r="CW872" s="115"/>
      <c r="CX872" s="115"/>
      <c r="CY872" s="115"/>
      <c r="CZ872" s="115"/>
      <c r="DA872" s="115"/>
      <c r="DB872" s="115"/>
      <c r="DC872" s="115"/>
      <c r="DD872" s="115"/>
      <c r="DE872" s="115"/>
      <c r="DF872" s="115"/>
      <c r="DG872" s="115"/>
    </row>
    <row r="873" spans="1:111" ht="4.5" customHeight="1">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c r="BY873" s="115"/>
      <c r="BZ873" s="115"/>
      <c r="CA873" s="115"/>
      <c r="CB873" s="115"/>
      <c r="CC873" s="115"/>
      <c r="CD873" s="115"/>
      <c r="CE873" s="115"/>
      <c r="CF873" s="115"/>
      <c r="CG873" s="115"/>
      <c r="CH873" s="115"/>
      <c r="CI873" s="115"/>
      <c r="CJ873" s="115"/>
      <c r="CK873" s="115"/>
      <c r="CL873" s="115"/>
      <c r="CM873" s="115"/>
      <c r="CN873" s="115"/>
      <c r="CO873" s="115"/>
      <c r="CP873" s="115"/>
      <c r="CQ873" s="115"/>
      <c r="CR873" s="115"/>
      <c r="CS873" s="115"/>
      <c r="CT873" s="115"/>
      <c r="CU873" s="115"/>
      <c r="CV873" s="115"/>
      <c r="CW873" s="115"/>
      <c r="CX873" s="115"/>
      <c r="CY873" s="115"/>
      <c r="CZ873" s="115"/>
      <c r="DA873" s="115"/>
      <c r="DB873" s="115"/>
      <c r="DC873" s="115"/>
      <c r="DD873" s="115"/>
      <c r="DE873" s="115"/>
      <c r="DF873" s="115"/>
      <c r="DG873" s="115"/>
    </row>
    <row r="874" spans="1:111" ht="9" customHeight="1">
      <c r="A874" s="61" t="str">
        <f>CONCATENATE(Q874,AC874)</f>
        <v/>
      </c>
      <c r="J874" s="416" t="str">
        <f>IF(C864="","","Meta Vinculada:")</f>
        <v/>
      </c>
      <c r="K874" s="416"/>
      <c r="L874" s="416"/>
      <c r="M874" s="416"/>
      <c r="N874" s="416"/>
      <c r="O874" s="416"/>
      <c r="Q874" s="417"/>
      <c r="R874" s="417"/>
      <c r="S874" s="417"/>
      <c r="T874" s="417"/>
      <c r="U874" s="56"/>
      <c r="V874" s="416" t="str">
        <f>IF(C864="","","Etapa Vinculada:")</f>
        <v/>
      </c>
      <c r="W874" s="416"/>
      <c r="X874" s="416"/>
      <c r="Y874" s="416"/>
      <c r="Z874" s="416"/>
      <c r="AA874" s="416"/>
      <c r="AC874" s="417"/>
      <c r="AD874" s="417"/>
      <c r="AE874" s="417"/>
      <c r="AF874" s="417"/>
      <c r="AG874" s="56"/>
      <c r="AH874" s="56"/>
      <c r="AI874" s="56"/>
      <c r="AJ874" s="56"/>
      <c r="AK874" s="141"/>
      <c r="AL874" s="141"/>
      <c r="AM874" s="141"/>
      <c r="AN874" s="141"/>
      <c r="AO874" s="140"/>
      <c r="AP874" s="140"/>
      <c r="AQ874" s="140"/>
      <c r="AR874" s="140"/>
      <c r="AS874" s="142"/>
      <c r="AT874" s="142"/>
      <c r="AU874" s="142"/>
      <c r="AV874" s="142"/>
      <c r="AW874" s="140"/>
      <c r="AX874" s="140"/>
      <c r="AY874" s="140"/>
      <c r="AZ874" s="140"/>
      <c r="BA874" s="140"/>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c r="BY874" s="115"/>
      <c r="BZ874" s="115"/>
      <c r="CA874" s="115"/>
      <c r="CB874" s="115"/>
      <c r="CC874" s="115"/>
      <c r="CD874" s="115"/>
      <c r="CE874" s="115"/>
      <c r="CF874" s="115"/>
      <c r="CG874" s="115"/>
      <c r="CH874" s="115"/>
      <c r="CI874" s="115"/>
      <c r="CJ874" s="115"/>
      <c r="CK874" s="115"/>
      <c r="CL874" s="115"/>
      <c r="CM874" s="115"/>
      <c r="CN874" s="115"/>
      <c r="CO874" s="115"/>
      <c r="CP874" s="115"/>
      <c r="CQ874" s="115"/>
      <c r="CR874" s="115"/>
      <c r="CS874" s="115"/>
      <c r="CT874" s="115"/>
      <c r="CU874" s="115"/>
      <c r="CV874" s="115"/>
      <c r="CW874" s="115"/>
      <c r="CX874" s="115"/>
      <c r="CY874" s="115"/>
      <c r="CZ874" s="115"/>
      <c r="DA874" s="115"/>
      <c r="DB874" s="115"/>
      <c r="DC874" s="115"/>
      <c r="DD874" s="115"/>
      <c r="DE874" s="115"/>
      <c r="DF874" s="115"/>
      <c r="DG874" s="115"/>
    </row>
    <row r="875" spans="1:111" ht="9" customHeight="1">
      <c r="B875" s="55"/>
      <c r="C875" s="55"/>
      <c r="D875" s="56"/>
      <c r="E875" s="56"/>
      <c r="F875" s="56"/>
      <c r="G875" s="56"/>
      <c r="H875" s="56"/>
      <c r="I875" s="56"/>
      <c r="J875" s="416"/>
      <c r="K875" s="416"/>
      <c r="L875" s="416"/>
      <c r="M875" s="416"/>
      <c r="N875" s="416"/>
      <c r="O875" s="416"/>
      <c r="Q875" s="417"/>
      <c r="R875" s="417"/>
      <c r="S875" s="417"/>
      <c r="T875" s="417"/>
      <c r="U875" s="56"/>
      <c r="V875" s="416"/>
      <c r="W875" s="416"/>
      <c r="X875" s="416"/>
      <c r="Y875" s="416"/>
      <c r="Z875" s="416"/>
      <c r="AA875" s="416"/>
      <c r="AC875" s="417"/>
      <c r="AD875" s="417"/>
      <c r="AE875" s="417"/>
      <c r="AF875" s="417"/>
      <c r="AG875" s="56"/>
      <c r="AH875" s="56"/>
      <c r="AI875" s="56"/>
      <c r="AJ875" s="56"/>
      <c r="AK875" s="141"/>
      <c r="AL875" s="141"/>
      <c r="AM875" s="141"/>
      <c r="AN875" s="141"/>
      <c r="AO875" s="140"/>
      <c r="AP875" s="140"/>
      <c r="AQ875" s="140"/>
      <c r="AR875" s="140"/>
      <c r="AS875" s="142"/>
      <c r="AT875" s="142"/>
      <c r="AU875" s="142"/>
      <c r="AV875" s="142"/>
      <c r="AW875" s="140"/>
      <c r="AX875" s="140"/>
      <c r="AY875" s="140"/>
      <c r="AZ875" s="140"/>
      <c r="BA875" s="140"/>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c r="BY875" s="115"/>
      <c r="BZ875" s="115"/>
      <c r="CA875" s="115"/>
      <c r="CB875" s="115"/>
      <c r="CC875" s="115"/>
      <c r="CD875" s="115"/>
      <c r="CE875" s="115"/>
      <c r="CF875" s="115"/>
      <c r="CG875" s="115"/>
      <c r="CH875" s="115"/>
      <c r="CI875" s="115"/>
      <c r="CJ875" s="115"/>
      <c r="CK875" s="115"/>
      <c r="CL875" s="115"/>
      <c r="CM875" s="115"/>
      <c r="CN875" s="115"/>
      <c r="CO875" s="115"/>
      <c r="CP875" s="115"/>
      <c r="CQ875" s="115"/>
      <c r="CR875" s="115"/>
      <c r="CS875" s="115"/>
      <c r="CT875" s="115"/>
      <c r="CU875" s="115"/>
      <c r="CV875" s="115"/>
      <c r="CW875" s="115"/>
      <c r="CX875" s="115"/>
      <c r="CY875" s="115"/>
      <c r="CZ875" s="115"/>
      <c r="DA875" s="115"/>
      <c r="DB875" s="115"/>
      <c r="DC875" s="115"/>
      <c r="DD875" s="115"/>
      <c r="DE875" s="115"/>
      <c r="DF875" s="115"/>
      <c r="DG875" s="115"/>
    </row>
    <row r="876" spans="1:111" ht="9" customHeight="1">
      <c r="Q876" s="417"/>
      <c r="R876" s="417"/>
      <c r="S876" s="417"/>
      <c r="T876" s="417"/>
      <c r="AC876" s="417"/>
      <c r="AD876" s="417"/>
      <c r="AE876" s="417"/>
      <c r="AF876" s="417"/>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c r="BY876" s="115"/>
      <c r="BZ876" s="115"/>
      <c r="CA876" s="115"/>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5"/>
      <c r="DD876" s="115"/>
      <c r="DE876" s="115"/>
      <c r="DF876" s="115"/>
      <c r="DG876" s="115"/>
    </row>
    <row r="877" spans="1:111" ht="4.5" customHeight="1">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c r="BY877" s="115"/>
      <c r="BZ877" s="115"/>
      <c r="CA877" s="115"/>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5"/>
      <c r="DD877" s="115"/>
      <c r="DE877" s="115"/>
      <c r="DF877" s="115"/>
      <c r="DG877" s="115"/>
    </row>
    <row r="878" spans="1:111" ht="9" customHeight="1">
      <c r="A878" s="154"/>
      <c r="B878" s="154"/>
      <c r="C878" s="154"/>
      <c r="D878" s="154"/>
      <c r="E878" s="154"/>
      <c r="F878" s="154"/>
      <c r="G878" s="154"/>
      <c r="H878" s="154"/>
      <c r="I878" s="154"/>
      <c r="J878" s="416" t="str">
        <f>IF(C864="","","Quantidade:")</f>
        <v/>
      </c>
      <c r="K878" s="416"/>
      <c r="L878" s="416"/>
      <c r="M878" s="416"/>
      <c r="N878" s="416"/>
      <c r="O878" s="416"/>
      <c r="P878" s="154"/>
      <c r="Q878" s="417"/>
      <c r="R878" s="417"/>
      <c r="S878" s="417"/>
      <c r="T878" s="417"/>
      <c r="U878" s="154"/>
      <c r="V878" s="416" t="str">
        <f>IF(C864="","","Unidade:")</f>
        <v/>
      </c>
      <c r="W878" s="416"/>
      <c r="X878" s="416"/>
      <c r="Y878" s="416"/>
      <c r="Z878" s="416"/>
      <c r="AA878" s="416"/>
      <c r="AB878" s="154"/>
      <c r="AC878" s="418"/>
      <c r="AD878" s="418"/>
      <c r="AE878" s="418"/>
      <c r="AF878" s="418"/>
      <c r="AG878" s="418"/>
      <c r="AH878" s="418"/>
      <c r="AI878" s="418"/>
      <c r="AJ878" s="418"/>
      <c r="AK878" s="418"/>
      <c r="AL878" s="418"/>
      <c r="AM878" s="418"/>
      <c r="AN878" s="418"/>
      <c r="AO878" s="418"/>
      <c r="AP878" s="418"/>
      <c r="AQ878" s="418"/>
      <c r="AR878" s="418"/>
      <c r="AS878" s="418"/>
      <c r="AT878" s="418"/>
      <c r="AU878" s="418"/>
      <c r="AV878" s="418"/>
      <c r="AW878" s="418"/>
      <c r="AX878" s="418"/>
      <c r="AY878" s="418"/>
      <c r="AZ878" s="418"/>
      <c r="BA878" s="418"/>
      <c r="BB878" s="154"/>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c r="BY878" s="115"/>
      <c r="BZ878" s="115"/>
      <c r="CA878" s="115"/>
      <c r="CB878" s="115"/>
      <c r="CC878" s="115"/>
      <c r="CD878" s="115"/>
      <c r="CE878" s="115"/>
      <c r="CF878" s="115"/>
      <c r="CG878" s="115"/>
      <c r="CH878" s="115"/>
      <c r="CI878" s="115"/>
      <c r="CJ878" s="115"/>
      <c r="CK878" s="115"/>
      <c r="CL878" s="115"/>
      <c r="CM878" s="115"/>
      <c r="CN878" s="115"/>
      <c r="CO878" s="115"/>
      <c r="CP878" s="115"/>
      <c r="CQ878" s="115"/>
      <c r="CR878" s="115"/>
      <c r="CS878" s="115"/>
      <c r="CT878" s="115"/>
      <c r="CU878" s="115"/>
      <c r="CV878" s="115"/>
      <c r="CW878" s="115"/>
      <c r="CX878" s="115"/>
      <c r="CY878" s="115"/>
      <c r="CZ878" s="115"/>
      <c r="DA878" s="115"/>
      <c r="DB878" s="115"/>
      <c r="DC878" s="115"/>
      <c r="DD878" s="115"/>
      <c r="DE878" s="115"/>
      <c r="DF878" s="115"/>
      <c r="DG878" s="115"/>
    </row>
    <row r="879" spans="1:111" ht="9" customHeight="1">
      <c r="A879" s="154"/>
      <c r="B879" s="154"/>
      <c r="C879" s="154"/>
      <c r="D879" s="154"/>
      <c r="E879" s="154"/>
      <c r="F879" s="154"/>
      <c r="G879" s="154"/>
      <c r="H879" s="154"/>
      <c r="I879" s="154"/>
      <c r="J879" s="416"/>
      <c r="K879" s="416"/>
      <c r="L879" s="416"/>
      <c r="M879" s="416"/>
      <c r="N879" s="416"/>
      <c r="O879" s="416"/>
      <c r="P879" s="154"/>
      <c r="Q879" s="417"/>
      <c r="R879" s="417"/>
      <c r="S879" s="417"/>
      <c r="T879" s="417"/>
      <c r="U879" s="154"/>
      <c r="V879" s="416"/>
      <c r="W879" s="416"/>
      <c r="X879" s="416"/>
      <c r="Y879" s="416"/>
      <c r="Z879" s="416"/>
      <c r="AA879" s="416"/>
      <c r="AB879" s="154"/>
      <c r="AC879" s="418"/>
      <c r="AD879" s="418"/>
      <c r="AE879" s="418"/>
      <c r="AF879" s="418"/>
      <c r="AG879" s="418"/>
      <c r="AH879" s="418"/>
      <c r="AI879" s="418"/>
      <c r="AJ879" s="418"/>
      <c r="AK879" s="418"/>
      <c r="AL879" s="418"/>
      <c r="AM879" s="418"/>
      <c r="AN879" s="418"/>
      <c r="AO879" s="418"/>
      <c r="AP879" s="418"/>
      <c r="AQ879" s="418"/>
      <c r="AR879" s="418"/>
      <c r="AS879" s="418"/>
      <c r="AT879" s="418"/>
      <c r="AU879" s="418"/>
      <c r="AV879" s="418"/>
      <c r="AW879" s="418"/>
      <c r="AX879" s="418"/>
      <c r="AY879" s="418"/>
      <c r="AZ879" s="418"/>
      <c r="BA879" s="418"/>
      <c r="BB879" s="154"/>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c r="BY879" s="115"/>
      <c r="BZ879" s="115"/>
      <c r="CA879" s="115"/>
      <c r="CB879" s="115"/>
      <c r="CC879" s="115"/>
      <c r="CD879" s="115"/>
      <c r="CE879" s="115"/>
      <c r="CF879" s="115"/>
      <c r="CG879" s="115"/>
      <c r="CH879" s="115"/>
      <c r="CI879" s="115"/>
      <c r="CJ879" s="115"/>
      <c r="CK879" s="115"/>
      <c r="CL879" s="115"/>
      <c r="CM879" s="115"/>
      <c r="CN879" s="115"/>
      <c r="CO879" s="115"/>
      <c r="CP879" s="115"/>
      <c r="CQ879" s="115"/>
      <c r="CR879" s="115"/>
      <c r="CS879" s="115"/>
      <c r="CT879" s="115"/>
      <c r="CU879" s="115"/>
      <c r="CV879" s="115"/>
      <c r="CW879" s="115"/>
      <c r="CX879" s="115"/>
      <c r="CY879" s="115"/>
      <c r="CZ879" s="115"/>
      <c r="DA879" s="115"/>
      <c r="DB879" s="115"/>
      <c r="DC879" s="115"/>
      <c r="DD879" s="115"/>
      <c r="DE879" s="115"/>
      <c r="DF879" s="115"/>
      <c r="DG879" s="115"/>
    </row>
    <row r="880" spans="1:111" ht="9" customHeight="1">
      <c r="A880" s="154"/>
      <c r="B880" s="154"/>
      <c r="C880" s="154"/>
      <c r="D880" s="154"/>
      <c r="E880" s="154"/>
      <c r="F880" s="154"/>
      <c r="G880" s="154"/>
      <c r="H880" s="154"/>
      <c r="I880" s="154"/>
      <c r="J880" s="154"/>
      <c r="K880" s="154"/>
      <c r="L880" s="154"/>
      <c r="M880" s="154"/>
      <c r="N880" s="154"/>
      <c r="O880" s="154"/>
      <c r="P880" s="154"/>
      <c r="Q880" s="417"/>
      <c r="R880" s="417"/>
      <c r="S880" s="417"/>
      <c r="T880" s="417"/>
      <c r="U880" s="154"/>
      <c r="V880" s="154"/>
      <c r="W880" s="154"/>
      <c r="X880" s="154"/>
      <c r="Y880" s="154"/>
      <c r="Z880" s="154"/>
      <c r="AA880" s="154"/>
      <c r="AB880" s="154"/>
      <c r="AC880" s="418"/>
      <c r="AD880" s="418"/>
      <c r="AE880" s="418"/>
      <c r="AF880" s="418"/>
      <c r="AG880" s="418"/>
      <c r="AH880" s="418"/>
      <c r="AI880" s="418"/>
      <c r="AJ880" s="418"/>
      <c r="AK880" s="418"/>
      <c r="AL880" s="418"/>
      <c r="AM880" s="418"/>
      <c r="AN880" s="418"/>
      <c r="AO880" s="418"/>
      <c r="AP880" s="418"/>
      <c r="AQ880" s="418"/>
      <c r="AR880" s="418"/>
      <c r="AS880" s="418"/>
      <c r="AT880" s="418"/>
      <c r="AU880" s="418"/>
      <c r="AV880" s="418"/>
      <c r="AW880" s="418"/>
      <c r="AX880" s="418"/>
      <c r="AY880" s="418"/>
      <c r="AZ880" s="418"/>
      <c r="BA880" s="418"/>
      <c r="BB880" s="154"/>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c r="BY880" s="115"/>
      <c r="BZ880" s="115"/>
      <c r="CA880" s="115"/>
      <c r="CB880" s="115"/>
      <c r="CC880" s="115"/>
      <c r="CD880" s="115"/>
      <c r="CE880" s="115"/>
      <c r="CF880" s="115"/>
      <c r="CG880" s="115"/>
      <c r="CH880" s="115"/>
      <c r="CI880" s="115"/>
      <c r="CJ880" s="115"/>
      <c r="CK880" s="115"/>
      <c r="CL880" s="115"/>
      <c r="CM880" s="115"/>
      <c r="CN880" s="115"/>
      <c r="CO880" s="115"/>
      <c r="CP880" s="115"/>
      <c r="CQ880" s="115"/>
      <c r="CR880" s="115"/>
      <c r="CS880" s="115"/>
      <c r="CT880" s="115"/>
      <c r="CU880" s="115"/>
      <c r="CV880" s="115"/>
      <c r="CW880" s="115"/>
      <c r="CX880" s="115"/>
      <c r="CY880" s="115"/>
      <c r="CZ880" s="115"/>
      <c r="DA880" s="115"/>
      <c r="DB880" s="115"/>
      <c r="DC880" s="115"/>
      <c r="DD880" s="115"/>
      <c r="DE880" s="115"/>
      <c r="DF880" s="115"/>
      <c r="DG880" s="115"/>
    </row>
    <row r="881" spans="1:111" ht="4.5" customHeight="1">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c r="BY881" s="115"/>
      <c r="BZ881" s="115"/>
      <c r="CA881" s="115"/>
      <c r="CB881" s="115"/>
      <c r="CC881" s="115"/>
      <c r="CD881" s="115"/>
      <c r="CE881" s="115"/>
      <c r="CF881" s="115"/>
      <c r="CG881" s="115"/>
      <c r="CH881" s="115"/>
      <c r="CI881" s="115"/>
      <c r="CJ881" s="115"/>
      <c r="CK881" s="115"/>
      <c r="CL881" s="115"/>
      <c r="CM881" s="115"/>
      <c r="CN881" s="115"/>
      <c r="CO881" s="115"/>
      <c r="CP881" s="115"/>
      <c r="CQ881" s="115"/>
      <c r="CR881" s="115"/>
      <c r="CS881" s="115"/>
      <c r="CT881" s="115"/>
      <c r="CU881" s="115"/>
      <c r="CV881" s="115"/>
      <c r="CW881" s="115"/>
      <c r="CX881" s="115"/>
      <c r="CY881" s="115"/>
      <c r="CZ881" s="115"/>
      <c r="DA881" s="115"/>
      <c r="DB881" s="115"/>
      <c r="DC881" s="115"/>
      <c r="DD881" s="115"/>
      <c r="DE881" s="115"/>
      <c r="DF881" s="115"/>
      <c r="DG881" s="115"/>
    </row>
    <row r="882" spans="1:111" ht="9" customHeight="1">
      <c r="A882" s="154"/>
      <c r="B882" s="154"/>
      <c r="C882" s="154"/>
      <c r="D882" s="154"/>
      <c r="E882" s="154"/>
      <c r="F882" s="154"/>
      <c r="G882" s="154"/>
      <c r="H882" s="154"/>
      <c r="I882" s="154"/>
      <c r="J882" s="416" t="str">
        <f>IF(C864="","","Valor Unitário (R$):")</f>
        <v/>
      </c>
      <c r="K882" s="416"/>
      <c r="L882" s="416"/>
      <c r="M882" s="416"/>
      <c r="N882" s="416"/>
      <c r="O882" s="416"/>
      <c r="P882" s="154"/>
      <c r="Q882" s="419"/>
      <c r="R882" s="419"/>
      <c r="S882" s="419"/>
      <c r="T882" s="419"/>
      <c r="U882" s="419"/>
      <c r="V882" s="419"/>
      <c r="W882" s="419"/>
      <c r="X882" s="419"/>
      <c r="Y882" s="154"/>
      <c r="Z882" s="416" t="str">
        <f>IF(C864="","",IF(J870="52 Equipamentos e Material Permanente","Tempo de Uso:",""))</f>
        <v/>
      </c>
      <c r="AA882" s="416"/>
      <c r="AB882" s="416"/>
      <c r="AC882" s="416"/>
      <c r="AD882" s="416"/>
      <c r="AE882" s="416"/>
      <c r="AF882" s="154"/>
      <c r="AG882" s="420"/>
      <c r="AH882" s="420"/>
      <c r="AI882" s="420"/>
      <c r="AJ882" s="420"/>
      <c r="AK882" s="420"/>
      <c r="AL882" s="420"/>
      <c r="AM882" s="420"/>
      <c r="AN882" s="420"/>
      <c r="AO882" s="420"/>
      <c r="AP882" s="420"/>
      <c r="AQ882" s="420"/>
      <c r="AR882" s="420"/>
      <c r="AS882" s="420"/>
      <c r="AT882" s="420"/>
      <c r="AU882" s="420"/>
      <c r="AV882" s="420"/>
      <c r="AW882" s="420"/>
      <c r="AX882" s="420"/>
      <c r="AY882" s="420"/>
      <c r="AZ882" s="420"/>
      <c r="BA882" s="420"/>
      <c r="BB882" s="154"/>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c r="BY882" s="115"/>
      <c r="BZ882" s="115"/>
      <c r="CA882" s="115"/>
      <c r="CB882" s="115"/>
      <c r="CC882" s="115"/>
      <c r="CD882" s="115"/>
      <c r="CE882" s="115"/>
      <c r="CF882" s="115"/>
      <c r="CG882" s="115"/>
      <c r="CH882" s="115"/>
      <c r="CI882" s="115"/>
      <c r="CJ882" s="115"/>
      <c r="CK882" s="115"/>
      <c r="CL882" s="115"/>
      <c r="CM882" s="115"/>
      <c r="CN882" s="115"/>
      <c r="CO882" s="115"/>
      <c r="CP882" s="115"/>
      <c r="CQ882" s="115"/>
      <c r="CR882" s="115"/>
      <c r="CS882" s="115"/>
      <c r="CT882" s="115"/>
      <c r="CU882" s="115"/>
      <c r="CV882" s="115"/>
      <c r="CW882" s="115"/>
      <c r="CX882" s="115"/>
      <c r="CY882" s="115"/>
      <c r="CZ882" s="115"/>
      <c r="DA882" s="115"/>
      <c r="DB882" s="115"/>
      <c r="DC882" s="115"/>
      <c r="DD882" s="115"/>
      <c r="DE882" s="115"/>
      <c r="DF882" s="115"/>
      <c r="DG882" s="115"/>
    </row>
    <row r="883" spans="1:111" ht="9" customHeight="1">
      <c r="A883" s="154"/>
      <c r="B883" s="154"/>
      <c r="C883" s="154"/>
      <c r="D883" s="154"/>
      <c r="E883" s="154"/>
      <c r="F883" s="154"/>
      <c r="G883" s="154"/>
      <c r="H883" s="154"/>
      <c r="I883" s="154"/>
      <c r="J883" s="416"/>
      <c r="K883" s="416"/>
      <c r="L883" s="416"/>
      <c r="M883" s="416"/>
      <c r="N883" s="416"/>
      <c r="O883" s="416"/>
      <c r="P883" s="154"/>
      <c r="Q883" s="419"/>
      <c r="R883" s="419"/>
      <c r="S883" s="419"/>
      <c r="T883" s="419"/>
      <c r="U883" s="419"/>
      <c r="V883" s="419"/>
      <c r="W883" s="419"/>
      <c r="X883" s="419"/>
      <c r="Y883" s="154"/>
      <c r="Z883" s="416"/>
      <c r="AA883" s="416"/>
      <c r="AB883" s="416"/>
      <c r="AC883" s="416"/>
      <c r="AD883" s="416"/>
      <c r="AE883" s="416"/>
      <c r="AF883" s="154"/>
      <c r="AG883" s="420"/>
      <c r="AH883" s="420"/>
      <c r="AI883" s="420"/>
      <c r="AJ883" s="420"/>
      <c r="AK883" s="420"/>
      <c r="AL883" s="420"/>
      <c r="AM883" s="420"/>
      <c r="AN883" s="420"/>
      <c r="AO883" s="420"/>
      <c r="AP883" s="420"/>
      <c r="AQ883" s="420"/>
      <c r="AR883" s="420"/>
      <c r="AS883" s="420"/>
      <c r="AT883" s="420"/>
      <c r="AU883" s="420"/>
      <c r="AV883" s="420"/>
      <c r="AW883" s="420"/>
      <c r="AX883" s="420"/>
      <c r="AY883" s="420"/>
      <c r="AZ883" s="420"/>
      <c r="BA883" s="420"/>
      <c r="BB883" s="154"/>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c r="BY883" s="115"/>
      <c r="BZ883" s="115"/>
      <c r="CA883" s="115"/>
      <c r="CB883" s="115"/>
      <c r="CC883" s="115"/>
      <c r="CD883" s="115"/>
      <c r="CE883" s="115"/>
      <c r="CF883" s="115"/>
      <c r="CG883" s="115"/>
      <c r="CH883" s="115"/>
      <c r="CI883" s="115"/>
      <c r="CJ883" s="115"/>
      <c r="CK883" s="115"/>
      <c r="CL883" s="115"/>
      <c r="CM883" s="115"/>
      <c r="CN883" s="115"/>
      <c r="CO883" s="115"/>
      <c r="CP883" s="115"/>
      <c r="CQ883" s="115"/>
      <c r="CR883" s="115"/>
      <c r="CS883" s="115"/>
      <c r="CT883" s="115"/>
      <c r="CU883" s="115"/>
      <c r="CV883" s="115"/>
      <c r="CW883" s="115"/>
      <c r="CX883" s="115"/>
      <c r="CY883" s="115"/>
      <c r="CZ883" s="115"/>
      <c r="DA883" s="115"/>
      <c r="DB883" s="115"/>
      <c r="DC883" s="115"/>
      <c r="DD883" s="115"/>
      <c r="DE883" s="115"/>
      <c r="DF883" s="115"/>
      <c r="DG883" s="115"/>
    </row>
    <row r="884" spans="1:111" ht="9" customHeight="1">
      <c r="A884" s="154"/>
      <c r="B884" s="154"/>
      <c r="C884" s="154"/>
      <c r="D884" s="154"/>
      <c r="E884" s="154"/>
      <c r="F884" s="154"/>
      <c r="G884" s="154"/>
      <c r="H884" s="154"/>
      <c r="I884" s="154"/>
      <c r="J884" s="154"/>
      <c r="K884" s="154"/>
      <c r="L884" s="154"/>
      <c r="M884" s="154"/>
      <c r="N884" s="154"/>
      <c r="O884" s="154"/>
      <c r="P884" s="154"/>
      <c r="Q884" s="419"/>
      <c r="R884" s="419"/>
      <c r="S884" s="419"/>
      <c r="T884" s="419"/>
      <c r="U884" s="419"/>
      <c r="V884" s="419"/>
      <c r="W884" s="419"/>
      <c r="X884" s="419"/>
      <c r="Y884" s="154"/>
      <c r="Z884" s="154"/>
      <c r="AA884" s="154"/>
      <c r="AB884" s="154"/>
      <c r="AC884" s="154"/>
      <c r="AD884" s="154"/>
      <c r="AE884" s="154"/>
      <c r="AF884" s="154"/>
      <c r="AG884" s="420"/>
      <c r="AH884" s="420"/>
      <c r="AI884" s="420"/>
      <c r="AJ884" s="420"/>
      <c r="AK884" s="420"/>
      <c r="AL884" s="420"/>
      <c r="AM884" s="420"/>
      <c r="AN884" s="420"/>
      <c r="AO884" s="420"/>
      <c r="AP884" s="420"/>
      <c r="AQ884" s="420"/>
      <c r="AR884" s="420"/>
      <c r="AS884" s="420"/>
      <c r="AT884" s="420"/>
      <c r="AU884" s="420"/>
      <c r="AV884" s="420"/>
      <c r="AW884" s="420"/>
      <c r="AX884" s="420"/>
      <c r="AY884" s="420"/>
      <c r="AZ884" s="420"/>
      <c r="BA884" s="420"/>
      <c r="BB884" s="154"/>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c r="BY884" s="115"/>
      <c r="BZ884" s="115"/>
      <c r="CA884" s="115"/>
      <c r="CB884" s="115"/>
      <c r="CC884" s="115"/>
      <c r="CD884" s="115"/>
      <c r="CE884" s="115"/>
      <c r="CF884" s="115"/>
      <c r="CG884" s="115"/>
      <c r="CH884" s="115"/>
      <c r="CI884" s="115"/>
      <c r="CJ884" s="115"/>
      <c r="CK884" s="115"/>
      <c r="CL884" s="115"/>
      <c r="CM884" s="115"/>
      <c r="CN884" s="115"/>
      <c r="CO884" s="115"/>
      <c r="CP884" s="115"/>
      <c r="CQ884" s="115"/>
      <c r="CR884" s="115"/>
      <c r="CS884" s="115"/>
      <c r="CT884" s="115"/>
      <c r="CU884" s="115"/>
      <c r="CV884" s="115"/>
      <c r="CW884" s="115"/>
      <c r="CX884" s="115"/>
      <c r="CY884" s="115"/>
      <c r="CZ884" s="115"/>
      <c r="DA884" s="115"/>
      <c r="DB884" s="115"/>
      <c r="DC884" s="115"/>
      <c r="DD884" s="115"/>
      <c r="DE884" s="115"/>
      <c r="DF884" s="115"/>
      <c r="DG884" s="115"/>
    </row>
    <row r="885" spans="1:111" ht="4.5" customHeight="1">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c r="BY885" s="115"/>
      <c r="BZ885" s="115"/>
      <c r="CA885" s="115"/>
      <c r="CB885" s="115"/>
      <c r="CC885" s="115"/>
      <c r="CD885" s="115"/>
      <c r="CE885" s="115"/>
      <c r="CF885" s="115"/>
      <c r="CG885" s="115"/>
      <c r="CH885" s="115"/>
      <c r="CI885" s="115"/>
      <c r="CJ885" s="115"/>
      <c r="CK885" s="115"/>
      <c r="CL885" s="115"/>
      <c r="CM885" s="115"/>
      <c r="CN885" s="115"/>
      <c r="CO885" s="115"/>
      <c r="CP885" s="115"/>
      <c r="CQ885" s="115"/>
      <c r="CR885" s="115"/>
      <c r="CS885" s="115"/>
      <c r="CT885" s="115"/>
      <c r="CU885" s="115"/>
      <c r="CV885" s="115"/>
      <c r="CW885" s="115"/>
      <c r="CX885" s="115"/>
      <c r="CY885" s="115"/>
      <c r="CZ885" s="115"/>
      <c r="DA885" s="115"/>
      <c r="DB885" s="115"/>
      <c r="DC885" s="115"/>
      <c r="DD885" s="115"/>
      <c r="DE885" s="115"/>
      <c r="DF885" s="115"/>
      <c r="DG885" s="115"/>
    </row>
    <row r="886" spans="1:111" ht="9" customHeight="1">
      <c r="A886" s="154"/>
      <c r="B886" s="154"/>
      <c r="C886" s="154"/>
      <c r="D886" s="154"/>
      <c r="E886" s="154"/>
      <c r="F886" s="154"/>
      <c r="G886" s="154"/>
      <c r="H886" s="154"/>
      <c r="I886" s="154"/>
      <c r="J886" s="416" t="str">
        <f>IF(C864="","","Valor Total (R$):")</f>
        <v/>
      </c>
      <c r="K886" s="416"/>
      <c r="L886" s="416"/>
      <c r="M886" s="416"/>
      <c r="N886" s="416"/>
      <c r="O886" s="416"/>
      <c r="P886" s="154"/>
      <c r="Q886" s="419" t="str">
        <f>IF(Q882="","",Q878*Q882)</f>
        <v/>
      </c>
      <c r="R886" s="419"/>
      <c r="S886" s="419"/>
      <c r="T886" s="419"/>
      <c r="U886" s="419"/>
      <c r="V886" s="419"/>
      <c r="W886" s="419"/>
      <c r="X886" s="419"/>
      <c r="Y886" s="154"/>
      <c r="Z886" s="416" t="str">
        <f>IF(C864="","",IF(J870="52 Equipamentos e Material Permanente","Justificativa e Utilização:",""))</f>
        <v/>
      </c>
      <c r="AA886" s="416"/>
      <c r="AB886" s="416"/>
      <c r="AC886" s="416"/>
      <c r="AD886" s="416"/>
      <c r="AE886" s="416"/>
      <c r="AF886" s="154"/>
      <c r="AG886" s="420"/>
      <c r="AH886" s="420"/>
      <c r="AI886" s="420"/>
      <c r="AJ886" s="420"/>
      <c r="AK886" s="420"/>
      <c r="AL886" s="420"/>
      <c r="AM886" s="420"/>
      <c r="AN886" s="420"/>
      <c r="AO886" s="420"/>
      <c r="AP886" s="420"/>
      <c r="AQ886" s="420"/>
      <c r="AR886" s="420"/>
      <c r="AS886" s="420"/>
      <c r="AT886" s="420"/>
      <c r="AU886" s="420"/>
      <c r="AV886" s="420"/>
      <c r="AW886" s="420"/>
      <c r="AX886" s="420"/>
      <c r="AY886" s="420"/>
      <c r="AZ886" s="420"/>
      <c r="BA886" s="420"/>
      <c r="BB886" s="154"/>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c r="BY886" s="115"/>
      <c r="BZ886" s="115"/>
      <c r="CA886" s="115"/>
      <c r="CB886" s="115"/>
      <c r="CC886" s="115"/>
      <c r="CD886" s="115"/>
      <c r="CE886" s="115"/>
      <c r="CF886" s="115"/>
      <c r="CG886" s="115"/>
      <c r="CH886" s="115"/>
      <c r="CI886" s="115"/>
      <c r="CJ886" s="115"/>
      <c r="CK886" s="115"/>
      <c r="CL886" s="115"/>
      <c r="CM886" s="115"/>
      <c r="CN886" s="115"/>
      <c r="CO886" s="115"/>
      <c r="CP886" s="115"/>
      <c r="CQ886" s="115"/>
      <c r="CR886" s="115"/>
      <c r="CS886" s="115"/>
      <c r="CT886" s="115"/>
      <c r="CU886" s="115"/>
      <c r="CV886" s="115"/>
      <c r="CW886" s="115"/>
      <c r="CX886" s="115"/>
      <c r="CY886" s="115"/>
      <c r="CZ886" s="115"/>
      <c r="DA886" s="115"/>
      <c r="DB886" s="115"/>
      <c r="DC886" s="115"/>
      <c r="DD886" s="115"/>
      <c r="DE886" s="115"/>
      <c r="DF886" s="115"/>
      <c r="DG886" s="115"/>
    </row>
    <row r="887" spans="1:111" ht="9" customHeight="1">
      <c r="A887" s="154"/>
      <c r="B887" s="154"/>
      <c r="C887" s="154"/>
      <c r="D887" s="154"/>
      <c r="E887" s="154"/>
      <c r="F887" s="154"/>
      <c r="G887" s="154"/>
      <c r="H887" s="154"/>
      <c r="I887" s="154"/>
      <c r="J887" s="416"/>
      <c r="K887" s="416"/>
      <c r="L887" s="416"/>
      <c r="M887" s="416"/>
      <c r="N887" s="416"/>
      <c r="O887" s="416"/>
      <c r="P887" s="154"/>
      <c r="Q887" s="419"/>
      <c r="R887" s="419"/>
      <c r="S887" s="419"/>
      <c r="T887" s="419"/>
      <c r="U887" s="419"/>
      <c r="V887" s="419"/>
      <c r="W887" s="419"/>
      <c r="X887" s="419"/>
      <c r="Y887" s="154"/>
      <c r="Z887" s="416"/>
      <c r="AA887" s="416"/>
      <c r="AB887" s="416"/>
      <c r="AC887" s="416"/>
      <c r="AD887" s="416"/>
      <c r="AE887" s="416"/>
      <c r="AF887" s="154"/>
      <c r="AG887" s="420"/>
      <c r="AH887" s="420"/>
      <c r="AI887" s="420"/>
      <c r="AJ887" s="420"/>
      <c r="AK887" s="420"/>
      <c r="AL887" s="420"/>
      <c r="AM887" s="420"/>
      <c r="AN887" s="420"/>
      <c r="AO887" s="420"/>
      <c r="AP887" s="420"/>
      <c r="AQ887" s="420"/>
      <c r="AR887" s="420"/>
      <c r="AS887" s="420"/>
      <c r="AT887" s="420"/>
      <c r="AU887" s="420"/>
      <c r="AV887" s="420"/>
      <c r="AW887" s="420"/>
      <c r="AX887" s="420"/>
      <c r="AY887" s="420"/>
      <c r="AZ887" s="420"/>
      <c r="BA887" s="420"/>
      <c r="BB887" s="154"/>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c r="BY887" s="115"/>
      <c r="BZ887" s="115"/>
      <c r="CA887" s="115"/>
      <c r="CB887" s="115"/>
      <c r="CC887" s="115"/>
      <c r="CD887" s="115"/>
      <c r="CE887" s="115"/>
      <c r="CF887" s="115"/>
      <c r="CG887" s="115"/>
      <c r="CH887" s="115"/>
      <c r="CI887" s="115"/>
      <c r="CJ887" s="115"/>
      <c r="CK887" s="115"/>
      <c r="CL887" s="115"/>
      <c r="CM887" s="115"/>
      <c r="CN887" s="115"/>
      <c r="CO887" s="115"/>
      <c r="CP887" s="115"/>
      <c r="CQ887" s="115"/>
      <c r="CR887" s="115"/>
      <c r="CS887" s="115"/>
      <c r="CT887" s="115"/>
      <c r="CU887" s="115"/>
      <c r="CV887" s="115"/>
      <c r="CW887" s="115"/>
      <c r="CX887" s="115"/>
      <c r="CY887" s="115"/>
      <c r="CZ887" s="115"/>
      <c r="DA887" s="115"/>
      <c r="DB887" s="115"/>
      <c r="DC887" s="115"/>
      <c r="DD887" s="115"/>
      <c r="DE887" s="115"/>
      <c r="DF887" s="115"/>
      <c r="DG887" s="115"/>
    </row>
    <row r="888" spans="1:111" ht="9" customHeight="1">
      <c r="A888" s="154"/>
      <c r="B888" s="154"/>
      <c r="C888" s="154"/>
      <c r="D888" s="154"/>
      <c r="E888" s="154"/>
      <c r="F888" s="154"/>
      <c r="G888" s="154"/>
      <c r="H888" s="154"/>
      <c r="I888" s="154"/>
      <c r="J888" s="154"/>
      <c r="K888" s="154"/>
      <c r="L888" s="154"/>
      <c r="M888" s="154"/>
      <c r="N888" s="154"/>
      <c r="O888" s="154"/>
      <c r="P888" s="154"/>
      <c r="Q888" s="419"/>
      <c r="R888" s="419"/>
      <c r="S888" s="419"/>
      <c r="T888" s="419"/>
      <c r="U888" s="419"/>
      <c r="V888" s="419"/>
      <c r="W888" s="419"/>
      <c r="X888" s="419"/>
      <c r="Y888" s="154"/>
      <c r="Z888" s="154"/>
      <c r="AA888" s="154"/>
      <c r="AB888" s="154"/>
      <c r="AC888" s="154"/>
      <c r="AD888" s="154"/>
      <c r="AE888" s="154"/>
      <c r="AF888" s="154"/>
      <c r="AG888" s="420"/>
      <c r="AH888" s="420"/>
      <c r="AI888" s="420"/>
      <c r="AJ888" s="420"/>
      <c r="AK888" s="420"/>
      <c r="AL888" s="420"/>
      <c r="AM888" s="420"/>
      <c r="AN888" s="420"/>
      <c r="AO888" s="420"/>
      <c r="AP888" s="420"/>
      <c r="AQ888" s="420"/>
      <c r="AR888" s="420"/>
      <c r="AS888" s="420"/>
      <c r="AT888" s="420"/>
      <c r="AU888" s="420"/>
      <c r="AV888" s="420"/>
      <c r="AW888" s="420"/>
      <c r="AX888" s="420"/>
      <c r="AY888" s="420"/>
      <c r="AZ888" s="420"/>
      <c r="BA888" s="420"/>
      <c r="BB888" s="154"/>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c r="BY888" s="115"/>
      <c r="BZ888" s="115"/>
      <c r="CA888" s="115"/>
      <c r="CB888" s="115"/>
      <c r="CC888" s="115"/>
      <c r="CD888" s="115"/>
      <c r="CE888" s="115"/>
      <c r="CF888" s="115"/>
      <c r="CG888" s="115"/>
      <c r="CH888" s="115"/>
      <c r="CI888" s="115"/>
      <c r="CJ888" s="115"/>
      <c r="CK888" s="115"/>
      <c r="CL888" s="115"/>
      <c r="CM888" s="115"/>
      <c r="CN888" s="115"/>
      <c r="CO888" s="115"/>
      <c r="CP888" s="115"/>
      <c r="CQ888" s="115"/>
      <c r="CR888" s="115"/>
      <c r="CS888" s="115"/>
      <c r="CT888" s="115"/>
      <c r="CU888" s="115"/>
      <c r="CV888" s="115"/>
      <c r="CW888" s="115"/>
      <c r="CX888" s="115"/>
      <c r="CY888" s="115"/>
      <c r="CZ888" s="115"/>
      <c r="DA888" s="115"/>
      <c r="DB888" s="115"/>
      <c r="DC888" s="115"/>
      <c r="DD888" s="115"/>
      <c r="DE888" s="115"/>
      <c r="DF888" s="115"/>
      <c r="DG888" s="115"/>
    </row>
    <row r="889" spans="1:111" ht="9" customHeight="1">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420"/>
      <c r="AH889" s="420"/>
      <c r="AI889" s="420"/>
      <c r="AJ889" s="420"/>
      <c r="AK889" s="420"/>
      <c r="AL889" s="420"/>
      <c r="AM889" s="420"/>
      <c r="AN889" s="420"/>
      <c r="AO889" s="420"/>
      <c r="AP889" s="420"/>
      <c r="AQ889" s="420"/>
      <c r="AR889" s="420"/>
      <c r="AS889" s="420"/>
      <c r="AT889" s="420"/>
      <c r="AU889" s="420"/>
      <c r="AV889" s="420"/>
      <c r="AW889" s="420"/>
      <c r="AX889" s="420"/>
      <c r="AY889" s="420"/>
      <c r="AZ889" s="420"/>
      <c r="BA889" s="420"/>
      <c r="BB889" s="154"/>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c r="BY889" s="115"/>
      <c r="BZ889" s="115"/>
      <c r="CA889" s="115"/>
      <c r="CB889" s="115"/>
      <c r="CC889" s="115"/>
      <c r="CD889" s="115"/>
      <c r="CE889" s="115"/>
      <c r="CF889" s="115"/>
      <c r="CG889" s="115"/>
      <c r="CH889" s="115"/>
      <c r="CI889" s="115"/>
      <c r="CJ889" s="115"/>
      <c r="CK889" s="115"/>
      <c r="CL889" s="115"/>
      <c r="CM889" s="115"/>
      <c r="CN889" s="115"/>
      <c r="CO889" s="115"/>
      <c r="CP889" s="115"/>
      <c r="CQ889" s="115"/>
      <c r="CR889" s="115"/>
      <c r="CS889" s="115"/>
      <c r="CT889" s="115"/>
      <c r="CU889" s="115"/>
      <c r="CV889" s="115"/>
      <c r="CW889" s="115"/>
      <c r="CX889" s="115"/>
      <c r="CY889" s="115"/>
      <c r="CZ889" s="115"/>
      <c r="DA889" s="115"/>
      <c r="DB889" s="115"/>
      <c r="DC889" s="115"/>
      <c r="DD889" s="115"/>
      <c r="DE889" s="115"/>
      <c r="DF889" s="115"/>
      <c r="DG889" s="115"/>
    </row>
    <row r="890" spans="1:111" ht="9" customHeight="1">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420"/>
      <c r="AH890" s="420"/>
      <c r="AI890" s="420"/>
      <c r="AJ890" s="420"/>
      <c r="AK890" s="420"/>
      <c r="AL890" s="420"/>
      <c r="AM890" s="420"/>
      <c r="AN890" s="420"/>
      <c r="AO890" s="420"/>
      <c r="AP890" s="420"/>
      <c r="AQ890" s="420"/>
      <c r="AR890" s="420"/>
      <c r="AS890" s="420"/>
      <c r="AT890" s="420"/>
      <c r="AU890" s="420"/>
      <c r="AV890" s="420"/>
      <c r="AW890" s="420"/>
      <c r="AX890" s="420"/>
      <c r="AY890" s="420"/>
      <c r="AZ890" s="420"/>
      <c r="BA890" s="420"/>
      <c r="BB890" s="154"/>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c r="BY890" s="115"/>
      <c r="BZ890" s="115"/>
      <c r="CA890" s="115"/>
      <c r="CB890" s="115"/>
      <c r="CC890" s="115"/>
      <c r="CD890" s="115"/>
      <c r="CE890" s="115"/>
      <c r="CF890" s="115"/>
      <c r="CG890" s="115"/>
      <c r="CH890" s="115"/>
      <c r="CI890" s="115"/>
      <c r="CJ890" s="115"/>
      <c r="CK890" s="115"/>
      <c r="CL890" s="115"/>
      <c r="CM890" s="115"/>
      <c r="CN890" s="115"/>
      <c r="CO890" s="115"/>
      <c r="CP890" s="115"/>
      <c r="CQ890" s="115"/>
      <c r="CR890" s="115"/>
      <c r="CS890" s="115"/>
      <c r="CT890" s="115"/>
      <c r="CU890" s="115"/>
      <c r="CV890" s="115"/>
      <c r="CW890" s="115"/>
      <c r="CX890" s="115"/>
      <c r="CY890" s="115"/>
      <c r="CZ890" s="115"/>
      <c r="DA890" s="115"/>
      <c r="DB890" s="115"/>
      <c r="DC890" s="115"/>
      <c r="DD890" s="115"/>
      <c r="DE890" s="115"/>
      <c r="DF890" s="115"/>
      <c r="DG890" s="115"/>
    </row>
    <row r="891" spans="1:111" ht="9" customHeight="1">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420"/>
      <c r="AH891" s="420"/>
      <c r="AI891" s="420"/>
      <c r="AJ891" s="420"/>
      <c r="AK891" s="420"/>
      <c r="AL891" s="420"/>
      <c r="AM891" s="420"/>
      <c r="AN891" s="420"/>
      <c r="AO891" s="420"/>
      <c r="AP891" s="420"/>
      <c r="AQ891" s="420"/>
      <c r="AR891" s="420"/>
      <c r="AS891" s="420"/>
      <c r="AT891" s="420"/>
      <c r="AU891" s="420"/>
      <c r="AV891" s="420"/>
      <c r="AW891" s="420"/>
      <c r="AX891" s="420"/>
      <c r="AY891" s="420"/>
      <c r="AZ891" s="420"/>
      <c r="BA891" s="420"/>
      <c r="BB891" s="154"/>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c r="BY891" s="115"/>
      <c r="BZ891" s="115"/>
      <c r="CA891" s="115"/>
      <c r="CB891" s="115"/>
      <c r="CC891" s="115"/>
      <c r="CD891" s="115"/>
      <c r="CE891" s="115"/>
      <c r="CF891" s="115"/>
      <c r="CG891" s="115"/>
      <c r="CH891" s="115"/>
      <c r="CI891" s="115"/>
      <c r="CJ891" s="115"/>
      <c r="CK891" s="115"/>
      <c r="CL891" s="115"/>
      <c r="CM891" s="115"/>
      <c r="CN891" s="115"/>
      <c r="CO891" s="115"/>
      <c r="CP891" s="115"/>
      <c r="CQ891" s="115"/>
      <c r="CR891" s="115"/>
      <c r="CS891" s="115"/>
      <c r="CT891" s="115"/>
      <c r="CU891" s="115"/>
      <c r="CV891" s="115"/>
      <c r="CW891" s="115"/>
      <c r="CX891" s="115"/>
      <c r="CY891" s="115"/>
      <c r="CZ891" s="115"/>
      <c r="DA891" s="115"/>
      <c r="DB891" s="115"/>
      <c r="DC891" s="115"/>
      <c r="DD891" s="115"/>
      <c r="DE891" s="115"/>
      <c r="DF891" s="115"/>
      <c r="DG891" s="115"/>
    </row>
    <row r="892" spans="1:111" ht="15" customHeight="1">
      <c r="B892" s="55"/>
      <c r="C892" s="55"/>
      <c r="D892" s="56"/>
      <c r="E892" s="56"/>
      <c r="F892" s="56"/>
      <c r="G892" s="56"/>
      <c r="H892" s="56"/>
      <c r="I892" s="56"/>
      <c r="J892" s="56"/>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141"/>
      <c r="AL892" s="141"/>
      <c r="AM892" s="141"/>
      <c r="AN892" s="141"/>
      <c r="AO892" s="140"/>
      <c r="AP892" s="140"/>
      <c r="AQ892" s="140"/>
      <c r="AR892" s="140"/>
      <c r="AS892" s="142"/>
      <c r="AT892" s="142"/>
      <c r="AU892" s="142"/>
      <c r="AV892" s="142"/>
      <c r="AW892" s="140"/>
      <c r="AX892" s="140"/>
      <c r="AY892" s="140"/>
      <c r="AZ892" s="140"/>
      <c r="BA892" s="140"/>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c r="BY892" s="115"/>
      <c r="BZ892" s="115"/>
      <c r="CA892" s="115"/>
      <c r="CB892" s="115"/>
      <c r="CC892" s="115"/>
      <c r="CD892" s="115"/>
      <c r="CE892" s="115"/>
      <c r="CF892" s="115"/>
      <c r="CG892" s="115"/>
      <c r="CH892" s="115"/>
      <c r="CI892" s="115"/>
      <c r="CJ892" s="115"/>
      <c r="CK892" s="115"/>
      <c r="CL892" s="115"/>
      <c r="CM892" s="115"/>
      <c r="CN892" s="115"/>
      <c r="CO892" s="115"/>
      <c r="CP892" s="115"/>
      <c r="CQ892" s="115"/>
      <c r="CR892" s="115"/>
      <c r="CS892" s="115"/>
      <c r="CT892" s="115"/>
      <c r="CU892" s="115"/>
      <c r="CV892" s="115"/>
      <c r="CW892" s="115"/>
      <c r="CX892" s="115"/>
      <c r="CY892" s="115"/>
      <c r="CZ892" s="115"/>
      <c r="DA892" s="115"/>
      <c r="DB892" s="115"/>
      <c r="DC892" s="115"/>
      <c r="DD892" s="115"/>
      <c r="DE892" s="115"/>
      <c r="DF892" s="115"/>
      <c r="DG892" s="115"/>
    </row>
    <row r="893" spans="1:111" ht="15" customHeight="1">
      <c r="B893" s="55"/>
      <c r="C893" s="422" t="str">
        <f>IF($AA$165&gt;=26,"DESPESA 26","")</f>
        <v/>
      </c>
      <c r="D893" s="422"/>
      <c r="E893" s="422"/>
      <c r="F893" s="422"/>
      <c r="G893" s="422"/>
      <c r="H893" s="422"/>
      <c r="I893" s="56"/>
      <c r="J893" s="56"/>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141"/>
      <c r="AL893" s="141"/>
      <c r="AM893" s="141"/>
      <c r="AN893" s="141"/>
      <c r="AO893" s="140"/>
      <c r="AP893" s="140"/>
      <c r="AQ893" s="140"/>
      <c r="AR893" s="140"/>
      <c r="AS893" s="142"/>
      <c r="AT893" s="142"/>
      <c r="AU893" s="142"/>
      <c r="AV893" s="142"/>
      <c r="AW893" s="140"/>
      <c r="AX893" s="140"/>
      <c r="AY893" s="140"/>
      <c r="AZ893" s="140"/>
      <c r="BA893" s="140"/>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c r="BY893" s="115"/>
      <c r="BZ893" s="115"/>
      <c r="CA893" s="115"/>
      <c r="CB893" s="115"/>
      <c r="CC893" s="115"/>
      <c r="CD893" s="115"/>
      <c r="CE893" s="115"/>
      <c r="CF893" s="115"/>
      <c r="CG893" s="115"/>
      <c r="CH893" s="115"/>
      <c r="CI893" s="115"/>
      <c r="CJ893" s="115"/>
      <c r="CK893" s="115"/>
      <c r="CL893" s="115"/>
      <c r="CM893" s="115"/>
      <c r="CN893" s="115"/>
      <c r="CO893" s="115"/>
      <c r="CP893" s="115"/>
      <c r="CQ893" s="115"/>
      <c r="CR893" s="115"/>
      <c r="CS893" s="115"/>
      <c r="CT893" s="115"/>
      <c r="CU893" s="115"/>
      <c r="CV893" s="115"/>
      <c r="CW893" s="115"/>
      <c r="CX893" s="115"/>
      <c r="CY893" s="115"/>
      <c r="CZ893" s="115"/>
      <c r="DA893" s="115"/>
      <c r="DB893" s="115"/>
      <c r="DC893" s="115"/>
      <c r="DD893" s="115"/>
      <c r="DE893" s="115"/>
      <c r="DF893" s="115"/>
      <c r="DG893" s="115"/>
    </row>
    <row r="894" spans="1:111" ht="4.5" customHeight="1">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c r="BY894" s="115"/>
      <c r="BZ894" s="115"/>
      <c r="CA894" s="115"/>
      <c r="CB894" s="115"/>
      <c r="CC894" s="115"/>
      <c r="CD894" s="115"/>
      <c r="CE894" s="115"/>
      <c r="CF894" s="115"/>
      <c r="CG894" s="115"/>
      <c r="CH894" s="115"/>
      <c r="CI894" s="115"/>
      <c r="CJ894" s="115"/>
      <c r="CK894" s="115"/>
      <c r="CL894" s="115"/>
      <c r="CM894" s="115"/>
      <c r="CN894" s="115"/>
      <c r="CO894" s="115"/>
      <c r="CP894" s="115"/>
      <c r="CQ894" s="115"/>
      <c r="CR894" s="115"/>
      <c r="CS894" s="115"/>
      <c r="CT894" s="115"/>
      <c r="CU894" s="115"/>
      <c r="CV894" s="115"/>
      <c r="CW894" s="115"/>
      <c r="CX894" s="115"/>
      <c r="CY894" s="115"/>
      <c r="CZ894" s="115"/>
      <c r="DA894" s="115"/>
      <c r="DB894" s="115"/>
      <c r="DC894" s="115"/>
      <c r="DD894" s="115"/>
      <c r="DE894" s="115"/>
      <c r="DF894" s="115"/>
      <c r="DG894" s="115"/>
    </row>
    <row r="895" spans="1:111" ht="9" customHeight="1">
      <c r="C895" s="416" t="str">
        <f>IF(C893="","","Descrição da Despesa:")</f>
        <v/>
      </c>
      <c r="D895" s="416"/>
      <c r="E895" s="416"/>
      <c r="F895" s="416"/>
      <c r="G895" s="416"/>
      <c r="H895" s="416"/>
      <c r="I895" s="60"/>
      <c r="J895" s="421"/>
      <c r="K895" s="421"/>
      <c r="L895" s="421"/>
      <c r="M895" s="421"/>
      <c r="N895" s="421"/>
      <c r="O895" s="421"/>
      <c r="P895" s="421"/>
      <c r="Q895" s="421"/>
      <c r="R895" s="421"/>
      <c r="S895" s="421"/>
      <c r="T895" s="421"/>
      <c r="U895" s="421"/>
      <c r="V895" s="421"/>
      <c r="W895" s="421"/>
      <c r="X895" s="421"/>
      <c r="Y895" s="421"/>
      <c r="Z895" s="421"/>
      <c r="AA895" s="421"/>
      <c r="AB895" s="421"/>
      <c r="AC895" s="421"/>
      <c r="AD895" s="421"/>
      <c r="AE895" s="421"/>
      <c r="AF895" s="421"/>
      <c r="AG895" s="421"/>
      <c r="AH895" s="421"/>
      <c r="AI895" s="421"/>
      <c r="AJ895" s="421"/>
      <c r="AK895" s="421"/>
      <c r="AL895" s="421"/>
      <c r="AM895" s="421"/>
      <c r="AN895" s="421"/>
      <c r="AO895" s="421"/>
      <c r="AP895" s="421"/>
      <c r="AQ895" s="421"/>
      <c r="AR895" s="421"/>
      <c r="AS895" s="421"/>
      <c r="AT895" s="421"/>
      <c r="AU895" s="421"/>
      <c r="AV895" s="421"/>
      <c r="AW895" s="421"/>
      <c r="AX895" s="421"/>
      <c r="AY895" s="421"/>
      <c r="AZ895" s="421"/>
      <c r="BA895" s="421"/>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c r="BY895" s="115"/>
      <c r="BZ895" s="115"/>
      <c r="CA895" s="115"/>
      <c r="CB895" s="115"/>
      <c r="CC895" s="115"/>
      <c r="CD895" s="115"/>
      <c r="CE895" s="115"/>
      <c r="CF895" s="115"/>
      <c r="CG895" s="115"/>
      <c r="CH895" s="115"/>
      <c r="CI895" s="115"/>
      <c r="CJ895" s="115"/>
      <c r="CK895" s="115"/>
      <c r="CL895" s="115"/>
      <c r="CM895" s="115"/>
      <c r="CN895" s="115"/>
      <c r="CO895" s="115"/>
      <c r="CP895" s="115"/>
      <c r="CQ895" s="115"/>
      <c r="CR895" s="115"/>
      <c r="CS895" s="115"/>
      <c r="CT895" s="115"/>
      <c r="CU895" s="115"/>
      <c r="CV895" s="115"/>
      <c r="CW895" s="115"/>
      <c r="CX895" s="115"/>
      <c r="CY895" s="115"/>
      <c r="CZ895" s="115"/>
      <c r="DA895" s="115"/>
      <c r="DB895" s="115"/>
      <c r="DC895" s="115"/>
      <c r="DD895" s="115"/>
      <c r="DE895" s="115"/>
      <c r="DF895" s="115"/>
      <c r="DG895" s="115"/>
    </row>
    <row r="896" spans="1:111" ht="9" customHeight="1">
      <c r="C896" s="416"/>
      <c r="D896" s="416"/>
      <c r="E896" s="416"/>
      <c r="F896" s="416"/>
      <c r="G896" s="416"/>
      <c r="H896" s="416"/>
      <c r="I896" s="60"/>
      <c r="J896" s="421"/>
      <c r="K896" s="421"/>
      <c r="L896" s="421"/>
      <c r="M896" s="421"/>
      <c r="N896" s="421"/>
      <c r="O896" s="421"/>
      <c r="P896" s="421"/>
      <c r="Q896" s="421"/>
      <c r="R896" s="421"/>
      <c r="S896" s="421"/>
      <c r="T896" s="421"/>
      <c r="U896" s="421"/>
      <c r="V896" s="421"/>
      <c r="W896" s="421"/>
      <c r="X896" s="421"/>
      <c r="Y896" s="421"/>
      <c r="Z896" s="421"/>
      <c r="AA896" s="421"/>
      <c r="AB896" s="421"/>
      <c r="AC896" s="421"/>
      <c r="AD896" s="421"/>
      <c r="AE896" s="421"/>
      <c r="AF896" s="421"/>
      <c r="AG896" s="421"/>
      <c r="AH896" s="421"/>
      <c r="AI896" s="421"/>
      <c r="AJ896" s="421"/>
      <c r="AK896" s="421"/>
      <c r="AL896" s="421"/>
      <c r="AM896" s="421"/>
      <c r="AN896" s="421"/>
      <c r="AO896" s="421"/>
      <c r="AP896" s="421"/>
      <c r="AQ896" s="421"/>
      <c r="AR896" s="421"/>
      <c r="AS896" s="421"/>
      <c r="AT896" s="421"/>
      <c r="AU896" s="421"/>
      <c r="AV896" s="421"/>
      <c r="AW896" s="421"/>
      <c r="AX896" s="421"/>
      <c r="AY896" s="421"/>
      <c r="AZ896" s="421"/>
      <c r="BA896" s="421"/>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c r="BY896" s="115"/>
      <c r="BZ896" s="115"/>
      <c r="CA896" s="115"/>
      <c r="CB896" s="115"/>
      <c r="CC896" s="115"/>
      <c r="CD896" s="115"/>
      <c r="CE896" s="115"/>
      <c r="CF896" s="115"/>
      <c r="CG896" s="115"/>
      <c r="CH896" s="115"/>
      <c r="CI896" s="115"/>
      <c r="CJ896" s="115"/>
      <c r="CK896" s="115"/>
      <c r="CL896" s="115"/>
      <c r="CM896" s="115"/>
      <c r="CN896" s="115"/>
      <c r="CO896" s="115"/>
      <c r="CP896" s="115"/>
      <c r="CQ896" s="115"/>
      <c r="CR896" s="115"/>
      <c r="CS896" s="115"/>
      <c r="CT896" s="115"/>
      <c r="CU896" s="115"/>
      <c r="CV896" s="115"/>
      <c r="CW896" s="115"/>
      <c r="CX896" s="115"/>
      <c r="CY896" s="115"/>
      <c r="CZ896" s="115"/>
      <c r="DA896" s="115"/>
      <c r="DB896" s="115"/>
      <c r="DC896" s="115"/>
      <c r="DD896" s="115"/>
      <c r="DE896" s="115"/>
      <c r="DF896" s="115"/>
      <c r="DG896" s="115"/>
    </row>
    <row r="897" spans="1:111" ht="9" customHeight="1">
      <c r="C897" s="416"/>
      <c r="D897" s="416"/>
      <c r="E897" s="416"/>
      <c r="F897" s="416"/>
      <c r="G897" s="416"/>
      <c r="H897" s="416"/>
      <c r="I897" s="60"/>
      <c r="J897" s="421"/>
      <c r="K897" s="421"/>
      <c r="L897" s="421"/>
      <c r="M897" s="421"/>
      <c r="N897" s="421"/>
      <c r="O897" s="421"/>
      <c r="P897" s="421"/>
      <c r="Q897" s="421"/>
      <c r="R897" s="421"/>
      <c r="S897" s="421"/>
      <c r="T897" s="421"/>
      <c r="U897" s="421"/>
      <c r="V897" s="421"/>
      <c r="W897" s="421"/>
      <c r="X897" s="421"/>
      <c r="Y897" s="421"/>
      <c r="Z897" s="421"/>
      <c r="AA897" s="421"/>
      <c r="AB897" s="421"/>
      <c r="AC897" s="421"/>
      <c r="AD897" s="421"/>
      <c r="AE897" s="421"/>
      <c r="AF897" s="421"/>
      <c r="AG897" s="421"/>
      <c r="AH897" s="421"/>
      <c r="AI897" s="421"/>
      <c r="AJ897" s="421"/>
      <c r="AK897" s="421"/>
      <c r="AL897" s="421"/>
      <c r="AM897" s="421"/>
      <c r="AN897" s="421"/>
      <c r="AO897" s="421"/>
      <c r="AP897" s="421"/>
      <c r="AQ897" s="421"/>
      <c r="AR897" s="421"/>
      <c r="AS897" s="421"/>
      <c r="AT897" s="421"/>
      <c r="AU897" s="421"/>
      <c r="AV897" s="421"/>
      <c r="AW897" s="421"/>
      <c r="AX897" s="421"/>
      <c r="AY897" s="421"/>
      <c r="AZ897" s="421"/>
      <c r="BA897" s="421"/>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c r="BY897" s="115"/>
      <c r="BZ897" s="115"/>
      <c r="CA897" s="115"/>
      <c r="CB897" s="115"/>
      <c r="CC897" s="115"/>
      <c r="CD897" s="115"/>
      <c r="CE897" s="115"/>
      <c r="CF897" s="115"/>
      <c r="CG897" s="115"/>
      <c r="CH897" s="115"/>
      <c r="CI897" s="115"/>
      <c r="CJ897" s="115"/>
      <c r="CK897" s="115"/>
      <c r="CL897" s="115"/>
      <c r="CM897" s="115"/>
      <c r="CN897" s="115"/>
      <c r="CO897" s="115"/>
      <c r="CP897" s="115"/>
      <c r="CQ897" s="115"/>
      <c r="CR897" s="115"/>
      <c r="CS897" s="115"/>
      <c r="CT897" s="115"/>
      <c r="CU897" s="115"/>
      <c r="CV897" s="115"/>
      <c r="CW897" s="115"/>
      <c r="CX897" s="115"/>
      <c r="CY897" s="115"/>
      <c r="CZ897" s="115"/>
      <c r="DA897" s="115"/>
      <c r="DB897" s="115"/>
      <c r="DC897" s="115"/>
      <c r="DD897" s="115"/>
      <c r="DE897" s="115"/>
      <c r="DF897" s="115"/>
      <c r="DG897" s="115"/>
    </row>
    <row r="898" spans="1:111" ht="4.5" customHeight="1">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c r="BY898" s="115"/>
      <c r="BZ898" s="115"/>
      <c r="CA898" s="115"/>
      <c r="CB898" s="115"/>
      <c r="CC898" s="115"/>
      <c r="CD898" s="115"/>
      <c r="CE898" s="115"/>
      <c r="CF898" s="115"/>
      <c r="CG898" s="115"/>
      <c r="CH898" s="115"/>
      <c r="CI898" s="115"/>
      <c r="CJ898" s="115"/>
      <c r="CK898" s="115"/>
      <c r="CL898" s="115"/>
      <c r="CM898" s="115"/>
      <c r="CN898" s="115"/>
      <c r="CO898" s="115"/>
      <c r="CP898" s="115"/>
      <c r="CQ898" s="115"/>
      <c r="CR898" s="115"/>
      <c r="CS898" s="115"/>
      <c r="CT898" s="115"/>
      <c r="CU898" s="115"/>
      <c r="CV898" s="115"/>
      <c r="CW898" s="115"/>
      <c r="CX898" s="115"/>
      <c r="CY898" s="115"/>
      <c r="CZ898" s="115"/>
      <c r="DA898" s="115"/>
      <c r="DB898" s="115"/>
      <c r="DC898" s="115"/>
      <c r="DD898" s="115"/>
      <c r="DE898" s="115"/>
      <c r="DF898" s="115"/>
      <c r="DG898" s="115"/>
    </row>
    <row r="899" spans="1:111" ht="9" customHeight="1">
      <c r="C899" s="416" t="str">
        <f>IF(C893="","","Elemento de Despesa:")</f>
        <v/>
      </c>
      <c r="D899" s="416"/>
      <c r="E899" s="416"/>
      <c r="F899" s="416"/>
      <c r="G899" s="416"/>
      <c r="H899" s="416"/>
      <c r="J899" s="421"/>
      <c r="K899" s="421"/>
      <c r="L899" s="421"/>
      <c r="M899" s="421"/>
      <c r="N899" s="421"/>
      <c r="O899" s="421"/>
      <c r="P899" s="421"/>
      <c r="Q899" s="421"/>
      <c r="R899" s="421"/>
      <c r="S899" s="421"/>
      <c r="T899" s="421"/>
      <c r="U899" s="421"/>
      <c r="V899" s="421"/>
      <c r="W899" s="421"/>
      <c r="X899" s="421"/>
      <c r="Y899" s="421"/>
      <c r="Z899" s="421"/>
      <c r="AA899" s="421"/>
      <c r="AB899" s="421"/>
      <c r="AC899" s="421"/>
      <c r="AD899" s="421"/>
      <c r="AE899" s="421"/>
      <c r="AF899" s="421"/>
      <c r="AG899" s="421"/>
      <c r="AH899" s="421"/>
      <c r="AI899" s="421"/>
      <c r="AJ899" s="421"/>
      <c r="AK899" s="421"/>
      <c r="AL899" s="421"/>
      <c r="AM899" s="421"/>
      <c r="AN899" s="421"/>
      <c r="AO899" s="421"/>
      <c r="AP899" s="421"/>
      <c r="AQ899" s="421"/>
      <c r="AR899" s="421"/>
      <c r="AS899" s="421"/>
      <c r="AT899" s="421"/>
      <c r="AU899" s="421"/>
      <c r="AV899" s="421"/>
      <c r="AW899" s="421"/>
      <c r="AX899" s="421"/>
      <c r="AY899" s="421"/>
      <c r="AZ899" s="421"/>
      <c r="BA899" s="421"/>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c r="BY899" s="115"/>
      <c r="BZ899" s="115"/>
      <c r="CA899" s="115"/>
      <c r="CB899" s="115"/>
      <c r="CC899" s="115"/>
      <c r="CD899" s="115"/>
      <c r="CE899" s="115"/>
      <c r="CF899" s="115"/>
      <c r="CG899" s="115"/>
      <c r="CH899" s="115"/>
      <c r="CI899" s="115"/>
      <c r="CJ899" s="115"/>
      <c r="CK899" s="115"/>
      <c r="CL899" s="115"/>
      <c r="CM899" s="115"/>
      <c r="CN899" s="115"/>
      <c r="CO899" s="115"/>
      <c r="CP899" s="115"/>
      <c r="CQ899" s="115"/>
      <c r="CR899" s="115"/>
      <c r="CS899" s="115"/>
      <c r="CT899" s="115"/>
      <c r="CU899" s="115"/>
      <c r="CV899" s="115"/>
      <c r="CW899" s="115"/>
      <c r="CX899" s="115"/>
      <c r="CY899" s="115"/>
      <c r="CZ899" s="115"/>
      <c r="DA899" s="115"/>
      <c r="DB899" s="115"/>
      <c r="DC899" s="115"/>
      <c r="DD899" s="115"/>
      <c r="DE899" s="115"/>
      <c r="DF899" s="115"/>
      <c r="DG899" s="115"/>
    </row>
    <row r="900" spans="1:111" ht="9" customHeight="1">
      <c r="C900" s="416"/>
      <c r="D900" s="416"/>
      <c r="E900" s="416"/>
      <c r="F900" s="416"/>
      <c r="G900" s="416"/>
      <c r="H900" s="416"/>
      <c r="J900" s="421"/>
      <c r="K900" s="421"/>
      <c r="L900" s="421"/>
      <c r="M900" s="421"/>
      <c r="N900" s="421"/>
      <c r="O900" s="421"/>
      <c r="P900" s="421"/>
      <c r="Q900" s="421"/>
      <c r="R900" s="421"/>
      <c r="S900" s="421"/>
      <c r="T900" s="421"/>
      <c r="U900" s="421"/>
      <c r="V900" s="421"/>
      <c r="W900" s="421"/>
      <c r="X900" s="421"/>
      <c r="Y900" s="421"/>
      <c r="Z900" s="421"/>
      <c r="AA900" s="421"/>
      <c r="AB900" s="421"/>
      <c r="AC900" s="421"/>
      <c r="AD900" s="421"/>
      <c r="AE900" s="421"/>
      <c r="AF900" s="421"/>
      <c r="AG900" s="421"/>
      <c r="AH900" s="421"/>
      <c r="AI900" s="421"/>
      <c r="AJ900" s="421"/>
      <c r="AK900" s="421"/>
      <c r="AL900" s="421"/>
      <c r="AM900" s="421"/>
      <c r="AN900" s="421"/>
      <c r="AO900" s="421"/>
      <c r="AP900" s="421"/>
      <c r="AQ900" s="421"/>
      <c r="AR900" s="421"/>
      <c r="AS900" s="421"/>
      <c r="AT900" s="421"/>
      <c r="AU900" s="421"/>
      <c r="AV900" s="421"/>
      <c r="AW900" s="421"/>
      <c r="AX900" s="421"/>
      <c r="AY900" s="421"/>
      <c r="AZ900" s="421"/>
      <c r="BA900" s="421"/>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c r="BY900" s="115"/>
      <c r="BZ900" s="115"/>
      <c r="CA900" s="115"/>
      <c r="CB900" s="115"/>
      <c r="CC900" s="115"/>
      <c r="CD900" s="115"/>
      <c r="CE900" s="115"/>
      <c r="CF900" s="115"/>
      <c r="CG900" s="115"/>
      <c r="CH900" s="115"/>
      <c r="CI900" s="115"/>
      <c r="CJ900" s="115"/>
      <c r="CK900" s="115"/>
      <c r="CL900" s="115"/>
      <c r="CM900" s="115"/>
      <c r="CN900" s="115"/>
      <c r="CO900" s="115"/>
      <c r="CP900" s="115"/>
      <c r="CQ900" s="115"/>
      <c r="CR900" s="115"/>
      <c r="CS900" s="115"/>
      <c r="CT900" s="115"/>
      <c r="CU900" s="115"/>
      <c r="CV900" s="115"/>
      <c r="CW900" s="115"/>
      <c r="CX900" s="115"/>
      <c r="CY900" s="115"/>
      <c r="CZ900" s="115"/>
      <c r="DA900" s="115"/>
      <c r="DB900" s="115"/>
      <c r="DC900" s="115"/>
      <c r="DD900" s="115"/>
      <c r="DE900" s="115"/>
      <c r="DF900" s="115"/>
      <c r="DG900" s="115"/>
    </row>
    <row r="901" spans="1:111" ht="9" customHeight="1">
      <c r="C901" s="416"/>
      <c r="D901" s="416"/>
      <c r="E901" s="416"/>
      <c r="F901" s="416"/>
      <c r="G901" s="416"/>
      <c r="H901" s="416"/>
      <c r="J901" s="421"/>
      <c r="K901" s="421"/>
      <c r="L901" s="421"/>
      <c r="M901" s="421"/>
      <c r="N901" s="421"/>
      <c r="O901" s="421"/>
      <c r="P901" s="421"/>
      <c r="Q901" s="421"/>
      <c r="R901" s="421"/>
      <c r="S901" s="421"/>
      <c r="T901" s="421"/>
      <c r="U901" s="421"/>
      <c r="V901" s="421"/>
      <c r="W901" s="421"/>
      <c r="X901" s="421"/>
      <c r="Y901" s="421"/>
      <c r="Z901" s="421"/>
      <c r="AA901" s="421"/>
      <c r="AB901" s="421"/>
      <c r="AC901" s="421"/>
      <c r="AD901" s="421"/>
      <c r="AE901" s="421"/>
      <c r="AF901" s="421"/>
      <c r="AG901" s="421"/>
      <c r="AH901" s="421"/>
      <c r="AI901" s="421"/>
      <c r="AJ901" s="421"/>
      <c r="AK901" s="421"/>
      <c r="AL901" s="421"/>
      <c r="AM901" s="421"/>
      <c r="AN901" s="421"/>
      <c r="AO901" s="421"/>
      <c r="AP901" s="421"/>
      <c r="AQ901" s="421"/>
      <c r="AR901" s="421"/>
      <c r="AS901" s="421"/>
      <c r="AT901" s="421"/>
      <c r="AU901" s="421"/>
      <c r="AV901" s="421"/>
      <c r="AW901" s="421"/>
      <c r="AX901" s="421"/>
      <c r="AY901" s="421"/>
      <c r="AZ901" s="421"/>
      <c r="BA901" s="421"/>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c r="BY901" s="115"/>
      <c r="BZ901" s="115"/>
      <c r="CA901" s="115"/>
      <c r="CB901" s="115"/>
      <c r="CC901" s="115"/>
      <c r="CD901" s="115"/>
      <c r="CE901" s="115"/>
      <c r="CF901" s="115"/>
      <c r="CG901" s="115"/>
      <c r="CH901" s="115"/>
      <c r="CI901" s="115"/>
      <c r="CJ901" s="115"/>
      <c r="CK901" s="115"/>
      <c r="CL901" s="115"/>
      <c r="CM901" s="115"/>
      <c r="CN901" s="115"/>
      <c r="CO901" s="115"/>
      <c r="CP901" s="115"/>
      <c r="CQ901" s="115"/>
      <c r="CR901" s="115"/>
      <c r="CS901" s="115"/>
      <c r="CT901" s="115"/>
      <c r="CU901" s="115"/>
      <c r="CV901" s="115"/>
      <c r="CW901" s="115"/>
      <c r="CX901" s="115"/>
      <c r="CY901" s="115"/>
      <c r="CZ901" s="115"/>
      <c r="DA901" s="115"/>
      <c r="DB901" s="115"/>
      <c r="DC901" s="115"/>
      <c r="DD901" s="115"/>
      <c r="DE901" s="115"/>
      <c r="DF901" s="115"/>
      <c r="DG901" s="115"/>
    </row>
    <row r="902" spans="1:111" ht="4.5" customHeight="1">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c r="BY902" s="115"/>
      <c r="BZ902" s="115"/>
      <c r="CA902" s="115"/>
      <c r="CB902" s="115"/>
      <c r="CC902" s="115"/>
      <c r="CD902" s="115"/>
      <c r="CE902" s="115"/>
      <c r="CF902" s="115"/>
      <c r="CG902" s="115"/>
      <c r="CH902" s="115"/>
      <c r="CI902" s="115"/>
      <c r="CJ902" s="115"/>
      <c r="CK902" s="115"/>
      <c r="CL902" s="115"/>
      <c r="CM902" s="115"/>
      <c r="CN902" s="115"/>
      <c r="CO902" s="115"/>
      <c r="CP902" s="115"/>
      <c r="CQ902" s="115"/>
      <c r="CR902" s="115"/>
      <c r="CS902" s="115"/>
      <c r="CT902" s="115"/>
      <c r="CU902" s="115"/>
      <c r="CV902" s="115"/>
      <c r="CW902" s="115"/>
      <c r="CX902" s="115"/>
      <c r="CY902" s="115"/>
      <c r="CZ902" s="115"/>
      <c r="DA902" s="115"/>
      <c r="DB902" s="115"/>
      <c r="DC902" s="115"/>
      <c r="DD902" s="115"/>
      <c r="DE902" s="115"/>
      <c r="DF902" s="115"/>
      <c r="DG902" s="115"/>
    </row>
    <row r="903" spans="1:111" ht="9" customHeight="1">
      <c r="A903" s="61" t="str">
        <f>CONCATENATE(Q903,AC903)</f>
        <v/>
      </c>
      <c r="J903" s="416" t="str">
        <f>IF(C893="","","Meta Vinculada:")</f>
        <v/>
      </c>
      <c r="K903" s="416"/>
      <c r="L903" s="416"/>
      <c r="M903" s="416"/>
      <c r="N903" s="416"/>
      <c r="O903" s="416"/>
      <c r="Q903" s="417"/>
      <c r="R903" s="417"/>
      <c r="S903" s="417"/>
      <c r="T903" s="417"/>
      <c r="U903" s="56"/>
      <c r="V903" s="416" t="str">
        <f>IF(C893="","","Etapa Vinculada:")</f>
        <v/>
      </c>
      <c r="W903" s="416"/>
      <c r="X903" s="416"/>
      <c r="Y903" s="416"/>
      <c r="Z903" s="416"/>
      <c r="AA903" s="416"/>
      <c r="AC903" s="417"/>
      <c r="AD903" s="417"/>
      <c r="AE903" s="417"/>
      <c r="AF903" s="417"/>
      <c r="AG903" s="56"/>
      <c r="AH903" s="56"/>
      <c r="AI903" s="56"/>
      <c r="AJ903" s="56"/>
      <c r="AK903" s="141"/>
      <c r="AL903" s="141"/>
      <c r="AM903" s="141"/>
      <c r="AN903" s="141"/>
      <c r="AO903" s="140"/>
      <c r="AP903" s="140"/>
      <c r="AQ903" s="140"/>
      <c r="AR903" s="140"/>
      <c r="AS903" s="142"/>
      <c r="AT903" s="142"/>
      <c r="AU903" s="142"/>
      <c r="AV903" s="142"/>
      <c r="AW903" s="140"/>
      <c r="AX903" s="140"/>
      <c r="AY903" s="140"/>
      <c r="AZ903" s="140"/>
      <c r="BA903" s="140"/>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c r="BY903" s="115"/>
      <c r="BZ903" s="115"/>
      <c r="CA903" s="115"/>
      <c r="CB903" s="115"/>
      <c r="CC903" s="115"/>
      <c r="CD903" s="115"/>
      <c r="CE903" s="115"/>
      <c r="CF903" s="115"/>
      <c r="CG903" s="115"/>
      <c r="CH903" s="115"/>
      <c r="CI903" s="115"/>
      <c r="CJ903" s="115"/>
      <c r="CK903" s="115"/>
      <c r="CL903" s="115"/>
      <c r="CM903" s="115"/>
      <c r="CN903" s="115"/>
      <c r="CO903" s="115"/>
      <c r="CP903" s="115"/>
      <c r="CQ903" s="115"/>
      <c r="CR903" s="115"/>
      <c r="CS903" s="115"/>
      <c r="CT903" s="115"/>
      <c r="CU903" s="115"/>
      <c r="CV903" s="115"/>
      <c r="CW903" s="115"/>
      <c r="CX903" s="115"/>
      <c r="CY903" s="115"/>
      <c r="CZ903" s="115"/>
      <c r="DA903" s="115"/>
      <c r="DB903" s="115"/>
      <c r="DC903" s="115"/>
      <c r="DD903" s="115"/>
      <c r="DE903" s="115"/>
      <c r="DF903" s="115"/>
      <c r="DG903" s="115"/>
    </row>
    <row r="904" spans="1:111" ht="9" customHeight="1">
      <c r="B904" s="55"/>
      <c r="C904" s="55"/>
      <c r="D904" s="56"/>
      <c r="E904" s="56"/>
      <c r="F904" s="56"/>
      <c r="G904" s="56"/>
      <c r="H904" s="56"/>
      <c r="I904" s="56"/>
      <c r="J904" s="416"/>
      <c r="K904" s="416"/>
      <c r="L904" s="416"/>
      <c r="M904" s="416"/>
      <c r="N904" s="416"/>
      <c r="O904" s="416"/>
      <c r="Q904" s="417"/>
      <c r="R904" s="417"/>
      <c r="S904" s="417"/>
      <c r="T904" s="417"/>
      <c r="U904" s="56"/>
      <c r="V904" s="416"/>
      <c r="W904" s="416"/>
      <c r="X904" s="416"/>
      <c r="Y904" s="416"/>
      <c r="Z904" s="416"/>
      <c r="AA904" s="416"/>
      <c r="AC904" s="417"/>
      <c r="AD904" s="417"/>
      <c r="AE904" s="417"/>
      <c r="AF904" s="417"/>
      <c r="AG904" s="56"/>
      <c r="AH904" s="56"/>
      <c r="AI904" s="56"/>
      <c r="AJ904" s="56"/>
      <c r="AK904" s="141"/>
      <c r="AL904" s="141"/>
      <c r="AM904" s="141"/>
      <c r="AN904" s="141"/>
      <c r="AO904" s="140"/>
      <c r="AP904" s="140"/>
      <c r="AQ904" s="140"/>
      <c r="AR904" s="140"/>
      <c r="AS904" s="142"/>
      <c r="AT904" s="142"/>
      <c r="AU904" s="142"/>
      <c r="AV904" s="142"/>
      <c r="AW904" s="140"/>
      <c r="AX904" s="140"/>
      <c r="AY904" s="140"/>
      <c r="AZ904" s="140"/>
      <c r="BA904" s="140"/>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c r="BY904" s="115"/>
      <c r="BZ904" s="115"/>
      <c r="CA904" s="115"/>
      <c r="CB904" s="115"/>
      <c r="CC904" s="115"/>
      <c r="CD904" s="115"/>
      <c r="CE904" s="115"/>
      <c r="CF904" s="115"/>
      <c r="CG904" s="115"/>
      <c r="CH904" s="115"/>
      <c r="CI904" s="115"/>
      <c r="CJ904" s="115"/>
      <c r="CK904" s="115"/>
      <c r="CL904" s="115"/>
      <c r="CM904" s="115"/>
      <c r="CN904" s="115"/>
      <c r="CO904" s="115"/>
      <c r="CP904" s="115"/>
      <c r="CQ904" s="115"/>
      <c r="CR904" s="115"/>
      <c r="CS904" s="115"/>
      <c r="CT904" s="115"/>
      <c r="CU904" s="115"/>
      <c r="CV904" s="115"/>
      <c r="CW904" s="115"/>
      <c r="CX904" s="115"/>
      <c r="CY904" s="115"/>
      <c r="CZ904" s="115"/>
      <c r="DA904" s="115"/>
      <c r="DB904" s="115"/>
      <c r="DC904" s="115"/>
      <c r="DD904" s="115"/>
      <c r="DE904" s="115"/>
      <c r="DF904" s="115"/>
      <c r="DG904" s="115"/>
    </row>
    <row r="905" spans="1:111" ht="9" customHeight="1">
      <c r="Q905" s="417"/>
      <c r="R905" s="417"/>
      <c r="S905" s="417"/>
      <c r="T905" s="417"/>
      <c r="AC905" s="417"/>
      <c r="AD905" s="417"/>
      <c r="AE905" s="417"/>
      <c r="AF905" s="417"/>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c r="BY905" s="115"/>
      <c r="BZ905" s="115"/>
      <c r="CA905" s="115"/>
      <c r="CB905" s="115"/>
      <c r="CC905" s="115"/>
      <c r="CD905" s="115"/>
      <c r="CE905" s="115"/>
      <c r="CF905" s="115"/>
      <c r="CG905" s="115"/>
      <c r="CH905" s="115"/>
      <c r="CI905" s="115"/>
      <c r="CJ905" s="115"/>
      <c r="CK905" s="115"/>
      <c r="CL905" s="115"/>
      <c r="CM905" s="115"/>
      <c r="CN905" s="115"/>
      <c r="CO905" s="115"/>
      <c r="CP905" s="115"/>
      <c r="CQ905" s="115"/>
      <c r="CR905" s="115"/>
      <c r="CS905" s="115"/>
      <c r="CT905" s="115"/>
      <c r="CU905" s="115"/>
      <c r="CV905" s="115"/>
      <c r="CW905" s="115"/>
      <c r="CX905" s="115"/>
      <c r="CY905" s="115"/>
      <c r="CZ905" s="115"/>
      <c r="DA905" s="115"/>
      <c r="DB905" s="115"/>
      <c r="DC905" s="115"/>
      <c r="DD905" s="115"/>
      <c r="DE905" s="115"/>
      <c r="DF905" s="115"/>
      <c r="DG905" s="115"/>
    </row>
    <row r="906" spans="1:111" ht="4.5" customHeight="1">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c r="BY906" s="115"/>
      <c r="BZ906" s="115"/>
      <c r="CA906" s="115"/>
      <c r="CB906" s="115"/>
      <c r="CC906" s="115"/>
      <c r="CD906" s="115"/>
      <c r="CE906" s="115"/>
      <c r="CF906" s="115"/>
      <c r="CG906" s="115"/>
      <c r="CH906" s="115"/>
      <c r="CI906" s="115"/>
      <c r="CJ906" s="115"/>
      <c r="CK906" s="115"/>
      <c r="CL906" s="115"/>
      <c r="CM906" s="115"/>
      <c r="CN906" s="115"/>
      <c r="CO906" s="115"/>
      <c r="CP906" s="115"/>
      <c r="CQ906" s="115"/>
      <c r="CR906" s="115"/>
      <c r="CS906" s="115"/>
      <c r="CT906" s="115"/>
      <c r="CU906" s="115"/>
      <c r="CV906" s="115"/>
      <c r="CW906" s="115"/>
      <c r="CX906" s="115"/>
      <c r="CY906" s="115"/>
      <c r="CZ906" s="115"/>
      <c r="DA906" s="115"/>
      <c r="DB906" s="115"/>
      <c r="DC906" s="115"/>
      <c r="DD906" s="115"/>
      <c r="DE906" s="115"/>
      <c r="DF906" s="115"/>
      <c r="DG906" s="115"/>
    </row>
    <row r="907" spans="1:111" ht="9" customHeight="1">
      <c r="A907" s="154"/>
      <c r="B907" s="154"/>
      <c r="C907" s="154"/>
      <c r="D907" s="154"/>
      <c r="E907" s="154"/>
      <c r="F907" s="154"/>
      <c r="G907" s="154"/>
      <c r="H907" s="154"/>
      <c r="I907" s="154"/>
      <c r="J907" s="416" t="str">
        <f>IF(C893="","","Quantidade:")</f>
        <v/>
      </c>
      <c r="K907" s="416"/>
      <c r="L907" s="416"/>
      <c r="M907" s="416"/>
      <c r="N907" s="416"/>
      <c r="O907" s="416"/>
      <c r="P907" s="154"/>
      <c r="Q907" s="417"/>
      <c r="R907" s="417"/>
      <c r="S907" s="417"/>
      <c r="T907" s="417"/>
      <c r="U907" s="154"/>
      <c r="V907" s="416" t="str">
        <f>IF(C893="","","Unidade:")</f>
        <v/>
      </c>
      <c r="W907" s="416"/>
      <c r="X907" s="416"/>
      <c r="Y907" s="416"/>
      <c r="Z907" s="416"/>
      <c r="AA907" s="416"/>
      <c r="AB907" s="154"/>
      <c r="AC907" s="418"/>
      <c r="AD907" s="418"/>
      <c r="AE907" s="418"/>
      <c r="AF907" s="418"/>
      <c r="AG907" s="418"/>
      <c r="AH907" s="418"/>
      <c r="AI907" s="418"/>
      <c r="AJ907" s="418"/>
      <c r="AK907" s="418"/>
      <c r="AL907" s="418"/>
      <c r="AM907" s="418"/>
      <c r="AN907" s="418"/>
      <c r="AO907" s="418"/>
      <c r="AP907" s="418"/>
      <c r="AQ907" s="418"/>
      <c r="AR907" s="418"/>
      <c r="AS907" s="418"/>
      <c r="AT907" s="418"/>
      <c r="AU907" s="418"/>
      <c r="AV907" s="418"/>
      <c r="AW907" s="418"/>
      <c r="AX907" s="418"/>
      <c r="AY907" s="418"/>
      <c r="AZ907" s="418"/>
      <c r="BA907" s="418"/>
      <c r="BB907" s="154"/>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c r="BY907" s="115"/>
      <c r="BZ907" s="115"/>
      <c r="CA907" s="115"/>
      <c r="CB907" s="115"/>
      <c r="CC907" s="115"/>
      <c r="CD907" s="115"/>
      <c r="CE907" s="115"/>
      <c r="CF907" s="115"/>
      <c r="CG907" s="115"/>
      <c r="CH907" s="115"/>
      <c r="CI907" s="115"/>
      <c r="CJ907" s="115"/>
      <c r="CK907" s="115"/>
      <c r="CL907" s="115"/>
      <c r="CM907" s="115"/>
      <c r="CN907" s="115"/>
      <c r="CO907" s="115"/>
      <c r="CP907" s="115"/>
      <c r="CQ907" s="115"/>
      <c r="CR907" s="115"/>
      <c r="CS907" s="115"/>
      <c r="CT907" s="115"/>
      <c r="CU907" s="115"/>
      <c r="CV907" s="115"/>
      <c r="CW907" s="115"/>
      <c r="CX907" s="115"/>
      <c r="CY907" s="115"/>
      <c r="CZ907" s="115"/>
      <c r="DA907" s="115"/>
      <c r="DB907" s="115"/>
      <c r="DC907" s="115"/>
      <c r="DD907" s="115"/>
      <c r="DE907" s="115"/>
      <c r="DF907" s="115"/>
      <c r="DG907" s="115"/>
    </row>
    <row r="908" spans="1:111" ht="9" customHeight="1">
      <c r="A908" s="154"/>
      <c r="B908" s="154"/>
      <c r="C908" s="154"/>
      <c r="D908" s="154"/>
      <c r="E908" s="154"/>
      <c r="F908" s="154"/>
      <c r="G908" s="154"/>
      <c r="H908" s="154"/>
      <c r="I908" s="154"/>
      <c r="J908" s="416"/>
      <c r="K908" s="416"/>
      <c r="L908" s="416"/>
      <c r="M908" s="416"/>
      <c r="N908" s="416"/>
      <c r="O908" s="416"/>
      <c r="P908" s="154"/>
      <c r="Q908" s="417"/>
      <c r="R908" s="417"/>
      <c r="S908" s="417"/>
      <c r="T908" s="417"/>
      <c r="U908" s="154"/>
      <c r="V908" s="416"/>
      <c r="W908" s="416"/>
      <c r="X908" s="416"/>
      <c r="Y908" s="416"/>
      <c r="Z908" s="416"/>
      <c r="AA908" s="416"/>
      <c r="AB908" s="154"/>
      <c r="AC908" s="418"/>
      <c r="AD908" s="418"/>
      <c r="AE908" s="418"/>
      <c r="AF908" s="418"/>
      <c r="AG908" s="418"/>
      <c r="AH908" s="418"/>
      <c r="AI908" s="418"/>
      <c r="AJ908" s="418"/>
      <c r="AK908" s="418"/>
      <c r="AL908" s="418"/>
      <c r="AM908" s="418"/>
      <c r="AN908" s="418"/>
      <c r="AO908" s="418"/>
      <c r="AP908" s="418"/>
      <c r="AQ908" s="418"/>
      <c r="AR908" s="418"/>
      <c r="AS908" s="418"/>
      <c r="AT908" s="418"/>
      <c r="AU908" s="418"/>
      <c r="AV908" s="418"/>
      <c r="AW908" s="418"/>
      <c r="AX908" s="418"/>
      <c r="AY908" s="418"/>
      <c r="AZ908" s="418"/>
      <c r="BA908" s="418"/>
      <c r="BB908" s="154"/>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c r="BY908" s="115"/>
      <c r="BZ908" s="115"/>
      <c r="CA908" s="115"/>
      <c r="CB908" s="115"/>
      <c r="CC908" s="115"/>
      <c r="CD908" s="115"/>
      <c r="CE908" s="115"/>
      <c r="CF908" s="115"/>
      <c r="CG908" s="115"/>
      <c r="CH908" s="115"/>
      <c r="CI908" s="115"/>
      <c r="CJ908" s="115"/>
      <c r="CK908" s="115"/>
      <c r="CL908" s="115"/>
      <c r="CM908" s="115"/>
      <c r="CN908" s="115"/>
      <c r="CO908" s="115"/>
      <c r="CP908" s="115"/>
      <c r="CQ908" s="115"/>
      <c r="CR908" s="115"/>
      <c r="CS908" s="115"/>
      <c r="CT908" s="115"/>
      <c r="CU908" s="115"/>
      <c r="CV908" s="115"/>
      <c r="CW908" s="115"/>
      <c r="CX908" s="115"/>
      <c r="CY908" s="115"/>
      <c r="CZ908" s="115"/>
      <c r="DA908" s="115"/>
      <c r="DB908" s="115"/>
      <c r="DC908" s="115"/>
      <c r="DD908" s="115"/>
      <c r="DE908" s="115"/>
      <c r="DF908" s="115"/>
      <c r="DG908" s="115"/>
    </row>
    <row r="909" spans="1:111" ht="9" customHeight="1">
      <c r="A909" s="154"/>
      <c r="B909" s="154"/>
      <c r="C909" s="154"/>
      <c r="D909" s="154"/>
      <c r="E909" s="154"/>
      <c r="F909" s="154"/>
      <c r="G909" s="154"/>
      <c r="H909" s="154"/>
      <c r="I909" s="154"/>
      <c r="J909" s="154"/>
      <c r="K909" s="154"/>
      <c r="L909" s="154"/>
      <c r="M909" s="154"/>
      <c r="N909" s="154"/>
      <c r="O909" s="154"/>
      <c r="P909" s="154"/>
      <c r="Q909" s="417"/>
      <c r="R909" s="417"/>
      <c r="S909" s="417"/>
      <c r="T909" s="417"/>
      <c r="U909" s="154"/>
      <c r="V909" s="154"/>
      <c r="W909" s="154"/>
      <c r="X909" s="154"/>
      <c r="Y909" s="154"/>
      <c r="Z909" s="154"/>
      <c r="AA909" s="154"/>
      <c r="AB909" s="154"/>
      <c r="AC909" s="418"/>
      <c r="AD909" s="418"/>
      <c r="AE909" s="418"/>
      <c r="AF909" s="418"/>
      <c r="AG909" s="418"/>
      <c r="AH909" s="418"/>
      <c r="AI909" s="418"/>
      <c r="AJ909" s="418"/>
      <c r="AK909" s="418"/>
      <c r="AL909" s="418"/>
      <c r="AM909" s="418"/>
      <c r="AN909" s="418"/>
      <c r="AO909" s="418"/>
      <c r="AP909" s="418"/>
      <c r="AQ909" s="418"/>
      <c r="AR909" s="418"/>
      <c r="AS909" s="418"/>
      <c r="AT909" s="418"/>
      <c r="AU909" s="418"/>
      <c r="AV909" s="418"/>
      <c r="AW909" s="418"/>
      <c r="AX909" s="418"/>
      <c r="AY909" s="418"/>
      <c r="AZ909" s="418"/>
      <c r="BA909" s="418"/>
      <c r="BB909" s="154"/>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c r="BY909" s="115"/>
      <c r="BZ909" s="115"/>
      <c r="CA909" s="115"/>
      <c r="CB909" s="115"/>
      <c r="CC909" s="115"/>
      <c r="CD909" s="115"/>
      <c r="CE909" s="115"/>
      <c r="CF909" s="115"/>
      <c r="CG909" s="115"/>
      <c r="CH909" s="115"/>
      <c r="CI909" s="115"/>
      <c r="CJ909" s="115"/>
      <c r="CK909" s="115"/>
      <c r="CL909" s="115"/>
      <c r="CM909" s="115"/>
      <c r="CN909" s="115"/>
      <c r="CO909" s="115"/>
      <c r="CP909" s="115"/>
      <c r="CQ909" s="115"/>
      <c r="CR909" s="115"/>
      <c r="CS909" s="115"/>
      <c r="CT909" s="115"/>
      <c r="CU909" s="115"/>
      <c r="CV909" s="115"/>
      <c r="CW909" s="115"/>
      <c r="CX909" s="115"/>
      <c r="CY909" s="115"/>
      <c r="CZ909" s="115"/>
      <c r="DA909" s="115"/>
      <c r="DB909" s="115"/>
      <c r="DC909" s="115"/>
      <c r="DD909" s="115"/>
      <c r="DE909" s="115"/>
      <c r="DF909" s="115"/>
      <c r="DG909" s="115"/>
    </row>
    <row r="910" spans="1:111" ht="4.5" customHeight="1">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c r="BY910" s="115"/>
      <c r="BZ910" s="115"/>
      <c r="CA910" s="115"/>
      <c r="CB910" s="115"/>
      <c r="CC910" s="115"/>
      <c r="CD910" s="115"/>
      <c r="CE910" s="115"/>
      <c r="CF910" s="115"/>
      <c r="CG910" s="115"/>
      <c r="CH910" s="115"/>
      <c r="CI910" s="115"/>
      <c r="CJ910" s="115"/>
      <c r="CK910" s="115"/>
      <c r="CL910" s="115"/>
      <c r="CM910" s="115"/>
      <c r="CN910" s="115"/>
      <c r="CO910" s="115"/>
      <c r="CP910" s="115"/>
      <c r="CQ910" s="115"/>
      <c r="CR910" s="115"/>
      <c r="CS910" s="115"/>
      <c r="CT910" s="115"/>
      <c r="CU910" s="115"/>
      <c r="CV910" s="115"/>
      <c r="CW910" s="115"/>
      <c r="CX910" s="115"/>
      <c r="CY910" s="115"/>
      <c r="CZ910" s="115"/>
      <c r="DA910" s="115"/>
      <c r="DB910" s="115"/>
      <c r="DC910" s="115"/>
      <c r="DD910" s="115"/>
      <c r="DE910" s="115"/>
      <c r="DF910" s="115"/>
      <c r="DG910" s="115"/>
    </row>
    <row r="911" spans="1:111" ht="9" customHeight="1">
      <c r="A911" s="154"/>
      <c r="B911" s="154"/>
      <c r="C911" s="154"/>
      <c r="D911" s="154"/>
      <c r="E911" s="154"/>
      <c r="F911" s="154"/>
      <c r="G911" s="154"/>
      <c r="H911" s="154"/>
      <c r="I911" s="154"/>
      <c r="J911" s="416" t="str">
        <f>IF(C893="","","Valor Unitário (R$):")</f>
        <v/>
      </c>
      <c r="K911" s="416"/>
      <c r="L911" s="416"/>
      <c r="M911" s="416"/>
      <c r="N911" s="416"/>
      <c r="O911" s="416"/>
      <c r="P911" s="154"/>
      <c r="Q911" s="419"/>
      <c r="R911" s="419"/>
      <c r="S911" s="419"/>
      <c r="T911" s="419"/>
      <c r="U911" s="419"/>
      <c r="V911" s="419"/>
      <c r="W911" s="419"/>
      <c r="X911" s="419"/>
      <c r="Y911" s="154"/>
      <c r="Z911" s="416" t="str">
        <f>IF(C893="","",IF(J899="52 Equipamentos e Material Permanente","Tempo de Uso:",""))</f>
        <v/>
      </c>
      <c r="AA911" s="416"/>
      <c r="AB911" s="416"/>
      <c r="AC911" s="416"/>
      <c r="AD911" s="416"/>
      <c r="AE911" s="416"/>
      <c r="AF911" s="154"/>
      <c r="AG911" s="420"/>
      <c r="AH911" s="420"/>
      <c r="AI911" s="420"/>
      <c r="AJ911" s="420"/>
      <c r="AK911" s="420"/>
      <c r="AL911" s="420"/>
      <c r="AM911" s="420"/>
      <c r="AN911" s="420"/>
      <c r="AO911" s="420"/>
      <c r="AP911" s="420"/>
      <c r="AQ911" s="420"/>
      <c r="AR911" s="420"/>
      <c r="AS911" s="420"/>
      <c r="AT911" s="420"/>
      <c r="AU911" s="420"/>
      <c r="AV911" s="420"/>
      <c r="AW911" s="420"/>
      <c r="AX911" s="420"/>
      <c r="AY911" s="420"/>
      <c r="AZ911" s="420"/>
      <c r="BA911" s="420"/>
      <c r="BB911" s="154"/>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c r="BY911" s="115"/>
      <c r="BZ911" s="115"/>
      <c r="CA911" s="115"/>
      <c r="CB911" s="115"/>
      <c r="CC911" s="115"/>
      <c r="CD911" s="115"/>
      <c r="CE911" s="115"/>
      <c r="CF911" s="115"/>
      <c r="CG911" s="115"/>
      <c r="CH911" s="115"/>
      <c r="CI911" s="115"/>
      <c r="CJ911" s="115"/>
      <c r="CK911" s="115"/>
      <c r="CL911" s="115"/>
      <c r="CM911" s="115"/>
      <c r="CN911" s="115"/>
      <c r="CO911" s="115"/>
      <c r="CP911" s="115"/>
      <c r="CQ911" s="115"/>
      <c r="CR911" s="115"/>
      <c r="CS911" s="115"/>
      <c r="CT911" s="115"/>
      <c r="CU911" s="115"/>
      <c r="CV911" s="115"/>
      <c r="CW911" s="115"/>
      <c r="CX911" s="115"/>
      <c r="CY911" s="115"/>
      <c r="CZ911" s="115"/>
      <c r="DA911" s="115"/>
      <c r="DB911" s="115"/>
      <c r="DC911" s="115"/>
      <c r="DD911" s="115"/>
      <c r="DE911" s="115"/>
      <c r="DF911" s="115"/>
      <c r="DG911" s="115"/>
    </row>
    <row r="912" spans="1:111" ht="9" customHeight="1">
      <c r="A912" s="154"/>
      <c r="B912" s="154"/>
      <c r="C912" s="154"/>
      <c r="D912" s="154"/>
      <c r="E912" s="154"/>
      <c r="F912" s="154"/>
      <c r="G912" s="154"/>
      <c r="H912" s="154"/>
      <c r="I912" s="154"/>
      <c r="J912" s="416"/>
      <c r="K912" s="416"/>
      <c r="L912" s="416"/>
      <c r="M912" s="416"/>
      <c r="N912" s="416"/>
      <c r="O912" s="416"/>
      <c r="P912" s="154"/>
      <c r="Q912" s="419"/>
      <c r="R912" s="419"/>
      <c r="S912" s="419"/>
      <c r="T912" s="419"/>
      <c r="U912" s="419"/>
      <c r="V912" s="419"/>
      <c r="W912" s="419"/>
      <c r="X912" s="419"/>
      <c r="Y912" s="154"/>
      <c r="Z912" s="416"/>
      <c r="AA912" s="416"/>
      <c r="AB912" s="416"/>
      <c r="AC912" s="416"/>
      <c r="AD912" s="416"/>
      <c r="AE912" s="416"/>
      <c r="AF912" s="154"/>
      <c r="AG912" s="420"/>
      <c r="AH912" s="420"/>
      <c r="AI912" s="420"/>
      <c r="AJ912" s="420"/>
      <c r="AK912" s="420"/>
      <c r="AL912" s="420"/>
      <c r="AM912" s="420"/>
      <c r="AN912" s="420"/>
      <c r="AO912" s="420"/>
      <c r="AP912" s="420"/>
      <c r="AQ912" s="420"/>
      <c r="AR912" s="420"/>
      <c r="AS912" s="420"/>
      <c r="AT912" s="420"/>
      <c r="AU912" s="420"/>
      <c r="AV912" s="420"/>
      <c r="AW912" s="420"/>
      <c r="AX912" s="420"/>
      <c r="AY912" s="420"/>
      <c r="AZ912" s="420"/>
      <c r="BA912" s="420"/>
      <c r="BB912" s="154"/>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c r="BY912" s="115"/>
      <c r="BZ912" s="115"/>
      <c r="CA912" s="115"/>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5"/>
      <c r="DD912" s="115"/>
      <c r="DE912" s="115"/>
      <c r="DF912" s="115"/>
      <c r="DG912" s="115"/>
    </row>
    <row r="913" spans="1:111" ht="9" customHeight="1">
      <c r="A913" s="154"/>
      <c r="B913" s="154"/>
      <c r="C913" s="154"/>
      <c r="D913" s="154"/>
      <c r="E913" s="154"/>
      <c r="F913" s="154"/>
      <c r="G913" s="154"/>
      <c r="H913" s="154"/>
      <c r="I913" s="154"/>
      <c r="J913" s="154"/>
      <c r="K913" s="154"/>
      <c r="L913" s="154"/>
      <c r="M913" s="154"/>
      <c r="N913" s="154"/>
      <c r="O913" s="154"/>
      <c r="P913" s="154"/>
      <c r="Q913" s="419"/>
      <c r="R913" s="419"/>
      <c r="S913" s="419"/>
      <c r="T913" s="419"/>
      <c r="U913" s="419"/>
      <c r="V913" s="419"/>
      <c r="W913" s="419"/>
      <c r="X913" s="419"/>
      <c r="Y913" s="154"/>
      <c r="Z913" s="154"/>
      <c r="AA913" s="154"/>
      <c r="AB913" s="154"/>
      <c r="AC913" s="154"/>
      <c r="AD913" s="154"/>
      <c r="AE913" s="154"/>
      <c r="AF913" s="154"/>
      <c r="AG913" s="420"/>
      <c r="AH913" s="420"/>
      <c r="AI913" s="420"/>
      <c r="AJ913" s="420"/>
      <c r="AK913" s="420"/>
      <c r="AL913" s="420"/>
      <c r="AM913" s="420"/>
      <c r="AN913" s="420"/>
      <c r="AO913" s="420"/>
      <c r="AP913" s="420"/>
      <c r="AQ913" s="420"/>
      <c r="AR913" s="420"/>
      <c r="AS913" s="420"/>
      <c r="AT913" s="420"/>
      <c r="AU913" s="420"/>
      <c r="AV913" s="420"/>
      <c r="AW913" s="420"/>
      <c r="AX913" s="420"/>
      <c r="AY913" s="420"/>
      <c r="AZ913" s="420"/>
      <c r="BA913" s="420"/>
      <c r="BB913" s="154"/>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c r="BY913" s="115"/>
      <c r="BZ913" s="115"/>
      <c r="CA913" s="115"/>
      <c r="CB913" s="115"/>
      <c r="CC913" s="115"/>
      <c r="CD913" s="115"/>
      <c r="CE913" s="115"/>
      <c r="CF913" s="115"/>
      <c r="CG913" s="115"/>
      <c r="CH913" s="115"/>
      <c r="CI913" s="115"/>
      <c r="CJ913" s="115"/>
      <c r="CK913" s="115"/>
      <c r="CL913" s="115"/>
      <c r="CM913" s="115"/>
      <c r="CN913" s="115"/>
      <c r="CO913" s="115"/>
      <c r="CP913" s="115"/>
      <c r="CQ913" s="115"/>
      <c r="CR913" s="115"/>
      <c r="CS913" s="115"/>
      <c r="CT913" s="115"/>
      <c r="CU913" s="115"/>
      <c r="CV913" s="115"/>
      <c r="CW913" s="115"/>
      <c r="CX913" s="115"/>
      <c r="CY913" s="115"/>
      <c r="CZ913" s="115"/>
      <c r="DA913" s="115"/>
      <c r="DB913" s="115"/>
      <c r="DC913" s="115"/>
      <c r="DD913" s="115"/>
      <c r="DE913" s="115"/>
      <c r="DF913" s="115"/>
      <c r="DG913" s="115"/>
    </row>
    <row r="914" spans="1:111" ht="4.5" customHeight="1">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c r="BY914" s="115"/>
      <c r="BZ914" s="115"/>
      <c r="CA914" s="115"/>
      <c r="CB914" s="115"/>
      <c r="CC914" s="115"/>
      <c r="CD914" s="115"/>
      <c r="CE914" s="115"/>
      <c r="CF914" s="115"/>
      <c r="CG914" s="115"/>
      <c r="CH914" s="115"/>
      <c r="CI914" s="115"/>
      <c r="CJ914" s="115"/>
      <c r="CK914" s="115"/>
      <c r="CL914" s="115"/>
      <c r="CM914" s="115"/>
      <c r="CN914" s="115"/>
      <c r="CO914" s="115"/>
      <c r="CP914" s="115"/>
      <c r="CQ914" s="115"/>
      <c r="CR914" s="115"/>
      <c r="CS914" s="115"/>
      <c r="CT914" s="115"/>
      <c r="CU914" s="115"/>
      <c r="CV914" s="115"/>
      <c r="CW914" s="115"/>
      <c r="CX914" s="115"/>
      <c r="CY914" s="115"/>
      <c r="CZ914" s="115"/>
      <c r="DA914" s="115"/>
      <c r="DB914" s="115"/>
      <c r="DC914" s="115"/>
      <c r="DD914" s="115"/>
      <c r="DE914" s="115"/>
      <c r="DF914" s="115"/>
      <c r="DG914" s="115"/>
    </row>
    <row r="915" spans="1:111" ht="9" customHeight="1">
      <c r="A915" s="154"/>
      <c r="B915" s="154"/>
      <c r="C915" s="154"/>
      <c r="D915" s="154"/>
      <c r="E915" s="154"/>
      <c r="F915" s="154"/>
      <c r="G915" s="154"/>
      <c r="H915" s="154"/>
      <c r="I915" s="154"/>
      <c r="J915" s="416" t="str">
        <f>IF(C893="","","Valor Total (R$):")</f>
        <v/>
      </c>
      <c r="K915" s="416"/>
      <c r="L915" s="416"/>
      <c r="M915" s="416"/>
      <c r="N915" s="416"/>
      <c r="O915" s="416"/>
      <c r="P915" s="154"/>
      <c r="Q915" s="419" t="str">
        <f>IF(Q911="","",Q907*Q911)</f>
        <v/>
      </c>
      <c r="R915" s="419"/>
      <c r="S915" s="419"/>
      <c r="T915" s="419"/>
      <c r="U915" s="419"/>
      <c r="V915" s="419"/>
      <c r="W915" s="419"/>
      <c r="X915" s="419"/>
      <c r="Y915" s="154"/>
      <c r="Z915" s="416" t="str">
        <f>IF(C893="","",IF(J899="52 Equipamentos e Material Permanente","Justificativa e Utilização:",""))</f>
        <v/>
      </c>
      <c r="AA915" s="416"/>
      <c r="AB915" s="416"/>
      <c r="AC915" s="416"/>
      <c r="AD915" s="416"/>
      <c r="AE915" s="416"/>
      <c r="AF915" s="154"/>
      <c r="AG915" s="420"/>
      <c r="AH915" s="420"/>
      <c r="AI915" s="420"/>
      <c r="AJ915" s="420"/>
      <c r="AK915" s="420"/>
      <c r="AL915" s="420"/>
      <c r="AM915" s="420"/>
      <c r="AN915" s="420"/>
      <c r="AO915" s="420"/>
      <c r="AP915" s="420"/>
      <c r="AQ915" s="420"/>
      <c r="AR915" s="420"/>
      <c r="AS915" s="420"/>
      <c r="AT915" s="420"/>
      <c r="AU915" s="420"/>
      <c r="AV915" s="420"/>
      <c r="AW915" s="420"/>
      <c r="AX915" s="420"/>
      <c r="AY915" s="420"/>
      <c r="AZ915" s="420"/>
      <c r="BA915" s="420"/>
      <c r="BB915" s="154"/>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c r="BY915" s="115"/>
      <c r="BZ915" s="115"/>
      <c r="CA915" s="115"/>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5"/>
      <c r="DD915" s="115"/>
      <c r="DE915" s="115"/>
      <c r="DF915" s="115"/>
      <c r="DG915" s="115"/>
    </row>
    <row r="916" spans="1:111" ht="9" customHeight="1">
      <c r="A916" s="154"/>
      <c r="B916" s="154"/>
      <c r="C916" s="154"/>
      <c r="D916" s="154"/>
      <c r="E916" s="154"/>
      <c r="F916" s="154"/>
      <c r="G916" s="154"/>
      <c r="H916" s="154"/>
      <c r="I916" s="154"/>
      <c r="J916" s="416"/>
      <c r="K916" s="416"/>
      <c r="L916" s="416"/>
      <c r="M916" s="416"/>
      <c r="N916" s="416"/>
      <c r="O916" s="416"/>
      <c r="P916" s="154"/>
      <c r="Q916" s="419"/>
      <c r="R916" s="419"/>
      <c r="S916" s="419"/>
      <c r="T916" s="419"/>
      <c r="U916" s="419"/>
      <c r="V916" s="419"/>
      <c r="W916" s="419"/>
      <c r="X916" s="419"/>
      <c r="Y916" s="154"/>
      <c r="Z916" s="416"/>
      <c r="AA916" s="416"/>
      <c r="AB916" s="416"/>
      <c r="AC916" s="416"/>
      <c r="AD916" s="416"/>
      <c r="AE916" s="416"/>
      <c r="AF916" s="154"/>
      <c r="AG916" s="420"/>
      <c r="AH916" s="420"/>
      <c r="AI916" s="420"/>
      <c r="AJ916" s="420"/>
      <c r="AK916" s="420"/>
      <c r="AL916" s="420"/>
      <c r="AM916" s="420"/>
      <c r="AN916" s="420"/>
      <c r="AO916" s="420"/>
      <c r="AP916" s="420"/>
      <c r="AQ916" s="420"/>
      <c r="AR916" s="420"/>
      <c r="AS916" s="420"/>
      <c r="AT916" s="420"/>
      <c r="AU916" s="420"/>
      <c r="AV916" s="420"/>
      <c r="AW916" s="420"/>
      <c r="AX916" s="420"/>
      <c r="AY916" s="420"/>
      <c r="AZ916" s="420"/>
      <c r="BA916" s="420"/>
      <c r="BB916" s="154"/>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c r="BY916" s="115"/>
      <c r="BZ916" s="115"/>
      <c r="CA916" s="115"/>
      <c r="CB916" s="115"/>
      <c r="CC916" s="115"/>
      <c r="CD916" s="115"/>
      <c r="CE916" s="115"/>
      <c r="CF916" s="115"/>
      <c r="CG916" s="115"/>
      <c r="CH916" s="115"/>
      <c r="CI916" s="115"/>
      <c r="CJ916" s="115"/>
      <c r="CK916" s="115"/>
      <c r="CL916" s="115"/>
      <c r="CM916" s="115"/>
      <c r="CN916" s="115"/>
      <c r="CO916" s="115"/>
      <c r="CP916" s="115"/>
      <c r="CQ916" s="115"/>
      <c r="CR916" s="115"/>
      <c r="CS916" s="115"/>
      <c r="CT916" s="115"/>
      <c r="CU916" s="115"/>
      <c r="CV916" s="115"/>
      <c r="CW916" s="115"/>
      <c r="CX916" s="115"/>
      <c r="CY916" s="115"/>
      <c r="CZ916" s="115"/>
      <c r="DA916" s="115"/>
      <c r="DB916" s="115"/>
      <c r="DC916" s="115"/>
      <c r="DD916" s="115"/>
      <c r="DE916" s="115"/>
      <c r="DF916" s="115"/>
      <c r="DG916" s="115"/>
    </row>
    <row r="917" spans="1:111" ht="9" customHeight="1">
      <c r="A917" s="154"/>
      <c r="B917" s="154"/>
      <c r="C917" s="154"/>
      <c r="D917" s="154"/>
      <c r="E917" s="154"/>
      <c r="F917" s="154"/>
      <c r="G917" s="154"/>
      <c r="H917" s="154"/>
      <c r="I917" s="154"/>
      <c r="J917" s="154"/>
      <c r="K917" s="154"/>
      <c r="L917" s="154"/>
      <c r="M917" s="154"/>
      <c r="N917" s="154"/>
      <c r="O917" s="154"/>
      <c r="P917" s="154"/>
      <c r="Q917" s="419"/>
      <c r="R917" s="419"/>
      <c r="S917" s="419"/>
      <c r="T917" s="419"/>
      <c r="U917" s="419"/>
      <c r="V917" s="419"/>
      <c r="W917" s="419"/>
      <c r="X917" s="419"/>
      <c r="Y917" s="154"/>
      <c r="Z917" s="154"/>
      <c r="AA917" s="154"/>
      <c r="AB917" s="154"/>
      <c r="AC917" s="154"/>
      <c r="AD917" s="154"/>
      <c r="AE917" s="154"/>
      <c r="AF917" s="154"/>
      <c r="AG917" s="420"/>
      <c r="AH917" s="420"/>
      <c r="AI917" s="420"/>
      <c r="AJ917" s="420"/>
      <c r="AK917" s="420"/>
      <c r="AL917" s="420"/>
      <c r="AM917" s="420"/>
      <c r="AN917" s="420"/>
      <c r="AO917" s="420"/>
      <c r="AP917" s="420"/>
      <c r="AQ917" s="420"/>
      <c r="AR917" s="420"/>
      <c r="AS917" s="420"/>
      <c r="AT917" s="420"/>
      <c r="AU917" s="420"/>
      <c r="AV917" s="420"/>
      <c r="AW917" s="420"/>
      <c r="AX917" s="420"/>
      <c r="AY917" s="420"/>
      <c r="AZ917" s="420"/>
      <c r="BA917" s="420"/>
      <c r="BB917" s="154"/>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c r="BY917" s="115"/>
      <c r="BZ917" s="115"/>
      <c r="CA917" s="115"/>
      <c r="CB917" s="115"/>
      <c r="CC917" s="115"/>
      <c r="CD917" s="115"/>
      <c r="CE917" s="115"/>
      <c r="CF917" s="115"/>
      <c r="CG917" s="115"/>
      <c r="CH917" s="115"/>
      <c r="CI917" s="115"/>
      <c r="CJ917" s="115"/>
      <c r="CK917" s="115"/>
      <c r="CL917" s="115"/>
      <c r="CM917" s="115"/>
      <c r="CN917" s="115"/>
      <c r="CO917" s="115"/>
      <c r="CP917" s="115"/>
      <c r="CQ917" s="115"/>
      <c r="CR917" s="115"/>
      <c r="CS917" s="115"/>
      <c r="CT917" s="115"/>
      <c r="CU917" s="115"/>
      <c r="CV917" s="115"/>
      <c r="CW917" s="115"/>
      <c r="CX917" s="115"/>
      <c r="CY917" s="115"/>
      <c r="CZ917" s="115"/>
      <c r="DA917" s="115"/>
      <c r="DB917" s="115"/>
      <c r="DC917" s="115"/>
      <c r="DD917" s="115"/>
      <c r="DE917" s="115"/>
      <c r="DF917" s="115"/>
      <c r="DG917" s="115"/>
    </row>
    <row r="918" spans="1:111" ht="9" customHeight="1">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420"/>
      <c r="AH918" s="420"/>
      <c r="AI918" s="420"/>
      <c r="AJ918" s="420"/>
      <c r="AK918" s="420"/>
      <c r="AL918" s="420"/>
      <c r="AM918" s="420"/>
      <c r="AN918" s="420"/>
      <c r="AO918" s="420"/>
      <c r="AP918" s="420"/>
      <c r="AQ918" s="420"/>
      <c r="AR918" s="420"/>
      <c r="AS918" s="420"/>
      <c r="AT918" s="420"/>
      <c r="AU918" s="420"/>
      <c r="AV918" s="420"/>
      <c r="AW918" s="420"/>
      <c r="AX918" s="420"/>
      <c r="AY918" s="420"/>
      <c r="AZ918" s="420"/>
      <c r="BA918" s="420"/>
      <c r="BB918" s="154"/>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c r="BY918" s="115"/>
      <c r="BZ918" s="115"/>
      <c r="CA918" s="115"/>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5"/>
      <c r="DD918" s="115"/>
      <c r="DE918" s="115"/>
      <c r="DF918" s="115"/>
      <c r="DG918" s="115"/>
    </row>
    <row r="919" spans="1:111" ht="9" customHeight="1">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420"/>
      <c r="AH919" s="420"/>
      <c r="AI919" s="420"/>
      <c r="AJ919" s="420"/>
      <c r="AK919" s="420"/>
      <c r="AL919" s="420"/>
      <c r="AM919" s="420"/>
      <c r="AN919" s="420"/>
      <c r="AO919" s="420"/>
      <c r="AP919" s="420"/>
      <c r="AQ919" s="420"/>
      <c r="AR919" s="420"/>
      <c r="AS919" s="420"/>
      <c r="AT919" s="420"/>
      <c r="AU919" s="420"/>
      <c r="AV919" s="420"/>
      <c r="AW919" s="420"/>
      <c r="AX919" s="420"/>
      <c r="AY919" s="420"/>
      <c r="AZ919" s="420"/>
      <c r="BA919" s="420"/>
      <c r="BB919" s="154"/>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c r="BY919" s="115"/>
      <c r="BZ919" s="115"/>
      <c r="CA919" s="115"/>
      <c r="CB919" s="115"/>
      <c r="CC919" s="115"/>
      <c r="CD919" s="115"/>
      <c r="CE919" s="115"/>
      <c r="CF919" s="115"/>
      <c r="CG919" s="115"/>
      <c r="CH919" s="115"/>
      <c r="CI919" s="115"/>
      <c r="CJ919" s="115"/>
      <c r="CK919" s="115"/>
      <c r="CL919" s="115"/>
      <c r="CM919" s="115"/>
      <c r="CN919" s="115"/>
      <c r="CO919" s="115"/>
      <c r="CP919" s="115"/>
      <c r="CQ919" s="115"/>
      <c r="CR919" s="115"/>
      <c r="CS919" s="115"/>
      <c r="CT919" s="115"/>
      <c r="CU919" s="115"/>
      <c r="CV919" s="115"/>
      <c r="CW919" s="115"/>
      <c r="CX919" s="115"/>
      <c r="CY919" s="115"/>
      <c r="CZ919" s="115"/>
      <c r="DA919" s="115"/>
      <c r="DB919" s="115"/>
      <c r="DC919" s="115"/>
      <c r="DD919" s="115"/>
      <c r="DE919" s="115"/>
      <c r="DF919" s="115"/>
      <c r="DG919" s="115"/>
    </row>
    <row r="920" spans="1:111" ht="9" customHeight="1">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420"/>
      <c r="AH920" s="420"/>
      <c r="AI920" s="420"/>
      <c r="AJ920" s="420"/>
      <c r="AK920" s="420"/>
      <c r="AL920" s="420"/>
      <c r="AM920" s="420"/>
      <c r="AN920" s="420"/>
      <c r="AO920" s="420"/>
      <c r="AP920" s="420"/>
      <c r="AQ920" s="420"/>
      <c r="AR920" s="420"/>
      <c r="AS920" s="420"/>
      <c r="AT920" s="420"/>
      <c r="AU920" s="420"/>
      <c r="AV920" s="420"/>
      <c r="AW920" s="420"/>
      <c r="AX920" s="420"/>
      <c r="AY920" s="420"/>
      <c r="AZ920" s="420"/>
      <c r="BA920" s="420"/>
      <c r="BB920" s="154"/>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c r="BY920" s="115"/>
      <c r="BZ920" s="115"/>
      <c r="CA920" s="115"/>
      <c r="CB920" s="115"/>
      <c r="CC920" s="115"/>
      <c r="CD920" s="115"/>
      <c r="CE920" s="115"/>
      <c r="CF920" s="115"/>
      <c r="CG920" s="115"/>
      <c r="CH920" s="115"/>
      <c r="CI920" s="115"/>
      <c r="CJ920" s="115"/>
      <c r="CK920" s="115"/>
      <c r="CL920" s="115"/>
      <c r="CM920" s="115"/>
      <c r="CN920" s="115"/>
      <c r="CO920" s="115"/>
      <c r="CP920" s="115"/>
      <c r="CQ920" s="115"/>
      <c r="CR920" s="115"/>
      <c r="CS920" s="115"/>
      <c r="CT920" s="115"/>
      <c r="CU920" s="115"/>
      <c r="CV920" s="115"/>
      <c r="CW920" s="115"/>
      <c r="CX920" s="115"/>
      <c r="CY920" s="115"/>
      <c r="CZ920" s="115"/>
      <c r="DA920" s="115"/>
      <c r="DB920" s="115"/>
      <c r="DC920" s="115"/>
      <c r="DD920" s="115"/>
      <c r="DE920" s="115"/>
      <c r="DF920" s="115"/>
      <c r="DG920" s="115"/>
    </row>
    <row r="921" spans="1:111" ht="15" customHeight="1">
      <c r="B921" s="55"/>
      <c r="C921" s="55"/>
      <c r="D921" s="56"/>
      <c r="E921" s="56"/>
      <c r="F921" s="56"/>
      <c r="G921" s="56"/>
      <c r="H921" s="56"/>
      <c r="I921" s="56"/>
      <c r="J921" s="56"/>
      <c r="K921" s="56"/>
      <c r="L921" s="56"/>
      <c r="M921" s="56"/>
      <c r="N921" s="56"/>
      <c r="O921" s="56"/>
      <c r="P921" s="56"/>
      <c r="Q921" s="56"/>
      <c r="R921" s="56"/>
      <c r="S921" s="56"/>
      <c r="T921" s="56"/>
      <c r="U921" s="56"/>
      <c r="V921" s="56"/>
      <c r="W921" s="56"/>
      <c r="X921" s="56"/>
      <c r="Y921" s="56"/>
      <c r="Z921" s="56"/>
      <c r="AA921" s="56"/>
      <c r="AB921" s="56"/>
      <c r="AC921" s="56"/>
      <c r="AD921" s="56"/>
      <c r="AE921" s="56"/>
      <c r="AF921" s="56"/>
      <c r="AG921" s="56"/>
      <c r="AH921" s="56"/>
      <c r="AI921" s="56"/>
      <c r="AJ921" s="56"/>
      <c r="AK921" s="141"/>
      <c r="AL921" s="141"/>
      <c r="AM921" s="141"/>
      <c r="AN921" s="141"/>
      <c r="AO921" s="140"/>
      <c r="AP921" s="140"/>
      <c r="AQ921" s="140"/>
      <c r="AR921" s="140"/>
      <c r="AS921" s="142"/>
      <c r="AT921" s="142"/>
      <c r="AU921" s="142"/>
      <c r="AV921" s="142"/>
      <c r="AW921" s="140"/>
      <c r="AX921" s="140"/>
      <c r="AY921" s="140"/>
      <c r="AZ921" s="140"/>
      <c r="BA921" s="140"/>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c r="BY921" s="115"/>
      <c r="BZ921" s="115"/>
      <c r="CA921" s="115"/>
      <c r="CB921" s="115"/>
      <c r="CC921" s="115"/>
      <c r="CD921" s="115"/>
      <c r="CE921" s="115"/>
      <c r="CF921" s="115"/>
      <c r="CG921" s="115"/>
      <c r="CH921" s="115"/>
      <c r="CI921" s="115"/>
      <c r="CJ921" s="115"/>
      <c r="CK921" s="115"/>
      <c r="CL921" s="115"/>
      <c r="CM921" s="115"/>
      <c r="CN921" s="115"/>
      <c r="CO921" s="115"/>
      <c r="CP921" s="115"/>
      <c r="CQ921" s="115"/>
      <c r="CR921" s="115"/>
      <c r="CS921" s="115"/>
      <c r="CT921" s="115"/>
      <c r="CU921" s="115"/>
      <c r="CV921" s="115"/>
      <c r="CW921" s="115"/>
      <c r="CX921" s="115"/>
      <c r="CY921" s="115"/>
      <c r="CZ921" s="115"/>
      <c r="DA921" s="115"/>
      <c r="DB921" s="115"/>
      <c r="DC921" s="115"/>
      <c r="DD921" s="115"/>
      <c r="DE921" s="115"/>
      <c r="DF921" s="115"/>
      <c r="DG921" s="115"/>
    </row>
    <row r="922" spans="1:111" ht="15" customHeight="1">
      <c r="B922" s="55"/>
      <c r="C922" s="422" t="str">
        <f>IF($AA$165&gt;=27,"DESPESA 27","")</f>
        <v/>
      </c>
      <c r="D922" s="422"/>
      <c r="E922" s="422"/>
      <c r="F922" s="422"/>
      <c r="G922" s="422"/>
      <c r="H922" s="422"/>
      <c r="I922" s="56"/>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141"/>
      <c r="AL922" s="141"/>
      <c r="AM922" s="141"/>
      <c r="AN922" s="141"/>
      <c r="AO922" s="140"/>
      <c r="AP922" s="140"/>
      <c r="AQ922" s="140"/>
      <c r="AR922" s="140"/>
      <c r="AS922" s="142"/>
      <c r="AT922" s="142"/>
      <c r="AU922" s="142"/>
      <c r="AV922" s="142"/>
      <c r="AW922" s="140"/>
      <c r="AX922" s="140"/>
      <c r="AY922" s="140"/>
      <c r="AZ922" s="140"/>
      <c r="BA922" s="140"/>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c r="BY922" s="115"/>
      <c r="BZ922" s="115"/>
      <c r="CA922" s="115"/>
      <c r="CB922" s="115"/>
      <c r="CC922" s="115"/>
      <c r="CD922" s="115"/>
      <c r="CE922" s="115"/>
      <c r="CF922" s="115"/>
      <c r="CG922" s="115"/>
      <c r="CH922" s="115"/>
      <c r="CI922" s="115"/>
      <c r="CJ922" s="115"/>
      <c r="CK922" s="115"/>
      <c r="CL922" s="115"/>
      <c r="CM922" s="115"/>
      <c r="CN922" s="115"/>
      <c r="CO922" s="115"/>
      <c r="CP922" s="115"/>
      <c r="CQ922" s="115"/>
      <c r="CR922" s="115"/>
      <c r="CS922" s="115"/>
      <c r="CT922" s="115"/>
      <c r="CU922" s="115"/>
      <c r="CV922" s="115"/>
      <c r="CW922" s="115"/>
      <c r="CX922" s="115"/>
      <c r="CY922" s="115"/>
      <c r="CZ922" s="115"/>
      <c r="DA922" s="115"/>
      <c r="DB922" s="115"/>
      <c r="DC922" s="115"/>
      <c r="DD922" s="115"/>
      <c r="DE922" s="115"/>
      <c r="DF922" s="115"/>
      <c r="DG922" s="115"/>
    </row>
    <row r="923" spans="1:111" ht="4.5" customHeight="1">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c r="BY923" s="115"/>
      <c r="BZ923" s="115"/>
      <c r="CA923" s="115"/>
      <c r="CB923" s="115"/>
      <c r="CC923" s="115"/>
      <c r="CD923" s="115"/>
      <c r="CE923" s="115"/>
      <c r="CF923" s="115"/>
      <c r="CG923" s="115"/>
      <c r="CH923" s="115"/>
      <c r="CI923" s="115"/>
      <c r="CJ923" s="115"/>
      <c r="CK923" s="115"/>
      <c r="CL923" s="115"/>
      <c r="CM923" s="115"/>
      <c r="CN923" s="115"/>
      <c r="CO923" s="115"/>
      <c r="CP923" s="115"/>
      <c r="CQ923" s="115"/>
      <c r="CR923" s="115"/>
      <c r="CS923" s="115"/>
      <c r="CT923" s="115"/>
      <c r="CU923" s="115"/>
      <c r="CV923" s="115"/>
      <c r="CW923" s="115"/>
      <c r="CX923" s="115"/>
      <c r="CY923" s="115"/>
      <c r="CZ923" s="115"/>
      <c r="DA923" s="115"/>
      <c r="DB923" s="115"/>
      <c r="DC923" s="115"/>
      <c r="DD923" s="115"/>
      <c r="DE923" s="115"/>
      <c r="DF923" s="115"/>
      <c r="DG923" s="115"/>
    </row>
    <row r="924" spans="1:111" ht="9" customHeight="1">
      <c r="C924" s="416" t="str">
        <f>IF(C922="","","Descrição da Despesa:")</f>
        <v/>
      </c>
      <c r="D924" s="416"/>
      <c r="E924" s="416"/>
      <c r="F924" s="416"/>
      <c r="G924" s="416"/>
      <c r="H924" s="416"/>
      <c r="I924" s="60"/>
      <c r="J924" s="421"/>
      <c r="K924" s="421"/>
      <c r="L924" s="421"/>
      <c r="M924" s="421"/>
      <c r="N924" s="421"/>
      <c r="O924" s="421"/>
      <c r="P924" s="421"/>
      <c r="Q924" s="421"/>
      <c r="R924" s="421"/>
      <c r="S924" s="421"/>
      <c r="T924" s="421"/>
      <c r="U924" s="421"/>
      <c r="V924" s="421"/>
      <c r="W924" s="421"/>
      <c r="X924" s="421"/>
      <c r="Y924" s="421"/>
      <c r="Z924" s="421"/>
      <c r="AA924" s="421"/>
      <c r="AB924" s="421"/>
      <c r="AC924" s="421"/>
      <c r="AD924" s="421"/>
      <c r="AE924" s="421"/>
      <c r="AF924" s="421"/>
      <c r="AG924" s="421"/>
      <c r="AH924" s="421"/>
      <c r="AI924" s="421"/>
      <c r="AJ924" s="421"/>
      <c r="AK924" s="421"/>
      <c r="AL924" s="421"/>
      <c r="AM924" s="421"/>
      <c r="AN924" s="421"/>
      <c r="AO924" s="421"/>
      <c r="AP924" s="421"/>
      <c r="AQ924" s="421"/>
      <c r="AR924" s="421"/>
      <c r="AS924" s="421"/>
      <c r="AT924" s="421"/>
      <c r="AU924" s="421"/>
      <c r="AV924" s="421"/>
      <c r="AW924" s="421"/>
      <c r="AX924" s="421"/>
      <c r="AY924" s="421"/>
      <c r="AZ924" s="421"/>
      <c r="BA924" s="421"/>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c r="BY924" s="115"/>
      <c r="BZ924" s="115"/>
      <c r="CA924" s="115"/>
      <c r="CB924" s="115"/>
      <c r="CC924" s="115"/>
      <c r="CD924" s="115"/>
      <c r="CE924" s="115"/>
      <c r="CF924" s="115"/>
      <c r="CG924" s="115"/>
      <c r="CH924" s="115"/>
      <c r="CI924" s="115"/>
      <c r="CJ924" s="115"/>
      <c r="CK924" s="115"/>
      <c r="CL924" s="115"/>
      <c r="CM924" s="115"/>
      <c r="CN924" s="115"/>
      <c r="CO924" s="115"/>
      <c r="CP924" s="115"/>
      <c r="CQ924" s="115"/>
      <c r="CR924" s="115"/>
      <c r="CS924" s="115"/>
      <c r="CT924" s="115"/>
      <c r="CU924" s="115"/>
      <c r="CV924" s="115"/>
      <c r="CW924" s="115"/>
      <c r="CX924" s="115"/>
      <c r="CY924" s="115"/>
      <c r="CZ924" s="115"/>
      <c r="DA924" s="115"/>
      <c r="DB924" s="115"/>
      <c r="DC924" s="115"/>
      <c r="DD924" s="115"/>
      <c r="DE924" s="115"/>
      <c r="DF924" s="115"/>
      <c r="DG924" s="115"/>
    </row>
    <row r="925" spans="1:111" ht="9" customHeight="1">
      <c r="C925" s="416"/>
      <c r="D925" s="416"/>
      <c r="E925" s="416"/>
      <c r="F925" s="416"/>
      <c r="G925" s="416"/>
      <c r="H925" s="416"/>
      <c r="I925" s="60"/>
      <c r="J925" s="421"/>
      <c r="K925" s="421"/>
      <c r="L925" s="421"/>
      <c r="M925" s="421"/>
      <c r="N925" s="421"/>
      <c r="O925" s="421"/>
      <c r="P925" s="421"/>
      <c r="Q925" s="421"/>
      <c r="R925" s="421"/>
      <c r="S925" s="421"/>
      <c r="T925" s="421"/>
      <c r="U925" s="421"/>
      <c r="V925" s="421"/>
      <c r="W925" s="421"/>
      <c r="X925" s="421"/>
      <c r="Y925" s="421"/>
      <c r="Z925" s="421"/>
      <c r="AA925" s="421"/>
      <c r="AB925" s="421"/>
      <c r="AC925" s="421"/>
      <c r="AD925" s="421"/>
      <c r="AE925" s="421"/>
      <c r="AF925" s="421"/>
      <c r="AG925" s="421"/>
      <c r="AH925" s="421"/>
      <c r="AI925" s="421"/>
      <c r="AJ925" s="421"/>
      <c r="AK925" s="421"/>
      <c r="AL925" s="421"/>
      <c r="AM925" s="421"/>
      <c r="AN925" s="421"/>
      <c r="AO925" s="421"/>
      <c r="AP925" s="421"/>
      <c r="AQ925" s="421"/>
      <c r="AR925" s="421"/>
      <c r="AS925" s="421"/>
      <c r="AT925" s="421"/>
      <c r="AU925" s="421"/>
      <c r="AV925" s="421"/>
      <c r="AW925" s="421"/>
      <c r="AX925" s="421"/>
      <c r="AY925" s="421"/>
      <c r="AZ925" s="421"/>
      <c r="BA925" s="421"/>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c r="BY925" s="115"/>
      <c r="BZ925" s="115"/>
      <c r="CA925" s="115"/>
      <c r="CB925" s="115"/>
      <c r="CC925" s="115"/>
      <c r="CD925" s="115"/>
      <c r="CE925" s="115"/>
      <c r="CF925" s="115"/>
      <c r="CG925" s="115"/>
      <c r="CH925" s="115"/>
      <c r="CI925" s="115"/>
      <c r="CJ925" s="115"/>
      <c r="CK925" s="115"/>
      <c r="CL925" s="115"/>
      <c r="CM925" s="115"/>
      <c r="CN925" s="115"/>
      <c r="CO925" s="115"/>
      <c r="CP925" s="115"/>
      <c r="CQ925" s="115"/>
      <c r="CR925" s="115"/>
      <c r="CS925" s="115"/>
      <c r="CT925" s="115"/>
      <c r="CU925" s="115"/>
      <c r="CV925" s="115"/>
      <c r="CW925" s="115"/>
      <c r="CX925" s="115"/>
      <c r="CY925" s="115"/>
      <c r="CZ925" s="115"/>
      <c r="DA925" s="115"/>
      <c r="DB925" s="115"/>
      <c r="DC925" s="115"/>
      <c r="DD925" s="115"/>
      <c r="DE925" s="115"/>
      <c r="DF925" s="115"/>
      <c r="DG925" s="115"/>
    </row>
    <row r="926" spans="1:111" ht="9" customHeight="1">
      <c r="C926" s="416"/>
      <c r="D926" s="416"/>
      <c r="E926" s="416"/>
      <c r="F926" s="416"/>
      <c r="G926" s="416"/>
      <c r="H926" s="416"/>
      <c r="I926" s="60"/>
      <c r="J926" s="421"/>
      <c r="K926" s="421"/>
      <c r="L926" s="421"/>
      <c r="M926" s="421"/>
      <c r="N926" s="421"/>
      <c r="O926" s="421"/>
      <c r="P926" s="421"/>
      <c r="Q926" s="421"/>
      <c r="R926" s="421"/>
      <c r="S926" s="421"/>
      <c r="T926" s="421"/>
      <c r="U926" s="421"/>
      <c r="V926" s="421"/>
      <c r="W926" s="421"/>
      <c r="X926" s="421"/>
      <c r="Y926" s="421"/>
      <c r="Z926" s="421"/>
      <c r="AA926" s="421"/>
      <c r="AB926" s="421"/>
      <c r="AC926" s="421"/>
      <c r="AD926" s="421"/>
      <c r="AE926" s="421"/>
      <c r="AF926" s="421"/>
      <c r="AG926" s="421"/>
      <c r="AH926" s="421"/>
      <c r="AI926" s="421"/>
      <c r="AJ926" s="421"/>
      <c r="AK926" s="421"/>
      <c r="AL926" s="421"/>
      <c r="AM926" s="421"/>
      <c r="AN926" s="421"/>
      <c r="AO926" s="421"/>
      <c r="AP926" s="421"/>
      <c r="AQ926" s="421"/>
      <c r="AR926" s="421"/>
      <c r="AS926" s="421"/>
      <c r="AT926" s="421"/>
      <c r="AU926" s="421"/>
      <c r="AV926" s="421"/>
      <c r="AW926" s="421"/>
      <c r="AX926" s="421"/>
      <c r="AY926" s="421"/>
      <c r="AZ926" s="421"/>
      <c r="BA926" s="421"/>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c r="BY926" s="115"/>
      <c r="BZ926" s="115"/>
      <c r="CA926" s="115"/>
      <c r="CB926" s="115"/>
      <c r="CC926" s="115"/>
      <c r="CD926" s="115"/>
      <c r="CE926" s="115"/>
      <c r="CF926" s="115"/>
      <c r="CG926" s="115"/>
      <c r="CH926" s="115"/>
      <c r="CI926" s="115"/>
      <c r="CJ926" s="115"/>
      <c r="CK926" s="115"/>
      <c r="CL926" s="115"/>
      <c r="CM926" s="115"/>
      <c r="CN926" s="115"/>
      <c r="CO926" s="115"/>
      <c r="CP926" s="115"/>
      <c r="CQ926" s="115"/>
      <c r="CR926" s="115"/>
      <c r="CS926" s="115"/>
      <c r="CT926" s="115"/>
      <c r="CU926" s="115"/>
      <c r="CV926" s="115"/>
      <c r="CW926" s="115"/>
      <c r="CX926" s="115"/>
      <c r="CY926" s="115"/>
      <c r="CZ926" s="115"/>
      <c r="DA926" s="115"/>
      <c r="DB926" s="115"/>
      <c r="DC926" s="115"/>
      <c r="DD926" s="115"/>
      <c r="DE926" s="115"/>
      <c r="DF926" s="115"/>
      <c r="DG926" s="115"/>
    </row>
    <row r="927" spans="1:111" ht="4.5" customHeight="1">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c r="BY927" s="115"/>
      <c r="BZ927" s="115"/>
      <c r="CA927" s="115"/>
      <c r="CB927" s="115"/>
      <c r="CC927" s="115"/>
      <c r="CD927" s="115"/>
      <c r="CE927" s="115"/>
      <c r="CF927" s="115"/>
      <c r="CG927" s="115"/>
      <c r="CH927" s="115"/>
      <c r="CI927" s="115"/>
      <c r="CJ927" s="115"/>
      <c r="CK927" s="115"/>
      <c r="CL927" s="115"/>
      <c r="CM927" s="115"/>
      <c r="CN927" s="115"/>
      <c r="CO927" s="115"/>
      <c r="CP927" s="115"/>
      <c r="CQ927" s="115"/>
      <c r="CR927" s="115"/>
      <c r="CS927" s="115"/>
      <c r="CT927" s="115"/>
      <c r="CU927" s="115"/>
      <c r="CV927" s="115"/>
      <c r="CW927" s="115"/>
      <c r="CX927" s="115"/>
      <c r="CY927" s="115"/>
      <c r="CZ927" s="115"/>
      <c r="DA927" s="115"/>
      <c r="DB927" s="115"/>
      <c r="DC927" s="115"/>
      <c r="DD927" s="115"/>
      <c r="DE927" s="115"/>
      <c r="DF927" s="115"/>
      <c r="DG927" s="115"/>
    </row>
    <row r="928" spans="1:111" ht="9" customHeight="1">
      <c r="C928" s="416" t="str">
        <f>IF(C922="","","Elemento de Despesa:")</f>
        <v/>
      </c>
      <c r="D928" s="416"/>
      <c r="E928" s="416"/>
      <c r="F928" s="416"/>
      <c r="G928" s="416"/>
      <c r="H928" s="416"/>
      <c r="J928" s="421"/>
      <c r="K928" s="421"/>
      <c r="L928" s="421"/>
      <c r="M928" s="421"/>
      <c r="N928" s="421"/>
      <c r="O928" s="421"/>
      <c r="P928" s="421"/>
      <c r="Q928" s="421"/>
      <c r="R928" s="421"/>
      <c r="S928" s="421"/>
      <c r="T928" s="421"/>
      <c r="U928" s="421"/>
      <c r="V928" s="421"/>
      <c r="W928" s="421"/>
      <c r="X928" s="421"/>
      <c r="Y928" s="421"/>
      <c r="Z928" s="421"/>
      <c r="AA928" s="421"/>
      <c r="AB928" s="421"/>
      <c r="AC928" s="421"/>
      <c r="AD928" s="421"/>
      <c r="AE928" s="421"/>
      <c r="AF928" s="421"/>
      <c r="AG928" s="421"/>
      <c r="AH928" s="421"/>
      <c r="AI928" s="421"/>
      <c r="AJ928" s="421"/>
      <c r="AK928" s="421"/>
      <c r="AL928" s="421"/>
      <c r="AM928" s="421"/>
      <c r="AN928" s="421"/>
      <c r="AO928" s="421"/>
      <c r="AP928" s="421"/>
      <c r="AQ928" s="421"/>
      <c r="AR928" s="421"/>
      <c r="AS928" s="421"/>
      <c r="AT928" s="421"/>
      <c r="AU928" s="421"/>
      <c r="AV928" s="421"/>
      <c r="AW928" s="421"/>
      <c r="AX928" s="421"/>
      <c r="AY928" s="421"/>
      <c r="AZ928" s="421"/>
      <c r="BA928" s="421"/>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c r="BY928" s="115"/>
      <c r="BZ928" s="115"/>
      <c r="CA928" s="115"/>
      <c r="CB928" s="115"/>
      <c r="CC928" s="115"/>
      <c r="CD928" s="115"/>
      <c r="CE928" s="115"/>
      <c r="CF928" s="115"/>
      <c r="CG928" s="115"/>
      <c r="CH928" s="115"/>
      <c r="CI928" s="115"/>
      <c r="CJ928" s="115"/>
      <c r="CK928" s="115"/>
      <c r="CL928" s="115"/>
      <c r="CM928" s="115"/>
      <c r="CN928" s="115"/>
      <c r="CO928" s="115"/>
      <c r="CP928" s="115"/>
      <c r="CQ928" s="115"/>
      <c r="CR928" s="115"/>
      <c r="CS928" s="115"/>
      <c r="CT928" s="115"/>
      <c r="CU928" s="115"/>
      <c r="CV928" s="115"/>
      <c r="CW928" s="115"/>
      <c r="CX928" s="115"/>
      <c r="CY928" s="115"/>
      <c r="CZ928" s="115"/>
      <c r="DA928" s="115"/>
      <c r="DB928" s="115"/>
      <c r="DC928" s="115"/>
      <c r="DD928" s="115"/>
      <c r="DE928" s="115"/>
      <c r="DF928" s="115"/>
      <c r="DG928" s="115"/>
    </row>
    <row r="929" spans="1:111" ht="9" customHeight="1">
      <c r="C929" s="416"/>
      <c r="D929" s="416"/>
      <c r="E929" s="416"/>
      <c r="F929" s="416"/>
      <c r="G929" s="416"/>
      <c r="H929" s="416"/>
      <c r="J929" s="421"/>
      <c r="K929" s="421"/>
      <c r="L929" s="421"/>
      <c r="M929" s="421"/>
      <c r="N929" s="421"/>
      <c r="O929" s="421"/>
      <c r="P929" s="421"/>
      <c r="Q929" s="421"/>
      <c r="R929" s="421"/>
      <c r="S929" s="421"/>
      <c r="T929" s="421"/>
      <c r="U929" s="421"/>
      <c r="V929" s="421"/>
      <c r="W929" s="421"/>
      <c r="X929" s="421"/>
      <c r="Y929" s="421"/>
      <c r="Z929" s="421"/>
      <c r="AA929" s="421"/>
      <c r="AB929" s="421"/>
      <c r="AC929" s="421"/>
      <c r="AD929" s="421"/>
      <c r="AE929" s="421"/>
      <c r="AF929" s="421"/>
      <c r="AG929" s="421"/>
      <c r="AH929" s="421"/>
      <c r="AI929" s="421"/>
      <c r="AJ929" s="421"/>
      <c r="AK929" s="421"/>
      <c r="AL929" s="421"/>
      <c r="AM929" s="421"/>
      <c r="AN929" s="421"/>
      <c r="AO929" s="421"/>
      <c r="AP929" s="421"/>
      <c r="AQ929" s="421"/>
      <c r="AR929" s="421"/>
      <c r="AS929" s="421"/>
      <c r="AT929" s="421"/>
      <c r="AU929" s="421"/>
      <c r="AV929" s="421"/>
      <c r="AW929" s="421"/>
      <c r="AX929" s="421"/>
      <c r="AY929" s="421"/>
      <c r="AZ929" s="421"/>
      <c r="BA929" s="421"/>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c r="BY929" s="115"/>
      <c r="BZ929" s="115"/>
      <c r="CA929" s="115"/>
      <c r="CB929" s="115"/>
      <c r="CC929" s="115"/>
      <c r="CD929" s="115"/>
      <c r="CE929" s="115"/>
      <c r="CF929" s="115"/>
      <c r="CG929" s="115"/>
      <c r="CH929" s="115"/>
      <c r="CI929" s="115"/>
      <c r="CJ929" s="115"/>
      <c r="CK929" s="115"/>
      <c r="CL929" s="115"/>
      <c r="CM929" s="115"/>
      <c r="CN929" s="115"/>
      <c r="CO929" s="115"/>
      <c r="CP929" s="115"/>
      <c r="CQ929" s="115"/>
      <c r="CR929" s="115"/>
      <c r="CS929" s="115"/>
      <c r="CT929" s="115"/>
      <c r="CU929" s="115"/>
      <c r="CV929" s="115"/>
      <c r="CW929" s="115"/>
      <c r="CX929" s="115"/>
      <c r="CY929" s="115"/>
      <c r="CZ929" s="115"/>
      <c r="DA929" s="115"/>
      <c r="DB929" s="115"/>
      <c r="DC929" s="115"/>
      <c r="DD929" s="115"/>
      <c r="DE929" s="115"/>
      <c r="DF929" s="115"/>
      <c r="DG929" s="115"/>
    </row>
    <row r="930" spans="1:111" ht="9" customHeight="1">
      <c r="C930" s="416"/>
      <c r="D930" s="416"/>
      <c r="E930" s="416"/>
      <c r="F930" s="416"/>
      <c r="G930" s="416"/>
      <c r="H930" s="416"/>
      <c r="J930" s="421"/>
      <c r="K930" s="421"/>
      <c r="L930" s="421"/>
      <c r="M930" s="421"/>
      <c r="N930" s="421"/>
      <c r="O930" s="421"/>
      <c r="P930" s="421"/>
      <c r="Q930" s="421"/>
      <c r="R930" s="421"/>
      <c r="S930" s="421"/>
      <c r="T930" s="421"/>
      <c r="U930" s="421"/>
      <c r="V930" s="421"/>
      <c r="W930" s="421"/>
      <c r="X930" s="421"/>
      <c r="Y930" s="421"/>
      <c r="Z930" s="421"/>
      <c r="AA930" s="421"/>
      <c r="AB930" s="421"/>
      <c r="AC930" s="421"/>
      <c r="AD930" s="421"/>
      <c r="AE930" s="421"/>
      <c r="AF930" s="421"/>
      <c r="AG930" s="421"/>
      <c r="AH930" s="421"/>
      <c r="AI930" s="421"/>
      <c r="AJ930" s="421"/>
      <c r="AK930" s="421"/>
      <c r="AL930" s="421"/>
      <c r="AM930" s="421"/>
      <c r="AN930" s="421"/>
      <c r="AO930" s="421"/>
      <c r="AP930" s="421"/>
      <c r="AQ930" s="421"/>
      <c r="AR930" s="421"/>
      <c r="AS930" s="421"/>
      <c r="AT930" s="421"/>
      <c r="AU930" s="421"/>
      <c r="AV930" s="421"/>
      <c r="AW930" s="421"/>
      <c r="AX930" s="421"/>
      <c r="AY930" s="421"/>
      <c r="AZ930" s="421"/>
      <c r="BA930" s="421"/>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c r="BY930" s="115"/>
      <c r="BZ930" s="115"/>
      <c r="CA930" s="115"/>
      <c r="CB930" s="115"/>
      <c r="CC930" s="115"/>
      <c r="CD930" s="115"/>
      <c r="CE930" s="115"/>
      <c r="CF930" s="115"/>
      <c r="CG930" s="115"/>
      <c r="CH930" s="115"/>
      <c r="CI930" s="115"/>
      <c r="CJ930" s="115"/>
      <c r="CK930" s="115"/>
      <c r="CL930" s="115"/>
      <c r="CM930" s="115"/>
      <c r="CN930" s="115"/>
      <c r="CO930" s="115"/>
      <c r="CP930" s="115"/>
      <c r="CQ930" s="115"/>
      <c r="CR930" s="115"/>
      <c r="CS930" s="115"/>
      <c r="CT930" s="115"/>
      <c r="CU930" s="115"/>
      <c r="CV930" s="115"/>
      <c r="CW930" s="115"/>
      <c r="CX930" s="115"/>
      <c r="CY930" s="115"/>
      <c r="CZ930" s="115"/>
      <c r="DA930" s="115"/>
      <c r="DB930" s="115"/>
      <c r="DC930" s="115"/>
      <c r="DD930" s="115"/>
      <c r="DE930" s="115"/>
      <c r="DF930" s="115"/>
      <c r="DG930" s="115"/>
    </row>
    <row r="931" spans="1:111" ht="4.5" customHeight="1">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c r="BY931" s="115"/>
      <c r="BZ931" s="115"/>
      <c r="CA931" s="115"/>
      <c r="CB931" s="115"/>
      <c r="CC931" s="115"/>
      <c r="CD931" s="115"/>
      <c r="CE931" s="115"/>
      <c r="CF931" s="115"/>
      <c r="CG931" s="115"/>
      <c r="CH931" s="115"/>
      <c r="CI931" s="115"/>
      <c r="CJ931" s="115"/>
      <c r="CK931" s="115"/>
      <c r="CL931" s="115"/>
      <c r="CM931" s="115"/>
      <c r="CN931" s="115"/>
      <c r="CO931" s="115"/>
      <c r="CP931" s="115"/>
      <c r="CQ931" s="115"/>
      <c r="CR931" s="115"/>
      <c r="CS931" s="115"/>
      <c r="CT931" s="115"/>
      <c r="CU931" s="115"/>
      <c r="CV931" s="115"/>
      <c r="CW931" s="115"/>
      <c r="CX931" s="115"/>
      <c r="CY931" s="115"/>
      <c r="CZ931" s="115"/>
      <c r="DA931" s="115"/>
      <c r="DB931" s="115"/>
      <c r="DC931" s="115"/>
      <c r="DD931" s="115"/>
      <c r="DE931" s="115"/>
      <c r="DF931" s="115"/>
      <c r="DG931" s="115"/>
    </row>
    <row r="932" spans="1:111" ht="9" customHeight="1">
      <c r="A932" s="61" t="str">
        <f>CONCATENATE(Q932,AC932)</f>
        <v/>
      </c>
      <c r="J932" s="416" t="str">
        <f>IF(C922="","","Meta Vinculada:")</f>
        <v/>
      </c>
      <c r="K932" s="416"/>
      <c r="L932" s="416"/>
      <c r="M932" s="416"/>
      <c r="N932" s="416"/>
      <c r="O932" s="416"/>
      <c r="Q932" s="417"/>
      <c r="R932" s="417"/>
      <c r="S932" s="417"/>
      <c r="T932" s="417"/>
      <c r="U932" s="56"/>
      <c r="V932" s="416" t="str">
        <f>IF(C922="","","Etapa Vinculada:")</f>
        <v/>
      </c>
      <c r="W932" s="416"/>
      <c r="X932" s="416"/>
      <c r="Y932" s="416"/>
      <c r="Z932" s="416"/>
      <c r="AA932" s="416"/>
      <c r="AC932" s="417"/>
      <c r="AD932" s="417"/>
      <c r="AE932" s="417"/>
      <c r="AF932" s="417"/>
      <c r="AG932" s="56"/>
      <c r="AH932" s="56"/>
      <c r="AI932" s="56"/>
      <c r="AJ932" s="56"/>
      <c r="AK932" s="141"/>
      <c r="AL932" s="141"/>
      <c r="AM932" s="141"/>
      <c r="AN932" s="141"/>
      <c r="AO932" s="140"/>
      <c r="AP932" s="140"/>
      <c r="AQ932" s="140"/>
      <c r="AR932" s="140"/>
      <c r="AS932" s="142"/>
      <c r="AT932" s="142"/>
      <c r="AU932" s="142"/>
      <c r="AV932" s="142"/>
      <c r="AW932" s="140"/>
      <c r="AX932" s="140"/>
      <c r="AY932" s="140"/>
      <c r="AZ932" s="140"/>
      <c r="BA932" s="140"/>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c r="BY932" s="115"/>
      <c r="BZ932" s="115"/>
      <c r="CA932" s="115"/>
      <c r="CB932" s="115"/>
      <c r="CC932" s="115"/>
      <c r="CD932" s="115"/>
      <c r="CE932" s="115"/>
      <c r="CF932" s="115"/>
      <c r="CG932" s="115"/>
      <c r="CH932" s="115"/>
      <c r="CI932" s="115"/>
      <c r="CJ932" s="115"/>
      <c r="CK932" s="115"/>
      <c r="CL932" s="115"/>
      <c r="CM932" s="115"/>
      <c r="CN932" s="115"/>
      <c r="CO932" s="115"/>
      <c r="CP932" s="115"/>
      <c r="CQ932" s="115"/>
      <c r="CR932" s="115"/>
      <c r="CS932" s="115"/>
      <c r="CT932" s="115"/>
      <c r="CU932" s="115"/>
      <c r="CV932" s="115"/>
      <c r="CW932" s="115"/>
      <c r="CX932" s="115"/>
      <c r="CY932" s="115"/>
      <c r="CZ932" s="115"/>
      <c r="DA932" s="115"/>
      <c r="DB932" s="115"/>
      <c r="DC932" s="115"/>
      <c r="DD932" s="115"/>
      <c r="DE932" s="115"/>
      <c r="DF932" s="115"/>
      <c r="DG932" s="115"/>
    </row>
    <row r="933" spans="1:111" ht="9" customHeight="1">
      <c r="B933" s="55"/>
      <c r="C933" s="55"/>
      <c r="D933" s="56"/>
      <c r="E933" s="56"/>
      <c r="F933" s="56"/>
      <c r="G933" s="56"/>
      <c r="H933" s="56"/>
      <c r="I933" s="56"/>
      <c r="J933" s="416"/>
      <c r="K933" s="416"/>
      <c r="L933" s="416"/>
      <c r="M933" s="416"/>
      <c r="N933" s="416"/>
      <c r="O933" s="416"/>
      <c r="Q933" s="417"/>
      <c r="R933" s="417"/>
      <c r="S933" s="417"/>
      <c r="T933" s="417"/>
      <c r="U933" s="56"/>
      <c r="V933" s="416"/>
      <c r="W933" s="416"/>
      <c r="X933" s="416"/>
      <c r="Y933" s="416"/>
      <c r="Z933" s="416"/>
      <c r="AA933" s="416"/>
      <c r="AC933" s="417"/>
      <c r="AD933" s="417"/>
      <c r="AE933" s="417"/>
      <c r="AF933" s="417"/>
      <c r="AG933" s="56"/>
      <c r="AH933" s="56"/>
      <c r="AI933" s="56"/>
      <c r="AJ933" s="56"/>
      <c r="AK933" s="141"/>
      <c r="AL933" s="141"/>
      <c r="AM933" s="141"/>
      <c r="AN933" s="141"/>
      <c r="AO933" s="140"/>
      <c r="AP933" s="140"/>
      <c r="AQ933" s="140"/>
      <c r="AR933" s="140"/>
      <c r="AS933" s="142"/>
      <c r="AT933" s="142"/>
      <c r="AU933" s="142"/>
      <c r="AV933" s="142"/>
      <c r="AW933" s="140"/>
      <c r="AX933" s="140"/>
      <c r="AY933" s="140"/>
      <c r="AZ933" s="140"/>
      <c r="BA933" s="140"/>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c r="BY933" s="115"/>
      <c r="BZ933" s="115"/>
      <c r="CA933" s="115"/>
      <c r="CB933" s="115"/>
      <c r="CC933" s="115"/>
      <c r="CD933" s="115"/>
      <c r="CE933" s="115"/>
      <c r="CF933" s="115"/>
      <c r="CG933" s="115"/>
      <c r="CH933" s="115"/>
      <c r="CI933" s="115"/>
      <c r="CJ933" s="115"/>
      <c r="CK933" s="115"/>
      <c r="CL933" s="115"/>
      <c r="CM933" s="115"/>
      <c r="CN933" s="115"/>
      <c r="CO933" s="115"/>
      <c r="CP933" s="115"/>
      <c r="CQ933" s="115"/>
      <c r="CR933" s="115"/>
      <c r="CS933" s="115"/>
      <c r="CT933" s="115"/>
      <c r="CU933" s="115"/>
      <c r="CV933" s="115"/>
      <c r="CW933" s="115"/>
      <c r="CX933" s="115"/>
      <c r="CY933" s="115"/>
      <c r="CZ933" s="115"/>
      <c r="DA933" s="115"/>
      <c r="DB933" s="115"/>
      <c r="DC933" s="115"/>
      <c r="DD933" s="115"/>
      <c r="DE933" s="115"/>
      <c r="DF933" s="115"/>
      <c r="DG933" s="115"/>
    </row>
    <row r="934" spans="1:111" ht="9" customHeight="1">
      <c r="Q934" s="417"/>
      <c r="R934" s="417"/>
      <c r="S934" s="417"/>
      <c r="T934" s="417"/>
      <c r="AC934" s="417"/>
      <c r="AD934" s="417"/>
      <c r="AE934" s="417"/>
      <c r="AF934" s="417"/>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c r="BY934" s="115"/>
      <c r="BZ934" s="115"/>
      <c r="CA934" s="115"/>
      <c r="CB934" s="115"/>
      <c r="CC934" s="115"/>
      <c r="CD934" s="115"/>
      <c r="CE934" s="115"/>
      <c r="CF934" s="115"/>
      <c r="CG934" s="115"/>
      <c r="CH934" s="115"/>
      <c r="CI934" s="115"/>
      <c r="CJ934" s="115"/>
      <c r="CK934" s="115"/>
      <c r="CL934" s="115"/>
      <c r="CM934" s="115"/>
      <c r="CN934" s="115"/>
      <c r="CO934" s="115"/>
      <c r="CP934" s="115"/>
      <c r="CQ934" s="115"/>
      <c r="CR934" s="115"/>
      <c r="CS934" s="115"/>
      <c r="CT934" s="115"/>
      <c r="CU934" s="115"/>
      <c r="CV934" s="115"/>
      <c r="CW934" s="115"/>
      <c r="CX934" s="115"/>
      <c r="CY934" s="115"/>
      <c r="CZ934" s="115"/>
      <c r="DA934" s="115"/>
      <c r="DB934" s="115"/>
      <c r="DC934" s="115"/>
      <c r="DD934" s="115"/>
      <c r="DE934" s="115"/>
      <c r="DF934" s="115"/>
      <c r="DG934" s="115"/>
    </row>
    <row r="935" spans="1:111" ht="4.5" customHeight="1">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c r="BY935" s="115"/>
      <c r="BZ935" s="115"/>
      <c r="CA935" s="115"/>
      <c r="CB935" s="115"/>
      <c r="CC935" s="115"/>
      <c r="CD935" s="115"/>
      <c r="CE935" s="115"/>
      <c r="CF935" s="115"/>
      <c r="CG935" s="115"/>
      <c r="CH935" s="115"/>
      <c r="CI935" s="115"/>
      <c r="CJ935" s="115"/>
      <c r="CK935" s="115"/>
      <c r="CL935" s="115"/>
      <c r="CM935" s="115"/>
      <c r="CN935" s="115"/>
      <c r="CO935" s="115"/>
      <c r="CP935" s="115"/>
      <c r="CQ935" s="115"/>
      <c r="CR935" s="115"/>
      <c r="CS935" s="115"/>
      <c r="CT935" s="115"/>
      <c r="CU935" s="115"/>
      <c r="CV935" s="115"/>
      <c r="CW935" s="115"/>
      <c r="CX935" s="115"/>
      <c r="CY935" s="115"/>
      <c r="CZ935" s="115"/>
      <c r="DA935" s="115"/>
      <c r="DB935" s="115"/>
      <c r="DC935" s="115"/>
      <c r="DD935" s="115"/>
      <c r="DE935" s="115"/>
      <c r="DF935" s="115"/>
      <c r="DG935" s="115"/>
    </row>
    <row r="936" spans="1:111" ht="9" customHeight="1">
      <c r="A936" s="154"/>
      <c r="B936" s="154"/>
      <c r="C936" s="154"/>
      <c r="D936" s="154"/>
      <c r="E936" s="154"/>
      <c r="F936" s="154"/>
      <c r="G936" s="154"/>
      <c r="H936" s="154"/>
      <c r="I936" s="154"/>
      <c r="J936" s="416" t="str">
        <f>IF(C922="","","Quantidade:")</f>
        <v/>
      </c>
      <c r="K936" s="416"/>
      <c r="L936" s="416"/>
      <c r="M936" s="416"/>
      <c r="N936" s="416"/>
      <c r="O936" s="416"/>
      <c r="P936" s="154"/>
      <c r="Q936" s="417"/>
      <c r="R936" s="417"/>
      <c r="S936" s="417"/>
      <c r="T936" s="417"/>
      <c r="U936" s="154"/>
      <c r="V936" s="416" t="str">
        <f>IF(C922="","","Unidade:")</f>
        <v/>
      </c>
      <c r="W936" s="416"/>
      <c r="X936" s="416"/>
      <c r="Y936" s="416"/>
      <c r="Z936" s="416"/>
      <c r="AA936" s="416"/>
      <c r="AB936" s="154"/>
      <c r="AC936" s="418"/>
      <c r="AD936" s="418"/>
      <c r="AE936" s="418"/>
      <c r="AF936" s="418"/>
      <c r="AG936" s="418"/>
      <c r="AH936" s="418"/>
      <c r="AI936" s="418"/>
      <c r="AJ936" s="418"/>
      <c r="AK936" s="418"/>
      <c r="AL936" s="418"/>
      <c r="AM936" s="418"/>
      <c r="AN936" s="418"/>
      <c r="AO936" s="418"/>
      <c r="AP936" s="418"/>
      <c r="AQ936" s="418"/>
      <c r="AR936" s="418"/>
      <c r="AS936" s="418"/>
      <c r="AT936" s="418"/>
      <c r="AU936" s="418"/>
      <c r="AV936" s="418"/>
      <c r="AW936" s="418"/>
      <c r="AX936" s="418"/>
      <c r="AY936" s="418"/>
      <c r="AZ936" s="418"/>
      <c r="BA936" s="418"/>
      <c r="BB936" s="154"/>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c r="BY936" s="115"/>
      <c r="BZ936" s="115"/>
      <c r="CA936" s="115"/>
      <c r="CB936" s="115"/>
      <c r="CC936" s="115"/>
      <c r="CD936" s="115"/>
      <c r="CE936" s="115"/>
      <c r="CF936" s="115"/>
      <c r="CG936" s="115"/>
      <c r="CH936" s="115"/>
      <c r="CI936" s="115"/>
      <c r="CJ936" s="115"/>
      <c r="CK936" s="115"/>
      <c r="CL936" s="115"/>
      <c r="CM936" s="115"/>
      <c r="CN936" s="115"/>
      <c r="CO936" s="115"/>
      <c r="CP936" s="115"/>
      <c r="CQ936" s="115"/>
      <c r="CR936" s="115"/>
      <c r="CS936" s="115"/>
      <c r="CT936" s="115"/>
      <c r="CU936" s="115"/>
      <c r="CV936" s="115"/>
      <c r="CW936" s="115"/>
      <c r="CX936" s="115"/>
      <c r="CY936" s="115"/>
      <c r="CZ936" s="115"/>
      <c r="DA936" s="115"/>
      <c r="DB936" s="115"/>
      <c r="DC936" s="115"/>
      <c r="DD936" s="115"/>
      <c r="DE936" s="115"/>
      <c r="DF936" s="115"/>
      <c r="DG936" s="115"/>
    </row>
    <row r="937" spans="1:111" ht="9" customHeight="1">
      <c r="A937" s="154"/>
      <c r="B937" s="154"/>
      <c r="C937" s="154"/>
      <c r="D937" s="154"/>
      <c r="E937" s="154"/>
      <c r="F937" s="154"/>
      <c r="G937" s="154"/>
      <c r="H937" s="154"/>
      <c r="I937" s="154"/>
      <c r="J937" s="416"/>
      <c r="K937" s="416"/>
      <c r="L937" s="416"/>
      <c r="M937" s="416"/>
      <c r="N937" s="416"/>
      <c r="O937" s="416"/>
      <c r="P937" s="154"/>
      <c r="Q937" s="417"/>
      <c r="R937" s="417"/>
      <c r="S937" s="417"/>
      <c r="T937" s="417"/>
      <c r="U937" s="154"/>
      <c r="V937" s="416"/>
      <c r="W937" s="416"/>
      <c r="X937" s="416"/>
      <c r="Y937" s="416"/>
      <c r="Z937" s="416"/>
      <c r="AA937" s="416"/>
      <c r="AB937" s="154"/>
      <c r="AC937" s="418"/>
      <c r="AD937" s="418"/>
      <c r="AE937" s="418"/>
      <c r="AF937" s="418"/>
      <c r="AG937" s="418"/>
      <c r="AH937" s="418"/>
      <c r="AI937" s="418"/>
      <c r="AJ937" s="418"/>
      <c r="AK937" s="418"/>
      <c r="AL937" s="418"/>
      <c r="AM937" s="418"/>
      <c r="AN937" s="418"/>
      <c r="AO937" s="418"/>
      <c r="AP937" s="418"/>
      <c r="AQ937" s="418"/>
      <c r="AR937" s="418"/>
      <c r="AS937" s="418"/>
      <c r="AT937" s="418"/>
      <c r="AU937" s="418"/>
      <c r="AV937" s="418"/>
      <c r="AW937" s="418"/>
      <c r="AX937" s="418"/>
      <c r="AY937" s="418"/>
      <c r="AZ937" s="418"/>
      <c r="BA937" s="418"/>
      <c r="BB937" s="154"/>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c r="BY937" s="115"/>
      <c r="BZ937" s="115"/>
      <c r="CA937" s="115"/>
      <c r="CB937" s="115"/>
      <c r="CC937" s="115"/>
      <c r="CD937" s="115"/>
      <c r="CE937" s="115"/>
      <c r="CF937" s="115"/>
      <c r="CG937" s="115"/>
      <c r="CH937" s="115"/>
      <c r="CI937" s="115"/>
      <c r="CJ937" s="115"/>
      <c r="CK937" s="115"/>
      <c r="CL937" s="115"/>
      <c r="CM937" s="115"/>
      <c r="CN937" s="115"/>
      <c r="CO937" s="115"/>
      <c r="CP937" s="115"/>
      <c r="CQ937" s="115"/>
      <c r="CR937" s="115"/>
      <c r="CS937" s="115"/>
      <c r="CT937" s="115"/>
      <c r="CU937" s="115"/>
      <c r="CV937" s="115"/>
      <c r="CW937" s="115"/>
      <c r="CX937" s="115"/>
      <c r="CY937" s="115"/>
      <c r="CZ937" s="115"/>
      <c r="DA937" s="115"/>
      <c r="DB937" s="115"/>
      <c r="DC937" s="115"/>
      <c r="DD937" s="115"/>
      <c r="DE937" s="115"/>
      <c r="DF937" s="115"/>
      <c r="DG937" s="115"/>
    </row>
    <row r="938" spans="1:111" ht="9" customHeight="1">
      <c r="A938" s="154"/>
      <c r="B938" s="154"/>
      <c r="C938" s="154"/>
      <c r="D938" s="154"/>
      <c r="E938" s="154"/>
      <c r="F938" s="154"/>
      <c r="G938" s="154"/>
      <c r="H938" s="154"/>
      <c r="I938" s="154"/>
      <c r="J938" s="154"/>
      <c r="K938" s="154"/>
      <c r="L938" s="154"/>
      <c r="M938" s="154"/>
      <c r="N938" s="154"/>
      <c r="O938" s="154"/>
      <c r="P938" s="154"/>
      <c r="Q938" s="417"/>
      <c r="R938" s="417"/>
      <c r="S938" s="417"/>
      <c r="T938" s="417"/>
      <c r="U938" s="154"/>
      <c r="V938" s="154"/>
      <c r="W938" s="154"/>
      <c r="X938" s="154"/>
      <c r="Y938" s="154"/>
      <c r="Z938" s="154"/>
      <c r="AA938" s="154"/>
      <c r="AB938" s="154"/>
      <c r="AC938" s="418"/>
      <c r="AD938" s="418"/>
      <c r="AE938" s="418"/>
      <c r="AF938" s="418"/>
      <c r="AG938" s="418"/>
      <c r="AH938" s="418"/>
      <c r="AI938" s="418"/>
      <c r="AJ938" s="418"/>
      <c r="AK938" s="418"/>
      <c r="AL938" s="418"/>
      <c r="AM938" s="418"/>
      <c r="AN938" s="418"/>
      <c r="AO938" s="418"/>
      <c r="AP938" s="418"/>
      <c r="AQ938" s="418"/>
      <c r="AR938" s="418"/>
      <c r="AS938" s="418"/>
      <c r="AT938" s="418"/>
      <c r="AU938" s="418"/>
      <c r="AV938" s="418"/>
      <c r="AW938" s="418"/>
      <c r="AX938" s="418"/>
      <c r="AY938" s="418"/>
      <c r="AZ938" s="418"/>
      <c r="BA938" s="418"/>
      <c r="BB938" s="154"/>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c r="BY938" s="115"/>
      <c r="BZ938" s="115"/>
      <c r="CA938" s="115"/>
      <c r="CB938" s="115"/>
      <c r="CC938" s="115"/>
      <c r="CD938" s="115"/>
      <c r="CE938" s="115"/>
      <c r="CF938" s="115"/>
      <c r="CG938" s="115"/>
      <c r="CH938" s="115"/>
      <c r="CI938" s="115"/>
      <c r="CJ938" s="115"/>
      <c r="CK938" s="115"/>
      <c r="CL938" s="115"/>
      <c r="CM938" s="115"/>
      <c r="CN938" s="115"/>
      <c r="CO938" s="115"/>
      <c r="CP938" s="115"/>
      <c r="CQ938" s="115"/>
      <c r="CR938" s="115"/>
      <c r="CS938" s="115"/>
      <c r="CT938" s="115"/>
      <c r="CU938" s="115"/>
      <c r="CV938" s="115"/>
      <c r="CW938" s="115"/>
      <c r="CX938" s="115"/>
      <c r="CY938" s="115"/>
      <c r="CZ938" s="115"/>
      <c r="DA938" s="115"/>
      <c r="DB938" s="115"/>
      <c r="DC938" s="115"/>
      <c r="DD938" s="115"/>
      <c r="DE938" s="115"/>
      <c r="DF938" s="115"/>
      <c r="DG938" s="115"/>
    </row>
    <row r="939" spans="1:111" ht="4.5" customHeight="1">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c r="BY939" s="115"/>
      <c r="BZ939" s="115"/>
      <c r="CA939" s="115"/>
      <c r="CB939" s="115"/>
      <c r="CC939" s="115"/>
      <c r="CD939" s="115"/>
      <c r="CE939" s="115"/>
      <c r="CF939" s="115"/>
      <c r="CG939" s="115"/>
      <c r="CH939" s="115"/>
      <c r="CI939" s="115"/>
      <c r="CJ939" s="115"/>
      <c r="CK939" s="115"/>
      <c r="CL939" s="115"/>
      <c r="CM939" s="115"/>
      <c r="CN939" s="115"/>
      <c r="CO939" s="115"/>
      <c r="CP939" s="115"/>
      <c r="CQ939" s="115"/>
      <c r="CR939" s="115"/>
      <c r="CS939" s="115"/>
      <c r="CT939" s="115"/>
      <c r="CU939" s="115"/>
      <c r="CV939" s="115"/>
      <c r="CW939" s="115"/>
      <c r="CX939" s="115"/>
      <c r="CY939" s="115"/>
      <c r="CZ939" s="115"/>
      <c r="DA939" s="115"/>
      <c r="DB939" s="115"/>
      <c r="DC939" s="115"/>
      <c r="DD939" s="115"/>
      <c r="DE939" s="115"/>
      <c r="DF939" s="115"/>
      <c r="DG939" s="115"/>
    </row>
    <row r="940" spans="1:111" ht="9" customHeight="1">
      <c r="A940" s="154"/>
      <c r="B940" s="154"/>
      <c r="C940" s="154"/>
      <c r="D940" s="154"/>
      <c r="E940" s="154"/>
      <c r="F940" s="154"/>
      <c r="G940" s="154"/>
      <c r="H940" s="154"/>
      <c r="I940" s="154"/>
      <c r="J940" s="416" t="str">
        <f>IF(C922="","","Valor Unitário (R$):")</f>
        <v/>
      </c>
      <c r="K940" s="416"/>
      <c r="L940" s="416"/>
      <c r="M940" s="416"/>
      <c r="N940" s="416"/>
      <c r="O940" s="416"/>
      <c r="P940" s="154"/>
      <c r="Q940" s="419"/>
      <c r="R940" s="419"/>
      <c r="S940" s="419"/>
      <c r="T940" s="419"/>
      <c r="U940" s="419"/>
      <c r="V940" s="419"/>
      <c r="W940" s="419"/>
      <c r="X940" s="419"/>
      <c r="Y940" s="154"/>
      <c r="Z940" s="416" t="str">
        <f>IF(C922="","",IF(J928="52 Equipamentos e Material Permanente","Tempo de Uso:",""))</f>
        <v/>
      </c>
      <c r="AA940" s="416"/>
      <c r="AB940" s="416"/>
      <c r="AC940" s="416"/>
      <c r="AD940" s="416"/>
      <c r="AE940" s="416"/>
      <c r="AF940" s="154"/>
      <c r="AG940" s="420"/>
      <c r="AH940" s="420"/>
      <c r="AI940" s="420"/>
      <c r="AJ940" s="420"/>
      <c r="AK940" s="420"/>
      <c r="AL940" s="420"/>
      <c r="AM940" s="420"/>
      <c r="AN940" s="420"/>
      <c r="AO940" s="420"/>
      <c r="AP940" s="420"/>
      <c r="AQ940" s="420"/>
      <c r="AR940" s="420"/>
      <c r="AS940" s="420"/>
      <c r="AT940" s="420"/>
      <c r="AU940" s="420"/>
      <c r="AV940" s="420"/>
      <c r="AW940" s="420"/>
      <c r="AX940" s="420"/>
      <c r="AY940" s="420"/>
      <c r="AZ940" s="420"/>
      <c r="BA940" s="420"/>
      <c r="BB940" s="154"/>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c r="BY940" s="115"/>
      <c r="BZ940" s="115"/>
      <c r="CA940" s="115"/>
      <c r="CB940" s="115"/>
      <c r="CC940" s="115"/>
      <c r="CD940" s="115"/>
      <c r="CE940" s="115"/>
      <c r="CF940" s="115"/>
      <c r="CG940" s="115"/>
      <c r="CH940" s="115"/>
      <c r="CI940" s="115"/>
      <c r="CJ940" s="115"/>
      <c r="CK940" s="115"/>
      <c r="CL940" s="115"/>
      <c r="CM940" s="115"/>
      <c r="CN940" s="115"/>
      <c r="CO940" s="115"/>
      <c r="CP940" s="115"/>
      <c r="CQ940" s="115"/>
      <c r="CR940" s="115"/>
      <c r="CS940" s="115"/>
      <c r="CT940" s="115"/>
      <c r="CU940" s="115"/>
      <c r="CV940" s="115"/>
      <c r="CW940" s="115"/>
      <c r="CX940" s="115"/>
      <c r="CY940" s="115"/>
      <c r="CZ940" s="115"/>
      <c r="DA940" s="115"/>
      <c r="DB940" s="115"/>
      <c r="DC940" s="115"/>
      <c r="DD940" s="115"/>
      <c r="DE940" s="115"/>
      <c r="DF940" s="115"/>
      <c r="DG940" s="115"/>
    </row>
    <row r="941" spans="1:111" ht="9" customHeight="1">
      <c r="A941" s="154"/>
      <c r="B941" s="154"/>
      <c r="C941" s="154"/>
      <c r="D941" s="154"/>
      <c r="E941" s="154"/>
      <c r="F941" s="154"/>
      <c r="G941" s="154"/>
      <c r="H941" s="154"/>
      <c r="I941" s="154"/>
      <c r="J941" s="416"/>
      <c r="K941" s="416"/>
      <c r="L941" s="416"/>
      <c r="M941" s="416"/>
      <c r="N941" s="416"/>
      <c r="O941" s="416"/>
      <c r="P941" s="154"/>
      <c r="Q941" s="419"/>
      <c r="R941" s="419"/>
      <c r="S941" s="419"/>
      <c r="T941" s="419"/>
      <c r="U941" s="419"/>
      <c r="V941" s="419"/>
      <c r="W941" s="419"/>
      <c r="X941" s="419"/>
      <c r="Y941" s="154"/>
      <c r="Z941" s="416"/>
      <c r="AA941" s="416"/>
      <c r="AB941" s="416"/>
      <c r="AC941" s="416"/>
      <c r="AD941" s="416"/>
      <c r="AE941" s="416"/>
      <c r="AF941" s="154"/>
      <c r="AG941" s="420"/>
      <c r="AH941" s="420"/>
      <c r="AI941" s="420"/>
      <c r="AJ941" s="420"/>
      <c r="AK941" s="420"/>
      <c r="AL941" s="420"/>
      <c r="AM941" s="420"/>
      <c r="AN941" s="420"/>
      <c r="AO941" s="420"/>
      <c r="AP941" s="420"/>
      <c r="AQ941" s="420"/>
      <c r="AR941" s="420"/>
      <c r="AS941" s="420"/>
      <c r="AT941" s="420"/>
      <c r="AU941" s="420"/>
      <c r="AV941" s="420"/>
      <c r="AW941" s="420"/>
      <c r="AX941" s="420"/>
      <c r="AY941" s="420"/>
      <c r="AZ941" s="420"/>
      <c r="BA941" s="420"/>
      <c r="BB941" s="154"/>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c r="BY941" s="115"/>
      <c r="BZ941" s="115"/>
      <c r="CA941" s="115"/>
      <c r="CB941" s="115"/>
      <c r="CC941" s="115"/>
      <c r="CD941" s="115"/>
      <c r="CE941" s="115"/>
      <c r="CF941" s="115"/>
      <c r="CG941" s="115"/>
      <c r="CH941" s="115"/>
      <c r="CI941" s="115"/>
      <c r="CJ941" s="115"/>
      <c r="CK941" s="115"/>
      <c r="CL941" s="115"/>
      <c r="CM941" s="115"/>
      <c r="CN941" s="115"/>
      <c r="CO941" s="115"/>
      <c r="CP941" s="115"/>
      <c r="CQ941" s="115"/>
      <c r="CR941" s="115"/>
      <c r="CS941" s="115"/>
      <c r="CT941" s="115"/>
      <c r="CU941" s="115"/>
      <c r="CV941" s="115"/>
      <c r="CW941" s="115"/>
      <c r="CX941" s="115"/>
      <c r="CY941" s="115"/>
      <c r="CZ941" s="115"/>
      <c r="DA941" s="115"/>
      <c r="DB941" s="115"/>
      <c r="DC941" s="115"/>
      <c r="DD941" s="115"/>
      <c r="DE941" s="115"/>
      <c r="DF941" s="115"/>
      <c r="DG941" s="115"/>
    </row>
    <row r="942" spans="1:111" ht="9" customHeight="1">
      <c r="A942" s="154"/>
      <c r="B942" s="154"/>
      <c r="C942" s="154"/>
      <c r="D942" s="154"/>
      <c r="E942" s="154"/>
      <c r="F942" s="154"/>
      <c r="G942" s="154"/>
      <c r="H942" s="154"/>
      <c r="I942" s="154"/>
      <c r="J942" s="154"/>
      <c r="K942" s="154"/>
      <c r="L942" s="154"/>
      <c r="M942" s="154"/>
      <c r="N942" s="154"/>
      <c r="O942" s="154"/>
      <c r="P942" s="154"/>
      <c r="Q942" s="419"/>
      <c r="R942" s="419"/>
      <c r="S942" s="419"/>
      <c r="T942" s="419"/>
      <c r="U942" s="419"/>
      <c r="V942" s="419"/>
      <c r="W942" s="419"/>
      <c r="X942" s="419"/>
      <c r="Y942" s="154"/>
      <c r="Z942" s="154"/>
      <c r="AA942" s="154"/>
      <c r="AB942" s="154"/>
      <c r="AC942" s="154"/>
      <c r="AD942" s="154"/>
      <c r="AE942" s="154"/>
      <c r="AF942" s="154"/>
      <c r="AG942" s="420"/>
      <c r="AH942" s="420"/>
      <c r="AI942" s="420"/>
      <c r="AJ942" s="420"/>
      <c r="AK942" s="420"/>
      <c r="AL942" s="420"/>
      <c r="AM942" s="420"/>
      <c r="AN942" s="420"/>
      <c r="AO942" s="420"/>
      <c r="AP942" s="420"/>
      <c r="AQ942" s="420"/>
      <c r="AR942" s="420"/>
      <c r="AS942" s="420"/>
      <c r="AT942" s="420"/>
      <c r="AU942" s="420"/>
      <c r="AV942" s="420"/>
      <c r="AW942" s="420"/>
      <c r="AX942" s="420"/>
      <c r="AY942" s="420"/>
      <c r="AZ942" s="420"/>
      <c r="BA942" s="420"/>
      <c r="BB942" s="154"/>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c r="BY942" s="115"/>
      <c r="BZ942" s="115"/>
      <c r="CA942" s="115"/>
      <c r="CB942" s="115"/>
      <c r="CC942" s="115"/>
      <c r="CD942" s="115"/>
      <c r="CE942" s="115"/>
      <c r="CF942" s="115"/>
      <c r="CG942" s="115"/>
      <c r="CH942" s="115"/>
      <c r="CI942" s="115"/>
      <c r="CJ942" s="115"/>
      <c r="CK942" s="115"/>
      <c r="CL942" s="115"/>
      <c r="CM942" s="115"/>
      <c r="CN942" s="115"/>
      <c r="CO942" s="115"/>
      <c r="CP942" s="115"/>
      <c r="CQ942" s="115"/>
      <c r="CR942" s="115"/>
      <c r="CS942" s="115"/>
      <c r="CT942" s="115"/>
      <c r="CU942" s="115"/>
      <c r="CV942" s="115"/>
      <c r="CW942" s="115"/>
      <c r="CX942" s="115"/>
      <c r="CY942" s="115"/>
      <c r="CZ942" s="115"/>
      <c r="DA942" s="115"/>
      <c r="DB942" s="115"/>
      <c r="DC942" s="115"/>
      <c r="DD942" s="115"/>
      <c r="DE942" s="115"/>
      <c r="DF942" s="115"/>
      <c r="DG942" s="115"/>
    </row>
    <row r="943" spans="1:111" ht="4.5" customHeight="1">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c r="BY943" s="115"/>
      <c r="BZ943" s="115"/>
      <c r="CA943" s="115"/>
      <c r="CB943" s="115"/>
      <c r="CC943" s="115"/>
      <c r="CD943" s="115"/>
      <c r="CE943" s="115"/>
      <c r="CF943" s="115"/>
      <c r="CG943" s="115"/>
      <c r="CH943" s="115"/>
      <c r="CI943" s="115"/>
      <c r="CJ943" s="115"/>
      <c r="CK943" s="115"/>
      <c r="CL943" s="115"/>
      <c r="CM943" s="115"/>
      <c r="CN943" s="115"/>
      <c r="CO943" s="115"/>
      <c r="CP943" s="115"/>
      <c r="CQ943" s="115"/>
      <c r="CR943" s="115"/>
      <c r="CS943" s="115"/>
      <c r="CT943" s="115"/>
      <c r="CU943" s="115"/>
      <c r="CV943" s="115"/>
      <c r="CW943" s="115"/>
      <c r="CX943" s="115"/>
      <c r="CY943" s="115"/>
      <c r="CZ943" s="115"/>
      <c r="DA943" s="115"/>
      <c r="DB943" s="115"/>
      <c r="DC943" s="115"/>
      <c r="DD943" s="115"/>
      <c r="DE943" s="115"/>
      <c r="DF943" s="115"/>
      <c r="DG943" s="115"/>
    </row>
    <row r="944" spans="1:111" ht="9" customHeight="1">
      <c r="A944" s="154"/>
      <c r="B944" s="154"/>
      <c r="C944" s="154"/>
      <c r="D944" s="154"/>
      <c r="E944" s="154"/>
      <c r="F944" s="154"/>
      <c r="G944" s="154"/>
      <c r="H944" s="154"/>
      <c r="I944" s="154"/>
      <c r="J944" s="416" t="str">
        <f>IF(C922="","","Valor Total (R$):")</f>
        <v/>
      </c>
      <c r="K944" s="416"/>
      <c r="L944" s="416"/>
      <c r="M944" s="416"/>
      <c r="N944" s="416"/>
      <c r="O944" s="416"/>
      <c r="P944" s="154"/>
      <c r="Q944" s="419" t="str">
        <f>IF(Q940="","",Q936*Q940)</f>
        <v/>
      </c>
      <c r="R944" s="419"/>
      <c r="S944" s="419"/>
      <c r="T944" s="419"/>
      <c r="U944" s="419"/>
      <c r="V944" s="419"/>
      <c r="W944" s="419"/>
      <c r="X944" s="419"/>
      <c r="Y944" s="154"/>
      <c r="Z944" s="416" t="str">
        <f>IF(C922="","",IF(J928="52 Equipamentos e Material Permanente","Justificativa e Utilização:",""))</f>
        <v/>
      </c>
      <c r="AA944" s="416"/>
      <c r="AB944" s="416"/>
      <c r="AC944" s="416"/>
      <c r="AD944" s="416"/>
      <c r="AE944" s="416"/>
      <c r="AF944" s="154"/>
      <c r="AG944" s="420"/>
      <c r="AH944" s="420"/>
      <c r="AI944" s="420"/>
      <c r="AJ944" s="420"/>
      <c r="AK944" s="420"/>
      <c r="AL944" s="420"/>
      <c r="AM944" s="420"/>
      <c r="AN944" s="420"/>
      <c r="AO944" s="420"/>
      <c r="AP944" s="420"/>
      <c r="AQ944" s="420"/>
      <c r="AR944" s="420"/>
      <c r="AS944" s="420"/>
      <c r="AT944" s="420"/>
      <c r="AU944" s="420"/>
      <c r="AV944" s="420"/>
      <c r="AW944" s="420"/>
      <c r="AX944" s="420"/>
      <c r="AY944" s="420"/>
      <c r="AZ944" s="420"/>
      <c r="BA944" s="420"/>
      <c r="BB944" s="154"/>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c r="BY944" s="115"/>
      <c r="BZ944" s="115"/>
      <c r="CA944" s="115"/>
      <c r="CB944" s="115"/>
      <c r="CC944" s="115"/>
      <c r="CD944" s="115"/>
      <c r="CE944" s="115"/>
      <c r="CF944" s="115"/>
      <c r="CG944" s="115"/>
      <c r="CH944" s="115"/>
      <c r="CI944" s="115"/>
      <c r="CJ944" s="115"/>
      <c r="CK944" s="115"/>
      <c r="CL944" s="115"/>
      <c r="CM944" s="115"/>
      <c r="CN944" s="115"/>
      <c r="CO944" s="115"/>
      <c r="CP944" s="115"/>
      <c r="CQ944" s="115"/>
      <c r="CR944" s="115"/>
      <c r="CS944" s="115"/>
      <c r="CT944" s="115"/>
      <c r="CU944" s="115"/>
      <c r="CV944" s="115"/>
      <c r="CW944" s="115"/>
      <c r="CX944" s="115"/>
      <c r="CY944" s="115"/>
      <c r="CZ944" s="115"/>
      <c r="DA944" s="115"/>
      <c r="DB944" s="115"/>
      <c r="DC944" s="115"/>
      <c r="DD944" s="115"/>
      <c r="DE944" s="115"/>
      <c r="DF944" s="115"/>
      <c r="DG944" s="115"/>
    </row>
    <row r="945" spans="1:111" ht="9" customHeight="1">
      <c r="A945" s="154"/>
      <c r="B945" s="154"/>
      <c r="C945" s="154"/>
      <c r="D945" s="154"/>
      <c r="E945" s="154"/>
      <c r="F945" s="154"/>
      <c r="G945" s="154"/>
      <c r="H945" s="154"/>
      <c r="I945" s="154"/>
      <c r="J945" s="416"/>
      <c r="K945" s="416"/>
      <c r="L945" s="416"/>
      <c r="M945" s="416"/>
      <c r="N945" s="416"/>
      <c r="O945" s="416"/>
      <c r="P945" s="154"/>
      <c r="Q945" s="419"/>
      <c r="R945" s="419"/>
      <c r="S945" s="419"/>
      <c r="T945" s="419"/>
      <c r="U945" s="419"/>
      <c r="V945" s="419"/>
      <c r="W945" s="419"/>
      <c r="X945" s="419"/>
      <c r="Y945" s="154"/>
      <c r="Z945" s="416"/>
      <c r="AA945" s="416"/>
      <c r="AB945" s="416"/>
      <c r="AC945" s="416"/>
      <c r="AD945" s="416"/>
      <c r="AE945" s="416"/>
      <c r="AF945" s="154"/>
      <c r="AG945" s="420"/>
      <c r="AH945" s="420"/>
      <c r="AI945" s="420"/>
      <c r="AJ945" s="420"/>
      <c r="AK945" s="420"/>
      <c r="AL945" s="420"/>
      <c r="AM945" s="420"/>
      <c r="AN945" s="420"/>
      <c r="AO945" s="420"/>
      <c r="AP945" s="420"/>
      <c r="AQ945" s="420"/>
      <c r="AR945" s="420"/>
      <c r="AS945" s="420"/>
      <c r="AT945" s="420"/>
      <c r="AU945" s="420"/>
      <c r="AV945" s="420"/>
      <c r="AW945" s="420"/>
      <c r="AX945" s="420"/>
      <c r="AY945" s="420"/>
      <c r="AZ945" s="420"/>
      <c r="BA945" s="420"/>
      <c r="BB945" s="154"/>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c r="BY945" s="115"/>
      <c r="BZ945" s="115"/>
      <c r="CA945" s="115"/>
      <c r="CB945" s="115"/>
      <c r="CC945" s="115"/>
      <c r="CD945" s="115"/>
      <c r="CE945" s="115"/>
      <c r="CF945" s="115"/>
      <c r="CG945" s="115"/>
      <c r="CH945" s="115"/>
      <c r="CI945" s="115"/>
      <c r="CJ945" s="115"/>
      <c r="CK945" s="115"/>
      <c r="CL945" s="115"/>
      <c r="CM945" s="115"/>
      <c r="CN945" s="115"/>
      <c r="CO945" s="115"/>
      <c r="CP945" s="115"/>
      <c r="CQ945" s="115"/>
      <c r="CR945" s="115"/>
      <c r="CS945" s="115"/>
      <c r="CT945" s="115"/>
      <c r="CU945" s="115"/>
      <c r="CV945" s="115"/>
      <c r="CW945" s="115"/>
      <c r="CX945" s="115"/>
      <c r="CY945" s="115"/>
      <c r="CZ945" s="115"/>
      <c r="DA945" s="115"/>
      <c r="DB945" s="115"/>
      <c r="DC945" s="115"/>
      <c r="DD945" s="115"/>
      <c r="DE945" s="115"/>
      <c r="DF945" s="115"/>
      <c r="DG945" s="115"/>
    </row>
    <row r="946" spans="1:111" ht="9" customHeight="1">
      <c r="A946" s="154"/>
      <c r="B946" s="154"/>
      <c r="C946" s="154"/>
      <c r="D946" s="154"/>
      <c r="E946" s="154"/>
      <c r="F946" s="154"/>
      <c r="G946" s="154"/>
      <c r="H946" s="154"/>
      <c r="I946" s="154"/>
      <c r="J946" s="154"/>
      <c r="K946" s="154"/>
      <c r="L946" s="154"/>
      <c r="M946" s="154"/>
      <c r="N946" s="154"/>
      <c r="O946" s="154"/>
      <c r="P946" s="154"/>
      <c r="Q946" s="419"/>
      <c r="R946" s="419"/>
      <c r="S946" s="419"/>
      <c r="T946" s="419"/>
      <c r="U946" s="419"/>
      <c r="V946" s="419"/>
      <c r="W946" s="419"/>
      <c r="X946" s="419"/>
      <c r="Y946" s="154"/>
      <c r="Z946" s="154"/>
      <c r="AA946" s="154"/>
      <c r="AB946" s="154"/>
      <c r="AC946" s="154"/>
      <c r="AD946" s="154"/>
      <c r="AE946" s="154"/>
      <c r="AF946" s="154"/>
      <c r="AG946" s="420"/>
      <c r="AH946" s="420"/>
      <c r="AI946" s="420"/>
      <c r="AJ946" s="420"/>
      <c r="AK946" s="420"/>
      <c r="AL946" s="420"/>
      <c r="AM946" s="420"/>
      <c r="AN946" s="420"/>
      <c r="AO946" s="420"/>
      <c r="AP946" s="420"/>
      <c r="AQ946" s="420"/>
      <c r="AR946" s="420"/>
      <c r="AS946" s="420"/>
      <c r="AT946" s="420"/>
      <c r="AU946" s="420"/>
      <c r="AV946" s="420"/>
      <c r="AW946" s="420"/>
      <c r="AX946" s="420"/>
      <c r="AY946" s="420"/>
      <c r="AZ946" s="420"/>
      <c r="BA946" s="420"/>
      <c r="BB946" s="154"/>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c r="BY946" s="115"/>
      <c r="BZ946" s="115"/>
      <c r="CA946" s="115"/>
      <c r="CB946" s="115"/>
      <c r="CC946" s="115"/>
      <c r="CD946" s="115"/>
      <c r="CE946" s="115"/>
      <c r="CF946" s="115"/>
      <c r="CG946" s="115"/>
      <c r="CH946" s="115"/>
      <c r="CI946" s="115"/>
      <c r="CJ946" s="115"/>
      <c r="CK946" s="115"/>
      <c r="CL946" s="115"/>
      <c r="CM946" s="115"/>
      <c r="CN946" s="115"/>
      <c r="CO946" s="115"/>
      <c r="CP946" s="115"/>
      <c r="CQ946" s="115"/>
      <c r="CR946" s="115"/>
      <c r="CS946" s="115"/>
      <c r="CT946" s="115"/>
      <c r="CU946" s="115"/>
      <c r="CV946" s="115"/>
      <c r="CW946" s="115"/>
      <c r="CX946" s="115"/>
      <c r="CY946" s="115"/>
      <c r="CZ946" s="115"/>
      <c r="DA946" s="115"/>
      <c r="DB946" s="115"/>
      <c r="DC946" s="115"/>
      <c r="DD946" s="115"/>
      <c r="DE946" s="115"/>
      <c r="DF946" s="115"/>
      <c r="DG946" s="115"/>
    </row>
    <row r="947" spans="1:111" ht="9" customHeight="1">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420"/>
      <c r="AH947" s="420"/>
      <c r="AI947" s="420"/>
      <c r="AJ947" s="420"/>
      <c r="AK947" s="420"/>
      <c r="AL947" s="420"/>
      <c r="AM947" s="420"/>
      <c r="AN947" s="420"/>
      <c r="AO947" s="420"/>
      <c r="AP947" s="420"/>
      <c r="AQ947" s="420"/>
      <c r="AR947" s="420"/>
      <c r="AS947" s="420"/>
      <c r="AT947" s="420"/>
      <c r="AU947" s="420"/>
      <c r="AV947" s="420"/>
      <c r="AW947" s="420"/>
      <c r="AX947" s="420"/>
      <c r="AY947" s="420"/>
      <c r="AZ947" s="420"/>
      <c r="BA947" s="420"/>
      <c r="BB947" s="154"/>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c r="BY947" s="115"/>
      <c r="BZ947" s="115"/>
      <c r="CA947" s="115"/>
      <c r="CB947" s="115"/>
      <c r="CC947" s="115"/>
      <c r="CD947" s="115"/>
      <c r="CE947" s="115"/>
      <c r="CF947" s="115"/>
      <c r="CG947" s="115"/>
      <c r="CH947" s="115"/>
      <c r="CI947" s="115"/>
      <c r="CJ947" s="115"/>
      <c r="CK947" s="115"/>
      <c r="CL947" s="115"/>
      <c r="CM947" s="115"/>
      <c r="CN947" s="115"/>
      <c r="CO947" s="115"/>
      <c r="CP947" s="115"/>
      <c r="CQ947" s="115"/>
      <c r="CR947" s="115"/>
      <c r="CS947" s="115"/>
      <c r="CT947" s="115"/>
      <c r="CU947" s="115"/>
      <c r="CV947" s="115"/>
      <c r="CW947" s="115"/>
      <c r="CX947" s="115"/>
      <c r="CY947" s="115"/>
      <c r="CZ947" s="115"/>
      <c r="DA947" s="115"/>
      <c r="DB947" s="115"/>
      <c r="DC947" s="115"/>
      <c r="DD947" s="115"/>
      <c r="DE947" s="115"/>
      <c r="DF947" s="115"/>
      <c r="DG947" s="115"/>
    </row>
    <row r="948" spans="1:111" ht="9" customHeight="1">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420"/>
      <c r="AH948" s="420"/>
      <c r="AI948" s="420"/>
      <c r="AJ948" s="420"/>
      <c r="AK948" s="420"/>
      <c r="AL948" s="420"/>
      <c r="AM948" s="420"/>
      <c r="AN948" s="420"/>
      <c r="AO948" s="420"/>
      <c r="AP948" s="420"/>
      <c r="AQ948" s="420"/>
      <c r="AR948" s="420"/>
      <c r="AS948" s="420"/>
      <c r="AT948" s="420"/>
      <c r="AU948" s="420"/>
      <c r="AV948" s="420"/>
      <c r="AW948" s="420"/>
      <c r="AX948" s="420"/>
      <c r="AY948" s="420"/>
      <c r="AZ948" s="420"/>
      <c r="BA948" s="420"/>
      <c r="BB948" s="154"/>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c r="BY948" s="115"/>
      <c r="BZ948" s="115"/>
      <c r="CA948" s="115"/>
      <c r="CB948" s="115"/>
      <c r="CC948" s="115"/>
      <c r="CD948" s="115"/>
      <c r="CE948" s="115"/>
      <c r="CF948" s="115"/>
      <c r="CG948" s="115"/>
      <c r="CH948" s="115"/>
      <c r="CI948" s="115"/>
      <c r="CJ948" s="115"/>
      <c r="CK948" s="115"/>
      <c r="CL948" s="115"/>
      <c r="CM948" s="115"/>
      <c r="CN948" s="115"/>
      <c r="CO948" s="115"/>
      <c r="CP948" s="115"/>
      <c r="CQ948" s="115"/>
      <c r="CR948" s="115"/>
      <c r="CS948" s="115"/>
      <c r="CT948" s="115"/>
      <c r="CU948" s="115"/>
      <c r="CV948" s="115"/>
      <c r="CW948" s="115"/>
      <c r="CX948" s="115"/>
      <c r="CY948" s="115"/>
      <c r="CZ948" s="115"/>
      <c r="DA948" s="115"/>
      <c r="DB948" s="115"/>
      <c r="DC948" s="115"/>
      <c r="DD948" s="115"/>
      <c r="DE948" s="115"/>
      <c r="DF948" s="115"/>
      <c r="DG948" s="115"/>
    </row>
    <row r="949" spans="1:111" ht="9" customHeight="1">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420"/>
      <c r="AH949" s="420"/>
      <c r="AI949" s="420"/>
      <c r="AJ949" s="420"/>
      <c r="AK949" s="420"/>
      <c r="AL949" s="420"/>
      <c r="AM949" s="420"/>
      <c r="AN949" s="420"/>
      <c r="AO949" s="420"/>
      <c r="AP949" s="420"/>
      <c r="AQ949" s="420"/>
      <c r="AR949" s="420"/>
      <c r="AS949" s="420"/>
      <c r="AT949" s="420"/>
      <c r="AU949" s="420"/>
      <c r="AV949" s="420"/>
      <c r="AW949" s="420"/>
      <c r="AX949" s="420"/>
      <c r="AY949" s="420"/>
      <c r="AZ949" s="420"/>
      <c r="BA949" s="420"/>
      <c r="BB949" s="154"/>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c r="BY949" s="115"/>
      <c r="BZ949" s="115"/>
      <c r="CA949" s="115"/>
      <c r="CB949" s="115"/>
      <c r="CC949" s="115"/>
      <c r="CD949" s="115"/>
      <c r="CE949" s="115"/>
      <c r="CF949" s="115"/>
      <c r="CG949" s="115"/>
      <c r="CH949" s="115"/>
      <c r="CI949" s="115"/>
      <c r="CJ949" s="115"/>
      <c r="CK949" s="115"/>
      <c r="CL949" s="115"/>
      <c r="CM949" s="115"/>
      <c r="CN949" s="115"/>
      <c r="CO949" s="115"/>
      <c r="CP949" s="115"/>
      <c r="CQ949" s="115"/>
      <c r="CR949" s="115"/>
      <c r="CS949" s="115"/>
      <c r="CT949" s="115"/>
      <c r="CU949" s="115"/>
      <c r="CV949" s="115"/>
      <c r="CW949" s="115"/>
      <c r="CX949" s="115"/>
      <c r="CY949" s="115"/>
      <c r="CZ949" s="115"/>
      <c r="DA949" s="115"/>
      <c r="DB949" s="115"/>
      <c r="DC949" s="115"/>
      <c r="DD949" s="115"/>
      <c r="DE949" s="115"/>
      <c r="DF949" s="115"/>
      <c r="DG949" s="115"/>
    </row>
    <row r="950" spans="1:111" ht="15" customHeight="1">
      <c r="B950" s="55"/>
      <c r="C950" s="55"/>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141"/>
      <c r="AL950" s="141"/>
      <c r="AM950" s="141"/>
      <c r="AN950" s="141"/>
      <c r="AO950" s="140"/>
      <c r="AP950" s="140"/>
      <c r="AQ950" s="140"/>
      <c r="AR950" s="140"/>
      <c r="AS950" s="142"/>
      <c r="AT950" s="142"/>
      <c r="AU950" s="142"/>
      <c r="AV950" s="142"/>
      <c r="AW950" s="140"/>
      <c r="AX950" s="140"/>
      <c r="AY950" s="140"/>
      <c r="AZ950" s="140"/>
      <c r="BA950" s="140"/>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c r="BY950" s="115"/>
      <c r="BZ950" s="115"/>
      <c r="CA950" s="115"/>
      <c r="CB950" s="115"/>
      <c r="CC950" s="115"/>
      <c r="CD950" s="115"/>
      <c r="CE950" s="115"/>
      <c r="CF950" s="115"/>
      <c r="CG950" s="115"/>
      <c r="CH950" s="115"/>
      <c r="CI950" s="115"/>
      <c r="CJ950" s="115"/>
      <c r="CK950" s="115"/>
      <c r="CL950" s="115"/>
      <c r="CM950" s="115"/>
      <c r="CN950" s="115"/>
      <c r="CO950" s="115"/>
      <c r="CP950" s="115"/>
      <c r="CQ950" s="115"/>
      <c r="CR950" s="115"/>
      <c r="CS950" s="115"/>
      <c r="CT950" s="115"/>
      <c r="CU950" s="115"/>
      <c r="CV950" s="115"/>
      <c r="CW950" s="115"/>
      <c r="CX950" s="115"/>
      <c r="CY950" s="115"/>
      <c r="CZ950" s="115"/>
      <c r="DA950" s="115"/>
      <c r="DB950" s="115"/>
      <c r="DC950" s="115"/>
      <c r="DD950" s="115"/>
      <c r="DE950" s="115"/>
      <c r="DF950" s="115"/>
      <c r="DG950" s="115"/>
    </row>
    <row r="951" spans="1:111" ht="15" customHeight="1">
      <c r="B951" s="55"/>
      <c r="C951" s="422" t="str">
        <f>IF($AA$165&gt;=28,"DESPESA 28","")</f>
        <v/>
      </c>
      <c r="D951" s="422"/>
      <c r="E951" s="422"/>
      <c r="F951" s="422"/>
      <c r="G951" s="422"/>
      <c r="H951" s="422"/>
      <c r="I951" s="56"/>
      <c r="J951" s="56"/>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141"/>
      <c r="AL951" s="141"/>
      <c r="AM951" s="141"/>
      <c r="AN951" s="141"/>
      <c r="AO951" s="140"/>
      <c r="AP951" s="140"/>
      <c r="AQ951" s="140"/>
      <c r="AR951" s="140"/>
      <c r="AS951" s="142"/>
      <c r="AT951" s="142"/>
      <c r="AU951" s="142"/>
      <c r="AV951" s="142"/>
      <c r="AW951" s="140"/>
      <c r="AX951" s="140"/>
      <c r="AY951" s="140"/>
      <c r="AZ951" s="140"/>
      <c r="BA951" s="140"/>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c r="BY951" s="115"/>
      <c r="BZ951" s="115"/>
      <c r="CA951" s="115"/>
      <c r="CB951" s="115"/>
      <c r="CC951" s="115"/>
      <c r="CD951" s="115"/>
      <c r="CE951" s="115"/>
      <c r="CF951" s="115"/>
      <c r="CG951" s="115"/>
      <c r="CH951" s="115"/>
      <c r="CI951" s="115"/>
      <c r="CJ951" s="115"/>
      <c r="CK951" s="115"/>
      <c r="CL951" s="115"/>
      <c r="CM951" s="115"/>
      <c r="CN951" s="115"/>
      <c r="CO951" s="115"/>
      <c r="CP951" s="115"/>
      <c r="CQ951" s="115"/>
      <c r="CR951" s="115"/>
      <c r="CS951" s="115"/>
      <c r="CT951" s="115"/>
      <c r="CU951" s="115"/>
      <c r="CV951" s="115"/>
      <c r="CW951" s="115"/>
      <c r="CX951" s="115"/>
      <c r="CY951" s="115"/>
      <c r="CZ951" s="115"/>
      <c r="DA951" s="115"/>
      <c r="DB951" s="115"/>
      <c r="DC951" s="115"/>
      <c r="DD951" s="115"/>
      <c r="DE951" s="115"/>
      <c r="DF951" s="115"/>
      <c r="DG951" s="115"/>
    </row>
    <row r="952" spans="1:111" ht="4.5" customHeight="1">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c r="BY952" s="115"/>
      <c r="BZ952" s="115"/>
      <c r="CA952" s="115"/>
      <c r="CB952" s="115"/>
      <c r="CC952" s="115"/>
      <c r="CD952" s="115"/>
      <c r="CE952" s="115"/>
      <c r="CF952" s="115"/>
      <c r="CG952" s="115"/>
      <c r="CH952" s="115"/>
      <c r="CI952" s="115"/>
      <c r="CJ952" s="115"/>
      <c r="CK952" s="115"/>
      <c r="CL952" s="115"/>
      <c r="CM952" s="115"/>
      <c r="CN952" s="115"/>
      <c r="CO952" s="115"/>
      <c r="CP952" s="115"/>
      <c r="CQ952" s="115"/>
      <c r="CR952" s="115"/>
      <c r="CS952" s="115"/>
      <c r="CT952" s="115"/>
      <c r="CU952" s="115"/>
      <c r="CV952" s="115"/>
      <c r="CW952" s="115"/>
      <c r="CX952" s="115"/>
      <c r="CY952" s="115"/>
      <c r="CZ952" s="115"/>
      <c r="DA952" s="115"/>
      <c r="DB952" s="115"/>
      <c r="DC952" s="115"/>
      <c r="DD952" s="115"/>
      <c r="DE952" s="115"/>
      <c r="DF952" s="115"/>
      <c r="DG952" s="115"/>
    </row>
    <row r="953" spans="1:111" ht="9" customHeight="1">
      <c r="C953" s="416" t="str">
        <f>IF(C951="","","Descrição da Despesa:")</f>
        <v/>
      </c>
      <c r="D953" s="416"/>
      <c r="E953" s="416"/>
      <c r="F953" s="416"/>
      <c r="G953" s="416"/>
      <c r="H953" s="416"/>
      <c r="I953" s="60"/>
      <c r="J953" s="421"/>
      <c r="K953" s="421"/>
      <c r="L953" s="421"/>
      <c r="M953" s="421"/>
      <c r="N953" s="421"/>
      <c r="O953" s="421"/>
      <c r="P953" s="421"/>
      <c r="Q953" s="421"/>
      <c r="R953" s="421"/>
      <c r="S953" s="421"/>
      <c r="T953" s="421"/>
      <c r="U953" s="421"/>
      <c r="V953" s="421"/>
      <c r="W953" s="421"/>
      <c r="X953" s="421"/>
      <c r="Y953" s="421"/>
      <c r="Z953" s="421"/>
      <c r="AA953" s="421"/>
      <c r="AB953" s="421"/>
      <c r="AC953" s="421"/>
      <c r="AD953" s="421"/>
      <c r="AE953" s="421"/>
      <c r="AF953" s="421"/>
      <c r="AG953" s="421"/>
      <c r="AH953" s="421"/>
      <c r="AI953" s="421"/>
      <c r="AJ953" s="421"/>
      <c r="AK953" s="421"/>
      <c r="AL953" s="421"/>
      <c r="AM953" s="421"/>
      <c r="AN953" s="421"/>
      <c r="AO953" s="421"/>
      <c r="AP953" s="421"/>
      <c r="AQ953" s="421"/>
      <c r="AR953" s="421"/>
      <c r="AS953" s="421"/>
      <c r="AT953" s="421"/>
      <c r="AU953" s="421"/>
      <c r="AV953" s="421"/>
      <c r="AW953" s="421"/>
      <c r="AX953" s="421"/>
      <c r="AY953" s="421"/>
      <c r="AZ953" s="421"/>
      <c r="BA953" s="421"/>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c r="BY953" s="115"/>
      <c r="BZ953" s="115"/>
      <c r="CA953" s="115"/>
      <c r="CB953" s="115"/>
      <c r="CC953" s="115"/>
      <c r="CD953" s="115"/>
      <c r="CE953" s="115"/>
      <c r="CF953" s="115"/>
      <c r="CG953" s="115"/>
      <c r="CH953" s="115"/>
      <c r="CI953" s="115"/>
      <c r="CJ953" s="115"/>
      <c r="CK953" s="115"/>
      <c r="CL953" s="115"/>
      <c r="CM953" s="115"/>
      <c r="CN953" s="115"/>
      <c r="CO953" s="115"/>
      <c r="CP953" s="115"/>
      <c r="CQ953" s="115"/>
      <c r="CR953" s="115"/>
      <c r="CS953" s="115"/>
      <c r="CT953" s="115"/>
      <c r="CU953" s="115"/>
      <c r="CV953" s="115"/>
      <c r="CW953" s="115"/>
      <c r="CX953" s="115"/>
      <c r="CY953" s="115"/>
      <c r="CZ953" s="115"/>
      <c r="DA953" s="115"/>
      <c r="DB953" s="115"/>
      <c r="DC953" s="115"/>
      <c r="DD953" s="115"/>
      <c r="DE953" s="115"/>
      <c r="DF953" s="115"/>
      <c r="DG953" s="115"/>
    </row>
    <row r="954" spans="1:111" ht="9" customHeight="1">
      <c r="C954" s="416"/>
      <c r="D954" s="416"/>
      <c r="E954" s="416"/>
      <c r="F954" s="416"/>
      <c r="G954" s="416"/>
      <c r="H954" s="416"/>
      <c r="I954" s="60"/>
      <c r="J954" s="421"/>
      <c r="K954" s="421"/>
      <c r="L954" s="421"/>
      <c r="M954" s="421"/>
      <c r="N954" s="421"/>
      <c r="O954" s="421"/>
      <c r="P954" s="421"/>
      <c r="Q954" s="421"/>
      <c r="R954" s="421"/>
      <c r="S954" s="421"/>
      <c r="T954" s="421"/>
      <c r="U954" s="421"/>
      <c r="V954" s="421"/>
      <c r="W954" s="421"/>
      <c r="X954" s="421"/>
      <c r="Y954" s="421"/>
      <c r="Z954" s="421"/>
      <c r="AA954" s="421"/>
      <c r="AB954" s="421"/>
      <c r="AC954" s="421"/>
      <c r="AD954" s="421"/>
      <c r="AE954" s="421"/>
      <c r="AF954" s="421"/>
      <c r="AG954" s="421"/>
      <c r="AH954" s="421"/>
      <c r="AI954" s="421"/>
      <c r="AJ954" s="421"/>
      <c r="AK954" s="421"/>
      <c r="AL954" s="421"/>
      <c r="AM954" s="421"/>
      <c r="AN954" s="421"/>
      <c r="AO954" s="421"/>
      <c r="AP954" s="421"/>
      <c r="AQ954" s="421"/>
      <c r="AR954" s="421"/>
      <c r="AS954" s="421"/>
      <c r="AT954" s="421"/>
      <c r="AU954" s="421"/>
      <c r="AV954" s="421"/>
      <c r="AW954" s="421"/>
      <c r="AX954" s="421"/>
      <c r="AY954" s="421"/>
      <c r="AZ954" s="421"/>
      <c r="BA954" s="421"/>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c r="BY954" s="115"/>
      <c r="BZ954" s="115"/>
      <c r="CA954" s="115"/>
      <c r="CB954" s="115"/>
      <c r="CC954" s="115"/>
      <c r="CD954" s="115"/>
      <c r="CE954" s="115"/>
      <c r="CF954" s="115"/>
      <c r="CG954" s="115"/>
      <c r="CH954" s="115"/>
      <c r="CI954" s="115"/>
      <c r="CJ954" s="115"/>
      <c r="CK954" s="115"/>
      <c r="CL954" s="115"/>
      <c r="CM954" s="115"/>
      <c r="CN954" s="115"/>
      <c r="CO954" s="115"/>
      <c r="CP954" s="115"/>
      <c r="CQ954" s="115"/>
      <c r="CR954" s="115"/>
      <c r="CS954" s="115"/>
      <c r="CT954" s="115"/>
      <c r="CU954" s="115"/>
      <c r="CV954" s="115"/>
      <c r="CW954" s="115"/>
      <c r="CX954" s="115"/>
      <c r="CY954" s="115"/>
      <c r="CZ954" s="115"/>
      <c r="DA954" s="115"/>
      <c r="DB954" s="115"/>
      <c r="DC954" s="115"/>
      <c r="DD954" s="115"/>
      <c r="DE954" s="115"/>
      <c r="DF954" s="115"/>
      <c r="DG954" s="115"/>
    </row>
    <row r="955" spans="1:111" ht="9" customHeight="1">
      <c r="C955" s="416"/>
      <c r="D955" s="416"/>
      <c r="E955" s="416"/>
      <c r="F955" s="416"/>
      <c r="G955" s="416"/>
      <c r="H955" s="416"/>
      <c r="I955" s="60"/>
      <c r="J955" s="421"/>
      <c r="K955" s="421"/>
      <c r="L955" s="421"/>
      <c r="M955" s="421"/>
      <c r="N955" s="421"/>
      <c r="O955" s="421"/>
      <c r="P955" s="421"/>
      <c r="Q955" s="421"/>
      <c r="R955" s="421"/>
      <c r="S955" s="421"/>
      <c r="T955" s="421"/>
      <c r="U955" s="421"/>
      <c r="V955" s="421"/>
      <c r="W955" s="421"/>
      <c r="X955" s="421"/>
      <c r="Y955" s="421"/>
      <c r="Z955" s="421"/>
      <c r="AA955" s="421"/>
      <c r="AB955" s="421"/>
      <c r="AC955" s="421"/>
      <c r="AD955" s="421"/>
      <c r="AE955" s="421"/>
      <c r="AF955" s="421"/>
      <c r="AG955" s="421"/>
      <c r="AH955" s="421"/>
      <c r="AI955" s="421"/>
      <c r="AJ955" s="421"/>
      <c r="AK955" s="421"/>
      <c r="AL955" s="421"/>
      <c r="AM955" s="421"/>
      <c r="AN955" s="421"/>
      <c r="AO955" s="421"/>
      <c r="AP955" s="421"/>
      <c r="AQ955" s="421"/>
      <c r="AR955" s="421"/>
      <c r="AS955" s="421"/>
      <c r="AT955" s="421"/>
      <c r="AU955" s="421"/>
      <c r="AV955" s="421"/>
      <c r="AW955" s="421"/>
      <c r="AX955" s="421"/>
      <c r="AY955" s="421"/>
      <c r="AZ955" s="421"/>
      <c r="BA955" s="421"/>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c r="BY955" s="115"/>
      <c r="BZ955" s="115"/>
      <c r="CA955" s="115"/>
      <c r="CB955" s="115"/>
      <c r="CC955" s="115"/>
      <c r="CD955" s="115"/>
      <c r="CE955" s="115"/>
      <c r="CF955" s="115"/>
      <c r="CG955" s="115"/>
      <c r="CH955" s="115"/>
      <c r="CI955" s="115"/>
      <c r="CJ955" s="115"/>
      <c r="CK955" s="115"/>
      <c r="CL955" s="115"/>
      <c r="CM955" s="115"/>
      <c r="CN955" s="115"/>
      <c r="CO955" s="115"/>
      <c r="CP955" s="115"/>
      <c r="CQ955" s="115"/>
      <c r="CR955" s="115"/>
      <c r="CS955" s="115"/>
      <c r="CT955" s="115"/>
      <c r="CU955" s="115"/>
      <c r="CV955" s="115"/>
      <c r="CW955" s="115"/>
      <c r="CX955" s="115"/>
      <c r="CY955" s="115"/>
      <c r="CZ955" s="115"/>
      <c r="DA955" s="115"/>
      <c r="DB955" s="115"/>
      <c r="DC955" s="115"/>
      <c r="DD955" s="115"/>
      <c r="DE955" s="115"/>
      <c r="DF955" s="115"/>
      <c r="DG955" s="115"/>
    </row>
    <row r="956" spans="1:111" ht="4.5" customHeight="1">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c r="BY956" s="115"/>
      <c r="BZ956" s="115"/>
      <c r="CA956" s="115"/>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5"/>
      <c r="DD956" s="115"/>
      <c r="DE956" s="115"/>
      <c r="DF956" s="115"/>
      <c r="DG956" s="115"/>
    </row>
    <row r="957" spans="1:111" ht="9" customHeight="1">
      <c r="C957" s="416" t="str">
        <f>IF(C951="","","Elemento de Despesa:")</f>
        <v/>
      </c>
      <c r="D957" s="416"/>
      <c r="E957" s="416"/>
      <c r="F957" s="416"/>
      <c r="G957" s="416"/>
      <c r="H957" s="416"/>
      <c r="J957" s="421"/>
      <c r="K957" s="421"/>
      <c r="L957" s="421"/>
      <c r="M957" s="421"/>
      <c r="N957" s="421"/>
      <c r="O957" s="421"/>
      <c r="P957" s="421"/>
      <c r="Q957" s="421"/>
      <c r="R957" s="421"/>
      <c r="S957" s="421"/>
      <c r="T957" s="421"/>
      <c r="U957" s="421"/>
      <c r="V957" s="421"/>
      <c r="W957" s="421"/>
      <c r="X957" s="421"/>
      <c r="Y957" s="421"/>
      <c r="Z957" s="421"/>
      <c r="AA957" s="421"/>
      <c r="AB957" s="421"/>
      <c r="AC957" s="421"/>
      <c r="AD957" s="421"/>
      <c r="AE957" s="421"/>
      <c r="AF957" s="421"/>
      <c r="AG957" s="421"/>
      <c r="AH957" s="421"/>
      <c r="AI957" s="421"/>
      <c r="AJ957" s="421"/>
      <c r="AK957" s="421"/>
      <c r="AL957" s="421"/>
      <c r="AM957" s="421"/>
      <c r="AN957" s="421"/>
      <c r="AO957" s="421"/>
      <c r="AP957" s="421"/>
      <c r="AQ957" s="421"/>
      <c r="AR957" s="421"/>
      <c r="AS957" s="421"/>
      <c r="AT957" s="421"/>
      <c r="AU957" s="421"/>
      <c r="AV957" s="421"/>
      <c r="AW957" s="421"/>
      <c r="AX957" s="421"/>
      <c r="AY957" s="421"/>
      <c r="AZ957" s="421"/>
      <c r="BA957" s="421"/>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c r="BY957" s="115"/>
      <c r="BZ957" s="115"/>
      <c r="CA957" s="115"/>
      <c r="CB957" s="115"/>
      <c r="CC957" s="115"/>
      <c r="CD957" s="115"/>
      <c r="CE957" s="115"/>
      <c r="CF957" s="115"/>
      <c r="CG957" s="115"/>
      <c r="CH957" s="115"/>
      <c r="CI957" s="115"/>
      <c r="CJ957" s="115"/>
      <c r="CK957" s="115"/>
      <c r="CL957" s="115"/>
      <c r="CM957" s="115"/>
      <c r="CN957" s="115"/>
      <c r="CO957" s="115"/>
      <c r="CP957" s="115"/>
      <c r="CQ957" s="115"/>
      <c r="CR957" s="115"/>
      <c r="CS957" s="115"/>
      <c r="CT957" s="115"/>
      <c r="CU957" s="115"/>
      <c r="CV957" s="115"/>
      <c r="CW957" s="115"/>
      <c r="CX957" s="115"/>
      <c r="CY957" s="115"/>
      <c r="CZ957" s="115"/>
      <c r="DA957" s="115"/>
      <c r="DB957" s="115"/>
      <c r="DC957" s="115"/>
      <c r="DD957" s="115"/>
      <c r="DE957" s="115"/>
      <c r="DF957" s="115"/>
      <c r="DG957" s="115"/>
    </row>
    <row r="958" spans="1:111" ht="9" customHeight="1">
      <c r="C958" s="416"/>
      <c r="D958" s="416"/>
      <c r="E958" s="416"/>
      <c r="F958" s="416"/>
      <c r="G958" s="416"/>
      <c r="H958" s="416"/>
      <c r="J958" s="421"/>
      <c r="K958" s="421"/>
      <c r="L958" s="421"/>
      <c r="M958" s="421"/>
      <c r="N958" s="421"/>
      <c r="O958" s="421"/>
      <c r="P958" s="421"/>
      <c r="Q958" s="421"/>
      <c r="R958" s="421"/>
      <c r="S958" s="421"/>
      <c r="T958" s="421"/>
      <c r="U958" s="421"/>
      <c r="V958" s="421"/>
      <c r="W958" s="421"/>
      <c r="X958" s="421"/>
      <c r="Y958" s="421"/>
      <c r="Z958" s="421"/>
      <c r="AA958" s="421"/>
      <c r="AB958" s="421"/>
      <c r="AC958" s="421"/>
      <c r="AD958" s="421"/>
      <c r="AE958" s="421"/>
      <c r="AF958" s="421"/>
      <c r="AG958" s="421"/>
      <c r="AH958" s="421"/>
      <c r="AI958" s="421"/>
      <c r="AJ958" s="421"/>
      <c r="AK958" s="421"/>
      <c r="AL958" s="421"/>
      <c r="AM958" s="421"/>
      <c r="AN958" s="421"/>
      <c r="AO958" s="421"/>
      <c r="AP958" s="421"/>
      <c r="AQ958" s="421"/>
      <c r="AR958" s="421"/>
      <c r="AS958" s="421"/>
      <c r="AT958" s="421"/>
      <c r="AU958" s="421"/>
      <c r="AV958" s="421"/>
      <c r="AW958" s="421"/>
      <c r="AX958" s="421"/>
      <c r="AY958" s="421"/>
      <c r="AZ958" s="421"/>
      <c r="BA958" s="421"/>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c r="BY958" s="115"/>
      <c r="BZ958" s="115"/>
      <c r="CA958" s="115"/>
      <c r="CB958" s="115"/>
      <c r="CC958" s="115"/>
      <c r="CD958" s="115"/>
      <c r="CE958" s="115"/>
      <c r="CF958" s="115"/>
      <c r="CG958" s="115"/>
      <c r="CH958" s="115"/>
      <c r="CI958" s="115"/>
      <c r="CJ958" s="115"/>
      <c r="CK958" s="115"/>
      <c r="CL958" s="115"/>
      <c r="CM958" s="115"/>
      <c r="CN958" s="115"/>
      <c r="CO958" s="115"/>
      <c r="CP958" s="115"/>
      <c r="CQ958" s="115"/>
      <c r="CR958" s="115"/>
      <c r="CS958" s="115"/>
      <c r="CT958" s="115"/>
      <c r="CU958" s="115"/>
      <c r="CV958" s="115"/>
      <c r="CW958" s="115"/>
      <c r="CX958" s="115"/>
      <c r="CY958" s="115"/>
      <c r="CZ958" s="115"/>
      <c r="DA958" s="115"/>
      <c r="DB958" s="115"/>
      <c r="DC958" s="115"/>
      <c r="DD958" s="115"/>
      <c r="DE958" s="115"/>
      <c r="DF958" s="115"/>
      <c r="DG958" s="115"/>
    </row>
    <row r="959" spans="1:111" ht="9" customHeight="1">
      <c r="C959" s="416"/>
      <c r="D959" s="416"/>
      <c r="E959" s="416"/>
      <c r="F959" s="416"/>
      <c r="G959" s="416"/>
      <c r="H959" s="416"/>
      <c r="J959" s="421"/>
      <c r="K959" s="421"/>
      <c r="L959" s="421"/>
      <c r="M959" s="421"/>
      <c r="N959" s="421"/>
      <c r="O959" s="421"/>
      <c r="P959" s="421"/>
      <c r="Q959" s="421"/>
      <c r="R959" s="421"/>
      <c r="S959" s="421"/>
      <c r="T959" s="421"/>
      <c r="U959" s="421"/>
      <c r="V959" s="421"/>
      <c r="W959" s="421"/>
      <c r="X959" s="421"/>
      <c r="Y959" s="421"/>
      <c r="Z959" s="421"/>
      <c r="AA959" s="421"/>
      <c r="AB959" s="421"/>
      <c r="AC959" s="421"/>
      <c r="AD959" s="421"/>
      <c r="AE959" s="421"/>
      <c r="AF959" s="421"/>
      <c r="AG959" s="421"/>
      <c r="AH959" s="421"/>
      <c r="AI959" s="421"/>
      <c r="AJ959" s="421"/>
      <c r="AK959" s="421"/>
      <c r="AL959" s="421"/>
      <c r="AM959" s="421"/>
      <c r="AN959" s="421"/>
      <c r="AO959" s="421"/>
      <c r="AP959" s="421"/>
      <c r="AQ959" s="421"/>
      <c r="AR959" s="421"/>
      <c r="AS959" s="421"/>
      <c r="AT959" s="421"/>
      <c r="AU959" s="421"/>
      <c r="AV959" s="421"/>
      <c r="AW959" s="421"/>
      <c r="AX959" s="421"/>
      <c r="AY959" s="421"/>
      <c r="AZ959" s="421"/>
      <c r="BA959" s="421"/>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c r="BY959" s="115"/>
      <c r="BZ959" s="115"/>
      <c r="CA959" s="115"/>
      <c r="CB959" s="115"/>
      <c r="CC959" s="115"/>
      <c r="CD959" s="115"/>
      <c r="CE959" s="115"/>
      <c r="CF959" s="115"/>
      <c r="CG959" s="115"/>
      <c r="CH959" s="115"/>
      <c r="CI959" s="115"/>
      <c r="CJ959" s="115"/>
      <c r="CK959" s="115"/>
      <c r="CL959" s="115"/>
      <c r="CM959" s="115"/>
      <c r="CN959" s="115"/>
      <c r="CO959" s="115"/>
      <c r="CP959" s="115"/>
      <c r="CQ959" s="115"/>
      <c r="CR959" s="115"/>
      <c r="CS959" s="115"/>
      <c r="CT959" s="115"/>
      <c r="CU959" s="115"/>
      <c r="CV959" s="115"/>
      <c r="CW959" s="115"/>
      <c r="CX959" s="115"/>
      <c r="CY959" s="115"/>
      <c r="CZ959" s="115"/>
      <c r="DA959" s="115"/>
      <c r="DB959" s="115"/>
      <c r="DC959" s="115"/>
      <c r="DD959" s="115"/>
      <c r="DE959" s="115"/>
      <c r="DF959" s="115"/>
      <c r="DG959" s="115"/>
    </row>
    <row r="960" spans="1:111" ht="4.5" customHeight="1">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c r="BY960" s="115"/>
      <c r="BZ960" s="115"/>
      <c r="CA960" s="115"/>
      <c r="CB960" s="115"/>
      <c r="CC960" s="115"/>
      <c r="CD960" s="115"/>
      <c r="CE960" s="115"/>
      <c r="CF960" s="115"/>
      <c r="CG960" s="115"/>
      <c r="CH960" s="115"/>
      <c r="CI960" s="115"/>
      <c r="CJ960" s="115"/>
      <c r="CK960" s="115"/>
      <c r="CL960" s="115"/>
      <c r="CM960" s="115"/>
      <c r="CN960" s="115"/>
      <c r="CO960" s="115"/>
      <c r="CP960" s="115"/>
      <c r="CQ960" s="115"/>
      <c r="CR960" s="115"/>
      <c r="CS960" s="115"/>
      <c r="CT960" s="115"/>
      <c r="CU960" s="115"/>
      <c r="CV960" s="115"/>
      <c r="CW960" s="115"/>
      <c r="CX960" s="115"/>
      <c r="CY960" s="115"/>
      <c r="CZ960" s="115"/>
      <c r="DA960" s="115"/>
      <c r="DB960" s="115"/>
      <c r="DC960" s="115"/>
      <c r="DD960" s="115"/>
      <c r="DE960" s="115"/>
      <c r="DF960" s="115"/>
      <c r="DG960" s="115"/>
    </row>
    <row r="961" spans="1:111" ht="9" customHeight="1">
      <c r="A961" s="61" t="str">
        <f>CONCATENATE(Q961,AC961)</f>
        <v/>
      </c>
      <c r="J961" s="416" t="str">
        <f>IF(C951="","","Meta Vinculada:")</f>
        <v/>
      </c>
      <c r="K961" s="416"/>
      <c r="L961" s="416"/>
      <c r="M961" s="416"/>
      <c r="N961" s="416"/>
      <c r="O961" s="416"/>
      <c r="Q961" s="417"/>
      <c r="R961" s="417"/>
      <c r="S961" s="417"/>
      <c r="T961" s="417"/>
      <c r="U961" s="56"/>
      <c r="V961" s="416" t="str">
        <f>IF(C951="","","Etapa Vinculada:")</f>
        <v/>
      </c>
      <c r="W961" s="416"/>
      <c r="X961" s="416"/>
      <c r="Y961" s="416"/>
      <c r="Z961" s="416"/>
      <c r="AA961" s="416"/>
      <c r="AC961" s="417"/>
      <c r="AD961" s="417"/>
      <c r="AE961" s="417"/>
      <c r="AF961" s="417"/>
      <c r="AG961" s="56"/>
      <c r="AH961" s="56"/>
      <c r="AI961" s="56"/>
      <c r="AJ961" s="56"/>
      <c r="AK961" s="141"/>
      <c r="AL961" s="141"/>
      <c r="AM961" s="141"/>
      <c r="AN961" s="141"/>
      <c r="AO961" s="140"/>
      <c r="AP961" s="140"/>
      <c r="AQ961" s="140"/>
      <c r="AR961" s="140"/>
      <c r="AS961" s="142"/>
      <c r="AT961" s="142"/>
      <c r="AU961" s="142"/>
      <c r="AV961" s="142"/>
      <c r="AW961" s="140"/>
      <c r="AX961" s="140"/>
      <c r="AY961" s="140"/>
      <c r="AZ961" s="140"/>
      <c r="BA961" s="140"/>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c r="BY961" s="115"/>
      <c r="BZ961" s="115"/>
      <c r="CA961" s="115"/>
      <c r="CB961" s="115"/>
      <c r="CC961" s="115"/>
      <c r="CD961" s="115"/>
      <c r="CE961" s="115"/>
      <c r="CF961" s="115"/>
      <c r="CG961" s="115"/>
      <c r="CH961" s="115"/>
      <c r="CI961" s="115"/>
      <c r="CJ961" s="115"/>
      <c r="CK961" s="115"/>
      <c r="CL961" s="115"/>
      <c r="CM961" s="115"/>
      <c r="CN961" s="115"/>
      <c r="CO961" s="115"/>
      <c r="CP961" s="115"/>
      <c r="CQ961" s="115"/>
      <c r="CR961" s="115"/>
      <c r="CS961" s="115"/>
      <c r="CT961" s="115"/>
      <c r="CU961" s="115"/>
      <c r="CV961" s="115"/>
      <c r="CW961" s="115"/>
      <c r="CX961" s="115"/>
      <c r="CY961" s="115"/>
      <c r="CZ961" s="115"/>
      <c r="DA961" s="115"/>
      <c r="DB961" s="115"/>
      <c r="DC961" s="115"/>
      <c r="DD961" s="115"/>
      <c r="DE961" s="115"/>
      <c r="DF961" s="115"/>
      <c r="DG961" s="115"/>
    </row>
    <row r="962" spans="1:111" ht="9" customHeight="1">
      <c r="B962" s="55"/>
      <c r="C962" s="55"/>
      <c r="D962" s="56"/>
      <c r="E962" s="56"/>
      <c r="F962" s="56"/>
      <c r="G962" s="56"/>
      <c r="H962" s="56"/>
      <c r="I962" s="56"/>
      <c r="J962" s="416"/>
      <c r="K962" s="416"/>
      <c r="L962" s="416"/>
      <c r="M962" s="416"/>
      <c r="N962" s="416"/>
      <c r="O962" s="416"/>
      <c r="Q962" s="417"/>
      <c r="R962" s="417"/>
      <c r="S962" s="417"/>
      <c r="T962" s="417"/>
      <c r="U962" s="56"/>
      <c r="V962" s="416"/>
      <c r="W962" s="416"/>
      <c r="X962" s="416"/>
      <c r="Y962" s="416"/>
      <c r="Z962" s="416"/>
      <c r="AA962" s="416"/>
      <c r="AC962" s="417"/>
      <c r="AD962" s="417"/>
      <c r="AE962" s="417"/>
      <c r="AF962" s="417"/>
      <c r="AG962" s="56"/>
      <c r="AH962" s="56"/>
      <c r="AI962" s="56"/>
      <c r="AJ962" s="56"/>
      <c r="AK962" s="141"/>
      <c r="AL962" s="141"/>
      <c r="AM962" s="141"/>
      <c r="AN962" s="141"/>
      <c r="AO962" s="140"/>
      <c r="AP962" s="140"/>
      <c r="AQ962" s="140"/>
      <c r="AR962" s="140"/>
      <c r="AS962" s="142"/>
      <c r="AT962" s="142"/>
      <c r="AU962" s="142"/>
      <c r="AV962" s="142"/>
      <c r="AW962" s="140"/>
      <c r="AX962" s="140"/>
      <c r="AY962" s="140"/>
      <c r="AZ962" s="140"/>
      <c r="BA962" s="140"/>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c r="BY962" s="115"/>
      <c r="BZ962" s="115"/>
      <c r="CA962" s="115"/>
      <c r="CB962" s="115"/>
      <c r="CC962" s="115"/>
      <c r="CD962" s="115"/>
      <c r="CE962" s="115"/>
      <c r="CF962" s="115"/>
      <c r="CG962" s="115"/>
      <c r="CH962" s="115"/>
      <c r="CI962" s="115"/>
      <c r="CJ962" s="115"/>
      <c r="CK962" s="115"/>
      <c r="CL962" s="115"/>
      <c r="CM962" s="115"/>
      <c r="CN962" s="115"/>
      <c r="CO962" s="115"/>
      <c r="CP962" s="115"/>
      <c r="CQ962" s="115"/>
      <c r="CR962" s="115"/>
      <c r="CS962" s="115"/>
      <c r="CT962" s="115"/>
      <c r="CU962" s="115"/>
      <c r="CV962" s="115"/>
      <c r="CW962" s="115"/>
      <c r="CX962" s="115"/>
      <c r="CY962" s="115"/>
      <c r="CZ962" s="115"/>
      <c r="DA962" s="115"/>
      <c r="DB962" s="115"/>
      <c r="DC962" s="115"/>
      <c r="DD962" s="115"/>
      <c r="DE962" s="115"/>
      <c r="DF962" s="115"/>
      <c r="DG962" s="115"/>
    </row>
    <row r="963" spans="1:111" ht="9" customHeight="1">
      <c r="Q963" s="417"/>
      <c r="R963" s="417"/>
      <c r="S963" s="417"/>
      <c r="T963" s="417"/>
      <c r="AC963" s="417"/>
      <c r="AD963" s="417"/>
      <c r="AE963" s="417"/>
      <c r="AF963" s="417"/>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c r="BY963" s="115"/>
      <c r="BZ963" s="115"/>
      <c r="CA963" s="115"/>
      <c r="CB963" s="115"/>
      <c r="CC963" s="115"/>
      <c r="CD963" s="115"/>
      <c r="CE963" s="115"/>
      <c r="CF963" s="115"/>
      <c r="CG963" s="115"/>
      <c r="CH963" s="115"/>
      <c r="CI963" s="115"/>
      <c r="CJ963" s="115"/>
      <c r="CK963" s="115"/>
      <c r="CL963" s="115"/>
      <c r="CM963" s="115"/>
      <c r="CN963" s="115"/>
      <c r="CO963" s="115"/>
      <c r="CP963" s="115"/>
      <c r="CQ963" s="115"/>
      <c r="CR963" s="115"/>
      <c r="CS963" s="115"/>
      <c r="CT963" s="115"/>
      <c r="CU963" s="115"/>
      <c r="CV963" s="115"/>
      <c r="CW963" s="115"/>
      <c r="CX963" s="115"/>
      <c r="CY963" s="115"/>
      <c r="CZ963" s="115"/>
      <c r="DA963" s="115"/>
      <c r="DB963" s="115"/>
      <c r="DC963" s="115"/>
      <c r="DD963" s="115"/>
      <c r="DE963" s="115"/>
      <c r="DF963" s="115"/>
      <c r="DG963" s="115"/>
    </row>
    <row r="964" spans="1:111" ht="4.5" customHeight="1">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c r="BY964" s="115"/>
      <c r="BZ964" s="115"/>
      <c r="CA964" s="115"/>
      <c r="CB964" s="115"/>
      <c r="CC964" s="115"/>
      <c r="CD964" s="115"/>
      <c r="CE964" s="115"/>
      <c r="CF964" s="115"/>
      <c r="CG964" s="115"/>
      <c r="CH964" s="115"/>
      <c r="CI964" s="115"/>
      <c r="CJ964" s="115"/>
      <c r="CK964" s="115"/>
      <c r="CL964" s="115"/>
      <c r="CM964" s="115"/>
      <c r="CN964" s="115"/>
      <c r="CO964" s="115"/>
      <c r="CP964" s="115"/>
      <c r="CQ964" s="115"/>
      <c r="CR964" s="115"/>
      <c r="CS964" s="115"/>
      <c r="CT964" s="115"/>
      <c r="CU964" s="115"/>
      <c r="CV964" s="115"/>
      <c r="CW964" s="115"/>
      <c r="CX964" s="115"/>
      <c r="CY964" s="115"/>
      <c r="CZ964" s="115"/>
      <c r="DA964" s="115"/>
      <c r="DB964" s="115"/>
      <c r="DC964" s="115"/>
      <c r="DD964" s="115"/>
      <c r="DE964" s="115"/>
      <c r="DF964" s="115"/>
      <c r="DG964" s="115"/>
    </row>
    <row r="965" spans="1:111" ht="9" customHeight="1">
      <c r="A965" s="154"/>
      <c r="B965" s="154"/>
      <c r="C965" s="154"/>
      <c r="D965" s="154"/>
      <c r="E965" s="154"/>
      <c r="F965" s="154"/>
      <c r="G965" s="154"/>
      <c r="H965" s="154"/>
      <c r="I965" s="154"/>
      <c r="J965" s="416" t="str">
        <f>IF(C951="","","Quantidade:")</f>
        <v/>
      </c>
      <c r="K965" s="416"/>
      <c r="L965" s="416"/>
      <c r="M965" s="416"/>
      <c r="N965" s="416"/>
      <c r="O965" s="416"/>
      <c r="P965" s="154"/>
      <c r="Q965" s="417"/>
      <c r="R965" s="417"/>
      <c r="S965" s="417"/>
      <c r="T965" s="417"/>
      <c r="U965" s="154"/>
      <c r="V965" s="416" t="str">
        <f>IF(C951="","","Unidade:")</f>
        <v/>
      </c>
      <c r="W965" s="416"/>
      <c r="X965" s="416"/>
      <c r="Y965" s="416"/>
      <c r="Z965" s="416"/>
      <c r="AA965" s="416"/>
      <c r="AB965" s="154"/>
      <c r="AC965" s="418"/>
      <c r="AD965" s="418"/>
      <c r="AE965" s="418"/>
      <c r="AF965" s="418"/>
      <c r="AG965" s="418"/>
      <c r="AH965" s="418"/>
      <c r="AI965" s="418"/>
      <c r="AJ965" s="418"/>
      <c r="AK965" s="418"/>
      <c r="AL965" s="418"/>
      <c r="AM965" s="418"/>
      <c r="AN965" s="418"/>
      <c r="AO965" s="418"/>
      <c r="AP965" s="418"/>
      <c r="AQ965" s="418"/>
      <c r="AR965" s="418"/>
      <c r="AS965" s="418"/>
      <c r="AT965" s="418"/>
      <c r="AU965" s="418"/>
      <c r="AV965" s="418"/>
      <c r="AW965" s="418"/>
      <c r="AX965" s="418"/>
      <c r="AY965" s="418"/>
      <c r="AZ965" s="418"/>
      <c r="BA965" s="418"/>
      <c r="BB965" s="154"/>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c r="BY965" s="115"/>
      <c r="BZ965" s="115"/>
      <c r="CA965" s="115"/>
      <c r="CB965" s="115"/>
      <c r="CC965" s="115"/>
      <c r="CD965" s="115"/>
      <c r="CE965" s="115"/>
      <c r="CF965" s="115"/>
      <c r="CG965" s="115"/>
      <c r="CH965" s="115"/>
      <c r="CI965" s="115"/>
      <c r="CJ965" s="115"/>
      <c r="CK965" s="115"/>
      <c r="CL965" s="115"/>
      <c r="CM965" s="115"/>
      <c r="CN965" s="115"/>
      <c r="CO965" s="115"/>
      <c r="CP965" s="115"/>
      <c r="CQ965" s="115"/>
      <c r="CR965" s="115"/>
      <c r="CS965" s="115"/>
      <c r="CT965" s="115"/>
      <c r="CU965" s="115"/>
      <c r="CV965" s="115"/>
      <c r="CW965" s="115"/>
      <c r="CX965" s="115"/>
      <c r="CY965" s="115"/>
      <c r="CZ965" s="115"/>
      <c r="DA965" s="115"/>
      <c r="DB965" s="115"/>
      <c r="DC965" s="115"/>
      <c r="DD965" s="115"/>
      <c r="DE965" s="115"/>
      <c r="DF965" s="115"/>
      <c r="DG965" s="115"/>
    </row>
    <row r="966" spans="1:111" ht="9" customHeight="1">
      <c r="A966" s="154"/>
      <c r="B966" s="154"/>
      <c r="C966" s="154"/>
      <c r="D966" s="154"/>
      <c r="E966" s="154"/>
      <c r="F966" s="154"/>
      <c r="G966" s="154"/>
      <c r="H966" s="154"/>
      <c r="I966" s="154"/>
      <c r="J966" s="416"/>
      <c r="K966" s="416"/>
      <c r="L966" s="416"/>
      <c r="M966" s="416"/>
      <c r="N966" s="416"/>
      <c r="O966" s="416"/>
      <c r="P966" s="154"/>
      <c r="Q966" s="417"/>
      <c r="R966" s="417"/>
      <c r="S966" s="417"/>
      <c r="T966" s="417"/>
      <c r="U966" s="154"/>
      <c r="V966" s="416"/>
      <c r="W966" s="416"/>
      <c r="X966" s="416"/>
      <c r="Y966" s="416"/>
      <c r="Z966" s="416"/>
      <c r="AA966" s="416"/>
      <c r="AB966" s="154"/>
      <c r="AC966" s="418"/>
      <c r="AD966" s="418"/>
      <c r="AE966" s="418"/>
      <c r="AF966" s="418"/>
      <c r="AG966" s="418"/>
      <c r="AH966" s="418"/>
      <c r="AI966" s="418"/>
      <c r="AJ966" s="418"/>
      <c r="AK966" s="418"/>
      <c r="AL966" s="418"/>
      <c r="AM966" s="418"/>
      <c r="AN966" s="418"/>
      <c r="AO966" s="418"/>
      <c r="AP966" s="418"/>
      <c r="AQ966" s="418"/>
      <c r="AR966" s="418"/>
      <c r="AS966" s="418"/>
      <c r="AT966" s="418"/>
      <c r="AU966" s="418"/>
      <c r="AV966" s="418"/>
      <c r="AW966" s="418"/>
      <c r="AX966" s="418"/>
      <c r="AY966" s="418"/>
      <c r="AZ966" s="418"/>
      <c r="BA966" s="418"/>
      <c r="BB966" s="154"/>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c r="BY966" s="115"/>
      <c r="BZ966" s="115"/>
      <c r="CA966" s="115"/>
      <c r="CB966" s="115"/>
      <c r="CC966" s="115"/>
      <c r="CD966" s="115"/>
      <c r="CE966" s="115"/>
      <c r="CF966" s="115"/>
      <c r="CG966" s="115"/>
      <c r="CH966" s="115"/>
      <c r="CI966" s="115"/>
      <c r="CJ966" s="115"/>
      <c r="CK966" s="115"/>
      <c r="CL966" s="115"/>
      <c r="CM966" s="115"/>
      <c r="CN966" s="115"/>
      <c r="CO966" s="115"/>
      <c r="CP966" s="115"/>
      <c r="CQ966" s="115"/>
      <c r="CR966" s="115"/>
      <c r="CS966" s="115"/>
      <c r="CT966" s="115"/>
      <c r="CU966" s="115"/>
      <c r="CV966" s="115"/>
      <c r="CW966" s="115"/>
      <c r="CX966" s="115"/>
      <c r="CY966" s="115"/>
      <c r="CZ966" s="115"/>
      <c r="DA966" s="115"/>
      <c r="DB966" s="115"/>
      <c r="DC966" s="115"/>
      <c r="DD966" s="115"/>
      <c r="DE966" s="115"/>
      <c r="DF966" s="115"/>
      <c r="DG966" s="115"/>
    </row>
    <row r="967" spans="1:111" ht="9" customHeight="1">
      <c r="A967" s="154"/>
      <c r="B967" s="154"/>
      <c r="C967" s="154"/>
      <c r="D967" s="154"/>
      <c r="E967" s="154"/>
      <c r="F967" s="154"/>
      <c r="G967" s="154"/>
      <c r="H967" s="154"/>
      <c r="I967" s="154"/>
      <c r="J967" s="154"/>
      <c r="K967" s="154"/>
      <c r="L967" s="154"/>
      <c r="M967" s="154"/>
      <c r="N967" s="154"/>
      <c r="O967" s="154"/>
      <c r="P967" s="154"/>
      <c r="Q967" s="417"/>
      <c r="R967" s="417"/>
      <c r="S967" s="417"/>
      <c r="T967" s="417"/>
      <c r="U967" s="154"/>
      <c r="V967" s="154"/>
      <c r="W967" s="154"/>
      <c r="X967" s="154"/>
      <c r="Y967" s="154"/>
      <c r="Z967" s="154"/>
      <c r="AA967" s="154"/>
      <c r="AB967" s="154"/>
      <c r="AC967" s="418"/>
      <c r="AD967" s="418"/>
      <c r="AE967" s="418"/>
      <c r="AF967" s="418"/>
      <c r="AG967" s="418"/>
      <c r="AH967" s="418"/>
      <c r="AI967" s="418"/>
      <c r="AJ967" s="418"/>
      <c r="AK967" s="418"/>
      <c r="AL967" s="418"/>
      <c r="AM967" s="418"/>
      <c r="AN967" s="418"/>
      <c r="AO967" s="418"/>
      <c r="AP967" s="418"/>
      <c r="AQ967" s="418"/>
      <c r="AR967" s="418"/>
      <c r="AS967" s="418"/>
      <c r="AT967" s="418"/>
      <c r="AU967" s="418"/>
      <c r="AV967" s="418"/>
      <c r="AW967" s="418"/>
      <c r="AX967" s="418"/>
      <c r="AY967" s="418"/>
      <c r="AZ967" s="418"/>
      <c r="BA967" s="418"/>
      <c r="BB967" s="154"/>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c r="BY967" s="115"/>
      <c r="BZ967" s="115"/>
      <c r="CA967" s="115"/>
      <c r="CB967" s="115"/>
      <c r="CC967" s="115"/>
      <c r="CD967" s="115"/>
      <c r="CE967" s="115"/>
      <c r="CF967" s="115"/>
      <c r="CG967" s="115"/>
      <c r="CH967" s="115"/>
      <c r="CI967" s="115"/>
      <c r="CJ967" s="115"/>
      <c r="CK967" s="115"/>
      <c r="CL967" s="115"/>
      <c r="CM967" s="115"/>
      <c r="CN967" s="115"/>
      <c r="CO967" s="115"/>
      <c r="CP967" s="115"/>
      <c r="CQ967" s="115"/>
      <c r="CR967" s="115"/>
      <c r="CS967" s="115"/>
      <c r="CT967" s="115"/>
      <c r="CU967" s="115"/>
      <c r="CV967" s="115"/>
      <c r="CW967" s="115"/>
      <c r="CX967" s="115"/>
      <c r="CY967" s="115"/>
      <c r="CZ967" s="115"/>
      <c r="DA967" s="115"/>
      <c r="DB967" s="115"/>
      <c r="DC967" s="115"/>
      <c r="DD967" s="115"/>
      <c r="DE967" s="115"/>
      <c r="DF967" s="115"/>
      <c r="DG967" s="115"/>
    </row>
    <row r="968" spans="1:111" ht="4.5" customHeight="1">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c r="BY968" s="115"/>
      <c r="BZ968" s="115"/>
      <c r="CA968" s="115"/>
      <c r="CB968" s="115"/>
      <c r="CC968" s="115"/>
      <c r="CD968" s="115"/>
      <c r="CE968" s="115"/>
      <c r="CF968" s="115"/>
      <c r="CG968" s="115"/>
      <c r="CH968" s="115"/>
      <c r="CI968" s="115"/>
      <c r="CJ968" s="115"/>
      <c r="CK968" s="115"/>
      <c r="CL968" s="115"/>
      <c r="CM968" s="115"/>
      <c r="CN968" s="115"/>
      <c r="CO968" s="115"/>
      <c r="CP968" s="115"/>
      <c r="CQ968" s="115"/>
      <c r="CR968" s="115"/>
      <c r="CS968" s="115"/>
      <c r="CT968" s="115"/>
      <c r="CU968" s="115"/>
      <c r="CV968" s="115"/>
      <c r="CW968" s="115"/>
      <c r="CX968" s="115"/>
      <c r="CY968" s="115"/>
      <c r="CZ968" s="115"/>
      <c r="DA968" s="115"/>
      <c r="DB968" s="115"/>
      <c r="DC968" s="115"/>
      <c r="DD968" s="115"/>
      <c r="DE968" s="115"/>
      <c r="DF968" s="115"/>
      <c r="DG968" s="115"/>
    </row>
    <row r="969" spans="1:111" ht="9" customHeight="1">
      <c r="A969" s="154"/>
      <c r="B969" s="154"/>
      <c r="C969" s="154"/>
      <c r="D969" s="154"/>
      <c r="E969" s="154"/>
      <c r="F969" s="154"/>
      <c r="G969" s="154"/>
      <c r="H969" s="154"/>
      <c r="I969" s="154"/>
      <c r="J969" s="416" t="str">
        <f>IF(C951="","","Valor Unitário (R$):")</f>
        <v/>
      </c>
      <c r="K969" s="416"/>
      <c r="L969" s="416"/>
      <c r="M969" s="416"/>
      <c r="N969" s="416"/>
      <c r="O969" s="416"/>
      <c r="P969" s="154"/>
      <c r="Q969" s="419"/>
      <c r="R969" s="419"/>
      <c r="S969" s="419"/>
      <c r="T969" s="419"/>
      <c r="U969" s="419"/>
      <c r="V969" s="419"/>
      <c r="W969" s="419"/>
      <c r="X969" s="419"/>
      <c r="Y969" s="154"/>
      <c r="Z969" s="416" t="str">
        <f>IF(C951="","",IF(J957="52 Equipamentos e Material Permanente","Tempo de Uso:",""))</f>
        <v/>
      </c>
      <c r="AA969" s="416"/>
      <c r="AB969" s="416"/>
      <c r="AC969" s="416"/>
      <c r="AD969" s="416"/>
      <c r="AE969" s="416"/>
      <c r="AF969" s="154"/>
      <c r="AG969" s="420"/>
      <c r="AH969" s="420"/>
      <c r="AI969" s="420"/>
      <c r="AJ969" s="420"/>
      <c r="AK969" s="420"/>
      <c r="AL969" s="420"/>
      <c r="AM969" s="420"/>
      <c r="AN969" s="420"/>
      <c r="AO969" s="420"/>
      <c r="AP969" s="420"/>
      <c r="AQ969" s="420"/>
      <c r="AR969" s="420"/>
      <c r="AS969" s="420"/>
      <c r="AT969" s="420"/>
      <c r="AU969" s="420"/>
      <c r="AV969" s="420"/>
      <c r="AW969" s="420"/>
      <c r="AX969" s="420"/>
      <c r="AY969" s="420"/>
      <c r="AZ969" s="420"/>
      <c r="BA969" s="420"/>
      <c r="BB969" s="154"/>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c r="BY969" s="115"/>
      <c r="BZ969" s="115"/>
      <c r="CA969" s="115"/>
      <c r="CB969" s="115"/>
      <c r="CC969" s="115"/>
      <c r="CD969" s="115"/>
      <c r="CE969" s="115"/>
      <c r="CF969" s="115"/>
      <c r="CG969" s="115"/>
      <c r="CH969" s="115"/>
      <c r="CI969" s="115"/>
      <c r="CJ969" s="115"/>
      <c r="CK969" s="115"/>
      <c r="CL969" s="115"/>
      <c r="CM969" s="115"/>
      <c r="CN969" s="115"/>
      <c r="CO969" s="115"/>
      <c r="CP969" s="115"/>
      <c r="CQ969" s="115"/>
      <c r="CR969" s="115"/>
      <c r="CS969" s="115"/>
      <c r="CT969" s="115"/>
      <c r="CU969" s="115"/>
      <c r="CV969" s="115"/>
      <c r="CW969" s="115"/>
      <c r="CX969" s="115"/>
      <c r="CY969" s="115"/>
      <c r="CZ969" s="115"/>
      <c r="DA969" s="115"/>
      <c r="DB969" s="115"/>
      <c r="DC969" s="115"/>
      <c r="DD969" s="115"/>
      <c r="DE969" s="115"/>
      <c r="DF969" s="115"/>
      <c r="DG969" s="115"/>
    </row>
    <row r="970" spans="1:111" ht="9" customHeight="1">
      <c r="A970" s="154"/>
      <c r="B970" s="154"/>
      <c r="C970" s="154"/>
      <c r="D970" s="154"/>
      <c r="E970" s="154"/>
      <c r="F970" s="154"/>
      <c r="G970" s="154"/>
      <c r="H970" s="154"/>
      <c r="I970" s="154"/>
      <c r="J970" s="416"/>
      <c r="K970" s="416"/>
      <c r="L970" s="416"/>
      <c r="M970" s="416"/>
      <c r="N970" s="416"/>
      <c r="O970" s="416"/>
      <c r="P970" s="154"/>
      <c r="Q970" s="419"/>
      <c r="R970" s="419"/>
      <c r="S970" s="419"/>
      <c r="T970" s="419"/>
      <c r="U970" s="419"/>
      <c r="V970" s="419"/>
      <c r="W970" s="419"/>
      <c r="X970" s="419"/>
      <c r="Y970" s="154"/>
      <c r="Z970" s="416"/>
      <c r="AA970" s="416"/>
      <c r="AB970" s="416"/>
      <c r="AC970" s="416"/>
      <c r="AD970" s="416"/>
      <c r="AE970" s="416"/>
      <c r="AF970" s="154"/>
      <c r="AG970" s="420"/>
      <c r="AH970" s="420"/>
      <c r="AI970" s="420"/>
      <c r="AJ970" s="420"/>
      <c r="AK970" s="420"/>
      <c r="AL970" s="420"/>
      <c r="AM970" s="420"/>
      <c r="AN970" s="420"/>
      <c r="AO970" s="420"/>
      <c r="AP970" s="420"/>
      <c r="AQ970" s="420"/>
      <c r="AR970" s="420"/>
      <c r="AS970" s="420"/>
      <c r="AT970" s="420"/>
      <c r="AU970" s="420"/>
      <c r="AV970" s="420"/>
      <c r="AW970" s="420"/>
      <c r="AX970" s="420"/>
      <c r="AY970" s="420"/>
      <c r="AZ970" s="420"/>
      <c r="BA970" s="420"/>
      <c r="BB970" s="154"/>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c r="BY970" s="115"/>
      <c r="BZ970" s="115"/>
      <c r="CA970" s="115"/>
      <c r="CB970" s="115"/>
      <c r="CC970" s="115"/>
      <c r="CD970" s="115"/>
      <c r="CE970" s="115"/>
      <c r="CF970" s="115"/>
      <c r="CG970" s="115"/>
      <c r="CH970" s="115"/>
      <c r="CI970" s="115"/>
      <c r="CJ970" s="115"/>
      <c r="CK970" s="115"/>
      <c r="CL970" s="115"/>
      <c r="CM970" s="115"/>
      <c r="CN970" s="115"/>
      <c r="CO970" s="115"/>
      <c r="CP970" s="115"/>
      <c r="CQ970" s="115"/>
      <c r="CR970" s="115"/>
      <c r="CS970" s="115"/>
      <c r="CT970" s="115"/>
      <c r="CU970" s="115"/>
      <c r="CV970" s="115"/>
      <c r="CW970" s="115"/>
      <c r="CX970" s="115"/>
      <c r="CY970" s="115"/>
      <c r="CZ970" s="115"/>
      <c r="DA970" s="115"/>
      <c r="DB970" s="115"/>
      <c r="DC970" s="115"/>
      <c r="DD970" s="115"/>
      <c r="DE970" s="115"/>
      <c r="DF970" s="115"/>
      <c r="DG970" s="115"/>
    </row>
    <row r="971" spans="1:111" ht="9" customHeight="1">
      <c r="A971" s="154"/>
      <c r="B971" s="154"/>
      <c r="C971" s="154"/>
      <c r="D971" s="154"/>
      <c r="E971" s="154"/>
      <c r="F971" s="154"/>
      <c r="G971" s="154"/>
      <c r="H971" s="154"/>
      <c r="I971" s="154"/>
      <c r="J971" s="154"/>
      <c r="K971" s="154"/>
      <c r="L971" s="154"/>
      <c r="M971" s="154"/>
      <c r="N971" s="154"/>
      <c r="O971" s="154"/>
      <c r="P971" s="154"/>
      <c r="Q971" s="419"/>
      <c r="R971" s="419"/>
      <c r="S971" s="419"/>
      <c r="T971" s="419"/>
      <c r="U971" s="419"/>
      <c r="V971" s="419"/>
      <c r="W971" s="419"/>
      <c r="X971" s="419"/>
      <c r="Y971" s="154"/>
      <c r="Z971" s="154"/>
      <c r="AA971" s="154"/>
      <c r="AB971" s="154"/>
      <c r="AC971" s="154"/>
      <c r="AD971" s="154"/>
      <c r="AE971" s="154"/>
      <c r="AF971" s="154"/>
      <c r="AG971" s="420"/>
      <c r="AH971" s="420"/>
      <c r="AI971" s="420"/>
      <c r="AJ971" s="420"/>
      <c r="AK971" s="420"/>
      <c r="AL971" s="420"/>
      <c r="AM971" s="420"/>
      <c r="AN971" s="420"/>
      <c r="AO971" s="420"/>
      <c r="AP971" s="420"/>
      <c r="AQ971" s="420"/>
      <c r="AR971" s="420"/>
      <c r="AS971" s="420"/>
      <c r="AT971" s="420"/>
      <c r="AU971" s="420"/>
      <c r="AV971" s="420"/>
      <c r="AW971" s="420"/>
      <c r="AX971" s="420"/>
      <c r="AY971" s="420"/>
      <c r="AZ971" s="420"/>
      <c r="BA971" s="420"/>
      <c r="BB971" s="154"/>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c r="BY971" s="115"/>
      <c r="BZ971" s="115"/>
      <c r="CA971" s="115"/>
      <c r="CB971" s="115"/>
      <c r="CC971" s="115"/>
      <c r="CD971" s="115"/>
      <c r="CE971" s="115"/>
      <c r="CF971" s="115"/>
      <c r="CG971" s="115"/>
      <c r="CH971" s="115"/>
      <c r="CI971" s="115"/>
      <c r="CJ971" s="115"/>
      <c r="CK971" s="115"/>
      <c r="CL971" s="115"/>
      <c r="CM971" s="115"/>
      <c r="CN971" s="115"/>
      <c r="CO971" s="115"/>
      <c r="CP971" s="115"/>
      <c r="CQ971" s="115"/>
      <c r="CR971" s="115"/>
      <c r="CS971" s="115"/>
      <c r="CT971" s="115"/>
      <c r="CU971" s="115"/>
      <c r="CV971" s="115"/>
      <c r="CW971" s="115"/>
      <c r="CX971" s="115"/>
      <c r="CY971" s="115"/>
      <c r="CZ971" s="115"/>
      <c r="DA971" s="115"/>
      <c r="DB971" s="115"/>
      <c r="DC971" s="115"/>
      <c r="DD971" s="115"/>
      <c r="DE971" s="115"/>
      <c r="DF971" s="115"/>
      <c r="DG971" s="115"/>
    </row>
    <row r="972" spans="1:111" ht="4.5" customHeight="1">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c r="BY972" s="115"/>
      <c r="BZ972" s="115"/>
      <c r="CA972" s="115"/>
      <c r="CB972" s="115"/>
      <c r="CC972" s="115"/>
      <c r="CD972" s="115"/>
      <c r="CE972" s="115"/>
      <c r="CF972" s="115"/>
      <c r="CG972" s="115"/>
      <c r="CH972" s="115"/>
      <c r="CI972" s="115"/>
      <c r="CJ972" s="115"/>
      <c r="CK972" s="115"/>
      <c r="CL972" s="115"/>
      <c r="CM972" s="115"/>
      <c r="CN972" s="115"/>
      <c r="CO972" s="115"/>
      <c r="CP972" s="115"/>
      <c r="CQ972" s="115"/>
      <c r="CR972" s="115"/>
      <c r="CS972" s="115"/>
      <c r="CT972" s="115"/>
      <c r="CU972" s="115"/>
      <c r="CV972" s="115"/>
      <c r="CW972" s="115"/>
      <c r="CX972" s="115"/>
      <c r="CY972" s="115"/>
      <c r="CZ972" s="115"/>
      <c r="DA972" s="115"/>
      <c r="DB972" s="115"/>
      <c r="DC972" s="115"/>
      <c r="DD972" s="115"/>
      <c r="DE972" s="115"/>
      <c r="DF972" s="115"/>
      <c r="DG972" s="115"/>
    </row>
    <row r="973" spans="1:111" ht="9" customHeight="1">
      <c r="A973" s="154"/>
      <c r="B973" s="154"/>
      <c r="C973" s="154"/>
      <c r="D973" s="154"/>
      <c r="E973" s="154"/>
      <c r="F973" s="154"/>
      <c r="G973" s="154"/>
      <c r="H973" s="154"/>
      <c r="I973" s="154"/>
      <c r="J973" s="416" t="str">
        <f>IF(C951="","","Valor Total (R$):")</f>
        <v/>
      </c>
      <c r="K973" s="416"/>
      <c r="L973" s="416"/>
      <c r="M973" s="416"/>
      <c r="N973" s="416"/>
      <c r="O973" s="416"/>
      <c r="P973" s="154"/>
      <c r="Q973" s="419" t="str">
        <f>IF(Q969="","",Q965*Q969)</f>
        <v/>
      </c>
      <c r="R973" s="419"/>
      <c r="S973" s="419"/>
      <c r="T973" s="419"/>
      <c r="U973" s="419"/>
      <c r="V973" s="419"/>
      <c r="W973" s="419"/>
      <c r="X973" s="419"/>
      <c r="Y973" s="154"/>
      <c r="Z973" s="416" t="str">
        <f>IF(C951="","",IF(J957="52 Equipamentos e Material Permanente","Justificativa e Utilização:",""))</f>
        <v/>
      </c>
      <c r="AA973" s="416"/>
      <c r="AB973" s="416"/>
      <c r="AC973" s="416"/>
      <c r="AD973" s="416"/>
      <c r="AE973" s="416"/>
      <c r="AF973" s="154"/>
      <c r="AG973" s="420"/>
      <c r="AH973" s="420"/>
      <c r="AI973" s="420"/>
      <c r="AJ973" s="420"/>
      <c r="AK973" s="420"/>
      <c r="AL973" s="420"/>
      <c r="AM973" s="420"/>
      <c r="AN973" s="420"/>
      <c r="AO973" s="420"/>
      <c r="AP973" s="420"/>
      <c r="AQ973" s="420"/>
      <c r="AR973" s="420"/>
      <c r="AS973" s="420"/>
      <c r="AT973" s="420"/>
      <c r="AU973" s="420"/>
      <c r="AV973" s="420"/>
      <c r="AW973" s="420"/>
      <c r="AX973" s="420"/>
      <c r="AY973" s="420"/>
      <c r="AZ973" s="420"/>
      <c r="BA973" s="420"/>
      <c r="BB973" s="154"/>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c r="BY973" s="115"/>
      <c r="BZ973" s="115"/>
      <c r="CA973" s="115"/>
      <c r="CB973" s="115"/>
      <c r="CC973" s="115"/>
      <c r="CD973" s="115"/>
      <c r="CE973" s="115"/>
      <c r="CF973" s="115"/>
      <c r="CG973" s="115"/>
      <c r="CH973" s="115"/>
      <c r="CI973" s="115"/>
      <c r="CJ973" s="115"/>
      <c r="CK973" s="115"/>
      <c r="CL973" s="115"/>
      <c r="CM973" s="115"/>
      <c r="CN973" s="115"/>
      <c r="CO973" s="115"/>
      <c r="CP973" s="115"/>
      <c r="CQ973" s="115"/>
      <c r="CR973" s="115"/>
      <c r="CS973" s="115"/>
      <c r="CT973" s="115"/>
      <c r="CU973" s="115"/>
      <c r="CV973" s="115"/>
      <c r="CW973" s="115"/>
      <c r="CX973" s="115"/>
      <c r="CY973" s="115"/>
      <c r="CZ973" s="115"/>
      <c r="DA973" s="115"/>
      <c r="DB973" s="115"/>
      <c r="DC973" s="115"/>
      <c r="DD973" s="115"/>
      <c r="DE973" s="115"/>
      <c r="DF973" s="115"/>
      <c r="DG973" s="115"/>
    </row>
    <row r="974" spans="1:111" ht="9" customHeight="1">
      <c r="A974" s="154"/>
      <c r="B974" s="154"/>
      <c r="C974" s="154"/>
      <c r="D974" s="154"/>
      <c r="E974" s="154"/>
      <c r="F974" s="154"/>
      <c r="G974" s="154"/>
      <c r="H974" s="154"/>
      <c r="I974" s="154"/>
      <c r="J974" s="416"/>
      <c r="K974" s="416"/>
      <c r="L974" s="416"/>
      <c r="M974" s="416"/>
      <c r="N974" s="416"/>
      <c r="O974" s="416"/>
      <c r="P974" s="154"/>
      <c r="Q974" s="419"/>
      <c r="R974" s="419"/>
      <c r="S974" s="419"/>
      <c r="T974" s="419"/>
      <c r="U974" s="419"/>
      <c r="V974" s="419"/>
      <c r="W974" s="419"/>
      <c r="X974" s="419"/>
      <c r="Y974" s="154"/>
      <c r="Z974" s="416"/>
      <c r="AA974" s="416"/>
      <c r="AB974" s="416"/>
      <c r="AC974" s="416"/>
      <c r="AD974" s="416"/>
      <c r="AE974" s="416"/>
      <c r="AF974" s="154"/>
      <c r="AG974" s="420"/>
      <c r="AH974" s="420"/>
      <c r="AI974" s="420"/>
      <c r="AJ974" s="420"/>
      <c r="AK974" s="420"/>
      <c r="AL974" s="420"/>
      <c r="AM974" s="420"/>
      <c r="AN974" s="420"/>
      <c r="AO974" s="420"/>
      <c r="AP974" s="420"/>
      <c r="AQ974" s="420"/>
      <c r="AR974" s="420"/>
      <c r="AS974" s="420"/>
      <c r="AT974" s="420"/>
      <c r="AU974" s="420"/>
      <c r="AV974" s="420"/>
      <c r="AW974" s="420"/>
      <c r="AX974" s="420"/>
      <c r="AY974" s="420"/>
      <c r="AZ974" s="420"/>
      <c r="BA974" s="420"/>
      <c r="BB974" s="154"/>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c r="BY974" s="115"/>
      <c r="BZ974" s="115"/>
      <c r="CA974" s="115"/>
      <c r="CB974" s="115"/>
      <c r="CC974" s="115"/>
      <c r="CD974" s="115"/>
      <c r="CE974" s="115"/>
      <c r="CF974" s="115"/>
      <c r="CG974" s="115"/>
      <c r="CH974" s="115"/>
      <c r="CI974" s="115"/>
      <c r="CJ974" s="115"/>
      <c r="CK974" s="115"/>
      <c r="CL974" s="115"/>
      <c r="CM974" s="115"/>
      <c r="CN974" s="115"/>
      <c r="CO974" s="115"/>
      <c r="CP974" s="115"/>
      <c r="CQ974" s="115"/>
      <c r="CR974" s="115"/>
      <c r="CS974" s="115"/>
      <c r="CT974" s="115"/>
      <c r="CU974" s="115"/>
      <c r="CV974" s="115"/>
      <c r="CW974" s="115"/>
      <c r="CX974" s="115"/>
      <c r="CY974" s="115"/>
      <c r="CZ974" s="115"/>
      <c r="DA974" s="115"/>
      <c r="DB974" s="115"/>
      <c r="DC974" s="115"/>
      <c r="DD974" s="115"/>
      <c r="DE974" s="115"/>
      <c r="DF974" s="115"/>
      <c r="DG974" s="115"/>
    </row>
    <row r="975" spans="1:111" ht="9" customHeight="1">
      <c r="A975" s="154"/>
      <c r="B975" s="154"/>
      <c r="C975" s="154"/>
      <c r="D975" s="154"/>
      <c r="E975" s="154"/>
      <c r="F975" s="154"/>
      <c r="G975" s="154"/>
      <c r="H975" s="154"/>
      <c r="I975" s="154"/>
      <c r="J975" s="154"/>
      <c r="K975" s="154"/>
      <c r="L975" s="154"/>
      <c r="M975" s="154"/>
      <c r="N975" s="154"/>
      <c r="O975" s="154"/>
      <c r="P975" s="154"/>
      <c r="Q975" s="419"/>
      <c r="R975" s="419"/>
      <c r="S975" s="419"/>
      <c r="T975" s="419"/>
      <c r="U975" s="419"/>
      <c r="V975" s="419"/>
      <c r="W975" s="419"/>
      <c r="X975" s="419"/>
      <c r="Y975" s="154"/>
      <c r="Z975" s="154"/>
      <c r="AA975" s="154"/>
      <c r="AB975" s="154"/>
      <c r="AC975" s="154"/>
      <c r="AD975" s="154"/>
      <c r="AE975" s="154"/>
      <c r="AF975" s="154"/>
      <c r="AG975" s="420"/>
      <c r="AH975" s="420"/>
      <c r="AI975" s="420"/>
      <c r="AJ975" s="420"/>
      <c r="AK975" s="420"/>
      <c r="AL975" s="420"/>
      <c r="AM975" s="420"/>
      <c r="AN975" s="420"/>
      <c r="AO975" s="420"/>
      <c r="AP975" s="420"/>
      <c r="AQ975" s="420"/>
      <c r="AR975" s="420"/>
      <c r="AS975" s="420"/>
      <c r="AT975" s="420"/>
      <c r="AU975" s="420"/>
      <c r="AV975" s="420"/>
      <c r="AW975" s="420"/>
      <c r="AX975" s="420"/>
      <c r="AY975" s="420"/>
      <c r="AZ975" s="420"/>
      <c r="BA975" s="420"/>
      <c r="BB975" s="154"/>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c r="BY975" s="115"/>
      <c r="BZ975" s="115"/>
      <c r="CA975" s="115"/>
      <c r="CB975" s="115"/>
      <c r="CC975" s="115"/>
      <c r="CD975" s="115"/>
      <c r="CE975" s="115"/>
      <c r="CF975" s="115"/>
      <c r="CG975" s="115"/>
      <c r="CH975" s="115"/>
      <c r="CI975" s="115"/>
      <c r="CJ975" s="115"/>
      <c r="CK975" s="115"/>
      <c r="CL975" s="115"/>
      <c r="CM975" s="115"/>
      <c r="CN975" s="115"/>
      <c r="CO975" s="115"/>
      <c r="CP975" s="115"/>
      <c r="CQ975" s="115"/>
      <c r="CR975" s="115"/>
      <c r="CS975" s="115"/>
      <c r="CT975" s="115"/>
      <c r="CU975" s="115"/>
      <c r="CV975" s="115"/>
      <c r="CW975" s="115"/>
      <c r="CX975" s="115"/>
      <c r="CY975" s="115"/>
      <c r="CZ975" s="115"/>
      <c r="DA975" s="115"/>
      <c r="DB975" s="115"/>
      <c r="DC975" s="115"/>
      <c r="DD975" s="115"/>
      <c r="DE975" s="115"/>
      <c r="DF975" s="115"/>
      <c r="DG975" s="115"/>
    </row>
    <row r="976" spans="1:111" ht="9" customHeight="1">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420"/>
      <c r="AH976" s="420"/>
      <c r="AI976" s="420"/>
      <c r="AJ976" s="420"/>
      <c r="AK976" s="420"/>
      <c r="AL976" s="420"/>
      <c r="AM976" s="420"/>
      <c r="AN976" s="420"/>
      <c r="AO976" s="420"/>
      <c r="AP976" s="420"/>
      <c r="AQ976" s="420"/>
      <c r="AR976" s="420"/>
      <c r="AS976" s="420"/>
      <c r="AT976" s="420"/>
      <c r="AU976" s="420"/>
      <c r="AV976" s="420"/>
      <c r="AW976" s="420"/>
      <c r="AX976" s="420"/>
      <c r="AY976" s="420"/>
      <c r="AZ976" s="420"/>
      <c r="BA976" s="420"/>
      <c r="BB976" s="154"/>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c r="BY976" s="115"/>
      <c r="BZ976" s="115"/>
      <c r="CA976" s="115"/>
      <c r="CB976" s="115"/>
      <c r="CC976" s="115"/>
      <c r="CD976" s="115"/>
      <c r="CE976" s="115"/>
      <c r="CF976" s="115"/>
      <c r="CG976" s="115"/>
      <c r="CH976" s="115"/>
      <c r="CI976" s="115"/>
      <c r="CJ976" s="115"/>
      <c r="CK976" s="115"/>
      <c r="CL976" s="115"/>
      <c r="CM976" s="115"/>
      <c r="CN976" s="115"/>
      <c r="CO976" s="115"/>
      <c r="CP976" s="115"/>
      <c r="CQ976" s="115"/>
      <c r="CR976" s="115"/>
      <c r="CS976" s="115"/>
      <c r="CT976" s="115"/>
      <c r="CU976" s="115"/>
      <c r="CV976" s="115"/>
      <c r="CW976" s="115"/>
      <c r="CX976" s="115"/>
      <c r="CY976" s="115"/>
      <c r="CZ976" s="115"/>
      <c r="DA976" s="115"/>
      <c r="DB976" s="115"/>
      <c r="DC976" s="115"/>
      <c r="DD976" s="115"/>
      <c r="DE976" s="115"/>
      <c r="DF976" s="115"/>
      <c r="DG976" s="115"/>
    </row>
    <row r="977" spans="1:111" ht="9" customHeight="1">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420"/>
      <c r="AH977" s="420"/>
      <c r="AI977" s="420"/>
      <c r="AJ977" s="420"/>
      <c r="AK977" s="420"/>
      <c r="AL977" s="420"/>
      <c r="AM977" s="420"/>
      <c r="AN977" s="420"/>
      <c r="AO977" s="420"/>
      <c r="AP977" s="420"/>
      <c r="AQ977" s="420"/>
      <c r="AR977" s="420"/>
      <c r="AS977" s="420"/>
      <c r="AT977" s="420"/>
      <c r="AU977" s="420"/>
      <c r="AV977" s="420"/>
      <c r="AW977" s="420"/>
      <c r="AX977" s="420"/>
      <c r="AY977" s="420"/>
      <c r="AZ977" s="420"/>
      <c r="BA977" s="420"/>
      <c r="BB977" s="154"/>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c r="BY977" s="115"/>
      <c r="BZ977" s="115"/>
      <c r="CA977" s="115"/>
      <c r="CB977" s="115"/>
      <c r="CC977" s="115"/>
      <c r="CD977" s="115"/>
      <c r="CE977" s="115"/>
      <c r="CF977" s="115"/>
      <c r="CG977" s="115"/>
      <c r="CH977" s="115"/>
      <c r="CI977" s="115"/>
      <c r="CJ977" s="115"/>
      <c r="CK977" s="115"/>
      <c r="CL977" s="115"/>
      <c r="CM977" s="115"/>
      <c r="CN977" s="115"/>
      <c r="CO977" s="115"/>
      <c r="CP977" s="115"/>
      <c r="CQ977" s="115"/>
      <c r="CR977" s="115"/>
      <c r="CS977" s="115"/>
      <c r="CT977" s="115"/>
      <c r="CU977" s="115"/>
      <c r="CV977" s="115"/>
      <c r="CW977" s="115"/>
      <c r="CX977" s="115"/>
      <c r="CY977" s="115"/>
      <c r="CZ977" s="115"/>
      <c r="DA977" s="115"/>
      <c r="DB977" s="115"/>
      <c r="DC977" s="115"/>
      <c r="DD977" s="115"/>
      <c r="DE977" s="115"/>
      <c r="DF977" s="115"/>
      <c r="DG977" s="115"/>
    </row>
    <row r="978" spans="1:111" ht="9" customHeight="1">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420"/>
      <c r="AH978" s="420"/>
      <c r="AI978" s="420"/>
      <c r="AJ978" s="420"/>
      <c r="AK978" s="420"/>
      <c r="AL978" s="420"/>
      <c r="AM978" s="420"/>
      <c r="AN978" s="420"/>
      <c r="AO978" s="420"/>
      <c r="AP978" s="420"/>
      <c r="AQ978" s="420"/>
      <c r="AR978" s="420"/>
      <c r="AS978" s="420"/>
      <c r="AT978" s="420"/>
      <c r="AU978" s="420"/>
      <c r="AV978" s="420"/>
      <c r="AW978" s="420"/>
      <c r="AX978" s="420"/>
      <c r="AY978" s="420"/>
      <c r="AZ978" s="420"/>
      <c r="BA978" s="420"/>
      <c r="BB978" s="154"/>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c r="BY978" s="115"/>
      <c r="BZ978" s="115"/>
      <c r="CA978" s="115"/>
      <c r="CB978" s="115"/>
      <c r="CC978" s="115"/>
      <c r="CD978" s="115"/>
      <c r="CE978" s="115"/>
      <c r="CF978" s="115"/>
      <c r="CG978" s="115"/>
      <c r="CH978" s="115"/>
      <c r="CI978" s="115"/>
      <c r="CJ978" s="115"/>
      <c r="CK978" s="115"/>
      <c r="CL978" s="115"/>
      <c r="CM978" s="115"/>
      <c r="CN978" s="115"/>
      <c r="CO978" s="115"/>
      <c r="CP978" s="115"/>
      <c r="CQ978" s="115"/>
      <c r="CR978" s="115"/>
      <c r="CS978" s="115"/>
      <c r="CT978" s="115"/>
      <c r="CU978" s="115"/>
      <c r="CV978" s="115"/>
      <c r="CW978" s="115"/>
      <c r="CX978" s="115"/>
      <c r="CY978" s="115"/>
      <c r="CZ978" s="115"/>
      <c r="DA978" s="115"/>
      <c r="DB978" s="115"/>
      <c r="DC978" s="115"/>
      <c r="DD978" s="115"/>
      <c r="DE978" s="115"/>
      <c r="DF978" s="115"/>
      <c r="DG978" s="115"/>
    </row>
    <row r="979" spans="1:111" ht="15" customHeight="1">
      <c r="B979" s="55"/>
      <c r="C979" s="55"/>
      <c r="D979" s="56"/>
      <c r="E979" s="56"/>
      <c r="F979" s="56"/>
      <c r="G979" s="56"/>
      <c r="H979" s="56"/>
      <c r="I979" s="56"/>
      <c r="J979" s="56"/>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141"/>
      <c r="AL979" s="141"/>
      <c r="AM979" s="141"/>
      <c r="AN979" s="141"/>
      <c r="AO979" s="140"/>
      <c r="AP979" s="140"/>
      <c r="AQ979" s="140"/>
      <c r="AR979" s="140"/>
      <c r="AS979" s="142"/>
      <c r="AT979" s="142"/>
      <c r="AU979" s="142"/>
      <c r="AV979" s="142"/>
      <c r="AW979" s="140"/>
      <c r="AX979" s="140"/>
      <c r="AY979" s="140"/>
      <c r="AZ979" s="140"/>
      <c r="BA979" s="140"/>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c r="BY979" s="115"/>
      <c r="BZ979" s="115"/>
      <c r="CA979" s="115"/>
      <c r="CB979" s="115"/>
      <c r="CC979" s="115"/>
      <c r="CD979" s="115"/>
      <c r="CE979" s="115"/>
      <c r="CF979" s="115"/>
      <c r="CG979" s="115"/>
      <c r="CH979" s="115"/>
      <c r="CI979" s="115"/>
      <c r="CJ979" s="115"/>
      <c r="CK979" s="115"/>
      <c r="CL979" s="115"/>
      <c r="CM979" s="115"/>
      <c r="CN979" s="115"/>
      <c r="CO979" s="115"/>
      <c r="CP979" s="115"/>
      <c r="CQ979" s="115"/>
      <c r="CR979" s="115"/>
      <c r="CS979" s="115"/>
      <c r="CT979" s="115"/>
      <c r="CU979" s="115"/>
      <c r="CV979" s="115"/>
      <c r="CW979" s="115"/>
      <c r="CX979" s="115"/>
      <c r="CY979" s="115"/>
      <c r="CZ979" s="115"/>
      <c r="DA979" s="115"/>
      <c r="DB979" s="115"/>
      <c r="DC979" s="115"/>
      <c r="DD979" s="115"/>
      <c r="DE979" s="115"/>
      <c r="DF979" s="115"/>
      <c r="DG979" s="115"/>
    </row>
    <row r="980" spans="1:111" ht="15" customHeight="1">
      <c r="B980" s="55"/>
      <c r="C980" s="422" t="str">
        <f>IF($AA$165&gt;=29,"DESPESA 29","")</f>
        <v/>
      </c>
      <c r="D980" s="422"/>
      <c r="E980" s="422"/>
      <c r="F980" s="422"/>
      <c r="G980" s="422"/>
      <c r="H980" s="422"/>
      <c r="I980" s="56"/>
      <c r="J980" s="56"/>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141"/>
      <c r="AL980" s="141"/>
      <c r="AM980" s="141"/>
      <c r="AN980" s="141"/>
      <c r="AO980" s="140"/>
      <c r="AP980" s="140"/>
      <c r="AQ980" s="140"/>
      <c r="AR980" s="140"/>
      <c r="AS980" s="142"/>
      <c r="AT980" s="142"/>
      <c r="AU980" s="142"/>
      <c r="AV980" s="142"/>
      <c r="AW980" s="140"/>
      <c r="AX980" s="140"/>
      <c r="AY980" s="140"/>
      <c r="AZ980" s="140"/>
      <c r="BA980" s="140"/>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c r="BY980" s="115"/>
      <c r="BZ980" s="115"/>
      <c r="CA980" s="115"/>
      <c r="CB980" s="115"/>
      <c r="CC980" s="115"/>
      <c r="CD980" s="115"/>
      <c r="CE980" s="115"/>
      <c r="CF980" s="115"/>
      <c r="CG980" s="115"/>
      <c r="CH980" s="115"/>
      <c r="CI980" s="115"/>
      <c r="CJ980" s="115"/>
      <c r="CK980" s="115"/>
      <c r="CL980" s="115"/>
      <c r="CM980" s="115"/>
      <c r="CN980" s="115"/>
      <c r="CO980" s="115"/>
      <c r="CP980" s="115"/>
      <c r="CQ980" s="115"/>
      <c r="CR980" s="115"/>
      <c r="CS980" s="115"/>
      <c r="CT980" s="115"/>
      <c r="CU980" s="115"/>
      <c r="CV980" s="115"/>
      <c r="CW980" s="115"/>
      <c r="CX980" s="115"/>
      <c r="CY980" s="115"/>
      <c r="CZ980" s="115"/>
      <c r="DA980" s="115"/>
      <c r="DB980" s="115"/>
      <c r="DC980" s="115"/>
      <c r="DD980" s="115"/>
      <c r="DE980" s="115"/>
      <c r="DF980" s="115"/>
      <c r="DG980" s="115"/>
    </row>
    <row r="981" spans="1:111" ht="4.5" customHeight="1">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c r="BY981" s="115"/>
      <c r="BZ981" s="115"/>
      <c r="CA981" s="115"/>
      <c r="CB981" s="115"/>
      <c r="CC981" s="115"/>
      <c r="CD981" s="115"/>
      <c r="CE981" s="115"/>
      <c r="CF981" s="115"/>
      <c r="CG981" s="115"/>
      <c r="CH981" s="115"/>
      <c r="CI981" s="115"/>
      <c r="CJ981" s="115"/>
      <c r="CK981" s="115"/>
      <c r="CL981" s="115"/>
      <c r="CM981" s="115"/>
      <c r="CN981" s="115"/>
      <c r="CO981" s="115"/>
      <c r="CP981" s="115"/>
      <c r="CQ981" s="115"/>
      <c r="CR981" s="115"/>
      <c r="CS981" s="115"/>
      <c r="CT981" s="115"/>
      <c r="CU981" s="115"/>
      <c r="CV981" s="115"/>
      <c r="CW981" s="115"/>
      <c r="CX981" s="115"/>
      <c r="CY981" s="115"/>
      <c r="CZ981" s="115"/>
      <c r="DA981" s="115"/>
      <c r="DB981" s="115"/>
      <c r="DC981" s="115"/>
      <c r="DD981" s="115"/>
      <c r="DE981" s="115"/>
      <c r="DF981" s="115"/>
      <c r="DG981" s="115"/>
    </row>
    <row r="982" spans="1:111" ht="9" customHeight="1">
      <c r="C982" s="416" t="str">
        <f>IF(C980="","","Descrição da Despesa:")</f>
        <v/>
      </c>
      <c r="D982" s="416"/>
      <c r="E982" s="416"/>
      <c r="F982" s="416"/>
      <c r="G982" s="416"/>
      <c r="H982" s="416"/>
      <c r="I982" s="60"/>
      <c r="J982" s="421"/>
      <c r="K982" s="421"/>
      <c r="L982" s="421"/>
      <c r="M982" s="421"/>
      <c r="N982" s="421"/>
      <c r="O982" s="421"/>
      <c r="P982" s="421"/>
      <c r="Q982" s="421"/>
      <c r="R982" s="421"/>
      <c r="S982" s="421"/>
      <c r="T982" s="421"/>
      <c r="U982" s="421"/>
      <c r="V982" s="421"/>
      <c r="W982" s="421"/>
      <c r="X982" s="421"/>
      <c r="Y982" s="421"/>
      <c r="Z982" s="421"/>
      <c r="AA982" s="421"/>
      <c r="AB982" s="421"/>
      <c r="AC982" s="421"/>
      <c r="AD982" s="421"/>
      <c r="AE982" s="421"/>
      <c r="AF982" s="421"/>
      <c r="AG982" s="421"/>
      <c r="AH982" s="421"/>
      <c r="AI982" s="421"/>
      <c r="AJ982" s="421"/>
      <c r="AK982" s="421"/>
      <c r="AL982" s="421"/>
      <c r="AM982" s="421"/>
      <c r="AN982" s="421"/>
      <c r="AO982" s="421"/>
      <c r="AP982" s="421"/>
      <c r="AQ982" s="421"/>
      <c r="AR982" s="421"/>
      <c r="AS982" s="421"/>
      <c r="AT982" s="421"/>
      <c r="AU982" s="421"/>
      <c r="AV982" s="421"/>
      <c r="AW982" s="421"/>
      <c r="AX982" s="421"/>
      <c r="AY982" s="421"/>
      <c r="AZ982" s="421"/>
      <c r="BA982" s="421"/>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c r="BY982" s="115"/>
      <c r="BZ982" s="115"/>
      <c r="CA982" s="115"/>
      <c r="CB982" s="115"/>
      <c r="CC982" s="115"/>
      <c r="CD982" s="115"/>
      <c r="CE982" s="115"/>
      <c r="CF982" s="115"/>
      <c r="CG982" s="115"/>
      <c r="CH982" s="115"/>
      <c r="CI982" s="115"/>
      <c r="CJ982" s="115"/>
      <c r="CK982" s="115"/>
      <c r="CL982" s="115"/>
      <c r="CM982" s="115"/>
      <c r="CN982" s="115"/>
      <c r="CO982" s="115"/>
      <c r="CP982" s="115"/>
      <c r="CQ982" s="115"/>
      <c r="CR982" s="115"/>
      <c r="CS982" s="115"/>
      <c r="CT982" s="115"/>
      <c r="CU982" s="115"/>
      <c r="CV982" s="115"/>
      <c r="CW982" s="115"/>
      <c r="CX982" s="115"/>
      <c r="CY982" s="115"/>
      <c r="CZ982" s="115"/>
      <c r="DA982" s="115"/>
      <c r="DB982" s="115"/>
      <c r="DC982" s="115"/>
      <c r="DD982" s="115"/>
      <c r="DE982" s="115"/>
      <c r="DF982" s="115"/>
      <c r="DG982" s="115"/>
    </row>
    <row r="983" spans="1:111" ht="9" customHeight="1">
      <c r="C983" s="416"/>
      <c r="D983" s="416"/>
      <c r="E983" s="416"/>
      <c r="F983" s="416"/>
      <c r="G983" s="416"/>
      <c r="H983" s="416"/>
      <c r="I983" s="60"/>
      <c r="J983" s="421"/>
      <c r="K983" s="421"/>
      <c r="L983" s="421"/>
      <c r="M983" s="421"/>
      <c r="N983" s="421"/>
      <c r="O983" s="421"/>
      <c r="P983" s="421"/>
      <c r="Q983" s="421"/>
      <c r="R983" s="421"/>
      <c r="S983" s="421"/>
      <c r="T983" s="421"/>
      <c r="U983" s="421"/>
      <c r="V983" s="421"/>
      <c r="W983" s="421"/>
      <c r="X983" s="421"/>
      <c r="Y983" s="421"/>
      <c r="Z983" s="421"/>
      <c r="AA983" s="421"/>
      <c r="AB983" s="421"/>
      <c r="AC983" s="421"/>
      <c r="AD983" s="421"/>
      <c r="AE983" s="421"/>
      <c r="AF983" s="421"/>
      <c r="AG983" s="421"/>
      <c r="AH983" s="421"/>
      <c r="AI983" s="421"/>
      <c r="AJ983" s="421"/>
      <c r="AK983" s="421"/>
      <c r="AL983" s="421"/>
      <c r="AM983" s="421"/>
      <c r="AN983" s="421"/>
      <c r="AO983" s="421"/>
      <c r="AP983" s="421"/>
      <c r="AQ983" s="421"/>
      <c r="AR983" s="421"/>
      <c r="AS983" s="421"/>
      <c r="AT983" s="421"/>
      <c r="AU983" s="421"/>
      <c r="AV983" s="421"/>
      <c r="AW983" s="421"/>
      <c r="AX983" s="421"/>
      <c r="AY983" s="421"/>
      <c r="AZ983" s="421"/>
      <c r="BA983" s="421"/>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c r="BY983" s="115"/>
      <c r="BZ983" s="115"/>
      <c r="CA983" s="115"/>
      <c r="CB983" s="115"/>
      <c r="CC983" s="115"/>
      <c r="CD983" s="115"/>
      <c r="CE983" s="115"/>
      <c r="CF983" s="115"/>
      <c r="CG983" s="115"/>
      <c r="CH983" s="115"/>
      <c r="CI983" s="115"/>
      <c r="CJ983" s="115"/>
      <c r="CK983" s="115"/>
      <c r="CL983" s="115"/>
      <c r="CM983" s="115"/>
      <c r="CN983" s="115"/>
      <c r="CO983" s="115"/>
      <c r="CP983" s="115"/>
      <c r="CQ983" s="115"/>
      <c r="CR983" s="115"/>
      <c r="CS983" s="115"/>
      <c r="CT983" s="115"/>
      <c r="CU983" s="115"/>
      <c r="CV983" s="115"/>
      <c r="CW983" s="115"/>
      <c r="CX983" s="115"/>
      <c r="CY983" s="115"/>
      <c r="CZ983" s="115"/>
      <c r="DA983" s="115"/>
      <c r="DB983" s="115"/>
      <c r="DC983" s="115"/>
      <c r="DD983" s="115"/>
      <c r="DE983" s="115"/>
      <c r="DF983" s="115"/>
      <c r="DG983" s="115"/>
    </row>
    <row r="984" spans="1:111" ht="9" customHeight="1">
      <c r="C984" s="416"/>
      <c r="D984" s="416"/>
      <c r="E984" s="416"/>
      <c r="F984" s="416"/>
      <c r="G984" s="416"/>
      <c r="H984" s="416"/>
      <c r="I984" s="60"/>
      <c r="J984" s="421"/>
      <c r="K984" s="421"/>
      <c r="L984" s="421"/>
      <c r="M984" s="421"/>
      <c r="N984" s="421"/>
      <c r="O984" s="421"/>
      <c r="P984" s="421"/>
      <c r="Q984" s="421"/>
      <c r="R984" s="421"/>
      <c r="S984" s="421"/>
      <c r="T984" s="421"/>
      <c r="U984" s="421"/>
      <c r="V984" s="421"/>
      <c r="W984" s="421"/>
      <c r="X984" s="421"/>
      <c r="Y984" s="421"/>
      <c r="Z984" s="421"/>
      <c r="AA984" s="421"/>
      <c r="AB984" s="421"/>
      <c r="AC984" s="421"/>
      <c r="AD984" s="421"/>
      <c r="AE984" s="421"/>
      <c r="AF984" s="421"/>
      <c r="AG984" s="421"/>
      <c r="AH984" s="421"/>
      <c r="AI984" s="421"/>
      <c r="AJ984" s="421"/>
      <c r="AK984" s="421"/>
      <c r="AL984" s="421"/>
      <c r="AM984" s="421"/>
      <c r="AN984" s="421"/>
      <c r="AO984" s="421"/>
      <c r="AP984" s="421"/>
      <c r="AQ984" s="421"/>
      <c r="AR984" s="421"/>
      <c r="AS984" s="421"/>
      <c r="AT984" s="421"/>
      <c r="AU984" s="421"/>
      <c r="AV984" s="421"/>
      <c r="AW984" s="421"/>
      <c r="AX984" s="421"/>
      <c r="AY984" s="421"/>
      <c r="AZ984" s="421"/>
      <c r="BA984" s="421"/>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c r="BY984" s="115"/>
      <c r="BZ984" s="115"/>
      <c r="CA984" s="115"/>
      <c r="CB984" s="115"/>
      <c r="CC984" s="115"/>
      <c r="CD984" s="115"/>
      <c r="CE984" s="115"/>
      <c r="CF984" s="115"/>
      <c r="CG984" s="115"/>
      <c r="CH984" s="115"/>
      <c r="CI984" s="115"/>
      <c r="CJ984" s="115"/>
      <c r="CK984" s="115"/>
      <c r="CL984" s="115"/>
      <c r="CM984" s="115"/>
      <c r="CN984" s="115"/>
      <c r="CO984" s="115"/>
      <c r="CP984" s="115"/>
      <c r="CQ984" s="115"/>
      <c r="CR984" s="115"/>
      <c r="CS984" s="115"/>
      <c r="CT984" s="115"/>
      <c r="CU984" s="115"/>
      <c r="CV984" s="115"/>
      <c r="CW984" s="115"/>
      <c r="CX984" s="115"/>
      <c r="CY984" s="115"/>
      <c r="CZ984" s="115"/>
      <c r="DA984" s="115"/>
      <c r="DB984" s="115"/>
      <c r="DC984" s="115"/>
      <c r="DD984" s="115"/>
      <c r="DE984" s="115"/>
      <c r="DF984" s="115"/>
      <c r="DG984" s="115"/>
    </row>
    <row r="985" spans="1:111" ht="4.5" customHeight="1">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c r="BY985" s="115"/>
      <c r="BZ985" s="115"/>
      <c r="CA985" s="115"/>
      <c r="CB985" s="115"/>
      <c r="CC985" s="115"/>
      <c r="CD985" s="115"/>
      <c r="CE985" s="115"/>
      <c r="CF985" s="115"/>
      <c r="CG985" s="115"/>
      <c r="CH985" s="115"/>
      <c r="CI985" s="115"/>
      <c r="CJ985" s="115"/>
      <c r="CK985" s="115"/>
      <c r="CL985" s="115"/>
      <c r="CM985" s="115"/>
      <c r="CN985" s="115"/>
      <c r="CO985" s="115"/>
      <c r="CP985" s="115"/>
      <c r="CQ985" s="115"/>
      <c r="CR985" s="115"/>
      <c r="CS985" s="115"/>
      <c r="CT985" s="115"/>
      <c r="CU985" s="115"/>
      <c r="CV985" s="115"/>
      <c r="CW985" s="115"/>
      <c r="CX985" s="115"/>
      <c r="CY985" s="115"/>
      <c r="CZ985" s="115"/>
      <c r="DA985" s="115"/>
      <c r="DB985" s="115"/>
      <c r="DC985" s="115"/>
      <c r="DD985" s="115"/>
      <c r="DE985" s="115"/>
      <c r="DF985" s="115"/>
      <c r="DG985" s="115"/>
    </row>
    <row r="986" spans="1:111" ht="9" customHeight="1">
      <c r="C986" s="416" t="str">
        <f>IF(C980="","","Elemento de Despesa:")</f>
        <v/>
      </c>
      <c r="D986" s="416"/>
      <c r="E986" s="416"/>
      <c r="F986" s="416"/>
      <c r="G986" s="416"/>
      <c r="H986" s="416"/>
      <c r="J986" s="421"/>
      <c r="K986" s="421"/>
      <c r="L986" s="421"/>
      <c r="M986" s="421"/>
      <c r="N986" s="421"/>
      <c r="O986" s="421"/>
      <c r="P986" s="421"/>
      <c r="Q986" s="421"/>
      <c r="R986" s="421"/>
      <c r="S986" s="421"/>
      <c r="T986" s="421"/>
      <c r="U986" s="421"/>
      <c r="V986" s="421"/>
      <c r="W986" s="421"/>
      <c r="X986" s="421"/>
      <c r="Y986" s="421"/>
      <c r="Z986" s="421"/>
      <c r="AA986" s="421"/>
      <c r="AB986" s="421"/>
      <c r="AC986" s="421"/>
      <c r="AD986" s="421"/>
      <c r="AE986" s="421"/>
      <c r="AF986" s="421"/>
      <c r="AG986" s="421"/>
      <c r="AH986" s="421"/>
      <c r="AI986" s="421"/>
      <c r="AJ986" s="421"/>
      <c r="AK986" s="421"/>
      <c r="AL986" s="421"/>
      <c r="AM986" s="421"/>
      <c r="AN986" s="421"/>
      <c r="AO986" s="421"/>
      <c r="AP986" s="421"/>
      <c r="AQ986" s="421"/>
      <c r="AR986" s="421"/>
      <c r="AS986" s="421"/>
      <c r="AT986" s="421"/>
      <c r="AU986" s="421"/>
      <c r="AV986" s="421"/>
      <c r="AW986" s="421"/>
      <c r="AX986" s="421"/>
      <c r="AY986" s="421"/>
      <c r="AZ986" s="421"/>
      <c r="BA986" s="421"/>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c r="BY986" s="115"/>
      <c r="BZ986" s="115"/>
      <c r="CA986" s="115"/>
      <c r="CB986" s="115"/>
      <c r="CC986" s="115"/>
      <c r="CD986" s="115"/>
      <c r="CE986" s="115"/>
      <c r="CF986" s="115"/>
      <c r="CG986" s="115"/>
      <c r="CH986" s="115"/>
      <c r="CI986" s="115"/>
      <c r="CJ986" s="115"/>
      <c r="CK986" s="115"/>
      <c r="CL986" s="115"/>
      <c r="CM986" s="115"/>
      <c r="CN986" s="115"/>
      <c r="CO986" s="115"/>
      <c r="CP986" s="115"/>
      <c r="CQ986" s="115"/>
      <c r="CR986" s="115"/>
      <c r="CS986" s="115"/>
      <c r="CT986" s="115"/>
      <c r="CU986" s="115"/>
      <c r="CV986" s="115"/>
      <c r="CW986" s="115"/>
      <c r="CX986" s="115"/>
      <c r="CY986" s="115"/>
      <c r="CZ986" s="115"/>
      <c r="DA986" s="115"/>
      <c r="DB986" s="115"/>
      <c r="DC986" s="115"/>
      <c r="DD986" s="115"/>
      <c r="DE986" s="115"/>
      <c r="DF986" s="115"/>
      <c r="DG986" s="115"/>
    </row>
    <row r="987" spans="1:111" ht="9" customHeight="1">
      <c r="C987" s="416"/>
      <c r="D987" s="416"/>
      <c r="E987" s="416"/>
      <c r="F987" s="416"/>
      <c r="G987" s="416"/>
      <c r="H987" s="416"/>
      <c r="J987" s="421"/>
      <c r="K987" s="421"/>
      <c r="L987" s="421"/>
      <c r="M987" s="421"/>
      <c r="N987" s="421"/>
      <c r="O987" s="421"/>
      <c r="P987" s="421"/>
      <c r="Q987" s="421"/>
      <c r="R987" s="421"/>
      <c r="S987" s="421"/>
      <c r="T987" s="421"/>
      <c r="U987" s="421"/>
      <c r="V987" s="421"/>
      <c r="W987" s="421"/>
      <c r="X987" s="421"/>
      <c r="Y987" s="421"/>
      <c r="Z987" s="421"/>
      <c r="AA987" s="421"/>
      <c r="AB987" s="421"/>
      <c r="AC987" s="421"/>
      <c r="AD987" s="421"/>
      <c r="AE987" s="421"/>
      <c r="AF987" s="421"/>
      <c r="AG987" s="421"/>
      <c r="AH987" s="421"/>
      <c r="AI987" s="421"/>
      <c r="AJ987" s="421"/>
      <c r="AK987" s="421"/>
      <c r="AL987" s="421"/>
      <c r="AM987" s="421"/>
      <c r="AN987" s="421"/>
      <c r="AO987" s="421"/>
      <c r="AP987" s="421"/>
      <c r="AQ987" s="421"/>
      <c r="AR987" s="421"/>
      <c r="AS987" s="421"/>
      <c r="AT987" s="421"/>
      <c r="AU987" s="421"/>
      <c r="AV987" s="421"/>
      <c r="AW987" s="421"/>
      <c r="AX987" s="421"/>
      <c r="AY987" s="421"/>
      <c r="AZ987" s="421"/>
      <c r="BA987" s="421"/>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c r="BY987" s="115"/>
      <c r="BZ987" s="115"/>
      <c r="CA987" s="115"/>
      <c r="CB987" s="115"/>
      <c r="CC987" s="115"/>
      <c r="CD987" s="115"/>
      <c r="CE987" s="115"/>
      <c r="CF987" s="115"/>
      <c r="CG987" s="115"/>
      <c r="CH987" s="115"/>
      <c r="CI987" s="115"/>
      <c r="CJ987" s="115"/>
      <c r="CK987" s="115"/>
      <c r="CL987" s="115"/>
      <c r="CM987" s="115"/>
      <c r="CN987" s="115"/>
      <c r="CO987" s="115"/>
      <c r="CP987" s="115"/>
      <c r="CQ987" s="115"/>
      <c r="CR987" s="115"/>
      <c r="CS987" s="115"/>
      <c r="CT987" s="115"/>
      <c r="CU987" s="115"/>
      <c r="CV987" s="115"/>
      <c r="CW987" s="115"/>
      <c r="CX987" s="115"/>
      <c r="CY987" s="115"/>
      <c r="CZ987" s="115"/>
      <c r="DA987" s="115"/>
      <c r="DB987" s="115"/>
      <c r="DC987" s="115"/>
      <c r="DD987" s="115"/>
      <c r="DE987" s="115"/>
      <c r="DF987" s="115"/>
      <c r="DG987" s="115"/>
    </row>
    <row r="988" spans="1:111" ht="9" customHeight="1">
      <c r="C988" s="416"/>
      <c r="D988" s="416"/>
      <c r="E988" s="416"/>
      <c r="F988" s="416"/>
      <c r="G988" s="416"/>
      <c r="H988" s="416"/>
      <c r="J988" s="421"/>
      <c r="K988" s="421"/>
      <c r="L988" s="421"/>
      <c r="M988" s="421"/>
      <c r="N988" s="421"/>
      <c r="O988" s="421"/>
      <c r="P988" s="421"/>
      <c r="Q988" s="421"/>
      <c r="R988" s="421"/>
      <c r="S988" s="421"/>
      <c r="T988" s="421"/>
      <c r="U988" s="421"/>
      <c r="V988" s="421"/>
      <c r="W988" s="421"/>
      <c r="X988" s="421"/>
      <c r="Y988" s="421"/>
      <c r="Z988" s="421"/>
      <c r="AA988" s="421"/>
      <c r="AB988" s="421"/>
      <c r="AC988" s="421"/>
      <c r="AD988" s="421"/>
      <c r="AE988" s="421"/>
      <c r="AF988" s="421"/>
      <c r="AG988" s="421"/>
      <c r="AH988" s="421"/>
      <c r="AI988" s="421"/>
      <c r="AJ988" s="421"/>
      <c r="AK988" s="421"/>
      <c r="AL988" s="421"/>
      <c r="AM988" s="421"/>
      <c r="AN988" s="421"/>
      <c r="AO988" s="421"/>
      <c r="AP988" s="421"/>
      <c r="AQ988" s="421"/>
      <c r="AR988" s="421"/>
      <c r="AS988" s="421"/>
      <c r="AT988" s="421"/>
      <c r="AU988" s="421"/>
      <c r="AV988" s="421"/>
      <c r="AW988" s="421"/>
      <c r="AX988" s="421"/>
      <c r="AY988" s="421"/>
      <c r="AZ988" s="421"/>
      <c r="BA988" s="421"/>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c r="BY988" s="115"/>
      <c r="BZ988" s="115"/>
      <c r="CA988" s="115"/>
      <c r="CB988" s="115"/>
      <c r="CC988" s="115"/>
      <c r="CD988" s="115"/>
      <c r="CE988" s="115"/>
      <c r="CF988" s="115"/>
      <c r="CG988" s="115"/>
      <c r="CH988" s="115"/>
      <c r="CI988" s="115"/>
      <c r="CJ988" s="115"/>
      <c r="CK988" s="115"/>
      <c r="CL988" s="115"/>
      <c r="CM988" s="115"/>
      <c r="CN988" s="115"/>
      <c r="CO988" s="115"/>
      <c r="CP988" s="115"/>
      <c r="CQ988" s="115"/>
      <c r="CR988" s="115"/>
      <c r="CS988" s="115"/>
      <c r="CT988" s="115"/>
      <c r="CU988" s="115"/>
      <c r="CV988" s="115"/>
      <c r="CW988" s="115"/>
      <c r="CX988" s="115"/>
      <c r="CY988" s="115"/>
      <c r="CZ988" s="115"/>
      <c r="DA988" s="115"/>
      <c r="DB988" s="115"/>
      <c r="DC988" s="115"/>
      <c r="DD988" s="115"/>
      <c r="DE988" s="115"/>
      <c r="DF988" s="115"/>
      <c r="DG988" s="115"/>
    </row>
    <row r="989" spans="1:111" ht="4.5" customHeight="1">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c r="BY989" s="115"/>
      <c r="BZ989" s="115"/>
      <c r="CA989" s="115"/>
      <c r="CB989" s="115"/>
      <c r="CC989" s="115"/>
      <c r="CD989" s="115"/>
      <c r="CE989" s="115"/>
      <c r="CF989" s="115"/>
      <c r="CG989" s="115"/>
      <c r="CH989" s="115"/>
      <c r="CI989" s="115"/>
      <c r="CJ989" s="115"/>
      <c r="CK989" s="115"/>
      <c r="CL989" s="115"/>
      <c r="CM989" s="115"/>
      <c r="CN989" s="115"/>
      <c r="CO989" s="115"/>
      <c r="CP989" s="115"/>
      <c r="CQ989" s="115"/>
      <c r="CR989" s="115"/>
      <c r="CS989" s="115"/>
      <c r="CT989" s="115"/>
      <c r="CU989" s="115"/>
      <c r="CV989" s="115"/>
      <c r="CW989" s="115"/>
      <c r="CX989" s="115"/>
      <c r="CY989" s="115"/>
      <c r="CZ989" s="115"/>
      <c r="DA989" s="115"/>
      <c r="DB989" s="115"/>
      <c r="DC989" s="115"/>
      <c r="DD989" s="115"/>
      <c r="DE989" s="115"/>
      <c r="DF989" s="115"/>
      <c r="DG989" s="115"/>
    </row>
    <row r="990" spans="1:111" ht="9" customHeight="1">
      <c r="A990" s="61" t="str">
        <f>CONCATENATE(Q990,AC990)</f>
        <v/>
      </c>
      <c r="J990" s="416" t="str">
        <f>IF(C980="","","Meta Vinculada:")</f>
        <v/>
      </c>
      <c r="K990" s="416"/>
      <c r="L990" s="416"/>
      <c r="M990" s="416"/>
      <c r="N990" s="416"/>
      <c r="O990" s="416"/>
      <c r="Q990" s="417"/>
      <c r="R990" s="417"/>
      <c r="S990" s="417"/>
      <c r="T990" s="417"/>
      <c r="U990" s="56"/>
      <c r="V990" s="416" t="str">
        <f>IF(C980="","","Etapa Vinculada:")</f>
        <v/>
      </c>
      <c r="W990" s="416"/>
      <c r="X990" s="416"/>
      <c r="Y990" s="416"/>
      <c r="Z990" s="416"/>
      <c r="AA990" s="416"/>
      <c r="AC990" s="417"/>
      <c r="AD990" s="417"/>
      <c r="AE990" s="417"/>
      <c r="AF990" s="417"/>
      <c r="AG990" s="56"/>
      <c r="AH990" s="56"/>
      <c r="AI990" s="56"/>
      <c r="AJ990" s="56"/>
      <c r="AK990" s="141"/>
      <c r="AL990" s="141"/>
      <c r="AM990" s="141"/>
      <c r="AN990" s="141"/>
      <c r="AO990" s="140"/>
      <c r="AP990" s="140"/>
      <c r="AQ990" s="140"/>
      <c r="AR990" s="140"/>
      <c r="AS990" s="142"/>
      <c r="AT990" s="142"/>
      <c r="AU990" s="142"/>
      <c r="AV990" s="142"/>
      <c r="AW990" s="140"/>
      <c r="AX990" s="140"/>
      <c r="AY990" s="140"/>
      <c r="AZ990" s="140"/>
      <c r="BA990" s="140"/>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c r="BY990" s="115"/>
      <c r="BZ990" s="115"/>
      <c r="CA990" s="115"/>
      <c r="CB990" s="115"/>
      <c r="CC990" s="115"/>
      <c r="CD990" s="115"/>
      <c r="CE990" s="115"/>
      <c r="CF990" s="115"/>
      <c r="CG990" s="115"/>
      <c r="CH990" s="115"/>
      <c r="CI990" s="115"/>
      <c r="CJ990" s="115"/>
      <c r="CK990" s="115"/>
      <c r="CL990" s="115"/>
      <c r="CM990" s="115"/>
      <c r="CN990" s="115"/>
      <c r="CO990" s="115"/>
      <c r="CP990" s="115"/>
      <c r="CQ990" s="115"/>
      <c r="CR990" s="115"/>
      <c r="CS990" s="115"/>
      <c r="CT990" s="115"/>
      <c r="CU990" s="115"/>
      <c r="CV990" s="115"/>
      <c r="CW990" s="115"/>
      <c r="CX990" s="115"/>
      <c r="CY990" s="115"/>
      <c r="CZ990" s="115"/>
      <c r="DA990" s="115"/>
      <c r="DB990" s="115"/>
      <c r="DC990" s="115"/>
      <c r="DD990" s="115"/>
      <c r="DE990" s="115"/>
      <c r="DF990" s="115"/>
      <c r="DG990" s="115"/>
    </row>
    <row r="991" spans="1:111" ht="9" customHeight="1">
      <c r="B991" s="55"/>
      <c r="C991" s="55"/>
      <c r="D991" s="56"/>
      <c r="E991" s="56"/>
      <c r="F991" s="56"/>
      <c r="G991" s="56"/>
      <c r="H991" s="56"/>
      <c r="I991" s="56"/>
      <c r="J991" s="416"/>
      <c r="K991" s="416"/>
      <c r="L991" s="416"/>
      <c r="M991" s="416"/>
      <c r="N991" s="416"/>
      <c r="O991" s="416"/>
      <c r="Q991" s="417"/>
      <c r="R991" s="417"/>
      <c r="S991" s="417"/>
      <c r="T991" s="417"/>
      <c r="U991" s="56"/>
      <c r="V991" s="416"/>
      <c r="W991" s="416"/>
      <c r="X991" s="416"/>
      <c r="Y991" s="416"/>
      <c r="Z991" s="416"/>
      <c r="AA991" s="416"/>
      <c r="AC991" s="417"/>
      <c r="AD991" s="417"/>
      <c r="AE991" s="417"/>
      <c r="AF991" s="417"/>
      <c r="AG991" s="56"/>
      <c r="AH991" s="56"/>
      <c r="AI991" s="56"/>
      <c r="AJ991" s="56"/>
      <c r="AK991" s="141"/>
      <c r="AL991" s="141"/>
      <c r="AM991" s="141"/>
      <c r="AN991" s="141"/>
      <c r="AO991" s="140"/>
      <c r="AP991" s="140"/>
      <c r="AQ991" s="140"/>
      <c r="AR991" s="140"/>
      <c r="AS991" s="142"/>
      <c r="AT991" s="142"/>
      <c r="AU991" s="142"/>
      <c r="AV991" s="142"/>
      <c r="AW991" s="140"/>
      <c r="AX991" s="140"/>
      <c r="AY991" s="140"/>
      <c r="AZ991" s="140"/>
      <c r="BA991" s="140"/>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c r="BY991" s="115"/>
      <c r="BZ991" s="115"/>
      <c r="CA991" s="115"/>
      <c r="CB991" s="115"/>
      <c r="CC991" s="115"/>
      <c r="CD991" s="115"/>
      <c r="CE991" s="115"/>
      <c r="CF991" s="115"/>
      <c r="CG991" s="115"/>
      <c r="CH991" s="115"/>
      <c r="CI991" s="115"/>
      <c r="CJ991" s="115"/>
      <c r="CK991" s="115"/>
      <c r="CL991" s="115"/>
      <c r="CM991" s="115"/>
      <c r="CN991" s="115"/>
      <c r="CO991" s="115"/>
      <c r="CP991" s="115"/>
      <c r="CQ991" s="115"/>
      <c r="CR991" s="115"/>
      <c r="CS991" s="115"/>
      <c r="CT991" s="115"/>
      <c r="CU991" s="115"/>
      <c r="CV991" s="115"/>
      <c r="CW991" s="115"/>
      <c r="CX991" s="115"/>
      <c r="CY991" s="115"/>
      <c r="CZ991" s="115"/>
      <c r="DA991" s="115"/>
      <c r="DB991" s="115"/>
      <c r="DC991" s="115"/>
      <c r="DD991" s="115"/>
      <c r="DE991" s="115"/>
      <c r="DF991" s="115"/>
      <c r="DG991" s="115"/>
    </row>
    <row r="992" spans="1:111" ht="9" customHeight="1">
      <c r="Q992" s="417"/>
      <c r="R992" s="417"/>
      <c r="S992" s="417"/>
      <c r="T992" s="417"/>
      <c r="AC992" s="417"/>
      <c r="AD992" s="417"/>
      <c r="AE992" s="417"/>
      <c r="AF992" s="417"/>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c r="BY992" s="115"/>
      <c r="BZ992" s="115"/>
      <c r="CA992" s="115"/>
      <c r="CB992" s="115"/>
      <c r="CC992" s="115"/>
      <c r="CD992" s="115"/>
      <c r="CE992" s="115"/>
      <c r="CF992" s="115"/>
      <c r="CG992" s="115"/>
      <c r="CH992" s="115"/>
      <c r="CI992" s="115"/>
      <c r="CJ992" s="115"/>
      <c r="CK992" s="115"/>
      <c r="CL992" s="115"/>
      <c r="CM992" s="115"/>
      <c r="CN992" s="115"/>
      <c r="CO992" s="115"/>
      <c r="CP992" s="115"/>
      <c r="CQ992" s="115"/>
      <c r="CR992" s="115"/>
      <c r="CS992" s="115"/>
      <c r="CT992" s="115"/>
      <c r="CU992" s="115"/>
      <c r="CV992" s="115"/>
      <c r="CW992" s="115"/>
      <c r="CX992" s="115"/>
      <c r="CY992" s="115"/>
      <c r="CZ992" s="115"/>
      <c r="DA992" s="115"/>
      <c r="DB992" s="115"/>
      <c r="DC992" s="115"/>
      <c r="DD992" s="115"/>
      <c r="DE992" s="115"/>
      <c r="DF992" s="115"/>
      <c r="DG992" s="115"/>
    </row>
    <row r="993" spans="1:111" ht="4.5" customHeight="1">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c r="BY993" s="115"/>
      <c r="BZ993" s="115"/>
      <c r="CA993" s="115"/>
      <c r="CB993" s="115"/>
      <c r="CC993" s="115"/>
      <c r="CD993" s="115"/>
      <c r="CE993" s="115"/>
      <c r="CF993" s="115"/>
      <c r="CG993" s="115"/>
      <c r="CH993" s="115"/>
      <c r="CI993" s="115"/>
      <c r="CJ993" s="115"/>
      <c r="CK993" s="115"/>
      <c r="CL993" s="115"/>
      <c r="CM993" s="115"/>
      <c r="CN993" s="115"/>
      <c r="CO993" s="115"/>
      <c r="CP993" s="115"/>
      <c r="CQ993" s="115"/>
      <c r="CR993" s="115"/>
      <c r="CS993" s="115"/>
      <c r="CT993" s="115"/>
      <c r="CU993" s="115"/>
      <c r="CV993" s="115"/>
      <c r="CW993" s="115"/>
      <c r="CX993" s="115"/>
      <c r="CY993" s="115"/>
      <c r="CZ993" s="115"/>
      <c r="DA993" s="115"/>
      <c r="DB993" s="115"/>
      <c r="DC993" s="115"/>
      <c r="DD993" s="115"/>
      <c r="DE993" s="115"/>
      <c r="DF993" s="115"/>
      <c r="DG993" s="115"/>
    </row>
    <row r="994" spans="1:111" ht="9" customHeight="1">
      <c r="A994" s="154"/>
      <c r="B994" s="154"/>
      <c r="C994" s="154"/>
      <c r="D994" s="154"/>
      <c r="E994" s="154"/>
      <c r="F994" s="154"/>
      <c r="G994" s="154"/>
      <c r="H994" s="154"/>
      <c r="I994" s="154"/>
      <c r="J994" s="416" t="str">
        <f>IF(C980="","","Quantidade:")</f>
        <v/>
      </c>
      <c r="K994" s="416"/>
      <c r="L994" s="416"/>
      <c r="M994" s="416"/>
      <c r="N994" s="416"/>
      <c r="O994" s="416"/>
      <c r="P994" s="154"/>
      <c r="Q994" s="417"/>
      <c r="R994" s="417"/>
      <c r="S994" s="417"/>
      <c r="T994" s="417"/>
      <c r="U994" s="154"/>
      <c r="V994" s="416" t="str">
        <f>IF(C980="","","Unidade:")</f>
        <v/>
      </c>
      <c r="W994" s="416"/>
      <c r="X994" s="416"/>
      <c r="Y994" s="416"/>
      <c r="Z994" s="416"/>
      <c r="AA994" s="416"/>
      <c r="AB994" s="154"/>
      <c r="AC994" s="418"/>
      <c r="AD994" s="418"/>
      <c r="AE994" s="418"/>
      <c r="AF994" s="418"/>
      <c r="AG994" s="418"/>
      <c r="AH994" s="418"/>
      <c r="AI994" s="418"/>
      <c r="AJ994" s="418"/>
      <c r="AK994" s="418"/>
      <c r="AL994" s="418"/>
      <c r="AM994" s="418"/>
      <c r="AN994" s="418"/>
      <c r="AO994" s="418"/>
      <c r="AP994" s="418"/>
      <c r="AQ994" s="418"/>
      <c r="AR994" s="418"/>
      <c r="AS994" s="418"/>
      <c r="AT994" s="418"/>
      <c r="AU994" s="418"/>
      <c r="AV994" s="418"/>
      <c r="AW994" s="418"/>
      <c r="AX994" s="418"/>
      <c r="AY994" s="418"/>
      <c r="AZ994" s="418"/>
      <c r="BA994" s="418"/>
      <c r="BB994" s="154"/>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c r="BY994" s="115"/>
      <c r="BZ994" s="115"/>
      <c r="CA994" s="115"/>
      <c r="CB994" s="115"/>
      <c r="CC994" s="115"/>
      <c r="CD994" s="115"/>
      <c r="CE994" s="115"/>
      <c r="CF994" s="115"/>
      <c r="CG994" s="115"/>
      <c r="CH994" s="115"/>
      <c r="CI994" s="115"/>
      <c r="CJ994" s="115"/>
      <c r="CK994" s="115"/>
      <c r="CL994" s="115"/>
      <c r="CM994" s="115"/>
      <c r="CN994" s="115"/>
      <c r="CO994" s="115"/>
      <c r="CP994" s="115"/>
      <c r="CQ994" s="115"/>
      <c r="CR994" s="115"/>
      <c r="CS994" s="115"/>
      <c r="CT994" s="115"/>
      <c r="CU994" s="115"/>
      <c r="CV994" s="115"/>
      <c r="CW994" s="115"/>
      <c r="CX994" s="115"/>
      <c r="CY994" s="115"/>
      <c r="CZ994" s="115"/>
      <c r="DA994" s="115"/>
      <c r="DB994" s="115"/>
      <c r="DC994" s="115"/>
      <c r="DD994" s="115"/>
      <c r="DE994" s="115"/>
      <c r="DF994" s="115"/>
      <c r="DG994" s="115"/>
    </row>
    <row r="995" spans="1:111" ht="9" customHeight="1">
      <c r="A995" s="154"/>
      <c r="B995" s="154"/>
      <c r="C995" s="154"/>
      <c r="D995" s="154"/>
      <c r="E995" s="154"/>
      <c r="F995" s="154"/>
      <c r="G995" s="154"/>
      <c r="H995" s="154"/>
      <c r="I995" s="154"/>
      <c r="J995" s="416"/>
      <c r="K995" s="416"/>
      <c r="L995" s="416"/>
      <c r="M995" s="416"/>
      <c r="N995" s="416"/>
      <c r="O995" s="416"/>
      <c r="P995" s="154"/>
      <c r="Q995" s="417"/>
      <c r="R995" s="417"/>
      <c r="S995" s="417"/>
      <c r="T995" s="417"/>
      <c r="U995" s="154"/>
      <c r="V995" s="416"/>
      <c r="W995" s="416"/>
      <c r="X995" s="416"/>
      <c r="Y995" s="416"/>
      <c r="Z995" s="416"/>
      <c r="AA995" s="416"/>
      <c r="AB995" s="154"/>
      <c r="AC995" s="418"/>
      <c r="AD995" s="418"/>
      <c r="AE995" s="418"/>
      <c r="AF995" s="418"/>
      <c r="AG995" s="418"/>
      <c r="AH995" s="418"/>
      <c r="AI995" s="418"/>
      <c r="AJ995" s="418"/>
      <c r="AK995" s="418"/>
      <c r="AL995" s="418"/>
      <c r="AM995" s="418"/>
      <c r="AN995" s="418"/>
      <c r="AO995" s="418"/>
      <c r="AP995" s="418"/>
      <c r="AQ995" s="418"/>
      <c r="AR995" s="418"/>
      <c r="AS995" s="418"/>
      <c r="AT995" s="418"/>
      <c r="AU995" s="418"/>
      <c r="AV995" s="418"/>
      <c r="AW995" s="418"/>
      <c r="AX995" s="418"/>
      <c r="AY995" s="418"/>
      <c r="AZ995" s="418"/>
      <c r="BA995" s="418"/>
      <c r="BB995" s="154"/>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c r="BY995" s="115"/>
      <c r="BZ995" s="115"/>
      <c r="CA995" s="115"/>
      <c r="CB995" s="115"/>
      <c r="CC995" s="115"/>
      <c r="CD995" s="115"/>
      <c r="CE995" s="115"/>
      <c r="CF995" s="115"/>
      <c r="CG995" s="115"/>
      <c r="CH995" s="115"/>
      <c r="CI995" s="115"/>
      <c r="CJ995" s="115"/>
      <c r="CK995" s="115"/>
      <c r="CL995" s="115"/>
      <c r="CM995" s="115"/>
      <c r="CN995" s="115"/>
      <c r="CO995" s="115"/>
      <c r="CP995" s="115"/>
      <c r="CQ995" s="115"/>
      <c r="CR995" s="115"/>
      <c r="CS995" s="115"/>
      <c r="CT995" s="115"/>
      <c r="CU995" s="115"/>
      <c r="CV995" s="115"/>
      <c r="CW995" s="115"/>
      <c r="CX995" s="115"/>
      <c r="CY995" s="115"/>
      <c r="CZ995" s="115"/>
      <c r="DA995" s="115"/>
      <c r="DB995" s="115"/>
      <c r="DC995" s="115"/>
      <c r="DD995" s="115"/>
      <c r="DE995" s="115"/>
      <c r="DF995" s="115"/>
      <c r="DG995" s="115"/>
    </row>
    <row r="996" spans="1:111" ht="9" customHeight="1">
      <c r="A996" s="154"/>
      <c r="B996" s="154"/>
      <c r="C996" s="154"/>
      <c r="D996" s="154"/>
      <c r="E996" s="154"/>
      <c r="F996" s="154"/>
      <c r="G996" s="154"/>
      <c r="H996" s="154"/>
      <c r="I996" s="154"/>
      <c r="J996" s="154"/>
      <c r="K996" s="154"/>
      <c r="L996" s="154"/>
      <c r="M996" s="154"/>
      <c r="N996" s="154"/>
      <c r="O996" s="154"/>
      <c r="P996" s="154"/>
      <c r="Q996" s="417"/>
      <c r="R996" s="417"/>
      <c r="S996" s="417"/>
      <c r="T996" s="417"/>
      <c r="U996" s="154"/>
      <c r="V996" s="154"/>
      <c r="W996" s="154"/>
      <c r="X996" s="154"/>
      <c r="Y996" s="154"/>
      <c r="Z996" s="154"/>
      <c r="AA996" s="154"/>
      <c r="AB996" s="154"/>
      <c r="AC996" s="418"/>
      <c r="AD996" s="418"/>
      <c r="AE996" s="418"/>
      <c r="AF996" s="418"/>
      <c r="AG996" s="418"/>
      <c r="AH996" s="418"/>
      <c r="AI996" s="418"/>
      <c r="AJ996" s="418"/>
      <c r="AK996" s="418"/>
      <c r="AL996" s="418"/>
      <c r="AM996" s="418"/>
      <c r="AN996" s="418"/>
      <c r="AO996" s="418"/>
      <c r="AP996" s="418"/>
      <c r="AQ996" s="418"/>
      <c r="AR996" s="418"/>
      <c r="AS996" s="418"/>
      <c r="AT996" s="418"/>
      <c r="AU996" s="418"/>
      <c r="AV996" s="418"/>
      <c r="AW996" s="418"/>
      <c r="AX996" s="418"/>
      <c r="AY996" s="418"/>
      <c r="AZ996" s="418"/>
      <c r="BA996" s="418"/>
      <c r="BB996" s="154"/>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c r="BY996" s="115"/>
      <c r="BZ996" s="115"/>
      <c r="CA996" s="115"/>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5"/>
      <c r="DD996" s="115"/>
      <c r="DE996" s="115"/>
      <c r="DF996" s="115"/>
      <c r="DG996" s="115"/>
    </row>
    <row r="997" spans="1:111" ht="4.5" customHeight="1">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c r="BY997" s="115"/>
      <c r="BZ997" s="115"/>
      <c r="CA997" s="115"/>
      <c r="CB997" s="115"/>
      <c r="CC997" s="115"/>
      <c r="CD997" s="115"/>
      <c r="CE997" s="115"/>
      <c r="CF997" s="115"/>
      <c r="CG997" s="115"/>
      <c r="CH997" s="115"/>
      <c r="CI997" s="115"/>
      <c r="CJ997" s="115"/>
      <c r="CK997" s="115"/>
      <c r="CL997" s="115"/>
      <c r="CM997" s="115"/>
      <c r="CN997" s="115"/>
      <c r="CO997" s="115"/>
      <c r="CP997" s="115"/>
      <c r="CQ997" s="115"/>
      <c r="CR997" s="115"/>
      <c r="CS997" s="115"/>
      <c r="CT997" s="115"/>
      <c r="CU997" s="115"/>
      <c r="CV997" s="115"/>
      <c r="CW997" s="115"/>
      <c r="CX997" s="115"/>
      <c r="CY997" s="115"/>
      <c r="CZ997" s="115"/>
      <c r="DA997" s="115"/>
      <c r="DB997" s="115"/>
      <c r="DC997" s="115"/>
      <c r="DD997" s="115"/>
      <c r="DE997" s="115"/>
      <c r="DF997" s="115"/>
      <c r="DG997" s="115"/>
    </row>
    <row r="998" spans="1:111" ht="9" customHeight="1">
      <c r="A998" s="154"/>
      <c r="B998" s="154"/>
      <c r="C998" s="154"/>
      <c r="D998" s="154"/>
      <c r="E998" s="154"/>
      <c r="F998" s="154"/>
      <c r="G998" s="154"/>
      <c r="H998" s="154"/>
      <c r="I998" s="154"/>
      <c r="J998" s="416" t="str">
        <f>IF(C980="","","Valor Unitário (R$):")</f>
        <v/>
      </c>
      <c r="K998" s="416"/>
      <c r="L998" s="416"/>
      <c r="M998" s="416"/>
      <c r="N998" s="416"/>
      <c r="O998" s="416"/>
      <c r="P998" s="154"/>
      <c r="Q998" s="419"/>
      <c r="R998" s="419"/>
      <c r="S998" s="419"/>
      <c r="T998" s="419"/>
      <c r="U998" s="419"/>
      <c r="V998" s="419"/>
      <c r="W998" s="419"/>
      <c r="X998" s="419"/>
      <c r="Y998" s="154"/>
      <c r="Z998" s="416" t="str">
        <f>IF(C980="","",IF(J986="52 Equipamentos e Material Permanente","Tempo de Uso:",""))</f>
        <v/>
      </c>
      <c r="AA998" s="416"/>
      <c r="AB998" s="416"/>
      <c r="AC998" s="416"/>
      <c r="AD998" s="416"/>
      <c r="AE998" s="416"/>
      <c r="AF998" s="154"/>
      <c r="AG998" s="420"/>
      <c r="AH998" s="420"/>
      <c r="AI998" s="420"/>
      <c r="AJ998" s="420"/>
      <c r="AK998" s="420"/>
      <c r="AL998" s="420"/>
      <c r="AM998" s="420"/>
      <c r="AN998" s="420"/>
      <c r="AO998" s="420"/>
      <c r="AP998" s="420"/>
      <c r="AQ998" s="420"/>
      <c r="AR998" s="420"/>
      <c r="AS998" s="420"/>
      <c r="AT998" s="420"/>
      <c r="AU998" s="420"/>
      <c r="AV998" s="420"/>
      <c r="AW998" s="420"/>
      <c r="AX998" s="420"/>
      <c r="AY998" s="420"/>
      <c r="AZ998" s="420"/>
      <c r="BA998" s="420"/>
      <c r="BB998" s="154"/>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c r="BY998" s="115"/>
      <c r="BZ998" s="115"/>
      <c r="CA998" s="115"/>
      <c r="CB998" s="115"/>
      <c r="CC998" s="115"/>
      <c r="CD998" s="115"/>
      <c r="CE998" s="115"/>
      <c r="CF998" s="115"/>
      <c r="CG998" s="115"/>
      <c r="CH998" s="115"/>
      <c r="CI998" s="115"/>
      <c r="CJ998" s="115"/>
      <c r="CK998" s="115"/>
      <c r="CL998" s="115"/>
      <c r="CM998" s="115"/>
      <c r="CN998" s="115"/>
      <c r="CO998" s="115"/>
      <c r="CP998" s="115"/>
      <c r="CQ998" s="115"/>
      <c r="CR998" s="115"/>
      <c r="CS998" s="115"/>
      <c r="CT998" s="115"/>
      <c r="CU998" s="115"/>
      <c r="CV998" s="115"/>
      <c r="CW998" s="115"/>
      <c r="CX998" s="115"/>
      <c r="CY998" s="115"/>
      <c r="CZ998" s="115"/>
      <c r="DA998" s="115"/>
      <c r="DB998" s="115"/>
      <c r="DC998" s="115"/>
      <c r="DD998" s="115"/>
      <c r="DE998" s="115"/>
      <c r="DF998" s="115"/>
      <c r="DG998" s="115"/>
    </row>
    <row r="999" spans="1:111" ht="9" customHeight="1">
      <c r="A999" s="154"/>
      <c r="B999" s="154"/>
      <c r="C999" s="154"/>
      <c r="D999" s="154"/>
      <c r="E999" s="154"/>
      <c r="F999" s="154"/>
      <c r="G999" s="154"/>
      <c r="H999" s="154"/>
      <c r="I999" s="154"/>
      <c r="J999" s="416"/>
      <c r="K999" s="416"/>
      <c r="L999" s="416"/>
      <c r="M999" s="416"/>
      <c r="N999" s="416"/>
      <c r="O999" s="416"/>
      <c r="P999" s="154"/>
      <c r="Q999" s="419"/>
      <c r="R999" s="419"/>
      <c r="S999" s="419"/>
      <c r="T999" s="419"/>
      <c r="U999" s="419"/>
      <c r="V999" s="419"/>
      <c r="W999" s="419"/>
      <c r="X999" s="419"/>
      <c r="Y999" s="154"/>
      <c r="Z999" s="416"/>
      <c r="AA999" s="416"/>
      <c r="AB999" s="416"/>
      <c r="AC999" s="416"/>
      <c r="AD999" s="416"/>
      <c r="AE999" s="416"/>
      <c r="AF999" s="154"/>
      <c r="AG999" s="420"/>
      <c r="AH999" s="420"/>
      <c r="AI999" s="420"/>
      <c r="AJ999" s="420"/>
      <c r="AK999" s="420"/>
      <c r="AL999" s="420"/>
      <c r="AM999" s="420"/>
      <c r="AN999" s="420"/>
      <c r="AO999" s="420"/>
      <c r="AP999" s="420"/>
      <c r="AQ999" s="420"/>
      <c r="AR999" s="420"/>
      <c r="AS999" s="420"/>
      <c r="AT999" s="420"/>
      <c r="AU999" s="420"/>
      <c r="AV999" s="420"/>
      <c r="AW999" s="420"/>
      <c r="AX999" s="420"/>
      <c r="AY999" s="420"/>
      <c r="AZ999" s="420"/>
      <c r="BA999" s="420"/>
      <c r="BB999" s="154"/>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c r="BY999" s="115"/>
      <c r="BZ999" s="115"/>
      <c r="CA999" s="115"/>
      <c r="CB999" s="115"/>
      <c r="CC999" s="115"/>
      <c r="CD999" s="115"/>
      <c r="CE999" s="115"/>
      <c r="CF999" s="115"/>
      <c r="CG999" s="115"/>
      <c r="CH999" s="115"/>
      <c r="CI999" s="115"/>
      <c r="CJ999" s="115"/>
      <c r="CK999" s="115"/>
      <c r="CL999" s="115"/>
      <c r="CM999" s="115"/>
      <c r="CN999" s="115"/>
      <c r="CO999" s="115"/>
      <c r="CP999" s="115"/>
      <c r="CQ999" s="115"/>
      <c r="CR999" s="115"/>
      <c r="CS999" s="115"/>
      <c r="CT999" s="115"/>
      <c r="CU999" s="115"/>
      <c r="CV999" s="115"/>
      <c r="CW999" s="115"/>
      <c r="CX999" s="115"/>
      <c r="CY999" s="115"/>
      <c r="CZ999" s="115"/>
      <c r="DA999" s="115"/>
      <c r="DB999" s="115"/>
      <c r="DC999" s="115"/>
      <c r="DD999" s="115"/>
      <c r="DE999" s="115"/>
      <c r="DF999" s="115"/>
      <c r="DG999" s="115"/>
    </row>
    <row r="1000" spans="1:111" ht="9" customHeight="1">
      <c r="A1000" s="154"/>
      <c r="B1000" s="154"/>
      <c r="C1000" s="154"/>
      <c r="D1000" s="154"/>
      <c r="E1000" s="154"/>
      <c r="F1000" s="154"/>
      <c r="G1000" s="154"/>
      <c r="H1000" s="154"/>
      <c r="I1000" s="154"/>
      <c r="J1000" s="154"/>
      <c r="K1000" s="154"/>
      <c r="L1000" s="154"/>
      <c r="M1000" s="154"/>
      <c r="N1000" s="154"/>
      <c r="O1000" s="154"/>
      <c r="P1000" s="154"/>
      <c r="Q1000" s="419"/>
      <c r="R1000" s="419"/>
      <c r="S1000" s="419"/>
      <c r="T1000" s="419"/>
      <c r="U1000" s="419"/>
      <c r="V1000" s="419"/>
      <c r="W1000" s="419"/>
      <c r="X1000" s="419"/>
      <c r="Y1000" s="154"/>
      <c r="Z1000" s="154"/>
      <c r="AA1000" s="154"/>
      <c r="AB1000" s="154"/>
      <c r="AC1000" s="154"/>
      <c r="AD1000" s="154"/>
      <c r="AE1000" s="154"/>
      <c r="AF1000" s="154"/>
      <c r="AG1000" s="420"/>
      <c r="AH1000" s="420"/>
      <c r="AI1000" s="420"/>
      <c r="AJ1000" s="420"/>
      <c r="AK1000" s="420"/>
      <c r="AL1000" s="420"/>
      <c r="AM1000" s="420"/>
      <c r="AN1000" s="420"/>
      <c r="AO1000" s="420"/>
      <c r="AP1000" s="420"/>
      <c r="AQ1000" s="420"/>
      <c r="AR1000" s="420"/>
      <c r="AS1000" s="420"/>
      <c r="AT1000" s="420"/>
      <c r="AU1000" s="420"/>
      <c r="AV1000" s="420"/>
      <c r="AW1000" s="420"/>
      <c r="AX1000" s="420"/>
      <c r="AY1000" s="420"/>
      <c r="AZ1000" s="420"/>
      <c r="BA1000" s="420"/>
      <c r="BB1000" s="154"/>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c r="BY1000" s="115"/>
      <c r="BZ1000" s="115"/>
      <c r="CA1000" s="115"/>
      <c r="CB1000" s="115"/>
      <c r="CC1000" s="115"/>
      <c r="CD1000" s="115"/>
      <c r="CE1000" s="115"/>
      <c r="CF1000" s="115"/>
      <c r="CG1000" s="115"/>
      <c r="CH1000" s="115"/>
      <c r="CI1000" s="115"/>
      <c r="CJ1000" s="115"/>
      <c r="CK1000" s="115"/>
      <c r="CL1000" s="115"/>
      <c r="CM1000" s="115"/>
      <c r="CN1000" s="115"/>
      <c r="CO1000" s="115"/>
      <c r="CP1000" s="115"/>
      <c r="CQ1000" s="115"/>
      <c r="CR1000" s="115"/>
      <c r="CS1000" s="115"/>
      <c r="CT1000" s="115"/>
      <c r="CU1000" s="115"/>
      <c r="CV1000" s="115"/>
      <c r="CW1000" s="115"/>
      <c r="CX1000" s="115"/>
      <c r="CY1000" s="115"/>
      <c r="CZ1000" s="115"/>
      <c r="DA1000" s="115"/>
      <c r="DB1000" s="115"/>
      <c r="DC1000" s="115"/>
      <c r="DD1000" s="115"/>
      <c r="DE1000" s="115"/>
      <c r="DF1000" s="115"/>
      <c r="DG1000" s="115"/>
    </row>
    <row r="1001" spans="1:111" ht="4.5" customHeight="1">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c r="BY1001" s="115"/>
      <c r="BZ1001" s="115"/>
      <c r="CA1001" s="115"/>
      <c r="CB1001" s="115"/>
      <c r="CC1001" s="115"/>
      <c r="CD1001" s="115"/>
      <c r="CE1001" s="115"/>
      <c r="CF1001" s="115"/>
      <c r="CG1001" s="115"/>
      <c r="CH1001" s="115"/>
      <c r="CI1001" s="115"/>
      <c r="CJ1001" s="115"/>
      <c r="CK1001" s="115"/>
      <c r="CL1001" s="115"/>
      <c r="CM1001" s="115"/>
      <c r="CN1001" s="115"/>
      <c r="CO1001" s="115"/>
      <c r="CP1001" s="115"/>
      <c r="CQ1001" s="115"/>
      <c r="CR1001" s="115"/>
      <c r="CS1001" s="115"/>
      <c r="CT1001" s="115"/>
      <c r="CU1001" s="115"/>
      <c r="CV1001" s="115"/>
      <c r="CW1001" s="115"/>
      <c r="CX1001" s="115"/>
      <c r="CY1001" s="115"/>
      <c r="CZ1001" s="115"/>
      <c r="DA1001" s="115"/>
      <c r="DB1001" s="115"/>
      <c r="DC1001" s="115"/>
      <c r="DD1001" s="115"/>
      <c r="DE1001" s="115"/>
      <c r="DF1001" s="115"/>
      <c r="DG1001" s="115"/>
    </row>
    <row r="1002" spans="1:111" ht="9" customHeight="1">
      <c r="A1002" s="154"/>
      <c r="B1002" s="154"/>
      <c r="C1002" s="154"/>
      <c r="D1002" s="154"/>
      <c r="E1002" s="154"/>
      <c r="F1002" s="154"/>
      <c r="G1002" s="154"/>
      <c r="H1002" s="154"/>
      <c r="I1002" s="154"/>
      <c r="J1002" s="416" t="str">
        <f>IF(C980="","","Valor Total (R$):")</f>
        <v/>
      </c>
      <c r="K1002" s="416"/>
      <c r="L1002" s="416"/>
      <c r="M1002" s="416"/>
      <c r="N1002" s="416"/>
      <c r="O1002" s="416"/>
      <c r="P1002" s="154"/>
      <c r="Q1002" s="419" t="str">
        <f>IF(Q998="","",Q994*Q998)</f>
        <v/>
      </c>
      <c r="R1002" s="419"/>
      <c r="S1002" s="419"/>
      <c r="T1002" s="419"/>
      <c r="U1002" s="419"/>
      <c r="V1002" s="419"/>
      <c r="W1002" s="419"/>
      <c r="X1002" s="419"/>
      <c r="Y1002" s="154"/>
      <c r="Z1002" s="416" t="str">
        <f>IF(C980="","",IF(J986="52 Equipamentos e Material Permanente","Justificativa e Utilização:",""))</f>
        <v/>
      </c>
      <c r="AA1002" s="416"/>
      <c r="AB1002" s="416"/>
      <c r="AC1002" s="416"/>
      <c r="AD1002" s="416"/>
      <c r="AE1002" s="416"/>
      <c r="AF1002" s="154"/>
      <c r="AG1002" s="420"/>
      <c r="AH1002" s="420"/>
      <c r="AI1002" s="420"/>
      <c r="AJ1002" s="420"/>
      <c r="AK1002" s="420"/>
      <c r="AL1002" s="420"/>
      <c r="AM1002" s="420"/>
      <c r="AN1002" s="420"/>
      <c r="AO1002" s="420"/>
      <c r="AP1002" s="420"/>
      <c r="AQ1002" s="420"/>
      <c r="AR1002" s="420"/>
      <c r="AS1002" s="420"/>
      <c r="AT1002" s="420"/>
      <c r="AU1002" s="420"/>
      <c r="AV1002" s="420"/>
      <c r="AW1002" s="420"/>
      <c r="AX1002" s="420"/>
      <c r="AY1002" s="420"/>
      <c r="AZ1002" s="420"/>
      <c r="BA1002" s="420"/>
      <c r="BB1002" s="154"/>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c r="BY1002" s="115"/>
      <c r="BZ1002" s="115"/>
      <c r="CA1002" s="115"/>
      <c r="CB1002" s="115"/>
      <c r="CC1002" s="115"/>
      <c r="CD1002" s="115"/>
      <c r="CE1002" s="115"/>
      <c r="CF1002" s="115"/>
      <c r="CG1002" s="115"/>
      <c r="CH1002" s="115"/>
      <c r="CI1002" s="115"/>
      <c r="CJ1002" s="115"/>
      <c r="CK1002" s="115"/>
      <c r="CL1002" s="115"/>
      <c r="CM1002" s="115"/>
      <c r="CN1002" s="115"/>
      <c r="CO1002" s="115"/>
      <c r="CP1002" s="115"/>
      <c r="CQ1002" s="115"/>
      <c r="CR1002" s="115"/>
      <c r="CS1002" s="115"/>
      <c r="CT1002" s="115"/>
      <c r="CU1002" s="115"/>
      <c r="CV1002" s="115"/>
      <c r="CW1002" s="115"/>
      <c r="CX1002" s="115"/>
      <c r="CY1002" s="115"/>
      <c r="CZ1002" s="115"/>
      <c r="DA1002" s="115"/>
      <c r="DB1002" s="115"/>
      <c r="DC1002" s="115"/>
      <c r="DD1002" s="115"/>
      <c r="DE1002" s="115"/>
      <c r="DF1002" s="115"/>
      <c r="DG1002" s="115"/>
    </row>
    <row r="1003" spans="1:111" ht="9" customHeight="1">
      <c r="A1003" s="154"/>
      <c r="B1003" s="154"/>
      <c r="C1003" s="154"/>
      <c r="D1003" s="154"/>
      <c r="E1003" s="154"/>
      <c r="F1003" s="154"/>
      <c r="G1003" s="154"/>
      <c r="H1003" s="154"/>
      <c r="I1003" s="154"/>
      <c r="J1003" s="416"/>
      <c r="K1003" s="416"/>
      <c r="L1003" s="416"/>
      <c r="M1003" s="416"/>
      <c r="N1003" s="416"/>
      <c r="O1003" s="416"/>
      <c r="P1003" s="154"/>
      <c r="Q1003" s="419"/>
      <c r="R1003" s="419"/>
      <c r="S1003" s="419"/>
      <c r="T1003" s="419"/>
      <c r="U1003" s="419"/>
      <c r="V1003" s="419"/>
      <c r="W1003" s="419"/>
      <c r="X1003" s="419"/>
      <c r="Y1003" s="154"/>
      <c r="Z1003" s="416"/>
      <c r="AA1003" s="416"/>
      <c r="AB1003" s="416"/>
      <c r="AC1003" s="416"/>
      <c r="AD1003" s="416"/>
      <c r="AE1003" s="416"/>
      <c r="AF1003" s="154"/>
      <c r="AG1003" s="420"/>
      <c r="AH1003" s="420"/>
      <c r="AI1003" s="420"/>
      <c r="AJ1003" s="420"/>
      <c r="AK1003" s="420"/>
      <c r="AL1003" s="420"/>
      <c r="AM1003" s="420"/>
      <c r="AN1003" s="420"/>
      <c r="AO1003" s="420"/>
      <c r="AP1003" s="420"/>
      <c r="AQ1003" s="420"/>
      <c r="AR1003" s="420"/>
      <c r="AS1003" s="420"/>
      <c r="AT1003" s="420"/>
      <c r="AU1003" s="420"/>
      <c r="AV1003" s="420"/>
      <c r="AW1003" s="420"/>
      <c r="AX1003" s="420"/>
      <c r="AY1003" s="420"/>
      <c r="AZ1003" s="420"/>
      <c r="BA1003" s="420"/>
      <c r="BB1003" s="154"/>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c r="BY1003" s="115"/>
      <c r="BZ1003" s="115"/>
      <c r="CA1003" s="115"/>
      <c r="CB1003" s="115"/>
      <c r="CC1003" s="115"/>
      <c r="CD1003" s="115"/>
      <c r="CE1003" s="115"/>
      <c r="CF1003" s="115"/>
      <c r="CG1003" s="115"/>
      <c r="CH1003" s="115"/>
      <c r="CI1003" s="115"/>
      <c r="CJ1003" s="115"/>
      <c r="CK1003" s="115"/>
      <c r="CL1003" s="115"/>
      <c r="CM1003" s="115"/>
      <c r="CN1003" s="115"/>
      <c r="CO1003" s="115"/>
      <c r="CP1003" s="115"/>
      <c r="CQ1003" s="115"/>
      <c r="CR1003" s="115"/>
      <c r="CS1003" s="115"/>
      <c r="CT1003" s="115"/>
      <c r="CU1003" s="115"/>
      <c r="CV1003" s="115"/>
      <c r="CW1003" s="115"/>
      <c r="CX1003" s="115"/>
      <c r="CY1003" s="115"/>
      <c r="CZ1003" s="115"/>
      <c r="DA1003" s="115"/>
      <c r="DB1003" s="115"/>
      <c r="DC1003" s="115"/>
      <c r="DD1003" s="115"/>
      <c r="DE1003" s="115"/>
      <c r="DF1003" s="115"/>
      <c r="DG1003" s="115"/>
    </row>
    <row r="1004" spans="1:111" ht="9" customHeight="1">
      <c r="A1004" s="154"/>
      <c r="B1004" s="154"/>
      <c r="C1004" s="154"/>
      <c r="D1004" s="154"/>
      <c r="E1004" s="154"/>
      <c r="F1004" s="154"/>
      <c r="G1004" s="154"/>
      <c r="H1004" s="154"/>
      <c r="I1004" s="154"/>
      <c r="J1004" s="154"/>
      <c r="K1004" s="154"/>
      <c r="L1004" s="154"/>
      <c r="M1004" s="154"/>
      <c r="N1004" s="154"/>
      <c r="O1004" s="154"/>
      <c r="P1004" s="154"/>
      <c r="Q1004" s="419"/>
      <c r="R1004" s="419"/>
      <c r="S1004" s="419"/>
      <c r="T1004" s="419"/>
      <c r="U1004" s="419"/>
      <c r="V1004" s="419"/>
      <c r="W1004" s="419"/>
      <c r="X1004" s="419"/>
      <c r="Y1004" s="154"/>
      <c r="Z1004" s="154"/>
      <c r="AA1004" s="154"/>
      <c r="AB1004" s="154"/>
      <c r="AC1004" s="154"/>
      <c r="AD1004" s="154"/>
      <c r="AE1004" s="154"/>
      <c r="AF1004" s="154"/>
      <c r="AG1004" s="420"/>
      <c r="AH1004" s="420"/>
      <c r="AI1004" s="420"/>
      <c r="AJ1004" s="420"/>
      <c r="AK1004" s="420"/>
      <c r="AL1004" s="420"/>
      <c r="AM1004" s="420"/>
      <c r="AN1004" s="420"/>
      <c r="AO1004" s="420"/>
      <c r="AP1004" s="420"/>
      <c r="AQ1004" s="420"/>
      <c r="AR1004" s="420"/>
      <c r="AS1004" s="420"/>
      <c r="AT1004" s="420"/>
      <c r="AU1004" s="420"/>
      <c r="AV1004" s="420"/>
      <c r="AW1004" s="420"/>
      <c r="AX1004" s="420"/>
      <c r="AY1004" s="420"/>
      <c r="AZ1004" s="420"/>
      <c r="BA1004" s="420"/>
      <c r="BB1004" s="154"/>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c r="BY1004" s="115"/>
      <c r="BZ1004" s="115"/>
      <c r="CA1004" s="115"/>
      <c r="CB1004" s="115"/>
      <c r="CC1004" s="115"/>
      <c r="CD1004" s="115"/>
      <c r="CE1004" s="115"/>
      <c r="CF1004" s="115"/>
      <c r="CG1004" s="115"/>
      <c r="CH1004" s="115"/>
      <c r="CI1004" s="115"/>
      <c r="CJ1004" s="115"/>
      <c r="CK1004" s="115"/>
      <c r="CL1004" s="115"/>
      <c r="CM1004" s="115"/>
      <c r="CN1004" s="115"/>
      <c r="CO1004" s="115"/>
      <c r="CP1004" s="115"/>
      <c r="CQ1004" s="115"/>
      <c r="CR1004" s="115"/>
      <c r="CS1004" s="115"/>
      <c r="CT1004" s="115"/>
      <c r="CU1004" s="115"/>
      <c r="CV1004" s="115"/>
      <c r="CW1004" s="115"/>
      <c r="CX1004" s="115"/>
      <c r="CY1004" s="115"/>
      <c r="CZ1004" s="115"/>
      <c r="DA1004" s="115"/>
      <c r="DB1004" s="115"/>
      <c r="DC1004" s="115"/>
      <c r="DD1004" s="115"/>
      <c r="DE1004" s="115"/>
      <c r="DF1004" s="115"/>
      <c r="DG1004" s="115"/>
    </row>
    <row r="1005" spans="1:111" ht="9" customHeight="1">
      <c r="A1005" s="154"/>
      <c r="B1005" s="154"/>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420"/>
      <c r="AH1005" s="420"/>
      <c r="AI1005" s="420"/>
      <c r="AJ1005" s="420"/>
      <c r="AK1005" s="420"/>
      <c r="AL1005" s="420"/>
      <c r="AM1005" s="420"/>
      <c r="AN1005" s="420"/>
      <c r="AO1005" s="420"/>
      <c r="AP1005" s="420"/>
      <c r="AQ1005" s="420"/>
      <c r="AR1005" s="420"/>
      <c r="AS1005" s="420"/>
      <c r="AT1005" s="420"/>
      <c r="AU1005" s="420"/>
      <c r="AV1005" s="420"/>
      <c r="AW1005" s="420"/>
      <c r="AX1005" s="420"/>
      <c r="AY1005" s="420"/>
      <c r="AZ1005" s="420"/>
      <c r="BA1005" s="420"/>
      <c r="BB1005" s="154"/>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c r="BY1005" s="115"/>
      <c r="BZ1005" s="115"/>
      <c r="CA1005" s="115"/>
      <c r="CB1005" s="115"/>
      <c r="CC1005" s="115"/>
      <c r="CD1005" s="115"/>
      <c r="CE1005" s="115"/>
      <c r="CF1005" s="115"/>
      <c r="CG1005" s="115"/>
      <c r="CH1005" s="115"/>
      <c r="CI1005" s="115"/>
      <c r="CJ1005" s="115"/>
      <c r="CK1005" s="115"/>
      <c r="CL1005" s="115"/>
      <c r="CM1005" s="115"/>
      <c r="CN1005" s="115"/>
      <c r="CO1005" s="115"/>
      <c r="CP1005" s="115"/>
      <c r="CQ1005" s="115"/>
      <c r="CR1005" s="115"/>
      <c r="CS1005" s="115"/>
      <c r="CT1005" s="115"/>
      <c r="CU1005" s="115"/>
      <c r="CV1005" s="115"/>
      <c r="CW1005" s="115"/>
      <c r="CX1005" s="115"/>
      <c r="CY1005" s="115"/>
      <c r="CZ1005" s="115"/>
      <c r="DA1005" s="115"/>
      <c r="DB1005" s="115"/>
      <c r="DC1005" s="115"/>
      <c r="DD1005" s="115"/>
      <c r="DE1005" s="115"/>
      <c r="DF1005" s="115"/>
      <c r="DG1005" s="115"/>
    </row>
    <row r="1006" spans="1:111" ht="9" customHeight="1">
      <c r="A1006" s="154"/>
      <c r="B1006" s="154"/>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420"/>
      <c r="AH1006" s="420"/>
      <c r="AI1006" s="420"/>
      <c r="AJ1006" s="420"/>
      <c r="AK1006" s="420"/>
      <c r="AL1006" s="420"/>
      <c r="AM1006" s="420"/>
      <c r="AN1006" s="420"/>
      <c r="AO1006" s="420"/>
      <c r="AP1006" s="420"/>
      <c r="AQ1006" s="420"/>
      <c r="AR1006" s="420"/>
      <c r="AS1006" s="420"/>
      <c r="AT1006" s="420"/>
      <c r="AU1006" s="420"/>
      <c r="AV1006" s="420"/>
      <c r="AW1006" s="420"/>
      <c r="AX1006" s="420"/>
      <c r="AY1006" s="420"/>
      <c r="AZ1006" s="420"/>
      <c r="BA1006" s="420"/>
      <c r="BB1006" s="154"/>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c r="BY1006" s="115"/>
      <c r="BZ1006" s="115"/>
      <c r="CA1006" s="115"/>
      <c r="CB1006" s="115"/>
      <c r="CC1006" s="115"/>
      <c r="CD1006" s="115"/>
      <c r="CE1006" s="115"/>
      <c r="CF1006" s="115"/>
      <c r="CG1006" s="115"/>
      <c r="CH1006" s="115"/>
      <c r="CI1006" s="115"/>
      <c r="CJ1006" s="115"/>
      <c r="CK1006" s="115"/>
      <c r="CL1006" s="115"/>
      <c r="CM1006" s="115"/>
      <c r="CN1006" s="115"/>
      <c r="CO1006" s="115"/>
      <c r="CP1006" s="115"/>
      <c r="CQ1006" s="115"/>
      <c r="CR1006" s="115"/>
      <c r="CS1006" s="115"/>
      <c r="CT1006" s="115"/>
      <c r="CU1006" s="115"/>
      <c r="CV1006" s="115"/>
      <c r="CW1006" s="115"/>
      <c r="CX1006" s="115"/>
      <c r="CY1006" s="115"/>
      <c r="CZ1006" s="115"/>
      <c r="DA1006" s="115"/>
      <c r="DB1006" s="115"/>
      <c r="DC1006" s="115"/>
      <c r="DD1006" s="115"/>
      <c r="DE1006" s="115"/>
      <c r="DF1006" s="115"/>
      <c r="DG1006" s="115"/>
    </row>
    <row r="1007" spans="1:111" ht="9" customHeight="1">
      <c r="A1007" s="154"/>
      <c r="B1007" s="154"/>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420"/>
      <c r="AH1007" s="420"/>
      <c r="AI1007" s="420"/>
      <c r="AJ1007" s="420"/>
      <c r="AK1007" s="420"/>
      <c r="AL1007" s="420"/>
      <c r="AM1007" s="420"/>
      <c r="AN1007" s="420"/>
      <c r="AO1007" s="420"/>
      <c r="AP1007" s="420"/>
      <c r="AQ1007" s="420"/>
      <c r="AR1007" s="420"/>
      <c r="AS1007" s="420"/>
      <c r="AT1007" s="420"/>
      <c r="AU1007" s="420"/>
      <c r="AV1007" s="420"/>
      <c r="AW1007" s="420"/>
      <c r="AX1007" s="420"/>
      <c r="AY1007" s="420"/>
      <c r="AZ1007" s="420"/>
      <c r="BA1007" s="420"/>
      <c r="BB1007" s="154"/>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c r="BY1007" s="115"/>
      <c r="BZ1007" s="115"/>
      <c r="CA1007" s="115"/>
      <c r="CB1007" s="115"/>
      <c r="CC1007" s="115"/>
      <c r="CD1007" s="115"/>
      <c r="CE1007" s="115"/>
      <c r="CF1007" s="115"/>
      <c r="CG1007" s="115"/>
      <c r="CH1007" s="115"/>
      <c r="CI1007" s="115"/>
      <c r="CJ1007" s="115"/>
      <c r="CK1007" s="115"/>
      <c r="CL1007" s="115"/>
      <c r="CM1007" s="115"/>
      <c r="CN1007" s="115"/>
      <c r="CO1007" s="115"/>
      <c r="CP1007" s="115"/>
      <c r="CQ1007" s="115"/>
      <c r="CR1007" s="115"/>
      <c r="CS1007" s="115"/>
      <c r="CT1007" s="115"/>
      <c r="CU1007" s="115"/>
      <c r="CV1007" s="115"/>
      <c r="CW1007" s="115"/>
      <c r="CX1007" s="115"/>
      <c r="CY1007" s="115"/>
      <c r="CZ1007" s="115"/>
      <c r="DA1007" s="115"/>
      <c r="DB1007" s="115"/>
      <c r="DC1007" s="115"/>
      <c r="DD1007" s="115"/>
      <c r="DE1007" s="115"/>
      <c r="DF1007" s="115"/>
      <c r="DG1007" s="115"/>
    </row>
    <row r="1008" spans="1:111" ht="15" customHeight="1">
      <c r="B1008" s="55"/>
      <c r="C1008" s="55"/>
      <c r="D1008" s="56"/>
      <c r="E1008" s="56"/>
      <c r="F1008" s="56"/>
      <c r="G1008" s="56"/>
      <c r="H1008" s="56"/>
      <c r="I1008" s="56"/>
      <c r="J1008" s="56"/>
      <c r="K1008" s="56"/>
      <c r="L1008" s="56"/>
      <c r="M1008" s="56"/>
      <c r="N1008" s="56"/>
      <c r="O1008" s="56"/>
      <c r="P1008" s="56"/>
      <c r="Q1008" s="56"/>
      <c r="R1008" s="56"/>
      <c r="S1008" s="56"/>
      <c r="T1008" s="56"/>
      <c r="U1008" s="56"/>
      <c r="V1008" s="56"/>
      <c r="W1008" s="56"/>
      <c r="X1008" s="56"/>
      <c r="Y1008" s="56"/>
      <c r="Z1008" s="56"/>
      <c r="AA1008" s="56"/>
      <c r="AB1008" s="56"/>
      <c r="AC1008" s="56"/>
      <c r="AD1008" s="56"/>
      <c r="AE1008" s="56"/>
      <c r="AF1008" s="56"/>
      <c r="AG1008" s="56"/>
      <c r="AH1008" s="56"/>
      <c r="AI1008" s="56"/>
      <c r="AJ1008" s="56"/>
      <c r="AK1008" s="141"/>
      <c r="AL1008" s="141"/>
      <c r="AM1008" s="141"/>
      <c r="AN1008" s="141"/>
      <c r="AO1008" s="140"/>
      <c r="AP1008" s="140"/>
      <c r="AQ1008" s="140"/>
      <c r="AR1008" s="140"/>
      <c r="AS1008" s="142"/>
      <c r="AT1008" s="142"/>
      <c r="AU1008" s="142"/>
      <c r="AV1008" s="142"/>
      <c r="AW1008" s="140"/>
      <c r="AX1008" s="140"/>
      <c r="AY1008" s="140"/>
      <c r="AZ1008" s="140"/>
      <c r="BA1008" s="140"/>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c r="BY1008" s="115"/>
      <c r="BZ1008" s="115"/>
      <c r="CA1008" s="115"/>
      <c r="CB1008" s="115"/>
      <c r="CC1008" s="115"/>
      <c r="CD1008" s="115"/>
      <c r="CE1008" s="115"/>
      <c r="CF1008" s="115"/>
      <c r="CG1008" s="115"/>
      <c r="CH1008" s="115"/>
      <c r="CI1008" s="115"/>
      <c r="CJ1008" s="115"/>
      <c r="CK1008" s="115"/>
      <c r="CL1008" s="115"/>
      <c r="CM1008" s="115"/>
      <c r="CN1008" s="115"/>
      <c r="CO1008" s="115"/>
      <c r="CP1008" s="115"/>
      <c r="CQ1008" s="115"/>
      <c r="CR1008" s="115"/>
      <c r="CS1008" s="115"/>
      <c r="CT1008" s="115"/>
      <c r="CU1008" s="115"/>
      <c r="CV1008" s="115"/>
      <c r="CW1008" s="115"/>
      <c r="CX1008" s="115"/>
      <c r="CY1008" s="115"/>
      <c r="CZ1008" s="115"/>
      <c r="DA1008" s="115"/>
      <c r="DB1008" s="115"/>
      <c r="DC1008" s="115"/>
      <c r="DD1008" s="115"/>
      <c r="DE1008" s="115"/>
      <c r="DF1008" s="115"/>
      <c r="DG1008" s="115"/>
    </row>
    <row r="1009" spans="1:111" ht="15" customHeight="1">
      <c r="B1009" s="55"/>
      <c r="C1009" s="422" t="str">
        <f>IF($AA$165&gt;=30,"DESPESA 30","")</f>
        <v/>
      </c>
      <c r="D1009" s="422"/>
      <c r="E1009" s="422"/>
      <c r="F1009" s="422"/>
      <c r="G1009" s="422"/>
      <c r="H1009" s="422"/>
      <c r="I1009" s="56"/>
      <c r="J1009" s="56"/>
      <c r="K1009" s="56"/>
      <c r="L1009" s="56"/>
      <c r="M1009" s="56"/>
      <c r="N1009" s="56"/>
      <c r="O1009" s="56"/>
      <c r="P1009" s="56"/>
      <c r="Q1009" s="56"/>
      <c r="R1009" s="56"/>
      <c r="S1009" s="56"/>
      <c r="T1009" s="56"/>
      <c r="U1009" s="56"/>
      <c r="V1009" s="56"/>
      <c r="W1009" s="56"/>
      <c r="X1009" s="56"/>
      <c r="Y1009" s="56"/>
      <c r="Z1009" s="56"/>
      <c r="AA1009" s="56"/>
      <c r="AB1009" s="56"/>
      <c r="AC1009" s="56"/>
      <c r="AD1009" s="56"/>
      <c r="AE1009" s="56"/>
      <c r="AF1009" s="56"/>
      <c r="AG1009" s="56"/>
      <c r="AH1009" s="56"/>
      <c r="AI1009" s="56"/>
      <c r="AJ1009" s="56"/>
      <c r="AK1009" s="141"/>
      <c r="AL1009" s="141"/>
      <c r="AM1009" s="141"/>
      <c r="AN1009" s="141"/>
      <c r="AO1009" s="140"/>
      <c r="AP1009" s="140"/>
      <c r="AQ1009" s="140"/>
      <c r="AR1009" s="140"/>
      <c r="AS1009" s="142"/>
      <c r="AT1009" s="142"/>
      <c r="AU1009" s="142"/>
      <c r="AV1009" s="142"/>
      <c r="AW1009" s="140"/>
      <c r="AX1009" s="140"/>
      <c r="AY1009" s="140"/>
      <c r="AZ1009" s="140"/>
      <c r="BA1009" s="140"/>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c r="BY1009" s="115"/>
      <c r="BZ1009" s="115"/>
      <c r="CA1009" s="115"/>
      <c r="CB1009" s="115"/>
      <c r="CC1009" s="115"/>
      <c r="CD1009" s="115"/>
      <c r="CE1009" s="115"/>
      <c r="CF1009" s="115"/>
      <c r="CG1009" s="115"/>
      <c r="CH1009" s="115"/>
      <c r="CI1009" s="115"/>
      <c r="CJ1009" s="115"/>
      <c r="CK1009" s="115"/>
      <c r="CL1009" s="115"/>
      <c r="CM1009" s="115"/>
      <c r="CN1009" s="115"/>
      <c r="CO1009" s="115"/>
      <c r="CP1009" s="115"/>
      <c r="CQ1009" s="115"/>
      <c r="CR1009" s="115"/>
      <c r="CS1009" s="115"/>
      <c r="CT1009" s="115"/>
      <c r="CU1009" s="115"/>
      <c r="CV1009" s="115"/>
      <c r="CW1009" s="115"/>
      <c r="CX1009" s="115"/>
      <c r="CY1009" s="115"/>
      <c r="CZ1009" s="115"/>
      <c r="DA1009" s="115"/>
      <c r="DB1009" s="115"/>
      <c r="DC1009" s="115"/>
      <c r="DD1009" s="115"/>
      <c r="DE1009" s="115"/>
      <c r="DF1009" s="115"/>
      <c r="DG1009" s="115"/>
    </row>
    <row r="1010" spans="1:111" ht="4.5" customHeight="1">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c r="BY1010" s="115"/>
      <c r="BZ1010" s="115"/>
      <c r="CA1010" s="115"/>
      <c r="CB1010" s="115"/>
      <c r="CC1010" s="115"/>
      <c r="CD1010" s="115"/>
      <c r="CE1010" s="115"/>
      <c r="CF1010" s="115"/>
      <c r="CG1010" s="115"/>
      <c r="CH1010" s="115"/>
      <c r="CI1010" s="115"/>
      <c r="CJ1010" s="115"/>
      <c r="CK1010" s="115"/>
      <c r="CL1010" s="115"/>
      <c r="CM1010" s="115"/>
      <c r="CN1010" s="115"/>
      <c r="CO1010" s="115"/>
      <c r="CP1010" s="115"/>
      <c r="CQ1010" s="115"/>
      <c r="CR1010" s="115"/>
      <c r="CS1010" s="115"/>
      <c r="CT1010" s="115"/>
      <c r="CU1010" s="115"/>
      <c r="CV1010" s="115"/>
      <c r="CW1010" s="115"/>
      <c r="CX1010" s="115"/>
      <c r="CY1010" s="115"/>
      <c r="CZ1010" s="115"/>
      <c r="DA1010" s="115"/>
      <c r="DB1010" s="115"/>
      <c r="DC1010" s="115"/>
      <c r="DD1010" s="115"/>
      <c r="DE1010" s="115"/>
      <c r="DF1010" s="115"/>
      <c r="DG1010" s="115"/>
    </row>
    <row r="1011" spans="1:111" ht="9" customHeight="1">
      <c r="C1011" s="416" t="str">
        <f>IF(C1009="","","Descrição da Despesa:")</f>
        <v/>
      </c>
      <c r="D1011" s="416"/>
      <c r="E1011" s="416"/>
      <c r="F1011" s="416"/>
      <c r="G1011" s="416"/>
      <c r="H1011" s="416"/>
      <c r="I1011" s="60"/>
      <c r="J1011" s="421"/>
      <c r="K1011" s="421"/>
      <c r="L1011" s="421"/>
      <c r="M1011" s="421"/>
      <c r="N1011" s="421"/>
      <c r="O1011" s="421"/>
      <c r="P1011" s="421"/>
      <c r="Q1011" s="421"/>
      <c r="R1011" s="421"/>
      <c r="S1011" s="421"/>
      <c r="T1011" s="421"/>
      <c r="U1011" s="421"/>
      <c r="V1011" s="421"/>
      <c r="W1011" s="421"/>
      <c r="X1011" s="421"/>
      <c r="Y1011" s="421"/>
      <c r="Z1011" s="421"/>
      <c r="AA1011" s="421"/>
      <c r="AB1011" s="421"/>
      <c r="AC1011" s="421"/>
      <c r="AD1011" s="421"/>
      <c r="AE1011" s="421"/>
      <c r="AF1011" s="421"/>
      <c r="AG1011" s="421"/>
      <c r="AH1011" s="421"/>
      <c r="AI1011" s="421"/>
      <c r="AJ1011" s="421"/>
      <c r="AK1011" s="421"/>
      <c r="AL1011" s="421"/>
      <c r="AM1011" s="421"/>
      <c r="AN1011" s="421"/>
      <c r="AO1011" s="421"/>
      <c r="AP1011" s="421"/>
      <c r="AQ1011" s="421"/>
      <c r="AR1011" s="421"/>
      <c r="AS1011" s="421"/>
      <c r="AT1011" s="421"/>
      <c r="AU1011" s="421"/>
      <c r="AV1011" s="421"/>
      <c r="AW1011" s="421"/>
      <c r="AX1011" s="421"/>
      <c r="AY1011" s="421"/>
      <c r="AZ1011" s="421"/>
      <c r="BA1011" s="421"/>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c r="BY1011" s="115"/>
      <c r="BZ1011" s="115"/>
      <c r="CA1011" s="115"/>
      <c r="CB1011" s="115"/>
      <c r="CC1011" s="115"/>
      <c r="CD1011" s="115"/>
      <c r="CE1011" s="115"/>
      <c r="CF1011" s="115"/>
      <c r="CG1011" s="115"/>
      <c r="CH1011" s="115"/>
      <c r="CI1011" s="115"/>
      <c r="CJ1011" s="115"/>
      <c r="CK1011" s="115"/>
      <c r="CL1011" s="115"/>
      <c r="CM1011" s="115"/>
      <c r="CN1011" s="115"/>
      <c r="CO1011" s="115"/>
      <c r="CP1011" s="115"/>
      <c r="CQ1011" s="115"/>
      <c r="CR1011" s="115"/>
      <c r="CS1011" s="115"/>
      <c r="CT1011" s="115"/>
      <c r="CU1011" s="115"/>
      <c r="CV1011" s="115"/>
      <c r="CW1011" s="115"/>
      <c r="CX1011" s="115"/>
      <c r="CY1011" s="115"/>
      <c r="CZ1011" s="115"/>
      <c r="DA1011" s="115"/>
      <c r="DB1011" s="115"/>
      <c r="DC1011" s="115"/>
      <c r="DD1011" s="115"/>
      <c r="DE1011" s="115"/>
      <c r="DF1011" s="115"/>
      <c r="DG1011" s="115"/>
    </row>
    <row r="1012" spans="1:111" ht="9" customHeight="1">
      <c r="C1012" s="416"/>
      <c r="D1012" s="416"/>
      <c r="E1012" s="416"/>
      <c r="F1012" s="416"/>
      <c r="G1012" s="416"/>
      <c r="H1012" s="416"/>
      <c r="I1012" s="60"/>
      <c r="J1012" s="421"/>
      <c r="K1012" s="421"/>
      <c r="L1012" s="421"/>
      <c r="M1012" s="421"/>
      <c r="N1012" s="421"/>
      <c r="O1012" s="421"/>
      <c r="P1012" s="421"/>
      <c r="Q1012" s="421"/>
      <c r="R1012" s="421"/>
      <c r="S1012" s="421"/>
      <c r="T1012" s="421"/>
      <c r="U1012" s="421"/>
      <c r="V1012" s="421"/>
      <c r="W1012" s="421"/>
      <c r="X1012" s="421"/>
      <c r="Y1012" s="421"/>
      <c r="Z1012" s="421"/>
      <c r="AA1012" s="421"/>
      <c r="AB1012" s="421"/>
      <c r="AC1012" s="421"/>
      <c r="AD1012" s="421"/>
      <c r="AE1012" s="421"/>
      <c r="AF1012" s="421"/>
      <c r="AG1012" s="421"/>
      <c r="AH1012" s="421"/>
      <c r="AI1012" s="421"/>
      <c r="AJ1012" s="421"/>
      <c r="AK1012" s="421"/>
      <c r="AL1012" s="421"/>
      <c r="AM1012" s="421"/>
      <c r="AN1012" s="421"/>
      <c r="AO1012" s="421"/>
      <c r="AP1012" s="421"/>
      <c r="AQ1012" s="421"/>
      <c r="AR1012" s="421"/>
      <c r="AS1012" s="421"/>
      <c r="AT1012" s="421"/>
      <c r="AU1012" s="421"/>
      <c r="AV1012" s="421"/>
      <c r="AW1012" s="421"/>
      <c r="AX1012" s="421"/>
      <c r="AY1012" s="421"/>
      <c r="AZ1012" s="421"/>
      <c r="BA1012" s="421"/>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c r="BY1012" s="115"/>
      <c r="BZ1012" s="115"/>
      <c r="CA1012" s="115"/>
      <c r="CB1012" s="115"/>
      <c r="CC1012" s="115"/>
      <c r="CD1012" s="115"/>
      <c r="CE1012" s="115"/>
      <c r="CF1012" s="115"/>
      <c r="CG1012" s="115"/>
      <c r="CH1012" s="115"/>
      <c r="CI1012" s="115"/>
      <c r="CJ1012" s="115"/>
      <c r="CK1012" s="115"/>
      <c r="CL1012" s="115"/>
      <c r="CM1012" s="115"/>
      <c r="CN1012" s="115"/>
      <c r="CO1012" s="115"/>
      <c r="CP1012" s="115"/>
      <c r="CQ1012" s="115"/>
      <c r="CR1012" s="115"/>
      <c r="CS1012" s="115"/>
      <c r="CT1012" s="115"/>
      <c r="CU1012" s="115"/>
      <c r="CV1012" s="115"/>
      <c r="CW1012" s="115"/>
      <c r="CX1012" s="115"/>
      <c r="CY1012" s="115"/>
      <c r="CZ1012" s="115"/>
      <c r="DA1012" s="115"/>
      <c r="DB1012" s="115"/>
      <c r="DC1012" s="115"/>
      <c r="DD1012" s="115"/>
      <c r="DE1012" s="115"/>
      <c r="DF1012" s="115"/>
      <c r="DG1012" s="115"/>
    </row>
    <row r="1013" spans="1:111" ht="9" customHeight="1">
      <c r="C1013" s="416"/>
      <c r="D1013" s="416"/>
      <c r="E1013" s="416"/>
      <c r="F1013" s="416"/>
      <c r="G1013" s="416"/>
      <c r="H1013" s="416"/>
      <c r="I1013" s="60"/>
      <c r="J1013" s="421"/>
      <c r="K1013" s="421"/>
      <c r="L1013" s="421"/>
      <c r="M1013" s="421"/>
      <c r="N1013" s="421"/>
      <c r="O1013" s="421"/>
      <c r="P1013" s="421"/>
      <c r="Q1013" s="421"/>
      <c r="R1013" s="421"/>
      <c r="S1013" s="421"/>
      <c r="T1013" s="421"/>
      <c r="U1013" s="421"/>
      <c r="V1013" s="421"/>
      <c r="W1013" s="421"/>
      <c r="X1013" s="421"/>
      <c r="Y1013" s="421"/>
      <c r="Z1013" s="421"/>
      <c r="AA1013" s="421"/>
      <c r="AB1013" s="421"/>
      <c r="AC1013" s="421"/>
      <c r="AD1013" s="421"/>
      <c r="AE1013" s="421"/>
      <c r="AF1013" s="421"/>
      <c r="AG1013" s="421"/>
      <c r="AH1013" s="421"/>
      <c r="AI1013" s="421"/>
      <c r="AJ1013" s="421"/>
      <c r="AK1013" s="421"/>
      <c r="AL1013" s="421"/>
      <c r="AM1013" s="421"/>
      <c r="AN1013" s="421"/>
      <c r="AO1013" s="421"/>
      <c r="AP1013" s="421"/>
      <c r="AQ1013" s="421"/>
      <c r="AR1013" s="421"/>
      <c r="AS1013" s="421"/>
      <c r="AT1013" s="421"/>
      <c r="AU1013" s="421"/>
      <c r="AV1013" s="421"/>
      <c r="AW1013" s="421"/>
      <c r="AX1013" s="421"/>
      <c r="AY1013" s="421"/>
      <c r="AZ1013" s="421"/>
      <c r="BA1013" s="421"/>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c r="BY1013" s="115"/>
      <c r="BZ1013" s="115"/>
      <c r="CA1013" s="115"/>
      <c r="CB1013" s="115"/>
      <c r="CC1013" s="115"/>
      <c r="CD1013" s="115"/>
      <c r="CE1013" s="115"/>
      <c r="CF1013" s="115"/>
      <c r="CG1013" s="115"/>
      <c r="CH1013" s="115"/>
      <c r="CI1013" s="115"/>
      <c r="CJ1013" s="115"/>
      <c r="CK1013" s="115"/>
      <c r="CL1013" s="115"/>
      <c r="CM1013" s="115"/>
      <c r="CN1013" s="115"/>
      <c r="CO1013" s="115"/>
      <c r="CP1013" s="115"/>
      <c r="CQ1013" s="115"/>
      <c r="CR1013" s="115"/>
      <c r="CS1013" s="115"/>
      <c r="CT1013" s="115"/>
      <c r="CU1013" s="115"/>
      <c r="CV1013" s="115"/>
      <c r="CW1013" s="115"/>
      <c r="CX1013" s="115"/>
      <c r="CY1013" s="115"/>
      <c r="CZ1013" s="115"/>
      <c r="DA1013" s="115"/>
      <c r="DB1013" s="115"/>
      <c r="DC1013" s="115"/>
      <c r="DD1013" s="115"/>
      <c r="DE1013" s="115"/>
      <c r="DF1013" s="115"/>
      <c r="DG1013" s="115"/>
    </row>
    <row r="1014" spans="1:111" ht="4.5" customHeight="1">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c r="BY1014" s="115"/>
      <c r="BZ1014" s="115"/>
      <c r="CA1014" s="115"/>
      <c r="CB1014" s="115"/>
      <c r="CC1014" s="115"/>
      <c r="CD1014" s="115"/>
      <c r="CE1014" s="115"/>
      <c r="CF1014" s="115"/>
      <c r="CG1014" s="115"/>
      <c r="CH1014" s="115"/>
      <c r="CI1014" s="115"/>
      <c r="CJ1014" s="115"/>
      <c r="CK1014" s="115"/>
      <c r="CL1014" s="115"/>
      <c r="CM1014" s="115"/>
      <c r="CN1014" s="115"/>
      <c r="CO1014" s="115"/>
      <c r="CP1014" s="115"/>
      <c r="CQ1014" s="115"/>
      <c r="CR1014" s="115"/>
      <c r="CS1014" s="115"/>
      <c r="CT1014" s="115"/>
      <c r="CU1014" s="115"/>
      <c r="CV1014" s="115"/>
      <c r="CW1014" s="115"/>
      <c r="CX1014" s="115"/>
      <c r="CY1014" s="115"/>
      <c r="CZ1014" s="115"/>
      <c r="DA1014" s="115"/>
      <c r="DB1014" s="115"/>
      <c r="DC1014" s="115"/>
      <c r="DD1014" s="115"/>
      <c r="DE1014" s="115"/>
      <c r="DF1014" s="115"/>
      <c r="DG1014" s="115"/>
    </row>
    <row r="1015" spans="1:111" ht="9" customHeight="1">
      <c r="C1015" s="416" t="str">
        <f>IF(C1009="","","Elemento de Despesa:")</f>
        <v/>
      </c>
      <c r="D1015" s="416"/>
      <c r="E1015" s="416"/>
      <c r="F1015" s="416"/>
      <c r="G1015" s="416"/>
      <c r="H1015" s="416"/>
      <c r="J1015" s="421"/>
      <c r="K1015" s="421"/>
      <c r="L1015" s="421"/>
      <c r="M1015" s="421"/>
      <c r="N1015" s="421"/>
      <c r="O1015" s="421"/>
      <c r="P1015" s="421"/>
      <c r="Q1015" s="421"/>
      <c r="R1015" s="421"/>
      <c r="S1015" s="421"/>
      <c r="T1015" s="421"/>
      <c r="U1015" s="421"/>
      <c r="V1015" s="421"/>
      <c r="W1015" s="421"/>
      <c r="X1015" s="421"/>
      <c r="Y1015" s="421"/>
      <c r="Z1015" s="421"/>
      <c r="AA1015" s="421"/>
      <c r="AB1015" s="421"/>
      <c r="AC1015" s="421"/>
      <c r="AD1015" s="421"/>
      <c r="AE1015" s="421"/>
      <c r="AF1015" s="421"/>
      <c r="AG1015" s="421"/>
      <c r="AH1015" s="421"/>
      <c r="AI1015" s="421"/>
      <c r="AJ1015" s="421"/>
      <c r="AK1015" s="421"/>
      <c r="AL1015" s="421"/>
      <c r="AM1015" s="421"/>
      <c r="AN1015" s="421"/>
      <c r="AO1015" s="421"/>
      <c r="AP1015" s="421"/>
      <c r="AQ1015" s="421"/>
      <c r="AR1015" s="421"/>
      <c r="AS1015" s="421"/>
      <c r="AT1015" s="421"/>
      <c r="AU1015" s="421"/>
      <c r="AV1015" s="421"/>
      <c r="AW1015" s="421"/>
      <c r="AX1015" s="421"/>
      <c r="AY1015" s="421"/>
      <c r="AZ1015" s="421"/>
      <c r="BA1015" s="421"/>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c r="BY1015" s="115"/>
      <c r="BZ1015" s="115"/>
      <c r="CA1015" s="115"/>
      <c r="CB1015" s="115"/>
      <c r="CC1015" s="115"/>
      <c r="CD1015" s="115"/>
      <c r="CE1015" s="115"/>
      <c r="CF1015" s="115"/>
      <c r="CG1015" s="115"/>
      <c r="CH1015" s="115"/>
      <c r="CI1015" s="115"/>
      <c r="CJ1015" s="115"/>
      <c r="CK1015" s="115"/>
      <c r="CL1015" s="115"/>
      <c r="CM1015" s="115"/>
      <c r="CN1015" s="115"/>
      <c r="CO1015" s="115"/>
      <c r="CP1015" s="115"/>
      <c r="CQ1015" s="115"/>
      <c r="CR1015" s="115"/>
      <c r="CS1015" s="115"/>
      <c r="CT1015" s="115"/>
      <c r="CU1015" s="115"/>
      <c r="CV1015" s="115"/>
      <c r="CW1015" s="115"/>
      <c r="CX1015" s="115"/>
      <c r="CY1015" s="115"/>
      <c r="CZ1015" s="115"/>
      <c r="DA1015" s="115"/>
      <c r="DB1015" s="115"/>
      <c r="DC1015" s="115"/>
      <c r="DD1015" s="115"/>
      <c r="DE1015" s="115"/>
      <c r="DF1015" s="115"/>
      <c r="DG1015" s="115"/>
    </row>
    <row r="1016" spans="1:111" ht="9" customHeight="1">
      <c r="C1016" s="416"/>
      <c r="D1016" s="416"/>
      <c r="E1016" s="416"/>
      <c r="F1016" s="416"/>
      <c r="G1016" s="416"/>
      <c r="H1016" s="416"/>
      <c r="J1016" s="421"/>
      <c r="K1016" s="421"/>
      <c r="L1016" s="421"/>
      <c r="M1016" s="421"/>
      <c r="N1016" s="421"/>
      <c r="O1016" s="421"/>
      <c r="P1016" s="421"/>
      <c r="Q1016" s="421"/>
      <c r="R1016" s="421"/>
      <c r="S1016" s="421"/>
      <c r="T1016" s="421"/>
      <c r="U1016" s="421"/>
      <c r="V1016" s="421"/>
      <c r="W1016" s="421"/>
      <c r="X1016" s="421"/>
      <c r="Y1016" s="421"/>
      <c r="Z1016" s="421"/>
      <c r="AA1016" s="421"/>
      <c r="AB1016" s="421"/>
      <c r="AC1016" s="421"/>
      <c r="AD1016" s="421"/>
      <c r="AE1016" s="421"/>
      <c r="AF1016" s="421"/>
      <c r="AG1016" s="421"/>
      <c r="AH1016" s="421"/>
      <c r="AI1016" s="421"/>
      <c r="AJ1016" s="421"/>
      <c r="AK1016" s="421"/>
      <c r="AL1016" s="421"/>
      <c r="AM1016" s="421"/>
      <c r="AN1016" s="421"/>
      <c r="AO1016" s="421"/>
      <c r="AP1016" s="421"/>
      <c r="AQ1016" s="421"/>
      <c r="AR1016" s="421"/>
      <c r="AS1016" s="421"/>
      <c r="AT1016" s="421"/>
      <c r="AU1016" s="421"/>
      <c r="AV1016" s="421"/>
      <c r="AW1016" s="421"/>
      <c r="AX1016" s="421"/>
      <c r="AY1016" s="421"/>
      <c r="AZ1016" s="421"/>
      <c r="BA1016" s="421"/>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c r="BY1016" s="115"/>
      <c r="BZ1016" s="115"/>
      <c r="CA1016" s="115"/>
      <c r="CB1016" s="115"/>
      <c r="CC1016" s="115"/>
      <c r="CD1016" s="115"/>
      <c r="CE1016" s="115"/>
      <c r="CF1016" s="115"/>
      <c r="CG1016" s="115"/>
      <c r="CH1016" s="115"/>
      <c r="CI1016" s="115"/>
      <c r="CJ1016" s="115"/>
      <c r="CK1016" s="115"/>
      <c r="CL1016" s="115"/>
      <c r="CM1016" s="115"/>
      <c r="CN1016" s="115"/>
      <c r="CO1016" s="115"/>
      <c r="CP1016" s="115"/>
      <c r="CQ1016" s="115"/>
      <c r="CR1016" s="115"/>
      <c r="CS1016" s="115"/>
      <c r="CT1016" s="115"/>
      <c r="CU1016" s="115"/>
      <c r="CV1016" s="115"/>
      <c r="CW1016" s="115"/>
      <c r="CX1016" s="115"/>
      <c r="CY1016" s="115"/>
      <c r="CZ1016" s="115"/>
      <c r="DA1016" s="115"/>
      <c r="DB1016" s="115"/>
      <c r="DC1016" s="115"/>
      <c r="DD1016" s="115"/>
      <c r="DE1016" s="115"/>
      <c r="DF1016" s="115"/>
      <c r="DG1016" s="115"/>
    </row>
    <row r="1017" spans="1:111" ht="9" customHeight="1">
      <c r="C1017" s="416"/>
      <c r="D1017" s="416"/>
      <c r="E1017" s="416"/>
      <c r="F1017" s="416"/>
      <c r="G1017" s="416"/>
      <c r="H1017" s="416"/>
      <c r="J1017" s="421"/>
      <c r="K1017" s="421"/>
      <c r="L1017" s="421"/>
      <c r="M1017" s="421"/>
      <c r="N1017" s="421"/>
      <c r="O1017" s="421"/>
      <c r="P1017" s="421"/>
      <c r="Q1017" s="421"/>
      <c r="R1017" s="421"/>
      <c r="S1017" s="421"/>
      <c r="T1017" s="421"/>
      <c r="U1017" s="421"/>
      <c r="V1017" s="421"/>
      <c r="W1017" s="421"/>
      <c r="X1017" s="421"/>
      <c r="Y1017" s="421"/>
      <c r="Z1017" s="421"/>
      <c r="AA1017" s="421"/>
      <c r="AB1017" s="421"/>
      <c r="AC1017" s="421"/>
      <c r="AD1017" s="421"/>
      <c r="AE1017" s="421"/>
      <c r="AF1017" s="421"/>
      <c r="AG1017" s="421"/>
      <c r="AH1017" s="421"/>
      <c r="AI1017" s="421"/>
      <c r="AJ1017" s="421"/>
      <c r="AK1017" s="421"/>
      <c r="AL1017" s="421"/>
      <c r="AM1017" s="421"/>
      <c r="AN1017" s="421"/>
      <c r="AO1017" s="421"/>
      <c r="AP1017" s="421"/>
      <c r="AQ1017" s="421"/>
      <c r="AR1017" s="421"/>
      <c r="AS1017" s="421"/>
      <c r="AT1017" s="421"/>
      <c r="AU1017" s="421"/>
      <c r="AV1017" s="421"/>
      <c r="AW1017" s="421"/>
      <c r="AX1017" s="421"/>
      <c r="AY1017" s="421"/>
      <c r="AZ1017" s="421"/>
      <c r="BA1017" s="421"/>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c r="BY1017" s="115"/>
      <c r="BZ1017" s="115"/>
      <c r="CA1017" s="115"/>
      <c r="CB1017" s="115"/>
      <c r="CC1017" s="115"/>
      <c r="CD1017" s="115"/>
      <c r="CE1017" s="115"/>
      <c r="CF1017" s="115"/>
      <c r="CG1017" s="115"/>
      <c r="CH1017" s="115"/>
      <c r="CI1017" s="115"/>
      <c r="CJ1017" s="115"/>
      <c r="CK1017" s="115"/>
      <c r="CL1017" s="115"/>
      <c r="CM1017" s="115"/>
      <c r="CN1017" s="115"/>
      <c r="CO1017" s="115"/>
      <c r="CP1017" s="115"/>
      <c r="CQ1017" s="115"/>
      <c r="CR1017" s="115"/>
      <c r="CS1017" s="115"/>
      <c r="CT1017" s="115"/>
      <c r="CU1017" s="115"/>
      <c r="CV1017" s="115"/>
      <c r="CW1017" s="115"/>
      <c r="CX1017" s="115"/>
      <c r="CY1017" s="115"/>
      <c r="CZ1017" s="115"/>
      <c r="DA1017" s="115"/>
      <c r="DB1017" s="115"/>
      <c r="DC1017" s="115"/>
      <c r="DD1017" s="115"/>
      <c r="DE1017" s="115"/>
      <c r="DF1017" s="115"/>
      <c r="DG1017" s="115"/>
    </row>
    <row r="1018" spans="1:111" ht="4.5" customHeight="1">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c r="BY1018" s="115"/>
      <c r="BZ1018" s="115"/>
      <c r="CA1018" s="115"/>
      <c r="CB1018" s="115"/>
      <c r="CC1018" s="115"/>
      <c r="CD1018" s="115"/>
      <c r="CE1018" s="115"/>
      <c r="CF1018" s="115"/>
      <c r="CG1018" s="115"/>
      <c r="CH1018" s="115"/>
      <c r="CI1018" s="115"/>
      <c r="CJ1018" s="115"/>
      <c r="CK1018" s="115"/>
      <c r="CL1018" s="115"/>
      <c r="CM1018" s="115"/>
      <c r="CN1018" s="115"/>
      <c r="CO1018" s="115"/>
      <c r="CP1018" s="115"/>
      <c r="CQ1018" s="115"/>
      <c r="CR1018" s="115"/>
      <c r="CS1018" s="115"/>
      <c r="CT1018" s="115"/>
      <c r="CU1018" s="115"/>
      <c r="CV1018" s="115"/>
      <c r="CW1018" s="115"/>
      <c r="CX1018" s="115"/>
      <c r="CY1018" s="115"/>
      <c r="CZ1018" s="115"/>
      <c r="DA1018" s="115"/>
      <c r="DB1018" s="115"/>
      <c r="DC1018" s="115"/>
      <c r="DD1018" s="115"/>
      <c r="DE1018" s="115"/>
      <c r="DF1018" s="115"/>
      <c r="DG1018" s="115"/>
    </row>
    <row r="1019" spans="1:111" ht="9" customHeight="1">
      <c r="A1019" s="61" t="str">
        <f>CONCATENATE(Q1019,AC1019)</f>
        <v/>
      </c>
      <c r="J1019" s="416" t="str">
        <f>IF(C1009="","","Meta Vinculada:")</f>
        <v/>
      </c>
      <c r="K1019" s="416"/>
      <c r="L1019" s="416"/>
      <c r="M1019" s="416"/>
      <c r="N1019" s="416"/>
      <c r="O1019" s="416"/>
      <c r="Q1019" s="417"/>
      <c r="R1019" s="417"/>
      <c r="S1019" s="417"/>
      <c r="T1019" s="417"/>
      <c r="U1019" s="56"/>
      <c r="V1019" s="416" t="str">
        <f>IF(C1009="","","Etapa Vinculada:")</f>
        <v/>
      </c>
      <c r="W1019" s="416"/>
      <c r="X1019" s="416"/>
      <c r="Y1019" s="416"/>
      <c r="Z1019" s="416"/>
      <c r="AA1019" s="416"/>
      <c r="AC1019" s="417"/>
      <c r="AD1019" s="417"/>
      <c r="AE1019" s="417"/>
      <c r="AF1019" s="417"/>
      <c r="AG1019" s="56"/>
      <c r="AH1019" s="56"/>
      <c r="AI1019" s="56"/>
      <c r="AJ1019" s="56"/>
      <c r="AK1019" s="141"/>
      <c r="AL1019" s="141"/>
      <c r="AM1019" s="141"/>
      <c r="AN1019" s="141"/>
      <c r="AO1019" s="140"/>
      <c r="AP1019" s="140"/>
      <c r="AQ1019" s="140"/>
      <c r="AR1019" s="140"/>
      <c r="AS1019" s="142"/>
      <c r="AT1019" s="142"/>
      <c r="AU1019" s="142"/>
      <c r="AV1019" s="142"/>
      <c r="AW1019" s="140"/>
      <c r="AX1019" s="140"/>
      <c r="AY1019" s="140"/>
      <c r="AZ1019" s="140"/>
      <c r="BA1019" s="140"/>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c r="BY1019" s="115"/>
      <c r="BZ1019" s="115"/>
      <c r="CA1019" s="115"/>
      <c r="CB1019" s="115"/>
      <c r="CC1019" s="115"/>
      <c r="CD1019" s="115"/>
      <c r="CE1019" s="115"/>
      <c r="CF1019" s="115"/>
      <c r="CG1019" s="115"/>
      <c r="CH1019" s="115"/>
      <c r="CI1019" s="115"/>
      <c r="CJ1019" s="115"/>
      <c r="CK1019" s="115"/>
      <c r="CL1019" s="115"/>
      <c r="CM1019" s="115"/>
      <c r="CN1019" s="115"/>
      <c r="CO1019" s="115"/>
      <c r="CP1019" s="115"/>
      <c r="CQ1019" s="115"/>
      <c r="CR1019" s="115"/>
      <c r="CS1019" s="115"/>
      <c r="CT1019" s="115"/>
      <c r="CU1019" s="115"/>
      <c r="CV1019" s="115"/>
      <c r="CW1019" s="115"/>
      <c r="CX1019" s="115"/>
      <c r="CY1019" s="115"/>
      <c r="CZ1019" s="115"/>
      <c r="DA1019" s="115"/>
      <c r="DB1019" s="115"/>
      <c r="DC1019" s="115"/>
      <c r="DD1019" s="115"/>
      <c r="DE1019" s="115"/>
      <c r="DF1019" s="115"/>
      <c r="DG1019" s="115"/>
    </row>
    <row r="1020" spans="1:111" ht="9" customHeight="1">
      <c r="B1020" s="55"/>
      <c r="C1020" s="55"/>
      <c r="D1020" s="56"/>
      <c r="E1020" s="56"/>
      <c r="F1020" s="56"/>
      <c r="G1020" s="56"/>
      <c r="H1020" s="56"/>
      <c r="I1020" s="56"/>
      <c r="J1020" s="416"/>
      <c r="K1020" s="416"/>
      <c r="L1020" s="416"/>
      <c r="M1020" s="416"/>
      <c r="N1020" s="416"/>
      <c r="O1020" s="416"/>
      <c r="Q1020" s="417"/>
      <c r="R1020" s="417"/>
      <c r="S1020" s="417"/>
      <c r="T1020" s="417"/>
      <c r="U1020" s="56"/>
      <c r="V1020" s="416"/>
      <c r="W1020" s="416"/>
      <c r="X1020" s="416"/>
      <c r="Y1020" s="416"/>
      <c r="Z1020" s="416"/>
      <c r="AA1020" s="416"/>
      <c r="AC1020" s="417"/>
      <c r="AD1020" s="417"/>
      <c r="AE1020" s="417"/>
      <c r="AF1020" s="417"/>
      <c r="AG1020" s="56"/>
      <c r="AH1020" s="56"/>
      <c r="AI1020" s="56"/>
      <c r="AJ1020" s="56"/>
      <c r="AK1020" s="141"/>
      <c r="AL1020" s="141"/>
      <c r="AM1020" s="141"/>
      <c r="AN1020" s="141"/>
      <c r="AO1020" s="140"/>
      <c r="AP1020" s="140"/>
      <c r="AQ1020" s="140"/>
      <c r="AR1020" s="140"/>
      <c r="AS1020" s="142"/>
      <c r="AT1020" s="142"/>
      <c r="AU1020" s="142"/>
      <c r="AV1020" s="142"/>
      <c r="AW1020" s="140"/>
      <c r="AX1020" s="140"/>
      <c r="AY1020" s="140"/>
      <c r="AZ1020" s="140"/>
      <c r="BA1020" s="140"/>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c r="BY1020" s="115"/>
      <c r="BZ1020" s="115"/>
      <c r="CA1020" s="115"/>
      <c r="CB1020" s="115"/>
      <c r="CC1020" s="115"/>
      <c r="CD1020" s="115"/>
      <c r="CE1020" s="115"/>
      <c r="CF1020" s="115"/>
      <c r="CG1020" s="115"/>
      <c r="CH1020" s="115"/>
      <c r="CI1020" s="115"/>
      <c r="CJ1020" s="115"/>
      <c r="CK1020" s="115"/>
      <c r="CL1020" s="115"/>
      <c r="CM1020" s="115"/>
      <c r="CN1020" s="115"/>
      <c r="CO1020" s="115"/>
      <c r="CP1020" s="115"/>
      <c r="CQ1020" s="115"/>
      <c r="CR1020" s="115"/>
      <c r="CS1020" s="115"/>
      <c r="CT1020" s="115"/>
      <c r="CU1020" s="115"/>
      <c r="CV1020" s="115"/>
      <c r="CW1020" s="115"/>
      <c r="CX1020" s="115"/>
      <c r="CY1020" s="115"/>
      <c r="CZ1020" s="115"/>
      <c r="DA1020" s="115"/>
      <c r="DB1020" s="115"/>
      <c r="DC1020" s="115"/>
      <c r="DD1020" s="115"/>
      <c r="DE1020" s="115"/>
      <c r="DF1020" s="115"/>
      <c r="DG1020" s="115"/>
    </row>
    <row r="1021" spans="1:111" ht="9" customHeight="1">
      <c r="Q1021" s="417"/>
      <c r="R1021" s="417"/>
      <c r="S1021" s="417"/>
      <c r="T1021" s="417"/>
      <c r="AC1021" s="417"/>
      <c r="AD1021" s="417"/>
      <c r="AE1021" s="417"/>
      <c r="AF1021" s="417"/>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c r="BY1021" s="115"/>
      <c r="BZ1021" s="115"/>
      <c r="CA1021" s="115"/>
      <c r="CB1021" s="115"/>
      <c r="CC1021" s="115"/>
      <c r="CD1021" s="115"/>
      <c r="CE1021" s="115"/>
      <c r="CF1021" s="115"/>
      <c r="CG1021" s="115"/>
      <c r="CH1021" s="115"/>
      <c r="CI1021" s="115"/>
      <c r="CJ1021" s="115"/>
      <c r="CK1021" s="115"/>
      <c r="CL1021" s="115"/>
      <c r="CM1021" s="115"/>
      <c r="CN1021" s="115"/>
      <c r="CO1021" s="115"/>
      <c r="CP1021" s="115"/>
      <c r="CQ1021" s="115"/>
      <c r="CR1021" s="115"/>
      <c r="CS1021" s="115"/>
      <c r="CT1021" s="115"/>
      <c r="CU1021" s="115"/>
      <c r="CV1021" s="115"/>
      <c r="CW1021" s="115"/>
      <c r="CX1021" s="115"/>
      <c r="CY1021" s="115"/>
      <c r="CZ1021" s="115"/>
      <c r="DA1021" s="115"/>
      <c r="DB1021" s="115"/>
      <c r="DC1021" s="115"/>
      <c r="DD1021" s="115"/>
      <c r="DE1021" s="115"/>
      <c r="DF1021" s="115"/>
      <c r="DG1021" s="115"/>
    </row>
    <row r="1022" spans="1:111" ht="4.5" customHeight="1">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c r="BY1022" s="115"/>
      <c r="BZ1022" s="115"/>
      <c r="CA1022" s="115"/>
      <c r="CB1022" s="115"/>
      <c r="CC1022" s="115"/>
      <c r="CD1022" s="115"/>
      <c r="CE1022" s="115"/>
      <c r="CF1022" s="115"/>
      <c r="CG1022" s="115"/>
      <c r="CH1022" s="115"/>
      <c r="CI1022" s="115"/>
      <c r="CJ1022" s="115"/>
      <c r="CK1022" s="115"/>
      <c r="CL1022" s="115"/>
      <c r="CM1022" s="115"/>
      <c r="CN1022" s="115"/>
      <c r="CO1022" s="115"/>
      <c r="CP1022" s="115"/>
      <c r="CQ1022" s="115"/>
      <c r="CR1022" s="115"/>
      <c r="CS1022" s="115"/>
      <c r="CT1022" s="115"/>
      <c r="CU1022" s="115"/>
      <c r="CV1022" s="115"/>
      <c r="CW1022" s="115"/>
      <c r="CX1022" s="115"/>
      <c r="CY1022" s="115"/>
      <c r="CZ1022" s="115"/>
      <c r="DA1022" s="115"/>
      <c r="DB1022" s="115"/>
      <c r="DC1022" s="115"/>
      <c r="DD1022" s="115"/>
      <c r="DE1022" s="115"/>
      <c r="DF1022" s="115"/>
      <c r="DG1022" s="115"/>
    </row>
    <row r="1023" spans="1:111" ht="9" customHeight="1">
      <c r="A1023" s="154"/>
      <c r="B1023" s="154"/>
      <c r="C1023" s="154"/>
      <c r="D1023" s="154"/>
      <c r="E1023" s="154"/>
      <c r="F1023" s="154"/>
      <c r="G1023" s="154"/>
      <c r="H1023" s="154"/>
      <c r="I1023" s="154"/>
      <c r="J1023" s="416" t="str">
        <f>IF(C1009="","","Quantidade:")</f>
        <v/>
      </c>
      <c r="K1023" s="416"/>
      <c r="L1023" s="416"/>
      <c r="M1023" s="416"/>
      <c r="N1023" s="416"/>
      <c r="O1023" s="416"/>
      <c r="P1023" s="154"/>
      <c r="Q1023" s="417"/>
      <c r="R1023" s="417"/>
      <c r="S1023" s="417"/>
      <c r="T1023" s="417"/>
      <c r="U1023" s="154"/>
      <c r="V1023" s="416" t="str">
        <f>IF(C1009="","","Unidade:")</f>
        <v/>
      </c>
      <c r="W1023" s="416"/>
      <c r="X1023" s="416"/>
      <c r="Y1023" s="416"/>
      <c r="Z1023" s="416"/>
      <c r="AA1023" s="416"/>
      <c r="AB1023" s="154"/>
      <c r="AC1023" s="418"/>
      <c r="AD1023" s="418"/>
      <c r="AE1023" s="418"/>
      <c r="AF1023" s="418"/>
      <c r="AG1023" s="418"/>
      <c r="AH1023" s="418"/>
      <c r="AI1023" s="418"/>
      <c r="AJ1023" s="418"/>
      <c r="AK1023" s="418"/>
      <c r="AL1023" s="418"/>
      <c r="AM1023" s="418"/>
      <c r="AN1023" s="418"/>
      <c r="AO1023" s="418"/>
      <c r="AP1023" s="418"/>
      <c r="AQ1023" s="418"/>
      <c r="AR1023" s="418"/>
      <c r="AS1023" s="418"/>
      <c r="AT1023" s="418"/>
      <c r="AU1023" s="418"/>
      <c r="AV1023" s="418"/>
      <c r="AW1023" s="418"/>
      <c r="AX1023" s="418"/>
      <c r="AY1023" s="418"/>
      <c r="AZ1023" s="418"/>
      <c r="BA1023" s="418"/>
      <c r="BB1023" s="154"/>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c r="BY1023" s="115"/>
      <c r="BZ1023" s="115"/>
      <c r="CA1023" s="115"/>
      <c r="CB1023" s="115"/>
      <c r="CC1023" s="115"/>
      <c r="CD1023" s="115"/>
      <c r="CE1023" s="115"/>
      <c r="CF1023" s="115"/>
      <c r="CG1023" s="115"/>
      <c r="CH1023" s="115"/>
      <c r="CI1023" s="115"/>
      <c r="CJ1023" s="115"/>
      <c r="CK1023" s="115"/>
      <c r="CL1023" s="115"/>
      <c r="CM1023" s="115"/>
      <c r="CN1023" s="115"/>
      <c r="CO1023" s="115"/>
      <c r="CP1023" s="115"/>
      <c r="CQ1023" s="115"/>
      <c r="CR1023" s="115"/>
      <c r="CS1023" s="115"/>
      <c r="CT1023" s="115"/>
      <c r="CU1023" s="115"/>
      <c r="CV1023" s="115"/>
      <c r="CW1023" s="115"/>
      <c r="CX1023" s="115"/>
      <c r="CY1023" s="115"/>
      <c r="CZ1023" s="115"/>
      <c r="DA1023" s="115"/>
      <c r="DB1023" s="115"/>
      <c r="DC1023" s="115"/>
      <c r="DD1023" s="115"/>
      <c r="DE1023" s="115"/>
      <c r="DF1023" s="115"/>
      <c r="DG1023" s="115"/>
    </row>
    <row r="1024" spans="1:111" ht="9" customHeight="1">
      <c r="A1024" s="154"/>
      <c r="B1024" s="154"/>
      <c r="C1024" s="154"/>
      <c r="D1024" s="154"/>
      <c r="E1024" s="154"/>
      <c r="F1024" s="154"/>
      <c r="G1024" s="154"/>
      <c r="H1024" s="154"/>
      <c r="I1024" s="154"/>
      <c r="J1024" s="416"/>
      <c r="K1024" s="416"/>
      <c r="L1024" s="416"/>
      <c r="M1024" s="416"/>
      <c r="N1024" s="416"/>
      <c r="O1024" s="416"/>
      <c r="P1024" s="154"/>
      <c r="Q1024" s="417"/>
      <c r="R1024" s="417"/>
      <c r="S1024" s="417"/>
      <c r="T1024" s="417"/>
      <c r="U1024" s="154"/>
      <c r="V1024" s="416"/>
      <c r="W1024" s="416"/>
      <c r="X1024" s="416"/>
      <c r="Y1024" s="416"/>
      <c r="Z1024" s="416"/>
      <c r="AA1024" s="416"/>
      <c r="AB1024" s="154"/>
      <c r="AC1024" s="418"/>
      <c r="AD1024" s="418"/>
      <c r="AE1024" s="418"/>
      <c r="AF1024" s="418"/>
      <c r="AG1024" s="418"/>
      <c r="AH1024" s="418"/>
      <c r="AI1024" s="418"/>
      <c r="AJ1024" s="418"/>
      <c r="AK1024" s="418"/>
      <c r="AL1024" s="418"/>
      <c r="AM1024" s="418"/>
      <c r="AN1024" s="418"/>
      <c r="AO1024" s="418"/>
      <c r="AP1024" s="418"/>
      <c r="AQ1024" s="418"/>
      <c r="AR1024" s="418"/>
      <c r="AS1024" s="418"/>
      <c r="AT1024" s="418"/>
      <c r="AU1024" s="418"/>
      <c r="AV1024" s="418"/>
      <c r="AW1024" s="418"/>
      <c r="AX1024" s="418"/>
      <c r="AY1024" s="418"/>
      <c r="AZ1024" s="418"/>
      <c r="BA1024" s="418"/>
      <c r="BB1024" s="154"/>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c r="BY1024" s="115"/>
      <c r="BZ1024" s="115"/>
      <c r="CA1024" s="115"/>
      <c r="CB1024" s="115"/>
      <c r="CC1024" s="115"/>
      <c r="CD1024" s="115"/>
      <c r="CE1024" s="115"/>
      <c r="CF1024" s="115"/>
      <c r="CG1024" s="115"/>
      <c r="CH1024" s="115"/>
      <c r="CI1024" s="115"/>
      <c r="CJ1024" s="115"/>
      <c r="CK1024" s="115"/>
      <c r="CL1024" s="115"/>
      <c r="CM1024" s="115"/>
      <c r="CN1024" s="115"/>
      <c r="CO1024" s="115"/>
      <c r="CP1024" s="115"/>
      <c r="CQ1024" s="115"/>
      <c r="CR1024" s="115"/>
      <c r="CS1024" s="115"/>
      <c r="CT1024" s="115"/>
      <c r="CU1024" s="115"/>
      <c r="CV1024" s="115"/>
      <c r="CW1024" s="115"/>
      <c r="CX1024" s="115"/>
      <c r="CY1024" s="115"/>
      <c r="CZ1024" s="115"/>
      <c r="DA1024" s="115"/>
      <c r="DB1024" s="115"/>
      <c r="DC1024" s="115"/>
      <c r="DD1024" s="115"/>
      <c r="DE1024" s="115"/>
      <c r="DF1024" s="115"/>
      <c r="DG1024" s="115"/>
    </row>
    <row r="1025" spans="1:111" ht="9" customHeight="1">
      <c r="A1025" s="154"/>
      <c r="B1025" s="154"/>
      <c r="C1025" s="154"/>
      <c r="D1025" s="154"/>
      <c r="E1025" s="154"/>
      <c r="F1025" s="154"/>
      <c r="G1025" s="154"/>
      <c r="H1025" s="154"/>
      <c r="I1025" s="154"/>
      <c r="J1025" s="154"/>
      <c r="K1025" s="154"/>
      <c r="L1025" s="154"/>
      <c r="M1025" s="154"/>
      <c r="N1025" s="154"/>
      <c r="O1025" s="154"/>
      <c r="P1025" s="154"/>
      <c r="Q1025" s="417"/>
      <c r="R1025" s="417"/>
      <c r="S1025" s="417"/>
      <c r="T1025" s="417"/>
      <c r="U1025" s="154"/>
      <c r="V1025" s="154"/>
      <c r="W1025" s="154"/>
      <c r="X1025" s="154"/>
      <c r="Y1025" s="154"/>
      <c r="Z1025" s="154"/>
      <c r="AA1025" s="154"/>
      <c r="AB1025" s="154"/>
      <c r="AC1025" s="418"/>
      <c r="AD1025" s="418"/>
      <c r="AE1025" s="418"/>
      <c r="AF1025" s="418"/>
      <c r="AG1025" s="418"/>
      <c r="AH1025" s="418"/>
      <c r="AI1025" s="418"/>
      <c r="AJ1025" s="418"/>
      <c r="AK1025" s="418"/>
      <c r="AL1025" s="418"/>
      <c r="AM1025" s="418"/>
      <c r="AN1025" s="418"/>
      <c r="AO1025" s="418"/>
      <c r="AP1025" s="418"/>
      <c r="AQ1025" s="418"/>
      <c r="AR1025" s="418"/>
      <c r="AS1025" s="418"/>
      <c r="AT1025" s="418"/>
      <c r="AU1025" s="418"/>
      <c r="AV1025" s="418"/>
      <c r="AW1025" s="418"/>
      <c r="AX1025" s="418"/>
      <c r="AY1025" s="418"/>
      <c r="AZ1025" s="418"/>
      <c r="BA1025" s="418"/>
      <c r="BB1025" s="154"/>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c r="BY1025" s="115"/>
      <c r="BZ1025" s="115"/>
      <c r="CA1025" s="115"/>
      <c r="CB1025" s="115"/>
      <c r="CC1025" s="115"/>
      <c r="CD1025" s="115"/>
      <c r="CE1025" s="115"/>
      <c r="CF1025" s="115"/>
      <c r="CG1025" s="115"/>
      <c r="CH1025" s="115"/>
      <c r="CI1025" s="115"/>
      <c r="CJ1025" s="115"/>
      <c r="CK1025" s="115"/>
      <c r="CL1025" s="115"/>
      <c r="CM1025" s="115"/>
      <c r="CN1025" s="115"/>
      <c r="CO1025" s="115"/>
      <c r="CP1025" s="115"/>
      <c r="CQ1025" s="115"/>
      <c r="CR1025" s="115"/>
      <c r="CS1025" s="115"/>
      <c r="CT1025" s="115"/>
      <c r="CU1025" s="115"/>
      <c r="CV1025" s="115"/>
      <c r="CW1025" s="115"/>
      <c r="CX1025" s="115"/>
      <c r="CY1025" s="115"/>
      <c r="CZ1025" s="115"/>
      <c r="DA1025" s="115"/>
      <c r="DB1025" s="115"/>
      <c r="DC1025" s="115"/>
      <c r="DD1025" s="115"/>
      <c r="DE1025" s="115"/>
      <c r="DF1025" s="115"/>
      <c r="DG1025" s="115"/>
    </row>
    <row r="1026" spans="1:111" ht="4.5" customHeight="1">
      <c r="A1026" s="154"/>
      <c r="B1026" s="154"/>
      <c r="C1026" s="154"/>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c r="BY1026" s="115"/>
      <c r="BZ1026" s="115"/>
      <c r="CA1026" s="115"/>
      <c r="CB1026" s="115"/>
      <c r="CC1026" s="115"/>
      <c r="CD1026" s="115"/>
      <c r="CE1026" s="115"/>
      <c r="CF1026" s="115"/>
      <c r="CG1026" s="115"/>
      <c r="CH1026" s="115"/>
      <c r="CI1026" s="115"/>
      <c r="CJ1026" s="115"/>
      <c r="CK1026" s="115"/>
      <c r="CL1026" s="115"/>
      <c r="CM1026" s="115"/>
      <c r="CN1026" s="115"/>
      <c r="CO1026" s="115"/>
      <c r="CP1026" s="115"/>
      <c r="CQ1026" s="115"/>
      <c r="CR1026" s="115"/>
      <c r="CS1026" s="115"/>
      <c r="CT1026" s="115"/>
      <c r="CU1026" s="115"/>
      <c r="CV1026" s="115"/>
      <c r="CW1026" s="115"/>
      <c r="CX1026" s="115"/>
      <c r="CY1026" s="115"/>
      <c r="CZ1026" s="115"/>
      <c r="DA1026" s="115"/>
      <c r="DB1026" s="115"/>
      <c r="DC1026" s="115"/>
      <c r="DD1026" s="115"/>
      <c r="DE1026" s="115"/>
      <c r="DF1026" s="115"/>
      <c r="DG1026" s="115"/>
    </row>
    <row r="1027" spans="1:111" ht="9" customHeight="1">
      <c r="A1027" s="154"/>
      <c r="B1027" s="154"/>
      <c r="C1027" s="154"/>
      <c r="D1027" s="154"/>
      <c r="E1027" s="154"/>
      <c r="F1027" s="154"/>
      <c r="G1027" s="154"/>
      <c r="H1027" s="154"/>
      <c r="I1027" s="154"/>
      <c r="J1027" s="416" t="str">
        <f>IF(C1009="","","Valor Unitário (R$):")</f>
        <v/>
      </c>
      <c r="K1027" s="416"/>
      <c r="L1027" s="416"/>
      <c r="M1027" s="416"/>
      <c r="N1027" s="416"/>
      <c r="O1027" s="416"/>
      <c r="P1027" s="154"/>
      <c r="Q1027" s="419"/>
      <c r="R1027" s="419"/>
      <c r="S1027" s="419"/>
      <c r="T1027" s="419"/>
      <c r="U1027" s="419"/>
      <c r="V1027" s="419"/>
      <c r="W1027" s="419"/>
      <c r="X1027" s="419"/>
      <c r="Y1027" s="154"/>
      <c r="Z1027" s="416" t="str">
        <f>IF(C1009="","",IF(J1015="52 Equipamentos e Material Permanente","Tempo de Uso:",""))</f>
        <v/>
      </c>
      <c r="AA1027" s="416"/>
      <c r="AB1027" s="416"/>
      <c r="AC1027" s="416"/>
      <c r="AD1027" s="416"/>
      <c r="AE1027" s="416"/>
      <c r="AF1027" s="154"/>
      <c r="AG1027" s="420"/>
      <c r="AH1027" s="420"/>
      <c r="AI1027" s="420"/>
      <c r="AJ1027" s="420"/>
      <c r="AK1027" s="420"/>
      <c r="AL1027" s="420"/>
      <c r="AM1027" s="420"/>
      <c r="AN1027" s="420"/>
      <c r="AO1027" s="420"/>
      <c r="AP1027" s="420"/>
      <c r="AQ1027" s="420"/>
      <c r="AR1027" s="420"/>
      <c r="AS1027" s="420"/>
      <c r="AT1027" s="420"/>
      <c r="AU1027" s="420"/>
      <c r="AV1027" s="420"/>
      <c r="AW1027" s="420"/>
      <c r="AX1027" s="420"/>
      <c r="AY1027" s="420"/>
      <c r="AZ1027" s="420"/>
      <c r="BA1027" s="420"/>
      <c r="BB1027" s="154"/>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c r="BY1027" s="115"/>
      <c r="BZ1027" s="115"/>
      <c r="CA1027" s="115"/>
      <c r="CB1027" s="115"/>
      <c r="CC1027" s="115"/>
      <c r="CD1027" s="115"/>
      <c r="CE1027" s="115"/>
      <c r="CF1027" s="115"/>
      <c r="CG1027" s="115"/>
      <c r="CH1027" s="115"/>
      <c r="CI1027" s="115"/>
      <c r="CJ1027" s="115"/>
      <c r="CK1027" s="115"/>
      <c r="CL1027" s="115"/>
      <c r="CM1027" s="115"/>
      <c r="CN1027" s="115"/>
      <c r="CO1027" s="115"/>
      <c r="CP1027" s="115"/>
      <c r="CQ1027" s="115"/>
      <c r="CR1027" s="115"/>
      <c r="CS1027" s="115"/>
      <c r="CT1027" s="115"/>
      <c r="CU1027" s="115"/>
      <c r="CV1027" s="115"/>
      <c r="CW1027" s="115"/>
      <c r="CX1027" s="115"/>
      <c r="CY1027" s="115"/>
      <c r="CZ1027" s="115"/>
      <c r="DA1027" s="115"/>
      <c r="DB1027" s="115"/>
      <c r="DC1027" s="115"/>
      <c r="DD1027" s="115"/>
      <c r="DE1027" s="115"/>
      <c r="DF1027" s="115"/>
      <c r="DG1027" s="115"/>
    </row>
    <row r="1028" spans="1:111" ht="9" customHeight="1">
      <c r="A1028" s="154"/>
      <c r="B1028" s="154"/>
      <c r="C1028" s="154"/>
      <c r="D1028" s="154"/>
      <c r="E1028" s="154"/>
      <c r="F1028" s="154"/>
      <c r="G1028" s="154"/>
      <c r="H1028" s="154"/>
      <c r="I1028" s="154"/>
      <c r="J1028" s="416"/>
      <c r="K1028" s="416"/>
      <c r="L1028" s="416"/>
      <c r="M1028" s="416"/>
      <c r="N1028" s="416"/>
      <c r="O1028" s="416"/>
      <c r="P1028" s="154"/>
      <c r="Q1028" s="419"/>
      <c r="R1028" s="419"/>
      <c r="S1028" s="419"/>
      <c r="T1028" s="419"/>
      <c r="U1028" s="419"/>
      <c r="V1028" s="419"/>
      <c r="W1028" s="419"/>
      <c r="X1028" s="419"/>
      <c r="Y1028" s="154"/>
      <c r="Z1028" s="416"/>
      <c r="AA1028" s="416"/>
      <c r="AB1028" s="416"/>
      <c r="AC1028" s="416"/>
      <c r="AD1028" s="416"/>
      <c r="AE1028" s="416"/>
      <c r="AF1028" s="154"/>
      <c r="AG1028" s="420"/>
      <c r="AH1028" s="420"/>
      <c r="AI1028" s="420"/>
      <c r="AJ1028" s="420"/>
      <c r="AK1028" s="420"/>
      <c r="AL1028" s="420"/>
      <c r="AM1028" s="420"/>
      <c r="AN1028" s="420"/>
      <c r="AO1028" s="420"/>
      <c r="AP1028" s="420"/>
      <c r="AQ1028" s="420"/>
      <c r="AR1028" s="420"/>
      <c r="AS1028" s="420"/>
      <c r="AT1028" s="420"/>
      <c r="AU1028" s="420"/>
      <c r="AV1028" s="420"/>
      <c r="AW1028" s="420"/>
      <c r="AX1028" s="420"/>
      <c r="AY1028" s="420"/>
      <c r="AZ1028" s="420"/>
      <c r="BA1028" s="420"/>
      <c r="BB1028" s="154"/>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c r="BY1028" s="115"/>
      <c r="BZ1028" s="115"/>
      <c r="CA1028" s="115"/>
      <c r="CB1028" s="115"/>
      <c r="CC1028" s="115"/>
      <c r="CD1028" s="115"/>
      <c r="CE1028" s="115"/>
      <c r="CF1028" s="115"/>
      <c r="CG1028" s="115"/>
      <c r="CH1028" s="115"/>
      <c r="CI1028" s="115"/>
      <c r="CJ1028" s="115"/>
      <c r="CK1028" s="115"/>
      <c r="CL1028" s="115"/>
      <c r="CM1028" s="115"/>
      <c r="CN1028" s="115"/>
      <c r="CO1028" s="115"/>
      <c r="CP1028" s="115"/>
      <c r="CQ1028" s="115"/>
      <c r="CR1028" s="115"/>
      <c r="CS1028" s="115"/>
      <c r="CT1028" s="115"/>
      <c r="CU1028" s="115"/>
      <c r="CV1028" s="115"/>
      <c r="CW1028" s="115"/>
      <c r="CX1028" s="115"/>
      <c r="CY1028" s="115"/>
      <c r="CZ1028" s="115"/>
      <c r="DA1028" s="115"/>
      <c r="DB1028" s="115"/>
      <c r="DC1028" s="115"/>
      <c r="DD1028" s="115"/>
      <c r="DE1028" s="115"/>
      <c r="DF1028" s="115"/>
      <c r="DG1028" s="115"/>
    </row>
    <row r="1029" spans="1:111" ht="9" customHeight="1">
      <c r="A1029" s="154"/>
      <c r="B1029" s="154"/>
      <c r="C1029" s="154"/>
      <c r="D1029" s="154"/>
      <c r="E1029" s="154"/>
      <c r="F1029" s="154"/>
      <c r="G1029" s="154"/>
      <c r="H1029" s="154"/>
      <c r="I1029" s="154"/>
      <c r="J1029" s="154"/>
      <c r="K1029" s="154"/>
      <c r="L1029" s="154"/>
      <c r="M1029" s="154"/>
      <c r="N1029" s="154"/>
      <c r="O1029" s="154"/>
      <c r="P1029" s="154"/>
      <c r="Q1029" s="419"/>
      <c r="R1029" s="419"/>
      <c r="S1029" s="419"/>
      <c r="T1029" s="419"/>
      <c r="U1029" s="419"/>
      <c r="V1029" s="419"/>
      <c r="W1029" s="419"/>
      <c r="X1029" s="419"/>
      <c r="Y1029" s="154"/>
      <c r="Z1029" s="154"/>
      <c r="AA1029" s="154"/>
      <c r="AB1029" s="154"/>
      <c r="AC1029" s="154"/>
      <c r="AD1029" s="154"/>
      <c r="AE1029" s="154"/>
      <c r="AF1029" s="154"/>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154"/>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c r="BY1029" s="115"/>
      <c r="BZ1029" s="115"/>
      <c r="CA1029" s="115"/>
      <c r="CB1029" s="115"/>
      <c r="CC1029" s="115"/>
      <c r="CD1029" s="115"/>
      <c r="CE1029" s="115"/>
      <c r="CF1029" s="115"/>
      <c r="CG1029" s="115"/>
      <c r="CH1029" s="115"/>
      <c r="CI1029" s="115"/>
      <c r="CJ1029" s="115"/>
      <c r="CK1029" s="115"/>
      <c r="CL1029" s="115"/>
      <c r="CM1029" s="115"/>
      <c r="CN1029" s="115"/>
      <c r="CO1029" s="115"/>
      <c r="CP1029" s="115"/>
      <c r="CQ1029" s="115"/>
      <c r="CR1029" s="115"/>
      <c r="CS1029" s="115"/>
      <c r="CT1029" s="115"/>
      <c r="CU1029" s="115"/>
      <c r="CV1029" s="115"/>
      <c r="CW1029" s="115"/>
      <c r="CX1029" s="115"/>
      <c r="CY1029" s="115"/>
      <c r="CZ1029" s="115"/>
      <c r="DA1029" s="115"/>
      <c r="DB1029" s="115"/>
      <c r="DC1029" s="115"/>
      <c r="DD1029" s="115"/>
      <c r="DE1029" s="115"/>
      <c r="DF1029" s="115"/>
      <c r="DG1029" s="115"/>
    </row>
    <row r="1030" spans="1:111" ht="4.5" customHeight="1">
      <c r="A1030" s="154"/>
      <c r="B1030" s="154"/>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c r="BY1030" s="115"/>
      <c r="BZ1030" s="115"/>
      <c r="CA1030" s="115"/>
      <c r="CB1030" s="115"/>
      <c r="CC1030" s="115"/>
      <c r="CD1030" s="115"/>
      <c r="CE1030" s="115"/>
      <c r="CF1030" s="115"/>
      <c r="CG1030" s="115"/>
      <c r="CH1030" s="115"/>
      <c r="CI1030" s="115"/>
      <c r="CJ1030" s="115"/>
      <c r="CK1030" s="115"/>
      <c r="CL1030" s="115"/>
      <c r="CM1030" s="115"/>
      <c r="CN1030" s="115"/>
      <c r="CO1030" s="115"/>
      <c r="CP1030" s="115"/>
      <c r="CQ1030" s="115"/>
      <c r="CR1030" s="115"/>
      <c r="CS1030" s="115"/>
      <c r="CT1030" s="115"/>
      <c r="CU1030" s="115"/>
      <c r="CV1030" s="115"/>
      <c r="CW1030" s="115"/>
      <c r="CX1030" s="115"/>
      <c r="CY1030" s="115"/>
      <c r="CZ1030" s="115"/>
      <c r="DA1030" s="115"/>
      <c r="DB1030" s="115"/>
      <c r="DC1030" s="115"/>
      <c r="DD1030" s="115"/>
      <c r="DE1030" s="115"/>
      <c r="DF1030" s="115"/>
      <c r="DG1030" s="115"/>
    </row>
    <row r="1031" spans="1:111" ht="9" customHeight="1">
      <c r="A1031" s="154"/>
      <c r="B1031" s="154"/>
      <c r="C1031" s="154"/>
      <c r="D1031" s="154"/>
      <c r="E1031" s="154"/>
      <c r="F1031" s="154"/>
      <c r="G1031" s="154"/>
      <c r="H1031" s="154"/>
      <c r="I1031" s="154"/>
      <c r="J1031" s="416" t="str">
        <f>IF(C1009="","","Valor Total (R$):")</f>
        <v/>
      </c>
      <c r="K1031" s="416"/>
      <c r="L1031" s="416"/>
      <c r="M1031" s="416"/>
      <c r="N1031" s="416"/>
      <c r="O1031" s="416"/>
      <c r="P1031" s="154"/>
      <c r="Q1031" s="419" t="str">
        <f>IF(Q1027="","",Q1023*Q1027)</f>
        <v/>
      </c>
      <c r="R1031" s="419"/>
      <c r="S1031" s="419"/>
      <c r="T1031" s="419"/>
      <c r="U1031" s="419"/>
      <c r="V1031" s="419"/>
      <c r="W1031" s="419"/>
      <c r="X1031" s="419"/>
      <c r="Y1031" s="154"/>
      <c r="Z1031" s="416" t="str">
        <f>IF(C1009="","",IF(J1015="52 Equipamentos e Material Permanente","Justificativa e Utilização:",""))</f>
        <v/>
      </c>
      <c r="AA1031" s="416"/>
      <c r="AB1031" s="416"/>
      <c r="AC1031" s="416"/>
      <c r="AD1031" s="416"/>
      <c r="AE1031" s="416"/>
      <c r="AF1031" s="154"/>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154"/>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c r="BY1031" s="115"/>
      <c r="BZ1031" s="115"/>
      <c r="CA1031" s="115"/>
      <c r="CB1031" s="115"/>
      <c r="CC1031" s="115"/>
      <c r="CD1031" s="115"/>
      <c r="CE1031" s="115"/>
      <c r="CF1031" s="115"/>
      <c r="CG1031" s="115"/>
      <c r="CH1031" s="115"/>
      <c r="CI1031" s="115"/>
      <c r="CJ1031" s="115"/>
      <c r="CK1031" s="115"/>
      <c r="CL1031" s="115"/>
      <c r="CM1031" s="115"/>
      <c r="CN1031" s="115"/>
      <c r="CO1031" s="115"/>
      <c r="CP1031" s="115"/>
      <c r="CQ1031" s="115"/>
      <c r="CR1031" s="115"/>
      <c r="CS1031" s="115"/>
      <c r="CT1031" s="115"/>
      <c r="CU1031" s="115"/>
      <c r="CV1031" s="115"/>
      <c r="CW1031" s="115"/>
      <c r="CX1031" s="115"/>
      <c r="CY1031" s="115"/>
      <c r="CZ1031" s="115"/>
      <c r="DA1031" s="115"/>
      <c r="DB1031" s="115"/>
      <c r="DC1031" s="115"/>
      <c r="DD1031" s="115"/>
      <c r="DE1031" s="115"/>
      <c r="DF1031" s="115"/>
      <c r="DG1031" s="115"/>
    </row>
    <row r="1032" spans="1:111" ht="9" customHeight="1">
      <c r="A1032" s="154"/>
      <c r="B1032" s="154"/>
      <c r="C1032" s="154"/>
      <c r="D1032" s="154"/>
      <c r="E1032" s="154"/>
      <c r="F1032" s="154"/>
      <c r="G1032" s="154"/>
      <c r="H1032" s="154"/>
      <c r="I1032" s="154"/>
      <c r="J1032" s="416"/>
      <c r="K1032" s="416"/>
      <c r="L1032" s="416"/>
      <c r="M1032" s="416"/>
      <c r="N1032" s="416"/>
      <c r="O1032" s="416"/>
      <c r="P1032" s="154"/>
      <c r="Q1032" s="419"/>
      <c r="R1032" s="419"/>
      <c r="S1032" s="419"/>
      <c r="T1032" s="419"/>
      <c r="U1032" s="419"/>
      <c r="V1032" s="419"/>
      <c r="W1032" s="419"/>
      <c r="X1032" s="419"/>
      <c r="Y1032" s="154"/>
      <c r="Z1032" s="416"/>
      <c r="AA1032" s="416"/>
      <c r="AB1032" s="416"/>
      <c r="AC1032" s="416"/>
      <c r="AD1032" s="416"/>
      <c r="AE1032" s="416"/>
      <c r="AF1032" s="154"/>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154"/>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c r="BY1032" s="115"/>
      <c r="BZ1032" s="115"/>
      <c r="CA1032" s="115"/>
      <c r="CB1032" s="115"/>
      <c r="CC1032" s="115"/>
      <c r="CD1032" s="115"/>
      <c r="CE1032" s="115"/>
      <c r="CF1032" s="115"/>
      <c r="CG1032" s="115"/>
      <c r="CH1032" s="115"/>
      <c r="CI1032" s="115"/>
      <c r="CJ1032" s="115"/>
      <c r="CK1032" s="115"/>
      <c r="CL1032" s="115"/>
      <c r="CM1032" s="115"/>
      <c r="CN1032" s="115"/>
      <c r="CO1032" s="115"/>
      <c r="CP1032" s="115"/>
      <c r="CQ1032" s="115"/>
      <c r="CR1032" s="115"/>
      <c r="CS1032" s="115"/>
      <c r="CT1032" s="115"/>
      <c r="CU1032" s="115"/>
      <c r="CV1032" s="115"/>
      <c r="CW1032" s="115"/>
      <c r="CX1032" s="115"/>
      <c r="CY1032" s="115"/>
      <c r="CZ1032" s="115"/>
      <c r="DA1032" s="115"/>
      <c r="DB1032" s="115"/>
      <c r="DC1032" s="115"/>
      <c r="DD1032" s="115"/>
      <c r="DE1032" s="115"/>
      <c r="DF1032" s="115"/>
      <c r="DG1032" s="115"/>
    </row>
    <row r="1033" spans="1:111" ht="9" customHeight="1">
      <c r="A1033" s="154"/>
      <c r="B1033" s="154"/>
      <c r="C1033" s="154"/>
      <c r="D1033" s="154"/>
      <c r="E1033" s="154"/>
      <c r="F1033" s="154"/>
      <c r="G1033" s="154"/>
      <c r="H1033" s="154"/>
      <c r="I1033" s="154"/>
      <c r="J1033" s="154"/>
      <c r="K1033" s="154"/>
      <c r="L1033" s="154"/>
      <c r="M1033" s="154"/>
      <c r="N1033" s="154"/>
      <c r="O1033" s="154"/>
      <c r="P1033" s="154"/>
      <c r="Q1033" s="419"/>
      <c r="R1033" s="419"/>
      <c r="S1033" s="419"/>
      <c r="T1033" s="419"/>
      <c r="U1033" s="419"/>
      <c r="V1033" s="419"/>
      <c r="W1033" s="419"/>
      <c r="X1033" s="419"/>
      <c r="Y1033" s="154"/>
      <c r="Z1033" s="154"/>
      <c r="AA1033" s="154"/>
      <c r="AB1033" s="154"/>
      <c r="AC1033" s="154"/>
      <c r="AD1033" s="154"/>
      <c r="AE1033" s="154"/>
      <c r="AF1033" s="154"/>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154"/>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c r="BY1033" s="115"/>
      <c r="BZ1033" s="115"/>
      <c r="CA1033" s="115"/>
      <c r="CB1033" s="115"/>
      <c r="CC1033" s="115"/>
      <c r="CD1033" s="115"/>
      <c r="CE1033" s="115"/>
      <c r="CF1033" s="115"/>
      <c r="CG1033" s="115"/>
      <c r="CH1033" s="115"/>
      <c r="CI1033" s="115"/>
      <c r="CJ1033" s="115"/>
      <c r="CK1033" s="115"/>
      <c r="CL1033" s="115"/>
      <c r="CM1033" s="115"/>
      <c r="CN1033" s="115"/>
      <c r="CO1033" s="115"/>
      <c r="CP1033" s="115"/>
      <c r="CQ1033" s="115"/>
      <c r="CR1033" s="115"/>
      <c r="CS1033" s="115"/>
      <c r="CT1033" s="115"/>
      <c r="CU1033" s="115"/>
      <c r="CV1033" s="115"/>
      <c r="CW1033" s="115"/>
      <c r="CX1033" s="115"/>
      <c r="CY1033" s="115"/>
      <c r="CZ1033" s="115"/>
      <c r="DA1033" s="115"/>
      <c r="DB1033" s="115"/>
      <c r="DC1033" s="115"/>
      <c r="DD1033" s="115"/>
      <c r="DE1033" s="115"/>
      <c r="DF1033" s="115"/>
      <c r="DG1033" s="115"/>
    </row>
    <row r="1034" spans="1:111" ht="9" customHeight="1">
      <c r="A1034" s="154"/>
      <c r="B1034" s="154"/>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420"/>
      <c r="AH1034" s="420"/>
      <c r="AI1034" s="420"/>
      <c r="AJ1034" s="420"/>
      <c r="AK1034" s="420"/>
      <c r="AL1034" s="420"/>
      <c r="AM1034" s="420"/>
      <c r="AN1034" s="420"/>
      <c r="AO1034" s="420"/>
      <c r="AP1034" s="420"/>
      <c r="AQ1034" s="420"/>
      <c r="AR1034" s="420"/>
      <c r="AS1034" s="420"/>
      <c r="AT1034" s="420"/>
      <c r="AU1034" s="420"/>
      <c r="AV1034" s="420"/>
      <c r="AW1034" s="420"/>
      <c r="AX1034" s="420"/>
      <c r="AY1034" s="420"/>
      <c r="AZ1034" s="420"/>
      <c r="BA1034" s="420"/>
      <c r="BB1034" s="154"/>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c r="BY1034" s="115"/>
      <c r="BZ1034" s="115"/>
      <c r="CA1034" s="115"/>
      <c r="CB1034" s="115"/>
      <c r="CC1034" s="115"/>
      <c r="CD1034" s="115"/>
      <c r="CE1034" s="115"/>
      <c r="CF1034" s="115"/>
      <c r="CG1034" s="115"/>
      <c r="CH1034" s="115"/>
      <c r="CI1034" s="115"/>
      <c r="CJ1034" s="115"/>
      <c r="CK1034" s="115"/>
      <c r="CL1034" s="115"/>
      <c r="CM1034" s="115"/>
      <c r="CN1034" s="115"/>
      <c r="CO1034" s="115"/>
      <c r="CP1034" s="115"/>
      <c r="CQ1034" s="115"/>
      <c r="CR1034" s="115"/>
      <c r="CS1034" s="115"/>
      <c r="CT1034" s="115"/>
      <c r="CU1034" s="115"/>
      <c r="CV1034" s="115"/>
      <c r="CW1034" s="115"/>
      <c r="CX1034" s="115"/>
      <c r="CY1034" s="115"/>
      <c r="CZ1034" s="115"/>
      <c r="DA1034" s="115"/>
      <c r="DB1034" s="115"/>
      <c r="DC1034" s="115"/>
      <c r="DD1034" s="115"/>
      <c r="DE1034" s="115"/>
      <c r="DF1034" s="115"/>
      <c r="DG1034" s="115"/>
    </row>
    <row r="1035" spans="1:111" ht="9" customHeight="1">
      <c r="A1035" s="154"/>
      <c r="B1035" s="154"/>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420"/>
      <c r="AH1035" s="420"/>
      <c r="AI1035" s="420"/>
      <c r="AJ1035" s="420"/>
      <c r="AK1035" s="420"/>
      <c r="AL1035" s="420"/>
      <c r="AM1035" s="420"/>
      <c r="AN1035" s="420"/>
      <c r="AO1035" s="420"/>
      <c r="AP1035" s="420"/>
      <c r="AQ1035" s="420"/>
      <c r="AR1035" s="420"/>
      <c r="AS1035" s="420"/>
      <c r="AT1035" s="420"/>
      <c r="AU1035" s="420"/>
      <c r="AV1035" s="420"/>
      <c r="AW1035" s="420"/>
      <c r="AX1035" s="420"/>
      <c r="AY1035" s="420"/>
      <c r="AZ1035" s="420"/>
      <c r="BA1035" s="420"/>
      <c r="BB1035" s="154"/>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c r="BY1035" s="115"/>
      <c r="BZ1035" s="115"/>
      <c r="CA1035" s="115"/>
      <c r="CB1035" s="115"/>
      <c r="CC1035" s="115"/>
      <c r="CD1035" s="115"/>
      <c r="CE1035" s="115"/>
      <c r="CF1035" s="115"/>
      <c r="CG1035" s="115"/>
      <c r="CH1035" s="115"/>
      <c r="CI1035" s="115"/>
      <c r="CJ1035" s="115"/>
      <c r="CK1035" s="115"/>
      <c r="CL1035" s="115"/>
      <c r="CM1035" s="115"/>
      <c r="CN1035" s="115"/>
      <c r="CO1035" s="115"/>
      <c r="CP1035" s="115"/>
      <c r="CQ1035" s="115"/>
      <c r="CR1035" s="115"/>
      <c r="CS1035" s="115"/>
      <c r="CT1035" s="115"/>
      <c r="CU1035" s="115"/>
      <c r="CV1035" s="115"/>
      <c r="CW1035" s="115"/>
      <c r="CX1035" s="115"/>
      <c r="CY1035" s="115"/>
      <c r="CZ1035" s="115"/>
      <c r="DA1035" s="115"/>
      <c r="DB1035" s="115"/>
      <c r="DC1035" s="115"/>
      <c r="DD1035" s="115"/>
      <c r="DE1035" s="115"/>
      <c r="DF1035" s="115"/>
      <c r="DG1035" s="115"/>
    </row>
    <row r="1036" spans="1:111" ht="9" customHeight="1">
      <c r="A1036" s="154"/>
      <c r="B1036" s="154"/>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420"/>
      <c r="AH1036" s="420"/>
      <c r="AI1036" s="420"/>
      <c r="AJ1036" s="420"/>
      <c r="AK1036" s="420"/>
      <c r="AL1036" s="420"/>
      <c r="AM1036" s="420"/>
      <c r="AN1036" s="420"/>
      <c r="AO1036" s="420"/>
      <c r="AP1036" s="420"/>
      <c r="AQ1036" s="420"/>
      <c r="AR1036" s="420"/>
      <c r="AS1036" s="420"/>
      <c r="AT1036" s="420"/>
      <c r="AU1036" s="420"/>
      <c r="AV1036" s="420"/>
      <c r="AW1036" s="420"/>
      <c r="AX1036" s="420"/>
      <c r="AY1036" s="420"/>
      <c r="AZ1036" s="420"/>
      <c r="BA1036" s="420"/>
      <c r="BB1036" s="154"/>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c r="BY1036" s="115"/>
      <c r="BZ1036" s="115"/>
      <c r="CA1036" s="115"/>
      <c r="CB1036" s="115"/>
      <c r="CC1036" s="115"/>
      <c r="CD1036" s="115"/>
      <c r="CE1036" s="115"/>
      <c r="CF1036" s="115"/>
      <c r="CG1036" s="115"/>
      <c r="CH1036" s="115"/>
      <c r="CI1036" s="115"/>
      <c r="CJ1036" s="115"/>
      <c r="CK1036" s="115"/>
      <c r="CL1036" s="115"/>
      <c r="CM1036" s="115"/>
      <c r="CN1036" s="115"/>
      <c r="CO1036" s="115"/>
      <c r="CP1036" s="115"/>
      <c r="CQ1036" s="115"/>
      <c r="CR1036" s="115"/>
      <c r="CS1036" s="115"/>
      <c r="CT1036" s="115"/>
      <c r="CU1036" s="115"/>
      <c r="CV1036" s="115"/>
      <c r="CW1036" s="115"/>
      <c r="CX1036" s="115"/>
      <c r="CY1036" s="115"/>
      <c r="CZ1036" s="115"/>
      <c r="DA1036" s="115"/>
      <c r="DB1036" s="115"/>
      <c r="DC1036" s="115"/>
      <c r="DD1036" s="115"/>
      <c r="DE1036" s="115"/>
      <c r="DF1036" s="115"/>
      <c r="DG1036" s="115"/>
    </row>
    <row r="1037" spans="1:111" ht="15" customHeight="1">
      <c r="B1037" s="55"/>
      <c r="C1037" s="55"/>
      <c r="D1037" s="56"/>
      <c r="E1037" s="56"/>
      <c r="F1037" s="56"/>
      <c r="G1037" s="56"/>
      <c r="H1037" s="56"/>
      <c r="I1037" s="56"/>
      <c r="J1037" s="56"/>
      <c r="K1037" s="56"/>
      <c r="L1037" s="56"/>
      <c r="M1037" s="56"/>
      <c r="N1037" s="56"/>
      <c r="O1037" s="56"/>
      <c r="P1037" s="56"/>
      <c r="Q1037" s="56"/>
      <c r="R1037" s="56"/>
      <c r="S1037" s="56"/>
      <c r="T1037" s="56"/>
      <c r="U1037" s="56"/>
      <c r="V1037" s="56"/>
      <c r="W1037" s="56"/>
      <c r="X1037" s="56"/>
      <c r="Y1037" s="56"/>
      <c r="Z1037" s="56"/>
      <c r="AA1037" s="56"/>
      <c r="AB1037" s="56"/>
      <c r="AC1037" s="56"/>
      <c r="AD1037" s="56"/>
      <c r="AE1037" s="56"/>
      <c r="AF1037" s="56"/>
      <c r="AG1037" s="56"/>
      <c r="AH1037" s="56"/>
      <c r="AI1037" s="56"/>
      <c r="AJ1037" s="56"/>
      <c r="AK1037" s="141"/>
      <c r="AL1037" s="141"/>
      <c r="AM1037" s="141"/>
      <c r="AN1037" s="141"/>
      <c r="AO1037" s="140"/>
      <c r="AP1037" s="140"/>
      <c r="AQ1037" s="140"/>
      <c r="AR1037" s="140"/>
      <c r="AS1037" s="142"/>
      <c r="AT1037" s="142"/>
      <c r="AU1037" s="142"/>
      <c r="AV1037" s="142"/>
      <c r="AW1037" s="140"/>
      <c r="AX1037" s="140"/>
      <c r="AY1037" s="140"/>
      <c r="AZ1037" s="140"/>
      <c r="BA1037" s="140"/>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c r="BY1037" s="115"/>
      <c r="BZ1037" s="115"/>
      <c r="CA1037" s="115"/>
      <c r="CB1037" s="115"/>
      <c r="CC1037" s="115"/>
      <c r="CD1037" s="115"/>
      <c r="CE1037" s="115"/>
      <c r="CF1037" s="115"/>
      <c r="CG1037" s="115"/>
      <c r="CH1037" s="115"/>
      <c r="CI1037" s="115"/>
      <c r="CJ1037" s="115"/>
      <c r="CK1037" s="115"/>
      <c r="CL1037" s="115"/>
      <c r="CM1037" s="115"/>
      <c r="CN1037" s="115"/>
      <c r="CO1037" s="115"/>
      <c r="CP1037" s="115"/>
      <c r="CQ1037" s="115"/>
      <c r="CR1037" s="115"/>
      <c r="CS1037" s="115"/>
      <c r="CT1037" s="115"/>
      <c r="CU1037" s="115"/>
      <c r="CV1037" s="115"/>
      <c r="CW1037" s="115"/>
      <c r="CX1037" s="115"/>
      <c r="CY1037" s="115"/>
      <c r="CZ1037" s="115"/>
      <c r="DA1037" s="115"/>
      <c r="DB1037" s="115"/>
      <c r="DC1037" s="115"/>
      <c r="DD1037" s="115"/>
      <c r="DE1037" s="115"/>
      <c r="DF1037" s="115"/>
      <c r="DG1037" s="115"/>
    </row>
    <row r="1038" spans="1:111" ht="15" customHeight="1">
      <c r="B1038" s="55"/>
      <c r="C1038" s="422" t="str">
        <f>IF($AA$165&gt;=31,"DESPESA 31","")</f>
        <v/>
      </c>
      <c r="D1038" s="422"/>
      <c r="E1038" s="422"/>
      <c r="F1038" s="422"/>
      <c r="G1038" s="422"/>
      <c r="H1038" s="422"/>
      <c r="I1038" s="56"/>
      <c r="J1038" s="56"/>
      <c r="K1038" s="56"/>
      <c r="L1038" s="56"/>
      <c r="M1038" s="56"/>
      <c r="N1038" s="56"/>
      <c r="O1038" s="56"/>
      <c r="P1038" s="56"/>
      <c r="Q1038" s="56"/>
      <c r="R1038" s="56"/>
      <c r="S1038" s="56"/>
      <c r="T1038" s="56"/>
      <c r="U1038" s="56"/>
      <c r="V1038" s="56"/>
      <c r="W1038" s="56"/>
      <c r="X1038" s="56"/>
      <c r="Y1038" s="56"/>
      <c r="Z1038" s="56"/>
      <c r="AA1038" s="56"/>
      <c r="AB1038" s="56"/>
      <c r="AC1038" s="56"/>
      <c r="AD1038" s="56"/>
      <c r="AE1038" s="56"/>
      <c r="AF1038" s="56"/>
      <c r="AG1038" s="56"/>
      <c r="AH1038" s="56"/>
      <c r="AI1038" s="56"/>
      <c r="AJ1038" s="56"/>
      <c r="AK1038" s="141"/>
      <c r="AL1038" s="141"/>
      <c r="AM1038" s="141"/>
      <c r="AN1038" s="141"/>
      <c r="AO1038" s="140"/>
      <c r="AP1038" s="140"/>
      <c r="AQ1038" s="140"/>
      <c r="AR1038" s="140"/>
      <c r="AS1038" s="142"/>
      <c r="AT1038" s="142"/>
      <c r="AU1038" s="142"/>
      <c r="AV1038" s="142"/>
      <c r="AW1038" s="140"/>
      <c r="AX1038" s="140"/>
      <c r="AY1038" s="140"/>
      <c r="AZ1038" s="140"/>
      <c r="BA1038" s="140"/>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c r="BY1038" s="115"/>
      <c r="BZ1038" s="115"/>
      <c r="CA1038" s="115"/>
      <c r="CB1038" s="115"/>
      <c r="CC1038" s="115"/>
      <c r="CD1038" s="115"/>
      <c r="CE1038" s="115"/>
      <c r="CF1038" s="115"/>
      <c r="CG1038" s="115"/>
      <c r="CH1038" s="115"/>
      <c r="CI1038" s="115"/>
      <c r="CJ1038" s="115"/>
      <c r="CK1038" s="115"/>
      <c r="CL1038" s="115"/>
      <c r="CM1038" s="115"/>
      <c r="CN1038" s="115"/>
      <c r="CO1038" s="115"/>
      <c r="CP1038" s="115"/>
      <c r="CQ1038" s="115"/>
      <c r="CR1038" s="115"/>
      <c r="CS1038" s="115"/>
      <c r="CT1038" s="115"/>
      <c r="CU1038" s="115"/>
      <c r="CV1038" s="115"/>
      <c r="CW1038" s="115"/>
      <c r="CX1038" s="115"/>
      <c r="CY1038" s="115"/>
      <c r="CZ1038" s="115"/>
      <c r="DA1038" s="115"/>
      <c r="DB1038" s="115"/>
      <c r="DC1038" s="115"/>
      <c r="DD1038" s="115"/>
      <c r="DE1038" s="115"/>
      <c r="DF1038" s="115"/>
      <c r="DG1038" s="115"/>
    </row>
    <row r="1039" spans="1:111" ht="4.5" customHeight="1">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c r="BY1039" s="115"/>
      <c r="BZ1039" s="115"/>
      <c r="CA1039" s="115"/>
      <c r="CB1039" s="115"/>
      <c r="CC1039" s="115"/>
      <c r="CD1039" s="115"/>
      <c r="CE1039" s="115"/>
      <c r="CF1039" s="115"/>
      <c r="CG1039" s="115"/>
      <c r="CH1039" s="115"/>
      <c r="CI1039" s="115"/>
      <c r="CJ1039" s="115"/>
      <c r="CK1039" s="115"/>
      <c r="CL1039" s="115"/>
      <c r="CM1039" s="115"/>
      <c r="CN1039" s="115"/>
      <c r="CO1039" s="115"/>
      <c r="CP1039" s="115"/>
      <c r="CQ1039" s="115"/>
      <c r="CR1039" s="115"/>
      <c r="CS1039" s="115"/>
      <c r="CT1039" s="115"/>
      <c r="CU1039" s="115"/>
      <c r="CV1039" s="115"/>
      <c r="CW1039" s="115"/>
      <c r="CX1039" s="115"/>
      <c r="CY1039" s="115"/>
      <c r="CZ1039" s="115"/>
      <c r="DA1039" s="115"/>
      <c r="DB1039" s="115"/>
      <c r="DC1039" s="115"/>
      <c r="DD1039" s="115"/>
      <c r="DE1039" s="115"/>
      <c r="DF1039" s="115"/>
      <c r="DG1039" s="115"/>
    </row>
    <row r="1040" spans="1:111" ht="9" customHeight="1">
      <c r="C1040" s="416" t="str">
        <f>IF(C1038="","","Descrição da Despesa:")</f>
        <v/>
      </c>
      <c r="D1040" s="416"/>
      <c r="E1040" s="416"/>
      <c r="F1040" s="416"/>
      <c r="G1040" s="416"/>
      <c r="H1040" s="416"/>
      <c r="I1040" s="60"/>
      <c r="J1040" s="421"/>
      <c r="K1040" s="421"/>
      <c r="L1040" s="421"/>
      <c r="M1040" s="421"/>
      <c r="N1040" s="421"/>
      <c r="O1040" s="421"/>
      <c r="P1040" s="421"/>
      <c r="Q1040" s="421"/>
      <c r="R1040" s="421"/>
      <c r="S1040" s="421"/>
      <c r="T1040" s="421"/>
      <c r="U1040" s="421"/>
      <c r="V1040" s="421"/>
      <c r="W1040" s="421"/>
      <c r="X1040" s="421"/>
      <c r="Y1040" s="421"/>
      <c r="Z1040" s="421"/>
      <c r="AA1040" s="421"/>
      <c r="AB1040" s="421"/>
      <c r="AC1040" s="421"/>
      <c r="AD1040" s="421"/>
      <c r="AE1040" s="421"/>
      <c r="AF1040" s="421"/>
      <c r="AG1040" s="421"/>
      <c r="AH1040" s="421"/>
      <c r="AI1040" s="421"/>
      <c r="AJ1040" s="421"/>
      <c r="AK1040" s="421"/>
      <c r="AL1040" s="421"/>
      <c r="AM1040" s="421"/>
      <c r="AN1040" s="421"/>
      <c r="AO1040" s="421"/>
      <c r="AP1040" s="421"/>
      <c r="AQ1040" s="421"/>
      <c r="AR1040" s="421"/>
      <c r="AS1040" s="421"/>
      <c r="AT1040" s="421"/>
      <c r="AU1040" s="421"/>
      <c r="AV1040" s="421"/>
      <c r="AW1040" s="421"/>
      <c r="AX1040" s="421"/>
      <c r="AY1040" s="421"/>
      <c r="AZ1040" s="421"/>
      <c r="BA1040" s="421"/>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c r="BY1040" s="115"/>
      <c r="BZ1040" s="115"/>
      <c r="CA1040" s="115"/>
      <c r="CB1040" s="115"/>
      <c r="CC1040" s="115"/>
      <c r="CD1040" s="115"/>
      <c r="CE1040" s="115"/>
      <c r="CF1040" s="115"/>
      <c r="CG1040" s="115"/>
      <c r="CH1040" s="115"/>
      <c r="CI1040" s="115"/>
      <c r="CJ1040" s="115"/>
      <c r="CK1040" s="115"/>
      <c r="CL1040" s="115"/>
      <c r="CM1040" s="115"/>
      <c r="CN1040" s="115"/>
      <c r="CO1040" s="115"/>
      <c r="CP1040" s="115"/>
      <c r="CQ1040" s="115"/>
      <c r="CR1040" s="115"/>
      <c r="CS1040" s="115"/>
      <c r="CT1040" s="115"/>
      <c r="CU1040" s="115"/>
      <c r="CV1040" s="115"/>
      <c r="CW1040" s="115"/>
      <c r="CX1040" s="115"/>
      <c r="CY1040" s="115"/>
      <c r="CZ1040" s="115"/>
      <c r="DA1040" s="115"/>
      <c r="DB1040" s="115"/>
      <c r="DC1040" s="115"/>
      <c r="DD1040" s="115"/>
      <c r="DE1040" s="115"/>
      <c r="DF1040" s="115"/>
      <c r="DG1040" s="115"/>
    </row>
    <row r="1041" spans="1:111" ht="9" customHeight="1">
      <c r="C1041" s="416"/>
      <c r="D1041" s="416"/>
      <c r="E1041" s="416"/>
      <c r="F1041" s="416"/>
      <c r="G1041" s="416"/>
      <c r="H1041" s="416"/>
      <c r="I1041" s="60"/>
      <c r="J1041" s="421"/>
      <c r="K1041" s="421"/>
      <c r="L1041" s="421"/>
      <c r="M1041" s="421"/>
      <c r="N1041" s="421"/>
      <c r="O1041" s="421"/>
      <c r="P1041" s="421"/>
      <c r="Q1041" s="421"/>
      <c r="R1041" s="421"/>
      <c r="S1041" s="421"/>
      <c r="T1041" s="421"/>
      <c r="U1041" s="421"/>
      <c r="V1041" s="421"/>
      <c r="W1041" s="421"/>
      <c r="X1041" s="421"/>
      <c r="Y1041" s="421"/>
      <c r="Z1041" s="421"/>
      <c r="AA1041" s="421"/>
      <c r="AB1041" s="421"/>
      <c r="AC1041" s="421"/>
      <c r="AD1041" s="421"/>
      <c r="AE1041" s="421"/>
      <c r="AF1041" s="421"/>
      <c r="AG1041" s="421"/>
      <c r="AH1041" s="421"/>
      <c r="AI1041" s="421"/>
      <c r="AJ1041" s="421"/>
      <c r="AK1041" s="421"/>
      <c r="AL1041" s="421"/>
      <c r="AM1041" s="421"/>
      <c r="AN1041" s="421"/>
      <c r="AO1041" s="421"/>
      <c r="AP1041" s="421"/>
      <c r="AQ1041" s="421"/>
      <c r="AR1041" s="421"/>
      <c r="AS1041" s="421"/>
      <c r="AT1041" s="421"/>
      <c r="AU1041" s="421"/>
      <c r="AV1041" s="421"/>
      <c r="AW1041" s="421"/>
      <c r="AX1041" s="421"/>
      <c r="AY1041" s="421"/>
      <c r="AZ1041" s="421"/>
      <c r="BA1041" s="421"/>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c r="BY1041" s="115"/>
      <c r="BZ1041" s="115"/>
      <c r="CA1041" s="115"/>
      <c r="CB1041" s="115"/>
      <c r="CC1041" s="115"/>
      <c r="CD1041" s="115"/>
      <c r="CE1041" s="115"/>
      <c r="CF1041" s="115"/>
      <c r="CG1041" s="115"/>
      <c r="CH1041" s="115"/>
      <c r="CI1041" s="115"/>
      <c r="CJ1041" s="115"/>
      <c r="CK1041" s="115"/>
      <c r="CL1041" s="115"/>
      <c r="CM1041" s="115"/>
      <c r="CN1041" s="115"/>
      <c r="CO1041" s="115"/>
      <c r="CP1041" s="115"/>
      <c r="CQ1041" s="115"/>
      <c r="CR1041" s="115"/>
      <c r="CS1041" s="115"/>
      <c r="CT1041" s="115"/>
      <c r="CU1041" s="115"/>
      <c r="CV1041" s="115"/>
      <c r="CW1041" s="115"/>
      <c r="CX1041" s="115"/>
      <c r="CY1041" s="115"/>
      <c r="CZ1041" s="115"/>
      <c r="DA1041" s="115"/>
      <c r="DB1041" s="115"/>
      <c r="DC1041" s="115"/>
      <c r="DD1041" s="115"/>
      <c r="DE1041" s="115"/>
      <c r="DF1041" s="115"/>
      <c r="DG1041" s="115"/>
    </row>
    <row r="1042" spans="1:111" ht="9" customHeight="1">
      <c r="C1042" s="416"/>
      <c r="D1042" s="416"/>
      <c r="E1042" s="416"/>
      <c r="F1042" s="416"/>
      <c r="G1042" s="416"/>
      <c r="H1042" s="416"/>
      <c r="I1042" s="60"/>
      <c r="J1042" s="421"/>
      <c r="K1042" s="421"/>
      <c r="L1042" s="421"/>
      <c r="M1042" s="421"/>
      <c r="N1042" s="421"/>
      <c r="O1042" s="421"/>
      <c r="P1042" s="421"/>
      <c r="Q1042" s="421"/>
      <c r="R1042" s="421"/>
      <c r="S1042" s="421"/>
      <c r="T1042" s="421"/>
      <c r="U1042" s="421"/>
      <c r="V1042" s="421"/>
      <c r="W1042" s="421"/>
      <c r="X1042" s="421"/>
      <c r="Y1042" s="421"/>
      <c r="Z1042" s="421"/>
      <c r="AA1042" s="421"/>
      <c r="AB1042" s="421"/>
      <c r="AC1042" s="421"/>
      <c r="AD1042" s="421"/>
      <c r="AE1042" s="421"/>
      <c r="AF1042" s="421"/>
      <c r="AG1042" s="421"/>
      <c r="AH1042" s="421"/>
      <c r="AI1042" s="421"/>
      <c r="AJ1042" s="421"/>
      <c r="AK1042" s="421"/>
      <c r="AL1042" s="421"/>
      <c r="AM1042" s="421"/>
      <c r="AN1042" s="421"/>
      <c r="AO1042" s="421"/>
      <c r="AP1042" s="421"/>
      <c r="AQ1042" s="421"/>
      <c r="AR1042" s="421"/>
      <c r="AS1042" s="421"/>
      <c r="AT1042" s="421"/>
      <c r="AU1042" s="421"/>
      <c r="AV1042" s="421"/>
      <c r="AW1042" s="421"/>
      <c r="AX1042" s="421"/>
      <c r="AY1042" s="421"/>
      <c r="AZ1042" s="421"/>
      <c r="BA1042" s="421"/>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c r="BY1042" s="115"/>
      <c r="BZ1042" s="115"/>
      <c r="CA1042" s="115"/>
      <c r="CB1042" s="115"/>
      <c r="CC1042" s="115"/>
      <c r="CD1042" s="115"/>
      <c r="CE1042" s="115"/>
      <c r="CF1042" s="115"/>
      <c r="CG1042" s="115"/>
      <c r="CH1042" s="115"/>
      <c r="CI1042" s="115"/>
      <c r="CJ1042" s="115"/>
      <c r="CK1042" s="115"/>
      <c r="CL1042" s="115"/>
      <c r="CM1042" s="115"/>
      <c r="CN1042" s="115"/>
      <c r="CO1042" s="115"/>
      <c r="CP1042" s="115"/>
      <c r="CQ1042" s="115"/>
      <c r="CR1042" s="115"/>
      <c r="CS1042" s="115"/>
      <c r="CT1042" s="115"/>
      <c r="CU1042" s="115"/>
      <c r="CV1042" s="115"/>
      <c r="CW1042" s="115"/>
      <c r="CX1042" s="115"/>
      <c r="CY1042" s="115"/>
      <c r="CZ1042" s="115"/>
      <c r="DA1042" s="115"/>
      <c r="DB1042" s="115"/>
      <c r="DC1042" s="115"/>
      <c r="DD1042" s="115"/>
      <c r="DE1042" s="115"/>
      <c r="DF1042" s="115"/>
      <c r="DG1042" s="115"/>
    </row>
    <row r="1043" spans="1:111" ht="4.5" customHeight="1">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c r="BY1043" s="115"/>
      <c r="BZ1043" s="115"/>
      <c r="CA1043" s="115"/>
      <c r="CB1043" s="115"/>
      <c r="CC1043" s="115"/>
      <c r="CD1043" s="115"/>
      <c r="CE1043" s="115"/>
      <c r="CF1043" s="115"/>
      <c r="CG1043" s="115"/>
      <c r="CH1043" s="115"/>
      <c r="CI1043" s="115"/>
      <c r="CJ1043" s="115"/>
      <c r="CK1043" s="115"/>
      <c r="CL1043" s="115"/>
      <c r="CM1043" s="115"/>
      <c r="CN1043" s="115"/>
      <c r="CO1043" s="115"/>
      <c r="CP1043" s="115"/>
      <c r="CQ1043" s="115"/>
      <c r="CR1043" s="115"/>
      <c r="CS1043" s="115"/>
      <c r="CT1043" s="115"/>
      <c r="CU1043" s="115"/>
      <c r="CV1043" s="115"/>
      <c r="CW1043" s="115"/>
      <c r="CX1043" s="115"/>
      <c r="CY1043" s="115"/>
      <c r="CZ1043" s="115"/>
      <c r="DA1043" s="115"/>
      <c r="DB1043" s="115"/>
      <c r="DC1043" s="115"/>
      <c r="DD1043" s="115"/>
      <c r="DE1043" s="115"/>
      <c r="DF1043" s="115"/>
      <c r="DG1043" s="115"/>
    </row>
    <row r="1044" spans="1:111" ht="9" customHeight="1">
      <c r="C1044" s="416" t="str">
        <f>IF(C1038="","","Elemento de Despesa:")</f>
        <v/>
      </c>
      <c r="D1044" s="416"/>
      <c r="E1044" s="416"/>
      <c r="F1044" s="416"/>
      <c r="G1044" s="416"/>
      <c r="H1044" s="416"/>
      <c r="J1044" s="421"/>
      <c r="K1044" s="421"/>
      <c r="L1044" s="421"/>
      <c r="M1044" s="421"/>
      <c r="N1044" s="421"/>
      <c r="O1044" s="421"/>
      <c r="P1044" s="421"/>
      <c r="Q1044" s="421"/>
      <c r="R1044" s="421"/>
      <c r="S1044" s="421"/>
      <c r="T1044" s="421"/>
      <c r="U1044" s="421"/>
      <c r="V1044" s="421"/>
      <c r="W1044" s="421"/>
      <c r="X1044" s="421"/>
      <c r="Y1044" s="421"/>
      <c r="Z1044" s="421"/>
      <c r="AA1044" s="421"/>
      <c r="AB1044" s="421"/>
      <c r="AC1044" s="421"/>
      <c r="AD1044" s="421"/>
      <c r="AE1044" s="421"/>
      <c r="AF1044" s="421"/>
      <c r="AG1044" s="421"/>
      <c r="AH1044" s="421"/>
      <c r="AI1044" s="421"/>
      <c r="AJ1044" s="421"/>
      <c r="AK1044" s="421"/>
      <c r="AL1044" s="421"/>
      <c r="AM1044" s="421"/>
      <c r="AN1044" s="421"/>
      <c r="AO1044" s="421"/>
      <c r="AP1044" s="421"/>
      <c r="AQ1044" s="421"/>
      <c r="AR1044" s="421"/>
      <c r="AS1044" s="421"/>
      <c r="AT1044" s="421"/>
      <c r="AU1044" s="421"/>
      <c r="AV1044" s="421"/>
      <c r="AW1044" s="421"/>
      <c r="AX1044" s="421"/>
      <c r="AY1044" s="421"/>
      <c r="AZ1044" s="421"/>
      <c r="BA1044" s="421"/>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c r="BY1044" s="115"/>
      <c r="BZ1044" s="115"/>
      <c r="CA1044" s="115"/>
      <c r="CB1044" s="115"/>
      <c r="CC1044" s="115"/>
      <c r="CD1044" s="115"/>
      <c r="CE1044" s="115"/>
      <c r="CF1044" s="115"/>
      <c r="CG1044" s="115"/>
      <c r="CH1044" s="115"/>
      <c r="CI1044" s="115"/>
      <c r="CJ1044" s="115"/>
      <c r="CK1044" s="115"/>
      <c r="CL1044" s="115"/>
      <c r="CM1044" s="115"/>
      <c r="CN1044" s="115"/>
      <c r="CO1044" s="115"/>
      <c r="CP1044" s="115"/>
      <c r="CQ1044" s="115"/>
      <c r="CR1044" s="115"/>
      <c r="CS1044" s="115"/>
      <c r="CT1044" s="115"/>
      <c r="CU1044" s="115"/>
      <c r="CV1044" s="115"/>
      <c r="CW1044" s="115"/>
      <c r="CX1044" s="115"/>
      <c r="CY1044" s="115"/>
      <c r="CZ1044" s="115"/>
      <c r="DA1044" s="115"/>
      <c r="DB1044" s="115"/>
      <c r="DC1044" s="115"/>
      <c r="DD1044" s="115"/>
      <c r="DE1044" s="115"/>
      <c r="DF1044" s="115"/>
      <c r="DG1044" s="115"/>
    </row>
    <row r="1045" spans="1:111" ht="9" customHeight="1">
      <c r="C1045" s="416"/>
      <c r="D1045" s="416"/>
      <c r="E1045" s="416"/>
      <c r="F1045" s="416"/>
      <c r="G1045" s="416"/>
      <c r="H1045" s="416"/>
      <c r="J1045" s="421"/>
      <c r="K1045" s="421"/>
      <c r="L1045" s="421"/>
      <c r="M1045" s="421"/>
      <c r="N1045" s="421"/>
      <c r="O1045" s="421"/>
      <c r="P1045" s="421"/>
      <c r="Q1045" s="421"/>
      <c r="R1045" s="421"/>
      <c r="S1045" s="421"/>
      <c r="T1045" s="421"/>
      <c r="U1045" s="421"/>
      <c r="V1045" s="421"/>
      <c r="W1045" s="421"/>
      <c r="X1045" s="421"/>
      <c r="Y1045" s="421"/>
      <c r="Z1045" s="421"/>
      <c r="AA1045" s="421"/>
      <c r="AB1045" s="421"/>
      <c r="AC1045" s="421"/>
      <c r="AD1045" s="421"/>
      <c r="AE1045" s="421"/>
      <c r="AF1045" s="421"/>
      <c r="AG1045" s="421"/>
      <c r="AH1045" s="421"/>
      <c r="AI1045" s="421"/>
      <c r="AJ1045" s="421"/>
      <c r="AK1045" s="421"/>
      <c r="AL1045" s="421"/>
      <c r="AM1045" s="421"/>
      <c r="AN1045" s="421"/>
      <c r="AO1045" s="421"/>
      <c r="AP1045" s="421"/>
      <c r="AQ1045" s="421"/>
      <c r="AR1045" s="421"/>
      <c r="AS1045" s="421"/>
      <c r="AT1045" s="421"/>
      <c r="AU1045" s="421"/>
      <c r="AV1045" s="421"/>
      <c r="AW1045" s="421"/>
      <c r="AX1045" s="421"/>
      <c r="AY1045" s="421"/>
      <c r="AZ1045" s="421"/>
      <c r="BA1045" s="421"/>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c r="BY1045" s="115"/>
      <c r="BZ1045" s="115"/>
      <c r="CA1045" s="115"/>
      <c r="CB1045" s="115"/>
      <c r="CC1045" s="115"/>
      <c r="CD1045" s="115"/>
      <c r="CE1045" s="115"/>
      <c r="CF1045" s="115"/>
      <c r="CG1045" s="115"/>
      <c r="CH1045" s="115"/>
      <c r="CI1045" s="115"/>
      <c r="CJ1045" s="115"/>
      <c r="CK1045" s="115"/>
      <c r="CL1045" s="115"/>
      <c r="CM1045" s="115"/>
      <c r="CN1045" s="115"/>
      <c r="CO1045" s="115"/>
      <c r="CP1045" s="115"/>
      <c r="CQ1045" s="115"/>
      <c r="CR1045" s="115"/>
      <c r="CS1045" s="115"/>
      <c r="CT1045" s="115"/>
      <c r="CU1045" s="115"/>
      <c r="CV1045" s="115"/>
      <c r="CW1045" s="115"/>
      <c r="CX1045" s="115"/>
      <c r="CY1045" s="115"/>
      <c r="CZ1045" s="115"/>
      <c r="DA1045" s="115"/>
      <c r="DB1045" s="115"/>
      <c r="DC1045" s="115"/>
      <c r="DD1045" s="115"/>
      <c r="DE1045" s="115"/>
      <c r="DF1045" s="115"/>
      <c r="DG1045" s="115"/>
    </row>
    <row r="1046" spans="1:111" ht="9" customHeight="1">
      <c r="C1046" s="416"/>
      <c r="D1046" s="416"/>
      <c r="E1046" s="416"/>
      <c r="F1046" s="416"/>
      <c r="G1046" s="416"/>
      <c r="H1046" s="416"/>
      <c r="J1046" s="421"/>
      <c r="K1046" s="421"/>
      <c r="L1046" s="421"/>
      <c r="M1046" s="421"/>
      <c r="N1046" s="421"/>
      <c r="O1046" s="421"/>
      <c r="P1046" s="421"/>
      <c r="Q1046" s="421"/>
      <c r="R1046" s="421"/>
      <c r="S1046" s="421"/>
      <c r="T1046" s="421"/>
      <c r="U1046" s="421"/>
      <c r="V1046" s="421"/>
      <c r="W1046" s="421"/>
      <c r="X1046" s="421"/>
      <c r="Y1046" s="421"/>
      <c r="Z1046" s="421"/>
      <c r="AA1046" s="421"/>
      <c r="AB1046" s="421"/>
      <c r="AC1046" s="421"/>
      <c r="AD1046" s="421"/>
      <c r="AE1046" s="421"/>
      <c r="AF1046" s="421"/>
      <c r="AG1046" s="421"/>
      <c r="AH1046" s="421"/>
      <c r="AI1046" s="421"/>
      <c r="AJ1046" s="421"/>
      <c r="AK1046" s="421"/>
      <c r="AL1046" s="421"/>
      <c r="AM1046" s="421"/>
      <c r="AN1046" s="421"/>
      <c r="AO1046" s="421"/>
      <c r="AP1046" s="421"/>
      <c r="AQ1046" s="421"/>
      <c r="AR1046" s="421"/>
      <c r="AS1046" s="421"/>
      <c r="AT1046" s="421"/>
      <c r="AU1046" s="421"/>
      <c r="AV1046" s="421"/>
      <c r="AW1046" s="421"/>
      <c r="AX1046" s="421"/>
      <c r="AY1046" s="421"/>
      <c r="AZ1046" s="421"/>
      <c r="BA1046" s="421"/>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c r="BY1046" s="115"/>
      <c r="BZ1046" s="115"/>
      <c r="CA1046" s="115"/>
      <c r="CB1046" s="115"/>
      <c r="CC1046" s="115"/>
      <c r="CD1046" s="115"/>
      <c r="CE1046" s="115"/>
      <c r="CF1046" s="115"/>
      <c r="CG1046" s="115"/>
      <c r="CH1046" s="115"/>
      <c r="CI1046" s="115"/>
      <c r="CJ1046" s="115"/>
      <c r="CK1046" s="115"/>
      <c r="CL1046" s="115"/>
      <c r="CM1046" s="115"/>
      <c r="CN1046" s="115"/>
      <c r="CO1046" s="115"/>
      <c r="CP1046" s="115"/>
      <c r="CQ1046" s="115"/>
      <c r="CR1046" s="115"/>
      <c r="CS1046" s="115"/>
      <c r="CT1046" s="115"/>
      <c r="CU1046" s="115"/>
      <c r="CV1046" s="115"/>
      <c r="CW1046" s="115"/>
      <c r="CX1046" s="115"/>
      <c r="CY1046" s="115"/>
      <c r="CZ1046" s="115"/>
      <c r="DA1046" s="115"/>
      <c r="DB1046" s="115"/>
      <c r="DC1046" s="115"/>
      <c r="DD1046" s="115"/>
      <c r="DE1046" s="115"/>
      <c r="DF1046" s="115"/>
      <c r="DG1046" s="115"/>
    </row>
    <row r="1047" spans="1:111" ht="4.5" customHeight="1">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c r="BY1047" s="115"/>
      <c r="BZ1047" s="115"/>
      <c r="CA1047" s="115"/>
      <c r="CB1047" s="115"/>
      <c r="CC1047" s="115"/>
      <c r="CD1047" s="115"/>
      <c r="CE1047" s="115"/>
      <c r="CF1047" s="115"/>
      <c r="CG1047" s="115"/>
      <c r="CH1047" s="115"/>
      <c r="CI1047" s="115"/>
      <c r="CJ1047" s="115"/>
      <c r="CK1047" s="115"/>
      <c r="CL1047" s="115"/>
      <c r="CM1047" s="115"/>
      <c r="CN1047" s="115"/>
      <c r="CO1047" s="115"/>
      <c r="CP1047" s="115"/>
      <c r="CQ1047" s="115"/>
      <c r="CR1047" s="115"/>
      <c r="CS1047" s="115"/>
      <c r="CT1047" s="115"/>
      <c r="CU1047" s="115"/>
      <c r="CV1047" s="115"/>
      <c r="CW1047" s="115"/>
      <c r="CX1047" s="115"/>
      <c r="CY1047" s="115"/>
      <c r="CZ1047" s="115"/>
      <c r="DA1047" s="115"/>
      <c r="DB1047" s="115"/>
      <c r="DC1047" s="115"/>
      <c r="DD1047" s="115"/>
      <c r="DE1047" s="115"/>
      <c r="DF1047" s="115"/>
      <c r="DG1047" s="115"/>
    </row>
    <row r="1048" spans="1:111" ht="9" customHeight="1">
      <c r="A1048" s="61" t="str">
        <f>CONCATENATE(Q1048,AC1048)</f>
        <v/>
      </c>
      <c r="J1048" s="416" t="str">
        <f>IF(C1038="","","Meta Vinculada:")</f>
        <v/>
      </c>
      <c r="K1048" s="416"/>
      <c r="L1048" s="416"/>
      <c r="M1048" s="416"/>
      <c r="N1048" s="416"/>
      <c r="O1048" s="416"/>
      <c r="Q1048" s="417"/>
      <c r="R1048" s="417"/>
      <c r="S1048" s="417"/>
      <c r="T1048" s="417"/>
      <c r="U1048" s="56"/>
      <c r="V1048" s="416" t="str">
        <f>IF(C1038="","","Etapa Vinculada:")</f>
        <v/>
      </c>
      <c r="W1048" s="416"/>
      <c r="X1048" s="416"/>
      <c r="Y1048" s="416"/>
      <c r="Z1048" s="416"/>
      <c r="AA1048" s="416"/>
      <c r="AC1048" s="417"/>
      <c r="AD1048" s="417"/>
      <c r="AE1048" s="417"/>
      <c r="AF1048" s="417"/>
      <c r="AG1048" s="56"/>
      <c r="AH1048" s="56"/>
      <c r="AI1048" s="56"/>
      <c r="AJ1048" s="56"/>
      <c r="AK1048" s="141"/>
      <c r="AL1048" s="141"/>
      <c r="AM1048" s="141"/>
      <c r="AN1048" s="141"/>
      <c r="AO1048" s="140"/>
      <c r="AP1048" s="140"/>
      <c r="AQ1048" s="140"/>
      <c r="AR1048" s="140"/>
      <c r="AS1048" s="142"/>
      <c r="AT1048" s="142"/>
      <c r="AU1048" s="142"/>
      <c r="AV1048" s="142"/>
      <c r="AW1048" s="140"/>
      <c r="AX1048" s="140"/>
      <c r="AY1048" s="140"/>
      <c r="AZ1048" s="140"/>
      <c r="BA1048" s="140"/>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c r="BY1048" s="115"/>
      <c r="BZ1048" s="115"/>
      <c r="CA1048" s="115"/>
      <c r="CB1048" s="115"/>
      <c r="CC1048" s="115"/>
      <c r="CD1048" s="115"/>
      <c r="CE1048" s="115"/>
      <c r="CF1048" s="115"/>
      <c r="CG1048" s="115"/>
      <c r="CH1048" s="115"/>
      <c r="CI1048" s="115"/>
      <c r="CJ1048" s="115"/>
      <c r="CK1048" s="115"/>
      <c r="CL1048" s="115"/>
      <c r="CM1048" s="115"/>
      <c r="CN1048" s="115"/>
      <c r="CO1048" s="115"/>
      <c r="CP1048" s="115"/>
      <c r="CQ1048" s="115"/>
      <c r="CR1048" s="115"/>
      <c r="CS1048" s="115"/>
      <c r="CT1048" s="115"/>
      <c r="CU1048" s="115"/>
      <c r="CV1048" s="115"/>
      <c r="CW1048" s="115"/>
      <c r="CX1048" s="115"/>
      <c r="CY1048" s="115"/>
      <c r="CZ1048" s="115"/>
      <c r="DA1048" s="115"/>
      <c r="DB1048" s="115"/>
      <c r="DC1048" s="115"/>
      <c r="DD1048" s="115"/>
      <c r="DE1048" s="115"/>
      <c r="DF1048" s="115"/>
      <c r="DG1048" s="115"/>
    </row>
    <row r="1049" spans="1:111" ht="9" customHeight="1">
      <c r="B1049" s="55"/>
      <c r="C1049" s="55"/>
      <c r="D1049" s="56"/>
      <c r="E1049" s="56"/>
      <c r="F1049" s="56"/>
      <c r="G1049" s="56"/>
      <c r="H1049" s="56"/>
      <c r="I1049" s="56"/>
      <c r="J1049" s="416"/>
      <c r="K1049" s="416"/>
      <c r="L1049" s="416"/>
      <c r="M1049" s="416"/>
      <c r="N1049" s="416"/>
      <c r="O1049" s="416"/>
      <c r="Q1049" s="417"/>
      <c r="R1049" s="417"/>
      <c r="S1049" s="417"/>
      <c r="T1049" s="417"/>
      <c r="U1049" s="56"/>
      <c r="V1049" s="416"/>
      <c r="W1049" s="416"/>
      <c r="X1049" s="416"/>
      <c r="Y1049" s="416"/>
      <c r="Z1049" s="416"/>
      <c r="AA1049" s="416"/>
      <c r="AC1049" s="417"/>
      <c r="AD1049" s="417"/>
      <c r="AE1049" s="417"/>
      <c r="AF1049" s="417"/>
      <c r="AG1049" s="56"/>
      <c r="AH1049" s="56"/>
      <c r="AI1049" s="56"/>
      <c r="AJ1049" s="56"/>
      <c r="AK1049" s="141"/>
      <c r="AL1049" s="141"/>
      <c r="AM1049" s="141"/>
      <c r="AN1049" s="141"/>
      <c r="AO1049" s="140"/>
      <c r="AP1049" s="140"/>
      <c r="AQ1049" s="140"/>
      <c r="AR1049" s="140"/>
      <c r="AS1049" s="142"/>
      <c r="AT1049" s="142"/>
      <c r="AU1049" s="142"/>
      <c r="AV1049" s="142"/>
      <c r="AW1049" s="140"/>
      <c r="AX1049" s="140"/>
      <c r="AY1049" s="140"/>
      <c r="AZ1049" s="140"/>
      <c r="BA1049" s="140"/>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c r="BY1049" s="115"/>
      <c r="BZ1049" s="115"/>
      <c r="CA1049" s="115"/>
      <c r="CB1049" s="115"/>
      <c r="CC1049" s="115"/>
      <c r="CD1049" s="115"/>
      <c r="CE1049" s="115"/>
      <c r="CF1049" s="115"/>
      <c r="CG1049" s="115"/>
      <c r="CH1049" s="115"/>
      <c r="CI1049" s="115"/>
      <c r="CJ1049" s="115"/>
      <c r="CK1049" s="115"/>
      <c r="CL1049" s="115"/>
      <c r="CM1049" s="115"/>
      <c r="CN1049" s="115"/>
      <c r="CO1049" s="115"/>
      <c r="CP1049" s="115"/>
      <c r="CQ1049" s="115"/>
      <c r="CR1049" s="115"/>
      <c r="CS1049" s="115"/>
      <c r="CT1049" s="115"/>
      <c r="CU1049" s="115"/>
      <c r="CV1049" s="115"/>
      <c r="CW1049" s="115"/>
      <c r="CX1049" s="115"/>
      <c r="CY1049" s="115"/>
      <c r="CZ1049" s="115"/>
      <c r="DA1049" s="115"/>
      <c r="DB1049" s="115"/>
      <c r="DC1049" s="115"/>
      <c r="DD1049" s="115"/>
      <c r="DE1049" s="115"/>
      <c r="DF1049" s="115"/>
      <c r="DG1049" s="115"/>
    </row>
    <row r="1050" spans="1:111" ht="9" customHeight="1">
      <c r="Q1050" s="417"/>
      <c r="R1050" s="417"/>
      <c r="S1050" s="417"/>
      <c r="T1050" s="417"/>
      <c r="AC1050" s="417"/>
      <c r="AD1050" s="417"/>
      <c r="AE1050" s="417"/>
      <c r="AF1050" s="417"/>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c r="BY1050" s="115"/>
      <c r="BZ1050" s="115"/>
      <c r="CA1050" s="115"/>
      <c r="CB1050" s="115"/>
      <c r="CC1050" s="115"/>
      <c r="CD1050" s="115"/>
      <c r="CE1050" s="115"/>
      <c r="CF1050" s="115"/>
      <c r="CG1050" s="115"/>
      <c r="CH1050" s="115"/>
      <c r="CI1050" s="115"/>
      <c r="CJ1050" s="115"/>
      <c r="CK1050" s="115"/>
      <c r="CL1050" s="115"/>
      <c r="CM1050" s="115"/>
      <c r="CN1050" s="115"/>
      <c r="CO1050" s="115"/>
      <c r="CP1050" s="115"/>
      <c r="CQ1050" s="115"/>
      <c r="CR1050" s="115"/>
      <c r="CS1050" s="115"/>
      <c r="CT1050" s="115"/>
      <c r="CU1050" s="115"/>
      <c r="CV1050" s="115"/>
      <c r="CW1050" s="115"/>
      <c r="CX1050" s="115"/>
      <c r="CY1050" s="115"/>
      <c r="CZ1050" s="115"/>
      <c r="DA1050" s="115"/>
      <c r="DB1050" s="115"/>
      <c r="DC1050" s="115"/>
      <c r="DD1050" s="115"/>
      <c r="DE1050" s="115"/>
      <c r="DF1050" s="115"/>
      <c r="DG1050" s="115"/>
    </row>
    <row r="1051" spans="1:111" ht="4.5" customHeight="1">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c r="BY1051" s="115"/>
      <c r="BZ1051" s="115"/>
      <c r="CA1051" s="115"/>
      <c r="CB1051" s="115"/>
      <c r="CC1051" s="115"/>
      <c r="CD1051" s="115"/>
      <c r="CE1051" s="115"/>
      <c r="CF1051" s="115"/>
      <c r="CG1051" s="115"/>
      <c r="CH1051" s="115"/>
      <c r="CI1051" s="115"/>
      <c r="CJ1051" s="115"/>
      <c r="CK1051" s="115"/>
      <c r="CL1051" s="115"/>
      <c r="CM1051" s="115"/>
      <c r="CN1051" s="115"/>
      <c r="CO1051" s="115"/>
      <c r="CP1051" s="115"/>
      <c r="CQ1051" s="115"/>
      <c r="CR1051" s="115"/>
      <c r="CS1051" s="115"/>
      <c r="CT1051" s="115"/>
      <c r="CU1051" s="115"/>
      <c r="CV1051" s="115"/>
      <c r="CW1051" s="115"/>
      <c r="CX1051" s="115"/>
      <c r="CY1051" s="115"/>
      <c r="CZ1051" s="115"/>
      <c r="DA1051" s="115"/>
      <c r="DB1051" s="115"/>
      <c r="DC1051" s="115"/>
      <c r="DD1051" s="115"/>
      <c r="DE1051" s="115"/>
      <c r="DF1051" s="115"/>
      <c r="DG1051" s="115"/>
    </row>
    <row r="1052" spans="1:111" ht="9" customHeight="1">
      <c r="A1052" s="154"/>
      <c r="B1052" s="154"/>
      <c r="C1052" s="154"/>
      <c r="D1052" s="154"/>
      <c r="E1052" s="154"/>
      <c r="F1052" s="154"/>
      <c r="G1052" s="154"/>
      <c r="H1052" s="154"/>
      <c r="I1052" s="154"/>
      <c r="J1052" s="416" t="str">
        <f>IF(C1038="","","Quantidade:")</f>
        <v/>
      </c>
      <c r="K1052" s="416"/>
      <c r="L1052" s="416"/>
      <c r="M1052" s="416"/>
      <c r="N1052" s="416"/>
      <c r="O1052" s="416"/>
      <c r="P1052" s="154"/>
      <c r="Q1052" s="417"/>
      <c r="R1052" s="417"/>
      <c r="S1052" s="417"/>
      <c r="T1052" s="417"/>
      <c r="U1052" s="154"/>
      <c r="V1052" s="416" t="str">
        <f>IF(C1038="","","Unidade:")</f>
        <v/>
      </c>
      <c r="W1052" s="416"/>
      <c r="X1052" s="416"/>
      <c r="Y1052" s="416"/>
      <c r="Z1052" s="416"/>
      <c r="AA1052" s="416"/>
      <c r="AB1052" s="154"/>
      <c r="AC1052" s="418"/>
      <c r="AD1052" s="418"/>
      <c r="AE1052" s="418"/>
      <c r="AF1052" s="418"/>
      <c r="AG1052" s="418"/>
      <c r="AH1052" s="418"/>
      <c r="AI1052" s="418"/>
      <c r="AJ1052" s="418"/>
      <c r="AK1052" s="418"/>
      <c r="AL1052" s="418"/>
      <c r="AM1052" s="418"/>
      <c r="AN1052" s="418"/>
      <c r="AO1052" s="418"/>
      <c r="AP1052" s="418"/>
      <c r="AQ1052" s="418"/>
      <c r="AR1052" s="418"/>
      <c r="AS1052" s="418"/>
      <c r="AT1052" s="418"/>
      <c r="AU1052" s="418"/>
      <c r="AV1052" s="418"/>
      <c r="AW1052" s="418"/>
      <c r="AX1052" s="418"/>
      <c r="AY1052" s="418"/>
      <c r="AZ1052" s="418"/>
      <c r="BA1052" s="418"/>
      <c r="BB1052" s="154"/>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c r="BY1052" s="115"/>
      <c r="BZ1052" s="115"/>
      <c r="CA1052" s="115"/>
      <c r="CB1052" s="115"/>
      <c r="CC1052" s="115"/>
      <c r="CD1052" s="115"/>
      <c r="CE1052" s="115"/>
      <c r="CF1052" s="115"/>
      <c r="CG1052" s="115"/>
      <c r="CH1052" s="115"/>
      <c r="CI1052" s="115"/>
      <c r="CJ1052" s="115"/>
      <c r="CK1052" s="115"/>
      <c r="CL1052" s="115"/>
      <c r="CM1052" s="115"/>
      <c r="CN1052" s="115"/>
      <c r="CO1052" s="115"/>
      <c r="CP1052" s="115"/>
      <c r="CQ1052" s="115"/>
      <c r="CR1052" s="115"/>
      <c r="CS1052" s="115"/>
      <c r="CT1052" s="115"/>
      <c r="CU1052" s="115"/>
      <c r="CV1052" s="115"/>
      <c r="CW1052" s="115"/>
      <c r="CX1052" s="115"/>
      <c r="CY1052" s="115"/>
      <c r="CZ1052" s="115"/>
      <c r="DA1052" s="115"/>
      <c r="DB1052" s="115"/>
      <c r="DC1052" s="115"/>
      <c r="DD1052" s="115"/>
      <c r="DE1052" s="115"/>
      <c r="DF1052" s="115"/>
      <c r="DG1052" s="115"/>
    </row>
    <row r="1053" spans="1:111" ht="9" customHeight="1">
      <c r="A1053" s="154"/>
      <c r="B1053" s="154"/>
      <c r="C1053" s="154"/>
      <c r="D1053" s="154"/>
      <c r="E1053" s="154"/>
      <c r="F1053" s="154"/>
      <c r="G1053" s="154"/>
      <c r="H1053" s="154"/>
      <c r="I1053" s="154"/>
      <c r="J1053" s="416"/>
      <c r="K1053" s="416"/>
      <c r="L1053" s="416"/>
      <c r="M1053" s="416"/>
      <c r="N1053" s="416"/>
      <c r="O1053" s="416"/>
      <c r="P1053" s="154"/>
      <c r="Q1053" s="417"/>
      <c r="R1053" s="417"/>
      <c r="S1053" s="417"/>
      <c r="T1053" s="417"/>
      <c r="U1053" s="154"/>
      <c r="V1053" s="416"/>
      <c r="W1053" s="416"/>
      <c r="X1053" s="416"/>
      <c r="Y1053" s="416"/>
      <c r="Z1053" s="416"/>
      <c r="AA1053" s="416"/>
      <c r="AB1053" s="154"/>
      <c r="AC1053" s="418"/>
      <c r="AD1053" s="418"/>
      <c r="AE1053" s="418"/>
      <c r="AF1053" s="418"/>
      <c r="AG1053" s="418"/>
      <c r="AH1053" s="418"/>
      <c r="AI1053" s="418"/>
      <c r="AJ1053" s="418"/>
      <c r="AK1053" s="418"/>
      <c r="AL1053" s="418"/>
      <c r="AM1053" s="418"/>
      <c r="AN1053" s="418"/>
      <c r="AO1053" s="418"/>
      <c r="AP1053" s="418"/>
      <c r="AQ1053" s="418"/>
      <c r="AR1053" s="418"/>
      <c r="AS1053" s="418"/>
      <c r="AT1053" s="418"/>
      <c r="AU1053" s="418"/>
      <c r="AV1053" s="418"/>
      <c r="AW1053" s="418"/>
      <c r="AX1053" s="418"/>
      <c r="AY1053" s="418"/>
      <c r="AZ1053" s="418"/>
      <c r="BA1053" s="418"/>
      <c r="BB1053" s="154"/>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c r="BY1053" s="115"/>
      <c r="BZ1053" s="115"/>
      <c r="CA1053" s="115"/>
      <c r="CB1053" s="115"/>
      <c r="CC1053" s="115"/>
      <c r="CD1053" s="115"/>
      <c r="CE1053" s="115"/>
      <c r="CF1053" s="115"/>
      <c r="CG1053" s="115"/>
      <c r="CH1053" s="115"/>
      <c r="CI1053" s="115"/>
      <c r="CJ1053" s="115"/>
      <c r="CK1053" s="115"/>
      <c r="CL1053" s="115"/>
      <c r="CM1053" s="115"/>
      <c r="CN1053" s="115"/>
      <c r="CO1053" s="115"/>
      <c r="CP1053" s="115"/>
      <c r="CQ1053" s="115"/>
      <c r="CR1053" s="115"/>
      <c r="CS1053" s="115"/>
      <c r="CT1053" s="115"/>
      <c r="CU1053" s="115"/>
      <c r="CV1053" s="115"/>
      <c r="CW1053" s="115"/>
      <c r="CX1053" s="115"/>
      <c r="CY1053" s="115"/>
      <c r="CZ1053" s="115"/>
      <c r="DA1053" s="115"/>
      <c r="DB1053" s="115"/>
      <c r="DC1053" s="115"/>
      <c r="DD1053" s="115"/>
      <c r="DE1053" s="115"/>
      <c r="DF1053" s="115"/>
      <c r="DG1053" s="115"/>
    </row>
    <row r="1054" spans="1:111" ht="9" customHeight="1">
      <c r="A1054" s="154"/>
      <c r="B1054" s="154"/>
      <c r="C1054" s="154"/>
      <c r="D1054" s="154"/>
      <c r="E1054" s="154"/>
      <c r="F1054" s="154"/>
      <c r="G1054" s="154"/>
      <c r="H1054" s="154"/>
      <c r="I1054" s="154"/>
      <c r="J1054" s="154"/>
      <c r="K1054" s="154"/>
      <c r="L1054" s="154"/>
      <c r="M1054" s="154"/>
      <c r="N1054" s="154"/>
      <c r="O1054" s="154"/>
      <c r="P1054" s="154"/>
      <c r="Q1054" s="417"/>
      <c r="R1054" s="417"/>
      <c r="S1054" s="417"/>
      <c r="T1054" s="417"/>
      <c r="U1054" s="154"/>
      <c r="V1054" s="154"/>
      <c r="W1054" s="154"/>
      <c r="X1054" s="154"/>
      <c r="Y1054" s="154"/>
      <c r="Z1054" s="154"/>
      <c r="AA1054" s="154"/>
      <c r="AB1054" s="154"/>
      <c r="AC1054" s="418"/>
      <c r="AD1054" s="418"/>
      <c r="AE1054" s="418"/>
      <c r="AF1054" s="418"/>
      <c r="AG1054" s="418"/>
      <c r="AH1054" s="418"/>
      <c r="AI1054" s="418"/>
      <c r="AJ1054" s="418"/>
      <c r="AK1054" s="418"/>
      <c r="AL1054" s="418"/>
      <c r="AM1054" s="418"/>
      <c r="AN1054" s="418"/>
      <c r="AO1054" s="418"/>
      <c r="AP1054" s="418"/>
      <c r="AQ1054" s="418"/>
      <c r="AR1054" s="418"/>
      <c r="AS1054" s="418"/>
      <c r="AT1054" s="418"/>
      <c r="AU1054" s="418"/>
      <c r="AV1054" s="418"/>
      <c r="AW1054" s="418"/>
      <c r="AX1054" s="418"/>
      <c r="AY1054" s="418"/>
      <c r="AZ1054" s="418"/>
      <c r="BA1054" s="418"/>
      <c r="BB1054" s="154"/>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c r="BY1054" s="115"/>
      <c r="BZ1054" s="115"/>
      <c r="CA1054" s="115"/>
      <c r="CB1054" s="115"/>
      <c r="CC1054" s="115"/>
      <c r="CD1054" s="115"/>
      <c r="CE1054" s="115"/>
      <c r="CF1054" s="115"/>
      <c r="CG1054" s="115"/>
      <c r="CH1054" s="115"/>
      <c r="CI1054" s="115"/>
      <c r="CJ1054" s="115"/>
      <c r="CK1054" s="115"/>
      <c r="CL1054" s="115"/>
      <c r="CM1054" s="115"/>
      <c r="CN1054" s="115"/>
      <c r="CO1054" s="115"/>
      <c r="CP1054" s="115"/>
      <c r="CQ1054" s="115"/>
      <c r="CR1054" s="115"/>
      <c r="CS1054" s="115"/>
      <c r="CT1054" s="115"/>
      <c r="CU1054" s="115"/>
      <c r="CV1054" s="115"/>
      <c r="CW1054" s="115"/>
      <c r="CX1054" s="115"/>
      <c r="CY1054" s="115"/>
      <c r="CZ1054" s="115"/>
      <c r="DA1054" s="115"/>
      <c r="DB1054" s="115"/>
      <c r="DC1054" s="115"/>
      <c r="DD1054" s="115"/>
      <c r="DE1054" s="115"/>
      <c r="DF1054" s="115"/>
      <c r="DG1054" s="115"/>
    </row>
    <row r="1055" spans="1:111" ht="4.5" customHeight="1">
      <c r="A1055" s="154"/>
      <c r="B1055" s="154"/>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c r="BY1055" s="115"/>
      <c r="BZ1055" s="115"/>
      <c r="CA1055" s="115"/>
      <c r="CB1055" s="115"/>
      <c r="CC1055" s="115"/>
      <c r="CD1055" s="115"/>
      <c r="CE1055" s="115"/>
      <c r="CF1055" s="115"/>
      <c r="CG1055" s="115"/>
      <c r="CH1055" s="115"/>
      <c r="CI1055" s="115"/>
      <c r="CJ1055" s="115"/>
      <c r="CK1055" s="115"/>
      <c r="CL1055" s="115"/>
      <c r="CM1055" s="115"/>
      <c r="CN1055" s="115"/>
      <c r="CO1055" s="115"/>
      <c r="CP1055" s="115"/>
      <c r="CQ1055" s="115"/>
      <c r="CR1055" s="115"/>
      <c r="CS1055" s="115"/>
      <c r="CT1055" s="115"/>
      <c r="CU1055" s="115"/>
      <c r="CV1055" s="115"/>
      <c r="CW1055" s="115"/>
      <c r="CX1055" s="115"/>
      <c r="CY1055" s="115"/>
      <c r="CZ1055" s="115"/>
      <c r="DA1055" s="115"/>
      <c r="DB1055" s="115"/>
      <c r="DC1055" s="115"/>
      <c r="DD1055" s="115"/>
      <c r="DE1055" s="115"/>
      <c r="DF1055" s="115"/>
      <c r="DG1055" s="115"/>
    </row>
    <row r="1056" spans="1:111" ht="9" customHeight="1">
      <c r="A1056" s="154"/>
      <c r="B1056" s="154"/>
      <c r="C1056" s="154"/>
      <c r="D1056" s="154"/>
      <c r="E1056" s="154"/>
      <c r="F1056" s="154"/>
      <c r="G1056" s="154"/>
      <c r="H1056" s="154"/>
      <c r="I1056" s="154"/>
      <c r="J1056" s="416" t="str">
        <f>IF(C1038="","","Valor Unitário (R$):")</f>
        <v/>
      </c>
      <c r="K1056" s="416"/>
      <c r="L1056" s="416"/>
      <c r="M1056" s="416"/>
      <c r="N1056" s="416"/>
      <c r="O1056" s="416"/>
      <c r="P1056" s="154"/>
      <c r="Q1056" s="419"/>
      <c r="R1056" s="419"/>
      <c r="S1056" s="419"/>
      <c r="T1056" s="419"/>
      <c r="U1056" s="419"/>
      <c r="V1056" s="419"/>
      <c r="W1056" s="419"/>
      <c r="X1056" s="419"/>
      <c r="Y1056" s="154"/>
      <c r="Z1056" s="416" t="str">
        <f>IF(C1038="","",IF(J1044="52 Equipamentos e Material Permanente","Tempo de Uso:",""))</f>
        <v/>
      </c>
      <c r="AA1056" s="416"/>
      <c r="AB1056" s="416"/>
      <c r="AC1056" s="416"/>
      <c r="AD1056" s="416"/>
      <c r="AE1056" s="416"/>
      <c r="AF1056" s="154"/>
      <c r="AG1056" s="420"/>
      <c r="AH1056" s="420"/>
      <c r="AI1056" s="420"/>
      <c r="AJ1056" s="420"/>
      <c r="AK1056" s="420"/>
      <c r="AL1056" s="420"/>
      <c r="AM1056" s="420"/>
      <c r="AN1056" s="420"/>
      <c r="AO1056" s="420"/>
      <c r="AP1056" s="420"/>
      <c r="AQ1056" s="420"/>
      <c r="AR1056" s="420"/>
      <c r="AS1056" s="420"/>
      <c r="AT1056" s="420"/>
      <c r="AU1056" s="420"/>
      <c r="AV1056" s="420"/>
      <c r="AW1056" s="420"/>
      <c r="AX1056" s="420"/>
      <c r="AY1056" s="420"/>
      <c r="AZ1056" s="420"/>
      <c r="BA1056" s="420"/>
      <c r="BB1056" s="154"/>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c r="BY1056" s="115"/>
      <c r="BZ1056" s="115"/>
      <c r="CA1056" s="115"/>
      <c r="CB1056" s="115"/>
      <c r="CC1056" s="115"/>
      <c r="CD1056" s="115"/>
      <c r="CE1056" s="115"/>
      <c r="CF1056" s="115"/>
      <c r="CG1056" s="115"/>
      <c r="CH1056" s="115"/>
      <c r="CI1056" s="115"/>
      <c r="CJ1056" s="115"/>
      <c r="CK1056" s="115"/>
      <c r="CL1056" s="115"/>
      <c r="CM1056" s="115"/>
      <c r="CN1056" s="115"/>
      <c r="CO1056" s="115"/>
      <c r="CP1056" s="115"/>
      <c r="CQ1056" s="115"/>
      <c r="CR1056" s="115"/>
      <c r="CS1056" s="115"/>
      <c r="CT1056" s="115"/>
      <c r="CU1056" s="115"/>
      <c r="CV1056" s="115"/>
      <c r="CW1056" s="115"/>
      <c r="CX1056" s="115"/>
      <c r="CY1056" s="115"/>
      <c r="CZ1056" s="115"/>
      <c r="DA1056" s="115"/>
      <c r="DB1056" s="115"/>
      <c r="DC1056" s="115"/>
      <c r="DD1056" s="115"/>
      <c r="DE1056" s="115"/>
      <c r="DF1056" s="115"/>
      <c r="DG1056" s="115"/>
    </row>
    <row r="1057" spans="1:111" ht="9" customHeight="1">
      <c r="A1057" s="154"/>
      <c r="B1057" s="154"/>
      <c r="C1057" s="154"/>
      <c r="D1057" s="154"/>
      <c r="E1057" s="154"/>
      <c r="F1057" s="154"/>
      <c r="G1057" s="154"/>
      <c r="H1057" s="154"/>
      <c r="I1057" s="154"/>
      <c r="J1057" s="416"/>
      <c r="K1057" s="416"/>
      <c r="L1057" s="416"/>
      <c r="M1057" s="416"/>
      <c r="N1057" s="416"/>
      <c r="O1057" s="416"/>
      <c r="P1057" s="154"/>
      <c r="Q1057" s="419"/>
      <c r="R1057" s="419"/>
      <c r="S1057" s="419"/>
      <c r="T1057" s="419"/>
      <c r="U1057" s="419"/>
      <c r="V1057" s="419"/>
      <c r="W1057" s="419"/>
      <c r="X1057" s="419"/>
      <c r="Y1057" s="154"/>
      <c r="Z1057" s="416"/>
      <c r="AA1057" s="416"/>
      <c r="AB1057" s="416"/>
      <c r="AC1057" s="416"/>
      <c r="AD1057" s="416"/>
      <c r="AE1057" s="416"/>
      <c r="AF1057" s="154"/>
      <c r="AG1057" s="420"/>
      <c r="AH1057" s="420"/>
      <c r="AI1057" s="420"/>
      <c r="AJ1057" s="420"/>
      <c r="AK1057" s="420"/>
      <c r="AL1057" s="420"/>
      <c r="AM1057" s="420"/>
      <c r="AN1057" s="420"/>
      <c r="AO1057" s="420"/>
      <c r="AP1057" s="420"/>
      <c r="AQ1057" s="420"/>
      <c r="AR1057" s="420"/>
      <c r="AS1057" s="420"/>
      <c r="AT1057" s="420"/>
      <c r="AU1057" s="420"/>
      <c r="AV1057" s="420"/>
      <c r="AW1057" s="420"/>
      <c r="AX1057" s="420"/>
      <c r="AY1057" s="420"/>
      <c r="AZ1057" s="420"/>
      <c r="BA1057" s="420"/>
      <c r="BB1057" s="154"/>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c r="BY1057" s="115"/>
      <c r="BZ1057" s="115"/>
      <c r="CA1057" s="115"/>
      <c r="CB1057" s="115"/>
      <c r="CC1057" s="115"/>
      <c r="CD1057" s="115"/>
      <c r="CE1057" s="115"/>
      <c r="CF1057" s="115"/>
      <c r="CG1057" s="115"/>
      <c r="CH1057" s="115"/>
      <c r="CI1057" s="115"/>
      <c r="CJ1057" s="115"/>
      <c r="CK1057" s="115"/>
      <c r="CL1057" s="115"/>
      <c r="CM1057" s="115"/>
      <c r="CN1057" s="115"/>
      <c r="CO1057" s="115"/>
      <c r="CP1057" s="115"/>
      <c r="CQ1057" s="115"/>
      <c r="CR1057" s="115"/>
      <c r="CS1057" s="115"/>
      <c r="CT1057" s="115"/>
      <c r="CU1057" s="115"/>
      <c r="CV1057" s="115"/>
      <c r="CW1057" s="115"/>
      <c r="CX1057" s="115"/>
      <c r="CY1057" s="115"/>
      <c r="CZ1057" s="115"/>
      <c r="DA1057" s="115"/>
      <c r="DB1057" s="115"/>
      <c r="DC1057" s="115"/>
      <c r="DD1057" s="115"/>
      <c r="DE1057" s="115"/>
      <c r="DF1057" s="115"/>
      <c r="DG1057" s="115"/>
    </row>
    <row r="1058" spans="1:111" ht="9" customHeight="1">
      <c r="A1058" s="154"/>
      <c r="B1058" s="154"/>
      <c r="C1058" s="154"/>
      <c r="D1058" s="154"/>
      <c r="E1058" s="154"/>
      <c r="F1058" s="154"/>
      <c r="G1058" s="154"/>
      <c r="H1058" s="154"/>
      <c r="I1058" s="154"/>
      <c r="J1058" s="154"/>
      <c r="K1058" s="154"/>
      <c r="L1058" s="154"/>
      <c r="M1058" s="154"/>
      <c r="N1058" s="154"/>
      <c r="O1058" s="154"/>
      <c r="P1058" s="154"/>
      <c r="Q1058" s="419"/>
      <c r="R1058" s="419"/>
      <c r="S1058" s="419"/>
      <c r="T1058" s="419"/>
      <c r="U1058" s="419"/>
      <c r="V1058" s="419"/>
      <c r="W1058" s="419"/>
      <c r="X1058" s="419"/>
      <c r="Y1058" s="154"/>
      <c r="Z1058" s="154"/>
      <c r="AA1058" s="154"/>
      <c r="AB1058" s="154"/>
      <c r="AC1058" s="154"/>
      <c r="AD1058" s="154"/>
      <c r="AE1058" s="154"/>
      <c r="AF1058" s="154"/>
      <c r="AG1058" s="420"/>
      <c r="AH1058" s="420"/>
      <c r="AI1058" s="420"/>
      <c r="AJ1058" s="420"/>
      <c r="AK1058" s="420"/>
      <c r="AL1058" s="420"/>
      <c r="AM1058" s="420"/>
      <c r="AN1058" s="420"/>
      <c r="AO1058" s="420"/>
      <c r="AP1058" s="420"/>
      <c r="AQ1058" s="420"/>
      <c r="AR1058" s="420"/>
      <c r="AS1058" s="420"/>
      <c r="AT1058" s="420"/>
      <c r="AU1058" s="420"/>
      <c r="AV1058" s="420"/>
      <c r="AW1058" s="420"/>
      <c r="AX1058" s="420"/>
      <c r="AY1058" s="420"/>
      <c r="AZ1058" s="420"/>
      <c r="BA1058" s="420"/>
      <c r="BB1058" s="154"/>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c r="BY1058" s="115"/>
      <c r="BZ1058" s="115"/>
      <c r="CA1058" s="115"/>
      <c r="CB1058" s="115"/>
      <c r="CC1058" s="115"/>
      <c r="CD1058" s="115"/>
      <c r="CE1058" s="115"/>
      <c r="CF1058" s="115"/>
      <c r="CG1058" s="115"/>
      <c r="CH1058" s="115"/>
      <c r="CI1058" s="115"/>
      <c r="CJ1058" s="115"/>
      <c r="CK1058" s="115"/>
      <c r="CL1058" s="115"/>
      <c r="CM1058" s="115"/>
      <c r="CN1058" s="115"/>
      <c r="CO1058" s="115"/>
      <c r="CP1058" s="115"/>
      <c r="CQ1058" s="115"/>
      <c r="CR1058" s="115"/>
      <c r="CS1058" s="115"/>
      <c r="CT1058" s="115"/>
      <c r="CU1058" s="115"/>
      <c r="CV1058" s="115"/>
      <c r="CW1058" s="115"/>
      <c r="CX1058" s="115"/>
      <c r="CY1058" s="115"/>
      <c r="CZ1058" s="115"/>
      <c r="DA1058" s="115"/>
      <c r="DB1058" s="115"/>
      <c r="DC1058" s="115"/>
      <c r="DD1058" s="115"/>
      <c r="DE1058" s="115"/>
      <c r="DF1058" s="115"/>
      <c r="DG1058" s="115"/>
    </row>
    <row r="1059" spans="1:111" ht="4.5" customHeight="1">
      <c r="A1059" s="154"/>
      <c r="B1059" s="154"/>
      <c r="C1059" s="154"/>
      <c r="D1059" s="154"/>
      <c r="E1059" s="154"/>
      <c r="F1059" s="154"/>
      <c r="G1059" s="154"/>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c r="BY1059" s="115"/>
      <c r="BZ1059" s="115"/>
      <c r="CA1059" s="115"/>
      <c r="CB1059" s="115"/>
      <c r="CC1059" s="115"/>
      <c r="CD1059" s="115"/>
      <c r="CE1059" s="115"/>
      <c r="CF1059" s="115"/>
      <c r="CG1059" s="115"/>
      <c r="CH1059" s="115"/>
      <c r="CI1059" s="115"/>
      <c r="CJ1059" s="115"/>
      <c r="CK1059" s="115"/>
      <c r="CL1059" s="115"/>
      <c r="CM1059" s="115"/>
      <c r="CN1059" s="115"/>
      <c r="CO1059" s="115"/>
      <c r="CP1059" s="115"/>
      <c r="CQ1059" s="115"/>
      <c r="CR1059" s="115"/>
      <c r="CS1059" s="115"/>
      <c r="CT1059" s="115"/>
      <c r="CU1059" s="115"/>
      <c r="CV1059" s="115"/>
      <c r="CW1059" s="115"/>
      <c r="CX1059" s="115"/>
      <c r="CY1059" s="115"/>
      <c r="CZ1059" s="115"/>
      <c r="DA1059" s="115"/>
      <c r="DB1059" s="115"/>
      <c r="DC1059" s="115"/>
      <c r="DD1059" s="115"/>
      <c r="DE1059" s="115"/>
      <c r="DF1059" s="115"/>
      <c r="DG1059" s="115"/>
    </row>
    <row r="1060" spans="1:111" ht="9" customHeight="1">
      <c r="A1060" s="154"/>
      <c r="B1060" s="154"/>
      <c r="C1060" s="154"/>
      <c r="D1060" s="154"/>
      <c r="E1060" s="154"/>
      <c r="F1060" s="154"/>
      <c r="G1060" s="154"/>
      <c r="H1060" s="154"/>
      <c r="I1060" s="154"/>
      <c r="J1060" s="416" t="str">
        <f>IF(C1038="","","Valor Total (R$):")</f>
        <v/>
      </c>
      <c r="K1060" s="416"/>
      <c r="L1060" s="416"/>
      <c r="M1060" s="416"/>
      <c r="N1060" s="416"/>
      <c r="O1060" s="416"/>
      <c r="P1060" s="154"/>
      <c r="Q1060" s="419" t="str">
        <f>IF(Q1056="","",Q1052*Q1056)</f>
        <v/>
      </c>
      <c r="R1060" s="419"/>
      <c r="S1060" s="419"/>
      <c r="T1060" s="419"/>
      <c r="U1060" s="419"/>
      <c r="V1060" s="419"/>
      <c r="W1060" s="419"/>
      <c r="X1060" s="419"/>
      <c r="Y1060" s="154"/>
      <c r="Z1060" s="416" t="str">
        <f>IF(C1038="","",IF(J1044="52 Equipamentos e Material Permanente","Justificativa e Utilização:",""))</f>
        <v/>
      </c>
      <c r="AA1060" s="416"/>
      <c r="AB1060" s="416"/>
      <c r="AC1060" s="416"/>
      <c r="AD1060" s="416"/>
      <c r="AE1060" s="416"/>
      <c r="AF1060" s="154"/>
      <c r="AG1060" s="420"/>
      <c r="AH1060" s="420"/>
      <c r="AI1060" s="420"/>
      <c r="AJ1060" s="420"/>
      <c r="AK1060" s="420"/>
      <c r="AL1060" s="420"/>
      <c r="AM1060" s="420"/>
      <c r="AN1060" s="420"/>
      <c r="AO1060" s="420"/>
      <c r="AP1060" s="420"/>
      <c r="AQ1060" s="420"/>
      <c r="AR1060" s="420"/>
      <c r="AS1060" s="420"/>
      <c r="AT1060" s="420"/>
      <c r="AU1060" s="420"/>
      <c r="AV1060" s="420"/>
      <c r="AW1060" s="420"/>
      <c r="AX1060" s="420"/>
      <c r="AY1060" s="420"/>
      <c r="AZ1060" s="420"/>
      <c r="BA1060" s="420"/>
      <c r="BB1060" s="154"/>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c r="BY1060" s="115"/>
      <c r="BZ1060" s="115"/>
      <c r="CA1060" s="115"/>
      <c r="CB1060" s="115"/>
      <c r="CC1060" s="115"/>
      <c r="CD1060" s="115"/>
      <c r="CE1060" s="115"/>
      <c r="CF1060" s="115"/>
      <c r="CG1060" s="115"/>
      <c r="CH1060" s="115"/>
      <c r="CI1060" s="115"/>
      <c r="CJ1060" s="115"/>
      <c r="CK1060" s="115"/>
      <c r="CL1060" s="115"/>
      <c r="CM1060" s="115"/>
      <c r="CN1060" s="115"/>
      <c r="CO1060" s="115"/>
      <c r="CP1060" s="115"/>
      <c r="CQ1060" s="115"/>
      <c r="CR1060" s="115"/>
      <c r="CS1060" s="115"/>
      <c r="CT1060" s="115"/>
      <c r="CU1060" s="115"/>
      <c r="CV1060" s="115"/>
      <c r="CW1060" s="115"/>
      <c r="CX1060" s="115"/>
      <c r="CY1060" s="115"/>
      <c r="CZ1060" s="115"/>
      <c r="DA1060" s="115"/>
      <c r="DB1060" s="115"/>
      <c r="DC1060" s="115"/>
      <c r="DD1060" s="115"/>
      <c r="DE1060" s="115"/>
      <c r="DF1060" s="115"/>
      <c r="DG1060" s="115"/>
    </row>
    <row r="1061" spans="1:111" ht="9" customHeight="1">
      <c r="A1061" s="154"/>
      <c r="B1061" s="154"/>
      <c r="C1061" s="154"/>
      <c r="D1061" s="154"/>
      <c r="E1061" s="154"/>
      <c r="F1061" s="154"/>
      <c r="G1061" s="154"/>
      <c r="H1061" s="154"/>
      <c r="I1061" s="154"/>
      <c r="J1061" s="416"/>
      <c r="K1061" s="416"/>
      <c r="L1061" s="416"/>
      <c r="M1061" s="416"/>
      <c r="N1061" s="416"/>
      <c r="O1061" s="416"/>
      <c r="P1061" s="154"/>
      <c r="Q1061" s="419"/>
      <c r="R1061" s="419"/>
      <c r="S1061" s="419"/>
      <c r="T1061" s="419"/>
      <c r="U1061" s="419"/>
      <c r="V1061" s="419"/>
      <c r="W1061" s="419"/>
      <c r="X1061" s="419"/>
      <c r="Y1061" s="154"/>
      <c r="Z1061" s="416"/>
      <c r="AA1061" s="416"/>
      <c r="AB1061" s="416"/>
      <c r="AC1061" s="416"/>
      <c r="AD1061" s="416"/>
      <c r="AE1061" s="416"/>
      <c r="AF1061" s="154"/>
      <c r="AG1061" s="420"/>
      <c r="AH1061" s="420"/>
      <c r="AI1061" s="420"/>
      <c r="AJ1061" s="420"/>
      <c r="AK1061" s="420"/>
      <c r="AL1061" s="420"/>
      <c r="AM1061" s="420"/>
      <c r="AN1061" s="420"/>
      <c r="AO1061" s="420"/>
      <c r="AP1061" s="420"/>
      <c r="AQ1061" s="420"/>
      <c r="AR1061" s="420"/>
      <c r="AS1061" s="420"/>
      <c r="AT1061" s="420"/>
      <c r="AU1061" s="420"/>
      <c r="AV1061" s="420"/>
      <c r="AW1061" s="420"/>
      <c r="AX1061" s="420"/>
      <c r="AY1061" s="420"/>
      <c r="AZ1061" s="420"/>
      <c r="BA1061" s="420"/>
      <c r="BB1061" s="154"/>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c r="BY1061" s="115"/>
      <c r="BZ1061" s="115"/>
      <c r="CA1061" s="115"/>
      <c r="CB1061" s="115"/>
      <c r="CC1061" s="115"/>
      <c r="CD1061" s="115"/>
      <c r="CE1061" s="115"/>
      <c r="CF1061" s="115"/>
      <c r="CG1061" s="115"/>
      <c r="CH1061" s="115"/>
      <c r="CI1061" s="115"/>
      <c r="CJ1061" s="115"/>
      <c r="CK1061" s="115"/>
      <c r="CL1061" s="115"/>
      <c r="CM1061" s="115"/>
      <c r="CN1061" s="115"/>
      <c r="CO1061" s="115"/>
      <c r="CP1061" s="115"/>
      <c r="CQ1061" s="115"/>
      <c r="CR1061" s="115"/>
      <c r="CS1061" s="115"/>
      <c r="CT1061" s="115"/>
      <c r="CU1061" s="115"/>
      <c r="CV1061" s="115"/>
      <c r="CW1061" s="115"/>
      <c r="CX1061" s="115"/>
      <c r="CY1061" s="115"/>
      <c r="CZ1061" s="115"/>
      <c r="DA1061" s="115"/>
      <c r="DB1061" s="115"/>
      <c r="DC1061" s="115"/>
      <c r="DD1061" s="115"/>
      <c r="DE1061" s="115"/>
      <c r="DF1061" s="115"/>
      <c r="DG1061" s="115"/>
    </row>
    <row r="1062" spans="1:111" ht="9" customHeight="1">
      <c r="A1062" s="154"/>
      <c r="B1062" s="154"/>
      <c r="C1062" s="154"/>
      <c r="D1062" s="154"/>
      <c r="E1062" s="154"/>
      <c r="F1062" s="154"/>
      <c r="G1062" s="154"/>
      <c r="H1062" s="154"/>
      <c r="I1062" s="154"/>
      <c r="J1062" s="154"/>
      <c r="K1062" s="154"/>
      <c r="L1062" s="154"/>
      <c r="M1062" s="154"/>
      <c r="N1062" s="154"/>
      <c r="O1062" s="154"/>
      <c r="P1062" s="154"/>
      <c r="Q1062" s="419"/>
      <c r="R1062" s="419"/>
      <c r="S1062" s="419"/>
      <c r="T1062" s="419"/>
      <c r="U1062" s="419"/>
      <c r="V1062" s="419"/>
      <c r="W1062" s="419"/>
      <c r="X1062" s="419"/>
      <c r="Y1062" s="154"/>
      <c r="Z1062" s="154"/>
      <c r="AA1062" s="154"/>
      <c r="AB1062" s="154"/>
      <c r="AC1062" s="154"/>
      <c r="AD1062" s="154"/>
      <c r="AE1062" s="154"/>
      <c r="AF1062" s="154"/>
      <c r="AG1062" s="420"/>
      <c r="AH1062" s="420"/>
      <c r="AI1062" s="420"/>
      <c r="AJ1062" s="420"/>
      <c r="AK1062" s="420"/>
      <c r="AL1062" s="420"/>
      <c r="AM1062" s="420"/>
      <c r="AN1062" s="420"/>
      <c r="AO1062" s="420"/>
      <c r="AP1062" s="420"/>
      <c r="AQ1062" s="420"/>
      <c r="AR1062" s="420"/>
      <c r="AS1062" s="420"/>
      <c r="AT1062" s="420"/>
      <c r="AU1062" s="420"/>
      <c r="AV1062" s="420"/>
      <c r="AW1062" s="420"/>
      <c r="AX1062" s="420"/>
      <c r="AY1062" s="420"/>
      <c r="AZ1062" s="420"/>
      <c r="BA1062" s="420"/>
      <c r="BB1062" s="154"/>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c r="BY1062" s="115"/>
      <c r="BZ1062" s="115"/>
      <c r="CA1062" s="115"/>
      <c r="CB1062" s="115"/>
      <c r="CC1062" s="115"/>
      <c r="CD1062" s="115"/>
      <c r="CE1062" s="115"/>
      <c r="CF1062" s="115"/>
      <c r="CG1062" s="115"/>
      <c r="CH1062" s="115"/>
      <c r="CI1062" s="115"/>
      <c r="CJ1062" s="115"/>
      <c r="CK1062" s="115"/>
      <c r="CL1062" s="115"/>
      <c r="CM1062" s="115"/>
      <c r="CN1062" s="115"/>
      <c r="CO1062" s="115"/>
      <c r="CP1062" s="115"/>
      <c r="CQ1062" s="115"/>
      <c r="CR1062" s="115"/>
      <c r="CS1062" s="115"/>
      <c r="CT1062" s="115"/>
      <c r="CU1062" s="115"/>
      <c r="CV1062" s="115"/>
      <c r="CW1062" s="115"/>
      <c r="CX1062" s="115"/>
      <c r="CY1062" s="115"/>
      <c r="CZ1062" s="115"/>
      <c r="DA1062" s="115"/>
      <c r="DB1062" s="115"/>
      <c r="DC1062" s="115"/>
      <c r="DD1062" s="115"/>
      <c r="DE1062" s="115"/>
      <c r="DF1062" s="115"/>
      <c r="DG1062" s="115"/>
    </row>
    <row r="1063" spans="1:111" ht="9" customHeight="1">
      <c r="A1063" s="154"/>
      <c r="B1063" s="154"/>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420"/>
      <c r="AH1063" s="420"/>
      <c r="AI1063" s="420"/>
      <c r="AJ1063" s="420"/>
      <c r="AK1063" s="420"/>
      <c r="AL1063" s="420"/>
      <c r="AM1063" s="420"/>
      <c r="AN1063" s="420"/>
      <c r="AO1063" s="420"/>
      <c r="AP1063" s="420"/>
      <c r="AQ1063" s="420"/>
      <c r="AR1063" s="420"/>
      <c r="AS1063" s="420"/>
      <c r="AT1063" s="420"/>
      <c r="AU1063" s="420"/>
      <c r="AV1063" s="420"/>
      <c r="AW1063" s="420"/>
      <c r="AX1063" s="420"/>
      <c r="AY1063" s="420"/>
      <c r="AZ1063" s="420"/>
      <c r="BA1063" s="420"/>
      <c r="BB1063" s="154"/>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c r="BY1063" s="115"/>
      <c r="BZ1063" s="115"/>
      <c r="CA1063" s="115"/>
      <c r="CB1063" s="115"/>
      <c r="CC1063" s="115"/>
      <c r="CD1063" s="115"/>
      <c r="CE1063" s="115"/>
      <c r="CF1063" s="115"/>
      <c r="CG1063" s="115"/>
      <c r="CH1063" s="115"/>
      <c r="CI1063" s="115"/>
      <c r="CJ1063" s="115"/>
      <c r="CK1063" s="115"/>
      <c r="CL1063" s="115"/>
      <c r="CM1063" s="115"/>
      <c r="CN1063" s="115"/>
      <c r="CO1063" s="115"/>
      <c r="CP1063" s="115"/>
      <c r="CQ1063" s="115"/>
      <c r="CR1063" s="115"/>
      <c r="CS1063" s="115"/>
      <c r="CT1063" s="115"/>
      <c r="CU1063" s="115"/>
      <c r="CV1063" s="115"/>
      <c r="CW1063" s="115"/>
      <c r="CX1063" s="115"/>
      <c r="CY1063" s="115"/>
      <c r="CZ1063" s="115"/>
      <c r="DA1063" s="115"/>
      <c r="DB1063" s="115"/>
      <c r="DC1063" s="115"/>
      <c r="DD1063" s="115"/>
      <c r="DE1063" s="115"/>
      <c r="DF1063" s="115"/>
      <c r="DG1063" s="115"/>
    </row>
    <row r="1064" spans="1:111" ht="9" customHeight="1">
      <c r="A1064" s="154"/>
      <c r="B1064" s="154"/>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420"/>
      <c r="AH1064" s="420"/>
      <c r="AI1064" s="420"/>
      <c r="AJ1064" s="420"/>
      <c r="AK1064" s="420"/>
      <c r="AL1064" s="420"/>
      <c r="AM1064" s="420"/>
      <c r="AN1064" s="420"/>
      <c r="AO1064" s="420"/>
      <c r="AP1064" s="420"/>
      <c r="AQ1064" s="420"/>
      <c r="AR1064" s="420"/>
      <c r="AS1064" s="420"/>
      <c r="AT1064" s="420"/>
      <c r="AU1064" s="420"/>
      <c r="AV1064" s="420"/>
      <c r="AW1064" s="420"/>
      <c r="AX1064" s="420"/>
      <c r="AY1064" s="420"/>
      <c r="AZ1064" s="420"/>
      <c r="BA1064" s="420"/>
      <c r="BB1064" s="154"/>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c r="BY1064" s="115"/>
      <c r="BZ1064" s="115"/>
      <c r="CA1064" s="115"/>
      <c r="CB1064" s="115"/>
      <c r="CC1064" s="115"/>
      <c r="CD1064" s="115"/>
      <c r="CE1064" s="115"/>
      <c r="CF1064" s="115"/>
      <c r="CG1064" s="115"/>
      <c r="CH1064" s="115"/>
      <c r="CI1064" s="115"/>
      <c r="CJ1064" s="115"/>
      <c r="CK1064" s="115"/>
      <c r="CL1064" s="115"/>
      <c r="CM1064" s="115"/>
      <c r="CN1064" s="115"/>
      <c r="CO1064" s="115"/>
      <c r="CP1064" s="115"/>
      <c r="CQ1064" s="115"/>
      <c r="CR1064" s="115"/>
      <c r="CS1064" s="115"/>
      <c r="CT1064" s="115"/>
      <c r="CU1064" s="115"/>
      <c r="CV1064" s="115"/>
      <c r="CW1064" s="115"/>
      <c r="CX1064" s="115"/>
      <c r="CY1064" s="115"/>
      <c r="CZ1064" s="115"/>
      <c r="DA1064" s="115"/>
      <c r="DB1064" s="115"/>
      <c r="DC1064" s="115"/>
      <c r="DD1064" s="115"/>
      <c r="DE1064" s="115"/>
      <c r="DF1064" s="115"/>
      <c r="DG1064" s="115"/>
    </row>
    <row r="1065" spans="1:111" ht="9" customHeight="1">
      <c r="A1065" s="154"/>
      <c r="B1065" s="154"/>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420"/>
      <c r="AH1065" s="420"/>
      <c r="AI1065" s="420"/>
      <c r="AJ1065" s="420"/>
      <c r="AK1065" s="420"/>
      <c r="AL1065" s="420"/>
      <c r="AM1065" s="420"/>
      <c r="AN1065" s="420"/>
      <c r="AO1065" s="420"/>
      <c r="AP1065" s="420"/>
      <c r="AQ1065" s="420"/>
      <c r="AR1065" s="420"/>
      <c r="AS1065" s="420"/>
      <c r="AT1065" s="420"/>
      <c r="AU1065" s="420"/>
      <c r="AV1065" s="420"/>
      <c r="AW1065" s="420"/>
      <c r="AX1065" s="420"/>
      <c r="AY1065" s="420"/>
      <c r="AZ1065" s="420"/>
      <c r="BA1065" s="420"/>
      <c r="BB1065" s="154"/>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c r="BY1065" s="115"/>
      <c r="BZ1065" s="115"/>
      <c r="CA1065" s="115"/>
      <c r="CB1065" s="115"/>
      <c r="CC1065" s="115"/>
      <c r="CD1065" s="115"/>
      <c r="CE1065" s="115"/>
      <c r="CF1065" s="115"/>
      <c r="CG1065" s="115"/>
      <c r="CH1065" s="115"/>
      <c r="CI1065" s="115"/>
      <c r="CJ1065" s="115"/>
      <c r="CK1065" s="115"/>
      <c r="CL1065" s="115"/>
      <c r="CM1065" s="115"/>
      <c r="CN1065" s="115"/>
      <c r="CO1065" s="115"/>
      <c r="CP1065" s="115"/>
      <c r="CQ1065" s="115"/>
      <c r="CR1065" s="115"/>
      <c r="CS1065" s="115"/>
      <c r="CT1065" s="115"/>
      <c r="CU1065" s="115"/>
      <c r="CV1065" s="115"/>
      <c r="CW1065" s="115"/>
      <c r="CX1065" s="115"/>
      <c r="CY1065" s="115"/>
      <c r="CZ1065" s="115"/>
      <c r="DA1065" s="115"/>
      <c r="DB1065" s="115"/>
      <c r="DC1065" s="115"/>
      <c r="DD1065" s="115"/>
      <c r="DE1065" s="115"/>
      <c r="DF1065" s="115"/>
      <c r="DG1065" s="115"/>
    </row>
    <row r="1066" spans="1:111" ht="15" customHeight="1">
      <c r="B1066" s="55"/>
      <c r="C1066" s="55"/>
      <c r="D1066" s="56"/>
      <c r="E1066" s="56"/>
      <c r="F1066" s="56"/>
      <c r="G1066" s="56"/>
      <c r="H1066" s="56"/>
      <c r="I1066" s="56"/>
      <c r="J1066" s="56"/>
      <c r="K1066" s="56"/>
      <c r="L1066" s="56"/>
      <c r="M1066" s="56"/>
      <c r="N1066" s="56"/>
      <c r="O1066" s="56"/>
      <c r="P1066" s="56"/>
      <c r="Q1066" s="56"/>
      <c r="R1066" s="56"/>
      <c r="S1066" s="56"/>
      <c r="T1066" s="56"/>
      <c r="U1066" s="56"/>
      <c r="V1066" s="56"/>
      <c r="W1066" s="56"/>
      <c r="X1066" s="56"/>
      <c r="Y1066" s="56"/>
      <c r="Z1066" s="56"/>
      <c r="AA1066" s="56"/>
      <c r="AB1066" s="56"/>
      <c r="AC1066" s="56"/>
      <c r="AD1066" s="56"/>
      <c r="AE1066" s="56"/>
      <c r="AF1066" s="56"/>
      <c r="AG1066" s="56"/>
      <c r="AH1066" s="56"/>
      <c r="AI1066" s="56"/>
      <c r="AJ1066" s="56"/>
      <c r="AK1066" s="141"/>
      <c r="AL1066" s="141"/>
      <c r="AM1066" s="141"/>
      <c r="AN1066" s="141"/>
      <c r="AO1066" s="140"/>
      <c r="AP1066" s="140"/>
      <c r="AQ1066" s="140"/>
      <c r="AR1066" s="140"/>
      <c r="AS1066" s="142"/>
      <c r="AT1066" s="142"/>
      <c r="AU1066" s="142"/>
      <c r="AV1066" s="142"/>
      <c r="AW1066" s="140"/>
      <c r="AX1066" s="140"/>
      <c r="AY1066" s="140"/>
      <c r="AZ1066" s="140"/>
      <c r="BA1066" s="140"/>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c r="BY1066" s="115"/>
      <c r="BZ1066" s="115"/>
      <c r="CA1066" s="115"/>
      <c r="CB1066" s="115"/>
      <c r="CC1066" s="115"/>
      <c r="CD1066" s="115"/>
      <c r="CE1066" s="115"/>
      <c r="CF1066" s="115"/>
      <c r="CG1066" s="115"/>
      <c r="CH1066" s="115"/>
      <c r="CI1066" s="115"/>
      <c r="CJ1066" s="115"/>
      <c r="CK1066" s="115"/>
      <c r="CL1066" s="115"/>
      <c r="CM1066" s="115"/>
      <c r="CN1066" s="115"/>
      <c r="CO1066" s="115"/>
      <c r="CP1066" s="115"/>
      <c r="CQ1066" s="115"/>
      <c r="CR1066" s="115"/>
      <c r="CS1066" s="115"/>
      <c r="CT1066" s="115"/>
      <c r="CU1066" s="115"/>
      <c r="CV1066" s="115"/>
      <c r="CW1066" s="115"/>
      <c r="CX1066" s="115"/>
      <c r="CY1066" s="115"/>
      <c r="CZ1066" s="115"/>
      <c r="DA1066" s="115"/>
      <c r="DB1066" s="115"/>
      <c r="DC1066" s="115"/>
      <c r="DD1066" s="115"/>
      <c r="DE1066" s="115"/>
      <c r="DF1066" s="115"/>
      <c r="DG1066" s="115"/>
    </row>
    <row r="1067" spans="1:111" ht="15" customHeight="1">
      <c r="B1067" s="55"/>
      <c r="C1067" s="422" t="str">
        <f>IF($AA$165&gt;=32,"DESPESA 32","")</f>
        <v/>
      </c>
      <c r="D1067" s="422"/>
      <c r="E1067" s="422"/>
      <c r="F1067" s="422"/>
      <c r="G1067" s="422"/>
      <c r="H1067" s="422"/>
      <c r="I1067" s="56"/>
      <c r="J1067" s="56"/>
      <c r="K1067" s="56"/>
      <c r="L1067" s="56"/>
      <c r="M1067" s="56"/>
      <c r="N1067" s="56"/>
      <c r="O1067" s="56"/>
      <c r="P1067" s="56"/>
      <c r="Q1067" s="56"/>
      <c r="R1067" s="56"/>
      <c r="S1067" s="56"/>
      <c r="T1067" s="56"/>
      <c r="U1067" s="56"/>
      <c r="V1067" s="56"/>
      <c r="W1067" s="56"/>
      <c r="X1067" s="56"/>
      <c r="Y1067" s="56"/>
      <c r="Z1067" s="56"/>
      <c r="AA1067" s="56"/>
      <c r="AB1067" s="56"/>
      <c r="AC1067" s="56"/>
      <c r="AD1067" s="56"/>
      <c r="AE1067" s="56"/>
      <c r="AF1067" s="56"/>
      <c r="AG1067" s="56"/>
      <c r="AH1067" s="56"/>
      <c r="AI1067" s="56"/>
      <c r="AJ1067" s="56"/>
      <c r="AK1067" s="141"/>
      <c r="AL1067" s="141"/>
      <c r="AM1067" s="141"/>
      <c r="AN1067" s="141"/>
      <c r="AO1067" s="140"/>
      <c r="AP1067" s="140"/>
      <c r="AQ1067" s="140"/>
      <c r="AR1067" s="140"/>
      <c r="AS1067" s="142"/>
      <c r="AT1067" s="142"/>
      <c r="AU1067" s="142"/>
      <c r="AV1067" s="142"/>
      <c r="AW1067" s="140"/>
      <c r="AX1067" s="140"/>
      <c r="AY1067" s="140"/>
      <c r="AZ1067" s="140"/>
      <c r="BA1067" s="140"/>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c r="BY1067" s="115"/>
      <c r="BZ1067" s="115"/>
      <c r="CA1067" s="115"/>
      <c r="CB1067" s="115"/>
      <c r="CC1067" s="115"/>
      <c r="CD1067" s="115"/>
      <c r="CE1067" s="115"/>
      <c r="CF1067" s="115"/>
      <c r="CG1067" s="115"/>
      <c r="CH1067" s="115"/>
      <c r="CI1067" s="115"/>
      <c r="CJ1067" s="115"/>
      <c r="CK1067" s="115"/>
      <c r="CL1067" s="115"/>
      <c r="CM1067" s="115"/>
      <c r="CN1067" s="115"/>
      <c r="CO1067" s="115"/>
      <c r="CP1067" s="115"/>
      <c r="CQ1067" s="115"/>
      <c r="CR1067" s="115"/>
      <c r="CS1067" s="115"/>
      <c r="CT1067" s="115"/>
      <c r="CU1067" s="115"/>
      <c r="CV1067" s="115"/>
      <c r="CW1067" s="115"/>
      <c r="CX1067" s="115"/>
      <c r="CY1067" s="115"/>
      <c r="CZ1067" s="115"/>
      <c r="DA1067" s="115"/>
      <c r="DB1067" s="115"/>
      <c r="DC1067" s="115"/>
      <c r="DD1067" s="115"/>
      <c r="DE1067" s="115"/>
      <c r="DF1067" s="115"/>
      <c r="DG1067" s="115"/>
    </row>
    <row r="1068" spans="1:111" ht="4.5" customHeight="1">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c r="BY1068" s="115"/>
      <c r="BZ1068" s="115"/>
      <c r="CA1068" s="115"/>
      <c r="CB1068" s="115"/>
      <c r="CC1068" s="115"/>
      <c r="CD1068" s="115"/>
      <c r="CE1068" s="115"/>
      <c r="CF1068" s="115"/>
      <c r="CG1068" s="115"/>
      <c r="CH1068" s="115"/>
      <c r="CI1068" s="115"/>
      <c r="CJ1068" s="115"/>
      <c r="CK1068" s="115"/>
      <c r="CL1068" s="115"/>
      <c r="CM1068" s="115"/>
      <c r="CN1068" s="115"/>
      <c r="CO1068" s="115"/>
      <c r="CP1068" s="115"/>
      <c r="CQ1068" s="115"/>
      <c r="CR1068" s="115"/>
      <c r="CS1068" s="115"/>
      <c r="CT1068" s="115"/>
      <c r="CU1068" s="115"/>
      <c r="CV1068" s="115"/>
      <c r="CW1068" s="115"/>
      <c r="CX1068" s="115"/>
      <c r="CY1068" s="115"/>
      <c r="CZ1068" s="115"/>
      <c r="DA1068" s="115"/>
      <c r="DB1068" s="115"/>
      <c r="DC1068" s="115"/>
      <c r="DD1068" s="115"/>
      <c r="DE1068" s="115"/>
      <c r="DF1068" s="115"/>
      <c r="DG1068" s="115"/>
    </row>
    <row r="1069" spans="1:111" ht="9" customHeight="1">
      <c r="C1069" s="416" t="str">
        <f>IF(C1067="","","Descrição da Despesa:")</f>
        <v/>
      </c>
      <c r="D1069" s="416"/>
      <c r="E1069" s="416"/>
      <c r="F1069" s="416"/>
      <c r="G1069" s="416"/>
      <c r="H1069" s="416"/>
      <c r="I1069" s="60"/>
      <c r="J1069" s="421"/>
      <c r="K1069" s="421"/>
      <c r="L1069" s="421"/>
      <c r="M1069" s="421"/>
      <c r="N1069" s="421"/>
      <c r="O1069" s="421"/>
      <c r="P1069" s="421"/>
      <c r="Q1069" s="421"/>
      <c r="R1069" s="421"/>
      <c r="S1069" s="421"/>
      <c r="T1069" s="421"/>
      <c r="U1069" s="421"/>
      <c r="V1069" s="421"/>
      <c r="W1069" s="421"/>
      <c r="X1069" s="421"/>
      <c r="Y1069" s="421"/>
      <c r="Z1069" s="421"/>
      <c r="AA1069" s="421"/>
      <c r="AB1069" s="421"/>
      <c r="AC1069" s="421"/>
      <c r="AD1069" s="421"/>
      <c r="AE1069" s="421"/>
      <c r="AF1069" s="421"/>
      <c r="AG1069" s="421"/>
      <c r="AH1069" s="421"/>
      <c r="AI1069" s="421"/>
      <c r="AJ1069" s="421"/>
      <c r="AK1069" s="421"/>
      <c r="AL1069" s="421"/>
      <c r="AM1069" s="421"/>
      <c r="AN1069" s="421"/>
      <c r="AO1069" s="421"/>
      <c r="AP1069" s="421"/>
      <c r="AQ1069" s="421"/>
      <c r="AR1069" s="421"/>
      <c r="AS1069" s="421"/>
      <c r="AT1069" s="421"/>
      <c r="AU1069" s="421"/>
      <c r="AV1069" s="421"/>
      <c r="AW1069" s="421"/>
      <c r="AX1069" s="421"/>
      <c r="AY1069" s="421"/>
      <c r="AZ1069" s="421"/>
      <c r="BA1069" s="421"/>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c r="BY1069" s="115"/>
      <c r="BZ1069" s="115"/>
      <c r="CA1069" s="115"/>
      <c r="CB1069" s="115"/>
      <c r="CC1069" s="115"/>
      <c r="CD1069" s="115"/>
      <c r="CE1069" s="115"/>
      <c r="CF1069" s="115"/>
      <c r="CG1069" s="115"/>
      <c r="CH1069" s="115"/>
      <c r="CI1069" s="115"/>
      <c r="CJ1069" s="115"/>
      <c r="CK1069" s="115"/>
      <c r="CL1069" s="115"/>
      <c r="CM1069" s="115"/>
      <c r="CN1069" s="115"/>
      <c r="CO1069" s="115"/>
      <c r="CP1069" s="115"/>
      <c r="CQ1069" s="115"/>
      <c r="CR1069" s="115"/>
      <c r="CS1069" s="115"/>
      <c r="CT1069" s="115"/>
      <c r="CU1069" s="115"/>
      <c r="CV1069" s="115"/>
      <c r="CW1069" s="115"/>
      <c r="CX1069" s="115"/>
      <c r="CY1069" s="115"/>
      <c r="CZ1069" s="115"/>
      <c r="DA1069" s="115"/>
      <c r="DB1069" s="115"/>
      <c r="DC1069" s="115"/>
      <c r="DD1069" s="115"/>
      <c r="DE1069" s="115"/>
      <c r="DF1069" s="115"/>
      <c r="DG1069" s="115"/>
    </row>
    <row r="1070" spans="1:111" ht="9" customHeight="1">
      <c r="C1070" s="416"/>
      <c r="D1070" s="416"/>
      <c r="E1070" s="416"/>
      <c r="F1070" s="416"/>
      <c r="G1070" s="416"/>
      <c r="H1070" s="416"/>
      <c r="I1070" s="60"/>
      <c r="J1070" s="421"/>
      <c r="K1070" s="421"/>
      <c r="L1070" s="421"/>
      <c r="M1070" s="421"/>
      <c r="N1070" s="421"/>
      <c r="O1070" s="421"/>
      <c r="P1070" s="421"/>
      <c r="Q1070" s="421"/>
      <c r="R1070" s="421"/>
      <c r="S1070" s="421"/>
      <c r="T1070" s="421"/>
      <c r="U1070" s="421"/>
      <c r="V1070" s="421"/>
      <c r="W1070" s="421"/>
      <c r="X1070" s="421"/>
      <c r="Y1070" s="421"/>
      <c r="Z1070" s="421"/>
      <c r="AA1070" s="421"/>
      <c r="AB1070" s="421"/>
      <c r="AC1070" s="421"/>
      <c r="AD1070" s="421"/>
      <c r="AE1070" s="421"/>
      <c r="AF1070" s="421"/>
      <c r="AG1070" s="421"/>
      <c r="AH1070" s="421"/>
      <c r="AI1070" s="421"/>
      <c r="AJ1070" s="421"/>
      <c r="AK1070" s="421"/>
      <c r="AL1070" s="421"/>
      <c r="AM1070" s="421"/>
      <c r="AN1070" s="421"/>
      <c r="AO1070" s="421"/>
      <c r="AP1070" s="421"/>
      <c r="AQ1070" s="421"/>
      <c r="AR1070" s="421"/>
      <c r="AS1070" s="421"/>
      <c r="AT1070" s="421"/>
      <c r="AU1070" s="421"/>
      <c r="AV1070" s="421"/>
      <c r="AW1070" s="421"/>
      <c r="AX1070" s="421"/>
      <c r="AY1070" s="421"/>
      <c r="AZ1070" s="421"/>
      <c r="BA1070" s="421"/>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c r="BY1070" s="115"/>
      <c r="BZ1070" s="115"/>
      <c r="CA1070" s="115"/>
      <c r="CB1070" s="115"/>
      <c r="CC1070" s="115"/>
      <c r="CD1070" s="115"/>
      <c r="CE1070" s="115"/>
      <c r="CF1070" s="115"/>
      <c r="CG1070" s="115"/>
      <c r="CH1070" s="115"/>
      <c r="CI1070" s="115"/>
      <c r="CJ1070" s="115"/>
      <c r="CK1070" s="115"/>
      <c r="CL1070" s="115"/>
      <c r="CM1070" s="115"/>
      <c r="CN1070" s="115"/>
      <c r="CO1070" s="115"/>
      <c r="CP1070" s="115"/>
      <c r="CQ1070" s="115"/>
      <c r="CR1070" s="115"/>
      <c r="CS1070" s="115"/>
      <c r="CT1070" s="115"/>
      <c r="CU1070" s="115"/>
      <c r="CV1070" s="115"/>
      <c r="CW1070" s="115"/>
      <c r="CX1070" s="115"/>
      <c r="CY1070" s="115"/>
      <c r="CZ1070" s="115"/>
      <c r="DA1070" s="115"/>
      <c r="DB1070" s="115"/>
      <c r="DC1070" s="115"/>
      <c r="DD1070" s="115"/>
      <c r="DE1070" s="115"/>
      <c r="DF1070" s="115"/>
      <c r="DG1070" s="115"/>
    </row>
    <row r="1071" spans="1:111" ht="9" customHeight="1">
      <c r="C1071" s="416"/>
      <c r="D1071" s="416"/>
      <c r="E1071" s="416"/>
      <c r="F1071" s="416"/>
      <c r="G1071" s="416"/>
      <c r="H1071" s="416"/>
      <c r="I1071" s="60"/>
      <c r="J1071" s="421"/>
      <c r="K1071" s="421"/>
      <c r="L1071" s="421"/>
      <c r="M1071" s="421"/>
      <c r="N1071" s="421"/>
      <c r="O1071" s="421"/>
      <c r="P1071" s="421"/>
      <c r="Q1071" s="421"/>
      <c r="R1071" s="421"/>
      <c r="S1071" s="421"/>
      <c r="T1071" s="421"/>
      <c r="U1071" s="421"/>
      <c r="V1071" s="421"/>
      <c r="W1071" s="421"/>
      <c r="X1071" s="421"/>
      <c r="Y1071" s="421"/>
      <c r="Z1071" s="421"/>
      <c r="AA1071" s="421"/>
      <c r="AB1071" s="421"/>
      <c r="AC1071" s="421"/>
      <c r="AD1071" s="421"/>
      <c r="AE1071" s="421"/>
      <c r="AF1071" s="421"/>
      <c r="AG1071" s="421"/>
      <c r="AH1071" s="421"/>
      <c r="AI1071" s="421"/>
      <c r="AJ1071" s="421"/>
      <c r="AK1071" s="421"/>
      <c r="AL1071" s="421"/>
      <c r="AM1071" s="421"/>
      <c r="AN1071" s="421"/>
      <c r="AO1071" s="421"/>
      <c r="AP1071" s="421"/>
      <c r="AQ1071" s="421"/>
      <c r="AR1071" s="421"/>
      <c r="AS1071" s="421"/>
      <c r="AT1071" s="421"/>
      <c r="AU1071" s="421"/>
      <c r="AV1071" s="421"/>
      <c r="AW1071" s="421"/>
      <c r="AX1071" s="421"/>
      <c r="AY1071" s="421"/>
      <c r="AZ1071" s="421"/>
      <c r="BA1071" s="421"/>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c r="BY1071" s="115"/>
      <c r="BZ1071" s="115"/>
      <c r="CA1071" s="115"/>
      <c r="CB1071" s="115"/>
      <c r="CC1071" s="115"/>
      <c r="CD1071" s="115"/>
      <c r="CE1071" s="115"/>
      <c r="CF1071" s="115"/>
      <c r="CG1071" s="115"/>
      <c r="CH1071" s="115"/>
      <c r="CI1071" s="115"/>
      <c r="CJ1071" s="115"/>
      <c r="CK1071" s="115"/>
      <c r="CL1071" s="115"/>
      <c r="CM1071" s="115"/>
      <c r="CN1071" s="115"/>
      <c r="CO1071" s="115"/>
      <c r="CP1071" s="115"/>
      <c r="CQ1071" s="115"/>
      <c r="CR1071" s="115"/>
      <c r="CS1071" s="115"/>
      <c r="CT1071" s="115"/>
      <c r="CU1071" s="115"/>
      <c r="CV1071" s="115"/>
      <c r="CW1071" s="115"/>
      <c r="CX1071" s="115"/>
      <c r="CY1071" s="115"/>
      <c r="CZ1071" s="115"/>
      <c r="DA1071" s="115"/>
      <c r="DB1071" s="115"/>
      <c r="DC1071" s="115"/>
      <c r="DD1071" s="115"/>
      <c r="DE1071" s="115"/>
      <c r="DF1071" s="115"/>
      <c r="DG1071" s="115"/>
    </row>
    <row r="1072" spans="1:111" ht="4.5" customHeight="1">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c r="BY1072" s="115"/>
      <c r="BZ1072" s="115"/>
      <c r="CA1072" s="115"/>
      <c r="CB1072" s="115"/>
      <c r="CC1072" s="115"/>
      <c r="CD1072" s="115"/>
      <c r="CE1072" s="115"/>
      <c r="CF1072" s="115"/>
      <c r="CG1072" s="115"/>
      <c r="CH1072" s="115"/>
      <c r="CI1072" s="115"/>
      <c r="CJ1072" s="115"/>
      <c r="CK1072" s="115"/>
      <c r="CL1072" s="115"/>
      <c r="CM1072" s="115"/>
      <c r="CN1072" s="115"/>
      <c r="CO1072" s="115"/>
      <c r="CP1072" s="115"/>
      <c r="CQ1072" s="115"/>
      <c r="CR1072" s="115"/>
      <c r="CS1072" s="115"/>
      <c r="CT1072" s="115"/>
      <c r="CU1072" s="115"/>
      <c r="CV1072" s="115"/>
      <c r="CW1072" s="115"/>
      <c r="CX1072" s="115"/>
      <c r="CY1072" s="115"/>
      <c r="CZ1072" s="115"/>
      <c r="DA1072" s="115"/>
      <c r="DB1072" s="115"/>
      <c r="DC1072" s="115"/>
      <c r="DD1072" s="115"/>
      <c r="DE1072" s="115"/>
      <c r="DF1072" s="115"/>
      <c r="DG1072" s="115"/>
    </row>
    <row r="1073" spans="1:111" ht="9" customHeight="1">
      <c r="C1073" s="416" t="str">
        <f>IF(C1067="","","Elemento de Despesa:")</f>
        <v/>
      </c>
      <c r="D1073" s="416"/>
      <c r="E1073" s="416"/>
      <c r="F1073" s="416"/>
      <c r="G1073" s="416"/>
      <c r="H1073" s="416"/>
      <c r="J1073" s="421"/>
      <c r="K1073" s="421"/>
      <c r="L1073" s="421"/>
      <c r="M1073" s="421"/>
      <c r="N1073" s="421"/>
      <c r="O1073" s="421"/>
      <c r="P1073" s="421"/>
      <c r="Q1073" s="421"/>
      <c r="R1073" s="421"/>
      <c r="S1073" s="421"/>
      <c r="T1073" s="421"/>
      <c r="U1073" s="421"/>
      <c r="V1073" s="421"/>
      <c r="W1073" s="421"/>
      <c r="X1073" s="421"/>
      <c r="Y1073" s="421"/>
      <c r="Z1073" s="421"/>
      <c r="AA1073" s="421"/>
      <c r="AB1073" s="421"/>
      <c r="AC1073" s="421"/>
      <c r="AD1073" s="421"/>
      <c r="AE1073" s="421"/>
      <c r="AF1073" s="421"/>
      <c r="AG1073" s="421"/>
      <c r="AH1073" s="421"/>
      <c r="AI1073" s="421"/>
      <c r="AJ1073" s="421"/>
      <c r="AK1073" s="421"/>
      <c r="AL1073" s="421"/>
      <c r="AM1073" s="421"/>
      <c r="AN1073" s="421"/>
      <c r="AO1073" s="421"/>
      <c r="AP1073" s="421"/>
      <c r="AQ1073" s="421"/>
      <c r="AR1073" s="421"/>
      <c r="AS1073" s="421"/>
      <c r="AT1073" s="421"/>
      <c r="AU1073" s="421"/>
      <c r="AV1073" s="421"/>
      <c r="AW1073" s="421"/>
      <c r="AX1073" s="421"/>
      <c r="AY1073" s="421"/>
      <c r="AZ1073" s="421"/>
      <c r="BA1073" s="421"/>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c r="BY1073" s="115"/>
      <c r="BZ1073" s="115"/>
      <c r="CA1073" s="115"/>
      <c r="CB1073" s="115"/>
      <c r="CC1073" s="115"/>
      <c r="CD1073" s="115"/>
      <c r="CE1073" s="115"/>
      <c r="CF1073" s="115"/>
      <c r="CG1073" s="115"/>
      <c r="CH1073" s="115"/>
      <c r="CI1073" s="115"/>
      <c r="CJ1073" s="115"/>
      <c r="CK1073" s="115"/>
      <c r="CL1073" s="115"/>
      <c r="CM1073" s="115"/>
      <c r="CN1073" s="115"/>
      <c r="CO1073" s="115"/>
      <c r="CP1073" s="115"/>
      <c r="CQ1073" s="115"/>
      <c r="CR1073" s="115"/>
      <c r="CS1073" s="115"/>
      <c r="CT1073" s="115"/>
      <c r="CU1073" s="115"/>
      <c r="CV1073" s="115"/>
      <c r="CW1073" s="115"/>
      <c r="CX1073" s="115"/>
      <c r="CY1073" s="115"/>
      <c r="CZ1073" s="115"/>
      <c r="DA1073" s="115"/>
      <c r="DB1073" s="115"/>
      <c r="DC1073" s="115"/>
      <c r="DD1073" s="115"/>
      <c r="DE1073" s="115"/>
      <c r="DF1073" s="115"/>
      <c r="DG1073" s="115"/>
    </row>
    <row r="1074" spans="1:111" ht="9" customHeight="1">
      <c r="C1074" s="416"/>
      <c r="D1074" s="416"/>
      <c r="E1074" s="416"/>
      <c r="F1074" s="416"/>
      <c r="G1074" s="416"/>
      <c r="H1074" s="416"/>
      <c r="J1074" s="421"/>
      <c r="K1074" s="421"/>
      <c r="L1074" s="421"/>
      <c r="M1074" s="421"/>
      <c r="N1074" s="421"/>
      <c r="O1074" s="421"/>
      <c r="P1074" s="421"/>
      <c r="Q1074" s="421"/>
      <c r="R1074" s="421"/>
      <c r="S1074" s="421"/>
      <c r="T1074" s="421"/>
      <c r="U1074" s="421"/>
      <c r="V1074" s="421"/>
      <c r="W1074" s="421"/>
      <c r="X1074" s="421"/>
      <c r="Y1074" s="421"/>
      <c r="Z1074" s="421"/>
      <c r="AA1074" s="421"/>
      <c r="AB1074" s="421"/>
      <c r="AC1074" s="421"/>
      <c r="AD1074" s="421"/>
      <c r="AE1074" s="421"/>
      <c r="AF1074" s="421"/>
      <c r="AG1074" s="421"/>
      <c r="AH1074" s="421"/>
      <c r="AI1074" s="421"/>
      <c r="AJ1074" s="421"/>
      <c r="AK1074" s="421"/>
      <c r="AL1074" s="421"/>
      <c r="AM1074" s="421"/>
      <c r="AN1074" s="421"/>
      <c r="AO1074" s="421"/>
      <c r="AP1074" s="421"/>
      <c r="AQ1074" s="421"/>
      <c r="AR1074" s="421"/>
      <c r="AS1074" s="421"/>
      <c r="AT1074" s="421"/>
      <c r="AU1074" s="421"/>
      <c r="AV1074" s="421"/>
      <c r="AW1074" s="421"/>
      <c r="AX1074" s="421"/>
      <c r="AY1074" s="421"/>
      <c r="AZ1074" s="421"/>
      <c r="BA1074" s="421"/>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c r="BY1074" s="115"/>
      <c r="BZ1074" s="115"/>
      <c r="CA1074" s="115"/>
      <c r="CB1074" s="115"/>
      <c r="CC1074" s="115"/>
      <c r="CD1074" s="115"/>
      <c r="CE1074" s="115"/>
      <c r="CF1074" s="115"/>
      <c r="CG1074" s="115"/>
      <c r="CH1074" s="115"/>
      <c r="CI1074" s="115"/>
      <c r="CJ1074" s="115"/>
      <c r="CK1074" s="115"/>
      <c r="CL1074" s="115"/>
      <c r="CM1074" s="115"/>
      <c r="CN1074" s="115"/>
      <c r="CO1074" s="115"/>
      <c r="CP1074" s="115"/>
      <c r="CQ1074" s="115"/>
      <c r="CR1074" s="115"/>
      <c r="CS1074" s="115"/>
      <c r="CT1074" s="115"/>
      <c r="CU1074" s="115"/>
      <c r="CV1074" s="115"/>
      <c r="CW1074" s="115"/>
      <c r="CX1074" s="115"/>
      <c r="CY1074" s="115"/>
      <c r="CZ1074" s="115"/>
      <c r="DA1074" s="115"/>
      <c r="DB1074" s="115"/>
      <c r="DC1074" s="115"/>
      <c r="DD1074" s="115"/>
      <c r="DE1074" s="115"/>
      <c r="DF1074" s="115"/>
      <c r="DG1074" s="115"/>
    </row>
    <row r="1075" spans="1:111" ht="9" customHeight="1">
      <c r="C1075" s="416"/>
      <c r="D1075" s="416"/>
      <c r="E1075" s="416"/>
      <c r="F1075" s="416"/>
      <c r="G1075" s="416"/>
      <c r="H1075" s="416"/>
      <c r="J1075" s="421"/>
      <c r="K1075" s="421"/>
      <c r="L1075" s="421"/>
      <c r="M1075" s="421"/>
      <c r="N1075" s="421"/>
      <c r="O1075" s="421"/>
      <c r="P1075" s="421"/>
      <c r="Q1075" s="421"/>
      <c r="R1075" s="421"/>
      <c r="S1075" s="421"/>
      <c r="T1075" s="421"/>
      <c r="U1075" s="421"/>
      <c r="V1075" s="421"/>
      <c r="W1075" s="421"/>
      <c r="X1075" s="421"/>
      <c r="Y1075" s="421"/>
      <c r="Z1075" s="421"/>
      <c r="AA1075" s="421"/>
      <c r="AB1075" s="421"/>
      <c r="AC1075" s="421"/>
      <c r="AD1075" s="421"/>
      <c r="AE1075" s="421"/>
      <c r="AF1075" s="421"/>
      <c r="AG1075" s="421"/>
      <c r="AH1075" s="421"/>
      <c r="AI1075" s="421"/>
      <c r="AJ1075" s="421"/>
      <c r="AK1075" s="421"/>
      <c r="AL1075" s="421"/>
      <c r="AM1075" s="421"/>
      <c r="AN1075" s="421"/>
      <c r="AO1075" s="421"/>
      <c r="AP1075" s="421"/>
      <c r="AQ1075" s="421"/>
      <c r="AR1075" s="421"/>
      <c r="AS1075" s="421"/>
      <c r="AT1075" s="421"/>
      <c r="AU1075" s="421"/>
      <c r="AV1075" s="421"/>
      <c r="AW1075" s="421"/>
      <c r="AX1075" s="421"/>
      <c r="AY1075" s="421"/>
      <c r="AZ1075" s="421"/>
      <c r="BA1075" s="421"/>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c r="BY1075" s="115"/>
      <c r="BZ1075" s="115"/>
      <c r="CA1075" s="115"/>
      <c r="CB1075" s="115"/>
      <c r="CC1075" s="115"/>
      <c r="CD1075" s="115"/>
      <c r="CE1075" s="115"/>
      <c r="CF1075" s="115"/>
      <c r="CG1075" s="115"/>
      <c r="CH1075" s="115"/>
      <c r="CI1075" s="115"/>
      <c r="CJ1075" s="115"/>
      <c r="CK1075" s="115"/>
      <c r="CL1075" s="115"/>
      <c r="CM1075" s="115"/>
      <c r="CN1075" s="115"/>
      <c r="CO1075" s="115"/>
      <c r="CP1075" s="115"/>
      <c r="CQ1075" s="115"/>
      <c r="CR1075" s="115"/>
      <c r="CS1075" s="115"/>
      <c r="CT1075" s="115"/>
      <c r="CU1075" s="115"/>
      <c r="CV1075" s="115"/>
      <c r="CW1075" s="115"/>
      <c r="CX1075" s="115"/>
      <c r="CY1075" s="115"/>
      <c r="CZ1075" s="115"/>
      <c r="DA1075" s="115"/>
      <c r="DB1075" s="115"/>
      <c r="DC1075" s="115"/>
      <c r="DD1075" s="115"/>
      <c r="DE1075" s="115"/>
      <c r="DF1075" s="115"/>
      <c r="DG1075" s="115"/>
    </row>
    <row r="1076" spans="1:111" ht="4.5" customHeight="1">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c r="BY1076" s="115"/>
      <c r="BZ1076" s="115"/>
      <c r="CA1076" s="115"/>
      <c r="CB1076" s="115"/>
      <c r="CC1076" s="115"/>
      <c r="CD1076" s="115"/>
      <c r="CE1076" s="115"/>
      <c r="CF1076" s="115"/>
      <c r="CG1076" s="115"/>
      <c r="CH1076" s="115"/>
      <c r="CI1076" s="115"/>
      <c r="CJ1076" s="115"/>
      <c r="CK1076" s="115"/>
      <c r="CL1076" s="115"/>
      <c r="CM1076" s="115"/>
      <c r="CN1076" s="115"/>
      <c r="CO1076" s="115"/>
      <c r="CP1076" s="115"/>
      <c r="CQ1076" s="115"/>
      <c r="CR1076" s="115"/>
      <c r="CS1076" s="115"/>
      <c r="CT1076" s="115"/>
      <c r="CU1076" s="115"/>
      <c r="CV1076" s="115"/>
      <c r="CW1076" s="115"/>
      <c r="CX1076" s="115"/>
      <c r="CY1076" s="115"/>
      <c r="CZ1076" s="115"/>
      <c r="DA1076" s="115"/>
      <c r="DB1076" s="115"/>
      <c r="DC1076" s="115"/>
      <c r="DD1076" s="115"/>
      <c r="DE1076" s="115"/>
      <c r="DF1076" s="115"/>
      <c r="DG1076" s="115"/>
    </row>
    <row r="1077" spans="1:111" ht="9" customHeight="1">
      <c r="A1077" s="61" t="str">
        <f>CONCATENATE(Q1077,AC1077)</f>
        <v/>
      </c>
      <c r="J1077" s="416" t="str">
        <f>IF(C1067="","","Meta Vinculada:")</f>
        <v/>
      </c>
      <c r="K1077" s="416"/>
      <c r="L1077" s="416"/>
      <c r="M1077" s="416"/>
      <c r="N1077" s="416"/>
      <c r="O1077" s="416"/>
      <c r="Q1077" s="417"/>
      <c r="R1077" s="417"/>
      <c r="S1077" s="417"/>
      <c r="T1077" s="417"/>
      <c r="U1077" s="56"/>
      <c r="V1077" s="416" t="str">
        <f>IF(C1067="","","Etapa Vinculada:")</f>
        <v/>
      </c>
      <c r="W1077" s="416"/>
      <c r="X1077" s="416"/>
      <c r="Y1077" s="416"/>
      <c r="Z1077" s="416"/>
      <c r="AA1077" s="416"/>
      <c r="AC1077" s="417"/>
      <c r="AD1077" s="417"/>
      <c r="AE1077" s="417"/>
      <c r="AF1077" s="417"/>
      <c r="AG1077" s="56"/>
      <c r="AH1077" s="56"/>
      <c r="AI1077" s="56"/>
      <c r="AJ1077" s="56"/>
      <c r="AK1077" s="141"/>
      <c r="AL1077" s="141"/>
      <c r="AM1077" s="141"/>
      <c r="AN1077" s="141"/>
      <c r="AO1077" s="140"/>
      <c r="AP1077" s="140"/>
      <c r="AQ1077" s="140"/>
      <c r="AR1077" s="140"/>
      <c r="AS1077" s="142"/>
      <c r="AT1077" s="142"/>
      <c r="AU1077" s="142"/>
      <c r="AV1077" s="142"/>
      <c r="AW1077" s="140"/>
      <c r="AX1077" s="140"/>
      <c r="AY1077" s="140"/>
      <c r="AZ1077" s="140"/>
      <c r="BA1077" s="140"/>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c r="BY1077" s="115"/>
      <c r="BZ1077" s="115"/>
      <c r="CA1077" s="115"/>
      <c r="CB1077" s="115"/>
      <c r="CC1077" s="115"/>
      <c r="CD1077" s="115"/>
      <c r="CE1077" s="115"/>
      <c r="CF1077" s="115"/>
      <c r="CG1077" s="115"/>
      <c r="CH1077" s="115"/>
      <c r="CI1077" s="115"/>
      <c r="CJ1077" s="115"/>
      <c r="CK1077" s="115"/>
      <c r="CL1077" s="115"/>
      <c r="CM1077" s="115"/>
      <c r="CN1077" s="115"/>
      <c r="CO1077" s="115"/>
      <c r="CP1077" s="115"/>
      <c r="CQ1077" s="115"/>
      <c r="CR1077" s="115"/>
      <c r="CS1077" s="115"/>
      <c r="CT1077" s="115"/>
      <c r="CU1077" s="115"/>
      <c r="CV1077" s="115"/>
      <c r="CW1077" s="115"/>
      <c r="CX1077" s="115"/>
      <c r="CY1077" s="115"/>
      <c r="CZ1077" s="115"/>
      <c r="DA1077" s="115"/>
      <c r="DB1077" s="115"/>
      <c r="DC1077" s="115"/>
      <c r="DD1077" s="115"/>
      <c r="DE1077" s="115"/>
      <c r="DF1077" s="115"/>
      <c r="DG1077" s="115"/>
    </row>
    <row r="1078" spans="1:111" ht="9" customHeight="1">
      <c r="B1078" s="55"/>
      <c r="C1078" s="55"/>
      <c r="D1078" s="56"/>
      <c r="E1078" s="56"/>
      <c r="F1078" s="56"/>
      <c r="G1078" s="56"/>
      <c r="H1078" s="56"/>
      <c r="I1078" s="56"/>
      <c r="J1078" s="416"/>
      <c r="K1078" s="416"/>
      <c r="L1078" s="416"/>
      <c r="M1078" s="416"/>
      <c r="N1078" s="416"/>
      <c r="O1078" s="416"/>
      <c r="Q1078" s="417"/>
      <c r="R1078" s="417"/>
      <c r="S1078" s="417"/>
      <c r="T1078" s="417"/>
      <c r="U1078" s="56"/>
      <c r="V1078" s="416"/>
      <c r="W1078" s="416"/>
      <c r="X1078" s="416"/>
      <c r="Y1078" s="416"/>
      <c r="Z1078" s="416"/>
      <c r="AA1078" s="416"/>
      <c r="AC1078" s="417"/>
      <c r="AD1078" s="417"/>
      <c r="AE1078" s="417"/>
      <c r="AF1078" s="417"/>
      <c r="AG1078" s="56"/>
      <c r="AH1078" s="56"/>
      <c r="AI1078" s="56"/>
      <c r="AJ1078" s="56"/>
      <c r="AK1078" s="141"/>
      <c r="AL1078" s="141"/>
      <c r="AM1078" s="141"/>
      <c r="AN1078" s="141"/>
      <c r="AO1078" s="140"/>
      <c r="AP1078" s="140"/>
      <c r="AQ1078" s="140"/>
      <c r="AR1078" s="140"/>
      <c r="AS1078" s="142"/>
      <c r="AT1078" s="142"/>
      <c r="AU1078" s="142"/>
      <c r="AV1078" s="142"/>
      <c r="AW1078" s="140"/>
      <c r="AX1078" s="140"/>
      <c r="AY1078" s="140"/>
      <c r="AZ1078" s="140"/>
      <c r="BA1078" s="140"/>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c r="BY1078" s="115"/>
      <c r="BZ1078" s="115"/>
      <c r="CA1078" s="115"/>
      <c r="CB1078" s="115"/>
      <c r="CC1078" s="115"/>
      <c r="CD1078" s="115"/>
      <c r="CE1078" s="115"/>
      <c r="CF1078" s="115"/>
      <c r="CG1078" s="115"/>
      <c r="CH1078" s="115"/>
      <c r="CI1078" s="115"/>
      <c r="CJ1078" s="115"/>
      <c r="CK1078" s="115"/>
      <c r="CL1078" s="115"/>
      <c r="CM1078" s="115"/>
      <c r="CN1078" s="115"/>
      <c r="CO1078" s="115"/>
      <c r="CP1078" s="115"/>
      <c r="CQ1078" s="115"/>
      <c r="CR1078" s="115"/>
      <c r="CS1078" s="115"/>
      <c r="CT1078" s="115"/>
      <c r="CU1078" s="115"/>
      <c r="CV1078" s="115"/>
      <c r="CW1078" s="115"/>
      <c r="CX1078" s="115"/>
      <c r="CY1078" s="115"/>
      <c r="CZ1078" s="115"/>
      <c r="DA1078" s="115"/>
      <c r="DB1078" s="115"/>
      <c r="DC1078" s="115"/>
      <c r="DD1078" s="115"/>
      <c r="DE1078" s="115"/>
      <c r="DF1078" s="115"/>
      <c r="DG1078" s="115"/>
    </row>
    <row r="1079" spans="1:111" ht="9" customHeight="1">
      <c r="Q1079" s="417"/>
      <c r="R1079" s="417"/>
      <c r="S1079" s="417"/>
      <c r="T1079" s="417"/>
      <c r="AC1079" s="417"/>
      <c r="AD1079" s="417"/>
      <c r="AE1079" s="417"/>
      <c r="AF1079" s="417"/>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c r="BY1079" s="115"/>
      <c r="BZ1079" s="115"/>
      <c r="CA1079" s="115"/>
      <c r="CB1079" s="115"/>
      <c r="CC1079" s="115"/>
      <c r="CD1079" s="115"/>
      <c r="CE1079" s="115"/>
      <c r="CF1079" s="115"/>
      <c r="CG1079" s="115"/>
      <c r="CH1079" s="115"/>
      <c r="CI1079" s="115"/>
      <c r="CJ1079" s="115"/>
      <c r="CK1079" s="115"/>
      <c r="CL1079" s="115"/>
      <c r="CM1079" s="115"/>
      <c r="CN1079" s="115"/>
      <c r="CO1079" s="115"/>
      <c r="CP1079" s="115"/>
      <c r="CQ1079" s="115"/>
      <c r="CR1079" s="115"/>
      <c r="CS1079" s="115"/>
      <c r="CT1079" s="115"/>
      <c r="CU1079" s="115"/>
      <c r="CV1079" s="115"/>
      <c r="CW1079" s="115"/>
      <c r="CX1079" s="115"/>
      <c r="CY1079" s="115"/>
      <c r="CZ1079" s="115"/>
      <c r="DA1079" s="115"/>
      <c r="DB1079" s="115"/>
      <c r="DC1079" s="115"/>
      <c r="DD1079" s="115"/>
      <c r="DE1079" s="115"/>
      <c r="DF1079" s="115"/>
      <c r="DG1079" s="115"/>
    </row>
    <row r="1080" spans="1:111" ht="4.5" customHeight="1">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c r="BY1080" s="115"/>
      <c r="BZ1080" s="115"/>
      <c r="CA1080" s="115"/>
      <c r="CB1080" s="115"/>
      <c r="CC1080" s="115"/>
      <c r="CD1080" s="115"/>
      <c r="CE1080" s="115"/>
      <c r="CF1080" s="115"/>
      <c r="CG1080" s="115"/>
      <c r="CH1080" s="115"/>
      <c r="CI1080" s="115"/>
      <c r="CJ1080" s="115"/>
      <c r="CK1080" s="115"/>
      <c r="CL1080" s="115"/>
      <c r="CM1080" s="115"/>
      <c r="CN1080" s="115"/>
      <c r="CO1080" s="115"/>
      <c r="CP1080" s="115"/>
      <c r="CQ1080" s="115"/>
      <c r="CR1080" s="115"/>
      <c r="CS1080" s="115"/>
      <c r="CT1080" s="115"/>
      <c r="CU1080" s="115"/>
      <c r="CV1080" s="115"/>
      <c r="CW1080" s="115"/>
      <c r="CX1080" s="115"/>
      <c r="CY1080" s="115"/>
      <c r="CZ1080" s="115"/>
      <c r="DA1080" s="115"/>
      <c r="DB1080" s="115"/>
      <c r="DC1080" s="115"/>
      <c r="DD1080" s="115"/>
      <c r="DE1080" s="115"/>
      <c r="DF1080" s="115"/>
      <c r="DG1080" s="115"/>
    </row>
    <row r="1081" spans="1:111" ht="9" customHeight="1">
      <c r="A1081" s="154"/>
      <c r="B1081" s="154"/>
      <c r="C1081" s="154"/>
      <c r="D1081" s="154"/>
      <c r="E1081" s="154"/>
      <c r="F1081" s="154"/>
      <c r="G1081" s="154"/>
      <c r="H1081" s="154"/>
      <c r="I1081" s="154"/>
      <c r="J1081" s="416" t="str">
        <f>IF(C1067="","","Quantidade:")</f>
        <v/>
      </c>
      <c r="K1081" s="416"/>
      <c r="L1081" s="416"/>
      <c r="M1081" s="416"/>
      <c r="N1081" s="416"/>
      <c r="O1081" s="416"/>
      <c r="P1081" s="154"/>
      <c r="Q1081" s="417"/>
      <c r="R1081" s="417"/>
      <c r="S1081" s="417"/>
      <c r="T1081" s="417"/>
      <c r="U1081" s="154"/>
      <c r="V1081" s="416" t="str">
        <f>IF(C1067="","","Unidade:")</f>
        <v/>
      </c>
      <c r="W1081" s="416"/>
      <c r="X1081" s="416"/>
      <c r="Y1081" s="416"/>
      <c r="Z1081" s="416"/>
      <c r="AA1081" s="416"/>
      <c r="AB1081" s="154"/>
      <c r="AC1081" s="418"/>
      <c r="AD1081" s="418"/>
      <c r="AE1081" s="418"/>
      <c r="AF1081" s="418"/>
      <c r="AG1081" s="418"/>
      <c r="AH1081" s="418"/>
      <c r="AI1081" s="418"/>
      <c r="AJ1081" s="418"/>
      <c r="AK1081" s="418"/>
      <c r="AL1081" s="418"/>
      <c r="AM1081" s="418"/>
      <c r="AN1081" s="418"/>
      <c r="AO1081" s="418"/>
      <c r="AP1081" s="418"/>
      <c r="AQ1081" s="418"/>
      <c r="AR1081" s="418"/>
      <c r="AS1081" s="418"/>
      <c r="AT1081" s="418"/>
      <c r="AU1081" s="418"/>
      <c r="AV1081" s="418"/>
      <c r="AW1081" s="418"/>
      <c r="AX1081" s="418"/>
      <c r="AY1081" s="418"/>
      <c r="AZ1081" s="418"/>
      <c r="BA1081" s="418"/>
      <c r="BB1081" s="154"/>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c r="BY1081" s="115"/>
      <c r="BZ1081" s="115"/>
      <c r="CA1081" s="115"/>
      <c r="CB1081" s="115"/>
      <c r="CC1081" s="115"/>
      <c r="CD1081" s="115"/>
      <c r="CE1081" s="115"/>
      <c r="CF1081" s="115"/>
      <c r="CG1081" s="115"/>
      <c r="CH1081" s="115"/>
      <c r="CI1081" s="115"/>
      <c r="CJ1081" s="115"/>
      <c r="CK1081" s="115"/>
      <c r="CL1081" s="115"/>
      <c r="CM1081" s="115"/>
      <c r="CN1081" s="115"/>
      <c r="CO1081" s="115"/>
      <c r="CP1081" s="115"/>
      <c r="CQ1081" s="115"/>
      <c r="CR1081" s="115"/>
      <c r="CS1081" s="115"/>
      <c r="CT1081" s="115"/>
      <c r="CU1081" s="115"/>
      <c r="CV1081" s="115"/>
      <c r="CW1081" s="115"/>
      <c r="CX1081" s="115"/>
      <c r="CY1081" s="115"/>
      <c r="CZ1081" s="115"/>
      <c r="DA1081" s="115"/>
      <c r="DB1081" s="115"/>
      <c r="DC1081" s="115"/>
      <c r="DD1081" s="115"/>
      <c r="DE1081" s="115"/>
      <c r="DF1081" s="115"/>
      <c r="DG1081" s="115"/>
    </row>
    <row r="1082" spans="1:111" ht="9" customHeight="1">
      <c r="A1082" s="154"/>
      <c r="B1082" s="154"/>
      <c r="C1082" s="154"/>
      <c r="D1082" s="154"/>
      <c r="E1082" s="154"/>
      <c r="F1082" s="154"/>
      <c r="G1082" s="154"/>
      <c r="H1082" s="154"/>
      <c r="I1082" s="154"/>
      <c r="J1082" s="416"/>
      <c r="K1082" s="416"/>
      <c r="L1082" s="416"/>
      <c r="M1082" s="416"/>
      <c r="N1082" s="416"/>
      <c r="O1082" s="416"/>
      <c r="P1082" s="154"/>
      <c r="Q1082" s="417"/>
      <c r="R1082" s="417"/>
      <c r="S1082" s="417"/>
      <c r="T1082" s="417"/>
      <c r="U1082" s="154"/>
      <c r="V1082" s="416"/>
      <c r="W1082" s="416"/>
      <c r="X1082" s="416"/>
      <c r="Y1082" s="416"/>
      <c r="Z1082" s="416"/>
      <c r="AA1082" s="416"/>
      <c r="AB1082" s="154"/>
      <c r="AC1082" s="418"/>
      <c r="AD1082" s="418"/>
      <c r="AE1082" s="418"/>
      <c r="AF1082" s="418"/>
      <c r="AG1082" s="418"/>
      <c r="AH1082" s="418"/>
      <c r="AI1082" s="418"/>
      <c r="AJ1082" s="418"/>
      <c r="AK1082" s="418"/>
      <c r="AL1082" s="418"/>
      <c r="AM1082" s="418"/>
      <c r="AN1082" s="418"/>
      <c r="AO1082" s="418"/>
      <c r="AP1082" s="418"/>
      <c r="AQ1082" s="418"/>
      <c r="AR1082" s="418"/>
      <c r="AS1082" s="418"/>
      <c r="AT1082" s="418"/>
      <c r="AU1082" s="418"/>
      <c r="AV1082" s="418"/>
      <c r="AW1082" s="418"/>
      <c r="AX1082" s="418"/>
      <c r="AY1082" s="418"/>
      <c r="AZ1082" s="418"/>
      <c r="BA1082" s="418"/>
      <c r="BB1082" s="154"/>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c r="BY1082" s="115"/>
      <c r="BZ1082" s="115"/>
      <c r="CA1082" s="115"/>
      <c r="CB1082" s="115"/>
      <c r="CC1082" s="115"/>
      <c r="CD1082" s="115"/>
      <c r="CE1082" s="115"/>
      <c r="CF1082" s="115"/>
      <c r="CG1082" s="115"/>
      <c r="CH1082" s="115"/>
      <c r="CI1082" s="115"/>
      <c r="CJ1082" s="115"/>
      <c r="CK1082" s="115"/>
      <c r="CL1082" s="115"/>
      <c r="CM1082" s="115"/>
      <c r="CN1082" s="115"/>
      <c r="CO1082" s="115"/>
      <c r="CP1082" s="115"/>
      <c r="CQ1082" s="115"/>
      <c r="CR1082" s="115"/>
      <c r="CS1082" s="115"/>
      <c r="CT1082" s="115"/>
      <c r="CU1082" s="115"/>
      <c r="CV1082" s="115"/>
      <c r="CW1082" s="115"/>
      <c r="CX1082" s="115"/>
      <c r="CY1082" s="115"/>
      <c r="CZ1082" s="115"/>
      <c r="DA1082" s="115"/>
      <c r="DB1082" s="115"/>
      <c r="DC1082" s="115"/>
      <c r="DD1082" s="115"/>
      <c r="DE1082" s="115"/>
      <c r="DF1082" s="115"/>
      <c r="DG1082" s="115"/>
    </row>
    <row r="1083" spans="1:111" ht="9" customHeight="1">
      <c r="A1083" s="154"/>
      <c r="B1083" s="154"/>
      <c r="C1083" s="154"/>
      <c r="D1083" s="154"/>
      <c r="E1083" s="154"/>
      <c r="F1083" s="154"/>
      <c r="G1083" s="154"/>
      <c r="H1083" s="154"/>
      <c r="I1083" s="154"/>
      <c r="J1083" s="154"/>
      <c r="K1083" s="154"/>
      <c r="L1083" s="154"/>
      <c r="M1083" s="154"/>
      <c r="N1083" s="154"/>
      <c r="O1083" s="154"/>
      <c r="P1083" s="154"/>
      <c r="Q1083" s="417"/>
      <c r="R1083" s="417"/>
      <c r="S1083" s="417"/>
      <c r="T1083" s="417"/>
      <c r="U1083" s="154"/>
      <c r="V1083" s="154"/>
      <c r="W1083" s="154"/>
      <c r="X1083" s="154"/>
      <c r="Y1083" s="154"/>
      <c r="Z1083" s="154"/>
      <c r="AA1083" s="154"/>
      <c r="AB1083" s="154"/>
      <c r="AC1083" s="418"/>
      <c r="AD1083" s="418"/>
      <c r="AE1083" s="418"/>
      <c r="AF1083" s="418"/>
      <c r="AG1083" s="418"/>
      <c r="AH1083" s="418"/>
      <c r="AI1083" s="418"/>
      <c r="AJ1083" s="418"/>
      <c r="AK1083" s="418"/>
      <c r="AL1083" s="418"/>
      <c r="AM1083" s="418"/>
      <c r="AN1083" s="418"/>
      <c r="AO1083" s="418"/>
      <c r="AP1083" s="418"/>
      <c r="AQ1083" s="418"/>
      <c r="AR1083" s="418"/>
      <c r="AS1083" s="418"/>
      <c r="AT1083" s="418"/>
      <c r="AU1083" s="418"/>
      <c r="AV1083" s="418"/>
      <c r="AW1083" s="418"/>
      <c r="AX1083" s="418"/>
      <c r="AY1083" s="418"/>
      <c r="AZ1083" s="418"/>
      <c r="BA1083" s="418"/>
      <c r="BB1083" s="154"/>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c r="BY1083" s="115"/>
      <c r="BZ1083" s="115"/>
      <c r="CA1083" s="115"/>
      <c r="CB1083" s="115"/>
      <c r="CC1083" s="115"/>
      <c r="CD1083" s="115"/>
      <c r="CE1083" s="115"/>
      <c r="CF1083" s="115"/>
      <c r="CG1083" s="115"/>
      <c r="CH1083" s="115"/>
      <c r="CI1083" s="115"/>
      <c r="CJ1083" s="115"/>
      <c r="CK1083" s="115"/>
      <c r="CL1083" s="115"/>
      <c r="CM1083" s="115"/>
      <c r="CN1083" s="115"/>
      <c r="CO1083" s="115"/>
      <c r="CP1083" s="115"/>
      <c r="CQ1083" s="115"/>
      <c r="CR1083" s="115"/>
      <c r="CS1083" s="115"/>
      <c r="CT1083" s="115"/>
      <c r="CU1083" s="115"/>
      <c r="CV1083" s="115"/>
      <c r="CW1083" s="115"/>
      <c r="CX1083" s="115"/>
      <c r="CY1083" s="115"/>
      <c r="CZ1083" s="115"/>
      <c r="DA1083" s="115"/>
      <c r="DB1083" s="115"/>
      <c r="DC1083" s="115"/>
      <c r="DD1083" s="115"/>
      <c r="DE1083" s="115"/>
      <c r="DF1083" s="115"/>
      <c r="DG1083" s="115"/>
    </row>
    <row r="1084" spans="1:111" ht="4.5" customHeight="1">
      <c r="A1084" s="154"/>
      <c r="B1084" s="154"/>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c r="BY1084" s="115"/>
      <c r="BZ1084" s="115"/>
      <c r="CA1084" s="115"/>
      <c r="CB1084" s="115"/>
      <c r="CC1084" s="115"/>
      <c r="CD1084" s="115"/>
      <c r="CE1084" s="115"/>
      <c r="CF1084" s="115"/>
      <c r="CG1084" s="115"/>
      <c r="CH1084" s="115"/>
      <c r="CI1084" s="115"/>
      <c r="CJ1084" s="115"/>
      <c r="CK1084" s="115"/>
      <c r="CL1084" s="115"/>
      <c r="CM1084" s="115"/>
      <c r="CN1084" s="115"/>
      <c r="CO1084" s="115"/>
      <c r="CP1084" s="115"/>
      <c r="CQ1084" s="115"/>
      <c r="CR1084" s="115"/>
      <c r="CS1084" s="115"/>
      <c r="CT1084" s="115"/>
      <c r="CU1084" s="115"/>
      <c r="CV1084" s="115"/>
      <c r="CW1084" s="115"/>
      <c r="CX1084" s="115"/>
      <c r="CY1084" s="115"/>
      <c r="CZ1084" s="115"/>
      <c r="DA1084" s="115"/>
      <c r="DB1084" s="115"/>
      <c r="DC1084" s="115"/>
      <c r="DD1084" s="115"/>
      <c r="DE1084" s="115"/>
      <c r="DF1084" s="115"/>
      <c r="DG1084" s="115"/>
    </row>
    <row r="1085" spans="1:111" ht="9" customHeight="1">
      <c r="A1085" s="154"/>
      <c r="B1085" s="154"/>
      <c r="C1085" s="154"/>
      <c r="D1085" s="154"/>
      <c r="E1085" s="154"/>
      <c r="F1085" s="154"/>
      <c r="G1085" s="154"/>
      <c r="H1085" s="154"/>
      <c r="I1085" s="154"/>
      <c r="J1085" s="416" t="str">
        <f>IF(C1067="","","Valor Unitário (R$):")</f>
        <v/>
      </c>
      <c r="K1085" s="416"/>
      <c r="L1085" s="416"/>
      <c r="M1085" s="416"/>
      <c r="N1085" s="416"/>
      <c r="O1085" s="416"/>
      <c r="P1085" s="154"/>
      <c r="Q1085" s="419"/>
      <c r="R1085" s="419"/>
      <c r="S1085" s="419"/>
      <c r="T1085" s="419"/>
      <c r="U1085" s="419"/>
      <c r="V1085" s="419"/>
      <c r="W1085" s="419"/>
      <c r="X1085" s="419"/>
      <c r="Y1085" s="154"/>
      <c r="Z1085" s="416" t="str">
        <f>IF(C1067="","",IF(J1073="52 Equipamentos e Material Permanente","Tempo de Uso:",""))</f>
        <v/>
      </c>
      <c r="AA1085" s="416"/>
      <c r="AB1085" s="416"/>
      <c r="AC1085" s="416"/>
      <c r="AD1085" s="416"/>
      <c r="AE1085" s="416"/>
      <c r="AF1085" s="154"/>
      <c r="AG1085" s="420"/>
      <c r="AH1085" s="420"/>
      <c r="AI1085" s="420"/>
      <c r="AJ1085" s="420"/>
      <c r="AK1085" s="420"/>
      <c r="AL1085" s="420"/>
      <c r="AM1085" s="420"/>
      <c r="AN1085" s="420"/>
      <c r="AO1085" s="420"/>
      <c r="AP1085" s="420"/>
      <c r="AQ1085" s="420"/>
      <c r="AR1085" s="420"/>
      <c r="AS1085" s="420"/>
      <c r="AT1085" s="420"/>
      <c r="AU1085" s="420"/>
      <c r="AV1085" s="420"/>
      <c r="AW1085" s="420"/>
      <c r="AX1085" s="420"/>
      <c r="AY1085" s="420"/>
      <c r="AZ1085" s="420"/>
      <c r="BA1085" s="420"/>
      <c r="BB1085" s="154"/>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c r="BY1085" s="115"/>
      <c r="BZ1085" s="115"/>
      <c r="CA1085" s="115"/>
      <c r="CB1085" s="115"/>
      <c r="CC1085" s="115"/>
      <c r="CD1085" s="115"/>
      <c r="CE1085" s="115"/>
      <c r="CF1085" s="115"/>
      <c r="CG1085" s="115"/>
      <c r="CH1085" s="115"/>
      <c r="CI1085" s="115"/>
      <c r="CJ1085" s="115"/>
      <c r="CK1085" s="115"/>
      <c r="CL1085" s="115"/>
      <c r="CM1085" s="115"/>
      <c r="CN1085" s="115"/>
      <c r="CO1085" s="115"/>
      <c r="CP1085" s="115"/>
      <c r="CQ1085" s="115"/>
      <c r="CR1085" s="115"/>
      <c r="CS1085" s="115"/>
      <c r="CT1085" s="115"/>
      <c r="CU1085" s="115"/>
      <c r="CV1085" s="115"/>
      <c r="CW1085" s="115"/>
      <c r="CX1085" s="115"/>
      <c r="CY1085" s="115"/>
      <c r="CZ1085" s="115"/>
      <c r="DA1085" s="115"/>
      <c r="DB1085" s="115"/>
      <c r="DC1085" s="115"/>
      <c r="DD1085" s="115"/>
      <c r="DE1085" s="115"/>
      <c r="DF1085" s="115"/>
      <c r="DG1085" s="115"/>
    </row>
    <row r="1086" spans="1:111" ht="9" customHeight="1">
      <c r="A1086" s="154"/>
      <c r="B1086" s="154"/>
      <c r="C1086" s="154"/>
      <c r="D1086" s="154"/>
      <c r="E1086" s="154"/>
      <c r="F1086" s="154"/>
      <c r="G1086" s="154"/>
      <c r="H1086" s="154"/>
      <c r="I1086" s="154"/>
      <c r="J1086" s="416"/>
      <c r="K1086" s="416"/>
      <c r="L1086" s="416"/>
      <c r="M1086" s="416"/>
      <c r="N1086" s="416"/>
      <c r="O1086" s="416"/>
      <c r="P1086" s="154"/>
      <c r="Q1086" s="419"/>
      <c r="R1086" s="419"/>
      <c r="S1086" s="419"/>
      <c r="T1086" s="419"/>
      <c r="U1086" s="419"/>
      <c r="V1086" s="419"/>
      <c r="W1086" s="419"/>
      <c r="X1086" s="419"/>
      <c r="Y1086" s="154"/>
      <c r="Z1086" s="416"/>
      <c r="AA1086" s="416"/>
      <c r="AB1086" s="416"/>
      <c r="AC1086" s="416"/>
      <c r="AD1086" s="416"/>
      <c r="AE1086" s="416"/>
      <c r="AF1086" s="154"/>
      <c r="AG1086" s="420"/>
      <c r="AH1086" s="420"/>
      <c r="AI1086" s="420"/>
      <c r="AJ1086" s="420"/>
      <c r="AK1086" s="420"/>
      <c r="AL1086" s="420"/>
      <c r="AM1086" s="420"/>
      <c r="AN1086" s="420"/>
      <c r="AO1086" s="420"/>
      <c r="AP1086" s="420"/>
      <c r="AQ1086" s="420"/>
      <c r="AR1086" s="420"/>
      <c r="AS1086" s="420"/>
      <c r="AT1086" s="420"/>
      <c r="AU1086" s="420"/>
      <c r="AV1086" s="420"/>
      <c r="AW1086" s="420"/>
      <c r="AX1086" s="420"/>
      <c r="AY1086" s="420"/>
      <c r="AZ1086" s="420"/>
      <c r="BA1086" s="420"/>
      <c r="BB1086" s="154"/>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c r="BY1086" s="115"/>
      <c r="BZ1086" s="115"/>
      <c r="CA1086" s="115"/>
      <c r="CB1086" s="115"/>
      <c r="CC1086" s="115"/>
      <c r="CD1086" s="115"/>
      <c r="CE1086" s="115"/>
      <c r="CF1086" s="115"/>
      <c r="CG1086" s="115"/>
      <c r="CH1086" s="115"/>
      <c r="CI1086" s="115"/>
      <c r="CJ1086" s="115"/>
      <c r="CK1086" s="115"/>
      <c r="CL1086" s="115"/>
      <c r="CM1086" s="115"/>
      <c r="CN1086" s="115"/>
      <c r="CO1086" s="115"/>
      <c r="CP1086" s="115"/>
      <c r="CQ1086" s="115"/>
      <c r="CR1086" s="115"/>
      <c r="CS1086" s="115"/>
      <c r="CT1086" s="115"/>
      <c r="CU1086" s="115"/>
      <c r="CV1086" s="115"/>
      <c r="CW1086" s="115"/>
      <c r="CX1086" s="115"/>
      <c r="CY1086" s="115"/>
      <c r="CZ1086" s="115"/>
      <c r="DA1086" s="115"/>
      <c r="DB1086" s="115"/>
      <c r="DC1086" s="115"/>
      <c r="DD1086" s="115"/>
      <c r="DE1086" s="115"/>
      <c r="DF1086" s="115"/>
      <c r="DG1086" s="115"/>
    </row>
    <row r="1087" spans="1:111" ht="9" customHeight="1">
      <c r="A1087" s="154"/>
      <c r="B1087" s="154"/>
      <c r="C1087" s="154"/>
      <c r="D1087" s="154"/>
      <c r="E1087" s="154"/>
      <c r="F1087" s="154"/>
      <c r="G1087" s="154"/>
      <c r="H1087" s="154"/>
      <c r="I1087" s="154"/>
      <c r="J1087" s="154"/>
      <c r="K1087" s="154"/>
      <c r="L1087" s="154"/>
      <c r="M1087" s="154"/>
      <c r="N1087" s="154"/>
      <c r="O1087" s="154"/>
      <c r="P1087" s="154"/>
      <c r="Q1087" s="419"/>
      <c r="R1087" s="419"/>
      <c r="S1087" s="419"/>
      <c r="T1087" s="419"/>
      <c r="U1087" s="419"/>
      <c r="V1087" s="419"/>
      <c r="W1087" s="419"/>
      <c r="X1087" s="419"/>
      <c r="Y1087" s="154"/>
      <c r="Z1087" s="154"/>
      <c r="AA1087" s="154"/>
      <c r="AB1087" s="154"/>
      <c r="AC1087" s="154"/>
      <c r="AD1087" s="154"/>
      <c r="AE1087" s="154"/>
      <c r="AF1087" s="154"/>
      <c r="AG1087" s="420"/>
      <c r="AH1087" s="420"/>
      <c r="AI1087" s="420"/>
      <c r="AJ1087" s="420"/>
      <c r="AK1087" s="420"/>
      <c r="AL1087" s="420"/>
      <c r="AM1087" s="420"/>
      <c r="AN1087" s="420"/>
      <c r="AO1087" s="420"/>
      <c r="AP1087" s="420"/>
      <c r="AQ1087" s="420"/>
      <c r="AR1087" s="420"/>
      <c r="AS1087" s="420"/>
      <c r="AT1087" s="420"/>
      <c r="AU1087" s="420"/>
      <c r="AV1087" s="420"/>
      <c r="AW1087" s="420"/>
      <c r="AX1087" s="420"/>
      <c r="AY1087" s="420"/>
      <c r="AZ1087" s="420"/>
      <c r="BA1087" s="420"/>
      <c r="BB1087" s="154"/>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c r="BY1087" s="115"/>
      <c r="BZ1087" s="115"/>
      <c r="CA1087" s="115"/>
      <c r="CB1087" s="115"/>
      <c r="CC1087" s="115"/>
      <c r="CD1087" s="115"/>
      <c r="CE1087" s="115"/>
      <c r="CF1087" s="115"/>
      <c r="CG1087" s="115"/>
      <c r="CH1087" s="115"/>
      <c r="CI1087" s="115"/>
      <c r="CJ1087" s="115"/>
      <c r="CK1087" s="115"/>
      <c r="CL1087" s="115"/>
      <c r="CM1087" s="115"/>
      <c r="CN1087" s="115"/>
      <c r="CO1087" s="115"/>
      <c r="CP1087" s="115"/>
      <c r="CQ1087" s="115"/>
      <c r="CR1087" s="115"/>
      <c r="CS1087" s="115"/>
      <c r="CT1087" s="115"/>
      <c r="CU1087" s="115"/>
      <c r="CV1087" s="115"/>
      <c r="CW1087" s="115"/>
      <c r="CX1087" s="115"/>
      <c r="CY1087" s="115"/>
      <c r="CZ1087" s="115"/>
      <c r="DA1087" s="115"/>
      <c r="DB1087" s="115"/>
      <c r="DC1087" s="115"/>
      <c r="DD1087" s="115"/>
      <c r="DE1087" s="115"/>
      <c r="DF1087" s="115"/>
      <c r="DG1087" s="115"/>
    </row>
    <row r="1088" spans="1:111" ht="4.5" customHeight="1">
      <c r="A1088" s="154"/>
      <c r="B1088" s="154"/>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c r="BY1088" s="115"/>
      <c r="BZ1088" s="115"/>
      <c r="CA1088" s="115"/>
      <c r="CB1088" s="115"/>
      <c r="CC1088" s="115"/>
      <c r="CD1088" s="115"/>
      <c r="CE1088" s="115"/>
      <c r="CF1088" s="115"/>
      <c r="CG1088" s="115"/>
      <c r="CH1088" s="115"/>
      <c r="CI1088" s="115"/>
      <c r="CJ1088" s="115"/>
      <c r="CK1088" s="115"/>
      <c r="CL1088" s="115"/>
      <c r="CM1088" s="115"/>
      <c r="CN1088" s="115"/>
      <c r="CO1088" s="115"/>
      <c r="CP1088" s="115"/>
      <c r="CQ1088" s="115"/>
      <c r="CR1088" s="115"/>
      <c r="CS1088" s="115"/>
      <c r="CT1088" s="115"/>
      <c r="CU1088" s="115"/>
      <c r="CV1088" s="115"/>
      <c r="CW1088" s="115"/>
      <c r="CX1088" s="115"/>
      <c r="CY1088" s="115"/>
      <c r="CZ1088" s="115"/>
      <c r="DA1088" s="115"/>
      <c r="DB1088" s="115"/>
      <c r="DC1088" s="115"/>
      <c r="DD1088" s="115"/>
      <c r="DE1088" s="115"/>
      <c r="DF1088" s="115"/>
      <c r="DG1088" s="115"/>
    </row>
    <row r="1089" spans="1:111" ht="9" customHeight="1">
      <c r="A1089" s="154"/>
      <c r="B1089" s="154"/>
      <c r="C1089" s="154"/>
      <c r="D1089" s="154"/>
      <c r="E1089" s="154"/>
      <c r="F1089" s="154"/>
      <c r="G1089" s="154"/>
      <c r="H1089" s="154"/>
      <c r="I1089" s="154"/>
      <c r="J1089" s="416" t="str">
        <f>IF(C1067="","","Valor Total (R$):")</f>
        <v/>
      </c>
      <c r="K1089" s="416"/>
      <c r="L1089" s="416"/>
      <c r="M1089" s="416"/>
      <c r="N1089" s="416"/>
      <c r="O1089" s="416"/>
      <c r="P1089" s="154"/>
      <c r="Q1089" s="419" t="str">
        <f>IF(Q1085="","",Q1081*Q1085)</f>
        <v/>
      </c>
      <c r="R1089" s="419"/>
      <c r="S1089" s="419"/>
      <c r="T1089" s="419"/>
      <c r="U1089" s="419"/>
      <c r="V1089" s="419"/>
      <c r="W1089" s="419"/>
      <c r="X1089" s="419"/>
      <c r="Y1089" s="154"/>
      <c r="Z1089" s="416" t="str">
        <f>IF(C1067="","",IF(J1073="52 Equipamentos e Material Permanente","Justificativa e Utilização:",""))</f>
        <v/>
      </c>
      <c r="AA1089" s="416"/>
      <c r="AB1089" s="416"/>
      <c r="AC1089" s="416"/>
      <c r="AD1089" s="416"/>
      <c r="AE1089" s="416"/>
      <c r="AF1089" s="154"/>
      <c r="AG1089" s="420"/>
      <c r="AH1089" s="420"/>
      <c r="AI1089" s="420"/>
      <c r="AJ1089" s="420"/>
      <c r="AK1089" s="420"/>
      <c r="AL1089" s="420"/>
      <c r="AM1089" s="420"/>
      <c r="AN1089" s="420"/>
      <c r="AO1089" s="420"/>
      <c r="AP1089" s="420"/>
      <c r="AQ1089" s="420"/>
      <c r="AR1089" s="420"/>
      <c r="AS1089" s="420"/>
      <c r="AT1089" s="420"/>
      <c r="AU1089" s="420"/>
      <c r="AV1089" s="420"/>
      <c r="AW1089" s="420"/>
      <c r="AX1089" s="420"/>
      <c r="AY1089" s="420"/>
      <c r="AZ1089" s="420"/>
      <c r="BA1089" s="420"/>
      <c r="BB1089" s="154"/>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c r="BY1089" s="115"/>
      <c r="BZ1089" s="115"/>
      <c r="CA1089" s="115"/>
      <c r="CB1089" s="115"/>
      <c r="CC1089" s="115"/>
      <c r="CD1089" s="115"/>
      <c r="CE1089" s="115"/>
      <c r="CF1089" s="115"/>
      <c r="CG1089" s="115"/>
      <c r="CH1089" s="115"/>
      <c r="CI1089" s="115"/>
      <c r="CJ1089" s="115"/>
      <c r="CK1089" s="115"/>
      <c r="CL1089" s="115"/>
      <c r="CM1089" s="115"/>
      <c r="CN1089" s="115"/>
      <c r="CO1089" s="115"/>
      <c r="CP1089" s="115"/>
      <c r="CQ1089" s="115"/>
      <c r="CR1089" s="115"/>
      <c r="CS1089" s="115"/>
      <c r="CT1089" s="115"/>
      <c r="CU1089" s="115"/>
      <c r="CV1089" s="115"/>
      <c r="CW1089" s="115"/>
      <c r="CX1089" s="115"/>
      <c r="CY1089" s="115"/>
      <c r="CZ1089" s="115"/>
      <c r="DA1089" s="115"/>
      <c r="DB1089" s="115"/>
      <c r="DC1089" s="115"/>
      <c r="DD1089" s="115"/>
      <c r="DE1089" s="115"/>
      <c r="DF1089" s="115"/>
      <c r="DG1089" s="115"/>
    </row>
    <row r="1090" spans="1:111" ht="9" customHeight="1">
      <c r="A1090" s="154"/>
      <c r="B1090" s="154"/>
      <c r="C1090" s="154"/>
      <c r="D1090" s="154"/>
      <c r="E1090" s="154"/>
      <c r="F1090" s="154"/>
      <c r="G1090" s="154"/>
      <c r="H1090" s="154"/>
      <c r="I1090" s="154"/>
      <c r="J1090" s="416"/>
      <c r="K1090" s="416"/>
      <c r="L1090" s="416"/>
      <c r="M1090" s="416"/>
      <c r="N1090" s="416"/>
      <c r="O1090" s="416"/>
      <c r="P1090" s="154"/>
      <c r="Q1090" s="419"/>
      <c r="R1090" s="419"/>
      <c r="S1090" s="419"/>
      <c r="T1090" s="419"/>
      <c r="U1090" s="419"/>
      <c r="V1090" s="419"/>
      <c r="W1090" s="419"/>
      <c r="X1090" s="419"/>
      <c r="Y1090" s="154"/>
      <c r="Z1090" s="416"/>
      <c r="AA1090" s="416"/>
      <c r="AB1090" s="416"/>
      <c r="AC1090" s="416"/>
      <c r="AD1090" s="416"/>
      <c r="AE1090" s="416"/>
      <c r="AF1090" s="154"/>
      <c r="AG1090" s="420"/>
      <c r="AH1090" s="420"/>
      <c r="AI1090" s="420"/>
      <c r="AJ1090" s="420"/>
      <c r="AK1090" s="420"/>
      <c r="AL1090" s="420"/>
      <c r="AM1090" s="420"/>
      <c r="AN1090" s="420"/>
      <c r="AO1090" s="420"/>
      <c r="AP1090" s="420"/>
      <c r="AQ1090" s="420"/>
      <c r="AR1090" s="420"/>
      <c r="AS1090" s="420"/>
      <c r="AT1090" s="420"/>
      <c r="AU1090" s="420"/>
      <c r="AV1090" s="420"/>
      <c r="AW1090" s="420"/>
      <c r="AX1090" s="420"/>
      <c r="AY1090" s="420"/>
      <c r="AZ1090" s="420"/>
      <c r="BA1090" s="420"/>
      <c r="BB1090" s="154"/>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c r="BY1090" s="115"/>
      <c r="BZ1090" s="115"/>
      <c r="CA1090" s="115"/>
      <c r="CB1090" s="115"/>
      <c r="CC1090" s="115"/>
      <c r="CD1090" s="115"/>
      <c r="CE1090" s="115"/>
      <c r="CF1090" s="115"/>
      <c r="CG1090" s="115"/>
      <c r="CH1090" s="115"/>
      <c r="CI1090" s="115"/>
      <c r="CJ1090" s="115"/>
      <c r="CK1090" s="115"/>
      <c r="CL1090" s="115"/>
      <c r="CM1090" s="115"/>
      <c r="CN1090" s="115"/>
      <c r="CO1090" s="115"/>
      <c r="CP1090" s="115"/>
      <c r="CQ1090" s="115"/>
      <c r="CR1090" s="115"/>
      <c r="CS1090" s="115"/>
      <c r="CT1090" s="115"/>
      <c r="CU1090" s="115"/>
      <c r="CV1090" s="115"/>
      <c r="CW1090" s="115"/>
      <c r="CX1090" s="115"/>
      <c r="CY1090" s="115"/>
      <c r="CZ1090" s="115"/>
      <c r="DA1090" s="115"/>
      <c r="DB1090" s="115"/>
      <c r="DC1090" s="115"/>
      <c r="DD1090" s="115"/>
      <c r="DE1090" s="115"/>
      <c r="DF1090" s="115"/>
      <c r="DG1090" s="115"/>
    </row>
    <row r="1091" spans="1:111" ht="9" customHeight="1">
      <c r="A1091" s="154"/>
      <c r="B1091" s="154"/>
      <c r="C1091" s="154"/>
      <c r="D1091" s="154"/>
      <c r="E1091" s="154"/>
      <c r="F1091" s="154"/>
      <c r="G1091" s="154"/>
      <c r="H1091" s="154"/>
      <c r="I1091" s="154"/>
      <c r="J1091" s="154"/>
      <c r="K1091" s="154"/>
      <c r="L1091" s="154"/>
      <c r="M1091" s="154"/>
      <c r="N1091" s="154"/>
      <c r="O1091" s="154"/>
      <c r="P1091" s="154"/>
      <c r="Q1091" s="419"/>
      <c r="R1091" s="419"/>
      <c r="S1091" s="419"/>
      <c r="T1091" s="419"/>
      <c r="U1091" s="419"/>
      <c r="V1091" s="419"/>
      <c r="W1091" s="419"/>
      <c r="X1091" s="419"/>
      <c r="Y1091" s="154"/>
      <c r="Z1091" s="154"/>
      <c r="AA1091" s="154"/>
      <c r="AB1091" s="154"/>
      <c r="AC1091" s="154"/>
      <c r="AD1091" s="154"/>
      <c r="AE1091" s="154"/>
      <c r="AF1091" s="154"/>
      <c r="AG1091" s="420"/>
      <c r="AH1091" s="420"/>
      <c r="AI1091" s="420"/>
      <c r="AJ1091" s="420"/>
      <c r="AK1091" s="420"/>
      <c r="AL1091" s="420"/>
      <c r="AM1091" s="420"/>
      <c r="AN1091" s="420"/>
      <c r="AO1091" s="420"/>
      <c r="AP1091" s="420"/>
      <c r="AQ1091" s="420"/>
      <c r="AR1091" s="420"/>
      <c r="AS1091" s="420"/>
      <c r="AT1091" s="420"/>
      <c r="AU1091" s="420"/>
      <c r="AV1091" s="420"/>
      <c r="AW1091" s="420"/>
      <c r="AX1091" s="420"/>
      <c r="AY1091" s="420"/>
      <c r="AZ1091" s="420"/>
      <c r="BA1091" s="420"/>
      <c r="BB1091" s="154"/>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c r="BY1091" s="115"/>
      <c r="BZ1091" s="115"/>
      <c r="CA1091" s="115"/>
      <c r="CB1091" s="115"/>
      <c r="CC1091" s="115"/>
      <c r="CD1091" s="115"/>
      <c r="CE1091" s="115"/>
      <c r="CF1091" s="115"/>
      <c r="CG1091" s="115"/>
      <c r="CH1091" s="115"/>
      <c r="CI1091" s="115"/>
      <c r="CJ1091" s="115"/>
      <c r="CK1091" s="115"/>
      <c r="CL1091" s="115"/>
      <c r="CM1091" s="115"/>
      <c r="CN1091" s="115"/>
      <c r="CO1091" s="115"/>
      <c r="CP1091" s="115"/>
      <c r="CQ1091" s="115"/>
      <c r="CR1091" s="115"/>
      <c r="CS1091" s="115"/>
      <c r="CT1091" s="115"/>
      <c r="CU1091" s="115"/>
      <c r="CV1091" s="115"/>
      <c r="CW1091" s="115"/>
      <c r="CX1091" s="115"/>
      <c r="CY1091" s="115"/>
      <c r="CZ1091" s="115"/>
      <c r="DA1091" s="115"/>
      <c r="DB1091" s="115"/>
      <c r="DC1091" s="115"/>
      <c r="DD1091" s="115"/>
      <c r="DE1091" s="115"/>
      <c r="DF1091" s="115"/>
      <c r="DG1091" s="115"/>
    </row>
    <row r="1092" spans="1:111" ht="9" customHeight="1">
      <c r="A1092" s="154"/>
      <c r="B1092" s="154"/>
      <c r="C1092" s="154"/>
      <c r="D1092" s="154"/>
      <c r="E1092" s="154"/>
      <c r="F1092" s="154"/>
      <c r="G1092" s="154"/>
      <c r="H1092" s="154"/>
      <c r="I1092" s="15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420"/>
      <c r="AH1092" s="420"/>
      <c r="AI1092" s="420"/>
      <c r="AJ1092" s="420"/>
      <c r="AK1092" s="420"/>
      <c r="AL1092" s="420"/>
      <c r="AM1092" s="420"/>
      <c r="AN1092" s="420"/>
      <c r="AO1092" s="420"/>
      <c r="AP1092" s="420"/>
      <c r="AQ1092" s="420"/>
      <c r="AR1092" s="420"/>
      <c r="AS1092" s="420"/>
      <c r="AT1092" s="420"/>
      <c r="AU1092" s="420"/>
      <c r="AV1092" s="420"/>
      <c r="AW1092" s="420"/>
      <c r="AX1092" s="420"/>
      <c r="AY1092" s="420"/>
      <c r="AZ1092" s="420"/>
      <c r="BA1092" s="420"/>
      <c r="BB1092" s="154"/>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c r="BY1092" s="115"/>
      <c r="BZ1092" s="115"/>
      <c r="CA1092" s="115"/>
      <c r="CB1092" s="115"/>
      <c r="CC1092" s="115"/>
      <c r="CD1092" s="115"/>
      <c r="CE1092" s="115"/>
      <c r="CF1092" s="115"/>
      <c r="CG1092" s="115"/>
      <c r="CH1092" s="115"/>
      <c r="CI1092" s="115"/>
      <c r="CJ1092" s="115"/>
      <c r="CK1092" s="115"/>
      <c r="CL1092" s="115"/>
      <c r="CM1092" s="115"/>
      <c r="CN1092" s="115"/>
      <c r="CO1092" s="115"/>
      <c r="CP1092" s="115"/>
      <c r="CQ1092" s="115"/>
      <c r="CR1092" s="115"/>
      <c r="CS1092" s="115"/>
      <c r="CT1092" s="115"/>
      <c r="CU1092" s="115"/>
      <c r="CV1092" s="115"/>
      <c r="CW1092" s="115"/>
      <c r="CX1092" s="115"/>
      <c r="CY1092" s="115"/>
      <c r="CZ1092" s="115"/>
      <c r="DA1092" s="115"/>
      <c r="DB1092" s="115"/>
      <c r="DC1092" s="115"/>
      <c r="DD1092" s="115"/>
      <c r="DE1092" s="115"/>
      <c r="DF1092" s="115"/>
      <c r="DG1092" s="115"/>
    </row>
    <row r="1093" spans="1:111" ht="9" customHeight="1">
      <c r="A1093" s="154"/>
      <c r="B1093" s="154"/>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420"/>
      <c r="AH1093" s="420"/>
      <c r="AI1093" s="420"/>
      <c r="AJ1093" s="420"/>
      <c r="AK1093" s="420"/>
      <c r="AL1093" s="420"/>
      <c r="AM1093" s="420"/>
      <c r="AN1093" s="420"/>
      <c r="AO1093" s="420"/>
      <c r="AP1093" s="420"/>
      <c r="AQ1093" s="420"/>
      <c r="AR1093" s="420"/>
      <c r="AS1093" s="420"/>
      <c r="AT1093" s="420"/>
      <c r="AU1093" s="420"/>
      <c r="AV1093" s="420"/>
      <c r="AW1093" s="420"/>
      <c r="AX1093" s="420"/>
      <c r="AY1093" s="420"/>
      <c r="AZ1093" s="420"/>
      <c r="BA1093" s="420"/>
      <c r="BB1093" s="154"/>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c r="BY1093" s="115"/>
      <c r="BZ1093" s="115"/>
      <c r="CA1093" s="115"/>
      <c r="CB1093" s="115"/>
      <c r="CC1093" s="115"/>
      <c r="CD1093" s="115"/>
      <c r="CE1093" s="115"/>
      <c r="CF1093" s="115"/>
      <c r="CG1093" s="115"/>
      <c r="CH1093" s="115"/>
      <c r="CI1093" s="115"/>
      <c r="CJ1093" s="115"/>
      <c r="CK1093" s="115"/>
      <c r="CL1093" s="115"/>
      <c r="CM1093" s="115"/>
      <c r="CN1093" s="115"/>
      <c r="CO1093" s="115"/>
      <c r="CP1093" s="115"/>
      <c r="CQ1093" s="115"/>
      <c r="CR1093" s="115"/>
      <c r="CS1093" s="115"/>
      <c r="CT1093" s="115"/>
      <c r="CU1093" s="115"/>
      <c r="CV1093" s="115"/>
      <c r="CW1093" s="115"/>
      <c r="CX1093" s="115"/>
      <c r="CY1093" s="115"/>
      <c r="CZ1093" s="115"/>
      <c r="DA1093" s="115"/>
      <c r="DB1093" s="115"/>
      <c r="DC1093" s="115"/>
      <c r="DD1093" s="115"/>
      <c r="DE1093" s="115"/>
      <c r="DF1093" s="115"/>
      <c r="DG1093" s="115"/>
    </row>
    <row r="1094" spans="1:111" ht="9" customHeight="1">
      <c r="A1094" s="154"/>
      <c r="B1094" s="154"/>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420"/>
      <c r="AH1094" s="420"/>
      <c r="AI1094" s="420"/>
      <c r="AJ1094" s="420"/>
      <c r="AK1094" s="420"/>
      <c r="AL1094" s="420"/>
      <c r="AM1094" s="420"/>
      <c r="AN1094" s="420"/>
      <c r="AO1094" s="420"/>
      <c r="AP1094" s="420"/>
      <c r="AQ1094" s="420"/>
      <c r="AR1094" s="420"/>
      <c r="AS1094" s="420"/>
      <c r="AT1094" s="420"/>
      <c r="AU1094" s="420"/>
      <c r="AV1094" s="420"/>
      <c r="AW1094" s="420"/>
      <c r="AX1094" s="420"/>
      <c r="AY1094" s="420"/>
      <c r="AZ1094" s="420"/>
      <c r="BA1094" s="420"/>
      <c r="BB1094" s="154"/>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c r="BY1094" s="115"/>
      <c r="BZ1094" s="115"/>
      <c r="CA1094" s="115"/>
      <c r="CB1094" s="115"/>
      <c r="CC1094" s="115"/>
      <c r="CD1094" s="115"/>
      <c r="CE1094" s="115"/>
      <c r="CF1094" s="115"/>
      <c r="CG1094" s="115"/>
      <c r="CH1094" s="115"/>
      <c r="CI1094" s="115"/>
      <c r="CJ1094" s="115"/>
      <c r="CK1094" s="115"/>
      <c r="CL1094" s="115"/>
      <c r="CM1094" s="115"/>
      <c r="CN1094" s="115"/>
      <c r="CO1094" s="115"/>
      <c r="CP1094" s="115"/>
      <c r="CQ1094" s="115"/>
      <c r="CR1094" s="115"/>
      <c r="CS1094" s="115"/>
      <c r="CT1094" s="115"/>
      <c r="CU1094" s="115"/>
      <c r="CV1094" s="115"/>
      <c r="CW1094" s="115"/>
      <c r="CX1094" s="115"/>
      <c r="CY1094" s="115"/>
      <c r="CZ1094" s="115"/>
      <c r="DA1094" s="115"/>
      <c r="DB1094" s="115"/>
      <c r="DC1094" s="115"/>
      <c r="DD1094" s="115"/>
      <c r="DE1094" s="115"/>
      <c r="DF1094" s="115"/>
      <c r="DG1094" s="115"/>
    </row>
    <row r="1095" spans="1:111" ht="15" customHeight="1">
      <c r="B1095" s="55"/>
      <c r="C1095" s="55"/>
      <c r="D1095" s="56"/>
      <c r="E1095" s="56"/>
      <c r="F1095" s="56"/>
      <c r="G1095" s="56"/>
      <c r="H1095" s="56"/>
      <c r="I1095" s="56"/>
      <c r="J1095" s="56"/>
      <c r="K1095" s="56"/>
      <c r="L1095" s="56"/>
      <c r="M1095" s="56"/>
      <c r="N1095" s="56"/>
      <c r="O1095" s="56"/>
      <c r="P1095" s="56"/>
      <c r="Q1095" s="56"/>
      <c r="R1095" s="56"/>
      <c r="S1095" s="56"/>
      <c r="T1095" s="56"/>
      <c r="U1095" s="56"/>
      <c r="V1095" s="56"/>
      <c r="W1095" s="56"/>
      <c r="X1095" s="56"/>
      <c r="Y1095" s="56"/>
      <c r="Z1095" s="56"/>
      <c r="AA1095" s="56"/>
      <c r="AB1095" s="56"/>
      <c r="AC1095" s="56"/>
      <c r="AD1095" s="56"/>
      <c r="AE1095" s="56"/>
      <c r="AF1095" s="56"/>
      <c r="AG1095" s="56"/>
      <c r="AH1095" s="56"/>
      <c r="AI1095" s="56"/>
      <c r="AJ1095" s="56"/>
      <c r="AK1095" s="141"/>
      <c r="AL1095" s="141"/>
      <c r="AM1095" s="141"/>
      <c r="AN1095" s="141"/>
      <c r="AO1095" s="140"/>
      <c r="AP1095" s="140"/>
      <c r="AQ1095" s="140"/>
      <c r="AR1095" s="140"/>
      <c r="AS1095" s="142"/>
      <c r="AT1095" s="142"/>
      <c r="AU1095" s="142"/>
      <c r="AV1095" s="142"/>
      <c r="AW1095" s="140"/>
      <c r="AX1095" s="140"/>
      <c r="AY1095" s="140"/>
      <c r="AZ1095" s="140"/>
      <c r="BA1095" s="140"/>
      <c r="BC1095" s="115"/>
      <c r="BD1095" s="115"/>
      <c r="BE1095" s="115"/>
      <c r="BF1095" s="115"/>
      <c r="BG1095" s="115"/>
      <c r="BH1095" s="155"/>
      <c r="BI1095" s="155"/>
      <c r="BJ1095" s="155"/>
      <c r="BK1095" s="155"/>
      <c r="BL1095" s="155"/>
      <c r="BM1095" s="155"/>
      <c r="BN1095" s="155"/>
      <c r="BO1095" s="155"/>
      <c r="BP1095" s="155"/>
      <c r="BQ1095" s="155"/>
      <c r="BR1095" s="155"/>
      <c r="BS1095" s="155"/>
      <c r="BT1095" s="155"/>
      <c r="BU1095" s="155"/>
      <c r="BV1095" s="155"/>
      <c r="BW1095" s="155"/>
      <c r="BX1095" s="155"/>
      <c r="BY1095" s="155"/>
      <c r="BZ1095" s="155"/>
      <c r="CA1095" s="155"/>
      <c r="CB1095" s="155"/>
      <c r="CC1095" s="155"/>
      <c r="CD1095" s="155"/>
      <c r="CE1095" s="155"/>
      <c r="CF1095" s="155"/>
      <c r="CG1095" s="155"/>
      <c r="CH1095" s="155"/>
      <c r="CI1095" s="155"/>
      <c r="CJ1095" s="155"/>
      <c r="CK1095" s="155"/>
      <c r="CL1095" s="155"/>
      <c r="CM1095" s="155"/>
      <c r="CN1095" s="155"/>
      <c r="CO1095" s="155"/>
      <c r="CP1095" s="155"/>
      <c r="CQ1095" s="155"/>
      <c r="CR1095" s="155"/>
      <c r="CS1095" s="155"/>
      <c r="CT1095" s="155"/>
      <c r="CU1095" s="155"/>
      <c r="CV1095" s="155"/>
      <c r="CW1095" s="155"/>
      <c r="CX1095" s="155"/>
      <c r="CY1095" s="155"/>
      <c r="CZ1095" s="155"/>
      <c r="DA1095" s="155"/>
      <c r="DB1095" s="155"/>
      <c r="DC1095" s="155"/>
      <c r="DD1095" s="155"/>
      <c r="DE1095" s="155"/>
      <c r="DF1095" s="155"/>
      <c r="DG1095" s="115"/>
    </row>
    <row r="1096" spans="1:111" ht="15" customHeight="1">
      <c r="B1096" s="55"/>
      <c r="C1096" s="422" t="str">
        <f>IF($AA$165&gt;=33,"DESPESA 33","")</f>
        <v/>
      </c>
      <c r="D1096" s="422"/>
      <c r="E1096" s="422"/>
      <c r="F1096" s="422"/>
      <c r="G1096" s="422"/>
      <c r="H1096" s="422"/>
      <c r="I1096" s="56"/>
      <c r="J1096" s="56"/>
      <c r="K1096" s="56"/>
      <c r="L1096" s="56"/>
      <c r="M1096" s="56"/>
      <c r="N1096" s="56"/>
      <c r="O1096" s="56"/>
      <c r="P1096" s="56"/>
      <c r="Q1096" s="56"/>
      <c r="R1096" s="56"/>
      <c r="S1096" s="56"/>
      <c r="T1096" s="56"/>
      <c r="U1096" s="56"/>
      <c r="V1096" s="56"/>
      <c r="W1096" s="56"/>
      <c r="X1096" s="56"/>
      <c r="Y1096" s="56"/>
      <c r="Z1096" s="56"/>
      <c r="AA1096" s="56"/>
      <c r="AB1096" s="56"/>
      <c r="AC1096" s="56"/>
      <c r="AD1096" s="56"/>
      <c r="AE1096" s="56"/>
      <c r="AF1096" s="56"/>
      <c r="AG1096" s="56"/>
      <c r="AH1096" s="56"/>
      <c r="AI1096" s="56"/>
      <c r="AJ1096" s="56"/>
      <c r="AK1096" s="141"/>
      <c r="AL1096" s="141"/>
      <c r="AM1096" s="141"/>
      <c r="AN1096" s="141"/>
      <c r="AO1096" s="140"/>
      <c r="AP1096" s="140"/>
      <c r="AQ1096" s="140"/>
      <c r="AR1096" s="140"/>
      <c r="AS1096" s="142"/>
      <c r="AT1096" s="142"/>
      <c r="AU1096" s="142"/>
      <c r="AV1096" s="142"/>
      <c r="AW1096" s="140"/>
      <c r="AX1096" s="140"/>
      <c r="AY1096" s="140"/>
      <c r="AZ1096" s="140"/>
      <c r="BA1096" s="140"/>
      <c r="BC1096" s="115"/>
      <c r="BD1096" s="115"/>
      <c r="BE1096" s="115"/>
      <c r="BF1096" s="115"/>
      <c r="BG1096" s="115"/>
      <c r="BH1096" s="155"/>
      <c r="BI1096" s="155"/>
      <c r="BJ1096" s="155"/>
      <c r="BK1096" s="155"/>
      <c r="BL1096" s="155"/>
      <c r="BM1096" s="155"/>
      <c r="BN1096" s="155"/>
      <c r="BO1096" s="155"/>
      <c r="BP1096" s="155"/>
      <c r="BQ1096" s="155"/>
      <c r="BR1096" s="155"/>
      <c r="BS1096" s="155"/>
      <c r="BT1096" s="155"/>
      <c r="BU1096" s="155"/>
      <c r="BV1096" s="155"/>
      <c r="BW1096" s="155"/>
      <c r="BX1096" s="155"/>
      <c r="BY1096" s="155"/>
      <c r="BZ1096" s="155"/>
      <c r="CA1096" s="155"/>
      <c r="CB1096" s="155"/>
      <c r="CC1096" s="155"/>
      <c r="CD1096" s="155"/>
      <c r="CE1096" s="155"/>
      <c r="CF1096" s="155"/>
      <c r="CG1096" s="155"/>
      <c r="CH1096" s="155"/>
      <c r="CI1096" s="155"/>
      <c r="CJ1096" s="155"/>
      <c r="CK1096" s="155"/>
      <c r="CL1096" s="155"/>
      <c r="CM1096" s="155"/>
      <c r="CN1096" s="155"/>
      <c r="CO1096" s="155"/>
      <c r="CP1096" s="155"/>
      <c r="CQ1096" s="155"/>
      <c r="CR1096" s="155"/>
      <c r="CS1096" s="155"/>
      <c r="CT1096" s="155"/>
      <c r="CU1096" s="155"/>
      <c r="CV1096" s="155"/>
      <c r="CW1096" s="155"/>
      <c r="CX1096" s="155"/>
      <c r="CY1096" s="155"/>
      <c r="CZ1096" s="155"/>
      <c r="DA1096" s="155"/>
      <c r="DB1096" s="155"/>
      <c r="DC1096" s="155"/>
      <c r="DD1096" s="155"/>
      <c r="DE1096" s="155"/>
      <c r="DF1096" s="155"/>
      <c r="DG1096" s="115"/>
    </row>
    <row r="1097" spans="1:111" ht="4.5" customHeight="1">
      <c r="BC1097" s="115"/>
      <c r="BD1097" s="115"/>
      <c r="BE1097" s="115"/>
      <c r="BF1097" s="115"/>
      <c r="BG1097" s="115"/>
      <c r="BH1097" s="155"/>
      <c r="BI1097" s="155"/>
      <c r="BJ1097" s="155"/>
      <c r="BK1097" s="155"/>
      <c r="BL1097" s="155"/>
      <c r="BM1097" s="155"/>
      <c r="BN1097" s="155"/>
      <c r="BO1097" s="155"/>
      <c r="BP1097" s="155"/>
      <c r="BQ1097" s="155"/>
      <c r="BR1097" s="155"/>
      <c r="BS1097" s="155"/>
      <c r="BT1097" s="155"/>
      <c r="BU1097" s="155"/>
      <c r="BV1097" s="155"/>
      <c r="BW1097" s="155"/>
      <c r="BX1097" s="155"/>
      <c r="BY1097" s="155"/>
      <c r="BZ1097" s="155"/>
      <c r="CA1097" s="155"/>
      <c r="CB1097" s="155"/>
      <c r="CC1097" s="155"/>
      <c r="CD1097" s="155"/>
      <c r="CE1097" s="155"/>
      <c r="CF1097" s="155"/>
      <c r="CG1097" s="155"/>
      <c r="CH1097" s="155"/>
      <c r="CI1097" s="155"/>
      <c r="CJ1097" s="155"/>
      <c r="CK1097" s="155"/>
      <c r="CL1097" s="155"/>
      <c r="CM1097" s="155"/>
      <c r="CN1097" s="155"/>
      <c r="CO1097" s="155"/>
      <c r="CP1097" s="155"/>
      <c r="CQ1097" s="155"/>
      <c r="CR1097" s="155"/>
      <c r="CS1097" s="155"/>
      <c r="CT1097" s="155"/>
      <c r="CU1097" s="155"/>
      <c r="CV1097" s="155"/>
      <c r="CW1097" s="155"/>
      <c r="CX1097" s="155"/>
      <c r="CY1097" s="155"/>
      <c r="CZ1097" s="155"/>
      <c r="DA1097" s="155"/>
      <c r="DB1097" s="155"/>
      <c r="DC1097" s="155"/>
      <c r="DD1097" s="155"/>
      <c r="DE1097" s="155"/>
      <c r="DF1097" s="155"/>
      <c r="DG1097" s="115"/>
    </row>
    <row r="1098" spans="1:111" ht="9" customHeight="1">
      <c r="C1098" s="416" t="str">
        <f>IF(C1096="","","Descrição da Despesa:")</f>
        <v/>
      </c>
      <c r="D1098" s="416"/>
      <c r="E1098" s="416"/>
      <c r="F1098" s="416"/>
      <c r="G1098" s="416"/>
      <c r="H1098" s="416"/>
      <c r="I1098" s="60"/>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1"/>
      <c r="AL1098" s="421"/>
      <c r="AM1098" s="421"/>
      <c r="AN1098" s="421"/>
      <c r="AO1098" s="421"/>
      <c r="AP1098" s="421"/>
      <c r="AQ1098" s="421"/>
      <c r="AR1098" s="421"/>
      <c r="AS1098" s="421"/>
      <c r="AT1098" s="421"/>
      <c r="AU1098" s="421"/>
      <c r="AV1098" s="421"/>
      <c r="AW1098" s="421"/>
      <c r="AX1098" s="421"/>
      <c r="AY1098" s="421"/>
      <c r="AZ1098" s="421"/>
      <c r="BA1098" s="421"/>
      <c r="BC1098" s="115"/>
      <c r="BD1098" s="115"/>
      <c r="BE1098" s="115"/>
      <c r="BF1098" s="115"/>
      <c r="BG1098" s="115"/>
      <c r="BH1098" s="155"/>
      <c r="BI1098" s="155"/>
      <c r="BJ1098" s="155"/>
      <c r="BK1098" s="155"/>
      <c r="BL1098" s="155"/>
      <c r="BM1098" s="155"/>
      <c r="BN1098" s="155"/>
      <c r="BO1098" s="155"/>
      <c r="BP1098" s="155"/>
      <c r="BQ1098" s="155"/>
      <c r="BR1098" s="155"/>
      <c r="BS1098" s="155"/>
      <c r="BT1098" s="155"/>
      <c r="BU1098" s="155"/>
      <c r="BV1098" s="155"/>
      <c r="BW1098" s="155"/>
      <c r="BX1098" s="155"/>
      <c r="BY1098" s="155"/>
      <c r="BZ1098" s="155"/>
      <c r="CA1098" s="155"/>
      <c r="CB1098" s="155"/>
      <c r="CC1098" s="155"/>
      <c r="CD1098" s="155"/>
      <c r="CE1098" s="155"/>
      <c r="CF1098" s="155"/>
      <c r="CG1098" s="155"/>
      <c r="CH1098" s="155"/>
      <c r="CI1098" s="155"/>
      <c r="CJ1098" s="155"/>
      <c r="CK1098" s="155"/>
      <c r="CL1098" s="155"/>
      <c r="CM1098" s="155"/>
      <c r="CN1098" s="155"/>
      <c r="CO1098" s="155"/>
      <c r="CP1098" s="155"/>
      <c r="CQ1098" s="155"/>
      <c r="CR1098" s="155"/>
      <c r="CS1098" s="155"/>
      <c r="CT1098" s="155"/>
      <c r="CU1098" s="155"/>
      <c r="CV1098" s="155"/>
      <c r="CW1098" s="155"/>
      <c r="CX1098" s="155"/>
      <c r="CY1098" s="155"/>
      <c r="CZ1098" s="155"/>
      <c r="DA1098" s="155"/>
      <c r="DB1098" s="155"/>
      <c r="DC1098" s="155"/>
      <c r="DD1098" s="155"/>
      <c r="DE1098" s="155"/>
      <c r="DF1098" s="155"/>
      <c r="DG1098" s="115"/>
    </row>
    <row r="1099" spans="1:111" ht="9" customHeight="1">
      <c r="C1099" s="416"/>
      <c r="D1099" s="416"/>
      <c r="E1099" s="416"/>
      <c r="F1099" s="416"/>
      <c r="G1099" s="416"/>
      <c r="H1099" s="416"/>
      <c r="I1099" s="60"/>
      <c r="J1099" s="421"/>
      <c r="K1099" s="421"/>
      <c r="L1099" s="421"/>
      <c r="M1099" s="421"/>
      <c r="N1099" s="421"/>
      <c r="O1099" s="421"/>
      <c r="P1099" s="421"/>
      <c r="Q1099" s="421"/>
      <c r="R1099" s="421"/>
      <c r="S1099" s="421"/>
      <c r="T1099" s="421"/>
      <c r="U1099" s="421"/>
      <c r="V1099" s="421"/>
      <c r="W1099" s="421"/>
      <c r="X1099" s="421"/>
      <c r="Y1099" s="421"/>
      <c r="Z1099" s="421"/>
      <c r="AA1099" s="421"/>
      <c r="AB1099" s="421"/>
      <c r="AC1099" s="421"/>
      <c r="AD1099" s="421"/>
      <c r="AE1099" s="421"/>
      <c r="AF1099" s="421"/>
      <c r="AG1099" s="421"/>
      <c r="AH1099" s="421"/>
      <c r="AI1099" s="421"/>
      <c r="AJ1099" s="421"/>
      <c r="AK1099" s="421"/>
      <c r="AL1099" s="421"/>
      <c r="AM1099" s="421"/>
      <c r="AN1099" s="421"/>
      <c r="AO1099" s="421"/>
      <c r="AP1099" s="421"/>
      <c r="AQ1099" s="421"/>
      <c r="AR1099" s="421"/>
      <c r="AS1099" s="421"/>
      <c r="AT1099" s="421"/>
      <c r="AU1099" s="421"/>
      <c r="AV1099" s="421"/>
      <c r="AW1099" s="421"/>
      <c r="AX1099" s="421"/>
      <c r="AY1099" s="421"/>
      <c r="AZ1099" s="421"/>
      <c r="BA1099" s="421"/>
      <c r="BC1099" s="115"/>
      <c r="BD1099" s="115"/>
      <c r="BE1099" s="115"/>
      <c r="BF1099" s="115"/>
      <c r="BG1099" s="115"/>
      <c r="BH1099" s="155"/>
      <c r="BI1099" s="155"/>
      <c r="BJ1099" s="155"/>
      <c r="BK1099" s="155"/>
      <c r="BL1099" s="155"/>
      <c r="BM1099" s="155"/>
      <c r="BN1099" s="155"/>
      <c r="BO1099" s="155"/>
      <c r="BP1099" s="155"/>
      <c r="BQ1099" s="155"/>
      <c r="BR1099" s="155"/>
      <c r="BS1099" s="155"/>
      <c r="BT1099" s="155"/>
      <c r="BU1099" s="155"/>
      <c r="BV1099" s="155"/>
      <c r="BW1099" s="155"/>
      <c r="BX1099" s="155"/>
      <c r="BY1099" s="155"/>
      <c r="BZ1099" s="155"/>
      <c r="CA1099" s="155"/>
      <c r="CB1099" s="155"/>
      <c r="CC1099" s="155"/>
      <c r="CD1099" s="155"/>
      <c r="CE1099" s="155"/>
      <c r="CF1099" s="155"/>
      <c r="CG1099" s="155"/>
      <c r="CH1099" s="155"/>
      <c r="CI1099" s="155"/>
      <c r="CJ1099" s="155"/>
      <c r="CK1099" s="155"/>
      <c r="CL1099" s="155"/>
      <c r="CM1099" s="155"/>
      <c r="CN1099" s="155"/>
      <c r="CO1099" s="155"/>
      <c r="CP1099" s="155"/>
      <c r="CQ1099" s="155"/>
      <c r="CR1099" s="155"/>
      <c r="CS1099" s="155"/>
      <c r="CT1099" s="155"/>
      <c r="CU1099" s="155"/>
      <c r="CV1099" s="155"/>
      <c r="CW1099" s="155"/>
      <c r="CX1099" s="155"/>
      <c r="CY1099" s="155"/>
      <c r="CZ1099" s="155"/>
      <c r="DA1099" s="155"/>
      <c r="DB1099" s="155"/>
      <c r="DC1099" s="155"/>
      <c r="DD1099" s="155"/>
      <c r="DE1099" s="155"/>
      <c r="DF1099" s="155"/>
      <c r="DG1099" s="115"/>
    </row>
    <row r="1100" spans="1:111" ht="9" customHeight="1">
      <c r="C1100" s="416"/>
      <c r="D1100" s="416"/>
      <c r="E1100" s="416"/>
      <c r="F1100" s="416"/>
      <c r="G1100" s="416"/>
      <c r="H1100" s="416"/>
      <c r="I1100" s="60"/>
      <c r="J1100" s="421"/>
      <c r="K1100" s="421"/>
      <c r="L1100" s="421"/>
      <c r="M1100" s="421"/>
      <c r="N1100" s="421"/>
      <c r="O1100" s="421"/>
      <c r="P1100" s="421"/>
      <c r="Q1100" s="421"/>
      <c r="R1100" s="421"/>
      <c r="S1100" s="421"/>
      <c r="T1100" s="421"/>
      <c r="U1100" s="421"/>
      <c r="V1100" s="421"/>
      <c r="W1100" s="421"/>
      <c r="X1100" s="421"/>
      <c r="Y1100" s="421"/>
      <c r="Z1100" s="421"/>
      <c r="AA1100" s="421"/>
      <c r="AB1100" s="421"/>
      <c r="AC1100" s="421"/>
      <c r="AD1100" s="421"/>
      <c r="AE1100" s="421"/>
      <c r="AF1100" s="421"/>
      <c r="AG1100" s="421"/>
      <c r="AH1100" s="421"/>
      <c r="AI1100" s="421"/>
      <c r="AJ1100" s="421"/>
      <c r="AK1100" s="421"/>
      <c r="AL1100" s="421"/>
      <c r="AM1100" s="421"/>
      <c r="AN1100" s="421"/>
      <c r="AO1100" s="421"/>
      <c r="AP1100" s="421"/>
      <c r="AQ1100" s="421"/>
      <c r="AR1100" s="421"/>
      <c r="AS1100" s="421"/>
      <c r="AT1100" s="421"/>
      <c r="AU1100" s="421"/>
      <c r="AV1100" s="421"/>
      <c r="AW1100" s="421"/>
      <c r="AX1100" s="421"/>
      <c r="AY1100" s="421"/>
      <c r="AZ1100" s="421"/>
      <c r="BA1100" s="421"/>
      <c r="BC1100" s="115"/>
      <c r="BD1100" s="115"/>
      <c r="BE1100" s="115"/>
      <c r="BF1100" s="115"/>
      <c r="BG1100" s="115"/>
      <c r="BH1100" s="155"/>
      <c r="BI1100" s="155"/>
      <c r="BJ1100" s="155"/>
      <c r="BK1100" s="155"/>
      <c r="BL1100" s="155"/>
      <c r="BM1100" s="155"/>
      <c r="BN1100" s="155"/>
      <c r="BO1100" s="155"/>
      <c r="BP1100" s="155"/>
      <c r="BQ1100" s="155"/>
      <c r="BR1100" s="155"/>
      <c r="BS1100" s="155"/>
      <c r="BT1100" s="155"/>
      <c r="BU1100" s="155"/>
      <c r="BV1100" s="155"/>
      <c r="BW1100" s="155"/>
      <c r="BX1100" s="155"/>
      <c r="BY1100" s="155"/>
      <c r="BZ1100" s="155"/>
      <c r="CA1100" s="155"/>
      <c r="CB1100" s="155"/>
      <c r="CC1100" s="155"/>
      <c r="CD1100" s="155"/>
      <c r="CE1100" s="155"/>
      <c r="CF1100" s="155"/>
      <c r="CG1100" s="155"/>
      <c r="CH1100" s="155"/>
      <c r="CI1100" s="155"/>
      <c r="CJ1100" s="155"/>
      <c r="CK1100" s="155"/>
      <c r="CL1100" s="155"/>
      <c r="CM1100" s="155"/>
      <c r="CN1100" s="155"/>
      <c r="CO1100" s="155"/>
      <c r="CP1100" s="155"/>
      <c r="CQ1100" s="155"/>
      <c r="CR1100" s="155"/>
      <c r="CS1100" s="155"/>
      <c r="CT1100" s="155"/>
      <c r="CU1100" s="155"/>
      <c r="CV1100" s="155"/>
      <c r="CW1100" s="155"/>
      <c r="CX1100" s="155"/>
      <c r="CY1100" s="155"/>
      <c r="CZ1100" s="155"/>
      <c r="DA1100" s="155"/>
      <c r="DB1100" s="155"/>
      <c r="DC1100" s="155"/>
      <c r="DD1100" s="155"/>
      <c r="DE1100" s="155"/>
      <c r="DF1100" s="155"/>
      <c r="DG1100" s="115"/>
    </row>
    <row r="1101" spans="1:111" ht="4.5" customHeight="1">
      <c r="BC1101" s="115"/>
      <c r="BD1101" s="115"/>
      <c r="BE1101" s="115"/>
      <c r="BF1101" s="115"/>
      <c r="BG1101" s="115"/>
      <c r="BH1101" s="155"/>
      <c r="BI1101" s="155"/>
      <c r="BJ1101" s="155"/>
      <c r="BK1101" s="155"/>
      <c r="BL1101" s="155"/>
      <c r="BM1101" s="155"/>
      <c r="BN1101" s="155"/>
      <c r="BO1101" s="155"/>
      <c r="BP1101" s="155"/>
      <c r="BQ1101" s="155"/>
      <c r="BR1101" s="155"/>
      <c r="BS1101" s="155"/>
      <c r="BT1101" s="155"/>
      <c r="BU1101" s="155"/>
      <c r="BV1101" s="155"/>
      <c r="BW1101" s="155"/>
      <c r="BX1101" s="155"/>
      <c r="BY1101" s="155"/>
      <c r="BZ1101" s="155"/>
      <c r="CA1101" s="155"/>
      <c r="CB1101" s="155"/>
      <c r="CC1101" s="155"/>
      <c r="CD1101" s="155"/>
      <c r="CE1101" s="155"/>
      <c r="CF1101" s="155"/>
      <c r="CG1101" s="155"/>
      <c r="CH1101" s="155"/>
      <c r="CI1101" s="155"/>
      <c r="CJ1101" s="155"/>
      <c r="CK1101" s="155"/>
      <c r="CL1101" s="155"/>
      <c r="CM1101" s="155"/>
      <c r="CN1101" s="155"/>
      <c r="CO1101" s="155"/>
      <c r="CP1101" s="155"/>
      <c r="CQ1101" s="155"/>
      <c r="CR1101" s="155"/>
      <c r="CS1101" s="155"/>
      <c r="CT1101" s="155"/>
      <c r="CU1101" s="155"/>
      <c r="CV1101" s="155"/>
      <c r="CW1101" s="155"/>
      <c r="CX1101" s="155"/>
      <c r="CY1101" s="155"/>
      <c r="CZ1101" s="155"/>
      <c r="DA1101" s="155"/>
      <c r="DB1101" s="155"/>
      <c r="DC1101" s="155"/>
      <c r="DD1101" s="155"/>
      <c r="DE1101" s="155"/>
      <c r="DF1101" s="155"/>
      <c r="DG1101" s="115"/>
    </row>
    <row r="1102" spans="1:111" ht="9" customHeight="1">
      <c r="C1102" s="416" t="str">
        <f>IF(C1096="","","Elemento de Despesa:")</f>
        <v/>
      </c>
      <c r="D1102" s="416"/>
      <c r="E1102" s="416"/>
      <c r="F1102" s="416"/>
      <c r="G1102" s="416"/>
      <c r="H1102" s="416"/>
      <c r="J1102" s="421"/>
      <c r="K1102" s="421"/>
      <c r="L1102" s="421"/>
      <c r="M1102" s="421"/>
      <c r="N1102" s="421"/>
      <c r="O1102" s="421"/>
      <c r="P1102" s="421"/>
      <c r="Q1102" s="421"/>
      <c r="R1102" s="421"/>
      <c r="S1102" s="421"/>
      <c r="T1102" s="421"/>
      <c r="U1102" s="421"/>
      <c r="V1102" s="421"/>
      <c r="W1102" s="421"/>
      <c r="X1102" s="421"/>
      <c r="Y1102" s="421"/>
      <c r="Z1102" s="421"/>
      <c r="AA1102" s="421"/>
      <c r="AB1102" s="421"/>
      <c r="AC1102" s="421"/>
      <c r="AD1102" s="421"/>
      <c r="AE1102" s="421"/>
      <c r="AF1102" s="421"/>
      <c r="AG1102" s="421"/>
      <c r="AH1102" s="421"/>
      <c r="AI1102" s="421"/>
      <c r="AJ1102" s="421"/>
      <c r="AK1102" s="421"/>
      <c r="AL1102" s="421"/>
      <c r="AM1102" s="421"/>
      <c r="AN1102" s="421"/>
      <c r="AO1102" s="421"/>
      <c r="AP1102" s="421"/>
      <c r="AQ1102" s="421"/>
      <c r="AR1102" s="421"/>
      <c r="AS1102" s="421"/>
      <c r="AT1102" s="421"/>
      <c r="AU1102" s="421"/>
      <c r="AV1102" s="421"/>
      <c r="AW1102" s="421"/>
      <c r="AX1102" s="421"/>
      <c r="AY1102" s="421"/>
      <c r="AZ1102" s="421"/>
      <c r="BA1102" s="421"/>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c r="BY1102" s="115"/>
      <c r="BZ1102" s="115"/>
      <c r="CA1102" s="115"/>
      <c r="CB1102" s="115"/>
      <c r="CC1102" s="115"/>
      <c r="CD1102" s="115"/>
      <c r="CE1102" s="115"/>
      <c r="CF1102" s="115"/>
      <c r="CG1102" s="115"/>
      <c r="CH1102" s="115"/>
      <c r="CI1102" s="115"/>
      <c r="CJ1102" s="115"/>
      <c r="CK1102" s="115"/>
      <c r="CL1102" s="115"/>
      <c r="CM1102" s="115"/>
      <c r="CN1102" s="115"/>
      <c r="CO1102" s="115"/>
      <c r="CP1102" s="115"/>
      <c r="CQ1102" s="115"/>
      <c r="CR1102" s="115"/>
      <c r="CS1102" s="115"/>
      <c r="CT1102" s="115"/>
      <c r="CU1102" s="115"/>
      <c r="CV1102" s="115"/>
      <c r="CW1102" s="115"/>
      <c r="CX1102" s="115"/>
      <c r="CY1102" s="115"/>
      <c r="CZ1102" s="115"/>
      <c r="DA1102" s="115"/>
      <c r="DB1102" s="115"/>
      <c r="DC1102" s="115"/>
      <c r="DD1102" s="115"/>
      <c r="DE1102" s="115"/>
      <c r="DF1102" s="115"/>
      <c r="DG1102" s="115"/>
    </row>
    <row r="1103" spans="1:111" ht="9" customHeight="1">
      <c r="C1103" s="416"/>
      <c r="D1103" s="416"/>
      <c r="E1103" s="416"/>
      <c r="F1103" s="416"/>
      <c r="G1103" s="416"/>
      <c r="H1103" s="416"/>
      <c r="J1103" s="421"/>
      <c r="K1103" s="421"/>
      <c r="L1103" s="421"/>
      <c r="M1103" s="421"/>
      <c r="N1103" s="421"/>
      <c r="O1103" s="421"/>
      <c r="P1103" s="421"/>
      <c r="Q1103" s="421"/>
      <c r="R1103" s="421"/>
      <c r="S1103" s="421"/>
      <c r="T1103" s="421"/>
      <c r="U1103" s="421"/>
      <c r="V1103" s="421"/>
      <c r="W1103" s="421"/>
      <c r="X1103" s="421"/>
      <c r="Y1103" s="421"/>
      <c r="Z1103" s="421"/>
      <c r="AA1103" s="421"/>
      <c r="AB1103" s="421"/>
      <c r="AC1103" s="421"/>
      <c r="AD1103" s="421"/>
      <c r="AE1103" s="421"/>
      <c r="AF1103" s="421"/>
      <c r="AG1103" s="421"/>
      <c r="AH1103" s="421"/>
      <c r="AI1103" s="421"/>
      <c r="AJ1103" s="421"/>
      <c r="AK1103" s="421"/>
      <c r="AL1103" s="421"/>
      <c r="AM1103" s="421"/>
      <c r="AN1103" s="421"/>
      <c r="AO1103" s="421"/>
      <c r="AP1103" s="421"/>
      <c r="AQ1103" s="421"/>
      <c r="AR1103" s="421"/>
      <c r="AS1103" s="421"/>
      <c r="AT1103" s="421"/>
      <c r="AU1103" s="421"/>
      <c r="AV1103" s="421"/>
      <c r="AW1103" s="421"/>
      <c r="AX1103" s="421"/>
      <c r="AY1103" s="421"/>
      <c r="AZ1103" s="421"/>
      <c r="BA1103" s="421"/>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c r="BY1103" s="115"/>
      <c r="BZ1103" s="115"/>
      <c r="CA1103" s="115"/>
      <c r="CB1103" s="115"/>
      <c r="CC1103" s="115"/>
      <c r="CD1103" s="115"/>
      <c r="CE1103" s="115"/>
      <c r="CF1103" s="115"/>
      <c r="CG1103" s="115"/>
      <c r="CH1103" s="115"/>
      <c r="CI1103" s="115"/>
      <c r="CJ1103" s="115"/>
      <c r="CK1103" s="115"/>
      <c r="CL1103" s="115"/>
      <c r="CM1103" s="115"/>
      <c r="CN1103" s="115"/>
      <c r="CO1103" s="115"/>
      <c r="CP1103" s="115"/>
      <c r="CQ1103" s="115"/>
      <c r="CR1103" s="115"/>
      <c r="CS1103" s="115"/>
      <c r="CT1103" s="115"/>
      <c r="CU1103" s="115"/>
      <c r="CV1103" s="115"/>
      <c r="CW1103" s="115"/>
      <c r="CX1103" s="115"/>
      <c r="CY1103" s="115"/>
      <c r="CZ1103" s="115"/>
      <c r="DA1103" s="115"/>
      <c r="DB1103" s="115"/>
      <c r="DC1103" s="115"/>
      <c r="DD1103" s="115"/>
      <c r="DE1103" s="115"/>
      <c r="DF1103" s="115"/>
      <c r="DG1103" s="115"/>
    </row>
    <row r="1104" spans="1:111" ht="9" customHeight="1">
      <c r="C1104" s="416"/>
      <c r="D1104" s="416"/>
      <c r="E1104" s="416"/>
      <c r="F1104" s="416"/>
      <c r="G1104" s="416"/>
      <c r="H1104" s="416"/>
      <c r="J1104" s="421"/>
      <c r="K1104" s="421"/>
      <c r="L1104" s="421"/>
      <c r="M1104" s="421"/>
      <c r="N1104" s="421"/>
      <c r="O1104" s="421"/>
      <c r="P1104" s="421"/>
      <c r="Q1104" s="421"/>
      <c r="R1104" s="421"/>
      <c r="S1104" s="421"/>
      <c r="T1104" s="421"/>
      <c r="U1104" s="421"/>
      <c r="V1104" s="421"/>
      <c r="W1104" s="421"/>
      <c r="X1104" s="421"/>
      <c r="Y1104" s="421"/>
      <c r="Z1104" s="421"/>
      <c r="AA1104" s="421"/>
      <c r="AB1104" s="421"/>
      <c r="AC1104" s="421"/>
      <c r="AD1104" s="421"/>
      <c r="AE1104" s="421"/>
      <c r="AF1104" s="421"/>
      <c r="AG1104" s="421"/>
      <c r="AH1104" s="421"/>
      <c r="AI1104" s="421"/>
      <c r="AJ1104" s="421"/>
      <c r="AK1104" s="421"/>
      <c r="AL1104" s="421"/>
      <c r="AM1104" s="421"/>
      <c r="AN1104" s="421"/>
      <c r="AO1104" s="421"/>
      <c r="AP1104" s="421"/>
      <c r="AQ1104" s="421"/>
      <c r="AR1104" s="421"/>
      <c r="AS1104" s="421"/>
      <c r="AT1104" s="421"/>
      <c r="AU1104" s="421"/>
      <c r="AV1104" s="421"/>
      <c r="AW1104" s="421"/>
      <c r="AX1104" s="421"/>
      <c r="AY1104" s="421"/>
      <c r="AZ1104" s="421"/>
      <c r="BA1104" s="421"/>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c r="BY1104" s="115"/>
      <c r="BZ1104" s="115"/>
      <c r="CA1104" s="115"/>
      <c r="CB1104" s="115"/>
      <c r="CC1104" s="115"/>
      <c r="CD1104" s="115"/>
      <c r="CE1104" s="115"/>
      <c r="CF1104" s="115"/>
      <c r="CG1104" s="115"/>
      <c r="CH1104" s="115"/>
      <c r="CI1104" s="115"/>
      <c r="CJ1104" s="115"/>
      <c r="CK1104" s="115"/>
      <c r="CL1104" s="115"/>
      <c r="CM1104" s="115"/>
      <c r="CN1104" s="115"/>
      <c r="CO1104" s="115"/>
      <c r="CP1104" s="115"/>
      <c r="CQ1104" s="115"/>
      <c r="CR1104" s="115"/>
      <c r="CS1104" s="115"/>
      <c r="CT1104" s="115"/>
      <c r="CU1104" s="115"/>
      <c r="CV1104" s="115"/>
      <c r="CW1104" s="115"/>
      <c r="CX1104" s="115"/>
      <c r="CY1104" s="115"/>
      <c r="CZ1104" s="115"/>
      <c r="DA1104" s="115"/>
      <c r="DB1104" s="115"/>
      <c r="DC1104" s="115"/>
      <c r="DD1104" s="115"/>
      <c r="DE1104" s="115"/>
      <c r="DF1104" s="115"/>
      <c r="DG1104" s="115"/>
    </row>
    <row r="1105" spans="1:111" ht="4.5" customHeight="1">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c r="BY1105" s="115"/>
      <c r="BZ1105" s="115"/>
      <c r="CA1105" s="115"/>
      <c r="CB1105" s="115"/>
      <c r="CC1105" s="115"/>
      <c r="CD1105" s="115"/>
      <c r="CE1105" s="115"/>
      <c r="CF1105" s="115"/>
      <c r="CG1105" s="115"/>
      <c r="CH1105" s="115"/>
      <c r="CI1105" s="115"/>
      <c r="CJ1105" s="115"/>
      <c r="CK1105" s="115"/>
      <c r="CL1105" s="115"/>
      <c r="CM1105" s="115"/>
      <c r="CN1105" s="115"/>
      <c r="CO1105" s="115"/>
      <c r="CP1105" s="115"/>
      <c r="CQ1105" s="115"/>
      <c r="CR1105" s="115"/>
      <c r="CS1105" s="115"/>
      <c r="CT1105" s="115"/>
      <c r="CU1105" s="115"/>
      <c r="CV1105" s="115"/>
      <c r="CW1105" s="115"/>
      <c r="CX1105" s="115"/>
      <c r="CY1105" s="115"/>
      <c r="CZ1105" s="115"/>
      <c r="DA1105" s="115"/>
      <c r="DB1105" s="115"/>
      <c r="DC1105" s="115"/>
      <c r="DD1105" s="115"/>
      <c r="DE1105" s="115"/>
      <c r="DF1105" s="115"/>
      <c r="DG1105" s="115"/>
    </row>
    <row r="1106" spans="1:111" ht="9" customHeight="1">
      <c r="A1106" s="61" t="str">
        <f>CONCATENATE(Q1106,AC1106)</f>
        <v/>
      </c>
      <c r="J1106" s="416" t="str">
        <f>IF(C1096="","","Meta Vinculada:")</f>
        <v/>
      </c>
      <c r="K1106" s="416"/>
      <c r="L1106" s="416"/>
      <c r="M1106" s="416"/>
      <c r="N1106" s="416"/>
      <c r="O1106" s="416"/>
      <c r="Q1106" s="417"/>
      <c r="R1106" s="417"/>
      <c r="S1106" s="417"/>
      <c r="T1106" s="417"/>
      <c r="U1106" s="56"/>
      <c r="V1106" s="416" t="str">
        <f>IF(C1096="","","Etapa Vinculada:")</f>
        <v/>
      </c>
      <c r="W1106" s="416"/>
      <c r="X1106" s="416"/>
      <c r="Y1106" s="416"/>
      <c r="Z1106" s="416"/>
      <c r="AA1106" s="416"/>
      <c r="AC1106" s="417"/>
      <c r="AD1106" s="417"/>
      <c r="AE1106" s="417"/>
      <c r="AF1106" s="417"/>
      <c r="AG1106" s="56"/>
      <c r="AH1106" s="56"/>
      <c r="AI1106" s="56"/>
      <c r="AJ1106" s="56"/>
      <c r="AK1106" s="141"/>
      <c r="AL1106" s="141"/>
      <c r="AM1106" s="141"/>
      <c r="AN1106" s="141"/>
      <c r="AO1106" s="140"/>
      <c r="AP1106" s="140"/>
      <c r="AQ1106" s="140"/>
      <c r="AR1106" s="140"/>
      <c r="AS1106" s="142"/>
      <c r="AT1106" s="142"/>
      <c r="AU1106" s="142"/>
      <c r="AV1106" s="142"/>
      <c r="AW1106" s="140"/>
      <c r="AX1106" s="140"/>
      <c r="AY1106" s="140"/>
      <c r="AZ1106" s="140"/>
      <c r="BA1106" s="140"/>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c r="BY1106" s="115"/>
      <c r="BZ1106" s="115"/>
      <c r="CA1106" s="115"/>
      <c r="CB1106" s="115"/>
      <c r="CC1106" s="115"/>
      <c r="CD1106" s="115"/>
      <c r="CE1106" s="115"/>
      <c r="CF1106" s="115"/>
      <c r="CG1106" s="115"/>
      <c r="CH1106" s="115"/>
      <c r="CI1106" s="115"/>
      <c r="CJ1106" s="115"/>
      <c r="CK1106" s="115"/>
      <c r="CL1106" s="115"/>
      <c r="CM1106" s="115"/>
      <c r="CN1106" s="115"/>
      <c r="CO1106" s="115"/>
      <c r="CP1106" s="115"/>
      <c r="CQ1106" s="115"/>
      <c r="CR1106" s="115"/>
      <c r="CS1106" s="115"/>
      <c r="CT1106" s="115"/>
      <c r="CU1106" s="115"/>
      <c r="CV1106" s="115"/>
      <c r="CW1106" s="115"/>
      <c r="CX1106" s="115"/>
      <c r="CY1106" s="115"/>
      <c r="CZ1106" s="115"/>
      <c r="DA1106" s="115"/>
      <c r="DB1106" s="115"/>
      <c r="DC1106" s="115"/>
      <c r="DD1106" s="115"/>
      <c r="DE1106" s="115"/>
      <c r="DF1106" s="115"/>
      <c r="DG1106" s="115"/>
    </row>
    <row r="1107" spans="1:111" ht="9" customHeight="1">
      <c r="B1107" s="55"/>
      <c r="C1107" s="55"/>
      <c r="D1107" s="56"/>
      <c r="E1107" s="56"/>
      <c r="F1107" s="56"/>
      <c r="G1107" s="56"/>
      <c r="H1107" s="56"/>
      <c r="I1107" s="56"/>
      <c r="J1107" s="416"/>
      <c r="K1107" s="416"/>
      <c r="L1107" s="416"/>
      <c r="M1107" s="416"/>
      <c r="N1107" s="416"/>
      <c r="O1107" s="416"/>
      <c r="Q1107" s="417"/>
      <c r="R1107" s="417"/>
      <c r="S1107" s="417"/>
      <c r="T1107" s="417"/>
      <c r="U1107" s="56"/>
      <c r="V1107" s="416"/>
      <c r="W1107" s="416"/>
      <c r="X1107" s="416"/>
      <c r="Y1107" s="416"/>
      <c r="Z1107" s="416"/>
      <c r="AA1107" s="416"/>
      <c r="AC1107" s="417"/>
      <c r="AD1107" s="417"/>
      <c r="AE1107" s="417"/>
      <c r="AF1107" s="417"/>
      <c r="AG1107" s="56"/>
      <c r="AH1107" s="56"/>
      <c r="AI1107" s="56"/>
      <c r="AJ1107" s="56"/>
      <c r="AK1107" s="141"/>
      <c r="AL1107" s="141"/>
      <c r="AM1107" s="141"/>
      <c r="AN1107" s="141"/>
      <c r="AO1107" s="140"/>
      <c r="AP1107" s="140"/>
      <c r="AQ1107" s="140"/>
      <c r="AR1107" s="140"/>
      <c r="AS1107" s="142"/>
      <c r="AT1107" s="142"/>
      <c r="AU1107" s="142"/>
      <c r="AV1107" s="142"/>
      <c r="AW1107" s="140"/>
      <c r="AX1107" s="140"/>
      <c r="AY1107" s="140"/>
      <c r="AZ1107" s="140"/>
      <c r="BA1107" s="140"/>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c r="BY1107" s="115"/>
      <c r="BZ1107" s="115"/>
      <c r="CA1107" s="115"/>
      <c r="CB1107" s="115"/>
      <c r="CC1107" s="115"/>
      <c r="CD1107" s="115"/>
      <c r="CE1107" s="115"/>
      <c r="CF1107" s="115"/>
      <c r="CG1107" s="115"/>
      <c r="CH1107" s="115"/>
      <c r="CI1107" s="115"/>
      <c r="CJ1107" s="115"/>
      <c r="CK1107" s="115"/>
      <c r="CL1107" s="115"/>
      <c r="CM1107" s="115"/>
      <c r="CN1107" s="115"/>
      <c r="CO1107" s="115"/>
      <c r="CP1107" s="115"/>
      <c r="CQ1107" s="115"/>
      <c r="CR1107" s="115"/>
      <c r="CS1107" s="115"/>
      <c r="CT1107" s="115"/>
      <c r="CU1107" s="115"/>
      <c r="CV1107" s="115"/>
      <c r="CW1107" s="115"/>
      <c r="CX1107" s="115"/>
      <c r="CY1107" s="115"/>
      <c r="CZ1107" s="115"/>
      <c r="DA1107" s="115"/>
      <c r="DB1107" s="115"/>
      <c r="DC1107" s="115"/>
      <c r="DD1107" s="115"/>
      <c r="DE1107" s="115"/>
      <c r="DF1107" s="115"/>
      <c r="DG1107" s="115"/>
    </row>
    <row r="1108" spans="1:111" ht="9" customHeight="1">
      <c r="Q1108" s="417"/>
      <c r="R1108" s="417"/>
      <c r="S1108" s="417"/>
      <c r="T1108" s="417"/>
      <c r="AC1108" s="417"/>
      <c r="AD1108" s="417"/>
      <c r="AE1108" s="417"/>
      <c r="AF1108" s="417"/>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c r="BY1108" s="115"/>
      <c r="BZ1108" s="115"/>
      <c r="CA1108" s="115"/>
      <c r="CB1108" s="115"/>
      <c r="CC1108" s="115"/>
      <c r="CD1108" s="115"/>
      <c r="CE1108" s="115"/>
      <c r="CF1108" s="115"/>
      <c r="CG1108" s="115"/>
      <c r="CH1108" s="115"/>
      <c r="CI1108" s="115"/>
      <c r="CJ1108" s="115"/>
      <c r="CK1108" s="115"/>
      <c r="CL1108" s="115"/>
      <c r="CM1108" s="115"/>
      <c r="CN1108" s="115"/>
      <c r="CO1108" s="115"/>
      <c r="CP1108" s="115"/>
      <c r="CQ1108" s="115"/>
      <c r="CR1108" s="115"/>
      <c r="CS1108" s="115"/>
      <c r="CT1108" s="115"/>
      <c r="CU1108" s="115"/>
      <c r="CV1108" s="115"/>
      <c r="CW1108" s="115"/>
      <c r="CX1108" s="115"/>
      <c r="CY1108" s="115"/>
      <c r="CZ1108" s="115"/>
      <c r="DA1108" s="115"/>
      <c r="DB1108" s="115"/>
      <c r="DC1108" s="115"/>
      <c r="DD1108" s="115"/>
      <c r="DE1108" s="115"/>
      <c r="DF1108" s="115"/>
      <c r="DG1108" s="115"/>
    </row>
    <row r="1109" spans="1:111" ht="4.5" customHeight="1">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c r="BY1109" s="115"/>
      <c r="BZ1109" s="115"/>
      <c r="CA1109" s="115"/>
      <c r="CB1109" s="115"/>
      <c r="CC1109" s="115"/>
      <c r="CD1109" s="115"/>
      <c r="CE1109" s="115"/>
      <c r="CF1109" s="115"/>
      <c r="CG1109" s="115"/>
      <c r="CH1109" s="115"/>
      <c r="CI1109" s="115"/>
      <c r="CJ1109" s="115"/>
      <c r="CK1109" s="115"/>
      <c r="CL1109" s="115"/>
      <c r="CM1109" s="115"/>
      <c r="CN1109" s="115"/>
      <c r="CO1109" s="115"/>
      <c r="CP1109" s="115"/>
      <c r="CQ1109" s="115"/>
      <c r="CR1109" s="115"/>
      <c r="CS1109" s="115"/>
      <c r="CT1109" s="115"/>
      <c r="CU1109" s="115"/>
      <c r="CV1109" s="115"/>
      <c r="CW1109" s="115"/>
      <c r="CX1109" s="115"/>
      <c r="CY1109" s="115"/>
      <c r="CZ1109" s="115"/>
      <c r="DA1109" s="115"/>
      <c r="DB1109" s="115"/>
      <c r="DC1109" s="115"/>
      <c r="DD1109" s="115"/>
      <c r="DE1109" s="115"/>
      <c r="DF1109" s="115"/>
      <c r="DG1109" s="115"/>
    </row>
    <row r="1110" spans="1:111" ht="9" customHeight="1">
      <c r="A1110" s="154"/>
      <c r="B1110" s="154"/>
      <c r="C1110" s="154"/>
      <c r="D1110" s="154"/>
      <c r="E1110" s="154"/>
      <c r="F1110" s="154"/>
      <c r="G1110" s="154"/>
      <c r="H1110" s="154"/>
      <c r="I1110" s="154"/>
      <c r="J1110" s="416" t="str">
        <f>IF(C1096="","","Quantidade:")</f>
        <v/>
      </c>
      <c r="K1110" s="416"/>
      <c r="L1110" s="416"/>
      <c r="M1110" s="416"/>
      <c r="N1110" s="416"/>
      <c r="O1110" s="416"/>
      <c r="P1110" s="154"/>
      <c r="Q1110" s="417"/>
      <c r="R1110" s="417"/>
      <c r="S1110" s="417"/>
      <c r="T1110" s="417"/>
      <c r="U1110" s="154"/>
      <c r="V1110" s="416" t="str">
        <f>IF(C1096="","","Unidade:")</f>
        <v/>
      </c>
      <c r="W1110" s="416"/>
      <c r="X1110" s="416"/>
      <c r="Y1110" s="416"/>
      <c r="Z1110" s="416"/>
      <c r="AA1110" s="416"/>
      <c r="AB1110" s="154"/>
      <c r="AC1110" s="418"/>
      <c r="AD1110" s="418"/>
      <c r="AE1110" s="418"/>
      <c r="AF1110" s="418"/>
      <c r="AG1110" s="418"/>
      <c r="AH1110" s="418"/>
      <c r="AI1110" s="418"/>
      <c r="AJ1110" s="418"/>
      <c r="AK1110" s="418"/>
      <c r="AL1110" s="418"/>
      <c r="AM1110" s="418"/>
      <c r="AN1110" s="418"/>
      <c r="AO1110" s="418"/>
      <c r="AP1110" s="418"/>
      <c r="AQ1110" s="418"/>
      <c r="AR1110" s="418"/>
      <c r="AS1110" s="418"/>
      <c r="AT1110" s="418"/>
      <c r="AU1110" s="418"/>
      <c r="AV1110" s="418"/>
      <c r="AW1110" s="418"/>
      <c r="AX1110" s="418"/>
      <c r="AY1110" s="418"/>
      <c r="AZ1110" s="418"/>
      <c r="BA1110" s="418"/>
      <c r="BB1110" s="154"/>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c r="BY1110" s="115"/>
      <c r="BZ1110" s="115"/>
      <c r="CA1110" s="115"/>
      <c r="CB1110" s="115"/>
      <c r="CC1110" s="115"/>
      <c r="CD1110" s="115"/>
      <c r="CE1110" s="115"/>
      <c r="CF1110" s="115"/>
      <c r="CG1110" s="115"/>
      <c r="CH1110" s="115"/>
      <c r="CI1110" s="115"/>
      <c r="CJ1110" s="115"/>
      <c r="CK1110" s="115"/>
      <c r="CL1110" s="115"/>
      <c r="CM1110" s="115"/>
      <c r="CN1110" s="115"/>
      <c r="CO1110" s="115"/>
      <c r="CP1110" s="115"/>
      <c r="CQ1110" s="115"/>
      <c r="CR1110" s="115"/>
      <c r="CS1110" s="115"/>
      <c r="CT1110" s="115"/>
      <c r="CU1110" s="115"/>
      <c r="CV1110" s="115"/>
      <c r="CW1110" s="115"/>
      <c r="CX1110" s="115"/>
      <c r="CY1110" s="115"/>
      <c r="CZ1110" s="115"/>
      <c r="DA1110" s="115"/>
      <c r="DB1110" s="115"/>
      <c r="DC1110" s="115"/>
      <c r="DD1110" s="115"/>
      <c r="DE1110" s="115"/>
      <c r="DF1110" s="115"/>
      <c r="DG1110" s="115"/>
    </row>
    <row r="1111" spans="1:111" ht="9" customHeight="1">
      <c r="A1111" s="154"/>
      <c r="B1111" s="154"/>
      <c r="C1111" s="154"/>
      <c r="D1111" s="154"/>
      <c r="E1111" s="154"/>
      <c r="F1111" s="154"/>
      <c r="G1111" s="154"/>
      <c r="H1111" s="154"/>
      <c r="I1111" s="154"/>
      <c r="J1111" s="416"/>
      <c r="K1111" s="416"/>
      <c r="L1111" s="416"/>
      <c r="M1111" s="416"/>
      <c r="N1111" s="416"/>
      <c r="O1111" s="416"/>
      <c r="P1111" s="154"/>
      <c r="Q1111" s="417"/>
      <c r="R1111" s="417"/>
      <c r="S1111" s="417"/>
      <c r="T1111" s="417"/>
      <c r="U1111" s="154"/>
      <c r="V1111" s="416"/>
      <c r="W1111" s="416"/>
      <c r="X1111" s="416"/>
      <c r="Y1111" s="416"/>
      <c r="Z1111" s="416"/>
      <c r="AA1111" s="416"/>
      <c r="AB1111" s="154"/>
      <c r="AC1111" s="418"/>
      <c r="AD1111" s="418"/>
      <c r="AE1111" s="418"/>
      <c r="AF1111" s="418"/>
      <c r="AG1111" s="418"/>
      <c r="AH1111" s="418"/>
      <c r="AI1111" s="418"/>
      <c r="AJ1111" s="418"/>
      <c r="AK1111" s="418"/>
      <c r="AL1111" s="418"/>
      <c r="AM1111" s="418"/>
      <c r="AN1111" s="418"/>
      <c r="AO1111" s="418"/>
      <c r="AP1111" s="418"/>
      <c r="AQ1111" s="418"/>
      <c r="AR1111" s="418"/>
      <c r="AS1111" s="418"/>
      <c r="AT1111" s="418"/>
      <c r="AU1111" s="418"/>
      <c r="AV1111" s="418"/>
      <c r="AW1111" s="418"/>
      <c r="AX1111" s="418"/>
      <c r="AY1111" s="418"/>
      <c r="AZ1111" s="418"/>
      <c r="BA1111" s="418"/>
      <c r="BB1111" s="154"/>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c r="BY1111" s="115"/>
      <c r="BZ1111" s="115"/>
      <c r="CA1111" s="115"/>
      <c r="CB1111" s="115"/>
      <c r="CC1111" s="115"/>
      <c r="CD1111" s="115"/>
      <c r="CE1111" s="115"/>
      <c r="CF1111" s="115"/>
      <c r="CG1111" s="115"/>
      <c r="CH1111" s="115"/>
      <c r="CI1111" s="115"/>
      <c r="CJ1111" s="115"/>
      <c r="CK1111" s="115"/>
      <c r="CL1111" s="115"/>
      <c r="CM1111" s="115"/>
      <c r="CN1111" s="115"/>
      <c r="CO1111" s="115"/>
      <c r="CP1111" s="115"/>
      <c r="CQ1111" s="115"/>
      <c r="CR1111" s="115"/>
      <c r="CS1111" s="115"/>
      <c r="CT1111" s="115"/>
      <c r="CU1111" s="115"/>
      <c r="CV1111" s="115"/>
      <c r="CW1111" s="115"/>
      <c r="CX1111" s="115"/>
      <c r="CY1111" s="115"/>
      <c r="CZ1111" s="115"/>
      <c r="DA1111" s="115"/>
      <c r="DB1111" s="115"/>
      <c r="DC1111" s="115"/>
      <c r="DD1111" s="115"/>
      <c r="DE1111" s="115"/>
      <c r="DF1111" s="115"/>
      <c r="DG1111" s="115"/>
    </row>
    <row r="1112" spans="1:111" ht="9" customHeight="1">
      <c r="A1112" s="154"/>
      <c r="B1112" s="154"/>
      <c r="C1112" s="154"/>
      <c r="D1112" s="154"/>
      <c r="E1112" s="154"/>
      <c r="F1112" s="154"/>
      <c r="G1112" s="154"/>
      <c r="H1112" s="154"/>
      <c r="I1112" s="154"/>
      <c r="J1112" s="154"/>
      <c r="K1112" s="154"/>
      <c r="L1112" s="154"/>
      <c r="M1112" s="154"/>
      <c r="N1112" s="154"/>
      <c r="O1112" s="154"/>
      <c r="P1112" s="154"/>
      <c r="Q1112" s="417"/>
      <c r="R1112" s="417"/>
      <c r="S1112" s="417"/>
      <c r="T1112" s="417"/>
      <c r="U1112" s="154"/>
      <c r="V1112" s="154"/>
      <c r="W1112" s="154"/>
      <c r="X1112" s="154"/>
      <c r="Y1112" s="154"/>
      <c r="Z1112" s="154"/>
      <c r="AA1112" s="154"/>
      <c r="AB1112" s="154"/>
      <c r="AC1112" s="418"/>
      <c r="AD1112" s="418"/>
      <c r="AE1112" s="418"/>
      <c r="AF1112" s="418"/>
      <c r="AG1112" s="418"/>
      <c r="AH1112" s="418"/>
      <c r="AI1112" s="418"/>
      <c r="AJ1112" s="418"/>
      <c r="AK1112" s="418"/>
      <c r="AL1112" s="418"/>
      <c r="AM1112" s="418"/>
      <c r="AN1112" s="418"/>
      <c r="AO1112" s="418"/>
      <c r="AP1112" s="418"/>
      <c r="AQ1112" s="418"/>
      <c r="AR1112" s="418"/>
      <c r="AS1112" s="418"/>
      <c r="AT1112" s="418"/>
      <c r="AU1112" s="418"/>
      <c r="AV1112" s="418"/>
      <c r="AW1112" s="418"/>
      <c r="AX1112" s="418"/>
      <c r="AY1112" s="418"/>
      <c r="AZ1112" s="418"/>
      <c r="BA1112" s="418"/>
      <c r="BB1112" s="154"/>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c r="BY1112" s="115"/>
      <c r="BZ1112" s="115"/>
      <c r="CA1112" s="115"/>
      <c r="CB1112" s="115"/>
      <c r="CC1112" s="115"/>
      <c r="CD1112" s="115"/>
      <c r="CE1112" s="115"/>
      <c r="CF1112" s="115"/>
      <c r="CG1112" s="115"/>
      <c r="CH1112" s="115"/>
      <c r="CI1112" s="115"/>
      <c r="CJ1112" s="115"/>
      <c r="CK1112" s="115"/>
      <c r="CL1112" s="115"/>
      <c r="CM1112" s="115"/>
      <c r="CN1112" s="115"/>
      <c r="CO1112" s="115"/>
      <c r="CP1112" s="115"/>
      <c r="CQ1112" s="115"/>
      <c r="CR1112" s="115"/>
      <c r="CS1112" s="115"/>
      <c r="CT1112" s="115"/>
      <c r="CU1112" s="115"/>
      <c r="CV1112" s="115"/>
      <c r="CW1112" s="115"/>
      <c r="CX1112" s="115"/>
      <c r="CY1112" s="115"/>
      <c r="CZ1112" s="115"/>
      <c r="DA1112" s="115"/>
      <c r="DB1112" s="115"/>
      <c r="DC1112" s="115"/>
      <c r="DD1112" s="115"/>
      <c r="DE1112" s="115"/>
      <c r="DF1112" s="115"/>
      <c r="DG1112" s="115"/>
    </row>
    <row r="1113" spans="1:111" ht="4.5" customHeight="1">
      <c r="A1113" s="154"/>
      <c r="B1113" s="154"/>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c r="BY1113" s="115"/>
      <c r="BZ1113" s="115"/>
      <c r="CA1113" s="115"/>
      <c r="CB1113" s="115"/>
      <c r="CC1113" s="115"/>
      <c r="CD1113" s="115"/>
      <c r="CE1113" s="115"/>
      <c r="CF1113" s="115"/>
      <c r="CG1113" s="115"/>
      <c r="CH1113" s="115"/>
      <c r="CI1113" s="115"/>
      <c r="CJ1113" s="115"/>
      <c r="CK1113" s="115"/>
      <c r="CL1113" s="115"/>
      <c r="CM1113" s="115"/>
      <c r="CN1113" s="115"/>
      <c r="CO1113" s="115"/>
      <c r="CP1113" s="115"/>
      <c r="CQ1113" s="115"/>
      <c r="CR1113" s="115"/>
      <c r="CS1113" s="115"/>
      <c r="CT1113" s="115"/>
      <c r="CU1113" s="115"/>
      <c r="CV1113" s="115"/>
      <c r="CW1113" s="115"/>
      <c r="CX1113" s="115"/>
      <c r="CY1113" s="115"/>
      <c r="CZ1113" s="115"/>
      <c r="DA1113" s="115"/>
      <c r="DB1113" s="115"/>
      <c r="DC1113" s="115"/>
      <c r="DD1113" s="115"/>
      <c r="DE1113" s="115"/>
      <c r="DF1113" s="115"/>
      <c r="DG1113" s="115"/>
    </row>
    <row r="1114" spans="1:111" ht="9" customHeight="1">
      <c r="A1114" s="154"/>
      <c r="B1114" s="154"/>
      <c r="C1114" s="154"/>
      <c r="D1114" s="154"/>
      <c r="E1114" s="154"/>
      <c r="F1114" s="154"/>
      <c r="G1114" s="154"/>
      <c r="H1114" s="154"/>
      <c r="I1114" s="154"/>
      <c r="J1114" s="416" t="str">
        <f>IF(C1096="","","Valor Unitário (R$):")</f>
        <v/>
      </c>
      <c r="K1114" s="416"/>
      <c r="L1114" s="416"/>
      <c r="M1114" s="416"/>
      <c r="N1114" s="416"/>
      <c r="O1114" s="416"/>
      <c r="P1114" s="154"/>
      <c r="Q1114" s="419"/>
      <c r="R1114" s="419"/>
      <c r="S1114" s="419"/>
      <c r="T1114" s="419"/>
      <c r="U1114" s="419"/>
      <c r="V1114" s="419"/>
      <c r="W1114" s="419"/>
      <c r="X1114" s="419"/>
      <c r="Y1114" s="154"/>
      <c r="Z1114" s="416" t="str">
        <f>IF(C1096="","",IF(J1102="52 Equipamentos e Material Permanente","Tempo de Uso:",""))</f>
        <v/>
      </c>
      <c r="AA1114" s="416"/>
      <c r="AB1114" s="416"/>
      <c r="AC1114" s="416"/>
      <c r="AD1114" s="416"/>
      <c r="AE1114" s="416"/>
      <c r="AF1114" s="154"/>
      <c r="AG1114" s="420"/>
      <c r="AH1114" s="420"/>
      <c r="AI1114" s="420"/>
      <c r="AJ1114" s="420"/>
      <c r="AK1114" s="420"/>
      <c r="AL1114" s="420"/>
      <c r="AM1114" s="420"/>
      <c r="AN1114" s="420"/>
      <c r="AO1114" s="420"/>
      <c r="AP1114" s="420"/>
      <c r="AQ1114" s="420"/>
      <c r="AR1114" s="420"/>
      <c r="AS1114" s="420"/>
      <c r="AT1114" s="420"/>
      <c r="AU1114" s="420"/>
      <c r="AV1114" s="420"/>
      <c r="AW1114" s="420"/>
      <c r="AX1114" s="420"/>
      <c r="AY1114" s="420"/>
      <c r="AZ1114" s="420"/>
      <c r="BA1114" s="420"/>
      <c r="BB1114" s="154"/>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c r="BY1114" s="115"/>
      <c r="BZ1114" s="115"/>
      <c r="CA1114" s="115"/>
      <c r="CB1114" s="115"/>
      <c r="CC1114" s="115"/>
      <c r="CD1114" s="115"/>
      <c r="CE1114" s="115"/>
      <c r="CF1114" s="115"/>
      <c r="CG1114" s="115"/>
      <c r="CH1114" s="115"/>
      <c r="CI1114" s="115"/>
      <c r="CJ1114" s="115"/>
      <c r="CK1114" s="115"/>
      <c r="CL1114" s="115"/>
      <c r="CM1114" s="115"/>
      <c r="CN1114" s="115"/>
      <c r="CO1114" s="115"/>
      <c r="CP1114" s="115"/>
      <c r="CQ1114" s="115"/>
      <c r="CR1114" s="115"/>
      <c r="CS1114" s="115"/>
      <c r="CT1114" s="115"/>
      <c r="CU1114" s="115"/>
      <c r="CV1114" s="115"/>
      <c r="CW1114" s="115"/>
      <c r="CX1114" s="115"/>
      <c r="CY1114" s="115"/>
      <c r="CZ1114" s="115"/>
      <c r="DA1114" s="115"/>
      <c r="DB1114" s="115"/>
      <c r="DC1114" s="115"/>
      <c r="DD1114" s="115"/>
      <c r="DE1114" s="115"/>
      <c r="DF1114" s="115"/>
      <c r="DG1114" s="115"/>
    </row>
    <row r="1115" spans="1:111" ht="9" customHeight="1">
      <c r="A1115" s="154"/>
      <c r="B1115" s="154"/>
      <c r="C1115" s="154"/>
      <c r="D1115" s="154"/>
      <c r="E1115" s="154"/>
      <c r="F1115" s="154"/>
      <c r="G1115" s="154"/>
      <c r="H1115" s="154"/>
      <c r="I1115" s="154"/>
      <c r="J1115" s="416"/>
      <c r="K1115" s="416"/>
      <c r="L1115" s="416"/>
      <c r="M1115" s="416"/>
      <c r="N1115" s="416"/>
      <c r="O1115" s="416"/>
      <c r="P1115" s="154"/>
      <c r="Q1115" s="419"/>
      <c r="R1115" s="419"/>
      <c r="S1115" s="419"/>
      <c r="T1115" s="419"/>
      <c r="U1115" s="419"/>
      <c r="V1115" s="419"/>
      <c r="W1115" s="419"/>
      <c r="X1115" s="419"/>
      <c r="Y1115" s="154"/>
      <c r="Z1115" s="416"/>
      <c r="AA1115" s="416"/>
      <c r="AB1115" s="416"/>
      <c r="AC1115" s="416"/>
      <c r="AD1115" s="416"/>
      <c r="AE1115" s="416"/>
      <c r="AF1115" s="154"/>
      <c r="AG1115" s="420"/>
      <c r="AH1115" s="420"/>
      <c r="AI1115" s="420"/>
      <c r="AJ1115" s="420"/>
      <c r="AK1115" s="420"/>
      <c r="AL1115" s="420"/>
      <c r="AM1115" s="420"/>
      <c r="AN1115" s="420"/>
      <c r="AO1115" s="420"/>
      <c r="AP1115" s="420"/>
      <c r="AQ1115" s="420"/>
      <c r="AR1115" s="420"/>
      <c r="AS1115" s="420"/>
      <c r="AT1115" s="420"/>
      <c r="AU1115" s="420"/>
      <c r="AV1115" s="420"/>
      <c r="AW1115" s="420"/>
      <c r="AX1115" s="420"/>
      <c r="AY1115" s="420"/>
      <c r="AZ1115" s="420"/>
      <c r="BA1115" s="420"/>
      <c r="BB1115" s="154"/>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c r="BY1115" s="115"/>
      <c r="BZ1115" s="115"/>
      <c r="CA1115" s="115"/>
      <c r="CB1115" s="115"/>
      <c r="CC1115" s="115"/>
      <c r="CD1115" s="115"/>
      <c r="CE1115" s="115"/>
      <c r="CF1115" s="115"/>
      <c r="CG1115" s="115"/>
      <c r="CH1115" s="115"/>
      <c r="CI1115" s="115"/>
      <c r="CJ1115" s="115"/>
      <c r="CK1115" s="115"/>
      <c r="CL1115" s="115"/>
      <c r="CM1115" s="115"/>
      <c r="CN1115" s="115"/>
      <c r="CO1115" s="115"/>
      <c r="CP1115" s="115"/>
      <c r="CQ1115" s="115"/>
      <c r="CR1115" s="115"/>
      <c r="CS1115" s="115"/>
      <c r="CT1115" s="115"/>
      <c r="CU1115" s="115"/>
      <c r="CV1115" s="115"/>
      <c r="CW1115" s="115"/>
      <c r="CX1115" s="115"/>
      <c r="CY1115" s="115"/>
      <c r="CZ1115" s="115"/>
      <c r="DA1115" s="115"/>
      <c r="DB1115" s="115"/>
      <c r="DC1115" s="115"/>
      <c r="DD1115" s="115"/>
      <c r="DE1115" s="115"/>
      <c r="DF1115" s="115"/>
      <c r="DG1115" s="115"/>
    </row>
    <row r="1116" spans="1:111" ht="9" customHeight="1">
      <c r="A1116" s="154"/>
      <c r="B1116" s="154"/>
      <c r="C1116" s="154"/>
      <c r="D1116" s="154"/>
      <c r="E1116" s="154"/>
      <c r="F1116" s="154"/>
      <c r="G1116" s="154"/>
      <c r="H1116" s="154"/>
      <c r="I1116" s="154"/>
      <c r="J1116" s="154"/>
      <c r="K1116" s="154"/>
      <c r="L1116" s="154"/>
      <c r="M1116" s="154"/>
      <c r="N1116" s="154"/>
      <c r="O1116" s="154"/>
      <c r="P1116" s="154"/>
      <c r="Q1116" s="419"/>
      <c r="R1116" s="419"/>
      <c r="S1116" s="419"/>
      <c r="T1116" s="419"/>
      <c r="U1116" s="419"/>
      <c r="V1116" s="419"/>
      <c r="W1116" s="419"/>
      <c r="X1116" s="419"/>
      <c r="Y1116" s="154"/>
      <c r="Z1116" s="154"/>
      <c r="AA1116" s="154"/>
      <c r="AB1116" s="154"/>
      <c r="AC1116" s="154"/>
      <c r="AD1116" s="154"/>
      <c r="AE1116" s="154"/>
      <c r="AF1116" s="154"/>
      <c r="AG1116" s="420"/>
      <c r="AH1116" s="420"/>
      <c r="AI1116" s="420"/>
      <c r="AJ1116" s="420"/>
      <c r="AK1116" s="420"/>
      <c r="AL1116" s="420"/>
      <c r="AM1116" s="420"/>
      <c r="AN1116" s="420"/>
      <c r="AO1116" s="420"/>
      <c r="AP1116" s="420"/>
      <c r="AQ1116" s="420"/>
      <c r="AR1116" s="420"/>
      <c r="AS1116" s="420"/>
      <c r="AT1116" s="420"/>
      <c r="AU1116" s="420"/>
      <c r="AV1116" s="420"/>
      <c r="AW1116" s="420"/>
      <c r="AX1116" s="420"/>
      <c r="AY1116" s="420"/>
      <c r="AZ1116" s="420"/>
      <c r="BA1116" s="420"/>
      <c r="BB1116" s="154"/>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c r="BY1116" s="115"/>
      <c r="BZ1116" s="115"/>
      <c r="CA1116" s="115"/>
      <c r="CB1116" s="115"/>
      <c r="CC1116" s="115"/>
      <c r="CD1116" s="115"/>
      <c r="CE1116" s="115"/>
      <c r="CF1116" s="115"/>
      <c r="CG1116" s="115"/>
      <c r="CH1116" s="115"/>
      <c r="CI1116" s="115"/>
      <c r="CJ1116" s="115"/>
      <c r="CK1116" s="115"/>
      <c r="CL1116" s="115"/>
      <c r="CM1116" s="115"/>
      <c r="CN1116" s="115"/>
      <c r="CO1116" s="115"/>
      <c r="CP1116" s="115"/>
      <c r="CQ1116" s="115"/>
      <c r="CR1116" s="115"/>
      <c r="CS1116" s="115"/>
      <c r="CT1116" s="115"/>
      <c r="CU1116" s="115"/>
      <c r="CV1116" s="115"/>
      <c r="CW1116" s="115"/>
      <c r="CX1116" s="115"/>
      <c r="CY1116" s="115"/>
      <c r="CZ1116" s="115"/>
      <c r="DA1116" s="115"/>
      <c r="DB1116" s="115"/>
      <c r="DC1116" s="115"/>
      <c r="DD1116" s="115"/>
      <c r="DE1116" s="115"/>
      <c r="DF1116" s="115"/>
      <c r="DG1116" s="115"/>
    </row>
    <row r="1117" spans="1:111" ht="4.5" customHeight="1">
      <c r="A1117" s="154"/>
      <c r="B1117" s="154"/>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c r="BY1117" s="115"/>
      <c r="BZ1117" s="115"/>
      <c r="CA1117" s="115"/>
      <c r="CB1117" s="115"/>
      <c r="CC1117" s="115"/>
      <c r="CD1117" s="115"/>
      <c r="CE1117" s="115"/>
      <c r="CF1117" s="115"/>
      <c r="CG1117" s="115"/>
      <c r="CH1117" s="115"/>
      <c r="CI1117" s="115"/>
      <c r="CJ1117" s="115"/>
      <c r="CK1117" s="115"/>
      <c r="CL1117" s="115"/>
      <c r="CM1117" s="115"/>
      <c r="CN1117" s="115"/>
      <c r="CO1117" s="115"/>
      <c r="CP1117" s="115"/>
      <c r="CQ1117" s="115"/>
      <c r="CR1117" s="115"/>
      <c r="CS1117" s="115"/>
      <c r="CT1117" s="115"/>
      <c r="CU1117" s="115"/>
      <c r="CV1117" s="115"/>
      <c r="CW1117" s="115"/>
      <c r="CX1117" s="115"/>
      <c r="CY1117" s="115"/>
      <c r="CZ1117" s="115"/>
      <c r="DA1117" s="115"/>
      <c r="DB1117" s="115"/>
      <c r="DC1117" s="115"/>
      <c r="DD1117" s="115"/>
      <c r="DE1117" s="115"/>
      <c r="DF1117" s="115"/>
      <c r="DG1117" s="115"/>
    </row>
    <row r="1118" spans="1:111" ht="9" customHeight="1">
      <c r="A1118" s="154"/>
      <c r="B1118" s="154"/>
      <c r="C1118" s="154"/>
      <c r="D1118" s="154"/>
      <c r="E1118" s="154"/>
      <c r="F1118" s="154"/>
      <c r="G1118" s="154"/>
      <c r="H1118" s="154"/>
      <c r="I1118" s="154"/>
      <c r="J1118" s="416" t="str">
        <f>IF(C1096="","","Valor Total (R$):")</f>
        <v/>
      </c>
      <c r="K1118" s="416"/>
      <c r="L1118" s="416"/>
      <c r="M1118" s="416"/>
      <c r="N1118" s="416"/>
      <c r="O1118" s="416"/>
      <c r="P1118" s="154"/>
      <c r="Q1118" s="419" t="str">
        <f>IF(Q1114="","",Q1110*Q1114)</f>
        <v/>
      </c>
      <c r="R1118" s="419"/>
      <c r="S1118" s="419"/>
      <c r="T1118" s="419"/>
      <c r="U1118" s="419"/>
      <c r="V1118" s="419"/>
      <c r="W1118" s="419"/>
      <c r="X1118" s="419"/>
      <c r="Y1118" s="154"/>
      <c r="Z1118" s="416" t="str">
        <f>IF(C1096="","",IF(J1102="52 Equipamentos e Material Permanente","Justificativa e Utilização:",""))</f>
        <v/>
      </c>
      <c r="AA1118" s="416"/>
      <c r="AB1118" s="416"/>
      <c r="AC1118" s="416"/>
      <c r="AD1118" s="416"/>
      <c r="AE1118" s="416"/>
      <c r="AF1118" s="154"/>
      <c r="AG1118" s="420"/>
      <c r="AH1118" s="420"/>
      <c r="AI1118" s="420"/>
      <c r="AJ1118" s="420"/>
      <c r="AK1118" s="420"/>
      <c r="AL1118" s="420"/>
      <c r="AM1118" s="420"/>
      <c r="AN1118" s="420"/>
      <c r="AO1118" s="420"/>
      <c r="AP1118" s="420"/>
      <c r="AQ1118" s="420"/>
      <c r="AR1118" s="420"/>
      <c r="AS1118" s="420"/>
      <c r="AT1118" s="420"/>
      <c r="AU1118" s="420"/>
      <c r="AV1118" s="420"/>
      <c r="AW1118" s="420"/>
      <c r="AX1118" s="420"/>
      <c r="AY1118" s="420"/>
      <c r="AZ1118" s="420"/>
      <c r="BA1118" s="420"/>
      <c r="BB1118" s="154"/>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c r="BY1118" s="115"/>
      <c r="BZ1118" s="115"/>
      <c r="CA1118" s="115"/>
      <c r="CB1118" s="115"/>
      <c r="CC1118" s="115"/>
      <c r="CD1118" s="115"/>
      <c r="CE1118" s="115"/>
      <c r="CF1118" s="115"/>
      <c r="CG1118" s="115"/>
      <c r="CH1118" s="115"/>
      <c r="CI1118" s="115"/>
      <c r="CJ1118" s="115"/>
      <c r="CK1118" s="115"/>
      <c r="CL1118" s="115"/>
      <c r="CM1118" s="115"/>
      <c r="CN1118" s="115"/>
      <c r="CO1118" s="115"/>
      <c r="CP1118" s="115"/>
      <c r="CQ1118" s="115"/>
      <c r="CR1118" s="115"/>
      <c r="CS1118" s="115"/>
      <c r="CT1118" s="115"/>
      <c r="CU1118" s="115"/>
      <c r="CV1118" s="115"/>
      <c r="CW1118" s="115"/>
      <c r="CX1118" s="115"/>
      <c r="CY1118" s="115"/>
      <c r="CZ1118" s="115"/>
      <c r="DA1118" s="115"/>
      <c r="DB1118" s="115"/>
      <c r="DC1118" s="115"/>
      <c r="DD1118" s="115"/>
      <c r="DE1118" s="115"/>
      <c r="DF1118" s="115"/>
      <c r="DG1118" s="115"/>
    </row>
    <row r="1119" spans="1:111" ht="9" customHeight="1">
      <c r="A1119" s="154"/>
      <c r="B1119" s="154"/>
      <c r="C1119" s="154"/>
      <c r="D1119" s="154"/>
      <c r="E1119" s="154"/>
      <c r="F1119" s="154"/>
      <c r="G1119" s="154"/>
      <c r="H1119" s="154"/>
      <c r="I1119" s="154"/>
      <c r="J1119" s="416"/>
      <c r="K1119" s="416"/>
      <c r="L1119" s="416"/>
      <c r="M1119" s="416"/>
      <c r="N1119" s="416"/>
      <c r="O1119" s="416"/>
      <c r="P1119" s="154"/>
      <c r="Q1119" s="419"/>
      <c r="R1119" s="419"/>
      <c r="S1119" s="419"/>
      <c r="T1119" s="419"/>
      <c r="U1119" s="419"/>
      <c r="V1119" s="419"/>
      <c r="W1119" s="419"/>
      <c r="X1119" s="419"/>
      <c r="Y1119" s="154"/>
      <c r="Z1119" s="416"/>
      <c r="AA1119" s="416"/>
      <c r="AB1119" s="416"/>
      <c r="AC1119" s="416"/>
      <c r="AD1119" s="416"/>
      <c r="AE1119" s="416"/>
      <c r="AF1119" s="154"/>
      <c r="AG1119" s="420"/>
      <c r="AH1119" s="420"/>
      <c r="AI1119" s="420"/>
      <c r="AJ1119" s="420"/>
      <c r="AK1119" s="420"/>
      <c r="AL1119" s="420"/>
      <c r="AM1119" s="420"/>
      <c r="AN1119" s="420"/>
      <c r="AO1119" s="420"/>
      <c r="AP1119" s="420"/>
      <c r="AQ1119" s="420"/>
      <c r="AR1119" s="420"/>
      <c r="AS1119" s="420"/>
      <c r="AT1119" s="420"/>
      <c r="AU1119" s="420"/>
      <c r="AV1119" s="420"/>
      <c r="AW1119" s="420"/>
      <c r="AX1119" s="420"/>
      <c r="AY1119" s="420"/>
      <c r="AZ1119" s="420"/>
      <c r="BA1119" s="420"/>
      <c r="BB1119" s="154"/>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c r="BY1119" s="115"/>
      <c r="BZ1119" s="115"/>
      <c r="CA1119" s="115"/>
      <c r="CB1119" s="115"/>
      <c r="CC1119" s="115"/>
      <c r="CD1119" s="115"/>
      <c r="CE1119" s="115"/>
      <c r="CF1119" s="115"/>
      <c r="CG1119" s="115"/>
      <c r="CH1119" s="115"/>
      <c r="CI1119" s="115"/>
      <c r="CJ1119" s="115"/>
      <c r="CK1119" s="115"/>
      <c r="CL1119" s="115"/>
      <c r="CM1119" s="115"/>
      <c r="CN1119" s="115"/>
      <c r="CO1119" s="115"/>
      <c r="CP1119" s="115"/>
      <c r="CQ1119" s="115"/>
      <c r="CR1119" s="115"/>
      <c r="CS1119" s="115"/>
      <c r="CT1119" s="115"/>
      <c r="CU1119" s="115"/>
      <c r="CV1119" s="115"/>
      <c r="CW1119" s="115"/>
      <c r="CX1119" s="115"/>
      <c r="CY1119" s="115"/>
      <c r="CZ1119" s="115"/>
      <c r="DA1119" s="115"/>
      <c r="DB1119" s="115"/>
      <c r="DC1119" s="115"/>
      <c r="DD1119" s="115"/>
      <c r="DE1119" s="115"/>
      <c r="DF1119" s="115"/>
      <c r="DG1119" s="115"/>
    </row>
    <row r="1120" spans="1:111" ht="9" customHeight="1">
      <c r="A1120" s="154"/>
      <c r="B1120" s="154"/>
      <c r="C1120" s="154"/>
      <c r="D1120" s="154"/>
      <c r="E1120" s="154"/>
      <c r="F1120" s="154"/>
      <c r="G1120" s="154"/>
      <c r="H1120" s="154"/>
      <c r="I1120" s="154"/>
      <c r="J1120" s="154"/>
      <c r="K1120" s="154"/>
      <c r="L1120" s="154"/>
      <c r="M1120" s="154"/>
      <c r="N1120" s="154"/>
      <c r="O1120" s="154"/>
      <c r="P1120" s="154"/>
      <c r="Q1120" s="419"/>
      <c r="R1120" s="419"/>
      <c r="S1120" s="419"/>
      <c r="T1120" s="419"/>
      <c r="U1120" s="419"/>
      <c r="V1120" s="419"/>
      <c r="W1120" s="419"/>
      <c r="X1120" s="419"/>
      <c r="Y1120" s="154"/>
      <c r="Z1120" s="154"/>
      <c r="AA1120" s="154"/>
      <c r="AB1120" s="154"/>
      <c r="AC1120" s="154"/>
      <c r="AD1120" s="154"/>
      <c r="AE1120" s="154"/>
      <c r="AF1120" s="154"/>
      <c r="AG1120" s="420"/>
      <c r="AH1120" s="420"/>
      <c r="AI1120" s="420"/>
      <c r="AJ1120" s="420"/>
      <c r="AK1120" s="420"/>
      <c r="AL1120" s="420"/>
      <c r="AM1120" s="420"/>
      <c r="AN1120" s="420"/>
      <c r="AO1120" s="420"/>
      <c r="AP1120" s="420"/>
      <c r="AQ1120" s="420"/>
      <c r="AR1120" s="420"/>
      <c r="AS1120" s="420"/>
      <c r="AT1120" s="420"/>
      <c r="AU1120" s="420"/>
      <c r="AV1120" s="420"/>
      <c r="AW1120" s="420"/>
      <c r="AX1120" s="420"/>
      <c r="AY1120" s="420"/>
      <c r="AZ1120" s="420"/>
      <c r="BA1120" s="420"/>
      <c r="BB1120" s="154"/>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c r="BY1120" s="115"/>
      <c r="BZ1120" s="115"/>
      <c r="CA1120" s="115"/>
      <c r="CB1120" s="115"/>
      <c r="CC1120" s="115"/>
      <c r="CD1120" s="115"/>
      <c r="CE1120" s="115"/>
      <c r="CF1120" s="115"/>
      <c r="CG1120" s="115"/>
      <c r="CH1120" s="115"/>
      <c r="CI1120" s="115"/>
      <c r="CJ1120" s="115"/>
      <c r="CK1120" s="115"/>
      <c r="CL1120" s="115"/>
      <c r="CM1120" s="115"/>
      <c r="CN1120" s="115"/>
      <c r="CO1120" s="115"/>
      <c r="CP1120" s="115"/>
      <c r="CQ1120" s="115"/>
      <c r="CR1120" s="115"/>
      <c r="CS1120" s="115"/>
      <c r="CT1120" s="115"/>
      <c r="CU1120" s="115"/>
      <c r="CV1120" s="115"/>
      <c r="CW1120" s="115"/>
      <c r="CX1120" s="115"/>
      <c r="CY1120" s="115"/>
      <c r="CZ1120" s="115"/>
      <c r="DA1120" s="115"/>
      <c r="DB1120" s="115"/>
      <c r="DC1120" s="115"/>
      <c r="DD1120" s="115"/>
      <c r="DE1120" s="115"/>
      <c r="DF1120" s="115"/>
      <c r="DG1120" s="115"/>
    </row>
    <row r="1121" spans="1:111" ht="9" customHeight="1">
      <c r="A1121" s="154"/>
      <c r="B1121" s="154"/>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420"/>
      <c r="AH1121" s="420"/>
      <c r="AI1121" s="420"/>
      <c r="AJ1121" s="420"/>
      <c r="AK1121" s="420"/>
      <c r="AL1121" s="420"/>
      <c r="AM1121" s="420"/>
      <c r="AN1121" s="420"/>
      <c r="AO1121" s="420"/>
      <c r="AP1121" s="420"/>
      <c r="AQ1121" s="420"/>
      <c r="AR1121" s="420"/>
      <c r="AS1121" s="420"/>
      <c r="AT1121" s="420"/>
      <c r="AU1121" s="420"/>
      <c r="AV1121" s="420"/>
      <c r="AW1121" s="420"/>
      <c r="AX1121" s="420"/>
      <c r="AY1121" s="420"/>
      <c r="AZ1121" s="420"/>
      <c r="BA1121" s="420"/>
      <c r="BB1121" s="154"/>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c r="BY1121" s="115"/>
      <c r="BZ1121" s="115"/>
      <c r="CA1121" s="115"/>
      <c r="CB1121" s="115"/>
      <c r="CC1121" s="115"/>
      <c r="CD1121" s="115"/>
      <c r="CE1121" s="115"/>
      <c r="CF1121" s="115"/>
      <c r="CG1121" s="115"/>
      <c r="CH1121" s="115"/>
      <c r="CI1121" s="115"/>
      <c r="CJ1121" s="115"/>
      <c r="CK1121" s="115"/>
      <c r="CL1121" s="115"/>
      <c r="CM1121" s="115"/>
      <c r="CN1121" s="115"/>
      <c r="CO1121" s="115"/>
      <c r="CP1121" s="115"/>
      <c r="CQ1121" s="115"/>
      <c r="CR1121" s="115"/>
      <c r="CS1121" s="115"/>
      <c r="CT1121" s="115"/>
      <c r="CU1121" s="115"/>
      <c r="CV1121" s="115"/>
      <c r="CW1121" s="115"/>
      <c r="CX1121" s="115"/>
      <c r="CY1121" s="115"/>
      <c r="CZ1121" s="115"/>
      <c r="DA1121" s="115"/>
      <c r="DB1121" s="115"/>
      <c r="DC1121" s="115"/>
      <c r="DD1121" s="115"/>
      <c r="DE1121" s="115"/>
      <c r="DF1121" s="115"/>
      <c r="DG1121" s="115"/>
    </row>
    <row r="1122" spans="1:111" ht="9" customHeight="1">
      <c r="A1122" s="154"/>
      <c r="B1122" s="154"/>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420"/>
      <c r="AH1122" s="420"/>
      <c r="AI1122" s="420"/>
      <c r="AJ1122" s="420"/>
      <c r="AK1122" s="420"/>
      <c r="AL1122" s="420"/>
      <c r="AM1122" s="420"/>
      <c r="AN1122" s="420"/>
      <c r="AO1122" s="420"/>
      <c r="AP1122" s="420"/>
      <c r="AQ1122" s="420"/>
      <c r="AR1122" s="420"/>
      <c r="AS1122" s="420"/>
      <c r="AT1122" s="420"/>
      <c r="AU1122" s="420"/>
      <c r="AV1122" s="420"/>
      <c r="AW1122" s="420"/>
      <c r="AX1122" s="420"/>
      <c r="AY1122" s="420"/>
      <c r="AZ1122" s="420"/>
      <c r="BA1122" s="420"/>
      <c r="BB1122" s="154"/>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c r="BY1122" s="115"/>
      <c r="BZ1122" s="115"/>
      <c r="CA1122" s="115"/>
      <c r="CB1122" s="115"/>
      <c r="CC1122" s="115"/>
      <c r="CD1122" s="115"/>
      <c r="CE1122" s="115"/>
      <c r="CF1122" s="115"/>
      <c r="CG1122" s="115"/>
      <c r="CH1122" s="115"/>
      <c r="CI1122" s="115"/>
      <c r="CJ1122" s="115"/>
      <c r="CK1122" s="115"/>
      <c r="CL1122" s="115"/>
      <c r="CM1122" s="115"/>
      <c r="CN1122" s="115"/>
      <c r="CO1122" s="115"/>
      <c r="CP1122" s="115"/>
      <c r="CQ1122" s="115"/>
      <c r="CR1122" s="115"/>
      <c r="CS1122" s="115"/>
      <c r="CT1122" s="115"/>
      <c r="CU1122" s="115"/>
      <c r="CV1122" s="115"/>
      <c r="CW1122" s="115"/>
      <c r="CX1122" s="115"/>
      <c r="CY1122" s="115"/>
      <c r="CZ1122" s="115"/>
      <c r="DA1122" s="115"/>
      <c r="DB1122" s="115"/>
      <c r="DC1122" s="115"/>
      <c r="DD1122" s="115"/>
      <c r="DE1122" s="115"/>
      <c r="DF1122" s="115"/>
      <c r="DG1122" s="115"/>
    </row>
    <row r="1123" spans="1:111" ht="9" customHeight="1">
      <c r="A1123" s="154"/>
      <c r="B1123" s="154"/>
      <c r="C1123" s="154"/>
      <c r="D1123" s="154"/>
      <c r="E1123" s="154"/>
      <c r="F1123" s="154"/>
      <c r="G1123" s="154"/>
      <c r="H1123" s="154"/>
      <c r="I1123" s="154"/>
      <c r="J1123" s="154"/>
      <c r="K1123" s="154"/>
      <c r="L1123" s="154"/>
      <c r="M1123" s="154"/>
      <c r="N1123" s="154"/>
      <c r="O1123" s="154"/>
      <c r="P1123" s="154"/>
      <c r="Q1123" s="154"/>
      <c r="R1123" s="154"/>
      <c r="S1123" s="154"/>
      <c r="T1123" s="154"/>
      <c r="U1123" s="154"/>
      <c r="V1123" s="154"/>
      <c r="W1123" s="154"/>
      <c r="X1123" s="154"/>
      <c r="Y1123" s="154"/>
      <c r="Z1123" s="154"/>
      <c r="AA1123" s="154"/>
      <c r="AB1123" s="154"/>
      <c r="AC1123" s="154"/>
      <c r="AD1123" s="154"/>
      <c r="AE1123" s="154"/>
      <c r="AF1123" s="154"/>
      <c r="AG1123" s="420"/>
      <c r="AH1123" s="420"/>
      <c r="AI1123" s="420"/>
      <c r="AJ1123" s="420"/>
      <c r="AK1123" s="420"/>
      <c r="AL1123" s="420"/>
      <c r="AM1123" s="420"/>
      <c r="AN1123" s="420"/>
      <c r="AO1123" s="420"/>
      <c r="AP1123" s="420"/>
      <c r="AQ1123" s="420"/>
      <c r="AR1123" s="420"/>
      <c r="AS1123" s="420"/>
      <c r="AT1123" s="420"/>
      <c r="AU1123" s="420"/>
      <c r="AV1123" s="420"/>
      <c r="AW1123" s="420"/>
      <c r="AX1123" s="420"/>
      <c r="AY1123" s="420"/>
      <c r="AZ1123" s="420"/>
      <c r="BA1123" s="420"/>
      <c r="BB1123" s="154"/>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c r="BY1123" s="115"/>
      <c r="BZ1123" s="115"/>
      <c r="CA1123" s="115"/>
      <c r="CB1123" s="115"/>
      <c r="CC1123" s="115"/>
      <c r="CD1123" s="115"/>
      <c r="CE1123" s="115"/>
      <c r="CF1123" s="115"/>
      <c r="CG1123" s="115"/>
      <c r="CH1123" s="115"/>
      <c r="CI1123" s="115"/>
      <c r="CJ1123" s="115"/>
      <c r="CK1123" s="115"/>
      <c r="CL1123" s="115"/>
      <c r="CM1123" s="115"/>
      <c r="CN1123" s="115"/>
      <c r="CO1123" s="115"/>
      <c r="CP1123" s="115"/>
      <c r="CQ1123" s="115"/>
      <c r="CR1123" s="115"/>
      <c r="CS1123" s="115"/>
      <c r="CT1123" s="115"/>
      <c r="CU1123" s="115"/>
      <c r="CV1123" s="115"/>
      <c r="CW1123" s="115"/>
      <c r="CX1123" s="115"/>
      <c r="CY1123" s="115"/>
      <c r="CZ1123" s="115"/>
      <c r="DA1123" s="115"/>
      <c r="DB1123" s="115"/>
      <c r="DC1123" s="115"/>
      <c r="DD1123" s="115"/>
      <c r="DE1123" s="115"/>
      <c r="DF1123" s="115"/>
      <c r="DG1123" s="115"/>
    </row>
    <row r="1124" spans="1:111" ht="14.25" customHeight="1">
      <c r="B1124" s="55"/>
      <c r="C1124" s="55"/>
      <c r="D1124" s="56"/>
      <c r="E1124" s="56"/>
      <c r="F1124" s="56"/>
      <c r="G1124" s="56"/>
      <c r="H1124" s="56"/>
      <c r="I1124" s="56"/>
      <c r="J1124" s="56"/>
      <c r="K1124" s="56"/>
      <c r="L1124" s="56"/>
      <c r="M1124" s="56"/>
      <c r="N1124" s="56"/>
      <c r="O1124" s="56"/>
      <c r="P1124" s="56"/>
      <c r="Q1124" s="56"/>
      <c r="R1124" s="56"/>
      <c r="S1124" s="56"/>
      <c r="T1124" s="56"/>
      <c r="U1124" s="56"/>
      <c r="V1124" s="56"/>
      <c r="W1124" s="56"/>
      <c r="X1124" s="56"/>
      <c r="Y1124" s="56"/>
      <c r="Z1124" s="56"/>
      <c r="AA1124" s="56"/>
      <c r="AB1124" s="56"/>
      <c r="AC1124" s="56"/>
      <c r="AD1124" s="56"/>
      <c r="AE1124" s="56"/>
      <c r="AF1124" s="56"/>
      <c r="AG1124" s="56"/>
      <c r="AH1124" s="56"/>
      <c r="AI1124" s="56"/>
      <c r="AJ1124" s="56"/>
      <c r="AK1124" s="141"/>
      <c r="AL1124" s="141"/>
      <c r="AM1124" s="141"/>
      <c r="AN1124" s="141"/>
      <c r="AO1124" s="140"/>
      <c r="AP1124" s="140"/>
      <c r="AQ1124" s="140"/>
      <c r="AR1124" s="140"/>
      <c r="AS1124" s="142"/>
      <c r="AT1124" s="142"/>
      <c r="AU1124" s="142"/>
      <c r="AV1124" s="142"/>
      <c r="AW1124" s="140"/>
      <c r="AX1124" s="140"/>
      <c r="AY1124" s="140"/>
      <c r="AZ1124" s="140"/>
      <c r="BA1124" s="140"/>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c r="BY1124" s="115"/>
      <c r="BZ1124" s="115"/>
      <c r="CA1124" s="115"/>
      <c r="CB1124" s="115"/>
      <c r="CC1124" s="115"/>
      <c r="CD1124" s="115"/>
      <c r="CE1124" s="115"/>
      <c r="CF1124" s="115"/>
      <c r="CG1124" s="115"/>
      <c r="CH1124" s="115"/>
      <c r="CI1124" s="115"/>
      <c r="CJ1124" s="115"/>
      <c r="CK1124" s="115"/>
      <c r="CL1124" s="115"/>
      <c r="CM1124" s="115"/>
      <c r="CN1124" s="115"/>
      <c r="CO1124" s="115"/>
      <c r="CP1124" s="115"/>
      <c r="CQ1124" s="115"/>
      <c r="CR1124" s="115"/>
      <c r="CS1124" s="115"/>
      <c r="CT1124" s="115"/>
      <c r="CU1124" s="115"/>
      <c r="CV1124" s="115"/>
      <c r="CW1124" s="115"/>
      <c r="CX1124" s="115"/>
      <c r="CY1124" s="115"/>
      <c r="CZ1124" s="115"/>
      <c r="DA1124" s="115"/>
      <c r="DB1124" s="115"/>
      <c r="DC1124" s="115"/>
      <c r="DD1124" s="115"/>
      <c r="DE1124" s="115"/>
      <c r="DF1124" s="115"/>
      <c r="DG1124" s="115"/>
    </row>
    <row r="1125" spans="1:111" ht="15" customHeight="1">
      <c r="B1125" s="55"/>
      <c r="C1125" s="422" t="str">
        <f>IF($AA$165&gt;=34,"DESPESA 34","")</f>
        <v/>
      </c>
      <c r="D1125" s="422"/>
      <c r="E1125" s="422"/>
      <c r="F1125" s="422"/>
      <c r="G1125" s="422"/>
      <c r="H1125" s="422"/>
      <c r="I1125" s="56"/>
      <c r="J1125" s="56"/>
      <c r="K1125" s="56"/>
      <c r="L1125" s="56"/>
      <c r="M1125" s="56"/>
      <c r="N1125" s="56"/>
      <c r="O1125" s="56"/>
      <c r="P1125" s="56"/>
      <c r="Q1125" s="56"/>
      <c r="R1125" s="56"/>
      <c r="S1125" s="56"/>
      <c r="T1125" s="56"/>
      <c r="U1125" s="56"/>
      <c r="V1125" s="56"/>
      <c r="W1125" s="56"/>
      <c r="X1125" s="56"/>
      <c r="Y1125" s="56"/>
      <c r="Z1125" s="56"/>
      <c r="AA1125" s="56"/>
      <c r="AB1125" s="56"/>
      <c r="AC1125" s="56"/>
      <c r="AD1125" s="56"/>
      <c r="AE1125" s="56"/>
      <c r="AF1125" s="56"/>
      <c r="AG1125" s="56"/>
      <c r="AH1125" s="56"/>
      <c r="AI1125" s="56"/>
      <c r="AJ1125" s="56"/>
      <c r="AK1125" s="141"/>
      <c r="AL1125" s="141"/>
      <c r="AM1125" s="141"/>
      <c r="AN1125" s="141"/>
      <c r="AO1125" s="140"/>
      <c r="AP1125" s="140"/>
      <c r="AQ1125" s="140"/>
      <c r="AR1125" s="140"/>
      <c r="AS1125" s="142"/>
      <c r="AT1125" s="142"/>
      <c r="AU1125" s="142"/>
      <c r="AV1125" s="142"/>
      <c r="AW1125" s="140"/>
      <c r="AX1125" s="140"/>
      <c r="AY1125" s="140"/>
      <c r="AZ1125" s="140"/>
      <c r="BA1125" s="140"/>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c r="BY1125" s="115"/>
      <c r="BZ1125" s="115"/>
      <c r="CA1125" s="115"/>
      <c r="CB1125" s="115"/>
      <c r="CC1125" s="115"/>
      <c r="CD1125" s="115"/>
      <c r="CE1125" s="115"/>
      <c r="CF1125" s="115"/>
      <c r="CG1125" s="115"/>
      <c r="CH1125" s="115"/>
      <c r="CI1125" s="115"/>
      <c r="CJ1125" s="115"/>
      <c r="CK1125" s="115"/>
      <c r="CL1125" s="115"/>
      <c r="CM1125" s="115"/>
      <c r="CN1125" s="115"/>
      <c r="CO1125" s="115"/>
      <c r="CP1125" s="115"/>
      <c r="CQ1125" s="115"/>
      <c r="CR1125" s="115"/>
      <c r="CS1125" s="115"/>
      <c r="CT1125" s="115"/>
      <c r="CU1125" s="115"/>
      <c r="CV1125" s="115"/>
      <c r="CW1125" s="115"/>
      <c r="CX1125" s="115"/>
      <c r="CY1125" s="115"/>
      <c r="CZ1125" s="115"/>
      <c r="DA1125" s="115"/>
      <c r="DB1125" s="115"/>
      <c r="DC1125" s="115"/>
      <c r="DD1125" s="115"/>
      <c r="DE1125" s="115"/>
      <c r="DF1125" s="115"/>
      <c r="DG1125" s="115"/>
    </row>
    <row r="1126" spans="1:111" ht="4.5" customHeight="1">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c r="BY1126" s="115"/>
      <c r="BZ1126" s="115"/>
      <c r="CA1126" s="115"/>
      <c r="CB1126" s="115"/>
      <c r="CC1126" s="115"/>
      <c r="CD1126" s="115"/>
      <c r="CE1126" s="115"/>
      <c r="CF1126" s="115"/>
      <c r="CG1126" s="115"/>
      <c r="CH1126" s="115"/>
      <c r="CI1126" s="115"/>
      <c r="CJ1126" s="115"/>
      <c r="CK1126" s="115"/>
      <c r="CL1126" s="115"/>
      <c r="CM1126" s="115"/>
      <c r="CN1126" s="115"/>
      <c r="CO1126" s="115"/>
      <c r="CP1126" s="115"/>
      <c r="CQ1126" s="115"/>
      <c r="CR1126" s="115"/>
      <c r="CS1126" s="115"/>
      <c r="CT1126" s="115"/>
      <c r="CU1126" s="115"/>
      <c r="CV1126" s="115"/>
      <c r="CW1126" s="115"/>
      <c r="CX1126" s="115"/>
      <c r="CY1126" s="115"/>
      <c r="CZ1126" s="115"/>
      <c r="DA1126" s="115"/>
      <c r="DB1126" s="115"/>
      <c r="DC1126" s="115"/>
      <c r="DD1126" s="115"/>
      <c r="DE1126" s="115"/>
      <c r="DF1126" s="115"/>
      <c r="DG1126" s="115"/>
    </row>
    <row r="1127" spans="1:111" ht="9" customHeight="1">
      <c r="C1127" s="416" t="str">
        <f>IF(C1125="","","Descrição da Despesa:")</f>
        <v/>
      </c>
      <c r="D1127" s="416"/>
      <c r="E1127" s="416"/>
      <c r="F1127" s="416"/>
      <c r="G1127" s="416"/>
      <c r="H1127" s="416"/>
      <c r="I1127" s="60"/>
      <c r="J1127" s="421"/>
      <c r="K1127" s="421"/>
      <c r="L1127" s="421"/>
      <c r="M1127" s="421"/>
      <c r="N1127" s="421"/>
      <c r="O1127" s="421"/>
      <c r="P1127" s="421"/>
      <c r="Q1127" s="421"/>
      <c r="R1127" s="421"/>
      <c r="S1127" s="421"/>
      <c r="T1127" s="421"/>
      <c r="U1127" s="421"/>
      <c r="V1127" s="421"/>
      <c r="W1127" s="421"/>
      <c r="X1127" s="421"/>
      <c r="Y1127" s="421"/>
      <c r="Z1127" s="421"/>
      <c r="AA1127" s="421"/>
      <c r="AB1127" s="421"/>
      <c r="AC1127" s="421"/>
      <c r="AD1127" s="421"/>
      <c r="AE1127" s="421"/>
      <c r="AF1127" s="421"/>
      <c r="AG1127" s="421"/>
      <c r="AH1127" s="421"/>
      <c r="AI1127" s="421"/>
      <c r="AJ1127" s="421"/>
      <c r="AK1127" s="421"/>
      <c r="AL1127" s="421"/>
      <c r="AM1127" s="421"/>
      <c r="AN1127" s="421"/>
      <c r="AO1127" s="421"/>
      <c r="AP1127" s="421"/>
      <c r="AQ1127" s="421"/>
      <c r="AR1127" s="421"/>
      <c r="AS1127" s="421"/>
      <c r="AT1127" s="421"/>
      <c r="AU1127" s="421"/>
      <c r="AV1127" s="421"/>
      <c r="AW1127" s="421"/>
      <c r="AX1127" s="421"/>
      <c r="AY1127" s="421"/>
      <c r="AZ1127" s="421"/>
      <c r="BA1127" s="421"/>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c r="BY1127" s="115"/>
      <c r="BZ1127" s="115"/>
      <c r="CA1127" s="115"/>
      <c r="CB1127" s="115"/>
      <c r="CC1127" s="115"/>
      <c r="CD1127" s="115"/>
      <c r="CE1127" s="115"/>
      <c r="CF1127" s="115"/>
      <c r="CG1127" s="115"/>
      <c r="CH1127" s="115"/>
      <c r="CI1127" s="115"/>
      <c r="CJ1127" s="115"/>
      <c r="CK1127" s="115"/>
      <c r="CL1127" s="115"/>
      <c r="CM1127" s="115"/>
      <c r="CN1127" s="115"/>
      <c r="CO1127" s="115"/>
      <c r="CP1127" s="115"/>
      <c r="CQ1127" s="115"/>
      <c r="CR1127" s="115"/>
      <c r="CS1127" s="115"/>
      <c r="CT1127" s="115"/>
      <c r="CU1127" s="115"/>
      <c r="CV1127" s="115"/>
      <c r="CW1127" s="115"/>
      <c r="CX1127" s="115"/>
      <c r="CY1127" s="115"/>
      <c r="CZ1127" s="115"/>
      <c r="DA1127" s="115"/>
      <c r="DB1127" s="115"/>
      <c r="DC1127" s="115"/>
      <c r="DD1127" s="115"/>
      <c r="DE1127" s="115"/>
      <c r="DF1127" s="115"/>
      <c r="DG1127" s="115"/>
    </row>
    <row r="1128" spans="1:111" ht="9" customHeight="1">
      <c r="C1128" s="416"/>
      <c r="D1128" s="416"/>
      <c r="E1128" s="416"/>
      <c r="F1128" s="416"/>
      <c r="G1128" s="416"/>
      <c r="H1128" s="416"/>
      <c r="I1128" s="60"/>
      <c r="J1128" s="421"/>
      <c r="K1128" s="421"/>
      <c r="L1128" s="421"/>
      <c r="M1128" s="421"/>
      <c r="N1128" s="421"/>
      <c r="O1128" s="421"/>
      <c r="P1128" s="421"/>
      <c r="Q1128" s="421"/>
      <c r="R1128" s="421"/>
      <c r="S1128" s="421"/>
      <c r="T1128" s="421"/>
      <c r="U1128" s="421"/>
      <c r="V1128" s="421"/>
      <c r="W1128" s="421"/>
      <c r="X1128" s="421"/>
      <c r="Y1128" s="421"/>
      <c r="Z1128" s="421"/>
      <c r="AA1128" s="421"/>
      <c r="AB1128" s="421"/>
      <c r="AC1128" s="421"/>
      <c r="AD1128" s="421"/>
      <c r="AE1128" s="421"/>
      <c r="AF1128" s="421"/>
      <c r="AG1128" s="421"/>
      <c r="AH1128" s="421"/>
      <c r="AI1128" s="421"/>
      <c r="AJ1128" s="421"/>
      <c r="AK1128" s="421"/>
      <c r="AL1128" s="421"/>
      <c r="AM1128" s="421"/>
      <c r="AN1128" s="421"/>
      <c r="AO1128" s="421"/>
      <c r="AP1128" s="421"/>
      <c r="AQ1128" s="421"/>
      <c r="AR1128" s="421"/>
      <c r="AS1128" s="421"/>
      <c r="AT1128" s="421"/>
      <c r="AU1128" s="421"/>
      <c r="AV1128" s="421"/>
      <c r="AW1128" s="421"/>
      <c r="AX1128" s="421"/>
      <c r="AY1128" s="421"/>
      <c r="AZ1128" s="421"/>
      <c r="BA1128" s="421"/>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c r="BY1128" s="115"/>
      <c r="BZ1128" s="115"/>
      <c r="CA1128" s="115"/>
      <c r="CB1128" s="115"/>
      <c r="CC1128" s="115"/>
      <c r="CD1128" s="115"/>
      <c r="CE1128" s="115"/>
      <c r="CF1128" s="115"/>
      <c r="CG1128" s="115"/>
      <c r="CH1128" s="115"/>
      <c r="CI1128" s="115"/>
      <c r="CJ1128" s="115"/>
      <c r="CK1128" s="115"/>
      <c r="CL1128" s="115"/>
      <c r="CM1128" s="115"/>
      <c r="CN1128" s="115"/>
      <c r="CO1128" s="115"/>
      <c r="CP1128" s="115"/>
      <c r="CQ1128" s="115"/>
      <c r="CR1128" s="115"/>
      <c r="CS1128" s="115"/>
      <c r="CT1128" s="115"/>
      <c r="CU1128" s="115"/>
      <c r="CV1128" s="115"/>
      <c r="CW1128" s="115"/>
      <c r="CX1128" s="115"/>
      <c r="CY1128" s="115"/>
      <c r="CZ1128" s="115"/>
      <c r="DA1128" s="115"/>
      <c r="DB1128" s="115"/>
      <c r="DC1128" s="115"/>
      <c r="DD1128" s="115"/>
      <c r="DE1128" s="115"/>
      <c r="DF1128" s="115"/>
      <c r="DG1128" s="115"/>
    </row>
    <row r="1129" spans="1:111" ht="9" customHeight="1">
      <c r="C1129" s="416"/>
      <c r="D1129" s="416"/>
      <c r="E1129" s="416"/>
      <c r="F1129" s="416"/>
      <c r="G1129" s="416"/>
      <c r="H1129" s="416"/>
      <c r="I1129" s="60"/>
      <c r="J1129" s="421"/>
      <c r="K1129" s="421"/>
      <c r="L1129" s="421"/>
      <c r="M1129" s="421"/>
      <c r="N1129" s="421"/>
      <c r="O1129" s="421"/>
      <c r="P1129" s="421"/>
      <c r="Q1129" s="421"/>
      <c r="R1129" s="421"/>
      <c r="S1129" s="421"/>
      <c r="T1129" s="421"/>
      <c r="U1129" s="421"/>
      <c r="V1129" s="421"/>
      <c r="W1129" s="421"/>
      <c r="X1129" s="421"/>
      <c r="Y1129" s="421"/>
      <c r="Z1129" s="421"/>
      <c r="AA1129" s="421"/>
      <c r="AB1129" s="421"/>
      <c r="AC1129" s="421"/>
      <c r="AD1129" s="421"/>
      <c r="AE1129" s="421"/>
      <c r="AF1129" s="421"/>
      <c r="AG1129" s="421"/>
      <c r="AH1129" s="421"/>
      <c r="AI1129" s="421"/>
      <c r="AJ1129" s="421"/>
      <c r="AK1129" s="421"/>
      <c r="AL1129" s="421"/>
      <c r="AM1129" s="421"/>
      <c r="AN1129" s="421"/>
      <c r="AO1129" s="421"/>
      <c r="AP1129" s="421"/>
      <c r="AQ1129" s="421"/>
      <c r="AR1129" s="421"/>
      <c r="AS1129" s="421"/>
      <c r="AT1129" s="421"/>
      <c r="AU1129" s="421"/>
      <c r="AV1129" s="421"/>
      <c r="AW1129" s="421"/>
      <c r="AX1129" s="421"/>
      <c r="AY1129" s="421"/>
      <c r="AZ1129" s="421"/>
      <c r="BA1129" s="421"/>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c r="BY1129" s="115"/>
      <c r="BZ1129" s="115"/>
      <c r="CA1129" s="115"/>
      <c r="CB1129" s="115"/>
      <c r="CC1129" s="115"/>
      <c r="CD1129" s="115"/>
      <c r="CE1129" s="115"/>
      <c r="CF1129" s="115"/>
      <c r="CG1129" s="115"/>
      <c r="CH1129" s="115"/>
      <c r="CI1129" s="115"/>
      <c r="CJ1129" s="115"/>
      <c r="CK1129" s="115"/>
      <c r="CL1129" s="115"/>
      <c r="CM1129" s="115"/>
      <c r="CN1129" s="115"/>
      <c r="CO1129" s="115"/>
      <c r="CP1129" s="115"/>
      <c r="CQ1129" s="115"/>
      <c r="CR1129" s="115"/>
      <c r="CS1129" s="115"/>
      <c r="CT1129" s="115"/>
      <c r="CU1129" s="115"/>
      <c r="CV1129" s="115"/>
      <c r="CW1129" s="115"/>
      <c r="CX1129" s="115"/>
      <c r="CY1129" s="115"/>
      <c r="CZ1129" s="115"/>
      <c r="DA1129" s="115"/>
      <c r="DB1129" s="115"/>
      <c r="DC1129" s="115"/>
      <c r="DD1129" s="115"/>
      <c r="DE1129" s="115"/>
      <c r="DF1129" s="115"/>
      <c r="DG1129" s="115"/>
    </row>
    <row r="1130" spans="1:111" ht="4.5" customHeight="1">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c r="BY1130" s="115"/>
      <c r="BZ1130" s="115"/>
      <c r="CA1130" s="115"/>
      <c r="CB1130" s="115"/>
      <c r="CC1130" s="115"/>
      <c r="CD1130" s="115"/>
      <c r="CE1130" s="115"/>
      <c r="CF1130" s="115"/>
      <c r="CG1130" s="115"/>
      <c r="CH1130" s="115"/>
      <c r="CI1130" s="115"/>
      <c r="CJ1130" s="115"/>
      <c r="CK1130" s="115"/>
      <c r="CL1130" s="115"/>
      <c r="CM1130" s="115"/>
      <c r="CN1130" s="115"/>
      <c r="CO1130" s="115"/>
      <c r="CP1130" s="115"/>
      <c r="CQ1130" s="115"/>
      <c r="CR1130" s="115"/>
      <c r="CS1130" s="115"/>
      <c r="CT1130" s="115"/>
      <c r="CU1130" s="115"/>
      <c r="CV1130" s="115"/>
      <c r="CW1130" s="115"/>
      <c r="CX1130" s="115"/>
      <c r="CY1130" s="115"/>
      <c r="CZ1130" s="115"/>
      <c r="DA1130" s="115"/>
      <c r="DB1130" s="115"/>
      <c r="DC1130" s="115"/>
      <c r="DD1130" s="115"/>
      <c r="DE1130" s="115"/>
      <c r="DF1130" s="115"/>
      <c r="DG1130" s="115"/>
    </row>
    <row r="1131" spans="1:111" ht="9" customHeight="1">
      <c r="C1131" s="416" t="str">
        <f>IF(C1125="","","Elemento de Despesa:")</f>
        <v/>
      </c>
      <c r="D1131" s="416"/>
      <c r="E1131" s="416"/>
      <c r="F1131" s="416"/>
      <c r="G1131" s="416"/>
      <c r="H1131" s="416"/>
      <c r="J1131" s="421"/>
      <c r="K1131" s="421"/>
      <c r="L1131" s="421"/>
      <c r="M1131" s="421"/>
      <c r="N1131" s="421"/>
      <c r="O1131" s="421"/>
      <c r="P1131" s="421"/>
      <c r="Q1131" s="421"/>
      <c r="R1131" s="421"/>
      <c r="S1131" s="421"/>
      <c r="T1131" s="421"/>
      <c r="U1131" s="421"/>
      <c r="V1131" s="421"/>
      <c r="W1131" s="421"/>
      <c r="X1131" s="421"/>
      <c r="Y1131" s="421"/>
      <c r="Z1131" s="421"/>
      <c r="AA1131" s="421"/>
      <c r="AB1131" s="421"/>
      <c r="AC1131" s="421"/>
      <c r="AD1131" s="421"/>
      <c r="AE1131" s="421"/>
      <c r="AF1131" s="421"/>
      <c r="AG1131" s="421"/>
      <c r="AH1131" s="421"/>
      <c r="AI1131" s="421"/>
      <c r="AJ1131" s="421"/>
      <c r="AK1131" s="421"/>
      <c r="AL1131" s="421"/>
      <c r="AM1131" s="421"/>
      <c r="AN1131" s="421"/>
      <c r="AO1131" s="421"/>
      <c r="AP1131" s="421"/>
      <c r="AQ1131" s="421"/>
      <c r="AR1131" s="421"/>
      <c r="AS1131" s="421"/>
      <c r="AT1131" s="421"/>
      <c r="AU1131" s="421"/>
      <c r="AV1131" s="421"/>
      <c r="AW1131" s="421"/>
      <c r="AX1131" s="421"/>
      <c r="AY1131" s="421"/>
      <c r="AZ1131" s="421"/>
      <c r="BA1131" s="421"/>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c r="BY1131" s="115"/>
      <c r="BZ1131" s="115"/>
      <c r="CA1131" s="115"/>
      <c r="CB1131" s="115"/>
      <c r="CC1131" s="115"/>
      <c r="CD1131" s="115"/>
      <c r="CE1131" s="115"/>
      <c r="CF1131" s="115"/>
      <c r="CG1131" s="115"/>
      <c r="CH1131" s="115"/>
      <c r="CI1131" s="115"/>
      <c r="CJ1131" s="115"/>
      <c r="CK1131" s="115"/>
      <c r="CL1131" s="115"/>
      <c r="CM1131" s="115"/>
      <c r="CN1131" s="115"/>
      <c r="CO1131" s="115"/>
      <c r="CP1131" s="115"/>
      <c r="CQ1131" s="115"/>
      <c r="CR1131" s="115"/>
      <c r="CS1131" s="115"/>
      <c r="CT1131" s="115"/>
      <c r="CU1131" s="115"/>
      <c r="CV1131" s="115"/>
      <c r="CW1131" s="115"/>
      <c r="CX1131" s="115"/>
      <c r="CY1131" s="115"/>
      <c r="CZ1131" s="115"/>
      <c r="DA1131" s="115"/>
      <c r="DB1131" s="115"/>
      <c r="DC1131" s="115"/>
      <c r="DD1131" s="115"/>
      <c r="DE1131" s="115"/>
      <c r="DF1131" s="115"/>
      <c r="DG1131" s="115"/>
    </row>
    <row r="1132" spans="1:111" ht="9" customHeight="1">
      <c r="C1132" s="416"/>
      <c r="D1132" s="416"/>
      <c r="E1132" s="416"/>
      <c r="F1132" s="416"/>
      <c r="G1132" s="416"/>
      <c r="H1132" s="416"/>
      <c r="J1132" s="421"/>
      <c r="K1132" s="421"/>
      <c r="L1132" s="421"/>
      <c r="M1132" s="421"/>
      <c r="N1132" s="421"/>
      <c r="O1132" s="421"/>
      <c r="P1132" s="421"/>
      <c r="Q1132" s="421"/>
      <c r="R1132" s="421"/>
      <c r="S1132" s="421"/>
      <c r="T1132" s="421"/>
      <c r="U1132" s="421"/>
      <c r="V1132" s="421"/>
      <c r="W1132" s="421"/>
      <c r="X1132" s="421"/>
      <c r="Y1132" s="421"/>
      <c r="Z1132" s="421"/>
      <c r="AA1132" s="421"/>
      <c r="AB1132" s="421"/>
      <c r="AC1132" s="421"/>
      <c r="AD1132" s="421"/>
      <c r="AE1132" s="421"/>
      <c r="AF1132" s="421"/>
      <c r="AG1132" s="421"/>
      <c r="AH1132" s="421"/>
      <c r="AI1132" s="421"/>
      <c r="AJ1132" s="421"/>
      <c r="AK1132" s="421"/>
      <c r="AL1132" s="421"/>
      <c r="AM1132" s="421"/>
      <c r="AN1132" s="421"/>
      <c r="AO1132" s="421"/>
      <c r="AP1132" s="421"/>
      <c r="AQ1132" s="421"/>
      <c r="AR1132" s="421"/>
      <c r="AS1132" s="421"/>
      <c r="AT1132" s="421"/>
      <c r="AU1132" s="421"/>
      <c r="AV1132" s="421"/>
      <c r="AW1132" s="421"/>
      <c r="AX1132" s="421"/>
      <c r="AY1132" s="421"/>
      <c r="AZ1132" s="421"/>
      <c r="BA1132" s="421"/>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c r="BY1132" s="115"/>
      <c r="BZ1132" s="115"/>
      <c r="CA1132" s="115"/>
      <c r="CB1132" s="115"/>
      <c r="CC1132" s="115"/>
      <c r="CD1132" s="115"/>
      <c r="CE1132" s="115"/>
      <c r="CF1132" s="115"/>
      <c r="CG1132" s="115"/>
      <c r="CH1132" s="115"/>
      <c r="CI1132" s="115"/>
      <c r="CJ1132" s="115"/>
      <c r="CK1132" s="115"/>
      <c r="CL1132" s="115"/>
      <c r="CM1132" s="115"/>
      <c r="CN1132" s="115"/>
      <c r="CO1132" s="115"/>
      <c r="CP1132" s="115"/>
      <c r="CQ1132" s="115"/>
      <c r="CR1132" s="115"/>
      <c r="CS1132" s="115"/>
      <c r="CT1132" s="115"/>
      <c r="CU1132" s="115"/>
      <c r="CV1132" s="115"/>
      <c r="CW1132" s="115"/>
      <c r="CX1132" s="115"/>
      <c r="CY1132" s="115"/>
      <c r="CZ1132" s="115"/>
      <c r="DA1132" s="115"/>
      <c r="DB1132" s="115"/>
      <c r="DC1132" s="115"/>
      <c r="DD1132" s="115"/>
      <c r="DE1132" s="115"/>
      <c r="DF1132" s="115"/>
      <c r="DG1132" s="115"/>
    </row>
    <row r="1133" spans="1:111" ht="9" customHeight="1">
      <c r="C1133" s="416"/>
      <c r="D1133" s="416"/>
      <c r="E1133" s="416"/>
      <c r="F1133" s="416"/>
      <c r="G1133" s="416"/>
      <c r="H1133" s="416"/>
      <c r="J1133" s="421"/>
      <c r="K1133" s="421"/>
      <c r="L1133" s="421"/>
      <c r="M1133" s="421"/>
      <c r="N1133" s="421"/>
      <c r="O1133" s="421"/>
      <c r="P1133" s="421"/>
      <c r="Q1133" s="421"/>
      <c r="R1133" s="421"/>
      <c r="S1133" s="421"/>
      <c r="T1133" s="421"/>
      <c r="U1133" s="421"/>
      <c r="V1133" s="421"/>
      <c r="W1133" s="421"/>
      <c r="X1133" s="421"/>
      <c r="Y1133" s="421"/>
      <c r="Z1133" s="421"/>
      <c r="AA1133" s="421"/>
      <c r="AB1133" s="421"/>
      <c r="AC1133" s="421"/>
      <c r="AD1133" s="421"/>
      <c r="AE1133" s="421"/>
      <c r="AF1133" s="421"/>
      <c r="AG1133" s="421"/>
      <c r="AH1133" s="421"/>
      <c r="AI1133" s="421"/>
      <c r="AJ1133" s="421"/>
      <c r="AK1133" s="421"/>
      <c r="AL1133" s="421"/>
      <c r="AM1133" s="421"/>
      <c r="AN1133" s="421"/>
      <c r="AO1133" s="421"/>
      <c r="AP1133" s="421"/>
      <c r="AQ1133" s="421"/>
      <c r="AR1133" s="421"/>
      <c r="AS1133" s="421"/>
      <c r="AT1133" s="421"/>
      <c r="AU1133" s="421"/>
      <c r="AV1133" s="421"/>
      <c r="AW1133" s="421"/>
      <c r="AX1133" s="421"/>
      <c r="AY1133" s="421"/>
      <c r="AZ1133" s="421"/>
      <c r="BA1133" s="421"/>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c r="BY1133" s="115"/>
      <c r="BZ1133" s="115"/>
      <c r="CA1133" s="115"/>
      <c r="CB1133" s="115"/>
      <c r="CC1133" s="115"/>
      <c r="CD1133" s="115"/>
      <c r="CE1133" s="115"/>
      <c r="CF1133" s="115"/>
      <c r="CG1133" s="115"/>
      <c r="CH1133" s="115"/>
      <c r="CI1133" s="115"/>
      <c r="CJ1133" s="115"/>
      <c r="CK1133" s="115"/>
      <c r="CL1133" s="115"/>
      <c r="CM1133" s="115"/>
      <c r="CN1133" s="115"/>
      <c r="CO1133" s="115"/>
      <c r="CP1133" s="115"/>
      <c r="CQ1133" s="115"/>
      <c r="CR1133" s="115"/>
      <c r="CS1133" s="115"/>
      <c r="CT1133" s="115"/>
      <c r="CU1133" s="115"/>
      <c r="CV1133" s="115"/>
      <c r="CW1133" s="115"/>
      <c r="CX1133" s="115"/>
      <c r="CY1133" s="115"/>
      <c r="CZ1133" s="115"/>
      <c r="DA1133" s="115"/>
      <c r="DB1133" s="115"/>
      <c r="DC1133" s="115"/>
      <c r="DD1133" s="115"/>
      <c r="DE1133" s="115"/>
      <c r="DF1133" s="115"/>
      <c r="DG1133" s="115"/>
    </row>
    <row r="1134" spans="1:111" ht="4.5" customHeight="1">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c r="BY1134" s="115"/>
      <c r="BZ1134" s="115"/>
      <c r="CA1134" s="115"/>
      <c r="CB1134" s="115"/>
      <c r="CC1134" s="115"/>
      <c r="CD1134" s="115"/>
      <c r="CE1134" s="115"/>
      <c r="CF1134" s="115"/>
      <c r="CG1134" s="115"/>
      <c r="CH1134" s="115"/>
      <c r="CI1134" s="115"/>
      <c r="CJ1134" s="115"/>
      <c r="CK1134" s="115"/>
      <c r="CL1134" s="115"/>
      <c r="CM1134" s="115"/>
      <c r="CN1134" s="115"/>
      <c r="CO1134" s="115"/>
      <c r="CP1134" s="115"/>
      <c r="CQ1134" s="115"/>
      <c r="CR1134" s="115"/>
      <c r="CS1134" s="115"/>
      <c r="CT1134" s="115"/>
      <c r="CU1134" s="115"/>
      <c r="CV1134" s="115"/>
      <c r="CW1134" s="115"/>
      <c r="CX1134" s="115"/>
      <c r="CY1134" s="115"/>
      <c r="CZ1134" s="115"/>
      <c r="DA1134" s="115"/>
      <c r="DB1134" s="115"/>
      <c r="DC1134" s="115"/>
      <c r="DD1134" s="115"/>
      <c r="DE1134" s="115"/>
      <c r="DF1134" s="115"/>
      <c r="DG1134" s="115"/>
    </row>
    <row r="1135" spans="1:111" ht="9" customHeight="1">
      <c r="A1135" s="61" t="str">
        <f>CONCATENATE(Q1135,AC1135)</f>
        <v/>
      </c>
      <c r="J1135" s="416" t="str">
        <f>IF(C1125="","","Meta Vinculada:")</f>
        <v/>
      </c>
      <c r="K1135" s="416"/>
      <c r="L1135" s="416"/>
      <c r="M1135" s="416"/>
      <c r="N1135" s="416"/>
      <c r="O1135" s="416"/>
      <c r="Q1135" s="417"/>
      <c r="R1135" s="417"/>
      <c r="S1135" s="417"/>
      <c r="T1135" s="417"/>
      <c r="U1135" s="56"/>
      <c r="V1135" s="416" t="str">
        <f>IF(C1125="","","Etapa Vinculada:")</f>
        <v/>
      </c>
      <c r="W1135" s="416"/>
      <c r="X1135" s="416"/>
      <c r="Y1135" s="416"/>
      <c r="Z1135" s="416"/>
      <c r="AA1135" s="416"/>
      <c r="AC1135" s="417"/>
      <c r="AD1135" s="417"/>
      <c r="AE1135" s="417"/>
      <c r="AF1135" s="417"/>
      <c r="AG1135" s="56"/>
      <c r="AH1135" s="56"/>
      <c r="AI1135" s="56"/>
      <c r="AJ1135" s="56"/>
      <c r="AK1135" s="141"/>
      <c r="AL1135" s="141"/>
      <c r="AM1135" s="141"/>
      <c r="AN1135" s="141"/>
      <c r="AO1135" s="140"/>
      <c r="AP1135" s="140"/>
      <c r="AQ1135" s="140"/>
      <c r="AR1135" s="140"/>
      <c r="AS1135" s="142"/>
      <c r="AT1135" s="142"/>
      <c r="AU1135" s="142"/>
      <c r="AV1135" s="142"/>
      <c r="AW1135" s="140"/>
      <c r="AX1135" s="140"/>
      <c r="AY1135" s="140"/>
      <c r="AZ1135" s="140"/>
      <c r="BA1135" s="140"/>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c r="BY1135" s="115"/>
      <c r="BZ1135" s="115"/>
      <c r="CA1135" s="115"/>
      <c r="CB1135" s="115"/>
      <c r="CC1135" s="115"/>
      <c r="CD1135" s="115"/>
      <c r="CE1135" s="115"/>
      <c r="CF1135" s="115"/>
      <c r="CG1135" s="115"/>
      <c r="CH1135" s="115"/>
      <c r="CI1135" s="115"/>
      <c r="CJ1135" s="115"/>
      <c r="CK1135" s="115"/>
      <c r="CL1135" s="115"/>
      <c r="CM1135" s="115"/>
      <c r="CN1135" s="115"/>
      <c r="CO1135" s="115"/>
      <c r="CP1135" s="115"/>
      <c r="CQ1135" s="115"/>
      <c r="CR1135" s="115"/>
      <c r="CS1135" s="115"/>
      <c r="CT1135" s="115"/>
      <c r="CU1135" s="115"/>
      <c r="CV1135" s="115"/>
      <c r="CW1135" s="115"/>
      <c r="CX1135" s="115"/>
      <c r="CY1135" s="115"/>
      <c r="CZ1135" s="115"/>
      <c r="DA1135" s="115"/>
      <c r="DB1135" s="115"/>
      <c r="DC1135" s="115"/>
      <c r="DD1135" s="115"/>
      <c r="DE1135" s="115"/>
      <c r="DF1135" s="115"/>
      <c r="DG1135" s="115"/>
    </row>
    <row r="1136" spans="1:111" ht="9" customHeight="1">
      <c r="B1136" s="55"/>
      <c r="C1136" s="55"/>
      <c r="D1136" s="56"/>
      <c r="E1136" s="56"/>
      <c r="F1136" s="56"/>
      <c r="G1136" s="56"/>
      <c r="H1136" s="56"/>
      <c r="I1136" s="56"/>
      <c r="J1136" s="416"/>
      <c r="K1136" s="416"/>
      <c r="L1136" s="416"/>
      <c r="M1136" s="416"/>
      <c r="N1136" s="416"/>
      <c r="O1136" s="416"/>
      <c r="Q1136" s="417"/>
      <c r="R1136" s="417"/>
      <c r="S1136" s="417"/>
      <c r="T1136" s="417"/>
      <c r="U1136" s="56"/>
      <c r="V1136" s="416"/>
      <c r="W1136" s="416"/>
      <c r="X1136" s="416"/>
      <c r="Y1136" s="416"/>
      <c r="Z1136" s="416"/>
      <c r="AA1136" s="416"/>
      <c r="AC1136" s="417"/>
      <c r="AD1136" s="417"/>
      <c r="AE1136" s="417"/>
      <c r="AF1136" s="417"/>
      <c r="AG1136" s="56"/>
      <c r="AH1136" s="56"/>
      <c r="AI1136" s="56"/>
      <c r="AJ1136" s="56"/>
      <c r="AK1136" s="141"/>
      <c r="AL1136" s="141"/>
      <c r="AM1136" s="141"/>
      <c r="AN1136" s="141"/>
      <c r="AO1136" s="140"/>
      <c r="AP1136" s="140"/>
      <c r="AQ1136" s="140"/>
      <c r="AR1136" s="140"/>
      <c r="AS1136" s="142"/>
      <c r="AT1136" s="142"/>
      <c r="AU1136" s="142"/>
      <c r="AV1136" s="142"/>
      <c r="AW1136" s="140"/>
      <c r="AX1136" s="140"/>
      <c r="AY1136" s="140"/>
      <c r="AZ1136" s="140"/>
      <c r="BA1136" s="140"/>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c r="BY1136" s="115"/>
      <c r="BZ1136" s="115"/>
      <c r="CA1136" s="115"/>
      <c r="CB1136" s="115"/>
      <c r="CC1136" s="115"/>
      <c r="CD1136" s="115"/>
      <c r="CE1136" s="115"/>
      <c r="CF1136" s="115"/>
      <c r="CG1136" s="115"/>
      <c r="CH1136" s="115"/>
      <c r="CI1136" s="115"/>
      <c r="CJ1136" s="115"/>
      <c r="CK1136" s="115"/>
      <c r="CL1136" s="115"/>
      <c r="CM1136" s="115"/>
      <c r="CN1136" s="115"/>
      <c r="CO1136" s="115"/>
      <c r="CP1136" s="115"/>
      <c r="CQ1136" s="115"/>
      <c r="CR1136" s="115"/>
      <c r="CS1136" s="115"/>
      <c r="CT1136" s="115"/>
      <c r="CU1136" s="115"/>
      <c r="CV1136" s="115"/>
      <c r="CW1136" s="115"/>
      <c r="CX1136" s="115"/>
      <c r="CY1136" s="115"/>
      <c r="CZ1136" s="115"/>
      <c r="DA1136" s="115"/>
      <c r="DB1136" s="115"/>
      <c r="DC1136" s="115"/>
      <c r="DD1136" s="115"/>
      <c r="DE1136" s="115"/>
      <c r="DF1136" s="115"/>
      <c r="DG1136" s="115"/>
    </row>
    <row r="1137" spans="1:111" ht="9" customHeight="1">
      <c r="Q1137" s="417"/>
      <c r="R1137" s="417"/>
      <c r="S1137" s="417"/>
      <c r="T1137" s="417"/>
      <c r="AC1137" s="417"/>
      <c r="AD1137" s="417"/>
      <c r="AE1137" s="417"/>
      <c r="AF1137" s="417"/>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c r="BY1137" s="115"/>
      <c r="BZ1137" s="115"/>
      <c r="CA1137" s="115"/>
      <c r="CB1137" s="115"/>
      <c r="CC1137" s="115"/>
      <c r="CD1137" s="115"/>
      <c r="CE1137" s="115"/>
      <c r="CF1137" s="115"/>
      <c r="CG1137" s="115"/>
      <c r="CH1137" s="115"/>
      <c r="CI1137" s="115"/>
      <c r="CJ1137" s="115"/>
      <c r="CK1137" s="115"/>
      <c r="CL1137" s="115"/>
      <c r="CM1137" s="115"/>
      <c r="CN1137" s="115"/>
      <c r="CO1137" s="115"/>
      <c r="CP1137" s="115"/>
      <c r="CQ1137" s="115"/>
      <c r="CR1137" s="115"/>
      <c r="CS1137" s="115"/>
      <c r="CT1137" s="115"/>
      <c r="CU1137" s="115"/>
      <c r="CV1137" s="115"/>
      <c r="CW1137" s="115"/>
      <c r="CX1137" s="115"/>
      <c r="CY1137" s="115"/>
      <c r="CZ1137" s="115"/>
      <c r="DA1137" s="115"/>
      <c r="DB1137" s="115"/>
      <c r="DC1137" s="115"/>
      <c r="DD1137" s="115"/>
      <c r="DE1137" s="115"/>
      <c r="DF1137" s="115"/>
      <c r="DG1137" s="115"/>
    </row>
    <row r="1138" spans="1:111" ht="4.5" customHeight="1">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c r="BY1138" s="115"/>
      <c r="BZ1138" s="115"/>
      <c r="CA1138" s="115"/>
      <c r="CB1138" s="115"/>
      <c r="CC1138" s="115"/>
      <c r="CD1138" s="115"/>
      <c r="CE1138" s="115"/>
      <c r="CF1138" s="115"/>
      <c r="CG1138" s="115"/>
      <c r="CH1138" s="115"/>
      <c r="CI1138" s="115"/>
      <c r="CJ1138" s="115"/>
      <c r="CK1138" s="115"/>
      <c r="CL1138" s="115"/>
      <c r="CM1138" s="115"/>
      <c r="CN1138" s="115"/>
      <c r="CO1138" s="115"/>
      <c r="CP1138" s="115"/>
      <c r="CQ1138" s="115"/>
      <c r="CR1138" s="115"/>
      <c r="CS1138" s="115"/>
      <c r="CT1138" s="115"/>
      <c r="CU1138" s="115"/>
      <c r="CV1138" s="115"/>
      <c r="CW1138" s="115"/>
      <c r="CX1138" s="115"/>
      <c r="CY1138" s="115"/>
      <c r="CZ1138" s="115"/>
      <c r="DA1138" s="115"/>
      <c r="DB1138" s="115"/>
      <c r="DC1138" s="115"/>
      <c r="DD1138" s="115"/>
      <c r="DE1138" s="115"/>
      <c r="DF1138" s="115"/>
      <c r="DG1138" s="115"/>
    </row>
    <row r="1139" spans="1:111" ht="9" customHeight="1">
      <c r="A1139" s="154"/>
      <c r="B1139" s="154"/>
      <c r="C1139" s="154"/>
      <c r="D1139" s="154"/>
      <c r="E1139" s="154"/>
      <c r="F1139" s="154"/>
      <c r="G1139" s="154"/>
      <c r="H1139" s="154"/>
      <c r="I1139" s="154"/>
      <c r="J1139" s="416" t="str">
        <f>IF(C1125="","","Quantidade:")</f>
        <v/>
      </c>
      <c r="K1139" s="416"/>
      <c r="L1139" s="416"/>
      <c r="M1139" s="416"/>
      <c r="N1139" s="416"/>
      <c r="O1139" s="416"/>
      <c r="P1139" s="154"/>
      <c r="Q1139" s="417"/>
      <c r="R1139" s="417"/>
      <c r="S1139" s="417"/>
      <c r="T1139" s="417"/>
      <c r="U1139" s="154"/>
      <c r="V1139" s="416" t="str">
        <f>IF(C1125="","","Unidade:")</f>
        <v/>
      </c>
      <c r="W1139" s="416"/>
      <c r="X1139" s="416"/>
      <c r="Y1139" s="416"/>
      <c r="Z1139" s="416"/>
      <c r="AA1139" s="416"/>
      <c r="AB1139" s="154"/>
      <c r="AC1139" s="418"/>
      <c r="AD1139" s="418"/>
      <c r="AE1139" s="418"/>
      <c r="AF1139" s="418"/>
      <c r="AG1139" s="418"/>
      <c r="AH1139" s="418"/>
      <c r="AI1139" s="418"/>
      <c r="AJ1139" s="418"/>
      <c r="AK1139" s="418"/>
      <c r="AL1139" s="418"/>
      <c r="AM1139" s="418"/>
      <c r="AN1139" s="418"/>
      <c r="AO1139" s="418"/>
      <c r="AP1139" s="418"/>
      <c r="AQ1139" s="418"/>
      <c r="AR1139" s="418"/>
      <c r="AS1139" s="418"/>
      <c r="AT1139" s="418"/>
      <c r="AU1139" s="418"/>
      <c r="AV1139" s="418"/>
      <c r="AW1139" s="418"/>
      <c r="AX1139" s="418"/>
      <c r="AY1139" s="418"/>
      <c r="AZ1139" s="418"/>
      <c r="BA1139" s="418"/>
      <c r="BB1139" s="154"/>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c r="BY1139" s="115"/>
      <c r="BZ1139" s="115"/>
      <c r="CA1139" s="115"/>
      <c r="CB1139" s="115"/>
      <c r="CC1139" s="115"/>
      <c r="CD1139" s="115"/>
      <c r="CE1139" s="115"/>
      <c r="CF1139" s="115"/>
      <c r="CG1139" s="115"/>
      <c r="CH1139" s="115"/>
      <c r="CI1139" s="115"/>
      <c r="CJ1139" s="115"/>
      <c r="CK1139" s="115"/>
      <c r="CL1139" s="115"/>
      <c r="CM1139" s="115"/>
      <c r="CN1139" s="115"/>
      <c r="CO1139" s="115"/>
      <c r="CP1139" s="115"/>
      <c r="CQ1139" s="115"/>
      <c r="CR1139" s="115"/>
      <c r="CS1139" s="115"/>
      <c r="CT1139" s="115"/>
      <c r="CU1139" s="115"/>
      <c r="CV1139" s="115"/>
      <c r="CW1139" s="115"/>
      <c r="CX1139" s="115"/>
      <c r="CY1139" s="115"/>
      <c r="CZ1139" s="115"/>
      <c r="DA1139" s="115"/>
      <c r="DB1139" s="115"/>
      <c r="DC1139" s="115"/>
      <c r="DD1139" s="115"/>
      <c r="DE1139" s="115"/>
      <c r="DF1139" s="115"/>
      <c r="DG1139" s="115"/>
    </row>
    <row r="1140" spans="1:111" ht="9" customHeight="1">
      <c r="A1140" s="154"/>
      <c r="B1140" s="154"/>
      <c r="C1140" s="154"/>
      <c r="D1140" s="154"/>
      <c r="E1140" s="154"/>
      <c r="F1140" s="154"/>
      <c r="G1140" s="154"/>
      <c r="H1140" s="154"/>
      <c r="I1140" s="154"/>
      <c r="J1140" s="416"/>
      <c r="K1140" s="416"/>
      <c r="L1140" s="416"/>
      <c r="M1140" s="416"/>
      <c r="N1140" s="416"/>
      <c r="O1140" s="416"/>
      <c r="P1140" s="154"/>
      <c r="Q1140" s="417"/>
      <c r="R1140" s="417"/>
      <c r="S1140" s="417"/>
      <c r="T1140" s="417"/>
      <c r="U1140" s="154"/>
      <c r="V1140" s="416"/>
      <c r="W1140" s="416"/>
      <c r="X1140" s="416"/>
      <c r="Y1140" s="416"/>
      <c r="Z1140" s="416"/>
      <c r="AA1140" s="416"/>
      <c r="AB1140" s="154"/>
      <c r="AC1140" s="418"/>
      <c r="AD1140" s="418"/>
      <c r="AE1140" s="418"/>
      <c r="AF1140" s="418"/>
      <c r="AG1140" s="418"/>
      <c r="AH1140" s="418"/>
      <c r="AI1140" s="418"/>
      <c r="AJ1140" s="418"/>
      <c r="AK1140" s="418"/>
      <c r="AL1140" s="418"/>
      <c r="AM1140" s="418"/>
      <c r="AN1140" s="418"/>
      <c r="AO1140" s="418"/>
      <c r="AP1140" s="418"/>
      <c r="AQ1140" s="418"/>
      <c r="AR1140" s="418"/>
      <c r="AS1140" s="418"/>
      <c r="AT1140" s="418"/>
      <c r="AU1140" s="418"/>
      <c r="AV1140" s="418"/>
      <c r="AW1140" s="418"/>
      <c r="AX1140" s="418"/>
      <c r="AY1140" s="418"/>
      <c r="AZ1140" s="418"/>
      <c r="BA1140" s="418"/>
      <c r="BB1140" s="154"/>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c r="BY1140" s="115"/>
      <c r="BZ1140" s="115"/>
      <c r="CA1140" s="115"/>
      <c r="CB1140" s="115"/>
      <c r="CC1140" s="115"/>
      <c r="CD1140" s="115"/>
      <c r="CE1140" s="115"/>
      <c r="CF1140" s="115"/>
      <c r="CG1140" s="115"/>
      <c r="CH1140" s="115"/>
      <c r="CI1140" s="115"/>
      <c r="CJ1140" s="115"/>
      <c r="CK1140" s="115"/>
      <c r="CL1140" s="115"/>
      <c r="CM1140" s="115"/>
      <c r="CN1140" s="115"/>
      <c r="CO1140" s="115"/>
      <c r="CP1140" s="115"/>
      <c r="CQ1140" s="115"/>
      <c r="CR1140" s="115"/>
      <c r="CS1140" s="115"/>
      <c r="CT1140" s="115"/>
      <c r="CU1140" s="115"/>
      <c r="CV1140" s="115"/>
      <c r="CW1140" s="115"/>
      <c r="CX1140" s="115"/>
      <c r="CY1140" s="115"/>
      <c r="CZ1140" s="115"/>
      <c r="DA1140" s="115"/>
      <c r="DB1140" s="115"/>
      <c r="DC1140" s="115"/>
      <c r="DD1140" s="115"/>
      <c r="DE1140" s="115"/>
      <c r="DF1140" s="115"/>
      <c r="DG1140" s="115"/>
    </row>
    <row r="1141" spans="1:111" ht="9" customHeight="1">
      <c r="A1141" s="154"/>
      <c r="B1141" s="154"/>
      <c r="C1141" s="154"/>
      <c r="D1141" s="154"/>
      <c r="E1141" s="154"/>
      <c r="F1141" s="154"/>
      <c r="G1141" s="154"/>
      <c r="H1141" s="154"/>
      <c r="I1141" s="154"/>
      <c r="J1141" s="154"/>
      <c r="K1141" s="154"/>
      <c r="L1141" s="154"/>
      <c r="M1141" s="154"/>
      <c r="N1141" s="154"/>
      <c r="O1141" s="154"/>
      <c r="P1141" s="154"/>
      <c r="Q1141" s="417"/>
      <c r="R1141" s="417"/>
      <c r="S1141" s="417"/>
      <c r="T1141" s="417"/>
      <c r="U1141" s="154"/>
      <c r="V1141" s="154"/>
      <c r="W1141" s="154"/>
      <c r="X1141" s="154"/>
      <c r="Y1141" s="154"/>
      <c r="Z1141" s="154"/>
      <c r="AA1141" s="154"/>
      <c r="AB1141" s="154"/>
      <c r="AC1141" s="418"/>
      <c r="AD1141" s="418"/>
      <c r="AE1141" s="418"/>
      <c r="AF1141" s="418"/>
      <c r="AG1141" s="418"/>
      <c r="AH1141" s="418"/>
      <c r="AI1141" s="418"/>
      <c r="AJ1141" s="418"/>
      <c r="AK1141" s="418"/>
      <c r="AL1141" s="418"/>
      <c r="AM1141" s="418"/>
      <c r="AN1141" s="418"/>
      <c r="AO1141" s="418"/>
      <c r="AP1141" s="418"/>
      <c r="AQ1141" s="418"/>
      <c r="AR1141" s="418"/>
      <c r="AS1141" s="418"/>
      <c r="AT1141" s="418"/>
      <c r="AU1141" s="418"/>
      <c r="AV1141" s="418"/>
      <c r="AW1141" s="418"/>
      <c r="AX1141" s="418"/>
      <c r="AY1141" s="418"/>
      <c r="AZ1141" s="418"/>
      <c r="BA1141" s="418"/>
      <c r="BB1141" s="154"/>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c r="BY1141" s="115"/>
      <c r="BZ1141" s="115"/>
      <c r="CA1141" s="115"/>
      <c r="CB1141" s="115"/>
      <c r="CC1141" s="115"/>
      <c r="CD1141" s="115"/>
      <c r="CE1141" s="115"/>
      <c r="CF1141" s="115"/>
      <c r="CG1141" s="115"/>
      <c r="CH1141" s="115"/>
      <c r="CI1141" s="115"/>
      <c r="CJ1141" s="115"/>
      <c r="CK1141" s="115"/>
      <c r="CL1141" s="115"/>
      <c r="CM1141" s="115"/>
      <c r="CN1141" s="115"/>
      <c r="CO1141" s="115"/>
      <c r="CP1141" s="115"/>
      <c r="CQ1141" s="115"/>
      <c r="CR1141" s="115"/>
      <c r="CS1141" s="115"/>
      <c r="CT1141" s="115"/>
      <c r="CU1141" s="115"/>
      <c r="CV1141" s="115"/>
      <c r="CW1141" s="115"/>
      <c r="CX1141" s="115"/>
      <c r="CY1141" s="115"/>
      <c r="CZ1141" s="115"/>
      <c r="DA1141" s="115"/>
      <c r="DB1141" s="115"/>
      <c r="DC1141" s="115"/>
      <c r="DD1141" s="115"/>
      <c r="DE1141" s="115"/>
      <c r="DF1141" s="115"/>
      <c r="DG1141" s="115"/>
    </row>
    <row r="1142" spans="1:111" ht="4.5" customHeight="1">
      <c r="A1142" s="154"/>
      <c r="B1142" s="154"/>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c r="BY1142" s="115"/>
      <c r="BZ1142" s="115"/>
      <c r="CA1142" s="115"/>
      <c r="CB1142" s="115"/>
      <c r="CC1142" s="115"/>
      <c r="CD1142" s="115"/>
      <c r="CE1142" s="115"/>
      <c r="CF1142" s="115"/>
      <c r="CG1142" s="115"/>
      <c r="CH1142" s="115"/>
      <c r="CI1142" s="115"/>
      <c r="CJ1142" s="115"/>
      <c r="CK1142" s="115"/>
      <c r="CL1142" s="115"/>
      <c r="CM1142" s="115"/>
      <c r="CN1142" s="115"/>
      <c r="CO1142" s="115"/>
      <c r="CP1142" s="115"/>
      <c r="CQ1142" s="115"/>
      <c r="CR1142" s="115"/>
      <c r="CS1142" s="115"/>
      <c r="CT1142" s="115"/>
      <c r="CU1142" s="115"/>
      <c r="CV1142" s="115"/>
      <c r="CW1142" s="115"/>
      <c r="CX1142" s="115"/>
      <c r="CY1142" s="115"/>
      <c r="CZ1142" s="115"/>
      <c r="DA1142" s="115"/>
      <c r="DB1142" s="115"/>
      <c r="DC1142" s="115"/>
      <c r="DD1142" s="115"/>
      <c r="DE1142" s="115"/>
      <c r="DF1142" s="115"/>
      <c r="DG1142" s="115"/>
    </row>
    <row r="1143" spans="1:111" ht="9" customHeight="1">
      <c r="A1143" s="154"/>
      <c r="B1143" s="154"/>
      <c r="C1143" s="154"/>
      <c r="D1143" s="154"/>
      <c r="E1143" s="154"/>
      <c r="F1143" s="154"/>
      <c r="G1143" s="154"/>
      <c r="H1143" s="154"/>
      <c r="I1143" s="154"/>
      <c r="J1143" s="416" t="str">
        <f>IF(C1125="","","Valor Unitário (R$):")</f>
        <v/>
      </c>
      <c r="K1143" s="416"/>
      <c r="L1143" s="416"/>
      <c r="M1143" s="416"/>
      <c r="N1143" s="416"/>
      <c r="O1143" s="416"/>
      <c r="P1143" s="154"/>
      <c r="Q1143" s="419"/>
      <c r="R1143" s="419"/>
      <c r="S1143" s="419"/>
      <c r="T1143" s="419"/>
      <c r="U1143" s="419"/>
      <c r="V1143" s="419"/>
      <c r="W1143" s="419"/>
      <c r="X1143" s="419"/>
      <c r="Y1143" s="154"/>
      <c r="Z1143" s="416" t="str">
        <f>IF(C1125="","",IF(J1131="52 Equipamentos e Material Permanente","Tempo de Uso:",""))</f>
        <v/>
      </c>
      <c r="AA1143" s="416"/>
      <c r="AB1143" s="416"/>
      <c r="AC1143" s="416"/>
      <c r="AD1143" s="416"/>
      <c r="AE1143" s="416"/>
      <c r="AF1143" s="154"/>
      <c r="AG1143" s="420"/>
      <c r="AH1143" s="420"/>
      <c r="AI1143" s="420"/>
      <c r="AJ1143" s="420"/>
      <c r="AK1143" s="420"/>
      <c r="AL1143" s="420"/>
      <c r="AM1143" s="420"/>
      <c r="AN1143" s="420"/>
      <c r="AO1143" s="420"/>
      <c r="AP1143" s="420"/>
      <c r="AQ1143" s="420"/>
      <c r="AR1143" s="420"/>
      <c r="AS1143" s="420"/>
      <c r="AT1143" s="420"/>
      <c r="AU1143" s="420"/>
      <c r="AV1143" s="420"/>
      <c r="AW1143" s="420"/>
      <c r="AX1143" s="420"/>
      <c r="AY1143" s="420"/>
      <c r="AZ1143" s="420"/>
      <c r="BA1143" s="420"/>
      <c r="BB1143" s="154"/>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c r="BY1143" s="115"/>
      <c r="BZ1143" s="115"/>
      <c r="CA1143" s="115"/>
      <c r="CB1143" s="115"/>
      <c r="CC1143" s="115"/>
      <c r="CD1143" s="115"/>
      <c r="CE1143" s="115"/>
      <c r="CF1143" s="115"/>
      <c r="CG1143" s="115"/>
      <c r="CH1143" s="115"/>
      <c r="CI1143" s="115"/>
      <c r="CJ1143" s="115"/>
      <c r="CK1143" s="115"/>
      <c r="CL1143" s="115"/>
      <c r="CM1143" s="115"/>
      <c r="CN1143" s="115"/>
      <c r="CO1143" s="115"/>
      <c r="CP1143" s="115"/>
      <c r="CQ1143" s="115"/>
      <c r="CR1143" s="115"/>
      <c r="CS1143" s="115"/>
      <c r="CT1143" s="115"/>
      <c r="CU1143" s="115"/>
      <c r="CV1143" s="115"/>
      <c r="CW1143" s="115"/>
      <c r="CX1143" s="115"/>
      <c r="CY1143" s="115"/>
      <c r="CZ1143" s="115"/>
      <c r="DA1143" s="115"/>
      <c r="DB1143" s="115"/>
      <c r="DC1143" s="115"/>
      <c r="DD1143" s="115"/>
      <c r="DE1143" s="115"/>
      <c r="DF1143" s="115"/>
      <c r="DG1143" s="115"/>
    </row>
    <row r="1144" spans="1:111" ht="9" customHeight="1">
      <c r="A1144" s="154"/>
      <c r="B1144" s="154"/>
      <c r="C1144" s="154"/>
      <c r="D1144" s="154"/>
      <c r="E1144" s="154"/>
      <c r="F1144" s="154"/>
      <c r="G1144" s="154"/>
      <c r="H1144" s="154"/>
      <c r="I1144" s="154"/>
      <c r="J1144" s="416"/>
      <c r="K1144" s="416"/>
      <c r="L1144" s="416"/>
      <c r="M1144" s="416"/>
      <c r="N1144" s="416"/>
      <c r="O1144" s="416"/>
      <c r="P1144" s="154"/>
      <c r="Q1144" s="419"/>
      <c r="R1144" s="419"/>
      <c r="S1144" s="419"/>
      <c r="T1144" s="419"/>
      <c r="U1144" s="419"/>
      <c r="V1144" s="419"/>
      <c r="W1144" s="419"/>
      <c r="X1144" s="419"/>
      <c r="Y1144" s="154"/>
      <c r="Z1144" s="416"/>
      <c r="AA1144" s="416"/>
      <c r="AB1144" s="416"/>
      <c r="AC1144" s="416"/>
      <c r="AD1144" s="416"/>
      <c r="AE1144" s="416"/>
      <c r="AF1144" s="154"/>
      <c r="AG1144" s="420"/>
      <c r="AH1144" s="420"/>
      <c r="AI1144" s="420"/>
      <c r="AJ1144" s="420"/>
      <c r="AK1144" s="420"/>
      <c r="AL1144" s="420"/>
      <c r="AM1144" s="420"/>
      <c r="AN1144" s="420"/>
      <c r="AO1144" s="420"/>
      <c r="AP1144" s="420"/>
      <c r="AQ1144" s="420"/>
      <c r="AR1144" s="420"/>
      <c r="AS1144" s="420"/>
      <c r="AT1144" s="420"/>
      <c r="AU1144" s="420"/>
      <c r="AV1144" s="420"/>
      <c r="AW1144" s="420"/>
      <c r="AX1144" s="420"/>
      <c r="AY1144" s="420"/>
      <c r="AZ1144" s="420"/>
      <c r="BA1144" s="420"/>
      <c r="BB1144" s="154"/>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c r="BY1144" s="115"/>
      <c r="BZ1144" s="115"/>
      <c r="CA1144" s="115"/>
      <c r="CB1144" s="115"/>
      <c r="CC1144" s="115"/>
      <c r="CD1144" s="115"/>
      <c r="CE1144" s="115"/>
      <c r="CF1144" s="115"/>
      <c r="CG1144" s="115"/>
      <c r="CH1144" s="115"/>
      <c r="CI1144" s="115"/>
      <c r="CJ1144" s="115"/>
      <c r="CK1144" s="115"/>
      <c r="CL1144" s="115"/>
      <c r="CM1144" s="115"/>
      <c r="CN1144" s="115"/>
      <c r="CO1144" s="115"/>
      <c r="CP1144" s="115"/>
      <c r="CQ1144" s="115"/>
      <c r="CR1144" s="115"/>
      <c r="CS1144" s="115"/>
      <c r="CT1144" s="115"/>
      <c r="CU1144" s="115"/>
      <c r="CV1144" s="115"/>
      <c r="CW1144" s="115"/>
      <c r="CX1144" s="115"/>
      <c r="CY1144" s="115"/>
      <c r="CZ1144" s="115"/>
      <c r="DA1144" s="115"/>
      <c r="DB1144" s="115"/>
      <c r="DC1144" s="115"/>
      <c r="DD1144" s="115"/>
      <c r="DE1144" s="115"/>
      <c r="DF1144" s="115"/>
      <c r="DG1144" s="115"/>
    </row>
    <row r="1145" spans="1:111" ht="9" customHeight="1">
      <c r="A1145" s="154"/>
      <c r="B1145" s="154"/>
      <c r="C1145" s="154"/>
      <c r="D1145" s="154"/>
      <c r="E1145" s="154"/>
      <c r="F1145" s="154"/>
      <c r="G1145" s="154"/>
      <c r="H1145" s="154"/>
      <c r="I1145" s="154"/>
      <c r="J1145" s="154"/>
      <c r="K1145" s="154"/>
      <c r="L1145" s="154"/>
      <c r="M1145" s="154"/>
      <c r="N1145" s="154"/>
      <c r="O1145" s="154"/>
      <c r="P1145" s="154"/>
      <c r="Q1145" s="419"/>
      <c r="R1145" s="419"/>
      <c r="S1145" s="419"/>
      <c r="T1145" s="419"/>
      <c r="U1145" s="419"/>
      <c r="V1145" s="419"/>
      <c r="W1145" s="419"/>
      <c r="X1145" s="419"/>
      <c r="Y1145" s="154"/>
      <c r="Z1145" s="154"/>
      <c r="AA1145" s="154"/>
      <c r="AB1145" s="154"/>
      <c r="AC1145" s="154"/>
      <c r="AD1145" s="154"/>
      <c r="AE1145" s="154"/>
      <c r="AF1145" s="154"/>
      <c r="AG1145" s="420"/>
      <c r="AH1145" s="420"/>
      <c r="AI1145" s="420"/>
      <c r="AJ1145" s="420"/>
      <c r="AK1145" s="420"/>
      <c r="AL1145" s="420"/>
      <c r="AM1145" s="420"/>
      <c r="AN1145" s="420"/>
      <c r="AO1145" s="420"/>
      <c r="AP1145" s="420"/>
      <c r="AQ1145" s="420"/>
      <c r="AR1145" s="420"/>
      <c r="AS1145" s="420"/>
      <c r="AT1145" s="420"/>
      <c r="AU1145" s="420"/>
      <c r="AV1145" s="420"/>
      <c r="AW1145" s="420"/>
      <c r="AX1145" s="420"/>
      <c r="AY1145" s="420"/>
      <c r="AZ1145" s="420"/>
      <c r="BA1145" s="420"/>
      <c r="BB1145" s="154"/>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c r="BY1145" s="115"/>
      <c r="BZ1145" s="115"/>
      <c r="CA1145" s="115"/>
      <c r="CB1145" s="115"/>
      <c r="CC1145" s="115"/>
      <c r="CD1145" s="115"/>
      <c r="CE1145" s="115"/>
      <c r="CF1145" s="115"/>
      <c r="CG1145" s="115"/>
      <c r="CH1145" s="115"/>
      <c r="CI1145" s="115"/>
      <c r="CJ1145" s="115"/>
      <c r="CK1145" s="115"/>
      <c r="CL1145" s="115"/>
      <c r="CM1145" s="115"/>
      <c r="CN1145" s="115"/>
      <c r="CO1145" s="115"/>
      <c r="CP1145" s="115"/>
      <c r="CQ1145" s="115"/>
      <c r="CR1145" s="115"/>
      <c r="CS1145" s="115"/>
      <c r="CT1145" s="115"/>
      <c r="CU1145" s="115"/>
      <c r="CV1145" s="115"/>
      <c r="CW1145" s="115"/>
      <c r="CX1145" s="115"/>
      <c r="CY1145" s="115"/>
      <c r="CZ1145" s="115"/>
      <c r="DA1145" s="115"/>
      <c r="DB1145" s="115"/>
      <c r="DC1145" s="115"/>
      <c r="DD1145" s="115"/>
      <c r="DE1145" s="115"/>
      <c r="DF1145" s="115"/>
      <c r="DG1145" s="115"/>
    </row>
    <row r="1146" spans="1:111" ht="4.5" customHeight="1">
      <c r="A1146" s="154"/>
      <c r="B1146" s="154"/>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c r="BY1146" s="115"/>
      <c r="BZ1146" s="115"/>
      <c r="CA1146" s="115"/>
      <c r="CB1146" s="115"/>
      <c r="CC1146" s="115"/>
      <c r="CD1146" s="115"/>
      <c r="CE1146" s="115"/>
      <c r="CF1146" s="115"/>
      <c r="CG1146" s="115"/>
      <c r="CH1146" s="115"/>
      <c r="CI1146" s="115"/>
      <c r="CJ1146" s="115"/>
      <c r="CK1146" s="115"/>
      <c r="CL1146" s="115"/>
      <c r="CM1146" s="115"/>
      <c r="CN1146" s="115"/>
      <c r="CO1146" s="115"/>
      <c r="CP1146" s="115"/>
      <c r="CQ1146" s="115"/>
      <c r="CR1146" s="115"/>
      <c r="CS1146" s="115"/>
      <c r="CT1146" s="115"/>
      <c r="CU1146" s="115"/>
      <c r="CV1146" s="115"/>
      <c r="CW1146" s="115"/>
      <c r="CX1146" s="115"/>
      <c r="CY1146" s="115"/>
      <c r="CZ1146" s="115"/>
      <c r="DA1146" s="115"/>
      <c r="DB1146" s="115"/>
      <c r="DC1146" s="115"/>
      <c r="DD1146" s="115"/>
      <c r="DE1146" s="115"/>
      <c r="DF1146" s="115"/>
      <c r="DG1146" s="115"/>
    </row>
    <row r="1147" spans="1:111" ht="9" customHeight="1">
      <c r="A1147" s="154"/>
      <c r="B1147" s="154"/>
      <c r="C1147" s="154"/>
      <c r="D1147" s="154"/>
      <c r="E1147" s="154"/>
      <c r="F1147" s="154"/>
      <c r="G1147" s="154"/>
      <c r="H1147" s="154"/>
      <c r="I1147" s="154"/>
      <c r="J1147" s="416" t="str">
        <f>IF(C1125="","","Valor Total (R$):")</f>
        <v/>
      </c>
      <c r="K1147" s="416"/>
      <c r="L1147" s="416"/>
      <c r="M1147" s="416"/>
      <c r="N1147" s="416"/>
      <c r="O1147" s="416"/>
      <c r="P1147" s="154"/>
      <c r="Q1147" s="419" t="str">
        <f>IF(Q1143="","",Q1139*Q1143)</f>
        <v/>
      </c>
      <c r="R1147" s="419"/>
      <c r="S1147" s="419"/>
      <c r="T1147" s="419"/>
      <c r="U1147" s="419"/>
      <c r="V1147" s="419"/>
      <c r="W1147" s="419"/>
      <c r="X1147" s="419"/>
      <c r="Y1147" s="154"/>
      <c r="Z1147" s="416" t="str">
        <f>IF(C1125="","",IF(J1131="52 Equipamentos e Material Permanente","Justificativa e Utilização:",""))</f>
        <v/>
      </c>
      <c r="AA1147" s="416"/>
      <c r="AB1147" s="416"/>
      <c r="AC1147" s="416"/>
      <c r="AD1147" s="416"/>
      <c r="AE1147" s="416"/>
      <c r="AF1147" s="154"/>
      <c r="AG1147" s="420"/>
      <c r="AH1147" s="420"/>
      <c r="AI1147" s="420"/>
      <c r="AJ1147" s="420"/>
      <c r="AK1147" s="420"/>
      <c r="AL1147" s="420"/>
      <c r="AM1147" s="420"/>
      <c r="AN1147" s="420"/>
      <c r="AO1147" s="420"/>
      <c r="AP1147" s="420"/>
      <c r="AQ1147" s="420"/>
      <c r="AR1147" s="420"/>
      <c r="AS1147" s="420"/>
      <c r="AT1147" s="420"/>
      <c r="AU1147" s="420"/>
      <c r="AV1147" s="420"/>
      <c r="AW1147" s="420"/>
      <c r="AX1147" s="420"/>
      <c r="AY1147" s="420"/>
      <c r="AZ1147" s="420"/>
      <c r="BA1147" s="420"/>
      <c r="BB1147" s="154"/>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c r="BY1147" s="115"/>
      <c r="BZ1147" s="115"/>
      <c r="CA1147" s="115"/>
      <c r="CB1147" s="115"/>
      <c r="CC1147" s="115"/>
      <c r="CD1147" s="115"/>
      <c r="CE1147" s="115"/>
      <c r="CF1147" s="115"/>
      <c r="CG1147" s="115"/>
      <c r="CH1147" s="115"/>
      <c r="CI1147" s="115"/>
      <c r="CJ1147" s="115"/>
      <c r="CK1147" s="115"/>
      <c r="CL1147" s="115"/>
      <c r="CM1147" s="115"/>
      <c r="CN1147" s="115"/>
      <c r="CO1147" s="115"/>
      <c r="CP1147" s="115"/>
      <c r="CQ1147" s="115"/>
      <c r="CR1147" s="115"/>
      <c r="CS1147" s="115"/>
      <c r="CT1147" s="115"/>
      <c r="CU1147" s="115"/>
      <c r="CV1147" s="115"/>
      <c r="CW1147" s="115"/>
      <c r="CX1147" s="115"/>
      <c r="CY1147" s="115"/>
      <c r="CZ1147" s="115"/>
      <c r="DA1147" s="115"/>
      <c r="DB1147" s="115"/>
      <c r="DC1147" s="115"/>
      <c r="DD1147" s="115"/>
      <c r="DE1147" s="115"/>
      <c r="DF1147" s="115"/>
      <c r="DG1147" s="115"/>
    </row>
    <row r="1148" spans="1:111" ht="9" customHeight="1">
      <c r="A1148" s="154"/>
      <c r="B1148" s="154"/>
      <c r="C1148" s="154"/>
      <c r="D1148" s="154"/>
      <c r="E1148" s="154"/>
      <c r="F1148" s="154"/>
      <c r="G1148" s="154"/>
      <c r="H1148" s="154"/>
      <c r="I1148" s="154"/>
      <c r="J1148" s="416"/>
      <c r="K1148" s="416"/>
      <c r="L1148" s="416"/>
      <c r="M1148" s="416"/>
      <c r="N1148" s="416"/>
      <c r="O1148" s="416"/>
      <c r="P1148" s="154"/>
      <c r="Q1148" s="419"/>
      <c r="R1148" s="419"/>
      <c r="S1148" s="419"/>
      <c r="T1148" s="419"/>
      <c r="U1148" s="419"/>
      <c r="V1148" s="419"/>
      <c r="W1148" s="419"/>
      <c r="X1148" s="419"/>
      <c r="Y1148" s="154"/>
      <c r="Z1148" s="416"/>
      <c r="AA1148" s="416"/>
      <c r="AB1148" s="416"/>
      <c r="AC1148" s="416"/>
      <c r="AD1148" s="416"/>
      <c r="AE1148" s="416"/>
      <c r="AF1148" s="154"/>
      <c r="AG1148" s="420"/>
      <c r="AH1148" s="420"/>
      <c r="AI1148" s="420"/>
      <c r="AJ1148" s="420"/>
      <c r="AK1148" s="420"/>
      <c r="AL1148" s="420"/>
      <c r="AM1148" s="420"/>
      <c r="AN1148" s="420"/>
      <c r="AO1148" s="420"/>
      <c r="AP1148" s="420"/>
      <c r="AQ1148" s="420"/>
      <c r="AR1148" s="420"/>
      <c r="AS1148" s="420"/>
      <c r="AT1148" s="420"/>
      <c r="AU1148" s="420"/>
      <c r="AV1148" s="420"/>
      <c r="AW1148" s="420"/>
      <c r="AX1148" s="420"/>
      <c r="AY1148" s="420"/>
      <c r="AZ1148" s="420"/>
      <c r="BA1148" s="420"/>
      <c r="BB1148" s="154"/>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c r="BY1148" s="115"/>
      <c r="BZ1148" s="115"/>
      <c r="CA1148" s="115"/>
      <c r="CB1148" s="115"/>
      <c r="CC1148" s="115"/>
      <c r="CD1148" s="115"/>
      <c r="CE1148" s="115"/>
      <c r="CF1148" s="115"/>
      <c r="CG1148" s="115"/>
      <c r="CH1148" s="115"/>
      <c r="CI1148" s="115"/>
      <c r="CJ1148" s="115"/>
      <c r="CK1148" s="115"/>
      <c r="CL1148" s="115"/>
      <c r="CM1148" s="115"/>
      <c r="CN1148" s="115"/>
      <c r="CO1148" s="115"/>
      <c r="CP1148" s="115"/>
      <c r="CQ1148" s="115"/>
      <c r="CR1148" s="115"/>
      <c r="CS1148" s="115"/>
      <c r="CT1148" s="115"/>
      <c r="CU1148" s="115"/>
      <c r="CV1148" s="115"/>
      <c r="CW1148" s="115"/>
      <c r="CX1148" s="115"/>
      <c r="CY1148" s="115"/>
      <c r="CZ1148" s="115"/>
      <c r="DA1148" s="115"/>
      <c r="DB1148" s="115"/>
      <c r="DC1148" s="115"/>
      <c r="DD1148" s="115"/>
      <c r="DE1148" s="115"/>
      <c r="DF1148" s="115"/>
      <c r="DG1148" s="115"/>
    </row>
    <row r="1149" spans="1:111" ht="9" customHeight="1">
      <c r="A1149" s="154"/>
      <c r="B1149" s="154"/>
      <c r="C1149" s="154"/>
      <c r="D1149" s="154"/>
      <c r="E1149" s="154"/>
      <c r="F1149" s="154"/>
      <c r="G1149" s="154"/>
      <c r="H1149" s="154"/>
      <c r="I1149" s="154"/>
      <c r="J1149" s="154"/>
      <c r="K1149" s="154"/>
      <c r="L1149" s="154"/>
      <c r="M1149" s="154"/>
      <c r="N1149" s="154"/>
      <c r="O1149" s="154"/>
      <c r="P1149" s="154"/>
      <c r="Q1149" s="419"/>
      <c r="R1149" s="419"/>
      <c r="S1149" s="419"/>
      <c r="T1149" s="419"/>
      <c r="U1149" s="419"/>
      <c r="V1149" s="419"/>
      <c r="W1149" s="419"/>
      <c r="X1149" s="419"/>
      <c r="Y1149" s="154"/>
      <c r="Z1149" s="154"/>
      <c r="AA1149" s="154"/>
      <c r="AB1149" s="154"/>
      <c r="AC1149" s="154"/>
      <c r="AD1149" s="154"/>
      <c r="AE1149" s="154"/>
      <c r="AF1149" s="154"/>
      <c r="AG1149" s="420"/>
      <c r="AH1149" s="420"/>
      <c r="AI1149" s="420"/>
      <c r="AJ1149" s="420"/>
      <c r="AK1149" s="420"/>
      <c r="AL1149" s="420"/>
      <c r="AM1149" s="420"/>
      <c r="AN1149" s="420"/>
      <c r="AO1149" s="420"/>
      <c r="AP1149" s="420"/>
      <c r="AQ1149" s="420"/>
      <c r="AR1149" s="420"/>
      <c r="AS1149" s="420"/>
      <c r="AT1149" s="420"/>
      <c r="AU1149" s="420"/>
      <c r="AV1149" s="420"/>
      <c r="AW1149" s="420"/>
      <c r="AX1149" s="420"/>
      <c r="AY1149" s="420"/>
      <c r="AZ1149" s="420"/>
      <c r="BA1149" s="420"/>
      <c r="BB1149" s="154"/>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c r="BY1149" s="115"/>
      <c r="BZ1149" s="115"/>
      <c r="CA1149" s="115"/>
      <c r="CB1149" s="115"/>
      <c r="CC1149" s="115"/>
      <c r="CD1149" s="115"/>
      <c r="CE1149" s="115"/>
      <c r="CF1149" s="115"/>
      <c r="CG1149" s="115"/>
      <c r="CH1149" s="115"/>
      <c r="CI1149" s="115"/>
      <c r="CJ1149" s="115"/>
      <c r="CK1149" s="115"/>
      <c r="CL1149" s="115"/>
      <c r="CM1149" s="115"/>
      <c r="CN1149" s="115"/>
      <c r="CO1149" s="115"/>
      <c r="CP1149" s="115"/>
      <c r="CQ1149" s="115"/>
      <c r="CR1149" s="115"/>
      <c r="CS1149" s="115"/>
      <c r="CT1149" s="115"/>
      <c r="CU1149" s="115"/>
      <c r="CV1149" s="115"/>
      <c r="CW1149" s="115"/>
      <c r="CX1149" s="115"/>
      <c r="CY1149" s="115"/>
      <c r="CZ1149" s="115"/>
      <c r="DA1149" s="115"/>
      <c r="DB1149" s="115"/>
      <c r="DC1149" s="115"/>
      <c r="DD1149" s="115"/>
      <c r="DE1149" s="115"/>
      <c r="DF1149" s="115"/>
      <c r="DG1149" s="115"/>
    </row>
    <row r="1150" spans="1:111" ht="9" customHeight="1">
      <c r="A1150" s="154"/>
      <c r="B1150" s="154"/>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420"/>
      <c r="AH1150" s="420"/>
      <c r="AI1150" s="420"/>
      <c r="AJ1150" s="420"/>
      <c r="AK1150" s="420"/>
      <c r="AL1150" s="420"/>
      <c r="AM1150" s="420"/>
      <c r="AN1150" s="420"/>
      <c r="AO1150" s="420"/>
      <c r="AP1150" s="420"/>
      <c r="AQ1150" s="420"/>
      <c r="AR1150" s="420"/>
      <c r="AS1150" s="420"/>
      <c r="AT1150" s="420"/>
      <c r="AU1150" s="420"/>
      <c r="AV1150" s="420"/>
      <c r="AW1150" s="420"/>
      <c r="AX1150" s="420"/>
      <c r="AY1150" s="420"/>
      <c r="AZ1150" s="420"/>
      <c r="BA1150" s="420"/>
      <c r="BB1150" s="154"/>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c r="BY1150" s="115"/>
      <c r="BZ1150" s="115"/>
      <c r="CA1150" s="115"/>
      <c r="CB1150" s="115"/>
      <c r="CC1150" s="115"/>
      <c r="CD1150" s="115"/>
      <c r="CE1150" s="115"/>
      <c r="CF1150" s="115"/>
      <c r="CG1150" s="115"/>
      <c r="CH1150" s="115"/>
      <c r="CI1150" s="115"/>
      <c r="CJ1150" s="115"/>
      <c r="CK1150" s="115"/>
      <c r="CL1150" s="115"/>
      <c r="CM1150" s="115"/>
      <c r="CN1150" s="115"/>
      <c r="CO1150" s="115"/>
      <c r="CP1150" s="115"/>
      <c r="CQ1150" s="115"/>
      <c r="CR1150" s="115"/>
      <c r="CS1150" s="115"/>
      <c r="CT1150" s="115"/>
      <c r="CU1150" s="115"/>
      <c r="CV1150" s="115"/>
      <c r="CW1150" s="115"/>
      <c r="CX1150" s="115"/>
      <c r="CY1150" s="115"/>
      <c r="CZ1150" s="115"/>
      <c r="DA1150" s="115"/>
      <c r="DB1150" s="115"/>
      <c r="DC1150" s="115"/>
      <c r="DD1150" s="115"/>
      <c r="DE1150" s="115"/>
      <c r="DF1150" s="115"/>
      <c r="DG1150" s="115"/>
    </row>
    <row r="1151" spans="1:111" ht="9" customHeight="1">
      <c r="A1151" s="154"/>
      <c r="B1151" s="154"/>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420"/>
      <c r="AH1151" s="420"/>
      <c r="AI1151" s="420"/>
      <c r="AJ1151" s="420"/>
      <c r="AK1151" s="420"/>
      <c r="AL1151" s="420"/>
      <c r="AM1151" s="420"/>
      <c r="AN1151" s="420"/>
      <c r="AO1151" s="420"/>
      <c r="AP1151" s="420"/>
      <c r="AQ1151" s="420"/>
      <c r="AR1151" s="420"/>
      <c r="AS1151" s="420"/>
      <c r="AT1151" s="420"/>
      <c r="AU1151" s="420"/>
      <c r="AV1151" s="420"/>
      <c r="AW1151" s="420"/>
      <c r="AX1151" s="420"/>
      <c r="AY1151" s="420"/>
      <c r="AZ1151" s="420"/>
      <c r="BA1151" s="420"/>
      <c r="BB1151" s="154"/>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c r="BY1151" s="115"/>
      <c r="BZ1151" s="115"/>
      <c r="CA1151" s="115"/>
      <c r="CB1151" s="115"/>
      <c r="CC1151" s="115"/>
      <c r="CD1151" s="115"/>
      <c r="CE1151" s="115"/>
      <c r="CF1151" s="115"/>
      <c r="CG1151" s="115"/>
      <c r="CH1151" s="115"/>
      <c r="CI1151" s="115"/>
      <c r="CJ1151" s="115"/>
      <c r="CK1151" s="115"/>
      <c r="CL1151" s="115"/>
      <c r="CM1151" s="115"/>
      <c r="CN1151" s="115"/>
      <c r="CO1151" s="115"/>
      <c r="CP1151" s="115"/>
      <c r="CQ1151" s="115"/>
      <c r="CR1151" s="115"/>
      <c r="CS1151" s="115"/>
      <c r="CT1151" s="115"/>
      <c r="CU1151" s="115"/>
      <c r="CV1151" s="115"/>
      <c r="CW1151" s="115"/>
      <c r="CX1151" s="115"/>
      <c r="CY1151" s="115"/>
      <c r="CZ1151" s="115"/>
      <c r="DA1151" s="115"/>
      <c r="DB1151" s="115"/>
      <c r="DC1151" s="115"/>
      <c r="DD1151" s="115"/>
      <c r="DE1151" s="115"/>
      <c r="DF1151" s="115"/>
      <c r="DG1151" s="115"/>
    </row>
    <row r="1152" spans="1:111" ht="9" customHeight="1">
      <c r="A1152" s="154"/>
      <c r="B1152" s="154"/>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420"/>
      <c r="AH1152" s="420"/>
      <c r="AI1152" s="420"/>
      <c r="AJ1152" s="420"/>
      <c r="AK1152" s="420"/>
      <c r="AL1152" s="420"/>
      <c r="AM1152" s="420"/>
      <c r="AN1152" s="420"/>
      <c r="AO1152" s="420"/>
      <c r="AP1152" s="420"/>
      <c r="AQ1152" s="420"/>
      <c r="AR1152" s="420"/>
      <c r="AS1152" s="420"/>
      <c r="AT1152" s="420"/>
      <c r="AU1152" s="420"/>
      <c r="AV1152" s="420"/>
      <c r="AW1152" s="420"/>
      <c r="AX1152" s="420"/>
      <c r="AY1152" s="420"/>
      <c r="AZ1152" s="420"/>
      <c r="BA1152" s="420"/>
      <c r="BB1152" s="154"/>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c r="BY1152" s="115"/>
      <c r="BZ1152" s="115"/>
      <c r="CA1152" s="115"/>
      <c r="CB1152" s="115"/>
      <c r="CC1152" s="115"/>
      <c r="CD1152" s="115"/>
      <c r="CE1152" s="115"/>
      <c r="CF1152" s="115"/>
      <c r="CG1152" s="115"/>
      <c r="CH1152" s="115"/>
      <c r="CI1152" s="115"/>
      <c r="CJ1152" s="115"/>
      <c r="CK1152" s="115"/>
      <c r="CL1152" s="115"/>
      <c r="CM1152" s="115"/>
      <c r="CN1152" s="115"/>
      <c r="CO1152" s="115"/>
      <c r="CP1152" s="115"/>
      <c r="CQ1152" s="115"/>
      <c r="CR1152" s="115"/>
      <c r="CS1152" s="115"/>
      <c r="CT1152" s="115"/>
      <c r="CU1152" s="115"/>
      <c r="CV1152" s="115"/>
      <c r="CW1152" s="115"/>
      <c r="CX1152" s="115"/>
      <c r="CY1152" s="115"/>
      <c r="CZ1152" s="115"/>
      <c r="DA1152" s="115"/>
      <c r="DB1152" s="115"/>
      <c r="DC1152" s="115"/>
      <c r="DD1152" s="115"/>
      <c r="DE1152" s="115"/>
      <c r="DF1152" s="115"/>
      <c r="DG1152" s="115"/>
    </row>
    <row r="1153" spans="1:111" ht="15" customHeight="1">
      <c r="A1153" s="154"/>
      <c r="B1153" s="154"/>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c r="BY1153" s="115"/>
      <c r="BZ1153" s="115"/>
      <c r="CA1153" s="115"/>
      <c r="CB1153" s="115"/>
      <c r="CC1153" s="115"/>
      <c r="CD1153" s="115"/>
      <c r="CE1153" s="115"/>
      <c r="CF1153" s="115"/>
      <c r="CG1153" s="115"/>
      <c r="CH1153" s="115"/>
      <c r="CI1153" s="115"/>
      <c r="CJ1153" s="115"/>
      <c r="CK1153" s="115"/>
      <c r="CL1153" s="115"/>
      <c r="CM1153" s="115"/>
      <c r="CN1153" s="115"/>
      <c r="CO1153" s="115"/>
      <c r="CP1153" s="115"/>
      <c r="CQ1153" s="115"/>
      <c r="CR1153" s="115"/>
      <c r="CS1153" s="115"/>
      <c r="CT1153" s="115"/>
      <c r="CU1153" s="115"/>
      <c r="CV1153" s="115"/>
      <c r="CW1153" s="115"/>
      <c r="CX1153" s="115"/>
      <c r="CY1153" s="115"/>
      <c r="CZ1153" s="115"/>
      <c r="DA1153" s="115"/>
      <c r="DB1153" s="115"/>
      <c r="DC1153" s="115"/>
      <c r="DD1153" s="115"/>
      <c r="DE1153" s="115"/>
      <c r="DF1153" s="115"/>
      <c r="DG1153" s="115"/>
    </row>
    <row r="1154" spans="1:111" ht="15" customHeight="1">
      <c r="B1154" s="55"/>
      <c r="C1154" s="422" t="str">
        <f>IF($AA$165&gt;=35,"DESPESA 35","")</f>
        <v/>
      </c>
      <c r="D1154" s="422"/>
      <c r="E1154" s="422"/>
      <c r="F1154" s="422"/>
      <c r="G1154" s="422"/>
      <c r="H1154" s="422"/>
      <c r="I1154" s="56"/>
      <c r="J1154" s="56"/>
      <c r="K1154" s="56"/>
      <c r="L1154" s="56"/>
      <c r="M1154" s="56"/>
      <c r="N1154" s="56"/>
      <c r="O1154" s="56"/>
      <c r="P1154" s="56"/>
      <c r="Q1154" s="56"/>
      <c r="R1154" s="56"/>
      <c r="S1154" s="56"/>
      <c r="T1154" s="56"/>
      <c r="U1154" s="56"/>
      <c r="V1154" s="56"/>
      <c r="W1154" s="56"/>
      <c r="X1154" s="56"/>
      <c r="Y1154" s="56"/>
      <c r="Z1154" s="56"/>
      <c r="AA1154" s="56"/>
      <c r="AB1154" s="56"/>
      <c r="AC1154" s="56"/>
      <c r="AD1154" s="56"/>
      <c r="AE1154" s="56"/>
      <c r="AF1154" s="56"/>
      <c r="AG1154" s="56"/>
      <c r="AH1154" s="56"/>
      <c r="AI1154" s="56"/>
      <c r="AJ1154" s="56"/>
      <c r="AK1154" s="141"/>
      <c r="AL1154" s="141"/>
      <c r="AM1154" s="141"/>
      <c r="AN1154" s="141"/>
      <c r="AO1154" s="140"/>
      <c r="AP1154" s="140"/>
      <c r="AQ1154" s="140"/>
      <c r="AR1154" s="140"/>
      <c r="AS1154" s="142"/>
      <c r="AT1154" s="142"/>
      <c r="AU1154" s="142"/>
      <c r="AV1154" s="142"/>
      <c r="AW1154" s="140"/>
      <c r="AX1154" s="140"/>
      <c r="AY1154" s="140"/>
      <c r="AZ1154" s="140"/>
      <c r="BA1154" s="140"/>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c r="BY1154" s="115"/>
      <c r="BZ1154" s="115"/>
      <c r="CA1154" s="115"/>
      <c r="CB1154" s="115"/>
      <c r="CC1154" s="115"/>
      <c r="CD1154" s="115"/>
      <c r="CE1154" s="115"/>
      <c r="CF1154" s="115"/>
      <c r="CG1154" s="115"/>
      <c r="CH1154" s="115"/>
      <c r="CI1154" s="115"/>
      <c r="CJ1154" s="115"/>
      <c r="CK1154" s="115"/>
      <c r="CL1154" s="115"/>
      <c r="CM1154" s="115"/>
      <c r="CN1154" s="115"/>
      <c r="CO1154" s="115"/>
      <c r="CP1154" s="115"/>
      <c r="CQ1154" s="115"/>
      <c r="CR1154" s="115"/>
      <c r="CS1154" s="115"/>
      <c r="CT1154" s="115"/>
      <c r="CU1154" s="115"/>
      <c r="CV1154" s="115"/>
      <c r="CW1154" s="115"/>
      <c r="CX1154" s="115"/>
      <c r="CY1154" s="115"/>
      <c r="CZ1154" s="115"/>
      <c r="DA1154" s="115"/>
      <c r="DB1154" s="115"/>
      <c r="DC1154" s="115"/>
      <c r="DD1154" s="115"/>
      <c r="DE1154" s="115"/>
      <c r="DF1154" s="115"/>
      <c r="DG1154" s="115"/>
    </row>
    <row r="1155" spans="1:111" ht="4.5" customHeight="1">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c r="BY1155" s="115"/>
      <c r="BZ1155" s="115"/>
      <c r="CA1155" s="115"/>
      <c r="CB1155" s="115"/>
      <c r="CC1155" s="115"/>
      <c r="CD1155" s="115"/>
      <c r="CE1155" s="115"/>
      <c r="CF1155" s="115"/>
      <c r="CG1155" s="115"/>
      <c r="CH1155" s="115"/>
      <c r="CI1155" s="115"/>
      <c r="CJ1155" s="115"/>
      <c r="CK1155" s="115"/>
      <c r="CL1155" s="115"/>
      <c r="CM1155" s="115"/>
      <c r="CN1155" s="115"/>
      <c r="CO1155" s="115"/>
      <c r="CP1155" s="115"/>
      <c r="CQ1155" s="115"/>
      <c r="CR1155" s="115"/>
      <c r="CS1155" s="115"/>
      <c r="CT1155" s="115"/>
      <c r="CU1155" s="115"/>
      <c r="CV1155" s="115"/>
      <c r="CW1155" s="115"/>
      <c r="CX1155" s="115"/>
      <c r="CY1155" s="115"/>
      <c r="CZ1155" s="115"/>
      <c r="DA1155" s="115"/>
      <c r="DB1155" s="115"/>
      <c r="DC1155" s="115"/>
      <c r="DD1155" s="115"/>
      <c r="DE1155" s="115"/>
      <c r="DF1155" s="115"/>
      <c r="DG1155" s="115"/>
    </row>
    <row r="1156" spans="1:111" ht="9" customHeight="1">
      <c r="C1156" s="416" t="str">
        <f>IF(C1154="","","Descrição da Despesa:")</f>
        <v/>
      </c>
      <c r="D1156" s="416"/>
      <c r="E1156" s="416"/>
      <c r="F1156" s="416"/>
      <c r="G1156" s="416"/>
      <c r="H1156" s="416"/>
      <c r="I1156" s="60"/>
      <c r="J1156" s="421"/>
      <c r="K1156" s="421"/>
      <c r="L1156" s="421"/>
      <c r="M1156" s="421"/>
      <c r="N1156" s="421"/>
      <c r="O1156" s="421"/>
      <c r="P1156" s="421"/>
      <c r="Q1156" s="421"/>
      <c r="R1156" s="421"/>
      <c r="S1156" s="421"/>
      <c r="T1156" s="421"/>
      <c r="U1156" s="421"/>
      <c r="V1156" s="421"/>
      <c r="W1156" s="421"/>
      <c r="X1156" s="421"/>
      <c r="Y1156" s="421"/>
      <c r="Z1156" s="421"/>
      <c r="AA1156" s="421"/>
      <c r="AB1156" s="421"/>
      <c r="AC1156" s="421"/>
      <c r="AD1156" s="421"/>
      <c r="AE1156" s="421"/>
      <c r="AF1156" s="421"/>
      <c r="AG1156" s="421"/>
      <c r="AH1156" s="421"/>
      <c r="AI1156" s="421"/>
      <c r="AJ1156" s="421"/>
      <c r="AK1156" s="421"/>
      <c r="AL1156" s="421"/>
      <c r="AM1156" s="421"/>
      <c r="AN1156" s="421"/>
      <c r="AO1156" s="421"/>
      <c r="AP1156" s="421"/>
      <c r="AQ1156" s="421"/>
      <c r="AR1156" s="421"/>
      <c r="AS1156" s="421"/>
      <c r="AT1156" s="421"/>
      <c r="AU1156" s="421"/>
      <c r="AV1156" s="421"/>
      <c r="AW1156" s="421"/>
      <c r="AX1156" s="421"/>
      <c r="AY1156" s="421"/>
      <c r="AZ1156" s="421"/>
      <c r="BA1156" s="421"/>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c r="BY1156" s="115"/>
      <c r="BZ1156" s="115"/>
      <c r="CA1156" s="115"/>
      <c r="CB1156" s="115"/>
      <c r="CC1156" s="115"/>
      <c r="CD1156" s="115"/>
      <c r="CE1156" s="115"/>
      <c r="CF1156" s="115"/>
      <c r="CG1156" s="115"/>
      <c r="CH1156" s="115"/>
      <c r="CI1156" s="115"/>
      <c r="CJ1156" s="115"/>
      <c r="CK1156" s="115"/>
      <c r="CL1156" s="115"/>
      <c r="CM1156" s="115"/>
      <c r="CN1156" s="115"/>
      <c r="CO1156" s="115"/>
      <c r="CP1156" s="115"/>
      <c r="CQ1156" s="115"/>
      <c r="CR1156" s="115"/>
      <c r="CS1156" s="115"/>
      <c r="CT1156" s="115"/>
      <c r="CU1156" s="115"/>
      <c r="CV1156" s="115"/>
      <c r="CW1156" s="115"/>
      <c r="CX1156" s="115"/>
      <c r="CY1156" s="115"/>
      <c r="CZ1156" s="115"/>
      <c r="DA1156" s="115"/>
      <c r="DB1156" s="115"/>
      <c r="DC1156" s="115"/>
      <c r="DD1156" s="115"/>
      <c r="DE1156" s="115"/>
      <c r="DF1156" s="115"/>
      <c r="DG1156" s="115"/>
    </row>
    <row r="1157" spans="1:111" ht="9" customHeight="1">
      <c r="C1157" s="416"/>
      <c r="D1157" s="416"/>
      <c r="E1157" s="416"/>
      <c r="F1157" s="416"/>
      <c r="G1157" s="416"/>
      <c r="H1157" s="416"/>
      <c r="I1157" s="60"/>
      <c r="J1157" s="421"/>
      <c r="K1157" s="421"/>
      <c r="L1157" s="421"/>
      <c r="M1157" s="421"/>
      <c r="N1157" s="421"/>
      <c r="O1157" s="421"/>
      <c r="P1157" s="421"/>
      <c r="Q1157" s="421"/>
      <c r="R1157" s="421"/>
      <c r="S1157" s="421"/>
      <c r="T1157" s="421"/>
      <c r="U1157" s="421"/>
      <c r="V1157" s="421"/>
      <c r="W1157" s="421"/>
      <c r="X1157" s="421"/>
      <c r="Y1157" s="421"/>
      <c r="Z1157" s="421"/>
      <c r="AA1157" s="421"/>
      <c r="AB1157" s="421"/>
      <c r="AC1157" s="421"/>
      <c r="AD1157" s="421"/>
      <c r="AE1157" s="421"/>
      <c r="AF1157" s="421"/>
      <c r="AG1157" s="421"/>
      <c r="AH1157" s="421"/>
      <c r="AI1157" s="421"/>
      <c r="AJ1157" s="421"/>
      <c r="AK1157" s="421"/>
      <c r="AL1157" s="421"/>
      <c r="AM1157" s="421"/>
      <c r="AN1157" s="421"/>
      <c r="AO1157" s="421"/>
      <c r="AP1157" s="421"/>
      <c r="AQ1157" s="421"/>
      <c r="AR1157" s="421"/>
      <c r="AS1157" s="421"/>
      <c r="AT1157" s="421"/>
      <c r="AU1157" s="421"/>
      <c r="AV1157" s="421"/>
      <c r="AW1157" s="421"/>
      <c r="AX1157" s="421"/>
      <c r="AY1157" s="421"/>
      <c r="AZ1157" s="421"/>
      <c r="BA1157" s="421"/>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c r="BY1157" s="115"/>
      <c r="BZ1157" s="115"/>
      <c r="CA1157" s="115"/>
      <c r="CB1157" s="115"/>
      <c r="CC1157" s="115"/>
      <c r="CD1157" s="115"/>
      <c r="CE1157" s="115"/>
      <c r="CF1157" s="115"/>
      <c r="CG1157" s="115"/>
      <c r="CH1157" s="115"/>
      <c r="CI1157" s="115"/>
      <c r="CJ1157" s="115"/>
      <c r="CK1157" s="115"/>
      <c r="CL1157" s="115"/>
      <c r="CM1157" s="115"/>
      <c r="CN1157" s="115"/>
      <c r="CO1157" s="115"/>
      <c r="CP1157" s="115"/>
      <c r="CQ1157" s="115"/>
      <c r="CR1157" s="115"/>
      <c r="CS1157" s="115"/>
      <c r="CT1157" s="115"/>
      <c r="CU1157" s="115"/>
      <c r="CV1157" s="115"/>
      <c r="CW1157" s="115"/>
      <c r="CX1157" s="115"/>
      <c r="CY1157" s="115"/>
      <c r="CZ1157" s="115"/>
      <c r="DA1157" s="115"/>
      <c r="DB1157" s="115"/>
      <c r="DC1157" s="115"/>
      <c r="DD1157" s="115"/>
      <c r="DE1157" s="115"/>
      <c r="DF1157" s="115"/>
      <c r="DG1157" s="115"/>
    </row>
    <row r="1158" spans="1:111" ht="9" customHeight="1">
      <c r="C1158" s="416"/>
      <c r="D1158" s="416"/>
      <c r="E1158" s="416"/>
      <c r="F1158" s="416"/>
      <c r="G1158" s="416"/>
      <c r="H1158" s="416"/>
      <c r="I1158" s="60"/>
      <c r="J1158" s="421"/>
      <c r="K1158" s="421"/>
      <c r="L1158" s="421"/>
      <c r="M1158" s="421"/>
      <c r="N1158" s="421"/>
      <c r="O1158" s="421"/>
      <c r="P1158" s="421"/>
      <c r="Q1158" s="421"/>
      <c r="R1158" s="421"/>
      <c r="S1158" s="421"/>
      <c r="T1158" s="421"/>
      <c r="U1158" s="421"/>
      <c r="V1158" s="421"/>
      <c r="W1158" s="421"/>
      <c r="X1158" s="421"/>
      <c r="Y1158" s="421"/>
      <c r="Z1158" s="421"/>
      <c r="AA1158" s="421"/>
      <c r="AB1158" s="421"/>
      <c r="AC1158" s="421"/>
      <c r="AD1158" s="421"/>
      <c r="AE1158" s="421"/>
      <c r="AF1158" s="421"/>
      <c r="AG1158" s="421"/>
      <c r="AH1158" s="421"/>
      <c r="AI1158" s="421"/>
      <c r="AJ1158" s="421"/>
      <c r="AK1158" s="421"/>
      <c r="AL1158" s="421"/>
      <c r="AM1158" s="421"/>
      <c r="AN1158" s="421"/>
      <c r="AO1158" s="421"/>
      <c r="AP1158" s="421"/>
      <c r="AQ1158" s="421"/>
      <c r="AR1158" s="421"/>
      <c r="AS1158" s="421"/>
      <c r="AT1158" s="421"/>
      <c r="AU1158" s="421"/>
      <c r="AV1158" s="421"/>
      <c r="AW1158" s="421"/>
      <c r="AX1158" s="421"/>
      <c r="AY1158" s="421"/>
      <c r="AZ1158" s="421"/>
      <c r="BA1158" s="421"/>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c r="BY1158" s="115"/>
      <c r="BZ1158" s="115"/>
      <c r="CA1158" s="115"/>
      <c r="CB1158" s="115"/>
      <c r="CC1158" s="115"/>
      <c r="CD1158" s="115"/>
      <c r="CE1158" s="115"/>
      <c r="CF1158" s="115"/>
      <c r="CG1158" s="115"/>
      <c r="CH1158" s="115"/>
      <c r="CI1158" s="115"/>
      <c r="CJ1158" s="115"/>
      <c r="CK1158" s="115"/>
      <c r="CL1158" s="115"/>
      <c r="CM1158" s="115"/>
      <c r="CN1158" s="115"/>
      <c r="CO1158" s="115"/>
      <c r="CP1158" s="115"/>
      <c r="CQ1158" s="115"/>
      <c r="CR1158" s="115"/>
      <c r="CS1158" s="115"/>
      <c r="CT1158" s="115"/>
      <c r="CU1158" s="115"/>
      <c r="CV1158" s="115"/>
      <c r="CW1158" s="115"/>
      <c r="CX1158" s="115"/>
      <c r="CY1158" s="115"/>
      <c r="CZ1158" s="115"/>
      <c r="DA1158" s="115"/>
      <c r="DB1158" s="115"/>
      <c r="DC1158" s="115"/>
      <c r="DD1158" s="115"/>
      <c r="DE1158" s="115"/>
      <c r="DF1158" s="115"/>
      <c r="DG1158" s="115"/>
    </row>
    <row r="1159" spans="1:111" ht="4.5" customHeight="1">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c r="BY1159" s="115"/>
      <c r="BZ1159" s="115"/>
      <c r="CA1159" s="115"/>
      <c r="CB1159" s="115"/>
      <c r="CC1159" s="115"/>
      <c r="CD1159" s="115"/>
      <c r="CE1159" s="115"/>
      <c r="CF1159" s="115"/>
      <c r="CG1159" s="115"/>
      <c r="CH1159" s="115"/>
      <c r="CI1159" s="115"/>
      <c r="CJ1159" s="115"/>
      <c r="CK1159" s="115"/>
      <c r="CL1159" s="115"/>
      <c r="CM1159" s="115"/>
      <c r="CN1159" s="115"/>
      <c r="CO1159" s="115"/>
      <c r="CP1159" s="115"/>
      <c r="CQ1159" s="115"/>
      <c r="CR1159" s="115"/>
      <c r="CS1159" s="115"/>
      <c r="CT1159" s="115"/>
      <c r="CU1159" s="115"/>
      <c r="CV1159" s="115"/>
      <c r="CW1159" s="115"/>
      <c r="CX1159" s="115"/>
      <c r="CY1159" s="115"/>
      <c r="CZ1159" s="115"/>
      <c r="DA1159" s="115"/>
      <c r="DB1159" s="115"/>
      <c r="DC1159" s="115"/>
      <c r="DD1159" s="115"/>
      <c r="DE1159" s="115"/>
      <c r="DF1159" s="115"/>
      <c r="DG1159" s="115"/>
    </row>
    <row r="1160" spans="1:111" ht="9" customHeight="1">
      <c r="C1160" s="416" t="str">
        <f>IF(C1154="","","Elemento de Despesa:")</f>
        <v/>
      </c>
      <c r="D1160" s="416"/>
      <c r="E1160" s="416"/>
      <c r="F1160" s="416"/>
      <c r="G1160" s="416"/>
      <c r="H1160" s="416"/>
      <c r="J1160" s="421"/>
      <c r="K1160" s="421"/>
      <c r="L1160" s="421"/>
      <c r="M1160" s="421"/>
      <c r="N1160" s="421"/>
      <c r="O1160" s="421"/>
      <c r="P1160" s="421"/>
      <c r="Q1160" s="421"/>
      <c r="R1160" s="421"/>
      <c r="S1160" s="421"/>
      <c r="T1160" s="421"/>
      <c r="U1160" s="421"/>
      <c r="V1160" s="421"/>
      <c r="W1160" s="421"/>
      <c r="X1160" s="421"/>
      <c r="Y1160" s="421"/>
      <c r="Z1160" s="421"/>
      <c r="AA1160" s="421"/>
      <c r="AB1160" s="421"/>
      <c r="AC1160" s="421"/>
      <c r="AD1160" s="421"/>
      <c r="AE1160" s="421"/>
      <c r="AF1160" s="421"/>
      <c r="AG1160" s="421"/>
      <c r="AH1160" s="421"/>
      <c r="AI1160" s="421"/>
      <c r="AJ1160" s="421"/>
      <c r="AK1160" s="421"/>
      <c r="AL1160" s="421"/>
      <c r="AM1160" s="421"/>
      <c r="AN1160" s="421"/>
      <c r="AO1160" s="421"/>
      <c r="AP1160" s="421"/>
      <c r="AQ1160" s="421"/>
      <c r="AR1160" s="421"/>
      <c r="AS1160" s="421"/>
      <c r="AT1160" s="421"/>
      <c r="AU1160" s="421"/>
      <c r="AV1160" s="421"/>
      <c r="AW1160" s="421"/>
      <c r="AX1160" s="421"/>
      <c r="AY1160" s="421"/>
      <c r="AZ1160" s="421"/>
      <c r="BA1160" s="421"/>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c r="BY1160" s="115"/>
      <c r="BZ1160" s="115"/>
      <c r="CA1160" s="115"/>
      <c r="CB1160" s="115"/>
      <c r="CC1160" s="115"/>
      <c r="CD1160" s="115"/>
      <c r="CE1160" s="115"/>
      <c r="CF1160" s="115"/>
      <c r="CG1160" s="115"/>
      <c r="CH1160" s="115"/>
      <c r="CI1160" s="115"/>
      <c r="CJ1160" s="115"/>
      <c r="CK1160" s="115"/>
      <c r="CL1160" s="115"/>
      <c r="CM1160" s="115"/>
      <c r="CN1160" s="115"/>
      <c r="CO1160" s="115"/>
      <c r="CP1160" s="115"/>
      <c r="CQ1160" s="115"/>
      <c r="CR1160" s="115"/>
      <c r="CS1160" s="115"/>
      <c r="CT1160" s="115"/>
      <c r="CU1160" s="115"/>
      <c r="CV1160" s="115"/>
      <c r="CW1160" s="115"/>
      <c r="CX1160" s="115"/>
      <c r="CY1160" s="115"/>
      <c r="CZ1160" s="115"/>
      <c r="DA1160" s="115"/>
      <c r="DB1160" s="115"/>
      <c r="DC1160" s="115"/>
      <c r="DD1160" s="115"/>
      <c r="DE1160" s="115"/>
      <c r="DF1160" s="115"/>
      <c r="DG1160" s="115"/>
    </row>
    <row r="1161" spans="1:111" ht="9" customHeight="1">
      <c r="C1161" s="416"/>
      <c r="D1161" s="416"/>
      <c r="E1161" s="416"/>
      <c r="F1161" s="416"/>
      <c r="G1161" s="416"/>
      <c r="H1161" s="416"/>
      <c r="J1161" s="421"/>
      <c r="K1161" s="421"/>
      <c r="L1161" s="421"/>
      <c r="M1161" s="421"/>
      <c r="N1161" s="421"/>
      <c r="O1161" s="421"/>
      <c r="P1161" s="421"/>
      <c r="Q1161" s="421"/>
      <c r="R1161" s="421"/>
      <c r="S1161" s="421"/>
      <c r="T1161" s="421"/>
      <c r="U1161" s="421"/>
      <c r="V1161" s="421"/>
      <c r="W1161" s="421"/>
      <c r="X1161" s="421"/>
      <c r="Y1161" s="421"/>
      <c r="Z1161" s="421"/>
      <c r="AA1161" s="421"/>
      <c r="AB1161" s="421"/>
      <c r="AC1161" s="421"/>
      <c r="AD1161" s="421"/>
      <c r="AE1161" s="421"/>
      <c r="AF1161" s="421"/>
      <c r="AG1161" s="421"/>
      <c r="AH1161" s="421"/>
      <c r="AI1161" s="421"/>
      <c r="AJ1161" s="421"/>
      <c r="AK1161" s="421"/>
      <c r="AL1161" s="421"/>
      <c r="AM1161" s="421"/>
      <c r="AN1161" s="421"/>
      <c r="AO1161" s="421"/>
      <c r="AP1161" s="421"/>
      <c r="AQ1161" s="421"/>
      <c r="AR1161" s="421"/>
      <c r="AS1161" s="421"/>
      <c r="AT1161" s="421"/>
      <c r="AU1161" s="421"/>
      <c r="AV1161" s="421"/>
      <c r="AW1161" s="421"/>
      <c r="AX1161" s="421"/>
      <c r="AY1161" s="421"/>
      <c r="AZ1161" s="421"/>
      <c r="BA1161" s="421"/>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c r="BY1161" s="115"/>
      <c r="BZ1161" s="115"/>
      <c r="CA1161" s="115"/>
      <c r="CB1161" s="115"/>
      <c r="CC1161" s="115"/>
      <c r="CD1161" s="115"/>
      <c r="CE1161" s="115"/>
      <c r="CF1161" s="115"/>
      <c r="CG1161" s="115"/>
      <c r="CH1161" s="115"/>
      <c r="CI1161" s="115"/>
      <c r="CJ1161" s="115"/>
      <c r="CK1161" s="115"/>
      <c r="CL1161" s="115"/>
      <c r="CM1161" s="115"/>
      <c r="CN1161" s="115"/>
      <c r="CO1161" s="115"/>
      <c r="CP1161" s="115"/>
      <c r="CQ1161" s="115"/>
      <c r="CR1161" s="115"/>
      <c r="CS1161" s="115"/>
      <c r="CT1161" s="115"/>
      <c r="CU1161" s="115"/>
      <c r="CV1161" s="115"/>
      <c r="CW1161" s="115"/>
      <c r="CX1161" s="115"/>
      <c r="CY1161" s="115"/>
      <c r="CZ1161" s="115"/>
      <c r="DA1161" s="115"/>
      <c r="DB1161" s="115"/>
      <c r="DC1161" s="115"/>
      <c r="DD1161" s="115"/>
      <c r="DE1161" s="115"/>
      <c r="DF1161" s="115"/>
      <c r="DG1161" s="115"/>
    </row>
    <row r="1162" spans="1:111" ht="9" customHeight="1">
      <c r="C1162" s="416"/>
      <c r="D1162" s="416"/>
      <c r="E1162" s="416"/>
      <c r="F1162" s="416"/>
      <c r="G1162" s="416"/>
      <c r="H1162" s="416"/>
      <c r="J1162" s="421"/>
      <c r="K1162" s="421"/>
      <c r="L1162" s="421"/>
      <c r="M1162" s="421"/>
      <c r="N1162" s="421"/>
      <c r="O1162" s="421"/>
      <c r="P1162" s="421"/>
      <c r="Q1162" s="421"/>
      <c r="R1162" s="421"/>
      <c r="S1162" s="421"/>
      <c r="T1162" s="421"/>
      <c r="U1162" s="421"/>
      <c r="V1162" s="421"/>
      <c r="W1162" s="421"/>
      <c r="X1162" s="421"/>
      <c r="Y1162" s="421"/>
      <c r="Z1162" s="421"/>
      <c r="AA1162" s="421"/>
      <c r="AB1162" s="421"/>
      <c r="AC1162" s="421"/>
      <c r="AD1162" s="421"/>
      <c r="AE1162" s="421"/>
      <c r="AF1162" s="421"/>
      <c r="AG1162" s="421"/>
      <c r="AH1162" s="421"/>
      <c r="AI1162" s="421"/>
      <c r="AJ1162" s="421"/>
      <c r="AK1162" s="421"/>
      <c r="AL1162" s="421"/>
      <c r="AM1162" s="421"/>
      <c r="AN1162" s="421"/>
      <c r="AO1162" s="421"/>
      <c r="AP1162" s="421"/>
      <c r="AQ1162" s="421"/>
      <c r="AR1162" s="421"/>
      <c r="AS1162" s="421"/>
      <c r="AT1162" s="421"/>
      <c r="AU1162" s="421"/>
      <c r="AV1162" s="421"/>
      <c r="AW1162" s="421"/>
      <c r="AX1162" s="421"/>
      <c r="AY1162" s="421"/>
      <c r="AZ1162" s="421"/>
      <c r="BA1162" s="421"/>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c r="BY1162" s="115"/>
      <c r="BZ1162" s="115"/>
      <c r="CA1162" s="115"/>
      <c r="CB1162" s="115"/>
      <c r="CC1162" s="115"/>
      <c r="CD1162" s="115"/>
      <c r="CE1162" s="115"/>
      <c r="CF1162" s="115"/>
      <c r="CG1162" s="115"/>
      <c r="CH1162" s="115"/>
      <c r="CI1162" s="115"/>
      <c r="CJ1162" s="115"/>
      <c r="CK1162" s="115"/>
      <c r="CL1162" s="115"/>
      <c r="CM1162" s="115"/>
      <c r="CN1162" s="115"/>
      <c r="CO1162" s="115"/>
      <c r="CP1162" s="115"/>
      <c r="CQ1162" s="115"/>
      <c r="CR1162" s="115"/>
      <c r="CS1162" s="115"/>
      <c r="CT1162" s="115"/>
      <c r="CU1162" s="115"/>
      <c r="CV1162" s="115"/>
      <c r="CW1162" s="115"/>
      <c r="CX1162" s="115"/>
      <c r="CY1162" s="115"/>
      <c r="CZ1162" s="115"/>
      <c r="DA1162" s="115"/>
      <c r="DB1162" s="115"/>
      <c r="DC1162" s="115"/>
      <c r="DD1162" s="115"/>
      <c r="DE1162" s="115"/>
      <c r="DF1162" s="115"/>
      <c r="DG1162" s="115"/>
    </row>
    <row r="1163" spans="1:111" ht="4.5" customHeight="1">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c r="BY1163" s="115"/>
      <c r="BZ1163" s="115"/>
      <c r="CA1163" s="115"/>
      <c r="CB1163" s="115"/>
      <c r="CC1163" s="115"/>
      <c r="CD1163" s="115"/>
      <c r="CE1163" s="115"/>
      <c r="CF1163" s="115"/>
      <c r="CG1163" s="115"/>
      <c r="CH1163" s="115"/>
      <c r="CI1163" s="115"/>
      <c r="CJ1163" s="115"/>
      <c r="CK1163" s="115"/>
      <c r="CL1163" s="115"/>
      <c r="CM1163" s="115"/>
      <c r="CN1163" s="115"/>
      <c r="CO1163" s="115"/>
      <c r="CP1163" s="115"/>
      <c r="CQ1163" s="115"/>
      <c r="CR1163" s="115"/>
      <c r="CS1163" s="115"/>
      <c r="CT1163" s="115"/>
      <c r="CU1163" s="115"/>
      <c r="CV1163" s="115"/>
      <c r="CW1163" s="115"/>
      <c r="CX1163" s="115"/>
      <c r="CY1163" s="115"/>
      <c r="CZ1163" s="115"/>
      <c r="DA1163" s="115"/>
      <c r="DB1163" s="115"/>
      <c r="DC1163" s="115"/>
      <c r="DD1163" s="115"/>
      <c r="DE1163" s="115"/>
      <c r="DF1163" s="115"/>
      <c r="DG1163" s="115"/>
    </row>
    <row r="1164" spans="1:111" ht="9" customHeight="1">
      <c r="A1164" s="61" t="str">
        <f>CONCATENATE(Q1164,AC1164)</f>
        <v/>
      </c>
      <c r="J1164" s="416" t="str">
        <f>IF(C1154="","","Meta Vinculada:")</f>
        <v/>
      </c>
      <c r="K1164" s="416"/>
      <c r="L1164" s="416"/>
      <c r="M1164" s="416"/>
      <c r="N1164" s="416"/>
      <c r="O1164" s="416"/>
      <c r="Q1164" s="417"/>
      <c r="R1164" s="417"/>
      <c r="S1164" s="417"/>
      <c r="T1164" s="417"/>
      <c r="U1164" s="56"/>
      <c r="V1164" s="416" t="str">
        <f>IF(C1154="","","Etapa Vinculada:")</f>
        <v/>
      </c>
      <c r="W1164" s="416"/>
      <c r="X1164" s="416"/>
      <c r="Y1164" s="416"/>
      <c r="Z1164" s="416"/>
      <c r="AA1164" s="416"/>
      <c r="AC1164" s="417"/>
      <c r="AD1164" s="417"/>
      <c r="AE1164" s="417"/>
      <c r="AF1164" s="417"/>
      <c r="AG1164" s="56"/>
      <c r="AH1164" s="56"/>
      <c r="AI1164" s="56"/>
      <c r="AJ1164" s="56"/>
      <c r="AK1164" s="141"/>
      <c r="AL1164" s="141"/>
      <c r="AM1164" s="141"/>
      <c r="AN1164" s="141"/>
      <c r="AO1164" s="140"/>
      <c r="AP1164" s="140"/>
      <c r="AQ1164" s="140"/>
      <c r="AR1164" s="140"/>
      <c r="AS1164" s="142"/>
      <c r="AT1164" s="142"/>
      <c r="AU1164" s="142"/>
      <c r="AV1164" s="142"/>
      <c r="AW1164" s="140"/>
      <c r="AX1164" s="140"/>
      <c r="AY1164" s="140"/>
      <c r="AZ1164" s="140"/>
      <c r="BA1164" s="140"/>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c r="BY1164" s="115"/>
      <c r="BZ1164" s="115"/>
      <c r="CA1164" s="115"/>
      <c r="CB1164" s="115"/>
      <c r="CC1164" s="115"/>
      <c r="CD1164" s="115"/>
      <c r="CE1164" s="115"/>
      <c r="CF1164" s="115"/>
      <c r="CG1164" s="115"/>
      <c r="CH1164" s="115"/>
      <c r="CI1164" s="115"/>
      <c r="CJ1164" s="115"/>
      <c r="CK1164" s="115"/>
      <c r="CL1164" s="115"/>
      <c r="CM1164" s="115"/>
      <c r="CN1164" s="115"/>
      <c r="CO1164" s="115"/>
      <c r="CP1164" s="115"/>
      <c r="CQ1164" s="115"/>
      <c r="CR1164" s="115"/>
      <c r="CS1164" s="115"/>
      <c r="CT1164" s="115"/>
      <c r="CU1164" s="115"/>
      <c r="CV1164" s="115"/>
      <c r="CW1164" s="115"/>
      <c r="CX1164" s="115"/>
      <c r="CY1164" s="115"/>
      <c r="CZ1164" s="115"/>
      <c r="DA1164" s="115"/>
      <c r="DB1164" s="115"/>
      <c r="DC1164" s="115"/>
      <c r="DD1164" s="115"/>
      <c r="DE1164" s="115"/>
      <c r="DF1164" s="115"/>
      <c r="DG1164" s="115"/>
    </row>
    <row r="1165" spans="1:111" ht="9" customHeight="1">
      <c r="B1165" s="55"/>
      <c r="C1165" s="55"/>
      <c r="D1165" s="56"/>
      <c r="E1165" s="56"/>
      <c r="F1165" s="56"/>
      <c r="G1165" s="56"/>
      <c r="H1165" s="56"/>
      <c r="I1165" s="56"/>
      <c r="J1165" s="416"/>
      <c r="K1165" s="416"/>
      <c r="L1165" s="416"/>
      <c r="M1165" s="416"/>
      <c r="N1165" s="416"/>
      <c r="O1165" s="416"/>
      <c r="Q1165" s="417"/>
      <c r="R1165" s="417"/>
      <c r="S1165" s="417"/>
      <c r="T1165" s="417"/>
      <c r="U1165" s="56"/>
      <c r="V1165" s="416"/>
      <c r="W1165" s="416"/>
      <c r="X1165" s="416"/>
      <c r="Y1165" s="416"/>
      <c r="Z1165" s="416"/>
      <c r="AA1165" s="416"/>
      <c r="AC1165" s="417"/>
      <c r="AD1165" s="417"/>
      <c r="AE1165" s="417"/>
      <c r="AF1165" s="417"/>
      <c r="AG1165" s="56"/>
      <c r="AH1165" s="56"/>
      <c r="AI1165" s="56"/>
      <c r="AJ1165" s="56"/>
      <c r="AK1165" s="141"/>
      <c r="AL1165" s="141"/>
      <c r="AM1165" s="141"/>
      <c r="AN1165" s="141"/>
      <c r="AO1165" s="140"/>
      <c r="AP1165" s="140"/>
      <c r="AQ1165" s="140"/>
      <c r="AR1165" s="140"/>
      <c r="AS1165" s="142"/>
      <c r="AT1165" s="142"/>
      <c r="AU1165" s="142"/>
      <c r="AV1165" s="142"/>
      <c r="AW1165" s="140"/>
      <c r="AX1165" s="140"/>
      <c r="AY1165" s="140"/>
      <c r="AZ1165" s="140"/>
      <c r="BA1165" s="140"/>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c r="BY1165" s="115"/>
      <c r="BZ1165" s="115"/>
      <c r="CA1165" s="115"/>
      <c r="CB1165" s="115"/>
      <c r="CC1165" s="115"/>
      <c r="CD1165" s="115"/>
      <c r="CE1165" s="115"/>
      <c r="CF1165" s="115"/>
      <c r="CG1165" s="115"/>
      <c r="CH1165" s="115"/>
      <c r="CI1165" s="115"/>
      <c r="CJ1165" s="115"/>
      <c r="CK1165" s="115"/>
      <c r="CL1165" s="115"/>
      <c r="CM1165" s="115"/>
      <c r="CN1165" s="115"/>
      <c r="CO1165" s="115"/>
      <c r="CP1165" s="115"/>
      <c r="CQ1165" s="115"/>
      <c r="CR1165" s="115"/>
      <c r="CS1165" s="115"/>
      <c r="CT1165" s="115"/>
      <c r="CU1165" s="115"/>
      <c r="CV1165" s="115"/>
      <c r="CW1165" s="115"/>
      <c r="CX1165" s="115"/>
      <c r="CY1165" s="115"/>
      <c r="CZ1165" s="115"/>
      <c r="DA1165" s="115"/>
      <c r="DB1165" s="115"/>
      <c r="DC1165" s="115"/>
      <c r="DD1165" s="115"/>
      <c r="DE1165" s="115"/>
      <c r="DF1165" s="115"/>
      <c r="DG1165" s="115"/>
    </row>
    <row r="1166" spans="1:111" ht="9" customHeight="1">
      <c r="Q1166" s="417"/>
      <c r="R1166" s="417"/>
      <c r="S1166" s="417"/>
      <c r="T1166" s="417"/>
      <c r="AC1166" s="417"/>
      <c r="AD1166" s="417"/>
      <c r="AE1166" s="417"/>
      <c r="AF1166" s="417"/>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c r="BY1166" s="115"/>
      <c r="BZ1166" s="115"/>
      <c r="CA1166" s="115"/>
      <c r="CB1166" s="115"/>
      <c r="CC1166" s="115"/>
      <c r="CD1166" s="115"/>
      <c r="CE1166" s="115"/>
      <c r="CF1166" s="115"/>
      <c r="CG1166" s="115"/>
      <c r="CH1166" s="115"/>
      <c r="CI1166" s="115"/>
      <c r="CJ1166" s="115"/>
      <c r="CK1166" s="115"/>
      <c r="CL1166" s="115"/>
      <c r="CM1166" s="115"/>
      <c r="CN1166" s="115"/>
      <c r="CO1166" s="115"/>
      <c r="CP1166" s="115"/>
      <c r="CQ1166" s="115"/>
      <c r="CR1166" s="115"/>
      <c r="CS1166" s="115"/>
      <c r="CT1166" s="115"/>
      <c r="CU1166" s="115"/>
      <c r="CV1166" s="115"/>
      <c r="CW1166" s="115"/>
      <c r="CX1166" s="115"/>
      <c r="CY1166" s="115"/>
      <c r="CZ1166" s="115"/>
      <c r="DA1166" s="115"/>
      <c r="DB1166" s="115"/>
      <c r="DC1166" s="115"/>
      <c r="DD1166" s="115"/>
      <c r="DE1166" s="115"/>
      <c r="DF1166" s="115"/>
      <c r="DG1166" s="115"/>
    </row>
    <row r="1167" spans="1:111" ht="4.5" customHeight="1">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c r="BY1167" s="115"/>
      <c r="BZ1167" s="115"/>
      <c r="CA1167" s="115"/>
      <c r="CB1167" s="115"/>
      <c r="CC1167" s="115"/>
      <c r="CD1167" s="115"/>
      <c r="CE1167" s="115"/>
      <c r="CF1167" s="115"/>
      <c r="CG1167" s="115"/>
      <c r="CH1167" s="115"/>
      <c r="CI1167" s="115"/>
      <c r="CJ1167" s="115"/>
      <c r="CK1167" s="115"/>
      <c r="CL1167" s="115"/>
      <c r="CM1167" s="115"/>
      <c r="CN1167" s="115"/>
      <c r="CO1167" s="115"/>
      <c r="CP1167" s="115"/>
      <c r="CQ1167" s="115"/>
      <c r="CR1167" s="115"/>
      <c r="CS1167" s="115"/>
      <c r="CT1167" s="115"/>
      <c r="CU1167" s="115"/>
      <c r="CV1167" s="115"/>
      <c r="CW1167" s="115"/>
      <c r="CX1167" s="115"/>
      <c r="CY1167" s="115"/>
      <c r="CZ1167" s="115"/>
      <c r="DA1167" s="115"/>
      <c r="DB1167" s="115"/>
      <c r="DC1167" s="115"/>
      <c r="DD1167" s="115"/>
      <c r="DE1167" s="115"/>
      <c r="DF1167" s="115"/>
      <c r="DG1167" s="115"/>
    </row>
    <row r="1168" spans="1:111" ht="9" customHeight="1">
      <c r="A1168" s="154"/>
      <c r="B1168" s="154"/>
      <c r="C1168" s="154"/>
      <c r="D1168" s="154"/>
      <c r="E1168" s="154"/>
      <c r="F1168" s="154"/>
      <c r="G1168" s="154"/>
      <c r="H1168" s="154"/>
      <c r="I1168" s="154"/>
      <c r="J1168" s="416" t="str">
        <f>IF(C1154="","","Quantidade:")</f>
        <v/>
      </c>
      <c r="K1168" s="416"/>
      <c r="L1168" s="416"/>
      <c r="M1168" s="416"/>
      <c r="N1168" s="416"/>
      <c r="O1168" s="416"/>
      <c r="P1168" s="154"/>
      <c r="Q1168" s="417"/>
      <c r="R1168" s="417"/>
      <c r="S1168" s="417"/>
      <c r="T1168" s="417"/>
      <c r="U1168" s="154"/>
      <c r="V1168" s="416" t="str">
        <f>IF(C1154="","","Unidade:")</f>
        <v/>
      </c>
      <c r="W1168" s="416"/>
      <c r="X1168" s="416"/>
      <c r="Y1168" s="416"/>
      <c r="Z1168" s="416"/>
      <c r="AA1168" s="416"/>
      <c r="AB1168" s="154"/>
      <c r="AC1168" s="418"/>
      <c r="AD1168" s="418"/>
      <c r="AE1168" s="418"/>
      <c r="AF1168" s="418"/>
      <c r="AG1168" s="418"/>
      <c r="AH1168" s="418"/>
      <c r="AI1168" s="418"/>
      <c r="AJ1168" s="418"/>
      <c r="AK1168" s="418"/>
      <c r="AL1168" s="418"/>
      <c r="AM1168" s="418"/>
      <c r="AN1168" s="418"/>
      <c r="AO1168" s="418"/>
      <c r="AP1168" s="418"/>
      <c r="AQ1168" s="418"/>
      <c r="AR1168" s="418"/>
      <c r="AS1168" s="418"/>
      <c r="AT1168" s="418"/>
      <c r="AU1168" s="418"/>
      <c r="AV1168" s="418"/>
      <c r="AW1168" s="418"/>
      <c r="AX1168" s="418"/>
      <c r="AY1168" s="418"/>
      <c r="AZ1168" s="418"/>
      <c r="BA1168" s="418"/>
      <c r="BB1168" s="154"/>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c r="BY1168" s="115"/>
      <c r="BZ1168" s="115"/>
      <c r="CA1168" s="115"/>
      <c r="CB1168" s="115"/>
      <c r="CC1168" s="115"/>
      <c r="CD1168" s="115"/>
      <c r="CE1168" s="115"/>
      <c r="CF1168" s="115"/>
      <c r="CG1168" s="115"/>
      <c r="CH1168" s="115"/>
      <c r="CI1168" s="115"/>
      <c r="CJ1168" s="115"/>
      <c r="CK1168" s="115"/>
      <c r="CL1168" s="115"/>
      <c r="CM1168" s="115"/>
      <c r="CN1168" s="115"/>
      <c r="CO1168" s="115"/>
      <c r="CP1168" s="115"/>
      <c r="CQ1168" s="115"/>
      <c r="CR1168" s="115"/>
      <c r="CS1168" s="115"/>
      <c r="CT1168" s="115"/>
      <c r="CU1168" s="115"/>
      <c r="CV1168" s="115"/>
      <c r="CW1168" s="115"/>
      <c r="CX1168" s="115"/>
      <c r="CY1168" s="115"/>
      <c r="CZ1168" s="115"/>
      <c r="DA1168" s="115"/>
      <c r="DB1168" s="115"/>
      <c r="DC1168" s="115"/>
      <c r="DD1168" s="115"/>
      <c r="DE1168" s="115"/>
      <c r="DF1168" s="115"/>
      <c r="DG1168" s="115"/>
    </row>
    <row r="1169" spans="1:111" ht="9" customHeight="1">
      <c r="A1169" s="154"/>
      <c r="B1169" s="154"/>
      <c r="C1169" s="154"/>
      <c r="D1169" s="154"/>
      <c r="E1169" s="154"/>
      <c r="F1169" s="154"/>
      <c r="G1169" s="154"/>
      <c r="H1169" s="154"/>
      <c r="I1169" s="154"/>
      <c r="J1169" s="416"/>
      <c r="K1169" s="416"/>
      <c r="L1169" s="416"/>
      <c r="M1169" s="416"/>
      <c r="N1169" s="416"/>
      <c r="O1169" s="416"/>
      <c r="P1169" s="154"/>
      <c r="Q1169" s="417"/>
      <c r="R1169" s="417"/>
      <c r="S1169" s="417"/>
      <c r="T1169" s="417"/>
      <c r="U1169" s="154"/>
      <c r="V1169" s="416"/>
      <c r="W1169" s="416"/>
      <c r="X1169" s="416"/>
      <c r="Y1169" s="416"/>
      <c r="Z1169" s="416"/>
      <c r="AA1169" s="416"/>
      <c r="AB1169" s="154"/>
      <c r="AC1169" s="418"/>
      <c r="AD1169" s="418"/>
      <c r="AE1169" s="418"/>
      <c r="AF1169" s="418"/>
      <c r="AG1169" s="418"/>
      <c r="AH1169" s="418"/>
      <c r="AI1169" s="418"/>
      <c r="AJ1169" s="418"/>
      <c r="AK1169" s="418"/>
      <c r="AL1169" s="418"/>
      <c r="AM1169" s="418"/>
      <c r="AN1169" s="418"/>
      <c r="AO1169" s="418"/>
      <c r="AP1169" s="418"/>
      <c r="AQ1169" s="418"/>
      <c r="AR1169" s="418"/>
      <c r="AS1169" s="418"/>
      <c r="AT1169" s="418"/>
      <c r="AU1169" s="418"/>
      <c r="AV1169" s="418"/>
      <c r="AW1169" s="418"/>
      <c r="AX1169" s="418"/>
      <c r="AY1169" s="418"/>
      <c r="AZ1169" s="418"/>
      <c r="BA1169" s="418"/>
      <c r="BB1169" s="154"/>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c r="BY1169" s="115"/>
      <c r="BZ1169" s="115"/>
      <c r="CA1169" s="115"/>
      <c r="CB1169" s="115"/>
      <c r="CC1169" s="115"/>
      <c r="CD1169" s="115"/>
      <c r="CE1169" s="115"/>
      <c r="CF1169" s="115"/>
      <c r="CG1169" s="115"/>
      <c r="CH1169" s="115"/>
      <c r="CI1169" s="115"/>
      <c r="CJ1169" s="115"/>
      <c r="CK1169" s="115"/>
      <c r="CL1169" s="115"/>
      <c r="CM1169" s="115"/>
      <c r="CN1169" s="115"/>
      <c r="CO1169" s="115"/>
      <c r="CP1169" s="115"/>
      <c r="CQ1169" s="115"/>
      <c r="CR1169" s="115"/>
      <c r="CS1169" s="115"/>
      <c r="CT1169" s="115"/>
      <c r="CU1169" s="115"/>
      <c r="CV1169" s="115"/>
      <c r="CW1169" s="115"/>
      <c r="CX1169" s="115"/>
      <c r="CY1169" s="115"/>
      <c r="CZ1169" s="115"/>
      <c r="DA1169" s="115"/>
      <c r="DB1169" s="115"/>
      <c r="DC1169" s="115"/>
      <c r="DD1169" s="115"/>
      <c r="DE1169" s="115"/>
      <c r="DF1169" s="115"/>
      <c r="DG1169" s="115"/>
    </row>
    <row r="1170" spans="1:111" ht="9" customHeight="1">
      <c r="A1170" s="154"/>
      <c r="B1170" s="154"/>
      <c r="C1170" s="154"/>
      <c r="D1170" s="154"/>
      <c r="E1170" s="154"/>
      <c r="F1170" s="154"/>
      <c r="G1170" s="154"/>
      <c r="H1170" s="154"/>
      <c r="I1170" s="154"/>
      <c r="J1170" s="154"/>
      <c r="K1170" s="154"/>
      <c r="L1170" s="154"/>
      <c r="M1170" s="154"/>
      <c r="N1170" s="154"/>
      <c r="O1170" s="154"/>
      <c r="P1170" s="154"/>
      <c r="Q1170" s="417"/>
      <c r="R1170" s="417"/>
      <c r="S1170" s="417"/>
      <c r="T1170" s="417"/>
      <c r="U1170" s="154"/>
      <c r="V1170" s="154"/>
      <c r="W1170" s="154"/>
      <c r="X1170" s="154"/>
      <c r="Y1170" s="154"/>
      <c r="Z1170" s="154"/>
      <c r="AA1170" s="154"/>
      <c r="AB1170" s="154"/>
      <c r="AC1170" s="418"/>
      <c r="AD1170" s="418"/>
      <c r="AE1170" s="418"/>
      <c r="AF1170" s="418"/>
      <c r="AG1170" s="418"/>
      <c r="AH1170" s="418"/>
      <c r="AI1170" s="418"/>
      <c r="AJ1170" s="418"/>
      <c r="AK1170" s="418"/>
      <c r="AL1170" s="418"/>
      <c r="AM1170" s="418"/>
      <c r="AN1170" s="418"/>
      <c r="AO1170" s="418"/>
      <c r="AP1170" s="418"/>
      <c r="AQ1170" s="418"/>
      <c r="AR1170" s="418"/>
      <c r="AS1170" s="418"/>
      <c r="AT1170" s="418"/>
      <c r="AU1170" s="418"/>
      <c r="AV1170" s="418"/>
      <c r="AW1170" s="418"/>
      <c r="AX1170" s="418"/>
      <c r="AY1170" s="418"/>
      <c r="AZ1170" s="418"/>
      <c r="BA1170" s="418"/>
      <c r="BB1170" s="154"/>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c r="BY1170" s="115"/>
      <c r="BZ1170" s="115"/>
      <c r="CA1170" s="115"/>
      <c r="CB1170" s="115"/>
      <c r="CC1170" s="115"/>
      <c r="CD1170" s="115"/>
      <c r="CE1170" s="115"/>
      <c r="CF1170" s="115"/>
      <c r="CG1170" s="115"/>
      <c r="CH1170" s="115"/>
      <c r="CI1170" s="115"/>
      <c r="CJ1170" s="115"/>
      <c r="CK1170" s="115"/>
      <c r="CL1170" s="115"/>
      <c r="CM1170" s="115"/>
      <c r="CN1170" s="115"/>
      <c r="CO1170" s="115"/>
      <c r="CP1170" s="115"/>
      <c r="CQ1170" s="115"/>
      <c r="CR1170" s="115"/>
      <c r="CS1170" s="115"/>
      <c r="CT1170" s="115"/>
      <c r="CU1170" s="115"/>
      <c r="CV1170" s="115"/>
      <c r="CW1170" s="115"/>
      <c r="CX1170" s="115"/>
      <c r="CY1170" s="115"/>
      <c r="CZ1170" s="115"/>
      <c r="DA1170" s="115"/>
      <c r="DB1170" s="115"/>
      <c r="DC1170" s="115"/>
      <c r="DD1170" s="115"/>
      <c r="DE1170" s="115"/>
      <c r="DF1170" s="115"/>
      <c r="DG1170" s="115"/>
    </row>
    <row r="1171" spans="1:111" ht="4.5" customHeight="1">
      <c r="A1171" s="154"/>
      <c r="B1171" s="154"/>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c r="BY1171" s="115"/>
      <c r="BZ1171" s="115"/>
      <c r="CA1171" s="115"/>
      <c r="CB1171" s="115"/>
      <c r="CC1171" s="115"/>
      <c r="CD1171" s="115"/>
      <c r="CE1171" s="115"/>
      <c r="CF1171" s="115"/>
      <c r="CG1171" s="115"/>
      <c r="CH1171" s="115"/>
      <c r="CI1171" s="115"/>
      <c r="CJ1171" s="115"/>
      <c r="CK1171" s="115"/>
      <c r="CL1171" s="115"/>
      <c r="CM1171" s="115"/>
      <c r="CN1171" s="115"/>
      <c r="CO1171" s="115"/>
      <c r="CP1171" s="115"/>
      <c r="CQ1171" s="115"/>
      <c r="CR1171" s="115"/>
      <c r="CS1171" s="115"/>
      <c r="CT1171" s="115"/>
      <c r="CU1171" s="115"/>
      <c r="CV1171" s="115"/>
      <c r="CW1171" s="115"/>
      <c r="CX1171" s="115"/>
      <c r="CY1171" s="115"/>
      <c r="CZ1171" s="115"/>
      <c r="DA1171" s="115"/>
      <c r="DB1171" s="115"/>
      <c r="DC1171" s="115"/>
      <c r="DD1171" s="115"/>
      <c r="DE1171" s="115"/>
      <c r="DF1171" s="115"/>
      <c r="DG1171" s="115"/>
    </row>
    <row r="1172" spans="1:111" ht="9" customHeight="1">
      <c r="A1172" s="154"/>
      <c r="B1172" s="154"/>
      <c r="C1172" s="154"/>
      <c r="D1172" s="154"/>
      <c r="E1172" s="154"/>
      <c r="F1172" s="154"/>
      <c r="G1172" s="154"/>
      <c r="H1172" s="154"/>
      <c r="I1172" s="154"/>
      <c r="J1172" s="416" t="str">
        <f>IF(C1154="","","Valor Unitário (R$):")</f>
        <v/>
      </c>
      <c r="K1172" s="416"/>
      <c r="L1172" s="416"/>
      <c r="M1172" s="416"/>
      <c r="N1172" s="416"/>
      <c r="O1172" s="416"/>
      <c r="P1172" s="154"/>
      <c r="Q1172" s="419"/>
      <c r="R1172" s="419"/>
      <c r="S1172" s="419"/>
      <c r="T1172" s="419"/>
      <c r="U1172" s="419"/>
      <c r="V1172" s="419"/>
      <c r="W1172" s="419"/>
      <c r="X1172" s="419"/>
      <c r="Y1172" s="154"/>
      <c r="Z1172" s="416" t="str">
        <f>IF(C1154="","",IF(J1160="52 Equipamentos e Material Permanente","Tempo de Uso:",""))</f>
        <v/>
      </c>
      <c r="AA1172" s="416"/>
      <c r="AB1172" s="416"/>
      <c r="AC1172" s="416"/>
      <c r="AD1172" s="416"/>
      <c r="AE1172" s="416"/>
      <c r="AF1172" s="154"/>
      <c r="AG1172" s="420"/>
      <c r="AH1172" s="420"/>
      <c r="AI1172" s="420"/>
      <c r="AJ1172" s="420"/>
      <c r="AK1172" s="420"/>
      <c r="AL1172" s="420"/>
      <c r="AM1172" s="420"/>
      <c r="AN1172" s="420"/>
      <c r="AO1172" s="420"/>
      <c r="AP1172" s="420"/>
      <c r="AQ1172" s="420"/>
      <c r="AR1172" s="420"/>
      <c r="AS1172" s="420"/>
      <c r="AT1172" s="420"/>
      <c r="AU1172" s="420"/>
      <c r="AV1172" s="420"/>
      <c r="AW1172" s="420"/>
      <c r="AX1172" s="420"/>
      <c r="AY1172" s="420"/>
      <c r="AZ1172" s="420"/>
      <c r="BA1172" s="420"/>
      <c r="BB1172" s="154"/>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c r="BY1172" s="115"/>
      <c r="BZ1172" s="115"/>
      <c r="CA1172" s="115"/>
      <c r="CB1172" s="115"/>
      <c r="CC1172" s="115"/>
      <c r="CD1172" s="115"/>
      <c r="CE1172" s="115"/>
      <c r="CF1172" s="115"/>
      <c r="CG1172" s="115"/>
      <c r="CH1172" s="115"/>
      <c r="CI1172" s="115"/>
      <c r="CJ1172" s="115"/>
      <c r="CK1172" s="115"/>
      <c r="CL1172" s="115"/>
      <c r="CM1172" s="115"/>
      <c r="CN1172" s="115"/>
      <c r="CO1172" s="115"/>
      <c r="CP1172" s="115"/>
      <c r="CQ1172" s="115"/>
      <c r="CR1172" s="115"/>
      <c r="CS1172" s="115"/>
      <c r="CT1172" s="115"/>
      <c r="CU1172" s="115"/>
      <c r="CV1172" s="115"/>
      <c r="CW1172" s="115"/>
      <c r="CX1172" s="115"/>
      <c r="CY1172" s="115"/>
      <c r="CZ1172" s="115"/>
      <c r="DA1172" s="115"/>
      <c r="DB1172" s="115"/>
      <c r="DC1172" s="115"/>
      <c r="DD1172" s="115"/>
      <c r="DE1172" s="115"/>
      <c r="DF1172" s="115"/>
      <c r="DG1172" s="115"/>
    </row>
    <row r="1173" spans="1:111" ht="9" customHeight="1">
      <c r="A1173" s="154"/>
      <c r="B1173" s="154"/>
      <c r="C1173" s="154"/>
      <c r="D1173" s="154"/>
      <c r="E1173" s="154"/>
      <c r="F1173" s="154"/>
      <c r="G1173" s="154"/>
      <c r="H1173" s="154"/>
      <c r="I1173" s="154"/>
      <c r="J1173" s="416"/>
      <c r="K1173" s="416"/>
      <c r="L1173" s="416"/>
      <c r="M1173" s="416"/>
      <c r="N1173" s="416"/>
      <c r="O1173" s="416"/>
      <c r="P1173" s="154"/>
      <c r="Q1173" s="419"/>
      <c r="R1173" s="419"/>
      <c r="S1173" s="419"/>
      <c r="T1173" s="419"/>
      <c r="U1173" s="419"/>
      <c r="V1173" s="419"/>
      <c r="W1173" s="419"/>
      <c r="X1173" s="419"/>
      <c r="Y1173" s="154"/>
      <c r="Z1173" s="416"/>
      <c r="AA1173" s="416"/>
      <c r="AB1173" s="416"/>
      <c r="AC1173" s="416"/>
      <c r="AD1173" s="416"/>
      <c r="AE1173" s="416"/>
      <c r="AF1173" s="154"/>
      <c r="AG1173" s="420"/>
      <c r="AH1173" s="420"/>
      <c r="AI1173" s="420"/>
      <c r="AJ1173" s="420"/>
      <c r="AK1173" s="420"/>
      <c r="AL1173" s="420"/>
      <c r="AM1173" s="420"/>
      <c r="AN1173" s="420"/>
      <c r="AO1173" s="420"/>
      <c r="AP1173" s="420"/>
      <c r="AQ1173" s="420"/>
      <c r="AR1173" s="420"/>
      <c r="AS1173" s="420"/>
      <c r="AT1173" s="420"/>
      <c r="AU1173" s="420"/>
      <c r="AV1173" s="420"/>
      <c r="AW1173" s="420"/>
      <c r="AX1173" s="420"/>
      <c r="AY1173" s="420"/>
      <c r="AZ1173" s="420"/>
      <c r="BA1173" s="420"/>
      <c r="BB1173" s="154"/>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c r="BY1173" s="115"/>
      <c r="BZ1173" s="115"/>
      <c r="CA1173" s="115"/>
      <c r="CB1173" s="115"/>
      <c r="CC1173" s="115"/>
      <c r="CD1173" s="115"/>
      <c r="CE1173" s="115"/>
      <c r="CF1173" s="115"/>
      <c r="CG1173" s="115"/>
      <c r="CH1173" s="115"/>
      <c r="CI1173" s="115"/>
      <c r="CJ1173" s="115"/>
      <c r="CK1173" s="115"/>
      <c r="CL1173" s="115"/>
      <c r="CM1173" s="115"/>
      <c r="CN1173" s="115"/>
      <c r="CO1173" s="115"/>
      <c r="CP1173" s="115"/>
      <c r="CQ1173" s="115"/>
      <c r="CR1173" s="115"/>
      <c r="CS1173" s="115"/>
      <c r="CT1173" s="115"/>
      <c r="CU1173" s="115"/>
      <c r="CV1173" s="115"/>
      <c r="CW1173" s="115"/>
      <c r="CX1173" s="115"/>
      <c r="CY1173" s="115"/>
      <c r="CZ1173" s="115"/>
      <c r="DA1173" s="115"/>
      <c r="DB1173" s="115"/>
      <c r="DC1173" s="115"/>
      <c r="DD1173" s="115"/>
      <c r="DE1173" s="115"/>
      <c r="DF1173" s="115"/>
      <c r="DG1173" s="115"/>
    </row>
    <row r="1174" spans="1:111" ht="9" customHeight="1">
      <c r="A1174" s="154"/>
      <c r="B1174" s="154"/>
      <c r="C1174" s="154"/>
      <c r="D1174" s="154"/>
      <c r="E1174" s="154"/>
      <c r="F1174" s="154"/>
      <c r="G1174" s="154"/>
      <c r="H1174" s="154"/>
      <c r="I1174" s="154"/>
      <c r="J1174" s="154"/>
      <c r="K1174" s="154"/>
      <c r="L1174" s="154"/>
      <c r="M1174" s="154"/>
      <c r="N1174" s="154"/>
      <c r="O1174" s="154"/>
      <c r="P1174" s="154"/>
      <c r="Q1174" s="419"/>
      <c r="R1174" s="419"/>
      <c r="S1174" s="419"/>
      <c r="T1174" s="419"/>
      <c r="U1174" s="419"/>
      <c r="V1174" s="419"/>
      <c r="W1174" s="419"/>
      <c r="X1174" s="419"/>
      <c r="Y1174" s="154"/>
      <c r="Z1174" s="154"/>
      <c r="AA1174" s="154"/>
      <c r="AB1174" s="154"/>
      <c r="AC1174" s="154"/>
      <c r="AD1174" s="154"/>
      <c r="AE1174" s="154"/>
      <c r="AF1174" s="154"/>
      <c r="AG1174" s="420"/>
      <c r="AH1174" s="420"/>
      <c r="AI1174" s="420"/>
      <c r="AJ1174" s="420"/>
      <c r="AK1174" s="420"/>
      <c r="AL1174" s="420"/>
      <c r="AM1174" s="420"/>
      <c r="AN1174" s="420"/>
      <c r="AO1174" s="420"/>
      <c r="AP1174" s="420"/>
      <c r="AQ1174" s="420"/>
      <c r="AR1174" s="420"/>
      <c r="AS1174" s="420"/>
      <c r="AT1174" s="420"/>
      <c r="AU1174" s="420"/>
      <c r="AV1174" s="420"/>
      <c r="AW1174" s="420"/>
      <c r="AX1174" s="420"/>
      <c r="AY1174" s="420"/>
      <c r="AZ1174" s="420"/>
      <c r="BA1174" s="420"/>
      <c r="BB1174" s="154"/>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c r="BY1174" s="115"/>
      <c r="BZ1174" s="115"/>
      <c r="CA1174" s="115"/>
      <c r="CB1174" s="115"/>
      <c r="CC1174" s="115"/>
      <c r="CD1174" s="115"/>
      <c r="CE1174" s="115"/>
      <c r="CF1174" s="115"/>
      <c r="CG1174" s="115"/>
      <c r="CH1174" s="115"/>
      <c r="CI1174" s="115"/>
      <c r="CJ1174" s="115"/>
      <c r="CK1174" s="115"/>
      <c r="CL1174" s="115"/>
      <c r="CM1174" s="115"/>
      <c r="CN1174" s="115"/>
      <c r="CO1174" s="115"/>
      <c r="CP1174" s="115"/>
      <c r="CQ1174" s="115"/>
      <c r="CR1174" s="115"/>
      <c r="CS1174" s="115"/>
      <c r="CT1174" s="115"/>
      <c r="CU1174" s="115"/>
      <c r="CV1174" s="115"/>
      <c r="CW1174" s="115"/>
      <c r="CX1174" s="115"/>
      <c r="CY1174" s="115"/>
      <c r="CZ1174" s="115"/>
      <c r="DA1174" s="115"/>
      <c r="DB1174" s="115"/>
      <c r="DC1174" s="115"/>
      <c r="DD1174" s="115"/>
      <c r="DE1174" s="115"/>
      <c r="DF1174" s="115"/>
      <c r="DG1174" s="115"/>
    </row>
    <row r="1175" spans="1:111" ht="4.5" customHeight="1">
      <c r="A1175" s="154"/>
      <c r="B1175" s="154"/>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c r="BY1175" s="115"/>
      <c r="BZ1175" s="115"/>
      <c r="CA1175" s="115"/>
      <c r="CB1175" s="115"/>
      <c r="CC1175" s="115"/>
      <c r="CD1175" s="115"/>
      <c r="CE1175" s="115"/>
      <c r="CF1175" s="115"/>
      <c r="CG1175" s="115"/>
      <c r="CH1175" s="115"/>
      <c r="CI1175" s="115"/>
      <c r="CJ1175" s="115"/>
      <c r="CK1175" s="115"/>
      <c r="CL1175" s="115"/>
      <c r="CM1175" s="115"/>
      <c r="CN1175" s="115"/>
      <c r="CO1175" s="115"/>
      <c r="CP1175" s="115"/>
      <c r="CQ1175" s="115"/>
      <c r="CR1175" s="115"/>
      <c r="CS1175" s="115"/>
      <c r="CT1175" s="115"/>
      <c r="CU1175" s="115"/>
      <c r="CV1175" s="115"/>
      <c r="CW1175" s="115"/>
      <c r="CX1175" s="115"/>
      <c r="CY1175" s="115"/>
      <c r="CZ1175" s="115"/>
      <c r="DA1175" s="115"/>
      <c r="DB1175" s="115"/>
      <c r="DC1175" s="115"/>
      <c r="DD1175" s="115"/>
      <c r="DE1175" s="115"/>
      <c r="DF1175" s="115"/>
      <c r="DG1175" s="115"/>
    </row>
    <row r="1176" spans="1:111" ht="9" customHeight="1">
      <c r="A1176" s="154"/>
      <c r="B1176" s="154"/>
      <c r="C1176" s="154"/>
      <c r="D1176" s="154"/>
      <c r="E1176" s="154"/>
      <c r="F1176" s="154"/>
      <c r="G1176" s="154"/>
      <c r="H1176" s="154"/>
      <c r="I1176" s="154"/>
      <c r="J1176" s="416" t="str">
        <f>IF(C1154="","","Valor Total (R$):")</f>
        <v/>
      </c>
      <c r="K1176" s="416"/>
      <c r="L1176" s="416"/>
      <c r="M1176" s="416"/>
      <c r="N1176" s="416"/>
      <c r="O1176" s="416"/>
      <c r="P1176" s="154"/>
      <c r="Q1176" s="419" t="str">
        <f>IF(Q1172="","",Q1168*Q1172)</f>
        <v/>
      </c>
      <c r="R1176" s="419"/>
      <c r="S1176" s="419"/>
      <c r="T1176" s="419"/>
      <c r="U1176" s="419"/>
      <c r="V1176" s="419"/>
      <c r="W1176" s="419"/>
      <c r="X1176" s="419"/>
      <c r="Y1176" s="154"/>
      <c r="Z1176" s="416" t="str">
        <f>IF(C1154="","",IF(J1160="52 Equipamentos e Material Permanente","Justificativa e Utilização:",""))</f>
        <v/>
      </c>
      <c r="AA1176" s="416"/>
      <c r="AB1176" s="416"/>
      <c r="AC1176" s="416"/>
      <c r="AD1176" s="416"/>
      <c r="AE1176" s="416"/>
      <c r="AF1176" s="154"/>
      <c r="AG1176" s="420"/>
      <c r="AH1176" s="420"/>
      <c r="AI1176" s="420"/>
      <c r="AJ1176" s="420"/>
      <c r="AK1176" s="420"/>
      <c r="AL1176" s="420"/>
      <c r="AM1176" s="420"/>
      <c r="AN1176" s="420"/>
      <c r="AO1176" s="420"/>
      <c r="AP1176" s="420"/>
      <c r="AQ1176" s="420"/>
      <c r="AR1176" s="420"/>
      <c r="AS1176" s="420"/>
      <c r="AT1176" s="420"/>
      <c r="AU1176" s="420"/>
      <c r="AV1176" s="420"/>
      <c r="AW1176" s="420"/>
      <c r="AX1176" s="420"/>
      <c r="AY1176" s="420"/>
      <c r="AZ1176" s="420"/>
      <c r="BA1176" s="420"/>
      <c r="BB1176" s="154"/>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c r="BY1176" s="115"/>
      <c r="BZ1176" s="115"/>
      <c r="CA1176" s="115"/>
      <c r="CB1176" s="115"/>
      <c r="CC1176" s="115"/>
      <c r="CD1176" s="115"/>
      <c r="CE1176" s="115"/>
      <c r="CF1176" s="115"/>
      <c r="CG1176" s="115"/>
      <c r="CH1176" s="115"/>
      <c r="CI1176" s="115"/>
      <c r="CJ1176" s="115"/>
      <c r="CK1176" s="115"/>
      <c r="CL1176" s="115"/>
      <c r="CM1176" s="115"/>
      <c r="CN1176" s="115"/>
      <c r="CO1176" s="115"/>
      <c r="CP1176" s="115"/>
      <c r="CQ1176" s="115"/>
      <c r="CR1176" s="115"/>
      <c r="CS1176" s="115"/>
      <c r="CT1176" s="115"/>
      <c r="CU1176" s="115"/>
      <c r="CV1176" s="115"/>
      <c r="CW1176" s="115"/>
      <c r="CX1176" s="115"/>
      <c r="CY1176" s="115"/>
      <c r="CZ1176" s="115"/>
      <c r="DA1176" s="115"/>
      <c r="DB1176" s="115"/>
      <c r="DC1176" s="115"/>
      <c r="DD1176" s="115"/>
      <c r="DE1176" s="115"/>
      <c r="DF1176" s="115"/>
      <c r="DG1176" s="115"/>
    </row>
    <row r="1177" spans="1:111" ht="9" customHeight="1">
      <c r="A1177" s="154"/>
      <c r="B1177" s="154"/>
      <c r="C1177" s="154"/>
      <c r="D1177" s="154"/>
      <c r="E1177" s="154"/>
      <c r="F1177" s="154"/>
      <c r="G1177" s="154"/>
      <c r="H1177" s="154"/>
      <c r="I1177" s="154"/>
      <c r="J1177" s="416"/>
      <c r="K1177" s="416"/>
      <c r="L1177" s="416"/>
      <c r="M1177" s="416"/>
      <c r="N1177" s="416"/>
      <c r="O1177" s="416"/>
      <c r="P1177" s="154"/>
      <c r="Q1177" s="419"/>
      <c r="R1177" s="419"/>
      <c r="S1177" s="419"/>
      <c r="T1177" s="419"/>
      <c r="U1177" s="419"/>
      <c r="V1177" s="419"/>
      <c r="W1177" s="419"/>
      <c r="X1177" s="419"/>
      <c r="Y1177" s="154"/>
      <c r="Z1177" s="416"/>
      <c r="AA1177" s="416"/>
      <c r="AB1177" s="416"/>
      <c r="AC1177" s="416"/>
      <c r="AD1177" s="416"/>
      <c r="AE1177" s="416"/>
      <c r="AF1177" s="154"/>
      <c r="AG1177" s="420"/>
      <c r="AH1177" s="420"/>
      <c r="AI1177" s="420"/>
      <c r="AJ1177" s="420"/>
      <c r="AK1177" s="420"/>
      <c r="AL1177" s="420"/>
      <c r="AM1177" s="420"/>
      <c r="AN1177" s="420"/>
      <c r="AO1177" s="420"/>
      <c r="AP1177" s="420"/>
      <c r="AQ1177" s="420"/>
      <c r="AR1177" s="420"/>
      <c r="AS1177" s="420"/>
      <c r="AT1177" s="420"/>
      <c r="AU1177" s="420"/>
      <c r="AV1177" s="420"/>
      <c r="AW1177" s="420"/>
      <c r="AX1177" s="420"/>
      <c r="AY1177" s="420"/>
      <c r="AZ1177" s="420"/>
      <c r="BA1177" s="420"/>
      <c r="BB1177" s="154"/>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c r="BY1177" s="115"/>
      <c r="BZ1177" s="115"/>
      <c r="CA1177" s="115"/>
      <c r="CB1177" s="115"/>
      <c r="CC1177" s="115"/>
      <c r="CD1177" s="115"/>
      <c r="CE1177" s="115"/>
      <c r="CF1177" s="115"/>
      <c r="CG1177" s="115"/>
      <c r="CH1177" s="115"/>
      <c r="CI1177" s="115"/>
      <c r="CJ1177" s="115"/>
      <c r="CK1177" s="115"/>
      <c r="CL1177" s="115"/>
      <c r="CM1177" s="115"/>
      <c r="CN1177" s="115"/>
      <c r="CO1177" s="115"/>
      <c r="CP1177" s="115"/>
      <c r="CQ1177" s="115"/>
      <c r="CR1177" s="115"/>
      <c r="CS1177" s="115"/>
      <c r="CT1177" s="115"/>
      <c r="CU1177" s="115"/>
      <c r="CV1177" s="115"/>
      <c r="CW1177" s="115"/>
      <c r="CX1177" s="115"/>
      <c r="CY1177" s="115"/>
      <c r="CZ1177" s="115"/>
      <c r="DA1177" s="115"/>
      <c r="DB1177" s="115"/>
      <c r="DC1177" s="115"/>
      <c r="DD1177" s="115"/>
      <c r="DE1177" s="115"/>
      <c r="DF1177" s="115"/>
      <c r="DG1177" s="115"/>
    </row>
    <row r="1178" spans="1:111" ht="9" customHeight="1">
      <c r="A1178" s="154"/>
      <c r="B1178" s="154"/>
      <c r="C1178" s="154"/>
      <c r="D1178" s="154"/>
      <c r="E1178" s="154"/>
      <c r="F1178" s="154"/>
      <c r="G1178" s="154"/>
      <c r="H1178" s="154"/>
      <c r="I1178" s="154"/>
      <c r="J1178" s="154"/>
      <c r="K1178" s="154"/>
      <c r="L1178" s="154"/>
      <c r="M1178" s="154"/>
      <c r="N1178" s="154"/>
      <c r="O1178" s="154"/>
      <c r="P1178" s="154"/>
      <c r="Q1178" s="419"/>
      <c r="R1178" s="419"/>
      <c r="S1178" s="419"/>
      <c r="T1178" s="419"/>
      <c r="U1178" s="419"/>
      <c r="V1178" s="419"/>
      <c r="W1178" s="419"/>
      <c r="X1178" s="419"/>
      <c r="Y1178" s="154"/>
      <c r="Z1178" s="154"/>
      <c r="AA1178" s="154"/>
      <c r="AB1178" s="154"/>
      <c r="AC1178" s="154"/>
      <c r="AD1178" s="154"/>
      <c r="AE1178" s="154"/>
      <c r="AF1178" s="154"/>
      <c r="AG1178" s="420"/>
      <c r="AH1178" s="420"/>
      <c r="AI1178" s="420"/>
      <c r="AJ1178" s="420"/>
      <c r="AK1178" s="420"/>
      <c r="AL1178" s="420"/>
      <c r="AM1178" s="420"/>
      <c r="AN1178" s="420"/>
      <c r="AO1178" s="420"/>
      <c r="AP1178" s="420"/>
      <c r="AQ1178" s="420"/>
      <c r="AR1178" s="420"/>
      <c r="AS1178" s="420"/>
      <c r="AT1178" s="420"/>
      <c r="AU1178" s="420"/>
      <c r="AV1178" s="420"/>
      <c r="AW1178" s="420"/>
      <c r="AX1178" s="420"/>
      <c r="AY1178" s="420"/>
      <c r="AZ1178" s="420"/>
      <c r="BA1178" s="420"/>
      <c r="BB1178" s="154"/>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c r="BY1178" s="115"/>
      <c r="BZ1178" s="115"/>
      <c r="CA1178" s="115"/>
      <c r="CB1178" s="115"/>
      <c r="CC1178" s="115"/>
      <c r="CD1178" s="115"/>
      <c r="CE1178" s="115"/>
      <c r="CF1178" s="115"/>
      <c r="CG1178" s="115"/>
      <c r="CH1178" s="115"/>
      <c r="CI1178" s="115"/>
      <c r="CJ1178" s="115"/>
      <c r="CK1178" s="115"/>
      <c r="CL1178" s="115"/>
      <c r="CM1178" s="115"/>
      <c r="CN1178" s="115"/>
      <c r="CO1178" s="115"/>
      <c r="CP1178" s="115"/>
      <c r="CQ1178" s="115"/>
      <c r="CR1178" s="115"/>
      <c r="CS1178" s="115"/>
      <c r="CT1178" s="115"/>
      <c r="CU1178" s="115"/>
      <c r="CV1178" s="115"/>
      <c r="CW1178" s="115"/>
      <c r="CX1178" s="115"/>
      <c r="CY1178" s="115"/>
      <c r="CZ1178" s="115"/>
      <c r="DA1178" s="115"/>
      <c r="DB1178" s="115"/>
      <c r="DC1178" s="115"/>
      <c r="DD1178" s="115"/>
      <c r="DE1178" s="115"/>
      <c r="DF1178" s="115"/>
      <c r="DG1178" s="115"/>
    </row>
    <row r="1179" spans="1:111" ht="9" customHeight="1">
      <c r="A1179" s="154"/>
      <c r="B1179" s="154"/>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420"/>
      <c r="AH1179" s="420"/>
      <c r="AI1179" s="420"/>
      <c r="AJ1179" s="420"/>
      <c r="AK1179" s="420"/>
      <c r="AL1179" s="420"/>
      <c r="AM1179" s="420"/>
      <c r="AN1179" s="420"/>
      <c r="AO1179" s="420"/>
      <c r="AP1179" s="420"/>
      <c r="AQ1179" s="420"/>
      <c r="AR1179" s="420"/>
      <c r="AS1179" s="420"/>
      <c r="AT1179" s="420"/>
      <c r="AU1179" s="420"/>
      <c r="AV1179" s="420"/>
      <c r="AW1179" s="420"/>
      <c r="AX1179" s="420"/>
      <c r="AY1179" s="420"/>
      <c r="AZ1179" s="420"/>
      <c r="BA1179" s="420"/>
      <c r="BB1179" s="154"/>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c r="BY1179" s="115"/>
      <c r="BZ1179" s="115"/>
      <c r="CA1179" s="115"/>
      <c r="CB1179" s="115"/>
      <c r="CC1179" s="115"/>
      <c r="CD1179" s="115"/>
      <c r="CE1179" s="115"/>
      <c r="CF1179" s="115"/>
      <c r="CG1179" s="115"/>
      <c r="CH1179" s="115"/>
      <c r="CI1179" s="115"/>
      <c r="CJ1179" s="115"/>
      <c r="CK1179" s="115"/>
      <c r="CL1179" s="115"/>
      <c r="CM1179" s="115"/>
      <c r="CN1179" s="115"/>
      <c r="CO1179" s="115"/>
      <c r="CP1179" s="115"/>
      <c r="CQ1179" s="115"/>
      <c r="CR1179" s="115"/>
      <c r="CS1179" s="115"/>
      <c r="CT1179" s="115"/>
      <c r="CU1179" s="115"/>
      <c r="CV1179" s="115"/>
      <c r="CW1179" s="115"/>
      <c r="CX1179" s="115"/>
      <c r="CY1179" s="115"/>
      <c r="CZ1179" s="115"/>
      <c r="DA1179" s="115"/>
      <c r="DB1179" s="115"/>
      <c r="DC1179" s="115"/>
      <c r="DD1179" s="115"/>
      <c r="DE1179" s="115"/>
      <c r="DF1179" s="115"/>
      <c r="DG1179" s="115"/>
    </row>
    <row r="1180" spans="1:111" ht="9" customHeight="1">
      <c r="A1180" s="154"/>
      <c r="B1180" s="154"/>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420"/>
      <c r="AH1180" s="420"/>
      <c r="AI1180" s="420"/>
      <c r="AJ1180" s="420"/>
      <c r="AK1180" s="420"/>
      <c r="AL1180" s="420"/>
      <c r="AM1180" s="420"/>
      <c r="AN1180" s="420"/>
      <c r="AO1180" s="420"/>
      <c r="AP1180" s="420"/>
      <c r="AQ1180" s="420"/>
      <c r="AR1180" s="420"/>
      <c r="AS1180" s="420"/>
      <c r="AT1180" s="420"/>
      <c r="AU1180" s="420"/>
      <c r="AV1180" s="420"/>
      <c r="AW1180" s="420"/>
      <c r="AX1180" s="420"/>
      <c r="AY1180" s="420"/>
      <c r="AZ1180" s="420"/>
      <c r="BA1180" s="420"/>
      <c r="BB1180" s="154"/>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c r="BY1180" s="115"/>
      <c r="BZ1180" s="115"/>
      <c r="CA1180" s="115"/>
      <c r="CB1180" s="115"/>
      <c r="CC1180" s="115"/>
      <c r="CD1180" s="115"/>
      <c r="CE1180" s="115"/>
      <c r="CF1180" s="115"/>
      <c r="CG1180" s="115"/>
      <c r="CH1180" s="115"/>
      <c r="CI1180" s="115"/>
      <c r="CJ1180" s="115"/>
      <c r="CK1180" s="115"/>
      <c r="CL1180" s="115"/>
      <c r="CM1180" s="115"/>
      <c r="CN1180" s="115"/>
      <c r="CO1180" s="115"/>
      <c r="CP1180" s="115"/>
      <c r="CQ1180" s="115"/>
      <c r="CR1180" s="115"/>
      <c r="CS1180" s="115"/>
      <c r="CT1180" s="115"/>
      <c r="CU1180" s="115"/>
      <c r="CV1180" s="115"/>
      <c r="CW1180" s="115"/>
      <c r="CX1180" s="115"/>
      <c r="CY1180" s="115"/>
      <c r="CZ1180" s="115"/>
      <c r="DA1180" s="115"/>
      <c r="DB1180" s="115"/>
      <c r="DC1180" s="115"/>
      <c r="DD1180" s="115"/>
      <c r="DE1180" s="115"/>
      <c r="DF1180" s="115"/>
      <c r="DG1180" s="115"/>
    </row>
    <row r="1181" spans="1:111" ht="9" customHeight="1">
      <c r="A1181" s="154"/>
      <c r="B1181" s="154"/>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420"/>
      <c r="AH1181" s="420"/>
      <c r="AI1181" s="420"/>
      <c r="AJ1181" s="420"/>
      <c r="AK1181" s="420"/>
      <c r="AL1181" s="420"/>
      <c r="AM1181" s="420"/>
      <c r="AN1181" s="420"/>
      <c r="AO1181" s="420"/>
      <c r="AP1181" s="420"/>
      <c r="AQ1181" s="420"/>
      <c r="AR1181" s="420"/>
      <c r="AS1181" s="420"/>
      <c r="AT1181" s="420"/>
      <c r="AU1181" s="420"/>
      <c r="AV1181" s="420"/>
      <c r="AW1181" s="420"/>
      <c r="AX1181" s="420"/>
      <c r="AY1181" s="420"/>
      <c r="AZ1181" s="420"/>
      <c r="BA1181" s="420"/>
      <c r="BB1181" s="154"/>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c r="BY1181" s="115"/>
      <c r="BZ1181" s="115"/>
      <c r="CA1181" s="115"/>
      <c r="CB1181" s="115"/>
      <c r="CC1181" s="115"/>
      <c r="CD1181" s="115"/>
      <c r="CE1181" s="115"/>
      <c r="CF1181" s="115"/>
      <c r="CG1181" s="115"/>
      <c r="CH1181" s="115"/>
      <c r="CI1181" s="115"/>
      <c r="CJ1181" s="115"/>
      <c r="CK1181" s="115"/>
      <c r="CL1181" s="115"/>
      <c r="CM1181" s="115"/>
      <c r="CN1181" s="115"/>
      <c r="CO1181" s="115"/>
      <c r="CP1181" s="115"/>
      <c r="CQ1181" s="115"/>
      <c r="CR1181" s="115"/>
      <c r="CS1181" s="115"/>
      <c r="CT1181" s="115"/>
      <c r="CU1181" s="115"/>
      <c r="CV1181" s="115"/>
      <c r="CW1181" s="115"/>
      <c r="CX1181" s="115"/>
      <c r="CY1181" s="115"/>
      <c r="CZ1181" s="115"/>
      <c r="DA1181" s="115"/>
      <c r="DB1181" s="115"/>
      <c r="DC1181" s="115"/>
      <c r="DD1181" s="115"/>
      <c r="DE1181" s="115"/>
      <c r="DF1181" s="115"/>
      <c r="DG1181" s="115"/>
    </row>
    <row r="1182" spans="1:111" ht="15" customHeight="1">
      <c r="B1182" s="55"/>
      <c r="C1182" s="55"/>
      <c r="D1182" s="56"/>
      <c r="E1182" s="56"/>
      <c r="F1182" s="56"/>
      <c r="G1182" s="56"/>
      <c r="H1182" s="56"/>
      <c r="I1182" s="56"/>
      <c r="J1182" s="56"/>
      <c r="K1182" s="56"/>
      <c r="L1182" s="56"/>
      <c r="M1182" s="56"/>
      <c r="N1182" s="56"/>
      <c r="O1182" s="56"/>
      <c r="P1182" s="56"/>
      <c r="Q1182" s="56"/>
      <c r="R1182" s="56"/>
      <c r="S1182" s="56"/>
      <c r="T1182" s="56"/>
      <c r="U1182" s="56"/>
      <c r="V1182" s="56"/>
      <c r="W1182" s="56"/>
      <c r="X1182" s="56"/>
      <c r="Y1182" s="56"/>
      <c r="Z1182" s="56"/>
      <c r="AA1182" s="56"/>
      <c r="AB1182" s="56"/>
      <c r="AC1182" s="56"/>
      <c r="AD1182" s="56"/>
      <c r="AE1182" s="56"/>
      <c r="AF1182" s="56"/>
      <c r="AG1182" s="56"/>
      <c r="AH1182" s="56"/>
      <c r="AI1182" s="56"/>
      <c r="AJ1182" s="56"/>
      <c r="AK1182" s="141"/>
      <c r="AL1182" s="141"/>
      <c r="AM1182" s="141"/>
      <c r="AN1182" s="141"/>
      <c r="AO1182" s="140"/>
      <c r="AP1182" s="140"/>
      <c r="AQ1182" s="140"/>
      <c r="AR1182" s="140"/>
      <c r="AS1182" s="142"/>
      <c r="AT1182" s="142"/>
      <c r="AU1182" s="142"/>
      <c r="AV1182" s="142"/>
      <c r="AW1182" s="140"/>
      <c r="AX1182" s="140"/>
      <c r="AY1182" s="140"/>
      <c r="AZ1182" s="140"/>
      <c r="BA1182" s="140"/>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c r="BY1182" s="115"/>
      <c r="BZ1182" s="115"/>
      <c r="CA1182" s="115"/>
      <c r="CB1182" s="115"/>
      <c r="CC1182" s="115"/>
      <c r="CD1182" s="115"/>
      <c r="CE1182" s="115"/>
      <c r="CF1182" s="115"/>
      <c r="CG1182" s="115"/>
      <c r="CH1182" s="115"/>
      <c r="CI1182" s="115"/>
      <c r="CJ1182" s="115"/>
      <c r="CK1182" s="115"/>
      <c r="CL1182" s="115"/>
      <c r="CM1182" s="115"/>
      <c r="CN1182" s="115"/>
      <c r="CO1182" s="115"/>
      <c r="CP1182" s="115"/>
      <c r="CQ1182" s="115"/>
      <c r="CR1182" s="115"/>
      <c r="CS1182" s="115"/>
      <c r="CT1182" s="115"/>
      <c r="CU1182" s="115"/>
      <c r="CV1182" s="115"/>
      <c r="CW1182" s="115"/>
      <c r="CX1182" s="115"/>
      <c r="CY1182" s="115"/>
      <c r="CZ1182" s="115"/>
      <c r="DA1182" s="115"/>
      <c r="DB1182" s="115"/>
      <c r="DC1182" s="115"/>
      <c r="DD1182" s="115"/>
      <c r="DE1182" s="115"/>
      <c r="DF1182" s="115"/>
      <c r="DG1182" s="115"/>
    </row>
    <row r="1183" spans="1:111" ht="15" customHeight="1">
      <c r="B1183" s="55"/>
      <c r="C1183" s="422" t="str">
        <f>IF($AA$165&gt;=36,"DESPESA 36","")</f>
        <v/>
      </c>
      <c r="D1183" s="422"/>
      <c r="E1183" s="422"/>
      <c r="F1183" s="422"/>
      <c r="G1183" s="422"/>
      <c r="H1183" s="422"/>
      <c r="I1183" s="56"/>
      <c r="J1183" s="56"/>
      <c r="K1183" s="56"/>
      <c r="L1183" s="56"/>
      <c r="M1183" s="56"/>
      <c r="N1183" s="56"/>
      <c r="O1183" s="56"/>
      <c r="P1183" s="56"/>
      <c r="Q1183" s="56"/>
      <c r="R1183" s="56"/>
      <c r="S1183" s="56"/>
      <c r="T1183" s="56"/>
      <c r="U1183" s="56"/>
      <c r="V1183" s="56"/>
      <c r="W1183" s="56"/>
      <c r="X1183" s="56"/>
      <c r="Y1183" s="56"/>
      <c r="Z1183" s="56"/>
      <c r="AA1183" s="56"/>
      <c r="AB1183" s="56"/>
      <c r="AC1183" s="56"/>
      <c r="AD1183" s="56"/>
      <c r="AE1183" s="56"/>
      <c r="AF1183" s="56"/>
      <c r="AG1183" s="56"/>
      <c r="AH1183" s="56"/>
      <c r="AI1183" s="56"/>
      <c r="AJ1183" s="56"/>
      <c r="AK1183" s="141"/>
      <c r="AL1183" s="141"/>
      <c r="AM1183" s="141"/>
      <c r="AN1183" s="141"/>
      <c r="AO1183" s="140"/>
      <c r="AP1183" s="140"/>
      <c r="AQ1183" s="140"/>
      <c r="AR1183" s="140"/>
      <c r="AS1183" s="142"/>
      <c r="AT1183" s="142"/>
      <c r="AU1183" s="142"/>
      <c r="AV1183" s="142"/>
      <c r="AW1183" s="140"/>
      <c r="AX1183" s="140"/>
      <c r="AY1183" s="140"/>
      <c r="AZ1183" s="140"/>
      <c r="BA1183" s="140"/>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c r="BY1183" s="115"/>
      <c r="BZ1183" s="115"/>
      <c r="CA1183" s="115"/>
      <c r="CB1183" s="115"/>
      <c r="CC1183" s="115"/>
      <c r="CD1183" s="115"/>
      <c r="CE1183" s="115"/>
      <c r="CF1183" s="115"/>
      <c r="CG1183" s="115"/>
      <c r="CH1183" s="115"/>
      <c r="CI1183" s="115"/>
      <c r="CJ1183" s="115"/>
      <c r="CK1183" s="115"/>
      <c r="CL1183" s="115"/>
      <c r="CM1183" s="115"/>
      <c r="CN1183" s="115"/>
      <c r="CO1183" s="115"/>
      <c r="CP1183" s="115"/>
      <c r="CQ1183" s="115"/>
      <c r="CR1183" s="115"/>
      <c r="CS1183" s="115"/>
      <c r="CT1183" s="115"/>
      <c r="CU1183" s="115"/>
      <c r="CV1183" s="115"/>
      <c r="CW1183" s="115"/>
      <c r="CX1183" s="115"/>
      <c r="CY1183" s="115"/>
      <c r="CZ1183" s="115"/>
      <c r="DA1183" s="115"/>
      <c r="DB1183" s="115"/>
      <c r="DC1183" s="115"/>
      <c r="DD1183" s="115"/>
      <c r="DE1183" s="115"/>
      <c r="DF1183" s="115"/>
      <c r="DG1183" s="115"/>
    </row>
    <row r="1184" spans="1:111" ht="4.5" customHeight="1">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c r="BY1184" s="115"/>
      <c r="BZ1184" s="115"/>
      <c r="CA1184" s="115"/>
      <c r="CB1184" s="115"/>
      <c r="CC1184" s="115"/>
      <c r="CD1184" s="115"/>
      <c r="CE1184" s="115"/>
      <c r="CF1184" s="115"/>
      <c r="CG1184" s="115"/>
      <c r="CH1184" s="115"/>
      <c r="CI1184" s="115"/>
      <c r="CJ1184" s="115"/>
      <c r="CK1184" s="115"/>
      <c r="CL1184" s="115"/>
      <c r="CM1184" s="115"/>
      <c r="CN1184" s="115"/>
      <c r="CO1184" s="115"/>
      <c r="CP1184" s="115"/>
      <c r="CQ1184" s="115"/>
      <c r="CR1184" s="115"/>
      <c r="CS1184" s="115"/>
      <c r="CT1184" s="115"/>
      <c r="CU1184" s="115"/>
      <c r="CV1184" s="115"/>
      <c r="CW1184" s="115"/>
      <c r="CX1184" s="115"/>
      <c r="CY1184" s="115"/>
      <c r="CZ1184" s="115"/>
      <c r="DA1184" s="115"/>
      <c r="DB1184" s="115"/>
      <c r="DC1184" s="115"/>
      <c r="DD1184" s="115"/>
      <c r="DE1184" s="115"/>
      <c r="DF1184" s="115"/>
      <c r="DG1184" s="115"/>
    </row>
    <row r="1185" spans="1:111" ht="9" customHeight="1">
      <c r="C1185" s="416" t="str">
        <f>IF(C1183="","","Descrição da Despesa:")</f>
        <v/>
      </c>
      <c r="D1185" s="416"/>
      <c r="E1185" s="416"/>
      <c r="F1185" s="416"/>
      <c r="G1185" s="416"/>
      <c r="H1185" s="416"/>
      <c r="I1185" s="60"/>
      <c r="J1185" s="421"/>
      <c r="K1185" s="421"/>
      <c r="L1185" s="421"/>
      <c r="M1185" s="421"/>
      <c r="N1185" s="421"/>
      <c r="O1185" s="421"/>
      <c r="P1185" s="421"/>
      <c r="Q1185" s="421"/>
      <c r="R1185" s="421"/>
      <c r="S1185" s="421"/>
      <c r="T1185" s="421"/>
      <c r="U1185" s="421"/>
      <c r="V1185" s="421"/>
      <c r="W1185" s="421"/>
      <c r="X1185" s="421"/>
      <c r="Y1185" s="421"/>
      <c r="Z1185" s="421"/>
      <c r="AA1185" s="421"/>
      <c r="AB1185" s="421"/>
      <c r="AC1185" s="421"/>
      <c r="AD1185" s="421"/>
      <c r="AE1185" s="421"/>
      <c r="AF1185" s="421"/>
      <c r="AG1185" s="421"/>
      <c r="AH1185" s="421"/>
      <c r="AI1185" s="421"/>
      <c r="AJ1185" s="421"/>
      <c r="AK1185" s="421"/>
      <c r="AL1185" s="421"/>
      <c r="AM1185" s="421"/>
      <c r="AN1185" s="421"/>
      <c r="AO1185" s="421"/>
      <c r="AP1185" s="421"/>
      <c r="AQ1185" s="421"/>
      <c r="AR1185" s="421"/>
      <c r="AS1185" s="421"/>
      <c r="AT1185" s="421"/>
      <c r="AU1185" s="421"/>
      <c r="AV1185" s="421"/>
      <c r="AW1185" s="421"/>
      <c r="AX1185" s="421"/>
      <c r="AY1185" s="421"/>
      <c r="AZ1185" s="421"/>
      <c r="BA1185" s="421"/>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c r="BY1185" s="115"/>
      <c r="BZ1185" s="115"/>
      <c r="CA1185" s="115"/>
      <c r="CB1185" s="115"/>
      <c r="CC1185" s="115"/>
      <c r="CD1185" s="115"/>
      <c r="CE1185" s="115"/>
      <c r="CF1185" s="115"/>
      <c r="CG1185" s="115"/>
      <c r="CH1185" s="115"/>
      <c r="CI1185" s="115"/>
      <c r="CJ1185" s="115"/>
      <c r="CK1185" s="115"/>
      <c r="CL1185" s="115"/>
      <c r="CM1185" s="115"/>
      <c r="CN1185" s="115"/>
      <c r="CO1185" s="115"/>
      <c r="CP1185" s="115"/>
      <c r="CQ1185" s="115"/>
      <c r="CR1185" s="115"/>
      <c r="CS1185" s="115"/>
      <c r="CT1185" s="115"/>
      <c r="CU1185" s="115"/>
      <c r="CV1185" s="115"/>
      <c r="CW1185" s="115"/>
      <c r="CX1185" s="115"/>
      <c r="CY1185" s="115"/>
      <c r="CZ1185" s="115"/>
      <c r="DA1185" s="115"/>
      <c r="DB1185" s="115"/>
      <c r="DC1185" s="115"/>
      <c r="DD1185" s="115"/>
      <c r="DE1185" s="115"/>
      <c r="DF1185" s="115"/>
      <c r="DG1185" s="115"/>
    </row>
    <row r="1186" spans="1:111" ht="9" customHeight="1">
      <c r="C1186" s="416"/>
      <c r="D1186" s="416"/>
      <c r="E1186" s="416"/>
      <c r="F1186" s="416"/>
      <c r="G1186" s="416"/>
      <c r="H1186" s="416"/>
      <c r="I1186" s="60"/>
      <c r="J1186" s="421"/>
      <c r="K1186" s="421"/>
      <c r="L1186" s="421"/>
      <c r="M1186" s="421"/>
      <c r="N1186" s="421"/>
      <c r="O1186" s="421"/>
      <c r="P1186" s="421"/>
      <c r="Q1186" s="421"/>
      <c r="R1186" s="421"/>
      <c r="S1186" s="421"/>
      <c r="T1186" s="421"/>
      <c r="U1186" s="421"/>
      <c r="V1186" s="421"/>
      <c r="W1186" s="421"/>
      <c r="X1186" s="421"/>
      <c r="Y1186" s="421"/>
      <c r="Z1186" s="421"/>
      <c r="AA1186" s="421"/>
      <c r="AB1186" s="421"/>
      <c r="AC1186" s="421"/>
      <c r="AD1186" s="421"/>
      <c r="AE1186" s="421"/>
      <c r="AF1186" s="421"/>
      <c r="AG1186" s="421"/>
      <c r="AH1186" s="421"/>
      <c r="AI1186" s="421"/>
      <c r="AJ1186" s="421"/>
      <c r="AK1186" s="421"/>
      <c r="AL1186" s="421"/>
      <c r="AM1186" s="421"/>
      <c r="AN1186" s="421"/>
      <c r="AO1186" s="421"/>
      <c r="AP1186" s="421"/>
      <c r="AQ1186" s="421"/>
      <c r="AR1186" s="421"/>
      <c r="AS1186" s="421"/>
      <c r="AT1186" s="421"/>
      <c r="AU1186" s="421"/>
      <c r="AV1186" s="421"/>
      <c r="AW1186" s="421"/>
      <c r="AX1186" s="421"/>
      <c r="AY1186" s="421"/>
      <c r="AZ1186" s="421"/>
      <c r="BA1186" s="421"/>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c r="BY1186" s="115"/>
      <c r="BZ1186" s="115"/>
      <c r="CA1186" s="115"/>
      <c r="CB1186" s="115"/>
      <c r="CC1186" s="115"/>
      <c r="CD1186" s="115"/>
      <c r="CE1186" s="115"/>
      <c r="CF1186" s="115"/>
      <c r="CG1186" s="115"/>
      <c r="CH1186" s="115"/>
      <c r="CI1186" s="115"/>
      <c r="CJ1186" s="115"/>
      <c r="CK1186" s="115"/>
      <c r="CL1186" s="115"/>
      <c r="CM1186" s="115"/>
      <c r="CN1186" s="115"/>
      <c r="CO1186" s="115"/>
      <c r="CP1186" s="115"/>
      <c r="CQ1186" s="115"/>
      <c r="CR1186" s="115"/>
      <c r="CS1186" s="115"/>
      <c r="CT1186" s="115"/>
      <c r="CU1186" s="115"/>
      <c r="CV1186" s="115"/>
      <c r="CW1186" s="115"/>
      <c r="CX1186" s="115"/>
      <c r="CY1186" s="115"/>
      <c r="CZ1186" s="115"/>
      <c r="DA1186" s="115"/>
      <c r="DB1186" s="115"/>
      <c r="DC1186" s="115"/>
      <c r="DD1186" s="115"/>
      <c r="DE1186" s="115"/>
      <c r="DF1186" s="115"/>
      <c r="DG1186" s="115"/>
    </row>
    <row r="1187" spans="1:111" ht="9" customHeight="1">
      <c r="C1187" s="416"/>
      <c r="D1187" s="416"/>
      <c r="E1187" s="416"/>
      <c r="F1187" s="416"/>
      <c r="G1187" s="416"/>
      <c r="H1187" s="416"/>
      <c r="I1187" s="60"/>
      <c r="J1187" s="421"/>
      <c r="K1187" s="421"/>
      <c r="L1187" s="421"/>
      <c r="M1187" s="421"/>
      <c r="N1187" s="421"/>
      <c r="O1187" s="421"/>
      <c r="P1187" s="421"/>
      <c r="Q1187" s="421"/>
      <c r="R1187" s="421"/>
      <c r="S1187" s="421"/>
      <c r="T1187" s="421"/>
      <c r="U1187" s="421"/>
      <c r="V1187" s="421"/>
      <c r="W1187" s="421"/>
      <c r="X1187" s="421"/>
      <c r="Y1187" s="421"/>
      <c r="Z1187" s="421"/>
      <c r="AA1187" s="421"/>
      <c r="AB1187" s="421"/>
      <c r="AC1187" s="421"/>
      <c r="AD1187" s="421"/>
      <c r="AE1187" s="421"/>
      <c r="AF1187" s="421"/>
      <c r="AG1187" s="421"/>
      <c r="AH1187" s="421"/>
      <c r="AI1187" s="421"/>
      <c r="AJ1187" s="421"/>
      <c r="AK1187" s="421"/>
      <c r="AL1187" s="421"/>
      <c r="AM1187" s="421"/>
      <c r="AN1187" s="421"/>
      <c r="AO1187" s="421"/>
      <c r="AP1187" s="421"/>
      <c r="AQ1187" s="421"/>
      <c r="AR1187" s="421"/>
      <c r="AS1187" s="421"/>
      <c r="AT1187" s="421"/>
      <c r="AU1187" s="421"/>
      <c r="AV1187" s="421"/>
      <c r="AW1187" s="421"/>
      <c r="AX1187" s="421"/>
      <c r="AY1187" s="421"/>
      <c r="AZ1187" s="421"/>
      <c r="BA1187" s="421"/>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c r="BY1187" s="115"/>
      <c r="BZ1187" s="115"/>
      <c r="CA1187" s="115"/>
      <c r="CB1187" s="115"/>
      <c r="CC1187" s="115"/>
      <c r="CD1187" s="115"/>
      <c r="CE1187" s="115"/>
      <c r="CF1187" s="115"/>
      <c r="CG1187" s="115"/>
      <c r="CH1187" s="115"/>
      <c r="CI1187" s="115"/>
      <c r="CJ1187" s="115"/>
      <c r="CK1187" s="115"/>
      <c r="CL1187" s="115"/>
      <c r="CM1187" s="115"/>
      <c r="CN1187" s="115"/>
      <c r="CO1187" s="115"/>
      <c r="CP1187" s="115"/>
      <c r="CQ1187" s="115"/>
      <c r="CR1187" s="115"/>
      <c r="CS1187" s="115"/>
      <c r="CT1187" s="115"/>
      <c r="CU1187" s="115"/>
      <c r="CV1187" s="115"/>
      <c r="CW1187" s="115"/>
      <c r="CX1187" s="115"/>
      <c r="CY1187" s="115"/>
      <c r="CZ1187" s="115"/>
      <c r="DA1187" s="115"/>
      <c r="DB1187" s="115"/>
      <c r="DC1187" s="115"/>
      <c r="DD1187" s="115"/>
      <c r="DE1187" s="115"/>
      <c r="DF1187" s="115"/>
      <c r="DG1187" s="115"/>
    </row>
    <row r="1188" spans="1:111" ht="4.5" customHeight="1">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c r="BY1188" s="115"/>
      <c r="BZ1188" s="115"/>
      <c r="CA1188" s="115"/>
      <c r="CB1188" s="115"/>
      <c r="CC1188" s="115"/>
      <c r="CD1188" s="115"/>
      <c r="CE1188" s="115"/>
      <c r="CF1188" s="115"/>
      <c r="CG1188" s="115"/>
      <c r="CH1188" s="115"/>
      <c r="CI1188" s="115"/>
      <c r="CJ1188" s="115"/>
      <c r="CK1188" s="115"/>
      <c r="CL1188" s="115"/>
      <c r="CM1188" s="115"/>
      <c r="CN1188" s="115"/>
      <c r="CO1188" s="115"/>
      <c r="CP1188" s="115"/>
      <c r="CQ1188" s="115"/>
      <c r="CR1188" s="115"/>
      <c r="CS1188" s="115"/>
      <c r="CT1188" s="115"/>
      <c r="CU1188" s="115"/>
      <c r="CV1188" s="115"/>
      <c r="CW1188" s="115"/>
      <c r="CX1188" s="115"/>
      <c r="CY1188" s="115"/>
      <c r="CZ1188" s="115"/>
      <c r="DA1188" s="115"/>
      <c r="DB1188" s="115"/>
      <c r="DC1188" s="115"/>
      <c r="DD1188" s="115"/>
      <c r="DE1188" s="115"/>
      <c r="DF1188" s="115"/>
      <c r="DG1188" s="115"/>
    </row>
    <row r="1189" spans="1:111" ht="9" customHeight="1">
      <c r="C1189" s="416" t="str">
        <f>IF(C1183="","","Elemento de Despesa:")</f>
        <v/>
      </c>
      <c r="D1189" s="416"/>
      <c r="E1189" s="416"/>
      <c r="F1189" s="416"/>
      <c r="G1189" s="416"/>
      <c r="H1189" s="416"/>
      <c r="J1189" s="421"/>
      <c r="K1189" s="421"/>
      <c r="L1189" s="421"/>
      <c r="M1189" s="421"/>
      <c r="N1189" s="421"/>
      <c r="O1189" s="421"/>
      <c r="P1189" s="421"/>
      <c r="Q1189" s="421"/>
      <c r="R1189" s="421"/>
      <c r="S1189" s="421"/>
      <c r="T1189" s="421"/>
      <c r="U1189" s="421"/>
      <c r="V1189" s="421"/>
      <c r="W1189" s="421"/>
      <c r="X1189" s="421"/>
      <c r="Y1189" s="421"/>
      <c r="Z1189" s="421"/>
      <c r="AA1189" s="421"/>
      <c r="AB1189" s="421"/>
      <c r="AC1189" s="421"/>
      <c r="AD1189" s="421"/>
      <c r="AE1189" s="421"/>
      <c r="AF1189" s="421"/>
      <c r="AG1189" s="421"/>
      <c r="AH1189" s="421"/>
      <c r="AI1189" s="421"/>
      <c r="AJ1189" s="421"/>
      <c r="AK1189" s="421"/>
      <c r="AL1189" s="421"/>
      <c r="AM1189" s="421"/>
      <c r="AN1189" s="421"/>
      <c r="AO1189" s="421"/>
      <c r="AP1189" s="421"/>
      <c r="AQ1189" s="421"/>
      <c r="AR1189" s="421"/>
      <c r="AS1189" s="421"/>
      <c r="AT1189" s="421"/>
      <c r="AU1189" s="421"/>
      <c r="AV1189" s="421"/>
      <c r="AW1189" s="421"/>
      <c r="AX1189" s="421"/>
      <c r="AY1189" s="421"/>
      <c r="AZ1189" s="421"/>
      <c r="BA1189" s="421"/>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c r="BY1189" s="115"/>
      <c r="BZ1189" s="115"/>
      <c r="CA1189" s="115"/>
      <c r="CB1189" s="115"/>
      <c r="CC1189" s="115"/>
      <c r="CD1189" s="115"/>
      <c r="CE1189" s="115"/>
      <c r="CF1189" s="115"/>
      <c r="CG1189" s="115"/>
      <c r="CH1189" s="115"/>
      <c r="CI1189" s="115"/>
      <c r="CJ1189" s="115"/>
      <c r="CK1189" s="115"/>
      <c r="CL1189" s="115"/>
      <c r="CM1189" s="115"/>
      <c r="CN1189" s="115"/>
      <c r="CO1189" s="115"/>
      <c r="CP1189" s="115"/>
      <c r="CQ1189" s="115"/>
      <c r="CR1189" s="115"/>
      <c r="CS1189" s="115"/>
      <c r="CT1189" s="115"/>
      <c r="CU1189" s="115"/>
      <c r="CV1189" s="115"/>
      <c r="CW1189" s="115"/>
      <c r="CX1189" s="115"/>
      <c r="CY1189" s="115"/>
      <c r="CZ1189" s="115"/>
      <c r="DA1189" s="115"/>
      <c r="DB1189" s="115"/>
      <c r="DC1189" s="115"/>
      <c r="DD1189" s="115"/>
      <c r="DE1189" s="115"/>
      <c r="DF1189" s="115"/>
      <c r="DG1189" s="115"/>
    </row>
    <row r="1190" spans="1:111" ht="9" customHeight="1">
      <c r="C1190" s="416"/>
      <c r="D1190" s="416"/>
      <c r="E1190" s="416"/>
      <c r="F1190" s="416"/>
      <c r="G1190" s="416"/>
      <c r="H1190" s="416"/>
      <c r="J1190" s="421"/>
      <c r="K1190" s="421"/>
      <c r="L1190" s="421"/>
      <c r="M1190" s="421"/>
      <c r="N1190" s="421"/>
      <c r="O1190" s="421"/>
      <c r="P1190" s="421"/>
      <c r="Q1190" s="421"/>
      <c r="R1190" s="421"/>
      <c r="S1190" s="421"/>
      <c r="T1190" s="421"/>
      <c r="U1190" s="421"/>
      <c r="V1190" s="421"/>
      <c r="W1190" s="421"/>
      <c r="X1190" s="421"/>
      <c r="Y1190" s="421"/>
      <c r="Z1190" s="421"/>
      <c r="AA1190" s="421"/>
      <c r="AB1190" s="421"/>
      <c r="AC1190" s="421"/>
      <c r="AD1190" s="421"/>
      <c r="AE1190" s="421"/>
      <c r="AF1190" s="421"/>
      <c r="AG1190" s="421"/>
      <c r="AH1190" s="421"/>
      <c r="AI1190" s="421"/>
      <c r="AJ1190" s="421"/>
      <c r="AK1190" s="421"/>
      <c r="AL1190" s="421"/>
      <c r="AM1190" s="421"/>
      <c r="AN1190" s="421"/>
      <c r="AO1190" s="421"/>
      <c r="AP1190" s="421"/>
      <c r="AQ1190" s="421"/>
      <c r="AR1190" s="421"/>
      <c r="AS1190" s="421"/>
      <c r="AT1190" s="421"/>
      <c r="AU1190" s="421"/>
      <c r="AV1190" s="421"/>
      <c r="AW1190" s="421"/>
      <c r="AX1190" s="421"/>
      <c r="AY1190" s="421"/>
      <c r="AZ1190" s="421"/>
      <c r="BA1190" s="421"/>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c r="BY1190" s="115"/>
      <c r="BZ1190" s="115"/>
      <c r="CA1190" s="115"/>
      <c r="CB1190" s="115"/>
      <c r="CC1190" s="115"/>
      <c r="CD1190" s="115"/>
      <c r="CE1190" s="115"/>
      <c r="CF1190" s="115"/>
      <c r="CG1190" s="115"/>
      <c r="CH1190" s="115"/>
      <c r="CI1190" s="115"/>
      <c r="CJ1190" s="115"/>
      <c r="CK1190" s="115"/>
      <c r="CL1190" s="115"/>
      <c r="CM1190" s="115"/>
      <c r="CN1190" s="115"/>
      <c r="CO1190" s="115"/>
      <c r="CP1190" s="115"/>
      <c r="CQ1190" s="115"/>
      <c r="CR1190" s="115"/>
      <c r="CS1190" s="115"/>
      <c r="CT1190" s="115"/>
      <c r="CU1190" s="115"/>
      <c r="CV1190" s="115"/>
      <c r="CW1190" s="115"/>
      <c r="CX1190" s="115"/>
      <c r="CY1190" s="115"/>
      <c r="CZ1190" s="115"/>
      <c r="DA1190" s="115"/>
      <c r="DB1190" s="115"/>
      <c r="DC1190" s="115"/>
      <c r="DD1190" s="115"/>
      <c r="DE1190" s="115"/>
      <c r="DF1190" s="115"/>
      <c r="DG1190" s="115"/>
    </row>
    <row r="1191" spans="1:111" ht="9" customHeight="1">
      <c r="C1191" s="416"/>
      <c r="D1191" s="416"/>
      <c r="E1191" s="416"/>
      <c r="F1191" s="416"/>
      <c r="G1191" s="416"/>
      <c r="H1191" s="416"/>
      <c r="J1191" s="421"/>
      <c r="K1191" s="421"/>
      <c r="L1191" s="421"/>
      <c r="M1191" s="421"/>
      <c r="N1191" s="421"/>
      <c r="O1191" s="421"/>
      <c r="P1191" s="421"/>
      <c r="Q1191" s="421"/>
      <c r="R1191" s="421"/>
      <c r="S1191" s="421"/>
      <c r="T1191" s="421"/>
      <c r="U1191" s="421"/>
      <c r="V1191" s="421"/>
      <c r="W1191" s="421"/>
      <c r="X1191" s="421"/>
      <c r="Y1191" s="421"/>
      <c r="Z1191" s="421"/>
      <c r="AA1191" s="421"/>
      <c r="AB1191" s="421"/>
      <c r="AC1191" s="421"/>
      <c r="AD1191" s="421"/>
      <c r="AE1191" s="421"/>
      <c r="AF1191" s="421"/>
      <c r="AG1191" s="421"/>
      <c r="AH1191" s="421"/>
      <c r="AI1191" s="421"/>
      <c r="AJ1191" s="421"/>
      <c r="AK1191" s="421"/>
      <c r="AL1191" s="421"/>
      <c r="AM1191" s="421"/>
      <c r="AN1191" s="421"/>
      <c r="AO1191" s="421"/>
      <c r="AP1191" s="421"/>
      <c r="AQ1191" s="421"/>
      <c r="AR1191" s="421"/>
      <c r="AS1191" s="421"/>
      <c r="AT1191" s="421"/>
      <c r="AU1191" s="421"/>
      <c r="AV1191" s="421"/>
      <c r="AW1191" s="421"/>
      <c r="AX1191" s="421"/>
      <c r="AY1191" s="421"/>
      <c r="AZ1191" s="421"/>
      <c r="BA1191" s="421"/>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c r="BY1191" s="115"/>
      <c r="BZ1191" s="115"/>
      <c r="CA1191" s="115"/>
      <c r="CB1191" s="115"/>
      <c r="CC1191" s="115"/>
      <c r="CD1191" s="115"/>
      <c r="CE1191" s="115"/>
      <c r="CF1191" s="115"/>
      <c r="CG1191" s="115"/>
      <c r="CH1191" s="115"/>
      <c r="CI1191" s="115"/>
      <c r="CJ1191" s="115"/>
      <c r="CK1191" s="115"/>
      <c r="CL1191" s="115"/>
      <c r="CM1191" s="115"/>
      <c r="CN1191" s="115"/>
      <c r="CO1191" s="115"/>
      <c r="CP1191" s="115"/>
      <c r="CQ1191" s="115"/>
      <c r="CR1191" s="115"/>
      <c r="CS1191" s="115"/>
      <c r="CT1191" s="115"/>
      <c r="CU1191" s="115"/>
      <c r="CV1191" s="115"/>
      <c r="CW1191" s="115"/>
      <c r="CX1191" s="115"/>
      <c r="CY1191" s="115"/>
      <c r="CZ1191" s="115"/>
      <c r="DA1191" s="115"/>
      <c r="DB1191" s="115"/>
      <c r="DC1191" s="115"/>
      <c r="DD1191" s="115"/>
      <c r="DE1191" s="115"/>
      <c r="DF1191" s="115"/>
      <c r="DG1191" s="115"/>
    </row>
    <row r="1192" spans="1:111" ht="4.5" customHeight="1">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c r="BY1192" s="115"/>
      <c r="BZ1192" s="115"/>
      <c r="CA1192" s="115"/>
      <c r="CB1192" s="115"/>
      <c r="CC1192" s="115"/>
      <c r="CD1192" s="115"/>
      <c r="CE1192" s="115"/>
      <c r="CF1192" s="115"/>
      <c r="CG1192" s="115"/>
      <c r="CH1192" s="115"/>
      <c r="CI1192" s="115"/>
      <c r="CJ1192" s="115"/>
      <c r="CK1192" s="115"/>
      <c r="CL1192" s="115"/>
      <c r="CM1192" s="115"/>
      <c r="CN1192" s="115"/>
      <c r="CO1192" s="115"/>
      <c r="CP1192" s="115"/>
      <c r="CQ1192" s="115"/>
      <c r="CR1192" s="115"/>
      <c r="CS1192" s="115"/>
      <c r="CT1192" s="115"/>
      <c r="CU1192" s="115"/>
      <c r="CV1192" s="115"/>
      <c r="CW1192" s="115"/>
      <c r="CX1192" s="115"/>
      <c r="CY1192" s="115"/>
      <c r="CZ1192" s="115"/>
      <c r="DA1192" s="115"/>
      <c r="DB1192" s="115"/>
      <c r="DC1192" s="115"/>
      <c r="DD1192" s="115"/>
      <c r="DE1192" s="115"/>
      <c r="DF1192" s="115"/>
      <c r="DG1192" s="115"/>
    </row>
    <row r="1193" spans="1:111" ht="9" customHeight="1">
      <c r="A1193" s="61" t="str">
        <f>CONCATENATE(Q1193,AC1193)</f>
        <v/>
      </c>
      <c r="J1193" s="416" t="str">
        <f>IF(C1183="","","Meta Vinculada:")</f>
        <v/>
      </c>
      <c r="K1193" s="416"/>
      <c r="L1193" s="416"/>
      <c r="M1193" s="416"/>
      <c r="N1193" s="416"/>
      <c r="O1193" s="416"/>
      <c r="Q1193" s="417"/>
      <c r="R1193" s="417"/>
      <c r="S1193" s="417"/>
      <c r="T1193" s="417"/>
      <c r="U1193" s="56"/>
      <c r="V1193" s="416" t="str">
        <f>IF(C1183="","","Etapa Vinculada:")</f>
        <v/>
      </c>
      <c r="W1193" s="416"/>
      <c r="X1193" s="416"/>
      <c r="Y1193" s="416"/>
      <c r="Z1193" s="416"/>
      <c r="AA1193" s="416"/>
      <c r="AC1193" s="417"/>
      <c r="AD1193" s="417"/>
      <c r="AE1193" s="417"/>
      <c r="AF1193" s="417"/>
      <c r="AG1193" s="56"/>
      <c r="AH1193" s="56"/>
      <c r="AI1193" s="56"/>
      <c r="AJ1193" s="56"/>
      <c r="AK1193" s="141"/>
      <c r="AL1193" s="141"/>
      <c r="AM1193" s="141"/>
      <c r="AN1193" s="141"/>
      <c r="AO1193" s="140"/>
      <c r="AP1193" s="140"/>
      <c r="AQ1193" s="140"/>
      <c r="AR1193" s="140"/>
      <c r="AS1193" s="142"/>
      <c r="AT1193" s="142"/>
      <c r="AU1193" s="142"/>
      <c r="AV1193" s="142"/>
      <c r="AW1193" s="140"/>
      <c r="AX1193" s="140"/>
      <c r="AY1193" s="140"/>
      <c r="AZ1193" s="140"/>
      <c r="BA1193" s="140"/>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c r="BY1193" s="115"/>
      <c r="BZ1193" s="115"/>
      <c r="CA1193" s="115"/>
      <c r="CB1193" s="115"/>
      <c r="CC1193" s="115"/>
      <c r="CD1193" s="115"/>
      <c r="CE1193" s="115"/>
      <c r="CF1193" s="115"/>
      <c r="CG1193" s="115"/>
      <c r="CH1193" s="115"/>
      <c r="CI1193" s="115"/>
      <c r="CJ1193" s="115"/>
      <c r="CK1193" s="115"/>
      <c r="CL1193" s="115"/>
      <c r="CM1193" s="115"/>
      <c r="CN1193" s="115"/>
      <c r="CO1193" s="115"/>
      <c r="CP1193" s="115"/>
      <c r="CQ1193" s="115"/>
      <c r="CR1193" s="115"/>
      <c r="CS1193" s="115"/>
      <c r="CT1193" s="115"/>
      <c r="CU1193" s="115"/>
      <c r="CV1193" s="115"/>
      <c r="CW1193" s="115"/>
      <c r="CX1193" s="115"/>
      <c r="CY1193" s="115"/>
      <c r="CZ1193" s="115"/>
      <c r="DA1193" s="115"/>
      <c r="DB1193" s="115"/>
      <c r="DC1193" s="115"/>
      <c r="DD1193" s="115"/>
      <c r="DE1193" s="115"/>
      <c r="DF1193" s="115"/>
      <c r="DG1193" s="115"/>
    </row>
    <row r="1194" spans="1:111" ht="9" customHeight="1">
      <c r="B1194" s="55"/>
      <c r="C1194" s="55"/>
      <c r="D1194" s="56"/>
      <c r="E1194" s="56"/>
      <c r="F1194" s="56"/>
      <c r="G1194" s="56"/>
      <c r="H1194" s="56"/>
      <c r="I1194" s="56"/>
      <c r="J1194" s="416"/>
      <c r="K1194" s="416"/>
      <c r="L1194" s="416"/>
      <c r="M1194" s="416"/>
      <c r="N1194" s="416"/>
      <c r="O1194" s="416"/>
      <c r="Q1194" s="417"/>
      <c r="R1194" s="417"/>
      <c r="S1194" s="417"/>
      <c r="T1194" s="417"/>
      <c r="U1194" s="56"/>
      <c r="V1194" s="416"/>
      <c r="W1194" s="416"/>
      <c r="X1194" s="416"/>
      <c r="Y1194" s="416"/>
      <c r="Z1194" s="416"/>
      <c r="AA1194" s="416"/>
      <c r="AC1194" s="417"/>
      <c r="AD1194" s="417"/>
      <c r="AE1194" s="417"/>
      <c r="AF1194" s="417"/>
      <c r="AG1194" s="56"/>
      <c r="AH1194" s="56"/>
      <c r="AI1194" s="56"/>
      <c r="AJ1194" s="56"/>
      <c r="AK1194" s="141"/>
      <c r="AL1194" s="141"/>
      <c r="AM1194" s="141"/>
      <c r="AN1194" s="141"/>
      <c r="AO1194" s="140"/>
      <c r="AP1194" s="140"/>
      <c r="AQ1194" s="140"/>
      <c r="AR1194" s="140"/>
      <c r="AS1194" s="142"/>
      <c r="AT1194" s="142"/>
      <c r="AU1194" s="142"/>
      <c r="AV1194" s="142"/>
      <c r="AW1194" s="140"/>
      <c r="AX1194" s="140"/>
      <c r="AY1194" s="140"/>
      <c r="AZ1194" s="140"/>
      <c r="BA1194" s="140"/>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c r="BY1194" s="115"/>
      <c r="BZ1194" s="115"/>
      <c r="CA1194" s="115"/>
      <c r="CB1194" s="115"/>
      <c r="CC1194" s="115"/>
      <c r="CD1194" s="115"/>
      <c r="CE1194" s="115"/>
      <c r="CF1194" s="115"/>
      <c r="CG1194" s="115"/>
      <c r="CH1194" s="115"/>
      <c r="CI1194" s="115"/>
      <c r="CJ1194" s="115"/>
      <c r="CK1194" s="115"/>
      <c r="CL1194" s="115"/>
      <c r="CM1194" s="115"/>
      <c r="CN1194" s="115"/>
      <c r="CO1194" s="115"/>
      <c r="CP1194" s="115"/>
      <c r="CQ1194" s="115"/>
      <c r="CR1194" s="115"/>
      <c r="CS1194" s="115"/>
      <c r="CT1194" s="115"/>
      <c r="CU1194" s="115"/>
      <c r="CV1194" s="115"/>
      <c r="CW1194" s="115"/>
      <c r="CX1194" s="115"/>
      <c r="CY1194" s="115"/>
      <c r="CZ1194" s="115"/>
      <c r="DA1194" s="115"/>
      <c r="DB1194" s="115"/>
      <c r="DC1194" s="115"/>
      <c r="DD1194" s="115"/>
      <c r="DE1194" s="115"/>
      <c r="DF1194" s="115"/>
      <c r="DG1194" s="115"/>
    </row>
    <row r="1195" spans="1:111" ht="9" customHeight="1">
      <c r="Q1195" s="417"/>
      <c r="R1195" s="417"/>
      <c r="S1195" s="417"/>
      <c r="T1195" s="417"/>
      <c r="AC1195" s="417"/>
      <c r="AD1195" s="417"/>
      <c r="AE1195" s="417"/>
      <c r="AF1195" s="417"/>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c r="BY1195" s="115"/>
      <c r="BZ1195" s="115"/>
      <c r="CA1195" s="115"/>
      <c r="CB1195" s="115"/>
      <c r="CC1195" s="115"/>
      <c r="CD1195" s="115"/>
      <c r="CE1195" s="115"/>
      <c r="CF1195" s="115"/>
      <c r="CG1195" s="115"/>
      <c r="CH1195" s="115"/>
      <c r="CI1195" s="115"/>
      <c r="CJ1195" s="115"/>
      <c r="CK1195" s="115"/>
      <c r="CL1195" s="115"/>
      <c r="CM1195" s="115"/>
      <c r="CN1195" s="115"/>
      <c r="CO1195" s="115"/>
      <c r="CP1195" s="115"/>
      <c r="CQ1195" s="115"/>
      <c r="CR1195" s="115"/>
      <c r="CS1195" s="115"/>
      <c r="CT1195" s="115"/>
      <c r="CU1195" s="115"/>
      <c r="CV1195" s="115"/>
      <c r="CW1195" s="115"/>
      <c r="CX1195" s="115"/>
      <c r="CY1195" s="115"/>
      <c r="CZ1195" s="115"/>
      <c r="DA1195" s="115"/>
      <c r="DB1195" s="115"/>
      <c r="DC1195" s="115"/>
      <c r="DD1195" s="115"/>
      <c r="DE1195" s="115"/>
      <c r="DF1195" s="115"/>
      <c r="DG1195" s="115"/>
    </row>
    <row r="1196" spans="1:111" ht="4.5" customHeight="1">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c r="BY1196" s="115"/>
      <c r="BZ1196" s="115"/>
      <c r="CA1196" s="115"/>
      <c r="CB1196" s="115"/>
      <c r="CC1196" s="115"/>
      <c r="CD1196" s="115"/>
      <c r="CE1196" s="115"/>
      <c r="CF1196" s="115"/>
      <c r="CG1196" s="115"/>
      <c r="CH1196" s="115"/>
      <c r="CI1196" s="115"/>
      <c r="CJ1196" s="115"/>
      <c r="CK1196" s="115"/>
      <c r="CL1196" s="115"/>
      <c r="CM1196" s="115"/>
      <c r="CN1196" s="115"/>
      <c r="CO1196" s="115"/>
      <c r="CP1196" s="115"/>
      <c r="CQ1196" s="115"/>
      <c r="CR1196" s="115"/>
      <c r="CS1196" s="115"/>
      <c r="CT1196" s="115"/>
      <c r="CU1196" s="115"/>
      <c r="CV1196" s="115"/>
      <c r="CW1196" s="115"/>
      <c r="CX1196" s="115"/>
      <c r="CY1196" s="115"/>
      <c r="CZ1196" s="115"/>
      <c r="DA1196" s="115"/>
      <c r="DB1196" s="115"/>
      <c r="DC1196" s="115"/>
      <c r="DD1196" s="115"/>
      <c r="DE1196" s="115"/>
      <c r="DF1196" s="115"/>
      <c r="DG1196" s="115"/>
    </row>
    <row r="1197" spans="1:111" ht="9" customHeight="1">
      <c r="A1197" s="154"/>
      <c r="B1197" s="154"/>
      <c r="C1197" s="154"/>
      <c r="D1197" s="154"/>
      <c r="E1197" s="154"/>
      <c r="F1197" s="154"/>
      <c r="G1197" s="154"/>
      <c r="H1197" s="154"/>
      <c r="I1197" s="154"/>
      <c r="J1197" s="416" t="str">
        <f>IF(C1183="","","Quantidade:")</f>
        <v/>
      </c>
      <c r="K1197" s="416"/>
      <c r="L1197" s="416"/>
      <c r="M1197" s="416"/>
      <c r="N1197" s="416"/>
      <c r="O1197" s="416"/>
      <c r="P1197" s="154"/>
      <c r="Q1197" s="417"/>
      <c r="R1197" s="417"/>
      <c r="S1197" s="417"/>
      <c r="T1197" s="417"/>
      <c r="U1197" s="154"/>
      <c r="V1197" s="416" t="str">
        <f>IF(C1183="","","Unidade:")</f>
        <v/>
      </c>
      <c r="W1197" s="416"/>
      <c r="X1197" s="416"/>
      <c r="Y1197" s="416"/>
      <c r="Z1197" s="416"/>
      <c r="AA1197" s="416"/>
      <c r="AB1197" s="154"/>
      <c r="AC1197" s="418"/>
      <c r="AD1197" s="418"/>
      <c r="AE1197" s="418"/>
      <c r="AF1197" s="418"/>
      <c r="AG1197" s="418"/>
      <c r="AH1197" s="418"/>
      <c r="AI1197" s="418"/>
      <c r="AJ1197" s="418"/>
      <c r="AK1197" s="418"/>
      <c r="AL1197" s="418"/>
      <c r="AM1197" s="418"/>
      <c r="AN1197" s="418"/>
      <c r="AO1197" s="418"/>
      <c r="AP1197" s="418"/>
      <c r="AQ1197" s="418"/>
      <c r="AR1197" s="418"/>
      <c r="AS1197" s="418"/>
      <c r="AT1197" s="418"/>
      <c r="AU1197" s="418"/>
      <c r="AV1197" s="418"/>
      <c r="AW1197" s="418"/>
      <c r="AX1197" s="418"/>
      <c r="AY1197" s="418"/>
      <c r="AZ1197" s="418"/>
      <c r="BA1197" s="418"/>
      <c r="BB1197" s="154"/>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c r="BY1197" s="115"/>
      <c r="BZ1197" s="115"/>
      <c r="CA1197" s="115"/>
      <c r="CB1197" s="115"/>
      <c r="CC1197" s="115"/>
      <c r="CD1197" s="115"/>
      <c r="CE1197" s="115"/>
      <c r="CF1197" s="115"/>
      <c r="CG1197" s="115"/>
      <c r="CH1197" s="115"/>
      <c r="CI1197" s="115"/>
      <c r="CJ1197" s="115"/>
      <c r="CK1197" s="115"/>
      <c r="CL1197" s="115"/>
      <c r="CM1197" s="115"/>
      <c r="CN1197" s="115"/>
      <c r="CO1197" s="115"/>
      <c r="CP1197" s="115"/>
      <c r="CQ1197" s="115"/>
      <c r="CR1197" s="115"/>
      <c r="CS1197" s="115"/>
      <c r="CT1197" s="115"/>
      <c r="CU1197" s="115"/>
      <c r="CV1197" s="115"/>
      <c r="CW1197" s="115"/>
      <c r="CX1197" s="115"/>
      <c r="CY1197" s="115"/>
      <c r="CZ1197" s="115"/>
      <c r="DA1197" s="115"/>
      <c r="DB1197" s="115"/>
      <c r="DC1197" s="115"/>
      <c r="DD1197" s="115"/>
      <c r="DE1197" s="115"/>
      <c r="DF1197" s="115"/>
      <c r="DG1197" s="115"/>
    </row>
    <row r="1198" spans="1:111" ht="9" customHeight="1">
      <c r="A1198" s="154"/>
      <c r="B1198" s="154"/>
      <c r="C1198" s="154"/>
      <c r="D1198" s="154"/>
      <c r="E1198" s="154"/>
      <c r="F1198" s="154"/>
      <c r="G1198" s="154"/>
      <c r="H1198" s="154"/>
      <c r="I1198" s="154"/>
      <c r="J1198" s="416"/>
      <c r="K1198" s="416"/>
      <c r="L1198" s="416"/>
      <c r="M1198" s="416"/>
      <c r="N1198" s="416"/>
      <c r="O1198" s="416"/>
      <c r="P1198" s="154"/>
      <c r="Q1198" s="417"/>
      <c r="R1198" s="417"/>
      <c r="S1198" s="417"/>
      <c r="T1198" s="417"/>
      <c r="U1198" s="154"/>
      <c r="V1198" s="416"/>
      <c r="W1198" s="416"/>
      <c r="X1198" s="416"/>
      <c r="Y1198" s="416"/>
      <c r="Z1198" s="416"/>
      <c r="AA1198" s="416"/>
      <c r="AB1198" s="154"/>
      <c r="AC1198" s="418"/>
      <c r="AD1198" s="418"/>
      <c r="AE1198" s="418"/>
      <c r="AF1198" s="418"/>
      <c r="AG1198" s="418"/>
      <c r="AH1198" s="418"/>
      <c r="AI1198" s="418"/>
      <c r="AJ1198" s="418"/>
      <c r="AK1198" s="418"/>
      <c r="AL1198" s="418"/>
      <c r="AM1198" s="418"/>
      <c r="AN1198" s="418"/>
      <c r="AO1198" s="418"/>
      <c r="AP1198" s="418"/>
      <c r="AQ1198" s="418"/>
      <c r="AR1198" s="418"/>
      <c r="AS1198" s="418"/>
      <c r="AT1198" s="418"/>
      <c r="AU1198" s="418"/>
      <c r="AV1198" s="418"/>
      <c r="AW1198" s="418"/>
      <c r="AX1198" s="418"/>
      <c r="AY1198" s="418"/>
      <c r="AZ1198" s="418"/>
      <c r="BA1198" s="418"/>
      <c r="BB1198" s="154"/>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c r="BY1198" s="115"/>
      <c r="BZ1198" s="115"/>
      <c r="CA1198" s="115"/>
      <c r="CB1198" s="115"/>
      <c r="CC1198" s="115"/>
      <c r="CD1198" s="115"/>
      <c r="CE1198" s="115"/>
      <c r="CF1198" s="115"/>
      <c r="CG1198" s="115"/>
      <c r="CH1198" s="115"/>
      <c r="CI1198" s="115"/>
      <c r="CJ1198" s="115"/>
      <c r="CK1198" s="115"/>
      <c r="CL1198" s="115"/>
      <c r="CM1198" s="115"/>
      <c r="CN1198" s="115"/>
      <c r="CO1198" s="115"/>
      <c r="CP1198" s="115"/>
      <c r="CQ1198" s="115"/>
      <c r="CR1198" s="115"/>
      <c r="CS1198" s="115"/>
      <c r="CT1198" s="115"/>
      <c r="CU1198" s="115"/>
      <c r="CV1198" s="115"/>
      <c r="CW1198" s="115"/>
      <c r="CX1198" s="115"/>
      <c r="CY1198" s="115"/>
      <c r="CZ1198" s="115"/>
      <c r="DA1198" s="115"/>
      <c r="DB1198" s="115"/>
      <c r="DC1198" s="115"/>
      <c r="DD1198" s="115"/>
      <c r="DE1198" s="115"/>
      <c r="DF1198" s="115"/>
      <c r="DG1198" s="115"/>
    </row>
    <row r="1199" spans="1:111" ht="9" customHeight="1">
      <c r="A1199" s="154"/>
      <c r="B1199" s="154"/>
      <c r="C1199" s="154"/>
      <c r="D1199" s="154"/>
      <c r="E1199" s="154"/>
      <c r="F1199" s="154"/>
      <c r="G1199" s="154"/>
      <c r="H1199" s="154"/>
      <c r="I1199" s="154"/>
      <c r="J1199" s="154"/>
      <c r="K1199" s="154"/>
      <c r="L1199" s="154"/>
      <c r="M1199" s="154"/>
      <c r="N1199" s="154"/>
      <c r="O1199" s="154"/>
      <c r="P1199" s="154"/>
      <c r="Q1199" s="417"/>
      <c r="R1199" s="417"/>
      <c r="S1199" s="417"/>
      <c r="T1199" s="417"/>
      <c r="U1199" s="154"/>
      <c r="V1199" s="154"/>
      <c r="W1199" s="154"/>
      <c r="X1199" s="154"/>
      <c r="Y1199" s="154"/>
      <c r="Z1199" s="154"/>
      <c r="AA1199" s="154"/>
      <c r="AB1199" s="154"/>
      <c r="AC1199" s="418"/>
      <c r="AD1199" s="418"/>
      <c r="AE1199" s="418"/>
      <c r="AF1199" s="418"/>
      <c r="AG1199" s="418"/>
      <c r="AH1199" s="418"/>
      <c r="AI1199" s="418"/>
      <c r="AJ1199" s="418"/>
      <c r="AK1199" s="418"/>
      <c r="AL1199" s="418"/>
      <c r="AM1199" s="418"/>
      <c r="AN1199" s="418"/>
      <c r="AO1199" s="418"/>
      <c r="AP1199" s="418"/>
      <c r="AQ1199" s="418"/>
      <c r="AR1199" s="418"/>
      <c r="AS1199" s="418"/>
      <c r="AT1199" s="418"/>
      <c r="AU1199" s="418"/>
      <c r="AV1199" s="418"/>
      <c r="AW1199" s="418"/>
      <c r="AX1199" s="418"/>
      <c r="AY1199" s="418"/>
      <c r="AZ1199" s="418"/>
      <c r="BA1199" s="418"/>
      <c r="BB1199" s="154"/>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c r="BY1199" s="115"/>
      <c r="BZ1199" s="115"/>
      <c r="CA1199" s="115"/>
      <c r="CB1199" s="115"/>
      <c r="CC1199" s="115"/>
      <c r="CD1199" s="115"/>
      <c r="CE1199" s="115"/>
      <c r="CF1199" s="115"/>
      <c r="CG1199" s="115"/>
      <c r="CH1199" s="115"/>
      <c r="CI1199" s="115"/>
      <c r="CJ1199" s="115"/>
      <c r="CK1199" s="115"/>
      <c r="CL1199" s="115"/>
      <c r="CM1199" s="115"/>
      <c r="CN1199" s="115"/>
      <c r="CO1199" s="115"/>
      <c r="CP1199" s="115"/>
      <c r="CQ1199" s="115"/>
      <c r="CR1199" s="115"/>
      <c r="CS1199" s="115"/>
      <c r="CT1199" s="115"/>
      <c r="CU1199" s="115"/>
      <c r="CV1199" s="115"/>
      <c r="CW1199" s="115"/>
      <c r="CX1199" s="115"/>
      <c r="CY1199" s="115"/>
      <c r="CZ1199" s="115"/>
      <c r="DA1199" s="115"/>
      <c r="DB1199" s="115"/>
      <c r="DC1199" s="115"/>
      <c r="DD1199" s="115"/>
      <c r="DE1199" s="115"/>
      <c r="DF1199" s="115"/>
      <c r="DG1199" s="115"/>
    </row>
    <row r="1200" spans="1:111" ht="4.5" customHeight="1">
      <c r="A1200" s="154"/>
      <c r="B1200" s="154"/>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c r="BY1200" s="115"/>
      <c r="BZ1200" s="115"/>
      <c r="CA1200" s="115"/>
      <c r="CB1200" s="115"/>
      <c r="CC1200" s="115"/>
      <c r="CD1200" s="115"/>
      <c r="CE1200" s="115"/>
      <c r="CF1200" s="115"/>
      <c r="CG1200" s="115"/>
      <c r="CH1200" s="115"/>
      <c r="CI1200" s="115"/>
      <c r="CJ1200" s="115"/>
      <c r="CK1200" s="115"/>
      <c r="CL1200" s="115"/>
      <c r="CM1200" s="115"/>
      <c r="CN1200" s="115"/>
      <c r="CO1200" s="115"/>
      <c r="CP1200" s="115"/>
      <c r="CQ1200" s="115"/>
      <c r="CR1200" s="115"/>
      <c r="CS1200" s="115"/>
      <c r="CT1200" s="115"/>
      <c r="CU1200" s="115"/>
      <c r="CV1200" s="115"/>
      <c r="CW1200" s="115"/>
      <c r="CX1200" s="115"/>
      <c r="CY1200" s="115"/>
      <c r="CZ1200" s="115"/>
      <c r="DA1200" s="115"/>
      <c r="DB1200" s="115"/>
      <c r="DC1200" s="115"/>
      <c r="DD1200" s="115"/>
      <c r="DE1200" s="115"/>
      <c r="DF1200" s="115"/>
      <c r="DG1200" s="115"/>
    </row>
    <row r="1201" spans="1:111" ht="9" customHeight="1">
      <c r="A1201" s="154"/>
      <c r="B1201" s="154"/>
      <c r="C1201" s="154"/>
      <c r="D1201" s="154"/>
      <c r="E1201" s="154"/>
      <c r="F1201" s="154"/>
      <c r="G1201" s="154"/>
      <c r="H1201" s="154"/>
      <c r="I1201" s="154"/>
      <c r="J1201" s="416" t="str">
        <f>IF(C1183="","","Valor Unitário (R$):")</f>
        <v/>
      </c>
      <c r="K1201" s="416"/>
      <c r="L1201" s="416"/>
      <c r="M1201" s="416"/>
      <c r="N1201" s="416"/>
      <c r="O1201" s="416"/>
      <c r="P1201" s="154"/>
      <c r="Q1201" s="419"/>
      <c r="R1201" s="419"/>
      <c r="S1201" s="419"/>
      <c r="T1201" s="419"/>
      <c r="U1201" s="419"/>
      <c r="V1201" s="419"/>
      <c r="W1201" s="419"/>
      <c r="X1201" s="419"/>
      <c r="Y1201" s="154"/>
      <c r="Z1201" s="416" t="str">
        <f>IF(C1183="","",IF(J1189="52 Equipamentos e Material Permanente","Tempo de Uso:",""))</f>
        <v/>
      </c>
      <c r="AA1201" s="416"/>
      <c r="AB1201" s="416"/>
      <c r="AC1201" s="416"/>
      <c r="AD1201" s="416"/>
      <c r="AE1201" s="416"/>
      <c r="AF1201" s="154"/>
      <c r="AG1201" s="420"/>
      <c r="AH1201" s="420"/>
      <c r="AI1201" s="420"/>
      <c r="AJ1201" s="420"/>
      <c r="AK1201" s="420"/>
      <c r="AL1201" s="420"/>
      <c r="AM1201" s="420"/>
      <c r="AN1201" s="420"/>
      <c r="AO1201" s="420"/>
      <c r="AP1201" s="420"/>
      <c r="AQ1201" s="420"/>
      <c r="AR1201" s="420"/>
      <c r="AS1201" s="420"/>
      <c r="AT1201" s="420"/>
      <c r="AU1201" s="420"/>
      <c r="AV1201" s="420"/>
      <c r="AW1201" s="420"/>
      <c r="AX1201" s="420"/>
      <c r="AY1201" s="420"/>
      <c r="AZ1201" s="420"/>
      <c r="BA1201" s="420"/>
      <c r="BB1201" s="154"/>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c r="BY1201" s="115"/>
      <c r="BZ1201" s="115"/>
      <c r="CA1201" s="115"/>
      <c r="CB1201" s="115"/>
      <c r="CC1201" s="115"/>
      <c r="CD1201" s="115"/>
      <c r="CE1201" s="115"/>
      <c r="CF1201" s="115"/>
      <c r="CG1201" s="115"/>
      <c r="CH1201" s="115"/>
      <c r="CI1201" s="115"/>
      <c r="CJ1201" s="115"/>
      <c r="CK1201" s="115"/>
      <c r="CL1201" s="115"/>
      <c r="CM1201" s="115"/>
      <c r="CN1201" s="115"/>
      <c r="CO1201" s="115"/>
      <c r="CP1201" s="115"/>
      <c r="CQ1201" s="115"/>
      <c r="CR1201" s="115"/>
      <c r="CS1201" s="115"/>
      <c r="CT1201" s="115"/>
      <c r="CU1201" s="115"/>
      <c r="CV1201" s="115"/>
      <c r="CW1201" s="115"/>
      <c r="CX1201" s="115"/>
      <c r="CY1201" s="115"/>
      <c r="CZ1201" s="115"/>
      <c r="DA1201" s="115"/>
      <c r="DB1201" s="115"/>
      <c r="DC1201" s="115"/>
      <c r="DD1201" s="115"/>
      <c r="DE1201" s="115"/>
      <c r="DF1201" s="115"/>
      <c r="DG1201" s="115"/>
    </row>
    <row r="1202" spans="1:111" ht="9" customHeight="1">
      <c r="A1202" s="154"/>
      <c r="B1202" s="154"/>
      <c r="C1202" s="154"/>
      <c r="D1202" s="154"/>
      <c r="E1202" s="154"/>
      <c r="F1202" s="154"/>
      <c r="G1202" s="154"/>
      <c r="H1202" s="154"/>
      <c r="I1202" s="154"/>
      <c r="J1202" s="416"/>
      <c r="K1202" s="416"/>
      <c r="L1202" s="416"/>
      <c r="M1202" s="416"/>
      <c r="N1202" s="416"/>
      <c r="O1202" s="416"/>
      <c r="P1202" s="154"/>
      <c r="Q1202" s="419"/>
      <c r="R1202" s="419"/>
      <c r="S1202" s="419"/>
      <c r="T1202" s="419"/>
      <c r="U1202" s="419"/>
      <c r="V1202" s="419"/>
      <c r="W1202" s="419"/>
      <c r="X1202" s="419"/>
      <c r="Y1202" s="154"/>
      <c r="Z1202" s="416"/>
      <c r="AA1202" s="416"/>
      <c r="AB1202" s="416"/>
      <c r="AC1202" s="416"/>
      <c r="AD1202" s="416"/>
      <c r="AE1202" s="416"/>
      <c r="AF1202" s="154"/>
      <c r="AG1202" s="420"/>
      <c r="AH1202" s="420"/>
      <c r="AI1202" s="420"/>
      <c r="AJ1202" s="420"/>
      <c r="AK1202" s="420"/>
      <c r="AL1202" s="420"/>
      <c r="AM1202" s="420"/>
      <c r="AN1202" s="420"/>
      <c r="AO1202" s="420"/>
      <c r="AP1202" s="420"/>
      <c r="AQ1202" s="420"/>
      <c r="AR1202" s="420"/>
      <c r="AS1202" s="420"/>
      <c r="AT1202" s="420"/>
      <c r="AU1202" s="420"/>
      <c r="AV1202" s="420"/>
      <c r="AW1202" s="420"/>
      <c r="AX1202" s="420"/>
      <c r="AY1202" s="420"/>
      <c r="AZ1202" s="420"/>
      <c r="BA1202" s="420"/>
      <c r="BB1202" s="154"/>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c r="BY1202" s="115"/>
      <c r="BZ1202" s="115"/>
      <c r="CA1202" s="115"/>
      <c r="CB1202" s="115"/>
      <c r="CC1202" s="115"/>
      <c r="CD1202" s="115"/>
      <c r="CE1202" s="115"/>
      <c r="CF1202" s="115"/>
      <c r="CG1202" s="115"/>
      <c r="CH1202" s="115"/>
      <c r="CI1202" s="115"/>
      <c r="CJ1202" s="115"/>
      <c r="CK1202" s="115"/>
      <c r="CL1202" s="115"/>
      <c r="CM1202" s="115"/>
      <c r="CN1202" s="115"/>
      <c r="CO1202" s="115"/>
      <c r="CP1202" s="115"/>
      <c r="CQ1202" s="115"/>
      <c r="CR1202" s="115"/>
      <c r="CS1202" s="115"/>
      <c r="CT1202" s="115"/>
      <c r="CU1202" s="115"/>
      <c r="CV1202" s="115"/>
      <c r="CW1202" s="115"/>
      <c r="CX1202" s="115"/>
      <c r="CY1202" s="115"/>
      <c r="CZ1202" s="115"/>
      <c r="DA1202" s="115"/>
      <c r="DB1202" s="115"/>
      <c r="DC1202" s="115"/>
      <c r="DD1202" s="115"/>
      <c r="DE1202" s="115"/>
      <c r="DF1202" s="115"/>
      <c r="DG1202" s="115"/>
    </row>
    <row r="1203" spans="1:111" ht="9" customHeight="1">
      <c r="A1203" s="154"/>
      <c r="B1203" s="154"/>
      <c r="C1203" s="154"/>
      <c r="D1203" s="154"/>
      <c r="E1203" s="154"/>
      <c r="F1203" s="154"/>
      <c r="G1203" s="154"/>
      <c r="H1203" s="154"/>
      <c r="I1203" s="154"/>
      <c r="J1203" s="154"/>
      <c r="K1203" s="154"/>
      <c r="L1203" s="154"/>
      <c r="M1203" s="154"/>
      <c r="N1203" s="154"/>
      <c r="O1203" s="154"/>
      <c r="P1203" s="154"/>
      <c r="Q1203" s="419"/>
      <c r="R1203" s="419"/>
      <c r="S1203" s="419"/>
      <c r="T1203" s="419"/>
      <c r="U1203" s="419"/>
      <c r="V1203" s="419"/>
      <c r="W1203" s="419"/>
      <c r="X1203" s="419"/>
      <c r="Y1203" s="154"/>
      <c r="Z1203" s="154"/>
      <c r="AA1203" s="154"/>
      <c r="AB1203" s="154"/>
      <c r="AC1203" s="154"/>
      <c r="AD1203" s="154"/>
      <c r="AE1203" s="154"/>
      <c r="AF1203" s="154"/>
      <c r="AG1203" s="420"/>
      <c r="AH1203" s="420"/>
      <c r="AI1203" s="420"/>
      <c r="AJ1203" s="420"/>
      <c r="AK1203" s="420"/>
      <c r="AL1203" s="420"/>
      <c r="AM1203" s="420"/>
      <c r="AN1203" s="420"/>
      <c r="AO1203" s="420"/>
      <c r="AP1203" s="420"/>
      <c r="AQ1203" s="420"/>
      <c r="AR1203" s="420"/>
      <c r="AS1203" s="420"/>
      <c r="AT1203" s="420"/>
      <c r="AU1203" s="420"/>
      <c r="AV1203" s="420"/>
      <c r="AW1203" s="420"/>
      <c r="AX1203" s="420"/>
      <c r="AY1203" s="420"/>
      <c r="AZ1203" s="420"/>
      <c r="BA1203" s="420"/>
      <c r="BB1203" s="154"/>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c r="BY1203" s="115"/>
      <c r="BZ1203" s="115"/>
      <c r="CA1203" s="115"/>
      <c r="CB1203" s="115"/>
      <c r="CC1203" s="115"/>
      <c r="CD1203" s="115"/>
      <c r="CE1203" s="115"/>
      <c r="CF1203" s="115"/>
      <c r="CG1203" s="115"/>
      <c r="CH1203" s="115"/>
      <c r="CI1203" s="115"/>
      <c r="CJ1203" s="115"/>
      <c r="CK1203" s="115"/>
      <c r="CL1203" s="115"/>
      <c r="CM1203" s="115"/>
      <c r="CN1203" s="115"/>
      <c r="CO1203" s="115"/>
      <c r="CP1203" s="115"/>
      <c r="CQ1203" s="115"/>
      <c r="CR1203" s="115"/>
      <c r="CS1203" s="115"/>
      <c r="CT1203" s="115"/>
      <c r="CU1203" s="115"/>
      <c r="CV1203" s="115"/>
      <c r="CW1203" s="115"/>
      <c r="CX1203" s="115"/>
      <c r="CY1203" s="115"/>
      <c r="CZ1203" s="115"/>
      <c r="DA1203" s="115"/>
      <c r="DB1203" s="115"/>
      <c r="DC1203" s="115"/>
      <c r="DD1203" s="115"/>
      <c r="DE1203" s="115"/>
      <c r="DF1203" s="115"/>
      <c r="DG1203" s="115"/>
    </row>
    <row r="1204" spans="1:111" ht="4.5" customHeight="1">
      <c r="A1204" s="154"/>
      <c r="B1204" s="154"/>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c r="BY1204" s="115"/>
      <c r="BZ1204" s="115"/>
      <c r="CA1204" s="115"/>
      <c r="CB1204" s="115"/>
      <c r="CC1204" s="115"/>
      <c r="CD1204" s="115"/>
      <c r="CE1204" s="115"/>
      <c r="CF1204" s="115"/>
      <c r="CG1204" s="115"/>
      <c r="CH1204" s="115"/>
      <c r="CI1204" s="115"/>
      <c r="CJ1204" s="115"/>
      <c r="CK1204" s="115"/>
      <c r="CL1204" s="115"/>
      <c r="CM1204" s="115"/>
      <c r="CN1204" s="115"/>
      <c r="CO1204" s="115"/>
      <c r="CP1204" s="115"/>
      <c r="CQ1204" s="115"/>
      <c r="CR1204" s="115"/>
      <c r="CS1204" s="115"/>
      <c r="CT1204" s="115"/>
      <c r="CU1204" s="115"/>
      <c r="CV1204" s="115"/>
      <c r="CW1204" s="115"/>
      <c r="CX1204" s="115"/>
      <c r="CY1204" s="115"/>
      <c r="CZ1204" s="115"/>
      <c r="DA1204" s="115"/>
      <c r="DB1204" s="115"/>
      <c r="DC1204" s="115"/>
      <c r="DD1204" s="115"/>
      <c r="DE1204" s="115"/>
      <c r="DF1204" s="115"/>
      <c r="DG1204" s="115"/>
    </row>
    <row r="1205" spans="1:111" ht="9" customHeight="1">
      <c r="A1205" s="154"/>
      <c r="B1205" s="154"/>
      <c r="C1205" s="154"/>
      <c r="D1205" s="154"/>
      <c r="E1205" s="154"/>
      <c r="F1205" s="154"/>
      <c r="G1205" s="154"/>
      <c r="H1205" s="154"/>
      <c r="I1205" s="154"/>
      <c r="J1205" s="416" t="str">
        <f>IF(C1183="","","Valor Total (R$):")</f>
        <v/>
      </c>
      <c r="K1205" s="416"/>
      <c r="L1205" s="416"/>
      <c r="M1205" s="416"/>
      <c r="N1205" s="416"/>
      <c r="O1205" s="416"/>
      <c r="P1205" s="154"/>
      <c r="Q1205" s="419" t="str">
        <f>IF(Q1201="","",Q1197*Q1201)</f>
        <v/>
      </c>
      <c r="R1205" s="419"/>
      <c r="S1205" s="419"/>
      <c r="T1205" s="419"/>
      <c r="U1205" s="419"/>
      <c r="V1205" s="419"/>
      <c r="W1205" s="419"/>
      <c r="X1205" s="419"/>
      <c r="Y1205" s="154"/>
      <c r="Z1205" s="416" t="str">
        <f>IF(C1183="","",IF(J1189="52 Equipamentos e Material Permanente","Justificativa e Utilização:",""))</f>
        <v/>
      </c>
      <c r="AA1205" s="416"/>
      <c r="AB1205" s="416"/>
      <c r="AC1205" s="416"/>
      <c r="AD1205" s="416"/>
      <c r="AE1205" s="416"/>
      <c r="AF1205" s="154"/>
      <c r="AG1205" s="420"/>
      <c r="AH1205" s="420"/>
      <c r="AI1205" s="420"/>
      <c r="AJ1205" s="420"/>
      <c r="AK1205" s="420"/>
      <c r="AL1205" s="420"/>
      <c r="AM1205" s="420"/>
      <c r="AN1205" s="420"/>
      <c r="AO1205" s="420"/>
      <c r="AP1205" s="420"/>
      <c r="AQ1205" s="420"/>
      <c r="AR1205" s="420"/>
      <c r="AS1205" s="420"/>
      <c r="AT1205" s="420"/>
      <c r="AU1205" s="420"/>
      <c r="AV1205" s="420"/>
      <c r="AW1205" s="420"/>
      <c r="AX1205" s="420"/>
      <c r="AY1205" s="420"/>
      <c r="AZ1205" s="420"/>
      <c r="BA1205" s="420"/>
      <c r="BB1205" s="154"/>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c r="BY1205" s="115"/>
      <c r="BZ1205" s="115"/>
      <c r="CA1205" s="115"/>
      <c r="CB1205" s="115"/>
      <c r="CC1205" s="115"/>
      <c r="CD1205" s="115"/>
      <c r="CE1205" s="115"/>
      <c r="CF1205" s="115"/>
      <c r="CG1205" s="115"/>
      <c r="CH1205" s="115"/>
      <c r="CI1205" s="115"/>
      <c r="CJ1205" s="115"/>
      <c r="CK1205" s="115"/>
      <c r="CL1205" s="115"/>
      <c r="CM1205" s="115"/>
      <c r="CN1205" s="115"/>
      <c r="CO1205" s="115"/>
      <c r="CP1205" s="115"/>
      <c r="CQ1205" s="115"/>
      <c r="CR1205" s="115"/>
      <c r="CS1205" s="115"/>
      <c r="CT1205" s="115"/>
      <c r="CU1205" s="115"/>
      <c r="CV1205" s="115"/>
      <c r="CW1205" s="115"/>
      <c r="CX1205" s="115"/>
      <c r="CY1205" s="115"/>
      <c r="CZ1205" s="115"/>
      <c r="DA1205" s="115"/>
      <c r="DB1205" s="115"/>
      <c r="DC1205" s="115"/>
      <c r="DD1205" s="115"/>
      <c r="DE1205" s="115"/>
      <c r="DF1205" s="115"/>
      <c r="DG1205" s="115"/>
    </row>
    <row r="1206" spans="1:111" ht="9" customHeight="1">
      <c r="A1206" s="154"/>
      <c r="B1206" s="154"/>
      <c r="C1206" s="154"/>
      <c r="D1206" s="154"/>
      <c r="E1206" s="154"/>
      <c r="F1206" s="154"/>
      <c r="G1206" s="154"/>
      <c r="H1206" s="154"/>
      <c r="I1206" s="154"/>
      <c r="J1206" s="416"/>
      <c r="K1206" s="416"/>
      <c r="L1206" s="416"/>
      <c r="M1206" s="416"/>
      <c r="N1206" s="416"/>
      <c r="O1206" s="416"/>
      <c r="P1206" s="154"/>
      <c r="Q1206" s="419"/>
      <c r="R1206" s="419"/>
      <c r="S1206" s="419"/>
      <c r="T1206" s="419"/>
      <c r="U1206" s="419"/>
      <c r="V1206" s="419"/>
      <c r="W1206" s="419"/>
      <c r="X1206" s="419"/>
      <c r="Y1206" s="154"/>
      <c r="Z1206" s="416"/>
      <c r="AA1206" s="416"/>
      <c r="AB1206" s="416"/>
      <c r="AC1206" s="416"/>
      <c r="AD1206" s="416"/>
      <c r="AE1206" s="416"/>
      <c r="AF1206" s="154"/>
      <c r="AG1206" s="420"/>
      <c r="AH1206" s="420"/>
      <c r="AI1206" s="420"/>
      <c r="AJ1206" s="420"/>
      <c r="AK1206" s="420"/>
      <c r="AL1206" s="420"/>
      <c r="AM1206" s="420"/>
      <c r="AN1206" s="420"/>
      <c r="AO1206" s="420"/>
      <c r="AP1206" s="420"/>
      <c r="AQ1206" s="420"/>
      <c r="AR1206" s="420"/>
      <c r="AS1206" s="420"/>
      <c r="AT1206" s="420"/>
      <c r="AU1206" s="420"/>
      <c r="AV1206" s="420"/>
      <c r="AW1206" s="420"/>
      <c r="AX1206" s="420"/>
      <c r="AY1206" s="420"/>
      <c r="AZ1206" s="420"/>
      <c r="BA1206" s="420"/>
      <c r="BB1206" s="154"/>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c r="BY1206" s="115"/>
      <c r="BZ1206" s="115"/>
      <c r="CA1206" s="115"/>
      <c r="CB1206" s="115"/>
      <c r="CC1206" s="115"/>
      <c r="CD1206" s="115"/>
      <c r="CE1206" s="115"/>
      <c r="CF1206" s="115"/>
      <c r="CG1206" s="115"/>
      <c r="CH1206" s="115"/>
      <c r="CI1206" s="115"/>
      <c r="CJ1206" s="115"/>
      <c r="CK1206" s="115"/>
      <c r="CL1206" s="115"/>
      <c r="CM1206" s="115"/>
      <c r="CN1206" s="115"/>
      <c r="CO1206" s="115"/>
      <c r="CP1206" s="115"/>
      <c r="CQ1206" s="115"/>
      <c r="CR1206" s="115"/>
      <c r="CS1206" s="115"/>
      <c r="CT1206" s="115"/>
      <c r="CU1206" s="115"/>
      <c r="CV1206" s="115"/>
      <c r="CW1206" s="115"/>
      <c r="CX1206" s="115"/>
      <c r="CY1206" s="115"/>
      <c r="CZ1206" s="115"/>
      <c r="DA1206" s="115"/>
      <c r="DB1206" s="115"/>
      <c r="DC1206" s="115"/>
      <c r="DD1206" s="115"/>
      <c r="DE1206" s="115"/>
      <c r="DF1206" s="115"/>
      <c r="DG1206" s="115"/>
    </row>
    <row r="1207" spans="1:111" ht="9" customHeight="1">
      <c r="A1207" s="154"/>
      <c r="B1207" s="154"/>
      <c r="C1207" s="154"/>
      <c r="D1207" s="154"/>
      <c r="E1207" s="154"/>
      <c r="F1207" s="154"/>
      <c r="G1207" s="154"/>
      <c r="H1207" s="154"/>
      <c r="I1207" s="154"/>
      <c r="J1207" s="154"/>
      <c r="K1207" s="154"/>
      <c r="L1207" s="154"/>
      <c r="M1207" s="154"/>
      <c r="N1207" s="154"/>
      <c r="O1207" s="154"/>
      <c r="P1207" s="154"/>
      <c r="Q1207" s="419"/>
      <c r="R1207" s="419"/>
      <c r="S1207" s="419"/>
      <c r="T1207" s="419"/>
      <c r="U1207" s="419"/>
      <c r="V1207" s="419"/>
      <c r="W1207" s="419"/>
      <c r="X1207" s="419"/>
      <c r="Y1207" s="154"/>
      <c r="Z1207" s="154"/>
      <c r="AA1207" s="154"/>
      <c r="AB1207" s="154"/>
      <c r="AC1207" s="154"/>
      <c r="AD1207" s="154"/>
      <c r="AE1207" s="154"/>
      <c r="AF1207" s="154"/>
      <c r="AG1207" s="420"/>
      <c r="AH1207" s="420"/>
      <c r="AI1207" s="420"/>
      <c r="AJ1207" s="420"/>
      <c r="AK1207" s="420"/>
      <c r="AL1207" s="420"/>
      <c r="AM1207" s="420"/>
      <c r="AN1207" s="420"/>
      <c r="AO1207" s="420"/>
      <c r="AP1207" s="420"/>
      <c r="AQ1207" s="420"/>
      <c r="AR1207" s="420"/>
      <c r="AS1207" s="420"/>
      <c r="AT1207" s="420"/>
      <c r="AU1207" s="420"/>
      <c r="AV1207" s="420"/>
      <c r="AW1207" s="420"/>
      <c r="AX1207" s="420"/>
      <c r="AY1207" s="420"/>
      <c r="AZ1207" s="420"/>
      <c r="BA1207" s="420"/>
      <c r="BB1207" s="154"/>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c r="BY1207" s="115"/>
      <c r="BZ1207" s="115"/>
      <c r="CA1207" s="115"/>
      <c r="CB1207" s="115"/>
      <c r="CC1207" s="115"/>
      <c r="CD1207" s="115"/>
      <c r="CE1207" s="115"/>
      <c r="CF1207" s="115"/>
      <c r="CG1207" s="115"/>
      <c r="CH1207" s="115"/>
      <c r="CI1207" s="115"/>
      <c r="CJ1207" s="115"/>
      <c r="CK1207" s="115"/>
      <c r="CL1207" s="115"/>
      <c r="CM1207" s="115"/>
      <c r="CN1207" s="115"/>
      <c r="CO1207" s="115"/>
      <c r="CP1207" s="115"/>
      <c r="CQ1207" s="115"/>
      <c r="CR1207" s="115"/>
      <c r="CS1207" s="115"/>
      <c r="CT1207" s="115"/>
      <c r="CU1207" s="115"/>
      <c r="CV1207" s="115"/>
      <c r="CW1207" s="115"/>
      <c r="CX1207" s="115"/>
      <c r="CY1207" s="115"/>
      <c r="CZ1207" s="115"/>
      <c r="DA1207" s="115"/>
      <c r="DB1207" s="115"/>
      <c r="DC1207" s="115"/>
      <c r="DD1207" s="115"/>
      <c r="DE1207" s="115"/>
      <c r="DF1207" s="115"/>
      <c r="DG1207" s="115"/>
    </row>
    <row r="1208" spans="1:111" ht="9" customHeight="1">
      <c r="A1208" s="154"/>
      <c r="B1208" s="154"/>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420"/>
      <c r="AH1208" s="420"/>
      <c r="AI1208" s="420"/>
      <c r="AJ1208" s="420"/>
      <c r="AK1208" s="420"/>
      <c r="AL1208" s="420"/>
      <c r="AM1208" s="420"/>
      <c r="AN1208" s="420"/>
      <c r="AO1208" s="420"/>
      <c r="AP1208" s="420"/>
      <c r="AQ1208" s="420"/>
      <c r="AR1208" s="420"/>
      <c r="AS1208" s="420"/>
      <c r="AT1208" s="420"/>
      <c r="AU1208" s="420"/>
      <c r="AV1208" s="420"/>
      <c r="AW1208" s="420"/>
      <c r="AX1208" s="420"/>
      <c r="AY1208" s="420"/>
      <c r="AZ1208" s="420"/>
      <c r="BA1208" s="420"/>
      <c r="BB1208" s="154"/>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c r="BY1208" s="115"/>
      <c r="BZ1208" s="115"/>
      <c r="CA1208" s="115"/>
      <c r="CB1208" s="115"/>
      <c r="CC1208" s="115"/>
      <c r="CD1208" s="115"/>
      <c r="CE1208" s="115"/>
      <c r="CF1208" s="115"/>
      <c r="CG1208" s="115"/>
      <c r="CH1208" s="115"/>
      <c r="CI1208" s="115"/>
      <c r="CJ1208" s="115"/>
      <c r="CK1208" s="115"/>
      <c r="CL1208" s="115"/>
      <c r="CM1208" s="115"/>
      <c r="CN1208" s="115"/>
      <c r="CO1208" s="115"/>
      <c r="CP1208" s="115"/>
      <c r="CQ1208" s="115"/>
      <c r="CR1208" s="115"/>
      <c r="CS1208" s="115"/>
      <c r="CT1208" s="115"/>
      <c r="CU1208" s="115"/>
      <c r="CV1208" s="115"/>
      <c r="CW1208" s="115"/>
      <c r="CX1208" s="115"/>
      <c r="CY1208" s="115"/>
      <c r="CZ1208" s="115"/>
      <c r="DA1208" s="115"/>
      <c r="DB1208" s="115"/>
      <c r="DC1208" s="115"/>
      <c r="DD1208" s="115"/>
      <c r="DE1208" s="115"/>
      <c r="DF1208" s="115"/>
      <c r="DG1208" s="115"/>
    </row>
    <row r="1209" spans="1:111" ht="9" customHeight="1">
      <c r="A1209" s="154"/>
      <c r="B1209" s="154"/>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420"/>
      <c r="AH1209" s="420"/>
      <c r="AI1209" s="420"/>
      <c r="AJ1209" s="420"/>
      <c r="AK1209" s="420"/>
      <c r="AL1209" s="420"/>
      <c r="AM1209" s="420"/>
      <c r="AN1209" s="420"/>
      <c r="AO1209" s="420"/>
      <c r="AP1209" s="420"/>
      <c r="AQ1209" s="420"/>
      <c r="AR1209" s="420"/>
      <c r="AS1209" s="420"/>
      <c r="AT1209" s="420"/>
      <c r="AU1209" s="420"/>
      <c r="AV1209" s="420"/>
      <c r="AW1209" s="420"/>
      <c r="AX1209" s="420"/>
      <c r="AY1209" s="420"/>
      <c r="AZ1209" s="420"/>
      <c r="BA1209" s="420"/>
      <c r="BB1209" s="154"/>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c r="BY1209" s="115"/>
      <c r="BZ1209" s="115"/>
      <c r="CA1209" s="115"/>
      <c r="CB1209" s="115"/>
      <c r="CC1209" s="115"/>
      <c r="CD1209" s="115"/>
      <c r="CE1209" s="115"/>
      <c r="CF1209" s="115"/>
      <c r="CG1209" s="115"/>
      <c r="CH1209" s="115"/>
      <c r="CI1209" s="115"/>
      <c r="CJ1209" s="115"/>
      <c r="CK1209" s="115"/>
      <c r="CL1209" s="115"/>
      <c r="CM1209" s="115"/>
      <c r="CN1209" s="115"/>
      <c r="CO1209" s="115"/>
      <c r="CP1209" s="115"/>
      <c r="CQ1209" s="115"/>
      <c r="CR1209" s="115"/>
      <c r="CS1209" s="115"/>
      <c r="CT1209" s="115"/>
      <c r="CU1209" s="115"/>
      <c r="CV1209" s="115"/>
      <c r="CW1209" s="115"/>
      <c r="CX1209" s="115"/>
      <c r="CY1209" s="115"/>
      <c r="CZ1209" s="115"/>
      <c r="DA1209" s="115"/>
      <c r="DB1209" s="115"/>
      <c r="DC1209" s="115"/>
      <c r="DD1209" s="115"/>
      <c r="DE1209" s="115"/>
      <c r="DF1209" s="115"/>
      <c r="DG1209" s="115"/>
    </row>
    <row r="1210" spans="1:111" ht="9" customHeight="1">
      <c r="A1210" s="154"/>
      <c r="B1210" s="154"/>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420"/>
      <c r="AH1210" s="420"/>
      <c r="AI1210" s="420"/>
      <c r="AJ1210" s="420"/>
      <c r="AK1210" s="420"/>
      <c r="AL1210" s="420"/>
      <c r="AM1210" s="420"/>
      <c r="AN1210" s="420"/>
      <c r="AO1210" s="420"/>
      <c r="AP1210" s="420"/>
      <c r="AQ1210" s="420"/>
      <c r="AR1210" s="420"/>
      <c r="AS1210" s="420"/>
      <c r="AT1210" s="420"/>
      <c r="AU1210" s="420"/>
      <c r="AV1210" s="420"/>
      <c r="AW1210" s="420"/>
      <c r="AX1210" s="420"/>
      <c r="AY1210" s="420"/>
      <c r="AZ1210" s="420"/>
      <c r="BA1210" s="420"/>
      <c r="BB1210" s="154"/>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c r="BY1210" s="115"/>
      <c r="BZ1210" s="115"/>
      <c r="CA1210" s="115"/>
      <c r="CB1210" s="115"/>
      <c r="CC1210" s="115"/>
      <c r="CD1210" s="115"/>
      <c r="CE1210" s="115"/>
      <c r="CF1210" s="115"/>
      <c r="CG1210" s="115"/>
      <c r="CH1210" s="115"/>
      <c r="CI1210" s="115"/>
      <c r="CJ1210" s="115"/>
      <c r="CK1210" s="115"/>
      <c r="CL1210" s="115"/>
      <c r="CM1210" s="115"/>
      <c r="CN1210" s="115"/>
      <c r="CO1210" s="115"/>
      <c r="CP1210" s="115"/>
      <c r="CQ1210" s="115"/>
      <c r="CR1210" s="115"/>
      <c r="CS1210" s="115"/>
      <c r="CT1210" s="115"/>
      <c r="CU1210" s="115"/>
      <c r="CV1210" s="115"/>
      <c r="CW1210" s="115"/>
      <c r="CX1210" s="115"/>
      <c r="CY1210" s="115"/>
      <c r="CZ1210" s="115"/>
      <c r="DA1210" s="115"/>
      <c r="DB1210" s="115"/>
      <c r="DC1210" s="115"/>
      <c r="DD1210" s="115"/>
      <c r="DE1210" s="115"/>
      <c r="DF1210" s="115"/>
      <c r="DG1210" s="115"/>
    </row>
    <row r="1211" spans="1:111" ht="15" customHeight="1">
      <c r="B1211" s="55"/>
      <c r="C1211" s="55"/>
      <c r="D1211" s="56"/>
      <c r="E1211" s="56"/>
      <c r="F1211" s="56"/>
      <c r="G1211" s="56"/>
      <c r="H1211" s="56"/>
      <c r="I1211" s="56"/>
      <c r="J1211" s="56"/>
      <c r="K1211" s="56"/>
      <c r="L1211" s="56"/>
      <c r="M1211" s="56"/>
      <c r="N1211" s="56"/>
      <c r="O1211" s="56"/>
      <c r="P1211" s="56"/>
      <c r="Q1211" s="56"/>
      <c r="R1211" s="56"/>
      <c r="S1211" s="56"/>
      <c r="T1211" s="56"/>
      <c r="U1211" s="56"/>
      <c r="V1211" s="56"/>
      <c r="W1211" s="56"/>
      <c r="X1211" s="56"/>
      <c r="Y1211" s="56"/>
      <c r="Z1211" s="56"/>
      <c r="AA1211" s="56"/>
      <c r="AB1211" s="56"/>
      <c r="AC1211" s="56"/>
      <c r="AD1211" s="56"/>
      <c r="AE1211" s="56"/>
      <c r="AF1211" s="56"/>
      <c r="AG1211" s="56"/>
      <c r="AH1211" s="56"/>
      <c r="AI1211" s="56"/>
      <c r="AJ1211" s="56"/>
      <c r="AK1211" s="141"/>
      <c r="AL1211" s="141"/>
      <c r="AM1211" s="141"/>
      <c r="AN1211" s="141"/>
      <c r="AO1211" s="140"/>
      <c r="AP1211" s="140"/>
      <c r="AQ1211" s="140"/>
      <c r="AR1211" s="140"/>
      <c r="AS1211" s="142"/>
      <c r="AT1211" s="142"/>
      <c r="AU1211" s="142"/>
      <c r="AV1211" s="142"/>
      <c r="AW1211" s="140"/>
      <c r="AX1211" s="140"/>
      <c r="AY1211" s="140"/>
      <c r="AZ1211" s="140"/>
      <c r="BA1211" s="140"/>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c r="BY1211" s="115"/>
      <c r="BZ1211" s="115"/>
      <c r="CA1211" s="115"/>
      <c r="CB1211" s="115"/>
      <c r="CC1211" s="115"/>
      <c r="CD1211" s="115"/>
      <c r="CE1211" s="115"/>
      <c r="CF1211" s="115"/>
      <c r="CG1211" s="115"/>
      <c r="CH1211" s="115"/>
      <c r="CI1211" s="115"/>
      <c r="CJ1211" s="115"/>
      <c r="CK1211" s="115"/>
      <c r="CL1211" s="115"/>
      <c r="CM1211" s="115"/>
      <c r="CN1211" s="115"/>
      <c r="CO1211" s="115"/>
      <c r="CP1211" s="115"/>
      <c r="CQ1211" s="115"/>
      <c r="CR1211" s="115"/>
      <c r="CS1211" s="115"/>
      <c r="CT1211" s="115"/>
      <c r="CU1211" s="115"/>
      <c r="CV1211" s="115"/>
      <c r="CW1211" s="115"/>
      <c r="CX1211" s="115"/>
      <c r="CY1211" s="115"/>
      <c r="CZ1211" s="115"/>
      <c r="DA1211" s="115"/>
      <c r="DB1211" s="115"/>
      <c r="DC1211" s="115"/>
      <c r="DD1211" s="115"/>
      <c r="DE1211" s="115"/>
      <c r="DF1211" s="115"/>
      <c r="DG1211" s="115"/>
    </row>
    <row r="1212" spans="1:111" ht="15" customHeight="1">
      <c r="B1212" s="55"/>
      <c r="C1212" s="422" t="str">
        <f>IF($AA$165&gt;=37,"DESPESA 37","")</f>
        <v/>
      </c>
      <c r="D1212" s="422"/>
      <c r="E1212" s="422"/>
      <c r="F1212" s="422"/>
      <c r="G1212" s="422"/>
      <c r="H1212" s="422"/>
      <c r="I1212" s="56"/>
      <c r="J1212" s="56"/>
      <c r="K1212" s="56"/>
      <c r="L1212" s="56"/>
      <c r="M1212" s="56"/>
      <c r="N1212" s="56"/>
      <c r="O1212" s="56"/>
      <c r="P1212" s="56"/>
      <c r="Q1212" s="56"/>
      <c r="R1212" s="56"/>
      <c r="S1212" s="56"/>
      <c r="T1212" s="56"/>
      <c r="U1212" s="56"/>
      <c r="V1212" s="56"/>
      <c r="W1212" s="56"/>
      <c r="X1212" s="56"/>
      <c r="Y1212" s="56"/>
      <c r="Z1212" s="56"/>
      <c r="AA1212" s="56"/>
      <c r="AB1212" s="56"/>
      <c r="AC1212" s="56"/>
      <c r="AD1212" s="56"/>
      <c r="AE1212" s="56"/>
      <c r="AF1212" s="56"/>
      <c r="AG1212" s="56"/>
      <c r="AH1212" s="56"/>
      <c r="AI1212" s="56"/>
      <c r="AJ1212" s="56"/>
      <c r="AK1212" s="141"/>
      <c r="AL1212" s="141"/>
      <c r="AM1212" s="141"/>
      <c r="AN1212" s="141"/>
      <c r="AO1212" s="140"/>
      <c r="AP1212" s="140"/>
      <c r="AQ1212" s="140"/>
      <c r="AR1212" s="140"/>
      <c r="AS1212" s="142"/>
      <c r="AT1212" s="142"/>
      <c r="AU1212" s="142"/>
      <c r="AV1212" s="142"/>
      <c r="AW1212" s="140"/>
      <c r="AX1212" s="140"/>
      <c r="AY1212" s="140"/>
      <c r="AZ1212" s="140"/>
      <c r="BA1212" s="140"/>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c r="BY1212" s="115"/>
      <c r="BZ1212" s="115"/>
      <c r="CA1212" s="115"/>
      <c r="CB1212" s="115"/>
      <c r="CC1212" s="115"/>
      <c r="CD1212" s="115"/>
      <c r="CE1212" s="115"/>
      <c r="CF1212" s="115"/>
      <c r="CG1212" s="115"/>
      <c r="CH1212" s="115"/>
      <c r="CI1212" s="115"/>
      <c r="CJ1212" s="115"/>
      <c r="CK1212" s="115"/>
      <c r="CL1212" s="115"/>
      <c r="CM1212" s="115"/>
      <c r="CN1212" s="115"/>
      <c r="CO1212" s="115"/>
      <c r="CP1212" s="115"/>
      <c r="CQ1212" s="115"/>
      <c r="CR1212" s="115"/>
      <c r="CS1212" s="115"/>
      <c r="CT1212" s="115"/>
      <c r="CU1212" s="115"/>
      <c r="CV1212" s="115"/>
      <c r="CW1212" s="115"/>
      <c r="CX1212" s="115"/>
      <c r="CY1212" s="115"/>
      <c r="CZ1212" s="115"/>
      <c r="DA1212" s="115"/>
      <c r="DB1212" s="115"/>
      <c r="DC1212" s="115"/>
      <c r="DD1212" s="115"/>
      <c r="DE1212" s="115"/>
      <c r="DF1212" s="115"/>
      <c r="DG1212" s="115"/>
    </row>
    <row r="1213" spans="1:111" ht="4.5" customHeight="1">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c r="BY1213" s="115"/>
      <c r="BZ1213" s="115"/>
      <c r="CA1213" s="115"/>
      <c r="CB1213" s="115"/>
      <c r="CC1213" s="115"/>
      <c r="CD1213" s="115"/>
      <c r="CE1213" s="115"/>
      <c r="CF1213" s="115"/>
      <c r="CG1213" s="115"/>
      <c r="CH1213" s="115"/>
      <c r="CI1213" s="115"/>
      <c r="CJ1213" s="115"/>
      <c r="CK1213" s="115"/>
      <c r="CL1213" s="115"/>
      <c r="CM1213" s="115"/>
      <c r="CN1213" s="115"/>
      <c r="CO1213" s="115"/>
      <c r="CP1213" s="115"/>
      <c r="CQ1213" s="115"/>
      <c r="CR1213" s="115"/>
      <c r="CS1213" s="115"/>
      <c r="CT1213" s="115"/>
      <c r="CU1213" s="115"/>
      <c r="CV1213" s="115"/>
      <c r="CW1213" s="115"/>
      <c r="CX1213" s="115"/>
      <c r="CY1213" s="115"/>
      <c r="CZ1213" s="115"/>
      <c r="DA1213" s="115"/>
      <c r="DB1213" s="115"/>
      <c r="DC1213" s="115"/>
      <c r="DD1213" s="115"/>
      <c r="DE1213" s="115"/>
      <c r="DF1213" s="115"/>
      <c r="DG1213" s="115"/>
    </row>
    <row r="1214" spans="1:111" ht="9" customHeight="1">
      <c r="C1214" s="416" t="str">
        <f>IF(C1212="","","Descrição da Despesa:")</f>
        <v/>
      </c>
      <c r="D1214" s="416"/>
      <c r="E1214" s="416"/>
      <c r="F1214" s="416"/>
      <c r="G1214" s="416"/>
      <c r="H1214" s="416"/>
      <c r="I1214" s="60"/>
      <c r="J1214" s="421"/>
      <c r="K1214" s="421"/>
      <c r="L1214" s="421"/>
      <c r="M1214" s="421"/>
      <c r="N1214" s="421"/>
      <c r="O1214" s="421"/>
      <c r="P1214" s="421"/>
      <c r="Q1214" s="421"/>
      <c r="R1214" s="421"/>
      <c r="S1214" s="421"/>
      <c r="T1214" s="421"/>
      <c r="U1214" s="421"/>
      <c r="V1214" s="421"/>
      <c r="W1214" s="421"/>
      <c r="X1214" s="421"/>
      <c r="Y1214" s="421"/>
      <c r="Z1214" s="421"/>
      <c r="AA1214" s="421"/>
      <c r="AB1214" s="421"/>
      <c r="AC1214" s="421"/>
      <c r="AD1214" s="421"/>
      <c r="AE1214" s="421"/>
      <c r="AF1214" s="421"/>
      <c r="AG1214" s="421"/>
      <c r="AH1214" s="421"/>
      <c r="AI1214" s="421"/>
      <c r="AJ1214" s="421"/>
      <c r="AK1214" s="421"/>
      <c r="AL1214" s="421"/>
      <c r="AM1214" s="421"/>
      <c r="AN1214" s="421"/>
      <c r="AO1214" s="421"/>
      <c r="AP1214" s="421"/>
      <c r="AQ1214" s="421"/>
      <c r="AR1214" s="421"/>
      <c r="AS1214" s="421"/>
      <c r="AT1214" s="421"/>
      <c r="AU1214" s="421"/>
      <c r="AV1214" s="421"/>
      <c r="AW1214" s="421"/>
      <c r="AX1214" s="421"/>
      <c r="AY1214" s="421"/>
      <c r="AZ1214" s="421"/>
      <c r="BA1214" s="421"/>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c r="BY1214" s="115"/>
      <c r="BZ1214" s="115"/>
      <c r="CA1214" s="115"/>
      <c r="CB1214" s="115"/>
      <c r="CC1214" s="115"/>
      <c r="CD1214" s="115"/>
      <c r="CE1214" s="115"/>
      <c r="CF1214" s="115"/>
      <c r="CG1214" s="115"/>
      <c r="CH1214" s="115"/>
      <c r="CI1214" s="115"/>
      <c r="CJ1214" s="115"/>
      <c r="CK1214" s="115"/>
      <c r="CL1214" s="115"/>
      <c r="CM1214" s="115"/>
      <c r="CN1214" s="115"/>
      <c r="CO1214" s="115"/>
      <c r="CP1214" s="115"/>
      <c r="CQ1214" s="115"/>
      <c r="CR1214" s="115"/>
      <c r="CS1214" s="115"/>
      <c r="CT1214" s="115"/>
      <c r="CU1214" s="115"/>
      <c r="CV1214" s="115"/>
      <c r="CW1214" s="115"/>
      <c r="CX1214" s="115"/>
      <c r="CY1214" s="115"/>
      <c r="CZ1214" s="115"/>
      <c r="DA1214" s="115"/>
      <c r="DB1214" s="115"/>
      <c r="DC1214" s="115"/>
      <c r="DD1214" s="115"/>
      <c r="DE1214" s="115"/>
      <c r="DF1214" s="115"/>
      <c r="DG1214" s="115"/>
    </row>
    <row r="1215" spans="1:111" ht="9" customHeight="1">
      <c r="C1215" s="416"/>
      <c r="D1215" s="416"/>
      <c r="E1215" s="416"/>
      <c r="F1215" s="416"/>
      <c r="G1215" s="416"/>
      <c r="H1215" s="416"/>
      <c r="I1215" s="60"/>
      <c r="J1215" s="421"/>
      <c r="K1215" s="421"/>
      <c r="L1215" s="421"/>
      <c r="M1215" s="421"/>
      <c r="N1215" s="421"/>
      <c r="O1215" s="421"/>
      <c r="P1215" s="421"/>
      <c r="Q1215" s="421"/>
      <c r="R1215" s="421"/>
      <c r="S1215" s="421"/>
      <c r="T1215" s="421"/>
      <c r="U1215" s="421"/>
      <c r="V1215" s="421"/>
      <c r="W1215" s="421"/>
      <c r="X1215" s="421"/>
      <c r="Y1215" s="421"/>
      <c r="Z1215" s="421"/>
      <c r="AA1215" s="421"/>
      <c r="AB1215" s="421"/>
      <c r="AC1215" s="421"/>
      <c r="AD1215" s="421"/>
      <c r="AE1215" s="421"/>
      <c r="AF1215" s="421"/>
      <c r="AG1215" s="421"/>
      <c r="AH1215" s="421"/>
      <c r="AI1215" s="421"/>
      <c r="AJ1215" s="421"/>
      <c r="AK1215" s="421"/>
      <c r="AL1215" s="421"/>
      <c r="AM1215" s="421"/>
      <c r="AN1215" s="421"/>
      <c r="AO1215" s="421"/>
      <c r="AP1215" s="421"/>
      <c r="AQ1215" s="421"/>
      <c r="AR1215" s="421"/>
      <c r="AS1215" s="421"/>
      <c r="AT1215" s="421"/>
      <c r="AU1215" s="421"/>
      <c r="AV1215" s="421"/>
      <c r="AW1215" s="421"/>
      <c r="AX1215" s="421"/>
      <c r="AY1215" s="421"/>
      <c r="AZ1215" s="421"/>
      <c r="BA1215" s="421"/>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c r="BY1215" s="115"/>
      <c r="BZ1215" s="115"/>
      <c r="CA1215" s="115"/>
      <c r="CB1215" s="115"/>
      <c r="CC1215" s="115"/>
      <c r="CD1215" s="115"/>
      <c r="CE1215" s="115"/>
      <c r="CF1215" s="115"/>
      <c r="CG1215" s="115"/>
      <c r="CH1215" s="115"/>
      <c r="CI1215" s="115"/>
      <c r="CJ1215" s="115"/>
      <c r="CK1215" s="115"/>
      <c r="CL1215" s="115"/>
      <c r="CM1215" s="115"/>
      <c r="CN1215" s="115"/>
      <c r="CO1215" s="115"/>
      <c r="CP1215" s="115"/>
      <c r="CQ1215" s="115"/>
      <c r="CR1215" s="115"/>
      <c r="CS1215" s="115"/>
      <c r="CT1215" s="115"/>
      <c r="CU1215" s="115"/>
      <c r="CV1215" s="115"/>
      <c r="CW1215" s="115"/>
      <c r="CX1215" s="115"/>
      <c r="CY1215" s="115"/>
      <c r="CZ1215" s="115"/>
      <c r="DA1215" s="115"/>
      <c r="DB1215" s="115"/>
      <c r="DC1215" s="115"/>
      <c r="DD1215" s="115"/>
      <c r="DE1215" s="115"/>
      <c r="DF1215" s="115"/>
      <c r="DG1215" s="115"/>
    </row>
    <row r="1216" spans="1:111" ht="9" customHeight="1">
      <c r="C1216" s="416"/>
      <c r="D1216" s="416"/>
      <c r="E1216" s="416"/>
      <c r="F1216" s="416"/>
      <c r="G1216" s="416"/>
      <c r="H1216" s="416"/>
      <c r="I1216" s="60"/>
      <c r="J1216" s="421"/>
      <c r="K1216" s="421"/>
      <c r="L1216" s="421"/>
      <c r="M1216" s="421"/>
      <c r="N1216" s="421"/>
      <c r="O1216" s="421"/>
      <c r="P1216" s="421"/>
      <c r="Q1216" s="421"/>
      <c r="R1216" s="421"/>
      <c r="S1216" s="421"/>
      <c r="T1216" s="421"/>
      <c r="U1216" s="421"/>
      <c r="V1216" s="421"/>
      <c r="W1216" s="421"/>
      <c r="X1216" s="421"/>
      <c r="Y1216" s="421"/>
      <c r="Z1216" s="421"/>
      <c r="AA1216" s="421"/>
      <c r="AB1216" s="421"/>
      <c r="AC1216" s="421"/>
      <c r="AD1216" s="421"/>
      <c r="AE1216" s="421"/>
      <c r="AF1216" s="421"/>
      <c r="AG1216" s="421"/>
      <c r="AH1216" s="421"/>
      <c r="AI1216" s="421"/>
      <c r="AJ1216" s="421"/>
      <c r="AK1216" s="421"/>
      <c r="AL1216" s="421"/>
      <c r="AM1216" s="421"/>
      <c r="AN1216" s="421"/>
      <c r="AO1216" s="421"/>
      <c r="AP1216" s="421"/>
      <c r="AQ1216" s="421"/>
      <c r="AR1216" s="421"/>
      <c r="AS1216" s="421"/>
      <c r="AT1216" s="421"/>
      <c r="AU1216" s="421"/>
      <c r="AV1216" s="421"/>
      <c r="AW1216" s="421"/>
      <c r="AX1216" s="421"/>
      <c r="AY1216" s="421"/>
      <c r="AZ1216" s="421"/>
      <c r="BA1216" s="421"/>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c r="BY1216" s="115"/>
      <c r="BZ1216" s="115"/>
      <c r="CA1216" s="115"/>
      <c r="CB1216" s="115"/>
      <c r="CC1216" s="115"/>
      <c r="CD1216" s="115"/>
      <c r="CE1216" s="115"/>
      <c r="CF1216" s="115"/>
      <c r="CG1216" s="115"/>
      <c r="CH1216" s="115"/>
      <c r="CI1216" s="115"/>
      <c r="CJ1216" s="115"/>
      <c r="CK1216" s="115"/>
      <c r="CL1216" s="115"/>
      <c r="CM1216" s="115"/>
      <c r="CN1216" s="115"/>
      <c r="CO1216" s="115"/>
      <c r="CP1216" s="115"/>
      <c r="CQ1216" s="115"/>
      <c r="CR1216" s="115"/>
      <c r="CS1216" s="115"/>
      <c r="CT1216" s="115"/>
      <c r="CU1216" s="115"/>
      <c r="CV1216" s="115"/>
      <c r="CW1216" s="115"/>
      <c r="CX1216" s="115"/>
      <c r="CY1216" s="115"/>
      <c r="CZ1216" s="115"/>
      <c r="DA1216" s="115"/>
      <c r="DB1216" s="115"/>
      <c r="DC1216" s="115"/>
      <c r="DD1216" s="115"/>
      <c r="DE1216" s="115"/>
      <c r="DF1216" s="115"/>
      <c r="DG1216" s="115"/>
    </row>
    <row r="1217" spans="1:111" ht="4.5" customHeight="1">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c r="BY1217" s="115"/>
      <c r="BZ1217" s="115"/>
      <c r="CA1217" s="115"/>
      <c r="CB1217" s="115"/>
      <c r="CC1217" s="115"/>
      <c r="CD1217" s="115"/>
      <c r="CE1217" s="115"/>
      <c r="CF1217" s="115"/>
      <c r="CG1217" s="115"/>
      <c r="CH1217" s="115"/>
      <c r="CI1217" s="115"/>
      <c r="CJ1217" s="115"/>
      <c r="CK1217" s="115"/>
      <c r="CL1217" s="115"/>
      <c r="CM1217" s="115"/>
      <c r="CN1217" s="115"/>
      <c r="CO1217" s="115"/>
      <c r="CP1217" s="115"/>
      <c r="CQ1217" s="115"/>
      <c r="CR1217" s="115"/>
      <c r="CS1217" s="115"/>
      <c r="CT1217" s="115"/>
      <c r="CU1217" s="115"/>
      <c r="CV1217" s="115"/>
      <c r="CW1217" s="115"/>
      <c r="CX1217" s="115"/>
      <c r="CY1217" s="115"/>
      <c r="CZ1217" s="115"/>
      <c r="DA1217" s="115"/>
      <c r="DB1217" s="115"/>
      <c r="DC1217" s="115"/>
      <c r="DD1217" s="115"/>
      <c r="DE1217" s="115"/>
      <c r="DF1217" s="115"/>
      <c r="DG1217" s="115"/>
    </row>
    <row r="1218" spans="1:111" ht="9" customHeight="1">
      <c r="C1218" s="416" t="str">
        <f>IF(C1212="","","Elemento de Despesa:")</f>
        <v/>
      </c>
      <c r="D1218" s="416"/>
      <c r="E1218" s="416"/>
      <c r="F1218" s="416"/>
      <c r="G1218" s="416"/>
      <c r="H1218" s="416"/>
      <c r="J1218" s="421"/>
      <c r="K1218" s="421"/>
      <c r="L1218" s="421"/>
      <c r="M1218" s="421"/>
      <c r="N1218" s="421"/>
      <c r="O1218" s="421"/>
      <c r="P1218" s="421"/>
      <c r="Q1218" s="421"/>
      <c r="R1218" s="421"/>
      <c r="S1218" s="421"/>
      <c r="T1218" s="421"/>
      <c r="U1218" s="421"/>
      <c r="V1218" s="421"/>
      <c r="W1218" s="421"/>
      <c r="X1218" s="421"/>
      <c r="Y1218" s="421"/>
      <c r="Z1218" s="421"/>
      <c r="AA1218" s="421"/>
      <c r="AB1218" s="421"/>
      <c r="AC1218" s="421"/>
      <c r="AD1218" s="421"/>
      <c r="AE1218" s="421"/>
      <c r="AF1218" s="421"/>
      <c r="AG1218" s="421"/>
      <c r="AH1218" s="421"/>
      <c r="AI1218" s="421"/>
      <c r="AJ1218" s="421"/>
      <c r="AK1218" s="421"/>
      <c r="AL1218" s="421"/>
      <c r="AM1218" s="421"/>
      <c r="AN1218" s="421"/>
      <c r="AO1218" s="421"/>
      <c r="AP1218" s="421"/>
      <c r="AQ1218" s="421"/>
      <c r="AR1218" s="421"/>
      <c r="AS1218" s="421"/>
      <c r="AT1218" s="421"/>
      <c r="AU1218" s="421"/>
      <c r="AV1218" s="421"/>
      <c r="AW1218" s="421"/>
      <c r="AX1218" s="421"/>
      <c r="AY1218" s="421"/>
      <c r="AZ1218" s="421"/>
      <c r="BA1218" s="421"/>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c r="BY1218" s="115"/>
      <c r="BZ1218" s="115"/>
      <c r="CA1218" s="115"/>
      <c r="CB1218" s="115"/>
      <c r="CC1218" s="115"/>
      <c r="CD1218" s="115"/>
      <c r="CE1218" s="115"/>
      <c r="CF1218" s="115"/>
      <c r="CG1218" s="115"/>
      <c r="CH1218" s="115"/>
      <c r="CI1218" s="115"/>
      <c r="CJ1218" s="115"/>
      <c r="CK1218" s="115"/>
      <c r="CL1218" s="115"/>
      <c r="CM1218" s="115"/>
      <c r="CN1218" s="115"/>
      <c r="CO1218" s="115"/>
      <c r="CP1218" s="115"/>
      <c r="CQ1218" s="115"/>
      <c r="CR1218" s="115"/>
      <c r="CS1218" s="115"/>
      <c r="CT1218" s="115"/>
      <c r="CU1218" s="115"/>
      <c r="CV1218" s="115"/>
      <c r="CW1218" s="115"/>
      <c r="CX1218" s="115"/>
      <c r="CY1218" s="115"/>
      <c r="CZ1218" s="115"/>
      <c r="DA1218" s="115"/>
      <c r="DB1218" s="115"/>
      <c r="DC1218" s="115"/>
      <c r="DD1218" s="115"/>
      <c r="DE1218" s="115"/>
      <c r="DF1218" s="115"/>
      <c r="DG1218" s="115"/>
    </row>
    <row r="1219" spans="1:111" ht="9" customHeight="1">
      <c r="C1219" s="416"/>
      <c r="D1219" s="416"/>
      <c r="E1219" s="416"/>
      <c r="F1219" s="416"/>
      <c r="G1219" s="416"/>
      <c r="H1219" s="416"/>
      <c r="J1219" s="421"/>
      <c r="K1219" s="421"/>
      <c r="L1219" s="421"/>
      <c r="M1219" s="421"/>
      <c r="N1219" s="421"/>
      <c r="O1219" s="421"/>
      <c r="P1219" s="421"/>
      <c r="Q1219" s="421"/>
      <c r="R1219" s="421"/>
      <c r="S1219" s="421"/>
      <c r="T1219" s="421"/>
      <c r="U1219" s="421"/>
      <c r="V1219" s="421"/>
      <c r="W1219" s="421"/>
      <c r="X1219" s="421"/>
      <c r="Y1219" s="421"/>
      <c r="Z1219" s="421"/>
      <c r="AA1219" s="421"/>
      <c r="AB1219" s="421"/>
      <c r="AC1219" s="421"/>
      <c r="AD1219" s="421"/>
      <c r="AE1219" s="421"/>
      <c r="AF1219" s="421"/>
      <c r="AG1219" s="421"/>
      <c r="AH1219" s="421"/>
      <c r="AI1219" s="421"/>
      <c r="AJ1219" s="421"/>
      <c r="AK1219" s="421"/>
      <c r="AL1219" s="421"/>
      <c r="AM1219" s="421"/>
      <c r="AN1219" s="421"/>
      <c r="AO1219" s="421"/>
      <c r="AP1219" s="421"/>
      <c r="AQ1219" s="421"/>
      <c r="AR1219" s="421"/>
      <c r="AS1219" s="421"/>
      <c r="AT1219" s="421"/>
      <c r="AU1219" s="421"/>
      <c r="AV1219" s="421"/>
      <c r="AW1219" s="421"/>
      <c r="AX1219" s="421"/>
      <c r="AY1219" s="421"/>
      <c r="AZ1219" s="421"/>
      <c r="BA1219" s="421"/>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c r="BY1219" s="115"/>
      <c r="BZ1219" s="115"/>
      <c r="CA1219" s="115"/>
      <c r="CB1219" s="115"/>
      <c r="CC1219" s="115"/>
      <c r="CD1219" s="115"/>
      <c r="CE1219" s="115"/>
      <c r="CF1219" s="115"/>
      <c r="CG1219" s="115"/>
      <c r="CH1219" s="115"/>
      <c r="CI1219" s="115"/>
      <c r="CJ1219" s="115"/>
      <c r="CK1219" s="115"/>
      <c r="CL1219" s="115"/>
      <c r="CM1219" s="115"/>
      <c r="CN1219" s="115"/>
      <c r="CO1219" s="115"/>
      <c r="CP1219" s="115"/>
      <c r="CQ1219" s="115"/>
      <c r="CR1219" s="115"/>
      <c r="CS1219" s="115"/>
      <c r="CT1219" s="115"/>
      <c r="CU1219" s="115"/>
      <c r="CV1219" s="115"/>
      <c r="CW1219" s="115"/>
      <c r="CX1219" s="115"/>
      <c r="CY1219" s="115"/>
      <c r="CZ1219" s="115"/>
      <c r="DA1219" s="115"/>
      <c r="DB1219" s="115"/>
      <c r="DC1219" s="115"/>
      <c r="DD1219" s="115"/>
      <c r="DE1219" s="115"/>
      <c r="DF1219" s="115"/>
      <c r="DG1219" s="115"/>
    </row>
    <row r="1220" spans="1:111" ht="9" customHeight="1">
      <c r="C1220" s="416"/>
      <c r="D1220" s="416"/>
      <c r="E1220" s="416"/>
      <c r="F1220" s="416"/>
      <c r="G1220" s="416"/>
      <c r="H1220" s="416"/>
      <c r="J1220" s="421"/>
      <c r="K1220" s="421"/>
      <c r="L1220" s="421"/>
      <c r="M1220" s="421"/>
      <c r="N1220" s="421"/>
      <c r="O1220" s="421"/>
      <c r="P1220" s="421"/>
      <c r="Q1220" s="421"/>
      <c r="R1220" s="421"/>
      <c r="S1220" s="421"/>
      <c r="T1220" s="421"/>
      <c r="U1220" s="421"/>
      <c r="V1220" s="421"/>
      <c r="W1220" s="421"/>
      <c r="X1220" s="421"/>
      <c r="Y1220" s="421"/>
      <c r="Z1220" s="421"/>
      <c r="AA1220" s="421"/>
      <c r="AB1220" s="421"/>
      <c r="AC1220" s="421"/>
      <c r="AD1220" s="421"/>
      <c r="AE1220" s="421"/>
      <c r="AF1220" s="421"/>
      <c r="AG1220" s="421"/>
      <c r="AH1220" s="421"/>
      <c r="AI1220" s="421"/>
      <c r="AJ1220" s="421"/>
      <c r="AK1220" s="421"/>
      <c r="AL1220" s="421"/>
      <c r="AM1220" s="421"/>
      <c r="AN1220" s="421"/>
      <c r="AO1220" s="421"/>
      <c r="AP1220" s="421"/>
      <c r="AQ1220" s="421"/>
      <c r="AR1220" s="421"/>
      <c r="AS1220" s="421"/>
      <c r="AT1220" s="421"/>
      <c r="AU1220" s="421"/>
      <c r="AV1220" s="421"/>
      <c r="AW1220" s="421"/>
      <c r="AX1220" s="421"/>
      <c r="AY1220" s="421"/>
      <c r="AZ1220" s="421"/>
      <c r="BA1220" s="421"/>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c r="BY1220" s="115"/>
      <c r="BZ1220" s="115"/>
      <c r="CA1220" s="115"/>
      <c r="CB1220" s="115"/>
      <c r="CC1220" s="115"/>
      <c r="CD1220" s="115"/>
      <c r="CE1220" s="115"/>
      <c r="CF1220" s="115"/>
      <c r="CG1220" s="115"/>
      <c r="CH1220" s="115"/>
      <c r="CI1220" s="115"/>
      <c r="CJ1220" s="115"/>
      <c r="CK1220" s="115"/>
      <c r="CL1220" s="115"/>
      <c r="CM1220" s="115"/>
      <c r="CN1220" s="115"/>
      <c r="CO1220" s="115"/>
      <c r="CP1220" s="115"/>
      <c r="CQ1220" s="115"/>
      <c r="CR1220" s="115"/>
      <c r="CS1220" s="115"/>
      <c r="CT1220" s="115"/>
      <c r="CU1220" s="115"/>
      <c r="CV1220" s="115"/>
      <c r="CW1220" s="115"/>
      <c r="CX1220" s="115"/>
      <c r="CY1220" s="115"/>
      <c r="CZ1220" s="115"/>
      <c r="DA1220" s="115"/>
      <c r="DB1220" s="115"/>
      <c r="DC1220" s="115"/>
      <c r="DD1220" s="115"/>
      <c r="DE1220" s="115"/>
      <c r="DF1220" s="115"/>
      <c r="DG1220" s="115"/>
    </row>
    <row r="1221" spans="1:111" ht="4.5" customHeight="1">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c r="BY1221" s="115"/>
      <c r="BZ1221" s="115"/>
      <c r="CA1221" s="115"/>
      <c r="CB1221" s="115"/>
      <c r="CC1221" s="115"/>
      <c r="CD1221" s="115"/>
      <c r="CE1221" s="115"/>
      <c r="CF1221" s="115"/>
      <c r="CG1221" s="115"/>
      <c r="CH1221" s="115"/>
      <c r="CI1221" s="115"/>
      <c r="CJ1221" s="115"/>
      <c r="CK1221" s="115"/>
      <c r="CL1221" s="115"/>
      <c r="CM1221" s="115"/>
      <c r="CN1221" s="115"/>
      <c r="CO1221" s="115"/>
      <c r="CP1221" s="115"/>
      <c r="CQ1221" s="115"/>
      <c r="CR1221" s="115"/>
      <c r="CS1221" s="115"/>
      <c r="CT1221" s="115"/>
      <c r="CU1221" s="115"/>
      <c r="CV1221" s="115"/>
      <c r="CW1221" s="115"/>
      <c r="CX1221" s="115"/>
      <c r="CY1221" s="115"/>
      <c r="CZ1221" s="115"/>
      <c r="DA1221" s="115"/>
      <c r="DB1221" s="115"/>
      <c r="DC1221" s="115"/>
      <c r="DD1221" s="115"/>
      <c r="DE1221" s="115"/>
      <c r="DF1221" s="115"/>
      <c r="DG1221" s="115"/>
    </row>
    <row r="1222" spans="1:111" ht="9" customHeight="1">
      <c r="A1222" s="61" t="str">
        <f>CONCATENATE(Q1222,AC1222)</f>
        <v/>
      </c>
      <c r="J1222" s="416" t="str">
        <f>IF(C1212="","","Meta Vinculada:")</f>
        <v/>
      </c>
      <c r="K1222" s="416"/>
      <c r="L1222" s="416"/>
      <c r="M1222" s="416"/>
      <c r="N1222" s="416"/>
      <c r="O1222" s="416"/>
      <c r="Q1222" s="417"/>
      <c r="R1222" s="417"/>
      <c r="S1222" s="417"/>
      <c r="T1222" s="417"/>
      <c r="U1222" s="56"/>
      <c r="V1222" s="416" t="str">
        <f>IF(C1212="","","Etapa Vinculada:")</f>
        <v/>
      </c>
      <c r="W1222" s="416"/>
      <c r="X1222" s="416"/>
      <c r="Y1222" s="416"/>
      <c r="Z1222" s="416"/>
      <c r="AA1222" s="416"/>
      <c r="AC1222" s="417"/>
      <c r="AD1222" s="417"/>
      <c r="AE1222" s="417"/>
      <c r="AF1222" s="417"/>
      <c r="AG1222" s="56"/>
      <c r="AH1222" s="56"/>
      <c r="AI1222" s="56"/>
      <c r="AJ1222" s="56"/>
      <c r="AK1222" s="141"/>
      <c r="AL1222" s="141"/>
      <c r="AM1222" s="141"/>
      <c r="AN1222" s="141"/>
      <c r="AO1222" s="140"/>
      <c r="AP1222" s="140"/>
      <c r="AQ1222" s="140"/>
      <c r="AR1222" s="140"/>
      <c r="AS1222" s="142"/>
      <c r="AT1222" s="142"/>
      <c r="AU1222" s="142"/>
      <c r="AV1222" s="142"/>
      <c r="AW1222" s="140"/>
      <c r="AX1222" s="140"/>
      <c r="AY1222" s="140"/>
      <c r="AZ1222" s="140"/>
      <c r="BA1222" s="140"/>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c r="BY1222" s="115"/>
      <c r="BZ1222" s="115"/>
      <c r="CA1222" s="115"/>
      <c r="CB1222" s="115"/>
      <c r="CC1222" s="115"/>
      <c r="CD1222" s="115"/>
      <c r="CE1222" s="115"/>
      <c r="CF1222" s="115"/>
      <c r="CG1222" s="115"/>
      <c r="CH1222" s="115"/>
      <c r="CI1222" s="115"/>
      <c r="CJ1222" s="115"/>
      <c r="CK1222" s="115"/>
      <c r="CL1222" s="115"/>
      <c r="CM1222" s="115"/>
      <c r="CN1222" s="115"/>
      <c r="CO1222" s="115"/>
      <c r="CP1222" s="115"/>
      <c r="CQ1222" s="115"/>
      <c r="CR1222" s="115"/>
      <c r="CS1222" s="115"/>
      <c r="CT1222" s="115"/>
      <c r="CU1222" s="115"/>
      <c r="CV1222" s="115"/>
      <c r="CW1222" s="115"/>
      <c r="CX1222" s="115"/>
      <c r="CY1222" s="115"/>
      <c r="CZ1222" s="115"/>
      <c r="DA1222" s="115"/>
      <c r="DB1222" s="115"/>
      <c r="DC1222" s="115"/>
      <c r="DD1222" s="115"/>
      <c r="DE1222" s="115"/>
      <c r="DF1222" s="115"/>
      <c r="DG1222" s="115"/>
    </row>
    <row r="1223" spans="1:111" ht="9" customHeight="1">
      <c r="B1223" s="55"/>
      <c r="C1223" s="55"/>
      <c r="D1223" s="56"/>
      <c r="E1223" s="56"/>
      <c r="F1223" s="56"/>
      <c r="G1223" s="56"/>
      <c r="H1223" s="56"/>
      <c r="I1223" s="56"/>
      <c r="J1223" s="416"/>
      <c r="K1223" s="416"/>
      <c r="L1223" s="416"/>
      <c r="M1223" s="416"/>
      <c r="N1223" s="416"/>
      <c r="O1223" s="416"/>
      <c r="Q1223" s="417"/>
      <c r="R1223" s="417"/>
      <c r="S1223" s="417"/>
      <c r="T1223" s="417"/>
      <c r="U1223" s="56"/>
      <c r="V1223" s="416"/>
      <c r="W1223" s="416"/>
      <c r="X1223" s="416"/>
      <c r="Y1223" s="416"/>
      <c r="Z1223" s="416"/>
      <c r="AA1223" s="416"/>
      <c r="AC1223" s="417"/>
      <c r="AD1223" s="417"/>
      <c r="AE1223" s="417"/>
      <c r="AF1223" s="417"/>
      <c r="AG1223" s="56"/>
      <c r="AH1223" s="56"/>
      <c r="AI1223" s="56"/>
      <c r="AJ1223" s="56"/>
      <c r="AK1223" s="141"/>
      <c r="AL1223" s="141"/>
      <c r="AM1223" s="141"/>
      <c r="AN1223" s="141"/>
      <c r="AO1223" s="140"/>
      <c r="AP1223" s="140"/>
      <c r="AQ1223" s="140"/>
      <c r="AR1223" s="140"/>
      <c r="AS1223" s="142"/>
      <c r="AT1223" s="142"/>
      <c r="AU1223" s="142"/>
      <c r="AV1223" s="142"/>
      <c r="AW1223" s="140"/>
      <c r="AX1223" s="140"/>
      <c r="AY1223" s="140"/>
      <c r="AZ1223" s="140"/>
      <c r="BA1223" s="140"/>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c r="BY1223" s="115"/>
      <c r="BZ1223" s="115"/>
      <c r="CA1223" s="115"/>
      <c r="CB1223" s="115"/>
      <c r="CC1223" s="115"/>
      <c r="CD1223" s="115"/>
      <c r="CE1223" s="115"/>
      <c r="CF1223" s="115"/>
      <c r="CG1223" s="115"/>
      <c r="CH1223" s="115"/>
      <c r="CI1223" s="115"/>
      <c r="CJ1223" s="115"/>
      <c r="CK1223" s="115"/>
      <c r="CL1223" s="115"/>
      <c r="CM1223" s="115"/>
      <c r="CN1223" s="115"/>
      <c r="CO1223" s="115"/>
      <c r="CP1223" s="115"/>
      <c r="CQ1223" s="115"/>
      <c r="CR1223" s="115"/>
      <c r="CS1223" s="115"/>
      <c r="CT1223" s="115"/>
      <c r="CU1223" s="115"/>
      <c r="CV1223" s="115"/>
      <c r="CW1223" s="115"/>
      <c r="CX1223" s="115"/>
      <c r="CY1223" s="115"/>
      <c r="CZ1223" s="115"/>
      <c r="DA1223" s="115"/>
      <c r="DB1223" s="115"/>
      <c r="DC1223" s="115"/>
      <c r="DD1223" s="115"/>
      <c r="DE1223" s="115"/>
      <c r="DF1223" s="115"/>
      <c r="DG1223" s="115"/>
    </row>
    <row r="1224" spans="1:111" ht="9" customHeight="1">
      <c r="Q1224" s="417"/>
      <c r="R1224" s="417"/>
      <c r="S1224" s="417"/>
      <c r="T1224" s="417"/>
      <c r="AC1224" s="417"/>
      <c r="AD1224" s="417"/>
      <c r="AE1224" s="417"/>
      <c r="AF1224" s="417"/>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c r="BY1224" s="115"/>
      <c r="BZ1224" s="115"/>
      <c r="CA1224" s="115"/>
      <c r="CB1224" s="115"/>
      <c r="CC1224" s="115"/>
      <c r="CD1224" s="115"/>
      <c r="CE1224" s="115"/>
      <c r="CF1224" s="115"/>
      <c r="CG1224" s="115"/>
      <c r="CH1224" s="115"/>
      <c r="CI1224" s="115"/>
      <c r="CJ1224" s="115"/>
      <c r="CK1224" s="115"/>
      <c r="CL1224" s="115"/>
      <c r="CM1224" s="115"/>
      <c r="CN1224" s="115"/>
      <c r="CO1224" s="115"/>
      <c r="CP1224" s="115"/>
      <c r="CQ1224" s="115"/>
      <c r="CR1224" s="115"/>
      <c r="CS1224" s="115"/>
      <c r="CT1224" s="115"/>
      <c r="CU1224" s="115"/>
      <c r="CV1224" s="115"/>
      <c r="CW1224" s="115"/>
      <c r="CX1224" s="115"/>
      <c r="CY1224" s="115"/>
      <c r="CZ1224" s="115"/>
      <c r="DA1224" s="115"/>
      <c r="DB1224" s="115"/>
      <c r="DC1224" s="115"/>
      <c r="DD1224" s="115"/>
      <c r="DE1224" s="115"/>
      <c r="DF1224" s="115"/>
      <c r="DG1224" s="115"/>
    </row>
    <row r="1225" spans="1:111" ht="4.5" customHeight="1">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c r="BY1225" s="115"/>
      <c r="BZ1225" s="115"/>
      <c r="CA1225" s="115"/>
      <c r="CB1225" s="115"/>
      <c r="CC1225" s="115"/>
      <c r="CD1225" s="115"/>
      <c r="CE1225" s="115"/>
      <c r="CF1225" s="115"/>
      <c r="CG1225" s="115"/>
      <c r="CH1225" s="115"/>
      <c r="CI1225" s="115"/>
      <c r="CJ1225" s="115"/>
      <c r="CK1225" s="115"/>
      <c r="CL1225" s="115"/>
      <c r="CM1225" s="115"/>
      <c r="CN1225" s="115"/>
      <c r="CO1225" s="115"/>
      <c r="CP1225" s="115"/>
      <c r="CQ1225" s="115"/>
      <c r="CR1225" s="115"/>
      <c r="CS1225" s="115"/>
      <c r="CT1225" s="115"/>
      <c r="CU1225" s="115"/>
      <c r="CV1225" s="115"/>
      <c r="CW1225" s="115"/>
      <c r="CX1225" s="115"/>
      <c r="CY1225" s="115"/>
      <c r="CZ1225" s="115"/>
      <c r="DA1225" s="115"/>
      <c r="DB1225" s="115"/>
      <c r="DC1225" s="115"/>
      <c r="DD1225" s="115"/>
      <c r="DE1225" s="115"/>
      <c r="DF1225" s="115"/>
      <c r="DG1225" s="115"/>
    </row>
    <row r="1226" spans="1:111" ht="9" customHeight="1">
      <c r="A1226" s="154"/>
      <c r="B1226" s="154"/>
      <c r="C1226" s="154"/>
      <c r="D1226" s="154"/>
      <c r="E1226" s="154"/>
      <c r="F1226" s="154"/>
      <c r="G1226" s="154"/>
      <c r="H1226" s="154"/>
      <c r="I1226" s="154"/>
      <c r="J1226" s="416" t="str">
        <f>IF(C1212="","","Quantidade:")</f>
        <v/>
      </c>
      <c r="K1226" s="416"/>
      <c r="L1226" s="416"/>
      <c r="M1226" s="416"/>
      <c r="N1226" s="416"/>
      <c r="O1226" s="416"/>
      <c r="P1226" s="154"/>
      <c r="Q1226" s="417"/>
      <c r="R1226" s="417"/>
      <c r="S1226" s="417"/>
      <c r="T1226" s="417"/>
      <c r="U1226" s="154"/>
      <c r="V1226" s="416" t="str">
        <f>IF(C1212="","","Unidade:")</f>
        <v/>
      </c>
      <c r="W1226" s="416"/>
      <c r="X1226" s="416"/>
      <c r="Y1226" s="416"/>
      <c r="Z1226" s="416"/>
      <c r="AA1226" s="416"/>
      <c r="AB1226" s="154"/>
      <c r="AC1226" s="418"/>
      <c r="AD1226" s="418"/>
      <c r="AE1226" s="418"/>
      <c r="AF1226" s="418"/>
      <c r="AG1226" s="418"/>
      <c r="AH1226" s="418"/>
      <c r="AI1226" s="418"/>
      <c r="AJ1226" s="418"/>
      <c r="AK1226" s="418"/>
      <c r="AL1226" s="418"/>
      <c r="AM1226" s="418"/>
      <c r="AN1226" s="418"/>
      <c r="AO1226" s="418"/>
      <c r="AP1226" s="418"/>
      <c r="AQ1226" s="418"/>
      <c r="AR1226" s="418"/>
      <c r="AS1226" s="418"/>
      <c r="AT1226" s="418"/>
      <c r="AU1226" s="418"/>
      <c r="AV1226" s="418"/>
      <c r="AW1226" s="418"/>
      <c r="AX1226" s="418"/>
      <c r="AY1226" s="418"/>
      <c r="AZ1226" s="418"/>
      <c r="BA1226" s="418"/>
      <c r="BB1226" s="154"/>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c r="BY1226" s="115"/>
      <c r="BZ1226" s="115"/>
      <c r="CA1226" s="115"/>
      <c r="CB1226" s="115"/>
      <c r="CC1226" s="115"/>
      <c r="CD1226" s="115"/>
      <c r="CE1226" s="115"/>
      <c r="CF1226" s="115"/>
      <c r="CG1226" s="115"/>
      <c r="CH1226" s="115"/>
      <c r="CI1226" s="115"/>
      <c r="CJ1226" s="115"/>
      <c r="CK1226" s="115"/>
      <c r="CL1226" s="115"/>
      <c r="CM1226" s="115"/>
      <c r="CN1226" s="115"/>
      <c r="CO1226" s="115"/>
      <c r="CP1226" s="115"/>
      <c r="CQ1226" s="115"/>
      <c r="CR1226" s="115"/>
      <c r="CS1226" s="115"/>
      <c r="CT1226" s="115"/>
      <c r="CU1226" s="115"/>
      <c r="CV1226" s="115"/>
      <c r="CW1226" s="115"/>
      <c r="CX1226" s="115"/>
      <c r="CY1226" s="115"/>
      <c r="CZ1226" s="115"/>
      <c r="DA1226" s="115"/>
      <c r="DB1226" s="115"/>
      <c r="DC1226" s="115"/>
      <c r="DD1226" s="115"/>
      <c r="DE1226" s="115"/>
      <c r="DF1226" s="115"/>
      <c r="DG1226" s="115"/>
    </row>
    <row r="1227" spans="1:111" ht="9" customHeight="1">
      <c r="A1227" s="154"/>
      <c r="B1227" s="154"/>
      <c r="C1227" s="154"/>
      <c r="D1227" s="154"/>
      <c r="E1227" s="154"/>
      <c r="F1227" s="154"/>
      <c r="G1227" s="154"/>
      <c r="H1227" s="154"/>
      <c r="I1227" s="154"/>
      <c r="J1227" s="416"/>
      <c r="K1227" s="416"/>
      <c r="L1227" s="416"/>
      <c r="M1227" s="416"/>
      <c r="N1227" s="416"/>
      <c r="O1227" s="416"/>
      <c r="P1227" s="154"/>
      <c r="Q1227" s="417"/>
      <c r="R1227" s="417"/>
      <c r="S1227" s="417"/>
      <c r="T1227" s="417"/>
      <c r="U1227" s="154"/>
      <c r="V1227" s="416"/>
      <c r="W1227" s="416"/>
      <c r="X1227" s="416"/>
      <c r="Y1227" s="416"/>
      <c r="Z1227" s="416"/>
      <c r="AA1227" s="416"/>
      <c r="AB1227" s="154"/>
      <c r="AC1227" s="418"/>
      <c r="AD1227" s="418"/>
      <c r="AE1227" s="418"/>
      <c r="AF1227" s="418"/>
      <c r="AG1227" s="418"/>
      <c r="AH1227" s="418"/>
      <c r="AI1227" s="418"/>
      <c r="AJ1227" s="418"/>
      <c r="AK1227" s="418"/>
      <c r="AL1227" s="418"/>
      <c r="AM1227" s="418"/>
      <c r="AN1227" s="418"/>
      <c r="AO1227" s="418"/>
      <c r="AP1227" s="418"/>
      <c r="AQ1227" s="418"/>
      <c r="AR1227" s="418"/>
      <c r="AS1227" s="418"/>
      <c r="AT1227" s="418"/>
      <c r="AU1227" s="418"/>
      <c r="AV1227" s="418"/>
      <c r="AW1227" s="418"/>
      <c r="AX1227" s="418"/>
      <c r="AY1227" s="418"/>
      <c r="AZ1227" s="418"/>
      <c r="BA1227" s="418"/>
      <c r="BB1227" s="154"/>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c r="BY1227" s="115"/>
      <c r="BZ1227" s="115"/>
      <c r="CA1227" s="115"/>
      <c r="CB1227" s="115"/>
      <c r="CC1227" s="115"/>
      <c r="CD1227" s="115"/>
      <c r="CE1227" s="115"/>
      <c r="CF1227" s="115"/>
      <c r="CG1227" s="115"/>
      <c r="CH1227" s="115"/>
      <c r="CI1227" s="115"/>
      <c r="CJ1227" s="115"/>
      <c r="CK1227" s="115"/>
      <c r="CL1227" s="115"/>
      <c r="CM1227" s="115"/>
      <c r="CN1227" s="115"/>
      <c r="CO1227" s="115"/>
      <c r="CP1227" s="115"/>
      <c r="CQ1227" s="115"/>
      <c r="CR1227" s="115"/>
      <c r="CS1227" s="115"/>
      <c r="CT1227" s="115"/>
      <c r="CU1227" s="115"/>
      <c r="CV1227" s="115"/>
      <c r="CW1227" s="115"/>
      <c r="CX1227" s="115"/>
      <c r="CY1227" s="115"/>
      <c r="CZ1227" s="115"/>
      <c r="DA1227" s="115"/>
      <c r="DB1227" s="115"/>
      <c r="DC1227" s="115"/>
      <c r="DD1227" s="115"/>
      <c r="DE1227" s="115"/>
      <c r="DF1227" s="115"/>
      <c r="DG1227" s="115"/>
    </row>
    <row r="1228" spans="1:111" ht="9" customHeight="1">
      <c r="A1228" s="154"/>
      <c r="B1228" s="154"/>
      <c r="C1228" s="154"/>
      <c r="D1228" s="154"/>
      <c r="E1228" s="154"/>
      <c r="F1228" s="154"/>
      <c r="G1228" s="154"/>
      <c r="H1228" s="154"/>
      <c r="I1228" s="154"/>
      <c r="J1228" s="154"/>
      <c r="K1228" s="154"/>
      <c r="L1228" s="154"/>
      <c r="M1228" s="154"/>
      <c r="N1228" s="154"/>
      <c r="O1228" s="154"/>
      <c r="P1228" s="154"/>
      <c r="Q1228" s="417"/>
      <c r="R1228" s="417"/>
      <c r="S1228" s="417"/>
      <c r="T1228" s="417"/>
      <c r="U1228" s="154"/>
      <c r="V1228" s="154"/>
      <c r="W1228" s="154"/>
      <c r="X1228" s="154"/>
      <c r="Y1228" s="154"/>
      <c r="Z1228" s="154"/>
      <c r="AA1228" s="154"/>
      <c r="AB1228" s="154"/>
      <c r="AC1228" s="418"/>
      <c r="AD1228" s="418"/>
      <c r="AE1228" s="418"/>
      <c r="AF1228" s="418"/>
      <c r="AG1228" s="418"/>
      <c r="AH1228" s="418"/>
      <c r="AI1228" s="418"/>
      <c r="AJ1228" s="418"/>
      <c r="AK1228" s="418"/>
      <c r="AL1228" s="418"/>
      <c r="AM1228" s="418"/>
      <c r="AN1228" s="418"/>
      <c r="AO1228" s="418"/>
      <c r="AP1228" s="418"/>
      <c r="AQ1228" s="418"/>
      <c r="AR1228" s="418"/>
      <c r="AS1228" s="418"/>
      <c r="AT1228" s="418"/>
      <c r="AU1228" s="418"/>
      <c r="AV1228" s="418"/>
      <c r="AW1228" s="418"/>
      <c r="AX1228" s="418"/>
      <c r="AY1228" s="418"/>
      <c r="AZ1228" s="418"/>
      <c r="BA1228" s="418"/>
      <c r="BB1228" s="154"/>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c r="BY1228" s="115"/>
      <c r="BZ1228" s="115"/>
      <c r="CA1228" s="115"/>
      <c r="CB1228" s="115"/>
      <c r="CC1228" s="115"/>
      <c r="CD1228" s="115"/>
      <c r="CE1228" s="115"/>
      <c r="CF1228" s="115"/>
      <c r="CG1228" s="115"/>
      <c r="CH1228" s="115"/>
      <c r="CI1228" s="115"/>
      <c r="CJ1228" s="115"/>
      <c r="CK1228" s="115"/>
      <c r="CL1228" s="115"/>
      <c r="CM1228" s="115"/>
      <c r="CN1228" s="115"/>
      <c r="CO1228" s="115"/>
      <c r="CP1228" s="115"/>
      <c r="CQ1228" s="115"/>
      <c r="CR1228" s="115"/>
      <c r="CS1228" s="115"/>
      <c r="CT1228" s="115"/>
      <c r="CU1228" s="115"/>
      <c r="CV1228" s="115"/>
      <c r="CW1228" s="115"/>
      <c r="CX1228" s="115"/>
      <c r="CY1228" s="115"/>
      <c r="CZ1228" s="115"/>
      <c r="DA1228" s="115"/>
      <c r="DB1228" s="115"/>
      <c r="DC1228" s="115"/>
      <c r="DD1228" s="115"/>
      <c r="DE1228" s="115"/>
      <c r="DF1228" s="115"/>
      <c r="DG1228" s="115"/>
    </row>
    <row r="1229" spans="1:111" ht="4.5" customHeight="1">
      <c r="A1229" s="154"/>
      <c r="B1229" s="154"/>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c r="BY1229" s="115"/>
      <c r="BZ1229" s="115"/>
      <c r="CA1229" s="115"/>
      <c r="CB1229" s="115"/>
      <c r="CC1229" s="115"/>
      <c r="CD1229" s="115"/>
      <c r="CE1229" s="115"/>
      <c r="CF1229" s="115"/>
      <c r="CG1229" s="115"/>
      <c r="CH1229" s="115"/>
      <c r="CI1229" s="115"/>
      <c r="CJ1229" s="115"/>
      <c r="CK1229" s="115"/>
      <c r="CL1229" s="115"/>
      <c r="CM1229" s="115"/>
      <c r="CN1229" s="115"/>
      <c r="CO1229" s="115"/>
      <c r="CP1229" s="115"/>
      <c r="CQ1229" s="115"/>
      <c r="CR1229" s="115"/>
      <c r="CS1229" s="115"/>
      <c r="CT1229" s="115"/>
      <c r="CU1229" s="115"/>
      <c r="CV1229" s="115"/>
      <c r="CW1229" s="115"/>
      <c r="CX1229" s="115"/>
      <c r="CY1229" s="115"/>
      <c r="CZ1229" s="115"/>
      <c r="DA1229" s="115"/>
      <c r="DB1229" s="115"/>
      <c r="DC1229" s="115"/>
      <c r="DD1229" s="115"/>
      <c r="DE1229" s="115"/>
      <c r="DF1229" s="115"/>
      <c r="DG1229" s="115"/>
    </row>
    <row r="1230" spans="1:111" ht="9" customHeight="1">
      <c r="A1230" s="154"/>
      <c r="B1230" s="154"/>
      <c r="C1230" s="154"/>
      <c r="D1230" s="154"/>
      <c r="E1230" s="154"/>
      <c r="F1230" s="154"/>
      <c r="G1230" s="154"/>
      <c r="H1230" s="154"/>
      <c r="I1230" s="154"/>
      <c r="J1230" s="416" t="str">
        <f>IF(C1212="","","Valor Unitário (R$):")</f>
        <v/>
      </c>
      <c r="K1230" s="416"/>
      <c r="L1230" s="416"/>
      <c r="M1230" s="416"/>
      <c r="N1230" s="416"/>
      <c r="O1230" s="416"/>
      <c r="P1230" s="154"/>
      <c r="Q1230" s="419"/>
      <c r="R1230" s="419"/>
      <c r="S1230" s="419"/>
      <c r="T1230" s="419"/>
      <c r="U1230" s="419"/>
      <c r="V1230" s="419"/>
      <c r="W1230" s="419"/>
      <c r="X1230" s="419"/>
      <c r="Y1230" s="154"/>
      <c r="Z1230" s="416" t="str">
        <f>IF(C1212="","",IF(J1218="52 Equipamentos e Material Permanente","Tempo de Uso:",""))</f>
        <v/>
      </c>
      <c r="AA1230" s="416"/>
      <c r="AB1230" s="416"/>
      <c r="AC1230" s="416"/>
      <c r="AD1230" s="416"/>
      <c r="AE1230" s="416"/>
      <c r="AF1230" s="154"/>
      <c r="AG1230" s="420"/>
      <c r="AH1230" s="420"/>
      <c r="AI1230" s="420"/>
      <c r="AJ1230" s="420"/>
      <c r="AK1230" s="420"/>
      <c r="AL1230" s="420"/>
      <c r="AM1230" s="420"/>
      <c r="AN1230" s="420"/>
      <c r="AO1230" s="420"/>
      <c r="AP1230" s="420"/>
      <c r="AQ1230" s="420"/>
      <c r="AR1230" s="420"/>
      <c r="AS1230" s="420"/>
      <c r="AT1230" s="420"/>
      <c r="AU1230" s="420"/>
      <c r="AV1230" s="420"/>
      <c r="AW1230" s="420"/>
      <c r="AX1230" s="420"/>
      <c r="AY1230" s="420"/>
      <c r="AZ1230" s="420"/>
      <c r="BA1230" s="420"/>
      <c r="BB1230" s="154"/>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c r="BY1230" s="115"/>
      <c r="BZ1230" s="115"/>
      <c r="CA1230" s="115"/>
      <c r="CB1230" s="115"/>
      <c r="CC1230" s="115"/>
      <c r="CD1230" s="115"/>
      <c r="CE1230" s="115"/>
      <c r="CF1230" s="115"/>
      <c r="CG1230" s="115"/>
      <c r="CH1230" s="115"/>
      <c r="CI1230" s="115"/>
      <c r="CJ1230" s="115"/>
      <c r="CK1230" s="115"/>
      <c r="CL1230" s="115"/>
      <c r="CM1230" s="115"/>
      <c r="CN1230" s="115"/>
      <c r="CO1230" s="115"/>
      <c r="CP1230" s="115"/>
      <c r="CQ1230" s="115"/>
      <c r="CR1230" s="115"/>
      <c r="CS1230" s="115"/>
      <c r="CT1230" s="115"/>
      <c r="CU1230" s="115"/>
      <c r="CV1230" s="115"/>
      <c r="CW1230" s="115"/>
      <c r="CX1230" s="115"/>
      <c r="CY1230" s="115"/>
      <c r="CZ1230" s="115"/>
      <c r="DA1230" s="115"/>
      <c r="DB1230" s="115"/>
      <c r="DC1230" s="115"/>
      <c r="DD1230" s="115"/>
      <c r="DE1230" s="115"/>
      <c r="DF1230" s="115"/>
      <c r="DG1230" s="115"/>
    </row>
    <row r="1231" spans="1:111" ht="9" customHeight="1">
      <c r="A1231" s="154"/>
      <c r="B1231" s="154"/>
      <c r="C1231" s="154"/>
      <c r="D1231" s="154"/>
      <c r="E1231" s="154"/>
      <c r="F1231" s="154"/>
      <c r="G1231" s="154"/>
      <c r="H1231" s="154"/>
      <c r="I1231" s="154"/>
      <c r="J1231" s="416"/>
      <c r="K1231" s="416"/>
      <c r="L1231" s="416"/>
      <c r="M1231" s="416"/>
      <c r="N1231" s="416"/>
      <c r="O1231" s="416"/>
      <c r="P1231" s="154"/>
      <c r="Q1231" s="419"/>
      <c r="R1231" s="419"/>
      <c r="S1231" s="419"/>
      <c r="T1231" s="419"/>
      <c r="U1231" s="419"/>
      <c r="V1231" s="419"/>
      <c r="W1231" s="419"/>
      <c r="X1231" s="419"/>
      <c r="Y1231" s="154"/>
      <c r="Z1231" s="416"/>
      <c r="AA1231" s="416"/>
      <c r="AB1231" s="416"/>
      <c r="AC1231" s="416"/>
      <c r="AD1231" s="416"/>
      <c r="AE1231" s="416"/>
      <c r="AF1231" s="154"/>
      <c r="AG1231" s="420"/>
      <c r="AH1231" s="420"/>
      <c r="AI1231" s="420"/>
      <c r="AJ1231" s="420"/>
      <c r="AK1231" s="420"/>
      <c r="AL1231" s="420"/>
      <c r="AM1231" s="420"/>
      <c r="AN1231" s="420"/>
      <c r="AO1231" s="420"/>
      <c r="AP1231" s="420"/>
      <c r="AQ1231" s="420"/>
      <c r="AR1231" s="420"/>
      <c r="AS1231" s="420"/>
      <c r="AT1231" s="420"/>
      <c r="AU1231" s="420"/>
      <c r="AV1231" s="420"/>
      <c r="AW1231" s="420"/>
      <c r="AX1231" s="420"/>
      <c r="AY1231" s="420"/>
      <c r="AZ1231" s="420"/>
      <c r="BA1231" s="420"/>
      <c r="BB1231" s="154"/>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c r="BY1231" s="115"/>
      <c r="BZ1231" s="115"/>
      <c r="CA1231" s="115"/>
      <c r="CB1231" s="115"/>
      <c r="CC1231" s="115"/>
      <c r="CD1231" s="115"/>
      <c r="CE1231" s="115"/>
      <c r="CF1231" s="115"/>
      <c r="CG1231" s="115"/>
      <c r="CH1231" s="115"/>
      <c r="CI1231" s="115"/>
      <c r="CJ1231" s="115"/>
      <c r="CK1231" s="115"/>
      <c r="CL1231" s="115"/>
      <c r="CM1231" s="115"/>
      <c r="CN1231" s="115"/>
      <c r="CO1231" s="115"/>
      <c r="CP1231" s="115"/>
      <c r="CQ1231" s="115"/>
      <c r="CR1231" s="115"/>
      <c r="CS1231" s="115"/>
      <c r="CT1231" s="115"/>
      <c r="CU1231" s="115"/>
      <c r="CV1231" s="115"/>
      <c r="CW1231" s="115"/>
      <c r="CX1231" s="115"/>
      <c r="CY1231" s="115"/>
      <c r="CZ1231" s="115"/>
      <c r="DA1231" s="115"/>
      <c r="DB1231" s="115"/>
      <c r="DC1231" s="115"/>
      <c r="DD1231" s="115"/>
      <c r="DE1231" s="115"/>
      <c r="DF1231" s="115"/>
      <c r="DG1231" s="115"/>
    </row>
    <row r="1232" spans="1:111" ht="9" customHeight="1">
      <c r="A1232" s="154"/>
      <c r="B1232" s="154"/>
      <c r="C1232" s="154"/>
      <c r="D1232" s="154"/>
      <c r="E1232" s="154"/>
      <c r="F1232" s="154"/>
      <c r="G1232" s="154"/>
      <c r="H1232" s="154"/>
      <c r="I1232" s="154"/>
      <c r="J1232" s="154"/>
      <c r="K1232" s="154"/>
      <c r="L1232" s="154"/>
      <c r="M1232" s="154"/>
      <c r="N1232" s="154"/>
      <c r="O1232" s="154"/>
      <c r="P1232" s="154"/>
      <c r="Q1232" s="419"/>
      <c r="R1232" s="419"/>
      <c r="S1232" s="419"/>
      <c r="T1232" s="419"/>
      <c r="U1232" s="419"/>
      <c r="V1232" s="419"/>
      <c r="W1232" s="419"/>
      <c r="X1232" s="419"/>
      <c r="Y1232" s="154"/>
      <c r="Z1232" s="154"/>
      <c r="AA1232" s="154"/>
      <c r="AB1232" s="154"/>
      <c r="AC1232" s="154"/>
      <c r="AD1232" s="154"/>
      <c r="AE1232" s="154"/>
      <c r="AF1232" s="154"/>
      <c r="AG1232" s="420"/>
      <c r="AH1232" s="420"/>
      <c r="AI1232" s="420"/>
      <c r="AJ1232" s="420"/>
      <c r="AK1232" s="420"/>
      <c r="AL1232" s="420"/>
      <c r="AM1232" s="420"/>
      <c r="AN1232" s="420"/>
      <c r="AO1232" s="420"/>
      <c r="AP1232" s="420"/>
      <c r="AQ1232" s="420"/>
      <c r="AR1232" s="420"/>
      <c r="AS1232" s="420"/>
      <c r="AT1232" s="420"/>
      <c r="AU1232" s="420"/>
      <c r="AV1232" s="420"/>
      <c r="AW1232" s="420"/>
      <c r="AX1232" s="420"/>
      <c r="AY1232" s="420"/>
      <c r="AZ1232" s="420"/>
      <c r="BA1232" s="420"/>
      <c r="BB1232" s="154"/>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c r="BY1232" s="115"/>
      <c r="BZ1232" s="115"/>
      <c r="CA1232" s="115"/>
      <c r="CB1232" s="115"/>
      <c r="CC1232" s="115"/>
      <c r="CD1232" s="115"/>
      <c r="CE1232" s="115"/>
      <c r="CF1232" s="115"/>
      <c r="CG1232" s="115"/>
      <c r="CH1232" s="115"/>
      <c r="CI1232" s="115"/>
      <c r="CJ1232" s="115"/>
      <c r="CK1232" s="115"/>
      <c r="CL1232" s="115"/>
      <c r="CM1232" s="115"/>
      <c r="CN1232" s="115"/>
      <c r="CO1232" s="115"/>
      <c r="CP1232" s="115"/>
      <c r="CQ1232" s="115"/>
      <c r="CR1232" s="115"/>
      <c r="CS1232" s="115"/>
      <c r="CT1232" s="115"/>
      <c r="CU1232" s="115"/>
      <c r="CV1232" s="115"/>
      <c r="CW1232" s="115"/>
      <c r="CX1232" s="115"/>
      <c r="CY1232" s="115"/>
      <c r="CZ1232" s="115"/>
      <c r="DA1232" s="115"/>
      <c r="DB1232" s="115"/>
      <c r="DC1232" s="115"/>
      <c r="DD1232" s="115"/>
      <c r="DE1232" s="115"/>
      <c r="DF1232" s="115"/>
      <c r="DG1232" s="115"/>
    </row>
    <row r="1233" spans="1:111" ht="4.5" customHeight="1">
      <c r="A1233" s="154"/>
      <c r="B1233" s="154"/>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c r="BY1233" s="115"/>
      <c r="BZ1233" s="115"/>
      <c r="CA1233" s="115"/>
      <c r="CB1233" s="115"/>
      <c r="CC1233" s="115"/>
      <c r="CD1233" s="115"/>
      <c r="CE1233" s="115"/>
      <c r="CF1233" s="115"/>
      <c r="CG1233" s="115"/>
      <c r="CH1233" s="115"/>
      <c r="CI1233" s="115"/>
      <c r="CJ1233" s="115"/>
      <c r="CK1233" s="115"/>
      <c r="CL1233" s="115"/>
      <c r="CM1233" s="115"/>
      <c r="CN1233" s="115"/>
      <c r="CO1233" s="115"/>
      <c r="CP1233" s="115"/>
      <c r="CQ1233" s="115"/>
      <c r="CR1233" s="115"/>
      <c r="CS1233" s="115"/>
      <c r="CT1233" s="115"/>
      <c r="CU1233" s="115"/>
      <c r="CV1233" s="115"/>
      <c r="CW1233" s="115"/>
      <c r="CX1233" s="115"/>
      <c r="CY1233" s="115"/>
      <c r="CZ1233" s="115"/>
      <c r="DA1233" s="115"/>
      <c r="DB1233" s="115"/>
      <c r="DC1233" s="115"/>
      <c r="DD1233" s="115"/>
      <c r="DE1233" s="115"/>
      <c r="DF1233" s="115"/>
      <c r="DG1233" s="115"/>
    </row>
    <row r="1234" spans="1:111" ht="9" customHeight="1">
      <c r="A1234" s="154"/>
      <c r="B1234" s="154"/>
      <c r="C1234" s="154"/>
      <c r="D1234" s="154"/>
      <c r="E1234" s="154"/>
      <c r="F1234" s="154"/>
      <c r="G1234" s="154"/>
      <c r="H1234" s="154"/>
      <c r="I1234" s="154"/>
      <c r="J1234" s="416" t="str">
        <f>IF(C1212="","","Valor Total (R$):")</f>
        <v/>
      </c>
      <c r="K1234" s="416"/>
      <c r="L1234" s="416"/>
      <c r="M1234" s="416"/>
      <c r="N1234" s="416"/>
      <c r="O1234" s="416"/>
      <c r="P1234" s="154"/>
      <c r="Q1234" s="419" t="str">
        <f>IF(Q1230="","",Q1226*Q1230)</f>
        <v/>
      </c>
      <c r="R1234" s="419"/>
      <c r="S1234" s="419"/>
      <c r="T1234" s="419"/>
      <c r="U1234" s="419"/>
      <c r="V1234" s="419"/>
      <c r="W1234" s="419"/>
      <c r="X1234" s="419"/>
      <c r="Y1234" s="154"/>
      <c r="Z1234" s="416" t="str">
        <f>IF(C1212="","",IF(J1218="52 Equipamentos e Material Permanente","Justificativa e Utilização:",""))</f>
        <v/>
      </c>
      <c r="AA1234" s="416"/>
      <c r="AB1234" s="416"/>
      <c r="AC1234" s="416"/>
      <c r="AD1234" s="416"/>
      <c r="AE1234" s="416"/>
      <c r="AF1234" s="154"/>
      <c r="AG1234" s="420"/>
      <c r="AH1234" s="420"/>
      <c r="AI1234" s="420"/>
      <c r="AJ1234" s="420"/>
      <c r="AK1234" s="420"/>
      <c r="AL1234" s="420"/>
      <c r="AM1234" s="420"/>
      <c r="AN1234" s="420"/>
      <c r="AO1234" s="420"/>
      <c r="AP1234" s="420"/>
      <c r="AQ1234" s="420"/>
      <c r="AR1234" s="420"/>
      <c r="AS1234" s="420"/>
      <c r="AT1234" s="420"/>
      <c r="AU1234" s="420"/>
      <c r="AV1234" s="420"/>
      <c r="AW1234" s="420"/>
      <c r="AX1234" s="420"/>
      <c r="AY1234" s="420"/>
      <c r="AZ1234" s="420"/>
      <c r="BA1234" s="420"/>
      <c r="BB1234" s="154"/>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c r="BY1234" s="115"/>
      <c r="BZ1234" s="115"/>
      <c r="CA1234" s="115"/>
      <c r="CB1234" s="115"/>
      <c r="CC1234" s="115"/>
      <c r="CD1234" s="115"/>
      <c r="CE1234" s="115"/>
      <c r="CF1234" s="115"/>
      <c r="CG1234" s="115"/>
      <c r="CH1234" s="115"/>
      <c r="CI1234" s="115"/>
      <c r="CJ1234" s="115"/>
      <c r="CK1234" s="115"/>
      <c r="CL1234" s="115"/>
      <c r="CM1234" s="115"/>
      <c r="CN1234" s="115"/>
      <c r="CO1234" s="115"/>
      <c r="CP1234" s="115"/>
      <c r="CQ1234" s="115"/>
      <c r="CR1234" s="115"/>
      <c r="CS1234" s="115"/>
      <c r="CT1234" s="115"/>
      <c r="CU1234" s="115"/>
      <c r="CV1234" s="115"/>
      <c r="CW1234" s="115"/>
      <c r="CX1234" s="115"/>
      <c r="CY1234" s="115"/>
      <c r="CZ1234" s="115"/>
      <c r="DA1234" s="115"/>
      <c r="DB1234" s="115"/>
      <c r="DC1234" s="115"/>
      <c r="DD1234" s="115"/>
      <c r="DE1234" s="115"/>
      <c r="DF1234" s="115"/>
      <c r="DG1234" s="115"/>
    </row>
    <row r="1235" spans="1:111" ht="9" customHeight="1">
      <c r="A1235" s="154"/>
      <c r="B1235" s="154"/>
      <c r="C1235" s="154"/>
      <c r="D1235" s="154"/>
      <c r="E1235" s="154"/>
      <c r="F1235" s="154"/>
      <c r="G1235" s="154"/>
      <c r="H1235" s="154"/>
      <c r="I1235" s="154"/>
      <c r="J1235" s="416"/>
      <c r="K1235" s="416"/>
      <c r="L1235" s="416"/>
      <c r="M1235" s="416"/>
      <c r="N1235" s="416"/>
      <c r="O1235" s="416"/>
      <c r="P1235" s="154"/>
      <c r="Q1235" s="419"/>
      <c r="R1235" s="419"/>
      <c r="S1235" s="419"/>
      <c r="T1235" s="419"/>
      <c r="U1235" s="419"/>
      <c r="V1235" s="419"/>
      <c r="W1235" s="419"/>
      <c r="X1235" s="419"/>
      <c r="Y1235" s="154"/>
      <c r="Z1235" s="416"/>
      <c r="AA1235" s="416"/>
      <c r="AB1235" s="416"/>
      <c r="AC1235" s="416"/>
      <c r="AD1235" s="416"/>
      <c r="AE1235" s="416"/>
      <c r="AF1235" s="154"/>
      <c r="AG1235" s="420"/>
      <c r="AH1235" s="420"/>
      <c r="AI1235" s="420"/>
      <c r="AJ1235" s="420"/>
      <c r="AK1235" s="420"/>
      <c r="AL1235" s="420"/>
      <c r="AM1235" s="420"/>
      <c r="AN1235" s="420"/>
      <c r="AO1235" s="420"/>
      <c r="AP1235" s="420"/>
      <c r="AQ1235" s="420"/>
      <c r="AR1235" s="420"/>
      <c r="AS1235" s="420"/>
      <c r="AT1235" s="420"/>
      <c r="AU1235" s="420"/>
      <c r="AV1235" s="420"/>
      <c r="AW1235" s="420"/>
      <c r="AX1235" s="420"/>
      <c r="AY1235" s="420"/>
      <c r="AZ1235" s="420"/>
      <c r="BA1235" s="420"/>
      <c r="BB1235" s="154"/>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c r="BY1235" s="115"/>
      <c r="BZ1235" s="115"/>
      <c r="CA1235" s="115"/>
      <c r="CB1235" s="115"/>
      <c r="CC1235" s="115"/>
      <c r="CD1235" s="115"/>
      <c r="CE1235" s="115"/>
      <c r="CF1235" s="115"/>
      <c r="CG1235" s="115"/>
      <c r="CH1235" s="115"/>
      <c r="CI1235" s="115"/>
      <c r="CJ1235" s="115"/>
      <c r="CK1235" s="115"/>
      <c r="CL1235" s="115"/>
      <c r="CM1235" s="115"/>
      <c r="CN1235" s="115"/>
      <c r="CO1235" s="115"/>
      <c r="CP1235" s="115"/>
      <c r="CQ1235" s="115"/>
      <c r="CR1235" s="115"/>
      <c r="CS1235" s="115"/>
      <c r="CT1235" s="115"/>
      <c r="CU1235" s="115"/>
      <c r="CV1235" s="115"/>
      <c r="CW1235" s="115"/>
      <c r="CX1235" s="115"/>
      <c r="CY1235" s="115"/>
      <c r="CZ1235" s="115"/>
      <c r="DA1235" s="115"/>
      <c r="DB1235" s="115"/>
      <c r="DC1235" s="115"/>
      <c r="DD1235" s="115"/>
      <c r="DE1235" s="115"/>
      <c r="DF1235" s="115"/>
      <c r="DG1235" s="115"/>
    </row>
    <row r="1236" spans="1:111" ht="9" customHeight="1">
      <c r="A1236" s="154"/>
      <c r="B1236" s="154"/>
      <c r="C1236" s="154"/>
      <c r="D1236" s="154"/>
      <c r="E1236" s="154"/>
      <c r="F1236" s="154"/>
      <c r="G1236" s="154"/>
      <c r="H1236" s="154"/>
      <c r="I1236" s="154"/>
      <c r="J1236" s="154"/>
      <c r="K1236" s="154"/>
      <c r="L1236" s="154"/>
      <c r="M1236" s="154"/>
      <c r="N1236" s="154"/>
      <c r="O1236" s="154"/>
      <c r="P1236" s="154"/>
      <c r="Q1236" s="419"/>
      <c r="R1236" s="419"/>
      <c r="S1236" s="419"/>
      <c r="T1236" s="419"/>
      <c r="U1236" s="419"/>
      <c r="V1236" s="419"/>
      <c r="W1236" s="419"/>
      <c r="X1236" s="419"/>
      <c r="Y1236" s="154"/>
      <c r="Z1236" s="154"/>
      <c r="AA1236" s="154"/>
      <c r="AB1236" s="154"/>
      <c r="AC1236" s="154"/>
      <c r="AD1236" s="154"/>
      <c r="AE1236" s="154"/>
      <c r="AF1236" s="154"/>
      <c r="AG1236" s="420"/>
      <c r="AH1236" s="420"/>
      <c r="AI1236" s="420"/>
      <c r="AJ1236" s="420"/>
      <c r="AK1236" s="420"/>
      <c r="AL1236" s="420"/>
      <c r="AM1236" s="420"/>
      <c r="AN1236" s="420"/>
      <c r="AO1236" s="420"/>
      <c r="AP1236" s="420"/>
      <c r="AQ1236" s="420"/>
      <c r="AR1236" s="420"/>
      <c r="AS1236" s="420"/>
      <c r="AT1236" s="420"/>
      <c r="AU1236" s="420"/>
      <c r="AV1236" s="420"/>
      <c r="AW1236" s="420"/>
      <c r="AX1236" s="420"/>
      <c r="AY1236" s="420"/>
      <c r="AZ1236" s="420"/>
      <c r="BA1236" s="420"/>
      <c r="BB1236" s="154"/>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c r="BY1236" s="115"/>
      <c r="BZ1236" s="115"/>
      <c r="CA1236" s="115"/>
      <c r="CB1236" s="115"/>
      <c r="CC1236" s="115"/>
      <c r="CD1236" s="115"/>
      <c r="CE1236" s="115"/>
      <c r="CF1236" s="115"/>
      <c r="CG1236" s="115"/>
      <c r="CH1236" s="115"/>
      <c r="CI1236" s="115"/>
      <c r="CJ1236" s="115"/>
      <c r="CK1236" s="115"/>
      <c r="CL1236" s="115"/>
      <c r="CM1236" s="115"/>
      <c r="CN1236" s="115"/>
      <c r="CO1236" s="115"/>
      <c r="CP1236" s="115"/>
      <c r="CQ1236" s="115"/>
      <c r="CR1236" s="115"/>
      <c r="CS1236" s="115"/>
      <c r="CT1236" s="115"/>
      <c r="CU1236" s="115"/>
      <c r="CV1236" s="115"/>
      <c r="CW1236" s="115"/>
      <c r="CX1236" s="115"/>
      <c r="CY1236" s="115"/>
      <c r="CZ1236" s="115"/>
      <c r="DA1236" s="115"/>
      <c r="DB1236" s="115"/>
      <c r="DC1236" s="115"/>
      <c r="DD1236" s="115"/>
      <c r="DE1236" s="115"/>
      <c r="DF1236" s="115"/>
      <c r="DG1236" s="115"/>
    </row>
    <row r="1237" spans="1:111" ht="9" customHeight="1">
      <c r="A1237" s="154"/>
      <c r="B1237" s="154"/>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420"/>
      <c r="AH1237" s="420"/>
      <c r="AI1237" s="420"/>
      <c r="AJ1237" s="420"/>
      <c r="AK1237" s="420"/>
      <c r="AL1237" s="420"/>
      <c r="AM1237" s="420"/>
      <c r="AN1237" s="420"/>
      <c r="AO1237" s="420"/>
      <c r="AP1237" s="420"/>
      <c r="AQ1237" s="420"/>
      <c r="AR1237" s="420"/>
      <c r="AS1237" s="420"/>
      <c r="AT1237" s="420"/>
      <c r="AU1237" s="420"/>
      <c r="AV1237" s="420"/>
      <c r="AW1237" s="420"/>
      <c r="AX1237" s="420"/>
      <c r="AY1237" s="420"/>
      <c r="AZ1237" s="420"/>
      <c r="BA1237" s="420"/>
      <c r="BB1237" s="154"/>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c r="BY1237" s="115"/>
      <c r="BZ1237" s="115"/>
      <c r="CA1237" s="115"/>
      <c r="CB1237" s="115"/>
      <c r="CC1237" s="115"/>
      <c r="CD1237" s="115"/>
      <c r="CE1237" s="115"/>
      <c r="CF1237" s="115"/>
      <c r="CG1237" s="115"/>
      <c r="CH1237" s="115"/>
      <c r="CI1237" s="115"/>
      <c r="CJ1237" s="115"/>
      <c r="CK1237" s="115"/>
      <c r="CL1237" s="115"/>
      <c r="CM1237" s="115"/>
      <c r="CN1237" s="115"/>
      <c r="CO1237" s="115"/>
      <c r="CP1237" s="115"/>
      <c r="CQ1237" s="115"/>
      <c r="CR1237" s="115"/>
      <c r="CS1237" s="115"/>
      <c r="CT1237" s="115"/>
      <c r="CU1237" s="115"/>
      <c r="CV1237" s="115"/>
      <c r="CW1237" s="115"/>
      <c r="CX1237" s="115"/>
      <c r="CY1237" s="115"/>
      <c r="CZ1237" s="115"/>
      <c r="DA1237" s="115"/>
      <c r="DB1237" s="115"/>
      <c r="DC1237" s="115"/>
      <c r="DD1237" s="115"/>
      <c r="DE1237" s="115"/>
      <c r="DF1237" s="115"/>
      <c r="DG1237" s="115"/>
    </row>
    <row r="1238" spans="1:111" ht="9" customHeight="1">
      <c r="A1238" s="154"/>
      <c r="B1238" s="154"/>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420"/>
      <c r="AH1238" s="420"/>
      <c r="AI1238" s="420"/>
      <c r="AJ1238" s="420"/>
      <c r="AK1238" s="420"/>
      <c r="AL1238" s="420"/>
      <c r="AM1238" s="420"/>
      <c r="AN1238" s="420"/>
      <c r="AO1238" s="420"/>
      <c r="AP1238" s="420"/>
      <c r="AQ1238" s="420"/>
      <c r="AR1238" s="420"/>
      <c r="AS1238" s="420"/>
      <c r="AT1238" s="420"/>
      <c r="AU1238" s="420"/>
      <c r="AV1238" s="420"/>
      <c r="AW1238" s="420"/>
      <c r="AX1238" s="420"/>
      <c r="AY1238" s="420"/>
      <c r="AZ1238" s="420"/>
      <c r="BA1238" s="420"/>
      <c r="BB1238" s="154"/>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c r="BY1238" s="115"/>
      <c r="BZ1238" s="115"/>
      <c r="CA1238" s="115"/>
      <c r="CB1238" s="115"/>
      <c r="CC1238" s="115"/>
      <c r="CD1238" s="115"/>
      <c r="CE1238" s="115"/>
      <c r="CF1238" s="115"/>
      <c r="CG1238" s="115"/>
      <c r="CH1238" s="115"/>
      <c r="CI1238" s="115"/>
      <c r="CJ1238" s="115"/>
      <c r="CK1238" s="115"/>
      <c r="CL1238" s="115"/>
      <c r="CM1238" s="115"/>
      <c r="CN1238" s="115"/>
      <c r="CO1238" s="115"/>
      <c r="CP1238" s="115"/>
      <c r="CQ1238" s="115"/>
      <c r="CR1238" s="115"/>
      <c r="CS1238" s="115"/>
      <c r="CT1238" s="115"/>
      <c r="CU1238" s="115"/>
      <c r="CV1238" s="115"/>
      <c r="CW1238" s="115"/>
      <c r="CX1238" s="115"/>
      <c r="CY1238" s="115"/>
      <c r="CZ1238" s="115"/>
      <c r="DA1238" s="115"/>
      <c r="DB1238" s="115"/>
      <c r="DC1238" s="115"/>
      <c r="DD1238" s="115"/>
      <c r="DE1238" s="115"/>
      <c r="DF1238" s="115"/>
      <c r="DG1238" s="115"/>
    </row>
    <row r="1239" spans="1:111" ht="9" customHeight="1">
      <c r="A1239" s="154"/>
      <c r="B1239" s="154"/>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420"/>
      <c r="AH1239" s="420"/>
      <c r="AI1239" s="420"/>
      <c r="AJ1239" s="420"/>
      <c r="AK1239" s="420"/>
      <c r="AL1239" s="420"/>
      <c r="AM1239" s="420"/>
      <c r="AN1239" s="420"/>
      <c r="AO1239" s="420"/>
      <c r="AP1239" s="420"/>
      <c r="AQ1239" s="420"/>
      <c r="AR1239" s="420"/>
      <c r="AS1239" s="420"/>
      <c r="AT1239" s="420"/>
      <c r="AU1239" s="420"/>
      <c r="AV1239" s="420"/>
      <c r="AW1239" s="420"/>
      <c r="AX1239" s="420"/>
      <c r="AY1239" s="420"/>
      <c r="AZ1239" s="420"/>
      <c r="BA1239" s="420"/>
      <c r="BB1239" s="154"/>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c r="BY1239" s="115"/>
      <c r="BZ1239" s="115"/>
      <c r="CA1239" s="115"/>
      <c r="CB1239" s="115"/>
      <c r="CC1239" s="115"/>
      <c r="CD1239" s="115"/>
      <c r="CE1239" s="115"/>
      <c r="CF1239" s="115"/>
      <c r="CG1239" s="115"/>
      <c r="CH1239" s="115"/>
      <c r="CI1239" s="115"/>
      <c r="CJ1239" s="115"/>
      <c r="CK1239" s="115"/>
      <c r="CL1239" s="115"/>
      <c r="CM1239" s="115"/>
      <c r="CN1239" s="115"/>
      <c r="CO1239" s="115"/>
      <c r="CP1239" s="115"/>
      <c r="CQ1239" s="115"/>
      <c r="CR1239" s="115"/>
      <c r="CS1239" s="115"/>
      <c r="CT1239" s="115"/>
      <c r="CU1239" s="115"/>
      <c r="CV1239" s="115"/>
      <c r="CW1239" s="115"/>
      <c r="CX1239" s="115"/>
      <c r="CY1239" s="115"/>
      <c r="CZ1239" s="115"/>
      <c r="DA1239" s="115"/>
      <c r="DB1239" s="115"/>
      <c r="DC1239" s="115"/>
      <c r="DD1239" s="115"/>
      <c r="DE1239" s="115"/>
      <c r="DF1239" s="115"/>
      <c r="DG1239" s="115"/>
    </row>
    <row r="1240" spans="1:111" ht="15" customHeight="1">
      <c r="B1240" s="55"/>
      <c r="C1240" s="55"/>
      <c r="D1240" s="56"/>
      <c r="E1240" s="56"/>
      <c r="F1240" s="56"/>
      <c r="G1240" s="56"/>
      <c r="H1240" s="56"/>
      <c r="I1240" s="56"/>
      <c r="J1240" s="56"/>
      <c r="K1240" s="56"/>
      <c r="L1240" s="56"/>
      <c r="M1240" s="56"/>
      <c r="N1240" s="56"/>
      <c r="O1240" s="56"/>
      <c r="P1240" s="56"/>
      <c r="Q1240" s="56"/>
      <c r="R1240" s="56"/>
      <c r="S1240" s="56"/>
      <c r="T1240" s="56"/>
      <c r="U1240" s="56"/>
      <c r="V1240" s="56"/>
      <c r="W1240" s="56"/>
      <c r="X1240" s="56"/>
      <c r="Y1240" s="56"/>
      <c r="Z1240" s="56"/>
      <c r="AA1240" s="56"/>
      <c r="AB1240" s="56"/>
      <c r="AC1240" s="56"/>
      <c r="AD1240" s="56"/>
      <c r="AE1240" s="56"/>
      <c r="AF1240" s="56"/>
      <c r="AG1240" s="56"/>
      <c r="AH1240" s="56"/>
      <c r="AI1240" s="56"/>
      <c r="AJ1240" s="56"/>
      <c r="AK1240" s="141"/>
      <c r="AL1240" s="141"/>
      <c r="AM1240" s="141"/>
      <c r="AN1240" s="141"/>
      <c r="AO1240" s="140"/>
      <c r="AP1240" s="140"/>
      <c r="AQ1240" s="140"/>
      <c r="AR1240" s="140"/>
      <c r="AS1240" s="142"/>
      <c r="AT1240" s="142"/>
      <c r="AU1240" s="142"/>
      <c r="AV1240" s="142"/>
      <c r="AW1240" s="140"/>
      <c r="AX1240" s="140"/>
      <c r="AY1240" s="140"/>
      <c r="AZ1240" s="140"/>
      <c r="BA1240" s="140"/>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c r="BY1240" s="115"/>
      <c r="BZ1240" s="115"/>
      <c r="CA1240" s="115"/>
      <c r="CB1240" s="115"/>
      <c r="CC1240" s="115"/>
      <c r="CD1240" s="115"/>
      <c r="CE1240" s="115"/>
      <c r="CF1240" s="115"/>
      <c r="CG1240" s="115"/>
      <c r="CH1240" s="115"/>
      <c r="CI1240" s="115"/>
      <c r="CJ1240" s="115"/>
      <c r="CK1240" s="115"/>
      <c r="CL1240" s="115"/>
      <c r="CM1240" s="115"/>
      <c r="CN1240" s="115"/>
      <c r="CO1240" s="115"/>
      <c r="CP1240" s="115"/>
      <c r="CQ1240" s="115"/>
      <c r="CR1240" s="115"/>
      <c r="CS1240" s="115"/>
      <c r="CT1240" s="115"/>
      <c r="CU1240" s="115"/>
      <c r="CV1240" s="115"/>
      <c r="CW1240" s="115"/>
      <c r="CX1240" s="115"/>
      <c r="CY1240" s="115"/>
      <c r="CZ1240" s="115"/>
      <c r="DA1240" s="115"/>
      <c r="DB1240" s="115"/>
      <c r="DC1240" s="115"/>
      <c r="DD1240" s="115"/>
      <c r="DE1240" s="115"/>
      <c r="DF1240" s="115"/>
      <c r="DG1240" s="115"/>
    </row>
    <row r="1241" spans="1:111" ht="15" customHeight="1">
      <c r="B1241" s="55"/>
      <c r="C1241" s="422" t="str">
        <f>IF($AA$165&gt;=38,"DESPESA 38","")</f>
        <v/>
      </c>
      <c r="D1241" s="422"/>
      <c r="E1241" s="422"/>
      <c r="F1241" s="422"/>
      <c r="G1241" s="422"/>
      <c r="H1241" s="422"/>
      <c r="I1241" s="56"/>
      <c r="J1241" s="56"/>
      <c r="K1241" s="56"/>
      <c r="L1241" s="56"/>
      <c r="M1241" s="56"/>
      <c r="N1241" s="56"/>
      <c r="O1241" s="56"/>
      <c r="P1241" s="56"/>
      <c r="Q1241" s="56"/>
      <c r="R1241" s="56"/>
      <c r="S1241" s="56"/>
      <c r="T1241" s="56"/>
      <c r="U1241" s="56"/>
      <c r="V1241" s="56"/>
      <c r="W1241" s="56"/>
      <c r="X1241" s="56"/>
      <c r="Y1241" s="56"/>
      <c r="Z1241" s="56"/>
      <c r="AA1241" s="56"/>
      <c r="AB1241" s="56"/>
      <c r="AC1241" s="56"/>
      <c r="AD1241" s="56"/>
      <c r="AE1241" s="56"/>
      <c r="AF1241" s="56"/>
      <c r="AG1241" s="56"/>
      <c r="AH1241" s="56"/>
      <c r="AI1241" s="56"/>
      <c r="AJ1241" s="56"/>
      <c r="AK1241" s="141"/>
      <c r="AL1241" s="141"/>
      <c r="AM1241" s="141"/>
      <c r="AN1241" s="141"/>
      <c r="AO1241" s="140"/>
      <c r="AP1241" s="140"/>
      <c r="AQ1241" s="140"/>
      <c r="AR1241" s="140"/>
      <c r="AS1241" s="142"/>
      <c r="AT1241" s="142"/>
      <c r="AU1241" s="142"/>
      <c r="AV1241" s="142"/>
      <c r="AW1241" s="140"/>
      <c r="AX1241" s="140"/>
      <c r="AY1241" s="140"/>
      <c r="AZ1241" s="140"/>
      <c r="BA1241" s="140"/>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c r="BY1241" s="115"/>
      <c r="BZ1241" s="115"/>
      <c r="CA1241" s="115"/>
      <c r="CB1241" s="115"/>
      <c r="CC1241" s="115"/>
      <c r="CD1241" s="115"/>
      <c r="CE1241" s="115"/>
      <c r="CF1241" s="115"/>
      <c r="CG1241" s="115"/>
      <c r="CH1241" s="115"/>
      <c r="CI1241" s="115"/>
      <c r="CJ1241" s="115"/>
      <c r="CK1241" s="115"/>
      <c r="CL1241" s="115"/>
      <c r="CM1241" s="115"/>
      <c r="CN1241" s="115"/>
      <c r="CO1241" s="115"/>
      <c r="CP1241" s="115"/>
      <c r="CQ1241" s="115"/>
      <c r="CR1241" s="115"/>
      <c r="CS1241" s="115"/>
      <c r="CT1241" s="115"/>
      <c r="CU1241" s="115"/>
      <c r="CV1241" s="115"/>
      <c r="CW1241" s="115"/>
      <c r="CX1241" s="115"/>
      <c r="CY1241" s="115"/>
      <c r="CZ1241" s="115"/>
      <c r="DA1241" s="115"/>
      <c r="DB1241" s="115"/>
      <c r="DC1241" s="115"/>
      <c r="DD1241" s="115"/>
      <c r="DE1241" s="115"/>
      <c r="DF1241" s="115"/>
      <c r="DG1241" s="115"/>
    </row>
    <row r="1242" spans="1:111" ht="4.5" customHeight="1">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c r="BY1242" s="115"/>
      <c r="BZ1242" s="115"/>
      <c r="CA1242" s="115"/>
      <c r="CB1242" s="115"/>
      <c r="CC1242" s="115"/>
      <c r="CD1242" s="115"/>
      <c r="CE1242" s="115"/>
      <c r="CF1242" s="115"/>
      <c r="CG1242" s="115"/>
      <c r="CH1242" s="115"/>
      <c r="CI1242" s="115"/>
      <c r="CJ1242" s="115"/>
      <c r="CK1242" s="115"/>
      <c r="CL1242" s="115"/>
      <c r="CM1242" s="115"/>
      <c r="CN1242" s="115"/>
      <c r="CO1242" s="115"/>
      <c r="CP1242" s="115"/>
      <c r="CQ1242" s="115"/>
      <c r="CR1242" s="115"/>
      <c r="CS1242" s="115"/>
      <c r="CT1242" s="115"/>
      <c r="CU1242" s="115"/>
      <c r="CV1242" s="115"/>
      <c r="CW1242" s="115"/>
      <c r="CX1242" s="115"/>
      <c r="CY1242" s="115"/>
      <c r="CZ1242" s="115"/>
      <c r="DA1242" s="115"/>
      <c r="DB1242" s="115"/>
      <c r="DC1242" s="115"/>
      <c r="DD1242" s="115"/>
      <c r="DE1242" s="115"/>
      <c r="DF1242" s="115"/>
      <c r="DG1242" s="115"/>
    </row>
    <row r="1243" spans="1:111" ht="9" customHeight="1">
      <c r="C1243" s="416" t="str">
        <f>IF(C1241="","","Descrição da Despesa:")</f>
        <v/>
      </c>
      <c r="D1243" s="416"/>
      <c r="E1243" s="416"/>
      <c r="F1243" s="416"/>
      <c r="G1243" s="416"/>
      <c r="H1243" s="416"/>
      <c r="I1243" s="60"/>
      <c r="J1243" s="421"/>
      <c r="K1243" s="421"/>
      <c r="L1243" s="421"/>
      <c r="M1243" s="421"/>
      <c r="N1243" s="421"/>
      <c r="O1243" s="421"/>
      <c r="P1243" s="421"/>
      <c r="Q1243" s="421"/>
      <c r="R1243" s="421"/>
      <c r="S1243" s="421"/>
      <c r="T1243" s="421"/>
      <c r="U1243" s="421"/>
      <c r="V1243" s="421"/>
      <c r="W1243" s="421"/>
      <c r="X1243" s="421"/>
      <c r="Y1243" s="421"/>
      <c r="Z1243" s="421"/>
      <c r="AA1243" s="421"/>
      <c r="AB1243" s="421"/>
      <c r="AC1243" s="421"/>
      <c r="AD1243" s="421"/>
      <c r="AE1243" s="421"/>
      <c r="AF1243" s="421"/>
      <c r="AG1243" s="421"/>
      <c r="AH1243" s="421"/>
      <c r="AI1243" s="421"/>
      <c r="AJ1243" s="421"/>
      <c r="AK1243" s="421"/>
      <c r="AL1243" s="421"/>
      <c r="AM1243" s="421"/>
      <c r="AN1243" s="421"/>
      <c r="AO1243" s="421"/>
      <c r="AP1243" s="421"/>
      <c r="AQ1243" s="421"/>
      <c r="AR1243" s="421"/>
      <c r="AS1243" s="421"/>
      <c r="AT1243" s="421"/>
      <c r="AU1243" s="421"/>
      <c r="AV1243" s="421"/>
      <c r="AW1243" s="421"/>
      <c r="AX1243" s="421"/>
      <c r="AY1243" s="421"/>
      <c r="AZ1243" s="421"/>
      <c r="BA1243" s="421"/>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c r="BY1243" s="115"/>
      <c r="BZ1243" s="115"/>
      <c r="CA1243" s="115"/>
      <c r="CB1243" s="115"/>
      <c r="CC1243" s="115"/>
      <c r="CD1243" s="115"/>
      <c r="CE1243" s="115"/>
      <c r="CF1243" s="115"/>
      <c r="CG1243" s="115"/>
      <c r="CH1243" s="115"/>
      <c r="CI1243" s="115"/>
      <c r="CJ1243" s="115"/>
      <c r="CK1243" s="115"/>
      <c r="CL1243" s="115"/>
      <c r="CM1243" s="115"/>
      <c r="CN1243" s="115"/>
      <c r="CO1243" s="115"/>
      <c r="CP1243" s="115"/>
      <c r="CQ1243" s="115"/>
      <c r="CR1243" s="115"/>
      <c r="CS1243" s="115"/>
      <c r="CT1243" s="115"/>
      <c r="CU1243" s="115"/>
      <c r="CV1243" s="115"/>
      <c r="CW1243" s="115"/>
      <c r="CX1243" s="115"/>
      <c r="CY1243" s="115"/>
      <c r="CZ1243" s="115"/>
      <c r="DA1243" s="115"/>
      <c r="DB1243" s="115"/>
      <c r="DC1243" s="115"/>
      <c r="DD1243" s="115"/>
      <c r="DE1243" s="115"/>
      <c r="DF1243" s="115"/>
      <c r="DG1243" s="115"/>
    </row>
    <row r="1244" spans="1:111" ht="9" customHeight="1">
      <c r="C1244" s="416"/>
      <c r="D1244" s="416"/>
      <c r="E1244" s="416"/>
      <c r="F1244" s="416"/>
      <c r="G1244" s="416"/>
      <c r="H1244" s="416"/>
      <c r="I1244" s="60"/>
      <c r="J1244" s="421"/>
      <c r="K1244" s="421"/>
      <c r="L1244" s="421"/>
      <c r="M1244" s="421"/>
      <c r="N1244" s="421"/>
      <c r="O1244" s="421"/>
      <c r="P1244" s="421"/>
      <c r="Q1244" s="421"/>
      <c r="R1244" s="421"/>
      <c r="S1244" s="421"/>
      <c r="T1244" s="421"/>
      <c r="U1244" s="421"/>
      <c r="V1244" s="421"/>
      <c r="W1244" s="421"/>
      <c r="X1244" s="421"/>
      <c r="Y1244" s="421"/>
      <c r="Z1244" s="421"/>
      <c r="AA1244" s="421"/>
      <c r="AB1244" s="421"/>
      <c r="AC1244" s="421"/>
      <c r="AD1244" s="421"/>
      <c r="AE1244" s="421"/>
      <c r="AF1244" s="421"/>
      <c r="AG1244" s="421"/>
      <c r="AH1244" s="421"/>
      <c r="AI1244" s="421"/>
      <c r="AJ1244" s="421"/>
      <c r="AK1244" s="421"/>
      <c r="AL1244" s="421"/>
      <c r="AM1244" s="421"/>
      <c r="AN1244" s="421"/>
      <c r="AO1244" s="421"/>
      <c r="AP1244" s="421"/>
      <c r="AQ1244" s="421"/>
      <c r="AR1244" s="421"/>
      <c r="AS1244" s="421"/>
      <c r="AT1244" s="421"/>
      <c r="AU1244" s="421"/>
      <c r="AV1244" s="421"/>
      <c r="AW1244" s="421"/>
      <c r="AX1244" s="421"/>
      <c r="AY1244" s="421"/>
      <c r="AZ1244" s="421"/>
      <c r="BA1244" s="421"/>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c r="BY1244" s="115"/>
      <c r="BZ1244" s="115"/>
      <c r="CA1244" s="115"/>
      <c r="CB1244" s="115"/>
      <c r="CC1244" s="115"/>
      <c r="CD1244" s="115"/>
      <c r="CE1244" s="115"/>
      <c r="CF1244" s="115"/>
      <c r="CG1244" s="115"/>
      <c r="CH1244" s="115"/>
      <c r="CI1244" s="115"/>
      <c r="CJ1244" s="115"/>
      <c r="CK1244" s="115"/>
      <c r="CL1244" s="115"/>
      <c r="CM1244" s="115"/>
      <c r="CN1244" s="115"/>
      <c r="CO1244" s="115"/>
      <c r="CP1244" s="115"/>
      <c r="CQ1244" s="115"/>
      <c r="CR1244" s="115"/>
      <c r="CS1244" s="115"/>
      <c r="CT1244" s="115"/>
      <c r="CU1244" s="115"/>
      <c r="CV1244" s="115"/>
      <c r="CW1244" s="115"/>
      <c r="CX1244" s="115"/>
      <c r="CY1244" s="115"/>
      <c r="CZ1244" s="115"/>
      <c r="DA1244" s="115"/>
      <c r="DB1244" s="115"/>
      <c r="DC1244" s="115"/>
      <c r="DD1244" s="115"/>
      <c r="DE1244" s="115"/>
      <c r="DF1244" s="115"/>
      <c r="DG1244" s="115"/>
    </row>
    <row r="1245" spans="1:111" ht="9" customHeight="1">
      <c r="C1245" s="416"/>
      <c r="D1245" s="416"/>
      <c r="E1245" s="416"/>
      <c r="F1245" s="416"/>
      <c r="G1245" s="416"/>
      <c r="H1245" s="416"/>
      <c r="I1245" s="60"/>
      <c r="J1245" s="421"/>
      <c r="K1245" s="421"/>
      <c r="L1245" s="421"/>
      <c r="M1245" s="421"/>
      <c r="N1245" s="421"/>
      <c r="O1245" s="421"/>
      <c r="P1245" s="421"/>
      <c r="Q1245" s="421"/>
      <c r="R1245" s="421"/>
      <c r="S1245" s="421"/>
      <c r="T1245" s="421"/>
      <c r="U1245" s="421"/>
      <c r="V1245" s="421"/>
      <c r="W1245" s="421"/>
      <c r="X1245" s="421"/>
      <c r="Y1245" s="421"/>
      <c r="Z1245" s="421"/>
      <c r="AA1245" s="421"/>
      <c r="AB1245" s="421"/>
      <c r="AC1245" s="421"/>
      <c r="AD1245" s="421"/>
      <c r="AE1245" s="421"/>
      <c r="AF1245" s="421"/>
      <c r="AG1245" s="421"/>
      <c r="AH1245" s="421"/>
      <c r="AI1245" s="421"/>
      <c r="AJ1245" s="421"/>
      <c r="AK1245" s="421"/>
      <c r="AL1245" s="421"/>
      <c r="AM1245" s="421"/>
      <c r="AN1245" s="421"/>
      <c r="AO1245" s="421"/>
      <c r="AP1245" s="421"/>
      <c r="AQ1245" s="421"/>
      <c r="AR1245" s="421"/>
      <c r="AS1245" s="421"/>
      <c r="AT1245" s="421"/>
      <c r="AU1245" s="421"/>
      <c r="AV1245" s="421"/>
      <c r="AW1245" s="421"/>
      <c r="AX1245" s="421"/>
      <c r="AY1245" s="421"/>
      <c r="AZ1245" s="421"/>
      <c r="BA1245" s="421"/>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c r="BY1245" s="115"/>
      <c r="BZ1245" s="115"/>
      <c r="CA1245" s="115"/>
      <c r="CB1245" s="115"/>
      <c r="CC1245" s="115"/>
      <c r="CD1245" s="115"/>
      <c r="CE1245" s="115"/>
      <c r="CF1245" s="115"/>
      <c r="CG1245" s="115"/>
      <c r="CH1245" s="115"/>
      <c r="CI1245" s="115"/>
      <c r="CJ1245" s="115"/>
      <c r="CK1245" s="115"/>
      <c r="CL1245" s="115"/>
      <c r="CM1245" s="115"/>
      <c r="CN1245" s="115"/>
      <c r="CO1245" s="115"/>
      <c r="CP1245" s="115"/>
      <c r="CQ1245" s="115"/>
      <c r="CR1245" s="115"/>
      <c r="CS1245" s="115"/>
      <c r="CT1245" s="115"/>
      <c r="CU1245" s="115"/>
      <c r="CV1245" s="115"/>
      <c r="CW1245" s="115"/>
      <c r="CX1245" s="115"/>
      <c r="CY1245" s="115"/>
      <c r="CZ1245" s="115"/>
      <c r="DA1245" s="115"/>
      <c r="DB1245" s="115"/>
      <c r="DC1245" s="115"/>
      <c r="DD1245" s="115"/>
      <c r="DE1245" s="115"/>
      <c r="DF1245" s="115"/>
      <c r="DG1245" s="115"/>
    </row>
    <row r="1246" spans="1:111" ht="4.5" customHeight="1">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c r="BY1246" s="115"/>
      <c r="BZ1246" s="115"/>
      <c r="CA1246" s="115"/>
      <c r="CB1246" s="115"/>
      <c r="CC1246" s="115"/>
      <c r="CD1246" s="115"/>
      <c r="CE1246" s="115"/>
      <c r="CF1246" s="115"/>
      <c r="CG1246" s="115"/>
      <c r="CH1246" s="115"/>
      <c r="CI1246" s="115"/>
      <c r="CJ1246" s="115"/>
      <c r="CK1246" s="115"/>
      <c r="CL1246" s="115"/>
      <c r="CM1246" s="115"/>
      <c r="CN1246" s="115"/>
      <c r="CO1246" s="115"/>
      <c r="CP1246" s="115"/>
      <c r="CQ1246" s="115"/>
      <c r="CR1246" s="115"/>
      <c r="CS1246" s="115"/>
      <c r="CT1246" s="115"/>
      <c r="CU1246" s="115"/>
      <c r="CV1246" s="115"/>
      <c r="CW1246" s="115"/>
      <c r="CX1246" s="115"/>
      <c r="CY1246" s="115"/>
      <c r="CZ1246" s="115"/>
      <c r="DA1246" s="115"/>
      <c r="DB1246" s="115"/>
      <c r="DC1246" s="115"/>
      <c r="DD1246" s="115"/>
      <c r="DE1246" s="115"/>
      <c r="DF1246" s="115"/>
      <c r="DG1246" s="115"/>
    </row>
    <row r="1247" spans="1:111" ht="9" customHeight="1">
      <c r="C1247" s="416" t="str">
        <f>IF(C1241="","","Elemento de Despesa:")</f>
        <v/>
      </c>
      <c r="D1247" s="416"/>
      <c r="E1247" s="416"/>
      <c r="F1247" s="416"/>
      <c r="G1247" s="416"/>
      <c r="H1247" s="416"/>
      <c r="J1247" s="421"/>
      <c r="K1247" s="421"/>
      <c r="L1247" s="421"/>
      <c r="M1247" s="421"/>
      <c r="N1247" s="421"/>
      <c r="O1247" s="421"/>
      <c r="P1247" s="421"/>
      <c r="Q1247" s="421"/>
      <c r="R1247" s="421"/>
      <c r="S1247" s="421"/>
      <c r="T1247" s="421"/>
      <c r="U1247" s="421"/>
      <c r="V1247" s="421"/>
      <c r="W1247" s="421"/>
      <c r="X1247" s="421"/>
      <c r="Y1247" s="421"/>
      <c r="Z1247" s="421"/>
      <c r="AA1247" s="421"/>
      <c r="AB1247" s="421"/>
      <c r="AC1247" s="421"/>
      <c r="AD1247" s="421"/>
      <c r="AE1247" s="421"/>
      <c r="AF1247" s="421"/>
      <c r="AG1247" s="421"/>
      <c r="AH1247" s="421"/>
      <c r="AI1247" s="421"/>
      <c r="AJ1247" s="421"/>
      <c r="AK1247" s="421"/>
      <c r="AL1247" s="421"/>
      <c r="AM1247" s="421"/>
      <c r="AN1247" s="421"/>
      <c r="AO1247" s="421"/>
      <c r="AP1247" s="421"/>
      <c r="AQ1247" s="421"/>
      <c r="AR1247" s="421"/>
      <c r="AS1247" s="421"/>
      <c r="AT1247" s="421"/>
      <c r="AU1247" s="421"/>
      <c r="AV1247" s="421"/>
      <c r="AW1247" s="421"/>
      <c r="AX1247" s="421"/>
      <c r="AY1247" s="421"/>
      <c r="AZ1247" s="421"/>
      <c r="BA1247" s="421"/>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c r="BY1247" s="115"/>
      <c r="BZ1247" s="115"/>
      <c r="CA1247" s="115"/>
      <c r="CB1247" s="115"/>
      <c r="CC1247" s="115"/>
      <c r="CD1247" s="115"/>
      <c r="CE1247" s="115"/>
      <c r="CF1247" s="115"/>
      <c r="CG1247" s="115"/>
      <c r="CH1247" s="115"/>
      <c r="CI1247" s="115"/>
      <c r="CJ1247" s="115"/>
      <c r="CK1247" s="115"/>
      <c r="CL1247" s="115"/>
      <c r="CM1247" s="115"/>
      <c r="CN1247" s="115"/>
      <c r="CO1247" s="115"/>
      <c r="CP1247" s="115"/>
      <c r="CQ1247" s="115"/>
      <c r="CR1247" s="115"/>
      <c r="CS1247" s="115"/>
      <c r="CT1247" s="115"/>
      <c r="CU1247" s="115"/>
      <c r="CV1247" s="115"/>
      <c r="CW1247" s="115"/>
      <c r="CX1247" s="115"/>
      <c r="CY1247" s="115"/>
      <c r="CZ1247" s="115"/>
      <c r="DA1247" s="115"/>
      <c r="DB1247" s="115"/>
      <c r="DC1247" s="115"/>
      <c r="DD1247" s="115"/>
      <c r="DE1247" s="115"/>
      <c r="DF1247" s="115"/>
      <c r="DG1247" s="115"/>
    </row>
    <row r="1248" spans="1:111" ht="9" customHeight="1">
      <c r="C1248" s="416"/>
      <c r="D1248" s="416"/>
      <c r="E1248" s="416"/>
      <c r="F1248" s="416"/>
      <c r="G1248" s="416"/>
      <c r="H1248" s="416"/>
      <c r="J1248" s="421"/>
      <c r="K1248" s="421"/>
      <c r="L1248" s="421"/>
      <c r="M1248" s="421"/>
      <c r="N1248" s="421"/>
      <c r="O1248" s="421"/>
      <c r="P1248" s="421"/>
      <c r="Q1248" s="421"/>
      <c r="R1248" s="421"/>
      <c r="S1248" s="421"/>
      <c r="T1248" s="421"/>
      <c r="U1248" s="421"/>
      <c r="V1248" s="421"/>
      <c r="W1248" s="421"/>
      <c r="X1248" s="421"/>
      <c r="Y1248" s="421"/>
      <c r="Z1248" s="421"/>
      <c r="AA1248" s="421"/>
      <c r="AB1248" s="421"/>
      <c r="AC1248" s="421"/>
      <c r="AD1248" s="421"/>
      <c r="AE1248" s="421"/>
      <c r="AF1248" s="421"/>
      <c r="AG1248" s="421"/>
      <c r="AH1248" s="421"/>
      <c r="AI1248" s="421"/>
      <c r="AJ1248" s="421"/>
      <c r="AK1248" s="421"/>
      <c r="AL1248" s="421"/>
      <c r="AM1248" s="421"/>
      <c r="AN1248" s="421"/>
      <c r="AO1248" s="421"/>
      <c r="AP1248" s="421"/>
      <c r="AQ1248" s="421"/>
      <c r="AR1248" s="421"/>
      <c r="AS1248" s="421"/>
      <c r="AT1248" s="421"/>
      <c r="AU1248" s="421"/>
      <c r="AV1248" s="421"/>
      <c r="AW1248" s="421"/>
      <c r="AX1248" s="421"/>
      <c r="AY1248" s="421"/>
      <c r="AZ1248" s="421"/>
      <c r="BA1248" s="421"/>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c r="BY1248" s="115"/>
      <c r="BZ1248" s="115"/>
      <c r="CA1248" s="115"/>
      <c r="CB1248" s="115"/>
      <c r="CC1248" s="115"/>
      <c r="CD1248" s="115"/>
      <c r="CE1248" s="115"/>
      <c r="CF1248" s="115"/>
      <c r="CG1248" s="115"/>
      <c r="CH1248" s="115"/>
      <c r="CI1248" s="115"/>
      <c r="CJ1248" s="115"/>
      <c r="CK1248" s="115"/>
      <c r="CL1248" s="115"/>
      <c r="CM1248" s="115"/>
      <c r="CN1248" s="115"/>
      <c r="CO1248" s="115"/>
      <c r="CP1248" s="115"/>
      <c r="CQ1248" s="115"/>
      <c r="CR1248" s="115"/>
      <c r="CS1248" s="115"/>
      <c r="CT1248" s="115"/>
      <c r="CU1248" s="115"/>
      <c r="CV1248" s="115"/>
      <c r="CW1248" s="115"/>
      <c r="CX1248" s="115"/>
      <c r="CY1248" s="115"/>
      <c r="CZ1248" s="115"/>
      <c r="DA1248" s="115"/>
      <c r="DB1248" s="115"/>
      <c r="DC1248" s="115"/>
      <c r="DD1248" s="115"/>
      <c r="DE1248" s="115"/>
      <c r="DF1248" s="115"/>
      <c r="DG1248" s="115"/>
    </row>
    <row r="1249" spans="1:111" ht="9" customHeight="1">
      <c r="C1249" s="416"/>
      <c r="D1249" s="416"/>
      <c r="E1249" s="416"/>
      <c r="F1249" s="416"/>
      <c r="G1249" s="416"/>
      <c r="H1249" s="416"/>
      <c r="J1249" s="421"/>
      <c r="K1249" s="421"/>
      <c r="L1249" s="421"/>
      <c r="M1249" s="421"/>
      <c r="N1249" s="421"/>
      <c r="O1249" s="421"/>
      <c r="P1249" s="421"/>
      <c r="Q1249" s="421"/>
      <c r="R1249" s="421"/>
      <c r="S1249" s="421"/>
      <c r="T1249" s="421"/>
      <c r="U1249" s="421"/>
      <c r="V1249" s="421"/>
      <c r="W1249" s="421"/>
      <c r="X1249" s="421"/>
      <c r="Y1249" s="421"/>
      <c r="Z1249" s="421"/>
      <c r="AA1249" s="421"/>
      <c r="AB1249" s="421"/>
      <c r="AC1249" s="421"/>
      <c r="AD1249" s="421"/>
      <c r="AE1249" s="421"/>
      <c r="AF1249" s="421"/>
      <c r="AG1249" s="421"/>
      <c r="AH1249" s="421"/>
      <c r="AI1249" s="421"/>
      <c r="AJ1249" s="421"/>
      <c r="AK1249" s="421"/>
      <c r="AL1249" s="421"/>
      <c r="AM1249" s="421"/>
      <c r="AN1249" s="421"/>
      <c r="AO1249" s="421"/>
      <c r="AP1249" s="421"/>
      <c r="AQ1249" s="421"/>
      <c r="AR1249" s="421"/>
      <c r="AS1249" s="421"/>
      <c r="AT1249" s="421"/>
      <c r="AU1249" s="421"/>
      <c r="AV1249" s="421"/>
      <c r="AW1249" s="421"/>
      <c r="AX1249" s="421"/>
      <c r="AY1249" s="421"/>
      <c r="AZ1249" s="421"/>
      <c r="BA1249" s="421"/>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row>
    <row r="1250" spans="1:111" ht="4.5" customHeight="1">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c r="BY1250" s="115"/>
      <c r="BZ1250" s="115"/>
      <c r="CA1250" s="115"/>
      <c r="CB1250" s="115"/>
      <c r="CC1250" s="115"/>
      <c r="CD1250" s="115"/>
      <c r="CE1250" s="115"/>
      <c r="CF1250" s="115"/>
      <c r="CG1250" s="115"/>
      <c r="CH1250" s="115"/>
      <c r="CI1250" s="115"/>
      <c r="CJ1250" s="115"/>
      <c r="CK1250" s="115"/>
      <c r="CL1250" s="115"/>
      <c r="CM1250" s="115"/>
      <c r="CN1250" s="115"/>
      <c r="CO1250" s="115"/>
      <c r="CP1250" s="115"/>
      <c r="CQ1250" s="115"/>
      <c r="CR1250" s="115"/>
      <c r="CS1250" s="115"/>
      <c r="CT1250" s="115"/>
      <c r="CU1250" s="115"/>
      <c r="CV1250" s="115"/>
      <c r="CW1250" s="115"/>
      <c r="CX1250" s="115"/>
      <c r="CY1250" s="115"/>
      <c r="CZ1250" s="115"/>
      <c r="DA1250" s="115"/>
      <c r="DB1250" s="115"/>
      <c r="DC1250" s="115"/>
      <c r="DD1250" s="115"/>
      <c r="DE1250" s="115"/>
      <c r="DF1250" s="115"/>
      <c r="DG1250" s="115"/>
    </row>
    <row r="1251" spans="1:111" ht="9" customHeight="1">
      <c r="A1251" s="61" t="str">
        <f>CONCATENATE(Q1251,AC1251)</f>
        <v/>
      </c>
      <c r="J1251" s="416" t="str">
        <f>IF(C1241="","","Meta Vinculada:")</f>
        <v/>
      </c>
      <c r="K1251" s="416"/>
      <c r="L1251" s="416"/>
      <c r="M1251" s="416"/>
      <c r="N1251" s="416"/>
      <c r="O1251" s="416"/>
      <c r="Q1251" s="417"/>
      <c r="R1251" s="417"/>
      <c r="S1251" s="417"/>
      <c r="T1251" s="417"/>
      <c r="U1251" s="56"/>
      <c r="V1251" s="416" t="str">
        <f>IF(C1241="","","Etapa Vinculada:")</f>
        <v/>
      </c>
      <c r="W1251" s="416"/>
      <c r="X1251" s="416"/>
      <c r="Y1251" s="416"/>
      <c r="Z1251" s="416"/>
      <c r="AA1251" s="416"/>
      <c r="AC1251" s="417"/>
      <c r="AD1251" s="417"/>
      <c r="AE1251" s="417"/>
      <c r="AF1251" s="417"/>
      <c r="AG1251" s="56"/>
      <c r="AH1251" s="56"/>
      <c r="AI1251" s="56"/>
      <c r="AJ1251" s="56"/>
      <c r="AK1251" s="141"/>
      <c r="AL1251" s="141"/>
      <c r="AM1251" s="141"/>
      <c r="AN1251" s="141"/>
      <c r="AO1251" s="140"/>
      <c r="AP1251" s="140"/>
      <c r="AQ1251" s="140"/>
      <c r="AR1251" s="140"/>
      <c r="AS1251" s="142"/>
      <c r="AT1251" s="142"/>
      <c r="AU1251" s="142"/>
      <c r="AV1251" s="142"/>
      <c r="AW1251" s="140"/>
      <c r="AX1251" s="140"/>
      <c r="AY1251" s="140"/>
      <c r="AZ1251" s="140"/>
      <c r="BA1251" s="140"/>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c r="BY1251" s="115"/>
      <c r="BZ1251" s="115"/>
      <c r="CA1251" s="115"/>
      <c r="CB1251" s="115"/>
      <c r="CC1251" s="115"/>
      <c r="CD1251" s="115"/>
      <c r="CE1251" s="115"/>
      <c r="CF1251" s="115"/>
      <c r="CG1251" s="115"/>
      <c r="CH1251" s="115"/>
      <c r="CI1251" s="115"/>
      <c r="CJ1251" s="115"/>
      <c r="CK1251" s="115"/>
      <c r="CL1251" s="115"/>
      <c r="CM1251" s="115"/>
      <c r="CN1251" s="115"/>
      <c r="CO1251" s="115"/>
      <c r="CP1251" s="115"/>
      <c r="CQ1251" s="115"/>
      <c r="CR1251" s="115"/>
      <c r="CS1251" s="115"/>
      <c r="CT1251" s="115"/>
      <c r="CU1251" s="115"/>
      <c r="CV1251" s="115"/>
      <c r="CW1251" s="115"/>
      <c r="CX1251" s="115"/>
      <c r="CY1251" s="115"/>
      <c r="CZ1251" s="115"/>
      <c r="DA1251" s="115"/>
      <c r="DB1251" s="115"/>
      <c r="DC1251" s="115"/>
      <c r="DD1251" s="115"/>
      <c r="DE1251" s="115"/>
      <c r="DF1251" s="115"/>
      <c r="DG1251" s="115"/>
    </row>
    <row r="1252" spans="1:111" ht="9" customHeight="1">
      <c r="B1252" s="55"/>
      <c r="C1252" s="55"/>
      <c r="D1252" s="56"/>
      <c r="E1252" s="56"/>
      <c r="F1252" s="56"/>
      <c r="G1252" s="56"/>
      <c r="H1252" s="56"/>
      <c r="I1252" s="56"/>
      <c r="J1252" s="416"/>
      <c r="K1252" s="416"/>
      <c r="L1252" s="416"/>
      <c r="M1252" s="416"/>
      <c r="N1252" s="416"/>
      <c r="O1252" s="416"/>
      <c r="Q1252" s="417"/>
      <c r="R1252" s="417"/>
      <c r="S1252" s="417"/>
      <c r="T1252" s="417"/>
      <c r="U1252" s="56"/>
      <c r="V1252" s="416"/>
      <c r="W1252" s="416"/>
      <c r="X1252" s="416"/>
      <c r="Y1252" s="416"/>
      <c r="Z1252" s="416"/>
      <c r="AA1252" s="416"/>
      <c r="AC1252" s="417"/>
      <c r="AD1252" s="417"/>
      <c r="AE1252" s="417"/>
      <c r="AF1252" s="417"/>
      <c r="AG1252" s="56"/>
      <c r="AH1252" s="56"/>
      <c r="AI1252" s="56"/>
      <c r="AJ1252" s="56"/>
      <c r="AK1252" s="141"/>
      <c r="AL1252" s="141"/>
      <c r="AM1252" s="141"/>
      <c r="AN1252" s="141"/>
      <c r="AO1252" s="140"/>
      <c r="AP1252" s="140"/>
      <c r="AQ1252" s="140"/>
      <c r="AR1252" s="140"/>
      <c r="AS1252" s="142"/>
      <c r="AT1252" s="142"/>
      <c r="AU1252" s="142"/>
      <c r="AV1252" s="142"/>
      <c r="AW1252" s="140"/>
      <c r="AX1252" s="140"/>
      <c r="AY1252" s="140"/>
      <c r="AZ1252" s="140"/>
      <c r="BA1252" s="140"/>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c r="BY1252" s="115"/>
      <c r="BZ1252" s="115"/>
      <c r="CA1252" s="115"/>
      <c r="CB1252" s="115"/>
      <c r="CC1252" s="115"/>
      <c r="CD1252" s="115"/>
      <c r="CE1252" s="115"/>
      <c r="CF1252" s="115"/>
      <c r="CG1252" s="115"/>
      <c r="CH1252" s="115"/>
      <c r="CI1252" s="115"/>
      <c r="CJ1252" s="115"/>
      <c r="CK1252" s="115"/>
      <c r="CL1252" s="115"/>
      <c r="CM1252" s="115"/>
      <c r="CN1252" s="115"/>
      <c r="CO1252" s="115"/>
      <c r="CP1252" s="115"/>
      <c r="CQ1252" s="115"/>
      <c r="CR1252" s="115"/>
      <c r="CS1252" s="115"/>
      <c r="CT1252" s="115"/>
      <c r="CU1252" s="115"/>
      <c r="CV1252" s="115"/>
      <c r="CW1252" s="115"/>
      <c r="CX1252" s="115"/>
      <c r="CY1252" s="115"/>
      <c r="CZ1252" s="115"/>
      <c r="DA1252" s="115"/>
      <c r="DB1252" s="115"/>
      <c r="DC1252" s="115"/>
      <c r="DD1252" s="115"/>
      <c r="DE1252" s="115"/>
      <c r="DF1252" s="115"/>
      <c r="DG1252" s="115"/>
    </row>
    <row r="1253" spans="1:111" ht="9" customHeight="1">
      <c r="Q1253" s="417"/>
      <c r="R1253" s="417"/>
      <c r="S1253" s="417"/>
      <c r="T1253" s="417"/>
      <c r="AC1253" s="417"/>
      <c r="AD1253" s="417"/>
      <c r="AE1253" s="417"/>
      <c r="AF1253" s="417"/>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c r="BY1253" s="115"/>
      <c r="BZ1253" s="115"/>
      <c r="CA1253" s="115"/>
      <c r="CB1253" s="115"/>
      <c r="CC1253" s="115"/>
      <c r="CD1253" s="115"/>
      <c r="CE1253" s="115"/>
      <c r="CF1253" s="115"/>
      <c r="CG1253" s="115"/>
      <c r="CH1253" s="115"/>
      <c r="CI1253" s="115"/>
      <c r="CJ1253" s="115"/>
      <c r="CK1253" s="115"/>
      <c r="CL1253" s="115"/>
      <c r="CM1253" s="115"/>
      <c r="CN1253" s="115"/>
      <c r="CO1253" s="115"/>
      <c r="CP1253" s="115"/>
      <c r="CQ1253" s="115"/>
      <c r="CR1253" s="115"/>
      <c r="CS1253" s="115"/>
      <c r="CT1253" s="115"/>
      <c r="CU1253" s="115"/>
      <c r="CV1253" s="115"/>
      <c r="CW1253" s="115"/>
      <c r="CX1253" s="115"/>
      <c r="CY1253" s="115"/>
      <c r="CZ1253" s="115"/>
      <c r="DA1253" s="115"/>
      <c r="DB1253" s="115"/>
      <c r="DC1253" s="115"/>
      <c r="DD1253" s="115"/>
      <c r="DE1253" s="115"/>
      <c r="DF1253" s="115"/>
      <c r="DG1253" s="115"/>
    </row>
    <row r="1254" spans="1:111" ht="4.5" customHeight="1">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c r="BY1254" s="115"/>
      <c r="BZ1254" s="115"/>
      <c r="CA1254" s="115"/>
      <c r="CB1254" s="115"/>
      <c r="CC1254" s="115"/>
      <c r="CD1254" s="115"/>
      <c r="CE1254" s="115"/>
      <c r="CF1254" s="115"/>
      <c r="CG1254" s="115"/>
      <c r="CH1254" s="115"/>
      <c r="CI1254" s="115"/>
      <c r="CJ1254" s="115"/>
      <c r="CK1254" s="115"/>
      <c r="CL1254" s="115"/>
      <c r="CM1254" s="115"/>
      <c r="CN1254" s="115"/>
      <c r="CO1254" s="115"/>
      <c r="CP1254" s="115"/>
      <c r="CQ1254" s="115"/>
      <c r="CR1254" s="115"/>
      <c r="CS1254" s="115"/>
      <c r="CT1254" s="115"/>
      <c r="CU1254" s="115"/>
      <c r="CV1254" s="115"/>
      <c r="CW1254" s="115"/>
      <c r="CX1254" s="115"/>
      <c r="CY1254" s="115"/>
      <c r="CZ1254" s="115"/>
      <c r="DA1254" s="115"/>
      <c r="DB1254" s="115"/>
      <c r="DC1254" s="115"/>
      <c r="DD1254" s="115"/>
      <c r="DE1254" s="115"/>
      <c r="DF1254" s="115"/>
      <c r="DG1254" s="115"/>
    </row>
    <row r="1255" spans="1:111" ht="9" customHeight="1">
      <c r="A1255" s="154"/>
      <c r="B1255" s="154"/>
      <c r="C1255" s="154"/>
      <c r="D1255" s="154"/>
      <c r="E1255" s="154"/>
      <c r="F1255" s="154"/>
      <c r="G1255" s="154"/>
      <c r="H1255" s="154"/>
      <c r="I1255" s="154"/>
      <c r="J1255" s="416" t="str">
        <f>IF(C1241="","","Quantidade:")</f>
        <v/>
      </c>
      <c r="K1255" s="416"/>
      <c r="L1255" s="416"/>
      <c r="M1255" s="416"/>
      <c r="N1255" s="416"/>
      <c r="O1255" s="416"/>
      <c r="P1255" s="154"/>
      <c r="Q1255" s="417"/>
      <c r="R1255" s="417"/>
      <c r="S1255" s="417"/>
      <c r="T1255" s="417"/>
      <c r="U1255" s="154"/>
      <c r="V1255" s="416" t="str">
        <f>IF(C1241="","","Unidade:")</f>
        <v/>
      </c>
      <c r="W1255" s="416"/>
      <c r="X1255" s="416"/>
      <c r="Y1255" s="416"/>
      <c r="Z1255" s="416"/>
      <c r="AA1255" s="416"/>
      <c r="AB1255" s="154"/>
      <c r="AC1255" s="418"/>
      <c r="AD1255" s="418"/>
      <c r="AE1255" s="418"/>
      <c r="AF1255" s="418"/>
      <c r="AG1255" s="418"/>
      <c r="AH1255" s="418"/>
      <c r="AI1255" s="418"/>
      <c r="AJ1255" s="418"/>
      <c r="AK1255" s="418"/>
      <c r="AL1255" s="418"/>
      <c r="AM1255" s="418"/>
      <c r="AN1255" s="418"/>
      <c r="AO1255" s="418"/>
      <c r="AP1255" s="418"/>
      <c r="AQ1255" s="418"/>
      <c r="AR1255" s="418"/>
      <c r="AS1255" s="418"/>
      <c r="AT1255" s="418"/>
      <c r="AU1255" s="418"/>
      <c r="AV1255" s="418"/>
      <c r="AW1255" s="418"/>
      <c r="AX1255" s="418"/>
      <c r="AY1255" s="418"/>
      <c r="AZ1255" s="418"/>
      <c r="BA1255" s="418"/>
      <c r="BB1255" s="154"/>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c r="BY1255" s="115"/>
      <c r="BZ1255" s="115"/>
      <c r="CA1255" s="115"/>
      <c r="CB1255" s="115"/>
      <c r="CC1255" s="115"/>
      <c r="CD1255" s="115"/>
      <c r="CE1255" s="115"/>
      <c r="CF1255" s="115"/>
      <c r="CG1255" s="115"/>
      <c r="CH1255" s="115"/>
      <c r="CI1255" s="115"/>
      <c r="CJ1255" s="115"/>
      <c r="CK1255" s="115"/>
      <c r="CL1255" s="115"/>
      <c r="CM1255" s="115"/>
      <c r="CN1255" s="115"/>
      <c r="CO1255" s="115"/>
      <c r="CP1255" s="115"/>
      <c r="CQ1255" s="115"/>
      <c r="CR1255" s="115"/>
      <c r="CS1255" s="115"/>
      <c r="CT1255" s="115"/>
      <c r="CU1255" s="115"/>
      <c r="CV1255" s="115"/>
      <c r="CW1255" s="115"/>
      <c r="CX1255" s="115"/>
      <c r="CY1255" s="115"/>
      <c r="CZ1255" s="115"/>
      <c r="DA1255" s="115"/>
      <c r="DB1255" s="115"/>
      <c r="DC1255" s="115"/>
      <c r="DD1255" s="115"/>
      <c r="DE1255" s="115"/>
      <c r="DF1255" s="115"/>
      <c r="DG1255" s="115"/>
    </row>
    <row r="1256" spans="1:111" ht="9" customHeight="1">
      <c r="A1256" s="154"/>
      <c r="B1256" s="154"/>
      <c r="C1256" s="154"/>
      <c r="D1256" s="154"/>
      <c r="E1256" s="154"/>
      <c r="F1256" s="154"/>
      <c r="G1256" s="154"/>
      <c r="H1256" s="154"/>
      <c r="I1256" s="154"/>
      <c r="J1256" s="416"/>
      <c r="K1256" s="416"/>
      <c r="L1256" s="416"/>
      <c r="M1256" s="416"/>
      <c r="N1256" s="416"/>
      <c r="O1256" s="416"/>
      <c r="P1256" s="154"/>
      <c r="Q1256" s="417"/>
      <c r="R1256" s="417"/>
      <c r="S1256" s="417"/>
      <c r="T1256" s="417"/>
      <c r="U1256" s="154"/>
      <c r="V1256" s="416"/>
      <c r="W1256" s="416"/>
      <c r="X1256" s="416"/>
      <c r="Y1256" s="416"/>
      <c r="Z1256" s="416"/>
      <c r="AA1256" s="416"/>
      <c r="AB1256" s="154"/>
      <c r="AC1256" s="418"/>
      <c r="AD1256" s="418"/>
      <c r="AE1256" s="418"/>
      <c r="AF1256" s="418"/>
      <c r="AG1256" s="418"/>
      <c r="AH1256" s="418"/>
      <c r="AI1256" s="418"/>
      <c r="AJ1256" s="418"/>
      <c r="AK1256" s="418"/>
      <c r="AL1256" s="418"/>
      <c r="AM1256" s="418"/>
      <c r="AN1256" s="418"/>
      <c r="AO1256" s="418"/>
      <c r="AP1256" s="418"/>
      <c r="AQ1256" s="418"/>
      <c r="AR1256" s="418"/>
      <c r="AS1256" s="418"/>
      <c r="AT1256" s="418"/>
      <c r="AU1256" s="418"/>
      <c r="AV1256" s="418"/>
      <c r="AW1256" s="418"/>
      <c r="AX1256" s="418"/>
      <c r="AY1256" s="418"/>
      <c r="AZ1256" s="418"/>
      <c r="BA1256" s="418"/>
      <c r="BB1256" s="154"/>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c r="BY1256" s="115"/>
      <c r="BZ1256" s="115"/>
      <c r="CA1256" s="115"/>
      <c r="CB1256" s="115"/>
      <c r="CC1256" s="115"/>
      <c r="CD1256" s="115"/>
      <c r="CE1256" s="115"/>
      <c r="CF1256" s="115"/>
      <c r="CG1256" s="115"/>
      <c r="CH1256" s="115"/>
      <c r="CI1256" s="115"/>
      <c r="CJ1256" s="115"/>
      <c r="CK1256" s="115"/>
      <c r="CL1256" s="115"/>
      <c r="CM1256" s="115"/>
      <c r="CN1256" s="115"/>
      <c r="CO1256" s="115"/>
      <c r="CP1256" s="115"/>
      <c r="CQ1256" s="115"/>
      <c r="CR1256" s="115"/>
      <c r="CS1256" s="115"/>
      <c r="CT1256" s="115"/>
      <c r="CU1256" s="115"/>
      <c r="CV1256" s="115"/>
      <c r="CW1256" s="115"/>
      <c r="CX1256" s="115"/>
      <c r="CY1256" s="115"/>
      <c r="CZ1256" s="115"/>
      <c r="DA1256" s="115"/>
      <c r="DB1256" s="115"/>
      <c r="DC1256" s="115"/>
      <c r="DD1256" s="115"/>
      <c r="DE1256" s="115"/>
      <c r="DF1256" s="115"/>
      <c r="DG1256" s="115"/>
    </row>
    <row r="1257" spans="1:111" ht="9" customHeight="1">
      <c r="A1257" s="154"/>
      <c r="B1257" s="154"/>
      <c r="C1257" s="154"/>
      <c r="D1257" s="154"/>
      <c r="E1257" s="154"/>
      <c r="F1257" s="154"/>
      <c r="G1257" s="154"/>
      <c r="H1257" s="154"/>
      <c r="I1257" s="154"/>
      <c r="J1257" s="154"/>
      <c r="K1257" s="154"/>
      <c r="L1257" s="154"/>
      <c r="M1257" s="154"/>
      <c r="N1257" s="154"/>
      <c r="O1257" s="154"/>
      <c r="P1257" s="154"/>
      <c r="Q1257" s="417"/>
      <c r="R1257" s="417"/>
      <c r="S1257" s="417"/>
      <c r="T1257" s="417"/>
      <c r="U1257" s="154"/>
      <c r="V1257" s="154"/>
      <c r="W1257" s="154"/>
      <c r="X1257" s="154"/>
      <c r="Y1257" s="154"/>
      <c r="Z1257" s="154"/>
      <c r="AA1257" s="154"/>
      <c r="AB1257" s="154"/>
      <c r="AC1257" s="418"/>
      <c r="AD1257" s="418"/>
      <c r="AE1257" s="418"/>
      <c r="AF1257" s="418"/>
      <c r="AG1257" s="418"/>
      <c r="AH1257" s="418"/>
      <c r="AI1257" s="418"/>
      <c r="AJ1257" s="418"/>
      <c r="AK1257" s="418"/>
      <c r="AL1257" s="418"/>
      <c r="AM1257" s="418"/>
      <c r="AN1257" s="418"/>
      <c r="AO1257" s="418"/>
      <c r="AP1257" s="418"/>
      <c r="AQ1257" s="418"/>
      <c r="AR1257" s="418"/>
      <c r="AS1257" s="418"/>
      <c r="AT1257" s="418"/>
      <c r="AU1257" s="418"/>
      <c r="AV1257" s="418"/>
      <c r="AW1257" s="418"/>
      <c r="AX1257" s="418"/>
      <c r="AY1257" s="418"/>
      <c r="AZ1257" s="418"/>
      <c r="BA1257" s="418"/>
      <c r="BB1257" s="154"/>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c r="BY1257" s="115"/>
      <c r="BZ1257" s="115"/>
      <c r="CA1257" s="115"/>
      <c r="CB1257" s="115"/>
      <c r="CC1257" s="115"/>
      <c r="CD1257" s="115"/>
      <c r="CE1257" s="115"/>
      <c r="CF1257" s="115"/>
      <c r="CG1257" s="115"/>
      <c r="CH1257" s="115"/>
      <c r="CI1257" s="115"/>
      <c r="CJ1257" s="115"/>
      <c r="CK1257" s="115"/>
      <c r="CL1257" s="115"/>
      <c r="CM1257" s="115"/>
      <c r="CN1257" s="115"/>
      <c r="CO1257" s="115"/>
      <c r="CP1257" s="115"/>
      <c r="CQ1257" s="115"/>
      <c r="CR1257" s="115"/>
      <c r="CS1257" s="115"/>
      <c r="CT1257" s="115"/>
      <c r="CU1257" s="115"/>
      <c r="CV1257" s="115"/>
      <c r="CW1257" s="115"/>
      <c r="CX1257" s="115"/>
      <c r="CY1257" s="115"/>
      <c r="CZ1257" s="115"/>
      <c r="DA1257" s="115"/>
      <c r="DB1257" s="115"/>
      <c r="DC1257" s="115"/>
      <c r="DD1257" s="115"/>
      <c r="DE1257" s="115"/>
      <c r="DF1257" s="115"/>
      <c r="DG1257" s="115"/>
    </row>
    <row r="1258" spans="1:111" ht="4.5" customHeight="1">
      <c r="A1258" s="154"/>
      <c r="B1258" s="154"/>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c r="BY1258" s="115"/>
      <c r="BZ1258" s="115"/>
      <c r="CA1258" s="115"/>
      <c r="CB1258" s="115"/>
      <c r="CC1258" s="115"/>
      <c r="CD1258" s="115"/>
      <c r="CE1258" s="115"/>
      <c r="CF1258" s="115"/>
      <c r="CG1258" s="115"/>
      <c r="CH1258" s="115"/>
      <c r="CI1258" s="115"/>
      <c r="CJ1258" s="115"/>
      <c r="CK1258" s="115"/>
      <c r="CL1258" s="115"/>
      <c r="CM1258" s="115"/>
      <c r="CN1258" s="115"/>
      <c r="CO1258" s="115"/>
      <c r="CP1258" s="115"/>
      <c r="CQ1258" s="115"/>
      <c r="CR1258" s="115"/>
      <c r="CS1258" s="115"/>
      <c r="CT1258" s="115"/>
      <c r="CU1258" s="115"/>
      <c r="CV1258" s="115"/>
      <c r="CW1258" s="115"/>
      <c r="CX1258" s="115"/>
      <c r="CY1258" s="115"/>
      <c r="CZ1258" s="115"/>
      <c r="DA1258" s="115"/>
      <c r="DB1258" s="115"/>
      <c r="DC1258" s="115"/>
      <c r="DD1258" s="115"/>
      <c r="DE1258" s="115"/>
      <c r="DF1258" s="115"/>
      <c r="DG1258" s="115"/>
    </row>
    <row r="1259" spans="1:111" ht="9" customHeight="1">
      <c r="A1259" s="154"/>
      <c r="B1259" s="154"/>
      <c r="C1259" s="154"/>
      <c r="D1259" s="154"/>
      <c r="E1259" s="154"/>
      <c r="F1259" s="154"/>
      <c r="G1259" s="154"/>
      <c r="H1259" s="154"/>
      <c r="I1259" s="154"/>
      <c r="J1259" s="416" t="str">
        <f>IF(C1241="","","Valor Unitário (R$):")</f>
        <v/>
      </c>
      <c r="K1259" s="416"/>
      <c r="L1259" s="416"/>
      <c r="M1259" s="416"/>
      <c r="N1259" s="416"/>
      <c r="O1259" s="416"/>
      <c r="P1259" s="154"/>
      <c r="Q1259" s="419"/>
      <c r="R1259" s="419"/>
      <c r="S1259" s="419"/>
      <c r="T1259" s="419"/>
      <c r="U1259" s="419"/>
      <c r="V1259" s="419"/>
      <c r="W1259" s="419"/>
      <c r="X1259" s="419"/>
      <c r="Y1259" s="154"/>
      <c r="Z1259" s="416" t="str">
        <f>IF(C1241="","",IF(J1247="52 Equipamentos e Material Permanente","Tempo de Uso:",""))</f>
        <v/>
      </c>
      <c r="AA1259" s="416"/>
      <c r="AB1259" s="416"/>
      <c r="AC1259" s="416"/>
      <c r="AD1259" s="416"/>
      <c r="AE1259" s="416"/>
      <c r="AF1259" s="154"/>
      <c r="AG1259" s="420"/>
      <c r="AH1259" s="420"/>
      <c r="AI1259" s="420"/>
      <c r="AJ1259" s="420"/>
      <c r="AK1259" s="420"/>
      <c r="AL1259" s="420"/>
      <c r="AM1259" s="420"/>
      <c r="AN1259" s="420"/>
      <c r="AO1259" s="420"/>
      <c r="AP1259" s="420"/>
      <c r="AQ1259" s="420"/>
      <c r="AR1259" s="420"/>
      <c r="AS1259" s="420"/>
      <c r="AT1259" s="420"/>
      <c r="AU1259" s="420"/>
      <c r="AV1259" s="420"/>
      <c r="AW1259" s="420"/>
      <c r="AX1259" s="420"/>
      <c r="AY1259" s="420"/>
      <c r="AZ1259" s="420"/>
      <c r="BA1259" s="420"/>
      <c r="BB1259" s="154"/>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c r="BY1259" s="115"/>
      <c r="BZ1259" s="115"/>
      <c r="CA1259" s="115"/>
      <c r="CB1259" s="115"/>
      <c r="CC1259" s="115"/>
      <c r="CD1259" s="115"/>
      <c r="CE1259" s="115"/>
      <c r="CF1259" s="115"/>
      <c r="CG1259" s="115"/>
      <c r="CH1259" s="115"/>
      <c r="CI1259" s="115"/>
      <c r="CJ1259" s="115"/>
      <c r="CK1259" s="115"/>
      <c r="CL1259" s="115"/>
      <c r="CM1259" s="115"/>
      <c r="CN1259" s="115"/>
      <c r="CO1259" s="115"/>
      <c r="CP1259" s="115"/>
      <c r="CQ1259" s="115"/>
      <c r="CR1259" s="115"/>
      <c r="CS1259" s="115"/>
      <c r="CT1259" s="115"/>
      <c r="CU1259" s="115"/>
      <c r="CV1259" s="115"/>
      <c r="CW1259" s="115"/>
      <c r="CX1259" s="115"/>
      <c r="CY1259" s="115"/>
      <c r="CZ1259" s="115"/>
      <c r="DA1259" s="115"/>
      <c r="DB1259" s="115"/>
      <c r="DC1259" s="115"/>
      <c r="DD1259" s="115"/>
      <c r="DE1259" s="115"/>
      <c r="DF1259" s="115"/>
      <c r="DG1259" s="115"/>
    </row>
    <row r="1260" spans="1:111" ht="9" customHeight="1">
      <c r="A1260" s="154"/>
      <c r="B1260" s="154"/>
      <c r="C1260" s="154"/>
      <c r="D1260" s="154"/>
      <c r="E1260" s="154"/>
      <c r="F1260" s="154"/>
      <c r="G1260" s="154"/>
      <c r="H1260" s="154"/>
      <c r="I1260" s="154"/>
      <c r="J1260" s="416"/>
      <c r="K1260" s="416"/>
      <c r="L1260" s="416"/>
      <c r="M1260" s="416"/>
      <c r="N1260" s="416"/>
      <c r="O1260" s="416"/>
      <c r="P1260" s="154"/>
      <c r="Q1260" s="419"/>
      <c r="R1260" s="419"/>
      <c r="S1260" s="419"/>
      <c r="T1260" s="419"/>
      <c r="U1260" s="419"/>
      <c r="V1260" s="419"/>
      <c r="W1260" s="419"/>
      <c r="X1260" s="419"/>
      <c r="Y1260" s="154"/>
      <c r="Z1260" s="416"/>
      <c r="AA1260" s="416"/>
      <c r="AB1260" s="416"/>
      <c r="AC1260" s="416"/>
      <c r="AD1260" s="416"/>
      <c r="AE1260" s="416"/>
      <c r="AF1260" s="154"/>
      <c r="AG1260" s="420"/>
      <c r="AH1260" s="420"/>
      <c r="AI1260" s="420"/>
      <c r="AJ1260" s="420"/>
      <c r="AK1260" s="420"/>
      <c r="AL1260" s="420"/>
      <c r="AM1260" s="420"/>
      <c r="AN1260" s="420"/>
      <c r="AO1260" s="420"/>
      <c r="AP1260" s="420"/>
      <c r="AQ1260" s="420"/>
      <c r="AR1260" s="420"/>
      <c r="AS1260" s="420"/>
      <c r="AT1260" s="420"/>
      <c r="AU1260" s="420"/>
      <c r="AV1260" s="420"/>
      <c r="AW1260" s="420"/>
      <c r="AX1260" s="420"/>
      <c r="AY1260" s="420"/>
      <c r="AZ1260" s="420"/>
      <c r="BA1260" s="420"/>
      <c r="BB1260" s="154"/>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c r="BY1260" s="115"/>
      <c r="BZ1260" s="115"/>
      <c r="CA1260" s="115"/>
      <c r="CB1260" s="115"/>
      <c r="CC1260" s="115"/>
      <c r="CD1260" s="115"/>
      <c r="CE1260" s="115"/>
      <c r="CF1260" s="115"/>
      <c r="CG1260" s="115"/>
      <c r="CH1260" s="115"/>
      <c r="CI1260" s="115"/>
      <c r="CJ1260" s="115"/>
      <c r="CK1260" s="115"/>
      <c r="CL1260" s="115"/>
      <c r="CM1260" s="115"/>
      <c r="CN1260" s="115"/>
      <c r="CO1260" s="115"/>
      <c r="CP1260" s="115"/>
      <c r="CQ1260" s="115"/>
      <c r="CR1260" s="115"/>
      <c r="CS1260" s="115"/>
      <c r="CT1260" s="115"/>
      <c r="CU1260" s="115"/>
      <c r="CV1260" s="115"/>
      <c r="CW1260" s="115"/>
      <c r="CX1260" s="115"/>
      <c r="CY1260" s="115"/>
      <c r="CZ1260" s="115"/>
      <c r="DA1260" s="115"/>
      <c r="DB1260" s="115"/>
      <c r="DC1260" s="115"/>
      <c r="DD1260" s="115"/>
      <c r="DE1260" s="115"/>
      <c r="DF1260" s="115"/>
      <c r="DG1260" s="115"/>
    </row>
    <row r="1261" spans="1:111" ht="9" customHeight="1">
      <c r="A1261" s="154"/>
      <c r="B1261" s="154"/>
      <c r="C1261" s="154"/>
      <c r="D1261" s="154"/>
      <c r="E1261" s="154"/>
      <c r="F1261" s="154"/>
      <c r="G1261" s="154"/>
      <c r="H1261" s="154"/>
      <c r="I1261" s="154"/>
      <c r="J1261" s="154"/>
      <c r="K1261" s="154"/>
      <c r="L1261" s="154"/>
      <c r="M1261" s="154"/>
      <c r="N1261" s="154"/>
      <c r="O1261" s="154"/>
      <c r="P1261" s="154"/>
      <c r="Q1261" s="419"/>
      <c r="R1261" s="419"/>
      <c r="S1261" s="419"/>
      <c r="T1261" s="419"/>
      <c r="U1261" s="419"/>
      <c r="V1261" s="419"/>
      <c r="W1261" s="419"/>
      <c r="X1261" s="419"/>
      <c r="Y1261" s="154"/>
      <c r="Z1261" s="154"/>
      <c r="AA1261" s="154"/>
      <c r="AB1261" s="154"/>
      <c r="AC1261" s="154"/>
      <c r="AD1261" s="154"/>
      <c r="AE1261" s="154"/>
      <c r="AF1261" s="154"/>
      <c r="AG1261" s="420"/>
      <c r="AH1261" s="420"/>
      <c r="AI1261" s="420"/>
      <c r="AJ1261" s="420"/>
      <c r="AK1261" s="420"/>
      <c r="AL1261" s="420"/>
      <c r="AM1261" s="420"/>
      <c r="AN1261" s="420"/>
      <c r="AO1261" s="420"/>
      <c r="AP1261" s="420"/>
      <c r="AQ1261" s="420"/>
      <c r="AR1261" s="420"/>
      <c r="AS1261" s="420"/>
      <c r="AT1261" s="420"/>
      <c r="AU1261" s="420"/>
      <c r="AV1261" s="420"/>
      <c r="AW1261" s="420"/>
      <c r="AX1261" s="420"/>
      <c r="AY1261" s="420"/>
      <c r="AZ1261" s="420"/>
      <c r="BA1261" s="420"/>
      <c r="BB1261" s="154"/>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c r="BY1261" s="115"/>
      <c r="BZ1261" s="115"/>
      <c r="CA1261" s="115"/>
      <c r="CB1261" s="115"/>
      <c r="CC1261" s="115"/>
      <c r="CD1261" s="115"/>
      <c r="CE1261" s="115"/>
      <c r="CF1261" s="115"/>
      <c r="CG1261" s="115"/>
      <c r="CH1261" s="115"/>
      <c r="CI1261" s="115"/>
      <c r="CJ1261" s="115"/>
      <c r="CK1261" s="115"/>
      <c r="CL1261" s="115"/>
      <c r="CM1261" s="115"/>
      <c r="CN1261" s="115"/>
      <c r="CO1261" s="115"/>
      <c r="CP1261" s="115"/>
      <c r="CQ1261" s="115"/>
      <c r="CR1261" s="115"/>
      <c r="CS1261" s="115"/>
      <c r="CT1261" s="115"/>
      <c r="CU1261" s="115"/>
      <c r="CV1261" s="115"/>
      <c r="CW1261" s="115"/>
      <c r="CX1261" s="115"/>
      <c r="CY1261" s="115"/>
      <c r="CZ1261" s="115"/>
      <c r="DA1261" s="115"/>
      <c r="DB1261" s="115"/>
      <c r="DC1261" s="115"/>
      <c r="DD1261" s="115"/>
      <c r="DE1261" s="115"/>
      <c r="DF1261" s="115"/>
      <c r="DG1261" s="115"/>
    </row>
    <row r="1262" spans="1:111" ht="4.5" customHeight="1">
      <c r="A1262" s="154"/>
      <c r="B1262" s="154"/>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c r="BY1262" s="115"/>
      <c r="BZ1262" s="115"/>
      <c r="CA1262" s="115"/>
      <c r="CB1262" s="115"/>
      <c r="CC1262" s="115"/>
      <c r="CD1262" s="115"/>
      <c r="CE1262" s="115"/>
      <c r="CF1262" s="115"/>
      <c r="CG1262" s="115"/>
      <c r="CH1262" s="115"/>
      <c r="CI1262" s="115"/>
      <c r="CJ1262" s="115"/>
      <c r="CK1262" s="115"/>
      <c r="CL1262" s="115"/>
      <c r="CM1262" s="115"/>
      <c r="CN1262" s="115"/>
      <c r="CO1262" s="115"/>
      <c r="CP1262" s="115"/>
      <c r="CQ1262" s="115"/>
      <c r="CR1262" s="115"/>
      <c r="CS1262" s="115"/>
      <c r="CT1262" s="115"/>
      <c r="CU1262" s="115"/>
      <c r="CV1262" s="115"/>
      <c r="CW1262" s="115"/>
      <c r="CX1262" s="115"/>
      <c r="CY1262" s="115"/>
      <c r="CZ1262" s="115"/>
      <c r="DA1262" s="115"/>
      <c r="DB1262" s="115"/>
      <c r="DC1262" s="115"/>
      <c r="DD1262" s="115"/>
      <c r="DE1262" s="115"/>
      <c r="DF1262" s="115"/>
      <c r="DG1262" s="115"/>
    </row>
    <row r="1263" spans="1:111" ht="9" customHeight="1">
      <c r="A1263" s="154"/>
      <c r="B1263" s="154"/>
      <c r="C1263" s="154"/>
      <c r="D1263" s="154"/>
      <c r="E1263" s="154"/>
      <c r="F1263" s="154"/>
      <c r="G1263" s="154"/>
      <c r="H1263" s="154"/>
      <c r="I1263" s="154"/>
      <c r="J1263" s="416" t="str">
        <f>IF(C1241="","","Valor Total (R$):")</f>
        <v/>
      </c>
      <c r="K1263" s="416"/>
      <c r="L1263" s="416"/>
      <c r="M1263" s="416"/>
      <c r="N1263" s="416"/>
      <c r="O1263" s="416"/>
      <c r="P1263" s="154"/>
      <c r="Q1263" s="419" t="str">
        <f>IF(Q1259="","",Q1255*Q1259)</f>
        <v/>
      </c>
      <c r="R1263" s="419"/>
      <c r="S1263" s="419"/>
      <c r="T1263" s="419"/>
      <c r="U1263" s="419"/>
      <c r="V1263" s="419"/>
      <c r="W1263" s="419"/>
      <c r="X1263" s="419"/>
      <c r="Y1263" s="154"/>
      <c r="Z1263" s="416" t="str">
        <f>IF(C1241="","",IF(J1247="52 Equipamentos e Material Permanente","Justificativa e Utilização:",""))</f>
        <v/>
      </c>
      <c r="AA1263" s="416"/>
      <c r="AB1263" s="416"/>
      <c r="AC1263" s="416"/>
      <c r="AD1263" s="416"/>
      <c r="AE1263" s="416"/>
      <c r="AF1263" s="154"/>
      <c r="AG1263" s="420"/>
      <c r="AH1263" s="420"/>
      <c r="AI1263" s="420"/>
      <c r="AJ1263" s="420"/>
      <c r="AK1263" s="420"/>
      <c r="AL1263" s="420"/>
      <c r="AM1263" s="420"/>
      <c r="AN1263" s="420"/>
      <c r="AO1263" s="420"/>
      <c r="AP1263" s="420"/>
      <c r="AQ1263" s="420"/>
      <c r="AR1263" s="420"/>
      <c r="AS1263" s="420"/>
      <c r="AT1263" s="420"/>
      <c r="AU1263" s="420"/>
      <c r="AV1263" s="420"/>
      <c r="AW1263" s="420"/>
      <c r="AX1263" s="420"/>
      <c r="AY1263" s="420"/>
      <c r="AZ1263" s="420"/>
      <c r="BA1263" s="420"/>
      <c r="BB1263" s="154"/>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c r="BY1263" s="115"/>
      <c r="BZ1263" s="115"/>
      <c r="CA1263" s="115"/>
      <c r="CB1263" s="115"/>
      <c r="CC1263" s="115"/>
      <c r="CD1263" s="115"/>
      <c r="CE1263" s="115"/>
      <c r="CF1263" s="115"/>
      <c r="CG1263" s="115"/>
      <c r="CH1263" s="115"/>
      <c r="CI1263" s="115"/>
      <c r="CJ1263" s="115"/>
      <c r="CK1263" s="115"/>
      <c r="CL1263" s="115"/>
      <c r="CM1263" s="115"/>
      <c r="CN1263" s="115"/>
      <c r="CO1263" s="115"/>
      <c r="CP1263" s="115"/>
      <c r="CQ1263" s="115"/>
      <c r="CR1263" s="115"/>
      <c r="CS1263" s="115"/>
      <c r="CT1263" s="115"/>
      <c r="CU1263" s="115"/>
      <c r="CV1263" s="115"/>
      <c r="CW1263" s="115"/>
      <c r="CX1263" s="115"/>
      <c r="CY1263" s="115"/>
      <c r="CZ1263" s="115"/>
      <c r="DA1263" s="115"/>
      <c r="DB1263" s="115"/>
      <c r="DC1263" s="115"/>
      <c r="DD1263" s="115"/>
      <c r="DE1263" s="115"/>
      <c r="DF1263" s="115"/>
      <c r="DG1263" s="115"/>
    </row>
    <row r="1264" spans="1:111" ht="9" customHeight="1">
      <c r="A1264" s="154"/>
      <c r="B1264" s="154"/>
      <c r="C1264" s="154"/>
      <c r="D1264" s="154"/>
      <c r="E1264" s="154"/>
      <c r="F1264" s="154"/>
      <c r="G1264" s="154"/>
      <c r="H1264" s="154"/>
      <c r="I1264" s="154"/>
      <c r="J1264" s="416"/>
      <c r="K1264" s="416"/>
      <c r="L1264" s="416"/>
      <c r="M1264" s="416"/>
      <c r="N1264" s="416"/>
      <c r="O1264" s="416"/>
      <c r="P1264" s="154"/>
      <c r="Q1264" s="419"/>
      <c r="R1264" s="419"/>
      <c r="S1264" s="419"/>
      <c r="T1264" s="419"/>
      <c r="U1264" s="419"/>
      <c r="V1264" s="419"/>
      <c r="W1264" s="419"/>
      <c r="X1264" s="419"/>
      <c r="Y1264" s="154"/>
      <c r="Z1264" s="416"/>
      <c r="AA1264" s="416"/>
      <c r="AB1264" s="416"/>
      <c r="AC1264" s="416"/>
      <c r="AD1264" s="416"/>
      <c r="AE1264" s="416"/>
      <c r="AF1264" s="154"/>
      <c r="AG1264" s="420"/>
      <c r="AH1264" s="420"/>
      <c r="AI1264" s="420"/>
      <c r="AJ1264" s="420"/>
      <c r="AK1264" s="420"/>
      <c r="AL1264" s="420"/>
      <c r="AM1264" s="420"/>
      <c r="AN1264" s="420"/>
      <c r="AO1264" s="420"/>
      <c r="AP1264" s="420"/>
      <c r="AQ1264" s="420"/>
      <c r="AR1264" s="420"/>
      <c r="AS1264" s="420"/>
      <c r="AT1264" s="420"/>
      <c r="AU1264" s="420"/>
      <c r="AV1264" s="420"/>
      <c r="AW1264" s="420"/>
      <c r="AX1264" s="420"/>
      <c r="AY1264" s="420"/>
      <c r="AZ1264" s="420"/>
      <c r="BA1264" s="420"/>
      <c r="BB1264" s="154"/>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c r="BY1264" s="115"/>
      <c r="BZ1264" s="115"/>
      <c r="CA1264" s="115"/>
      <c r="CB1264" s="115"/>
      <c r="CC1264" s="115"/>
      <c r="CD1264" s="115"/>
      <c r="CE1264" s="115"/>
      <c r="CF1264" s="115"/>
      <c r="CG1264" s="115"/>
      <c r="CH1264" s="115"/>
      <c r="CI1264" s="115"/>
      <c r="CJ1264" s="115"/>
      <c r="CK1264" s="115"/>
      <c r="CL1264" s="115"/>
      <c r="CM1264" s="115"/>
      <c r="CN1264" s="115"/>
      <c r="CO1264" s="115"/>
      <c r="CP1264" s="115"/>
      <c r="CQ1264" s="115"/>
      <c r="CR1264" s="115"/>
      <c r="CS1264" s="115"/>
      <c r="CT1264" s="115"/>
      <c r="CU1264" s="115"/>
      <c r="CV1264" s="115"/>
      <c r="CW1264" s="115"/>
      <c r="CX1264" s="115"/>
      <c r="CY1264" s="115"/>
      <c r="CZ1264" s="115"/>
      <c r="DA1264" s="115"/>
      <c r="DB1264" s="115"/>
      <c r="DC1264" s="115"/>
      <c r="DD1264" s="115"/>
      <c r="DE1264" s="115"/>
      <c r="DF1264" s="115"/>
      <c r="DG1264" s="115"/>
    </row>
    <row r="1265" spans="1:111" ht="9" customHeight="1">
      <c r="A1265" s="154"/>
      <c r="B1265" s="154"/>
      <c r="C1265" s="154"/>
      <c r="D1265" s="154"/>
      <c r="E1265" s="154"/>
      <c r="F1265" s="154"/>
      <c r="G1265" s="154"/>
      <c r="H1265" s="154"/>
      <c r="I1265" s="154"/>
      <c r="J1265" s="154"/>
      <c r="K1265" s="154"/>
      <c r="L1265" s="154"/>
      <c r="M1265" s="154"/>
      <c r="N1265" s="154"/>
      <c r="O1265" s="154"/>
      <c r="P1265" s="154"/>
      <c r="Q1265" s="419"/>
      <c r="R1265" s="419"/>
      <c r="S1265" s="419"/>
      <c r="T1265" s="419"/>
      <c r="U1265" s="419"/>
      <c r="V1265" s="419"/>
      <c r="W1265" s="419"/>
      <c r="X1265" s="419"/>
      <c r="Y1265" s="154"/>
      <c r="Z1265" s="154"/>
      <c r="AA1265" s="154"/>
      <c r="AB1265" s="154"/>
      <c r="AC1265" s="154"/>
      <c r="AD1265" s="154"/>
      <c r="AE1265" s="154"/>
      <c r="AF1265" s="154"/>
      <c r="AG1265" s="420"/>
      <c r="AH1265" s="420"/>
      <c r="AI1265" s="420"/>
      <c r="AJ1265" s="420"/>
      <c r="AK1265" s="420"/>
      <c r="AL1265" s="420"/>
      <c r="AM1265" s="420"/>
      <c r="AN1265" s="420"/>
      <c r="AO1265" s="420"/>
      <c r="AP1265" s="420"/>
      <c r="AQ1265" s="420"/>
      <c r="AR1265" s="420"/>
      <c r="AS1265" s="420"/>
      <c r="AT1265" s="420"/>
      <c r="AU1265" s="420"/>
      <c r="AV1265" s="420"/>
      <c r="AW1265" s="420"/>
      <c r="AX1265" s="420"/>
      <c r="AY1265" s="420"/>
      <c r="AZ1265" s="420"/>
      <c r="BA1265" s="420"/>
      <c r="BB1265" s="154"/>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c r="BY1265" s="115"/>
      <c r="BZ1265" s="115"/>
      <c r="CA1265" s="115"/>
      <c r="CB1265" s="115"/>
      <c r="CC1265" s="115"/>
      <c r="CD1265" s="115"/>
      <c r="CE1265" s="115"/>
      <c r="CF1265" s="115"/>
      <c r="CG1265" s="115"/>
      <c r="CH1265" s="115"/>
      <c r="CI1265" s="115"/>
      <c r="CJ1265" s="115"/>
      <c r="CK1265" s="115"/>
      <c r="CL1265" s="115"/>
      <c r="CM1265" s="115"/>
      <c r="CN1265" s="115"/>
      <c r="CO1265" s="115"/>
      <c r="CP1265" s="115"/>
      <c r="CQ1265" s="115"/>
      <c r="CR1265" s="115"/>
      <c r="CS1265" s="115"/>
      <c r="CT1265" s="115"/>
      <c r="CU1265" s="115"/>
      <c r="CV1265" s="115"/>
      <c r="CW1265" s="115"/>
      <c r="CX1265" s="115"/>
      <c r="CY1265" s="115"/>
      <c r="CZ1265" s="115"/>
      <c r="DA1265" s="115"/>
      <c r="DB1265" s="115"/>
      <c r="DC1265" s="115"/>
      <c r="DD1265" s="115"/>
      <c r="DE1265" s="115"/>
      <c r="DF1265" s="115"/>
      <c r="DG1265" s="115"/>
    </row>
    <row r="1266" spans="1:111" ht="9" customHeight="1">
      <c r="A1266" s="154"/>
      <c r="B1266" s="154"/>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420"/>
      <c r="AH1266" s="420"/>
      <c r="AI1266" s="420"/>
      <c r="AJ1266" s="420"/>
      <c r="AK1266" s="420"/>
      <c r="AL1266" s="420"/>
      <c r="AM1266" s="420"/>
      <c r="AN1266" s="420"/>
      <c r="AO1266" s="420"/>
      <c r="AP1266" s="420"/>
      <c r="AQ1266" s="420"/>
      <c r="AR1266" s="420"/>
      <c r="AS1266" s="420"/>
      <c r="AT1266" s="420"/>
      <c r="AU1266" s="420"/>
      <c r="AV1266" s="420"/>
      <c r="AW1266" s="420"/>
      <c r="AX1266" s="420"/>
      <c r="AY1266" s="420"/>
      <c r="AZ1266" s="420"/>
      <c r="BA1266" s="420"/>
      <c r="BB1266" s="154"/>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c r="BY1266" s="115"/>
      <c r="BZ1266" s="115"/>
      <c r="CA1266" s="115"/>
      <c r="CB1266" s="115"/>
      <c r="CC1266" s="115"/>
      <c r="CD1266" s="115"/>
      <c r="CE1266" s="115"/>
      <c r="CF1266" s="115"/>
      <c r="CG1266" s="115"/>
      <c r="CH1266" s="115"/>
      <c r="CI1266" s="115"/>
      <c r="CJ1266" s="115"/>
      <c r="CK1266" s="115"/>
      <c r="CL1266" s="115"/>
      <c r="CM1266" s="115"/>
      <c r="CN1266" s="115"/>
      <c r="CO1266" s="115"/>
      <c r="CP1266" s="115"/>
      <c r="CQ1266" s="115"/>
      <c r="CR1266" s="115"/>
      <c r="CS1266" s="115"/>
      <c r="CT1266" s="115"/>
      <c r="CU1266" s="115"/>
      <c r="CV1266" s="115"/>
      <c r="CW1266" s="115"/>
      <c r="CX1266" s="115"/>
      <c r="CY1266" s="115"/>
      <c r="CZ1266" s="115"/>
      <c r="DA1266" s="115"/>
      <c r="DB1266" s="115"/>
      <c r="DC1266" s="115"/>
      <c r="DD1266" s="115"/>
      <c r="DE1266" s="115"/>
      <c r="DF1266" s="115"/>
      <c r="DG1266" s="115"/>
    </row>
    <row r="1267" spans="1:111" ht="9" customHeight="1">
      <c r="A1267" s="154"/>
      <c r="B1267" s="154"/>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420"/>
      <c r="AH1267" s="420"/>
      <c r="AI1267" s="420"/>
      <c r="AJ1267" s="420"/>
      <c r="AK1267" s="420"/>
      <c r="AL1267" s="420"/>
      <c r="AM1267" s="420"/>
      <c r="AN1267" s="420"/>
      <c r="AO1267" s="420"/>
      <c r="AP1267" s="420"/>
      <c r="AQ1267" s="420"/>
      <c r="AR1267" s="420"/>
      <c r="AS1267" s="420"/>
      <c r="AT1267" s="420"/>
      <c r="AU1267" s="420"/>
      <c r="AV1267" s="420"/>
      <c r="AW1267" s="420"/>
      <c r="AX1267" s="420"/>
      <c r="AY1267" s="420"/>
      <c r="AZ1267" s="420"/>
      <c r="BA1267" s="420"/>
      <c r="BB1267" s="154"/>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c r="BY1267" s="115"/>
      <c r="BZ1267" s="115"/>
      <c r="CA1267" s="115"/>
      <c r="CB1267" s="115"/>
      <c r="CC1267" s="115"/>
      <c r="CD1267" s="115"/>
      <c r="CE1267" s="115"/>
      <c r="CF1267" s="115"/>
      <c r="CG1267" s="115"/>
      <c r="CH1267" s="115"/>
      <c r="CI1267" s="115"/>
      <c r="CJ1267" s="115"/>
      <c r="CK1267" s="115"/>
      <c r="CL1267" s="115"/>
      <c r="CM1267" s="115"/>
      <c r="CN1267" s="115"/>
      <c r="CO1267" s="115"/>
      <c r="CP1267" s="115"/>
      <c r="CQ1267" s="115"/>
      <c r="CR1267" s="115"/>
      <c r="CS1267" s="115"/>
      <c r="CT1267" s="115"/>
      <c r="CU1267" s="115"/>
      <c r="CV1267" s="115"/>
      <c r="CW1267" s="115"/>
      <c r="CX1267" s="115"/>
      <c r="CY1267" s="115"/>
      <c r="CZ1267" s="115"/>
      <c r="DA1267" s="115"/>
      <c r="DB1267" s="115"/>
      <c r="DC1267" s="115"/>
      <c r="DD1267" s="115"/>
      <c r="DE1267" s="115"/>
      <c r="DF1267" s="115"/>
      <c r="DG1267" s="115"/>
    </row>
    <row r="1268" spans="1:111" ht="9" customHeight="1">
      <c r="A1268" s="154"/>
      <c r="B1268" s="154"/>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420"/>
      <c r="AH1268" s="420"/>
      <c r="AI1268" s="420"/>
      <c r="AJ1268" s="420"/>
      <c r="AK1268" s="420"/>
      <c r="AL1268" s="420"/>
      <c r="AM1268" s="420"/>
      <c r="AN1268" s="420"/>
      <c r="AO1268" s="420"/>
      <c r="AP1268" s="420"/>
      <c r="AQ1268" s="420"/>
      <c r="AR1268" s="420"/>
      <c r="AS1268" s="420"/>
      <c r="AT1268" s="420"/>
      <c r="AU1268" s="420"/>
      <c r="AV1268" s="420"/>
      <c r="AW1268" s="420"/>
      <c r="AX1268" s="420"/>
      <c r="AY1268" s="420"/>
      <c r="AZ1268" s="420"/>
      <c r="BA1268" s="420"/>
      <c r="BB1268" s="154"/>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c r="BY1268" s="115"/>
      <c r="BZ1268" s="115"/>
      <c r="CA1268" s="115"/>
      <c r="CB1268" s="115"/>
      <c r="CC1268" s="115"/>
      <c r="CD1268" s="115"/>
      <c r="CE1268" s="115"/>
      <c r="CF1268" s="115"/>
      <c r="CG1268" s="115"/>
      <c r="CH1268" s="115"/>
      <c r="CI1268" s="115"/>
      <c r="CJ1268" s="115"/>
      <c r="CK1268" s="115"/>
      <c r="CL1268" s="115"/>
      <c r="CM1268" s="115"/>
      <c r="CN1268" s="115"/>
      <c r="CO1268" s="115"/>
      <c r="CP1268" s="115"/>
      <c r="CQ1268" s="115"/>
      <c r="CR1268" s="115"/>
      <c r="CS1268" s="115"/>
      <c r="CT1268" s="115"/>
      <c r="CU1268" s="115"/>
      <c r="CV1268" s="115"/>
      <c r="CW1268" s="115"/>
      <c r="CX1268" s="115"/>
      <c r="CY1268" s="115"/>
      <c r="CZ1268" s="115"/>
      <c r="DA1268" s="115"/>
      <c r="DB1268" s="115"/>
      <c r="DC1268" s="115"/>
      <c r="DD1268" s="115"/>
      <c r="DE1268" s="115"/>
      <c r="DF1268" s="115"/>
      <c r="DG1268" s="115"/>
    </row>
    <row r="1269" spans="1:111" ht="15" customHeight="1">
      <c r="B1269" s="55"/>
      <c r="C1269" s="55"/>
      <c r="D1269" s="56"/>
      <c r="E1269" s="56"/>
      <c r="F1269" s="56"/>
      <c r="G1269" s="56"/>
      <c r="H1269" s="56"/>
      <c r="I1269" s="56"/>
      <c r="J1269" s="56"/>
      <c r="K1269" s="56"/>
      <c r="L1269" s="56"/>
      <c r="M1269" s="56"/>
      <c r="N1269" s="56"/>
      <c r="O1269" s="56"/>
      <c r="P1269" s="56"/>
      <c r="Q1269" s="56"/>
      <c r="R1269" s="56"/>
      <c r="S1269" s="56"/>
      <c r="T1269" s="56"/>
      <c r="U1269" s="56"/>
      <c r="V1269" s="56"/>
      <c r="W1269" s="56"/>
      <c r="X1269" s="56"/>
      <c r="Y1269" s="56"/>
      <c r="Z1269" s="56"/>
      <c r="AA1269" s="56"/>
      <c r="AB1269" s="56"/>
      <c r="AC1269" s="56"/>
      <c r="AD1269" s="56"/>
      <c r="AE1269" s="56"/>
      <c r="AF1269" s="56"/>
      <c r="AG1269" s="56"/>
      <c r="AH1269" s="56"/>
      <c r="AI1269" s="56"/>
      <c r="AJ1269" s="56"/>
      <c r="AK1269" s="141"/>
      <c r="AL1269" s="141"/>
      <c r="AM1269" s="141"/>
      <c r="AN1269" s="141"/>
      <c r="AO1269" s="140"/>
      <c r="AP1269" s="140"/>
      <c r="AQ1269" s="140"/>
      <c r="AR1269" s="140"/>
      <c r="AS1269" s="142"/>
      <c r="AT1269" s="142"/>
      <c r="AU1269" s="142"/>
      <c r="AV1269" s="142"/>
      <c r="AW1269" s="140"/>
      <c r="AX1269" s="140"/>
      <c r="AY1269" s="140"/>
      <c r="AZ1269" s="140"/>
      <c r="BA1269" s="140"/>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c r="BY1269" s="115"/>
      <c r="BZ1269" s="115"/>
      <c r="CA1269" s="115"/>
      <c r="CB1269" s="115"/>
      <c r="CC1269" s="115"/>
      <c r="CD1269" s="115"/>
      <c r="CE1269" s="115"/>
      <c r="CF1269" s="115"/>
      <c r="CG1269" s="115"/>
      <c r="CH1269" s="115"/>
      <c r="CI1269" s="115"/>
      <c r="CJ1269" s="115"/>
      <c r="CK1269" s="115"/>
      <c r="CL1269" s="115"/>
      <c r="CM1269" s="115"/>
      <c r="CN1269" s="115"/>
      <c r="CO1269" s="115"/>
      <c r="CP1269" s="115"/>
      <c r="CQ1269" s="115"/>
      <c r="CR1269" s="115"/>
      <c r="CS1269" s="115"/>
      <c r="CT1269" s="115"/>
      <c r="CU1269" s="115"/>
      <c r="CV1269" s="115"/>
      <c r="CW1269" s="115"/>
      <c r="CX1269" s="115"/>
      <c r="CY1269" s="115"/>
      <c r="CZ1269" s="115"/>
      <c r="DA1269" s="115"/>
      <c r="DB1269" s="115"/>
      <c r="DC1269" s="115"/>
      <c r="DD1269" s="115"/>
      <c r="DE1269" s="115"/>
      <c r="DF1269" s="115"/>
      <c r="DG1269" s="115"/>
    </row>
    <row r="1270" spans="1:111" ht="15" customHeight="1">
      <c r="B1270" s="55"/>
      <c r="C1270" s="422" t="str">
        <f>IF($AA$165&gt;=39,"DESPESA 39","")</f>
        <v/>
      </c>
      <c r="D1270" s="422"/>
      <c r="E1270" s="422"/>
      <c r="F1270" s="422"/>
      <c r="G1270" s="422"/>
      <c r="H1270" s="422"/>
      <c r="I1270" s="56"/>
      <c r="J1270" s="56"/>
      <c r="K1270" s="56"/>
      <c r="L1270" s="56"/>
      <c r="M1270" s="56"/>
      <c r="N1270" s="56"/>
      <c r="O1270" s="56"/>
      <c r="P1270" s="56"/>
      <c r="Q1270" s="56"/>
      <c r="R1270" s="56"/>
      <c r="S1270" s="56"/>
      <c r="T1270" s="56"/>
      <c r="U1270" s="56"/>
      <c r="V1270" s="56"/>
      <c r="W1270" s="56"/>
      <c r="X1270" s="56"/>
      <c r="Y1270" s="56"/>
      <c r="Z1270" s="56"/>
      <c r="AA1270" s="56"/>
      <c r="AB1270" s="56"/>
      <c r="AC1270" s="56"/>
      <c r="AD1270" s="56"/>
      <c r="AE1270" s="56"/>
      <c r="AF1270" s="56"/>
      <c r="AG1270" s="56"/>
      <c r="AH1270" s="56"/>
      <c r="AI1270" s="56"/>
      <c r="AJ1270" s="56"/>
      <c r="AK1270" s="141"/>
      <c r="AL1270" s="141"/>
      <c r="AM1270" s="141"/>
      <c r="AN1270" s="141"/>
      <c r="AO1270" s="140"/>
      <c r="AP1270" s="140"/>
      <c r="AQ1270" s="140"/>
      <c r="AR1270" s="140"/>
      <c r="AS1270" s="142"/>
      <c r="AT1270" s="142"/>
      <c r="AU1270" s="142"/>
      <c r="AV1270" s="142"/>
      <c r="AW1270" s="140"/>
      <c r="AX1270" s="140"/>
      <c r="AY1270" s="140"/>
      <c r="AZ1270" s="140"/>
      <c r="BA1270" s="140"/>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c r="BY1270" s="115"/>
      <c r="BZ1270" s="115"/>
      <c r="CA1270" s="115"/>
      <c r="CB1270" s="115"/>
      <c r="CC1270" s="115"/>
      <c r="CD1270" s="115"/>
      <c r="CE1270" s="115"/>
      <c r="CF1270" s="115"/>
      <c r="CG1270" s="115"/>
      <c r="CH1270" s="115"/>
      <c r="CI1270" s="115"/>
      <c r="CJ1270" s="115"/>
      <c r="CK1270" s="115"/>
      <c r="CL1270" s="115"/>
      <c r="CM1270" s="115"/>
      <c r="CN1270" s="115"/>
      <c r="CO1270" s="115"/>
      <c r="CP1270" s="115"/>
      <c r="CQ1270" s="115"/>
      <c r="CR1270" s="115"/>
      <c r="CS1270" s="115"/>
      <c r="CT1270" s="115"/>
      <c r="CU1270" s="115"/>
      <c r="CV1270" s="115"/>
      <c r="CW1270" s="115"/>
      <c r="CX1270" s="115"/>
      <c r="CY1270" s="115"/>
      <c r="CZ1270" s="115"/>
      <c r="DA1270" s="115"/>
      <c r="DB1270" s="115"/>
      <c r="DC1270" s="115"/>
      <c r="DD1270" s="115"/>
      <c r="DE1270" s="115"/>
      <c r="DF1270" s="115"/>
      <c r="DG1270" s="115"/>
    </row>
    <row r="1271" spans="1:111" ht="4.5" customHeight="1">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c r="BY1271" s="115"/>
      <c r="BZ1271" s="115"/>
      <c r="CA1271" s="115"/>
      <c r="CB1271" s="115"/>
      <c r="CC1271" s="115"/>
      <c r="CD1271" s="115"/>
      <c r="CE1271" s="115"/>
      <c r="CF1271" s="115"/>
      <c r="CG1271" s="115"/>
      <c r="CH1271" s="115"/>
      <c r="CI1271" s="115"/>
      <c r="CJ1271" s="115"/>
      <c r="CK1271" s="115"/>
      <c r="CL1271" s="115"/>
      <c r="CM1271" s="115"/>
      <c r="CN1271" s="115"/>
      <c r="CO1271" s="115"/>
      <c r="CP1271" s="115"/>
      <c r="CQ1271" s="115"/>
      <c r="CR1271" s="115"/>
      <c r="CS1271" s="115"/>
      <c r="CT1271" s="115"/>
      <c r="CU1271" s="115"/>
      <c r="CV1271" s="115"/>
      <c r="CW1271" s="115"/>
      <c r="CX1271" s="115"/>
      <c r="CY1271" s="115"/>
      <c r="CZ1271" s="115"/>
      <c r="DA1271" s="115"/>
      <c r="DB1271" s="115"/>
      <c r="DC1271" s="115"/>
      <c r="DD1271" s="115"/>
      <c r="DE1271" s="115"/>
      <c r="DF1271" s="115"/>
      <c r="DG1271" s="115"/>
    </row>
    <row r="1272" spans="1:111" ht="9" customHeight="1">
      <c r="C1272" s="416" t="str">
        <f>IF(C1270="","","Descrição da Despesa:")</f>
        <v/>
      </c>
      <c r="D1272" s="416"/>
      <c r="E1272" s="416"/>
      <c r="F1272" s="416"/>
      <c r="G1272" s="416"/>
      <c r="H1272" s="416"/>
      <c r="I1272" s="60"/>
      <c r="J1272" s="421"/>
      <c r="K1272" s="421"/>
      <c r="L1272" s="421"/>
      <c r="M1272" s="421"/>
      <c r="N1272" s="421"/>
      <c r="O1272" s="421"/>
      <c r="P1272" s="421"/>
      <c r="Q1272" s="421"/>
      <c r="R1272" s="421"/>
      <c r="S1272" s="421"/>
      <c r="T1272" s="421"/>
      <c r="U1272" s="421"/>
      <c r="V1272" s="421"/>
      <c r="W1272" s="421"/>
      <c r="X1272" s="421"/>
      <c r="Y1272" s="421"/>
      <c r="Z1272" s="421"/>
      <c r="AA1272" s="421"/>
      <c r="AB1272" s="421"/>
      <c r="AC1272" s="421"/>
      <c r="AD1272" s="421"/>
      <c r="AE1272" s="421"/>
      <c r="AF1272" s="421"/>
      <c r="AG1272" s="421"/>
      <c r="AH1272" s="421"/>
      <c r="AI1272" s="421"/>
      <c r="AJ1272" s="421"/>
      <c r="AK1272" s="421"/>
      <c r="AL1272" s="421"/>
      <c r="AM1272" s="421"/>
      <c r="AN1272" s="421"/>
      <c r="AO1272" s="421"/>
      <c r="AP1272" s="421"/>
      <c r="AQ1272" s="421"/>
      <c r="AR1272" s="421"/>
      <c r="AS1272" s="421"/>
      <c r="AT1272" s="421"/>
      <c r="AU1272" s="421"/>
      <c r="AV1272" s="421"/>
      <c r="AW1272" s="421"/>
      <c r="AX1272" s="421"/>
      <c r="AY1272" s="421"/>
      <c r="AZ1272" s="421"/>
      <c r="BA1272" s="421"/>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c r="BY1272" s="115"/>
      <c r="BZ1272" s="115"/>
      <c r="CA1272" s="115"/>
      <c r="CB1272" s="115"/>
      <c r="CC1272" s="115"/>
      <c r="CD1272" s="115"/>
      <c r="CE1272" s="115"/>
      <c r="CF1272" s="115"/>
      <c r="CG1272" s="115"/>
      <c r="CH1272" s="115"/>
      <c r="CI1272" s="115"/>
      <c r="CJ1272" s="115"/>
      <c r="CK1272" s="115"/>
      <c r="CL1272" s="115"/>
      <c r="CM1272" s="115"/>
      <c r="CN1272" s="115"/>
      <c r="CO1272" s="115"/>
      <c r="CP1272" s="115"/>
      <c r="CQ1272" s="115"/>
      <c r="CR1272" s="115"/>
      <c r="CS1272" s="115"/>
      <c r="CT1272" s="115"/>
      <c r="CU1272" s="115"/>
      <c r="CV1272" s="115"/>
      <c r="CW1272" s="115"/>
      <c r="CX1272" s="115"/>
      <c r="CY1272" s="115"/>
      <c r="CZ1272" s="115"/>
      <c r="DA1272" s="115"/>
      <c r="DB1272" s="115"/>
      <c r="DC1272" s="115"/>
      <c r="DD1272" s="115"/>
      <c r="DE1272" s="115"/>
      <c r="DF1272" s="115"/>
      <c r="DG1272" s="115"/>
    </row>
    <row r="1273" spans="1:111" ht="9" customHeight="1">
      <c r="C1273" s="416"/>
      <c r="D1273" s="416"/>
      <c r="E1273" s="416"/>
      <c r="F1273" s="416"/>
      <c r="G1273" s="416"/>
      <c r="H1273" s="416"/>
      <c r="I1273" s="60"/>
      <c r="J1273" s="421"/>
      <c r="K1273" s="421"/>
      <c r="L1273" s="421"/>
      <c r="M1273" s="421"/>
      <c r="N1273" s="421"/>
      <c r="O1273" s="421"/>
      <c r="P1273" s="421"/>
      <c r="Q1273" s="421"/>
      <c r="R1273" s="421"/>
      <c r="S1273" s="421"/>
      <c r="T1273" s="421"/>
      <c r="U1273" s="421"/>
      <c r="V1273" s="421"/>
      <c r="W1273" s="421"/>
      <c r="X1273" s="421"/>
      <c r="Y1273" s="421"/>
      <c r="Z1273" s="421"/>
      <c r="AA1273" s="421"/>
      <c r="AB1273" s="421"/>
      <c r="AC1273" s="421"/>
      <c r="AD1273" s="421"/>
      <c r="AE1273" s="421"/>
      <c r="AF1273" s="421"/>
      <c r="AG1273" s="421"/>
      <c r="AH1273" s="421"/>
      <c r="AI1273" s="421"/>
      <c r="AJ1273" s="421"/>
      <c r="AK1273" s="421"/>
      <c r="AL1273" s="421"/>
      <c r="AM1273" s="421"/>
      <c r="AN1273" s="421"/>
      <c r="AO1273" s="421"/>
      <c r="AP1273" s="421"/>
      <c r="AQ1273" s="421"/>
      <c r="AR1273" s="421"/>
      <c r="AS1273" s="421"/>
      <c r="AT1273" s="421"/>
      <c r="AU1273" s="421"/>
      <c r="AV1273" s="421"/>
      <c r="AW1273" s="421"/>
      <c r="AX1273" s="421"/>
      <c r="AY1273" s="421"/>
      <c r="AZ1273" s="421"/>
      <c r="BA1273" s="421"/>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c r="BY1273" s="115"/>
      <c r="BZ1273" s="115"/>
      <c r="CA1273" s="115"/>
      <c r="CB1273" s="115"/>
      <c r="CC1273" s="115"/>
      <c r="CD1273" s="115"/>
      <c r="CE1273" s="115"/>
      <c r="CF1273" s="115"/>
      <c r="CG1273" s="115"/>
      <c r="CH1273" s="115"/>
      <c r="CI1273" s="115"/>
      <c r="CJ1273" s="115"/>
      <c r="CK1273" s="115"/>
      <c r="CL1273" s="115"/>
      <c r="CM1273" s="115"/>
      <c r="CN1273" s="115"/>
      <c r="CO1273" s="115"/>
      <c r="CP1273" s="115"/>
      <c r="CQ1273" s="115"/>
      <c r="CR1273" s="115"/>
      <c r="CS1273" s="115"/>
      <c r="CT1273" s="115"/>
      <c r="CU1273" s="115"/>
      <c r="CV1273" s="115"/>
      <c r="CW1273" s="115"/>
      <c r="CX1273" s="115"/>
      <c r="CY1273" s="115"/>
      <c r="CZ1273" s="115"/>
      <c r="DA1273" s="115"/>
      <c r="DB1273" s="115"/>
      <c r="DC1273" s="115"/>
      <c r="DD1273" s="115"/>
      <c r="DE1273" s="115"/>
      <c r="DF1273" s="115"/>
      <c r="DG1273" s="115"/>
    </row>
    <row r="1274" spans="1:111" ht="9" customHeight="1">
      <c r="C1274" s="416"/>
      <c r="D1274" s="416"/>
      <c r="E1274" s="416"/>
      <c r="F1274" s="416"/>
      <c r="G1274" s="416"/>
      <c r="H1274" s="416"/>
      <c r="I1274" s="60"/>
      <c r="J1274" s="421"/>
      <c r="K1274" s="421"/>
      <c r="L1274" s="421"/>
      <c r="M1274" s="421"/>
      <c r="N1274" s="421"/>
      <c r="O1274" s="421"/>
      <c r="P1274" s="421"/>
      <c r="Q1274" s="421"/>
      <c r="R1274" s="421"/>
      <c r="S1274" s="421"/>
      <c r="T1274" s="421"/>
      <c r="U1274" s="421"/>
      <c r="V1274" s="421"/>
      <c r="W1274" s="421"/>
      <c r="X1274" s="421"/>
      <c r="Y1274" s="421"/>
      <c r="Z1274" s="421"/>
      <c r="AA1274" s="421"/>
      <c r="AB1274" s="421"/>
      <c r="AC1274" s="421"/>
      <c r="AD1274" s="421"/>
      <c r="AE1274" s="421"/>
      <c r="AF1274" s="421"/>
      <c r="AG1274" s="421"/>
      <c r="AH1274" s="421"/>
      <c r="AI1274" s="421"/>
      <c r="AJ1274" s="421"/>
      <c r="AK1274" s="421"/>
      <c r="AL1274" s="421"/>
      <c r="AM1274" s="421"/>
      <c r="AN1274" s="421"/>
      <c r="AO1274" s="421"/>
      <c r="AP1274" s="421"/>
      <c r="AQ1274" s="421"/>
      <c r="AR1274" s="421"/>
      <c r="AS1274" s="421"/>
      <c r="AT1274" s="421"/>
      <c r="AU1274" s="421"/>
      <c r="AV1274" s="421"/>
      <c r="AW1274" s="421"/>
      <c r="AX1274" s="421"/>
      <c r="AY1274" s="421"/>
      <c r="AZ1274" s="421"/>
      <c r="BA1274" s="421"/>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c r="BY1274" s="115"/>
      <c r="BZ1274" s="115"/>
      <c r="CA1274" s="115"/>
      <c r="CB1274" s="115"/>
      <c r="CC1274" s="115"/>
      <c r="CD1274" s="115"/>
      <c r="CE1274" s="115"/>
      <c r="CF1274" s="115"/>
      <c r="CG1274" s="115"/>
      <c r="CH1274" s="115"/>
      <c r="CI1274" s="115"/>
      <c r="CJ1274" s="115"/>
      <c r="CK1274" s="115"/>
      <c r="CL1274" s="115"/>
      <c r="CM1274" s="115"/>
      <c r="CN1274" s="115"/>
      <c r="CO1274" s="115"/>
      <c r="CP1274" s="115"/>
      <c r="CQ1274" s="115"/>
      <c r="CR1274" s="115"/>
      <c r="CS1274" s="115"/>
      <c r="CT1274" s="115"/>
      <c r="CU1274" s="115"/>
      <c r="CV1274" s="115"/>
      <c r="CW1274" s="115"/>
      <c r="CX1274" s="115"/>
      <c r="CY1274" s="115"/>
      <c r="CZ1274" s="115"/>
      <c r="DA1274" s="115"/>
      <c r="DB1274" s="115"/>
      <c r="DC1274" s="115"/>
      <c r="DD1274" s="115"/>
      <c r="DE1274" s="115"/>
      <c r="DF1274" s="115"/>
      <c r="DG1274" s="115"/>
    </row>
    <row r="1275" spans="1:111" ht="4.5" customHeight="1">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c r="BY1275" s="115"/>
      <c r="BZ1275" s="115"/>
      <c r="CA1275" s="115"/>
      <c r="CB1275" s="115"/>
      <c r="CC1275" s="115"/>
      <c r="CD1275" s="115"/>
      <c r="CE1275" s="115"/>
      <c r="CF1275" s="115"/>
      <c r="CG1275" s="115"/>
      <c r="CH1275" s="115"/>
      <c r="CI1275" s="115"/>
      <c r="CJ1275" s="115"/>
      <c r="CK1275" s="115"/>
      <c r="CL1275" s="115"/>
      <c r="CM1275" s="115"/>
      <c r="CN1275" s="115"/>
      <c r="CO1275" s="115"/>
      <c r="CP1275" s="115"/>
      <c r="CQ1275" s="115"/>
      <c r="CR1275" s="115"/>
      <c r="CS1275" s="115"/>
      <c r="CT1275" s="115"/>
      <c r="CU1275" s="115"/>
      <c r="CV1275" s="115"/>
      <c r="CW1275" s="115"/>
      <c r="CX1275" s="115"/>
      <c r="CY1275" s="115"/>
      <c r="CZ1275" s="115"/>
      <c r="DA1275" s="115"/>
      <c r="DB1275" s="115"/>
      <c r="DC1275" s="115"/>
      <c r="DD1275" s="115"/>
      <c r="DE1275" s="115"/>
      <c r="DF1275" s="115"/>
      <c r="DG1275" s="115"/>
    </row>
    <row r="1276" spans="1:111" ht="9" customHeight="1">
      <c r="C1276" s="416" t="str">
        <f>IF(C1270="","","Elemento de Despesa:")</f>
        <v/>
      </c>
      <c r="D1276" s="416"/>
      <c r="E1276" s="416"/>
      <c r="F1276" s="416"/>
      <c r="G1276" s="416"/>
      <c r="H1276" s="416"/>
      <c r="J1276" s="421"/>
      <c r="K1276" s="421"/>
      <c r="L1276" s="421"/>
      <c r="M1276" s="421"/>
      <c r="N1276" s="421"/>
      <c r="O1276" s="421"/>
      <c r="P1276" s="421"/>
      <c r="Q1276" s="421"/>
      <c r="R1276" s="421"/>
      <c r="S1276" s="421"/>
      <c r="T1276" s="421"/>
      <c r="U1276" s="421"/>
      <c r="V1276" s="421"/>
      <c r="W1276" s="421"/>
      <c r="X1276" s="421"/>
      <c r="Y1276" s="421"/>
      <c r="Z1276" s="421"/>
      <c r="AA1276" s="421"/>
      <c r="AB1276" s="421"/>
      <c r="AC1276" s="421"/>
      <c r="AD1276" s="421"/>
      <c r="AE1276" s="421"/>
      <c r="AF1276" s="421"/>
      <c r="AG1276" s="421"/>
      <c r="AH1276" s="421"/>
      <c r="AI1276" s="421"/>
      <c r="AJ1276" s="421"/>
      <c r="AK1276" s="421"/>
      <c r="AL1276" s="421"/>
      <c r="AM1276" s="421"/>
      <c r="AN1276" s="421"/>
      <c r="AO1276" s="421"/>
      <c r="AP1276" s="421"/>
      <c r="AQ1276" s="421"/>
      <c r="AR1276" s="421"/>
      <c r="AS1276" s="421"/>
      <c r="AT1276" s="421"/>
      <c r="AU1276" s="421"/>
      <c r="AV1276" s="421"/>
      <c r="AW1276" s="421"/>
      <c r="AX1276" s="421"/>
      <c r="AY1276" s="421"/>
      <c r="AZ1276" s="421"/>
      <c r="BA1276" s="421"/>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c r="BY1276" s="115"/>
      <c r="BZ1276" s="115"/>
      <c r="CA1276" s="115"/>
      <c r="CB1276" s="115"/>
      <c r="CC1276" s="115"/>
      <c r="CD1276" s="115"/>
      <c r="CE1276" s="115"/>
      <c r="CF1276" s="115"/>
      <c r="CG1276" s="115"/>
      <c r="CH1276" s="115"/>
      <c r="CI1276" s="115"/>
      <c r="CJ1276" s="115"/>
      <c r="CK1276" s="115"/>
      <c r="CL1276" s="115"/>
      <c r="CM1276" s="115"/>
      <c r="CN1276" s="115"/>
      <c r="CO1276" s="115"/>
      <c r="CP1276" s="115"/>
      <c r="CQ1276" s="115"/>
      <c r="CR1276" s="115"/>
      <c r="CS1276" s="115"/>
      <c r="CT1276" s="115"/>
      <c r="CU1276" s="115"/>
      <c r="CV1276" s="115"/>
      <c r="CW1276" s="115"/>
      <c r="CX1276" s="115"/>
      <c r="CY1276" s="115"/>
      <c r="CZ1276" s="115"/>
      <c r="DA1276" s="115"/>
      <c r="DB1276" s="115"/>
      <c r="DC1276" s="115"/>
      <c r="DD1276" s="115"/>
      <c r="DE1276" s="115"/>
      <c r="DF1276" s="115"/>
      <c r="DG1276" s="115"/>
    </row>
    <row r="1277" spans="1:111" ht="9" customHeight="1">
      <c r="C1277" s="416"/>
      <c r="D1277" s="416"/>
      <c r="E1277" s="416"/>
      <c r="F1277" s="416"/>
      <c r="G1277" s="416"/>
      <c r="H1277" s="416"/>
      <c r="J1277" s="421"/>
      <c r="K1277" s="421"/>
      <c r="L1277" s="421"/>
      <c r="M1277" s="421"/>
      <c r="N1277" s="421"/>
      <c r="O1277" s="421"/>
      <c r="P1277" s="421"/>
      <c r="Q1277" s="421"/>
      <c r="R1277" s="421"/>
      <c r="S1277" s="421"/>
      <c r="T1277" s="421"/>
      <c r="U1277" s="421"/>
      <c r="V1277" s="421"/>
      <c r="W1277" s="421"/>
      <c r="X1277" s="421"/>
      <c r="Y1277" s="421"/>
      <c r="Z1277" s="421"/>
      <c r="AA1277" s="421"/>
      <c r="AB1277" s="421"/>
      <c r="AC1277" s="421"/>
      <c r="AD1277" s="421"/>
      <c r="AE1277" s="421"/>
      <c r="AF1277" s="421"/>
      <c r="AG1277" s="421"/>
      <c r="AH1277" s="421"/>
      <c r="AI1277" s="421"/>
      <c r="AJ1277" s="421"/>
      <c r="AK1277" s="421"/>
      <c r="AL1277" s="421"/>
      <c r="AM1277" s="421"/>
      <c r="AN1277" s="421"/>
      <c r="AO1277" s="421"/>
      <c r="AP1277" s="421"/>
      <c r="AQ1277" s="421"/>
      <c r="AR1277" s="421"/>
      <c r="AS1277" s="421"/>
      <c r="AT1277" s="421"/>
      <c r="AU1277" s="421"/>
      <c r="AV1277" s="421"/>
      <c r="AW1277" s="421"/>
      <c r="AX1277" s="421"/>
      <c r="AY1277" s="421"/>
      <c r="AZ1277" s="421"/>
      <c r="BA1277" s="421"/>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c r="BY1277" s="115"/>
      <c r="BZ1277" s="115"/>
      <c r="CA1277" s="115"/>
      <c r="CB1277" s="115"/>
      <c r="CC1277" s="115"/>
      <c r="CD1277" s="115"/>
      <c r="CE1277" s="115"/>
      <c r="CF1277" s="115"/>
      <c r="CG1277" s="115"/>
      <c r="CH1277" s="115"/>
      <c r="CI1277" s="115"/>
      <c r="CJ1277" s="115"/>
      <c r="CK1277" s="115"/>
      <c r="CL1277" s="115"/>
      <c r="CM1277" s="115"/>
      <c r="CN1277" s="115"/>
      <c r="CO1277" s="115"/>
      <c r="CP1277" s="115"/>
      <c r="CQ1277" s="115"/>
      <c r="CR1277" s="115"/>
      <c r="CS1277" s="115"/>
      <c r="CT1277" s="115"/>
      <c r="CU1277" s="115"/>
      <c r="CV1277" s="115"/>
      <c r="CW1277" s="115"/>
      <c r="CX1277" s="115"/>
      <c r="CY1277" s="115"/>
      <c r="CZ1277" s="115"/>
      <c r="DA1277" s="115"/>
      <c r="DB1277" s="115"/>
      <c r="DC1277" s="115"/>
      <c r="DD1277" s="115"/>
      <c r="DE1277" s="115"/>
      <c r="DF1277" s="115"/>
      <c r="DG1277" s="115"/>
    </row>
    <row r="1278" spans="1:111" ht="9" customHeight="1">
      <c r="C1278" s="416"/>
      <c r="D1278" s="416"/>
      <c r="E1278" s="416"/>
      <c r="F1278" s="416"/>
      <c r="G1278" s="416"/>
      <c r="H1278" s="416"/>
      <c r="J1278" s="421"/>
      <c r="K1278" s="421"/>
      <c r="L1278" s="421"/>
      <c r="M1278" s="421"/>
      <c r="N1278" s="421"/>
      <c r="O1278" s="421"/>
      <c r="P1278" s="421"/>
      <c r="Q1278" s="421"/>
      <c r="R1278" s="421"/>
      <c r="S1278" s="421"/>
      <c r="T1278" s="421"/>
      <c r="U1278" s="421"/>
      <c r="V1278" s="421"/>
      <c r="W1278" s="421"/>
      <c r="X1278" s="421"/>
      <c r="Y1278" s="421"/>
      <c r="Z1278" s="421"/>
      <c r="AA1278" s="421"/>
      <c r="AB1278" s="421"/>
      <c r="AC1278" s="421"/>
      <c r="AD1278" s="421"/>
      <c r="AE1278" s="421"/>
      <c r="AF1278" s="421"/>
      <c r="AG1278" s="421"/>
      <c r="AH1278" s="421"/>
      <c r="AI1278" s="421"/>
      <c r="AJ1278" s="421"/>
      <c r="AK1278" s="421"/>
      <c r="AL1278" s="421"/>
      <c r="AM1278" s="421"/>
      <c r="AN1278" s="421"/>
      <c r="AO1278" s="421"/>
      <c r="AP1278" s="421"/>
      <c r="AQ1278" s="421"/>
      <c r="AR1278" s="421"/>
      <c r="AS1278" s="421"/>
      <c r="AT1278" s="421"/>
      <c r="AU1278" s="421"/>
      <c r="AV1278" s="421"/>
      <c r="AW1278" s="421"/>
      <c r="AX1278" s="421"/>
      <c r="AY1278" s="421"/>
      <c r="AZ1278" s="421"/>
      <c r="BA1278" s="421"/>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c r="BY1278" s="115"/>
      <c r="BZ1278" s="115"/>
      <c r="CA1278" s="115"/>
      <c r="CB1278" s="115"/>
      <c r="CC1278" s="115"/>
      <c r="CD1278" s="115"/>
      <c r="CE1278" s="115"/>
      <c r="CF1278" s="115"/>
      <c r="CG1278" s="115"/>
      <c r="CH1278" s="115"/>
      <c r="CI1278" s="115"/>
      <c r="CJ1278" s="115"/>
      <c r="CK1278" s="115"/>
      <c r="CL1278" s="115"/>
      <c r="CM1278" s="115"/>
      <c r="CN1278" s="115"/>
      <c r="CO1278" s="115"/>
      <c r="CP1278" s="115"/>
      <c r="CQ1278" s="115"/>
      <c r="CR1278" s="115"/>
      <c r="CS1278" s="115"/>
      <c r="CT1278" s="115"/>
      <c r="CU1278" s="115"/>
      <c r="CV1278" s="115"/>
      <c r="CW1278" s="115"/>
      <c r="CX1278" s="115"/>
      <c r="CY1278" s="115"/>
      <c r="CZ1278" s="115"/>
      <c r="DA1278" s="115"/>
      <c r="DB1278" s="115"/>
      <c r="DC1278" s="115"/>
      <c r="DD1278" s="115"/>
      <c r="DE1278" s="115"/>
      <c r="DF1278" s="115"/>
      <c r="DG1278" s="115"/>
    </row>
    <row r="1279" spans="1:111" ht="4.5" customHeight="1">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c r="BY1279" s="115"/>
      <c r="BZ1279" s="115"/>
      <c r="CA1279" s="115"/>
      <c r="CB1279" s="115"/>
      <c r="CC1279" s="115"/>
      <c r="CD1279" s="115"/>
      <c r="CE1279" s="115"/>
      <c r="CF1279" s="115"/>
      <c r="CG1279" s="115"/>
      <c r="CH1279" s="115"/>
      <c r="CI1279" s="115"/>
      <c r="CJ1279" s="115"/>
      <c r="CK1279" s="115"/>
      <c r="CL1279" s="115"/>
      <c r="CM1279" s="115"/>
      <c r="CN1279" s="115"/>
      <c r="CO1279" s="115"/>
      <c r="CP1279" s="115"/>
      <c r="CQ1279" s="115"/>
      <c r="CR1279" s="115"/>
      <c r="CS1279" s="115"/>
      <c r="CT1279" s="115"/>
      <c r="CU1279" s="115"/>
      <c r="CV1279" s="115"/>
      <c r="CW1279" s="115"/>
      <c r="CX1279" s="115"/>
      <c r="CY1279" s="115"/>
      <c r="CZ1279" s="115"/>
      <c r="DA1279" s="115"/>
      <c r="DB1279" s="115"/>
      <c r="DC1279" s="115"/>
      <c r="DD1279" s="115"/>
      <c r="DE1279" s="115"/>
      <c r="DF1279" s="115"/>
      <c r="DG1279" s="115"/>
    </row>
    <row r="1280" spans="1:111" ht="9" customHeight="1">
      <c r="A1280" s="61" t="str">
        <f>CONCATENATE(Q1280,AC1280)</f>
        <v/>
      </c>
      <c r="J1280" s="416" t="str">
        <f>IF(C1270="","","Meta Vinculada:")</f>
        <v/>
      </c>
      <c r="K1280" s="416"/>
      <c r="L1280" s="416"/>
      <c r="M1280" s="416"/>
      <c r="N1280" s="416"/>
      <c r="O1280" s="416"/>
      <c r="Q1280" s="417"/>
      <c r="R1280" s="417"/>
      <c r="S1280" s="417"/>
      <c r="T1280" s="417"/>
      <c r="U1280" s="56"/>
      <c r="V1280" s="416" t="str">
        <f>IF(C1270="","","Etapa Vinculada:")</f>
        <v/>
      </c>
      <c r="W1280" s="416"/>
      <c r="X1280" s="416"/>
      <c r="Y1280" s="416"/>
      <c r="Z1280" s="416"/>
      <c r="AA1280" s="416"/>
      <c r="AC1280" s="417"/>
      <c r="AD1280" s="417"/>
      <c r="AE1280" s="417"/>
      <c r="AF1280" s="417"/>
      <c r="AG1280" s="56"/>
      <c r="AH1280" s="56"/>
      <c r="AI1280" s="56"/>
      <c r="AJ1280" s="56"/>
      <c r="AK1280" s="141"/>
      <c r="AL1280" s="141"/>
      <c r="AM1280" s="141"/>
      <c r="AN1280" s="141"/>
      <c r="AO1280" s="140"/>
      <c r="AP1280" s="140"/>
      <c r="AQ1280" s="140"/>
      <c r="AR1280" s="140"/>
      <c r="AS1280" s="142"/>
      <c r="AT1280" s="142"/>
      <c r="AU1280" s="142"/>
      <c r="AV1280" s="142"/>
      <c r="AW1280" s="140"/>
      <c r="AX1280" s="140"/>
      <c r="AY1280" s="140"/>
      <c r="AZ1280" s="140"/>
      <c r="BA1280" s="140"/>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c r="BY1280" s="115"/>
      <c r="BZ1280" s="115"/>
      <c r="CA1280" s="115"/>
      <c r="CB1280" s="115"/>
      <c r="CC1280" s="115"/>
      <c r="CD1280" s="115"/>
      <c r="CE1280" s="115"/>
      <c r="CF1280" s="115"/>
      <c r="CG1280" s="115"/>
      <c r="CH1280" s="115"/>
      <c r="CI1280" s="115"/>
      <c r="CJ1280" s="115"/>
      <c r="CK1280" s="115"/>
      <c r="CL1280" s="115"/>
      <c r="CM1280" s="115"/>
      <c r="CN1280" s="115"/>
      <c r="CO1280" s="115"/>
      <c r="CP1280" s="115"/>
      <c r="CQ1280" s="115"/>
      <c r="CR1280" s="115"/>
      <c r="CS1280" s="115"/>
      <c r="CT1280" s="115"/>
      <c r="CU1280" s="115"/>
      <c r="CV1280" s="115"/>
      <c r="CW1280" s="115"/>
      <c r="CX1280" s="115"/>
      <c r="CY1280" s="115"/>
      <c r="CZ1280" s="115"/>
      <c r="DA1280" s="115"/>
      <c r="DB1280" s="115"/>
      <c r="DC1280" s="115"/>
      <c r="DD1280" s="115"/>
      <c r="DE1280" s="115"/>
      <c r="DF1280" s="115"/>
      <c r="DG1280" s="115"/>
    </row>
    <row r="1281" spans="1:111" ht="9" customHeight="1">
      <c r="B1281" s="55"/>
      <c r="C1281" s="55"/>
      <c r="D1281" s="56"/>
      <c r="E1281" s="56"/>
      <c r="F1281" s="56"/>
      <c r="G1281" s="56"/>
      <c r="H1281" s="56"/>
      <c r="I1281" s="56"/>
      <c r="J1281" s="416"/>
      <c r="K1281" s="416"/>
      <c r="L1281" s="416"/>
      <c r="M1281" s="416"/>
      <c r="N1281" s="416"/>
      <c r="O1281" s="416"/>
      <c r="Q1281" s="417"/>
      <c r="R1281" s="417"/>
      <c r="S1281" s="417"/>
      <c r="T1281" s="417"/>
      <c r="U1281" s="56"/>
      <c r="V1281" s="416"/>
      <c r="W1281" s="416"/>
      <c r="X1281" s="416"/>
      <c r="Y1281" s="416"/>
      <c r="Z1281" s="416"/>
      <c r="AA1281" s="416"/>
      <c r="AC1281" s="417"/>
      <c r="AD1281" s="417"/>
      <c r="AE1281" s="417"/>
      <c r="AF1281" s="417"/>
      <c r="AG1281" s="56"/>
      <c r="AH1281" s="56"/>
      <c r="AI1281" s="56"/>
      <c r="AJ1281" s="56"/>
      <c r="AK1281" s="141"/>
      <c r="AL1281" s="141"/>
      <c r="AM1281" s="141"/>
      <c r="AN1281" s="141"/>
      <c r="AO1281" s="140"/>
      <c r="AP1281" s="140"/>
      <c r="AQ1281" s="140"/>
      <c r="AR1281" s="140"/>
      <c r="AS1281" s="142"/>
      <c r="AT1281" s="142"/>
      <c r="AU1281" s="142"/>
      <c r="AV1281" s="142"/>
      <c r="AW1281" s="140"/>
      <c r="AX1281" s="140"/>
      <c r="AY1281" s="140"/>
      <c r="AZ1281" s="140"/>
      <c r="BA1281" s="140"/>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c r="BY1281" s="115"/>
      <c r="BZ1281" s="115"/>
      <c r="CA1281" s="115"/>
      <c r="CB1281" s="115"/>
      <c r="CC1281" s="115"/>
      <c r="CD1281" s="115"/>
      <c r="CE1281" s="115"/>
      <c r="CF1281" s="115"/>
      <c r="CG1281" s="115"/>
      <c r="CH1281" s="115"/>
      <c r="CI1281" s="115"/>
      <c r="CJ1281" s="115"/>
      <c r="CK1281" s="115"/>
      <c r="CL1281" s="115"/>
      <c r="CM1281" s="115"/>
      <c r="CN1281" s="115"/>
      <c r="CO1281" s="115"/>
      <c r="CP1281" s="115"/>
      <c r="CQ1281" s="115"/>
      <c r="CR1281" s="115"/>
      <c r="CS1281" s="115"/>
      <c r="CT1281" s="115"/>
      <c r="CU1281" s="115"/>
      <c r="CV1281" s="115"/>
      <c r="CW1281" s="115"/>
      <c r="CX1281" s="115"/>
      <c r="CY1281" s="115"/>
      <c r="CZ1281" s="115"/>
      <c r="DA1281" s="115"/>
      <c r="DB1281" s="115"/>
      <c r="DC1281" s="115"/>
      <c r="DD1281" s="115"/>
      <c r="DE1281" s="115"/>
      <c r="DF1281" s="115"/>
      <c r="DG1281" s="115"/>
    </row>
    <row r="1282" spans="1:111" ht="9" customHeight="1">
      <c r="Q1282" s="417"/>
      <c r="R1282" s="417"/>
      <c r="S1282" s="417"/>
      <c r="T1282" s="417"/>
      <c r="AC1282" s="417"/>
      <c r="AD1282" s="417"/>
      <c r="AE1282" s="417"/>
      <c r="AF1282" s="417"/>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c r="BY1282" s="115"/>
      <c r="BZ1282" s="115"/>
      <c r="CA1282" s="115"/>
      <c r="CB1282" s="115"/>
      <c r="CC1282" s="115"/>
      <c r="CD1282" s="115"/>
      <c r="CE1282" s="115"/>
      <c r="CF1282" s="115"/>
      <c r="CG1282" s="115"/>
      <c r="CH1282" s="115"/>
      <c r="CI1282" s="115"/>
      <c r="CJ1282" s="115"/>
      <c r="CK1282" s="115"/>
      <c r="CL1282" s="115"/>
      <c r="CM1282" s="115"/>
      <c r="CN1282" s="115"/>
      <c r="CO1282" s="115"/>
      <c r="CP1282" s="115"/>
      <c r="CQ1282" s="115"/>
      <c r="CR1282" s="115"/>
      <c r="CS1282" s="115"/>
      <c r="CT1282" s="115"/>
      <c r="CU1282" s="115"/>
      <c r="CV1282" s="115"/>
      <c r="CW1282" s="115"/>
      <c r="CX1282" s="115"/>
      <c r="CY1282" s="115"/>
      <c r="CZ1282" s="115"/>
      <c r="DA1282" s="115"/>
      <c r="DB1282" s="115"/>
      <c r="DC1282" s="115"/>
      <c r="DD1282" s="115"/>
      <c r="DE1282" s="115"/>
      <c r="DF1282" s="115"/>
      <c r="DG1282" s="115"/>
    </row>
    <row r="1283" spans="1:111" ht="4.5" customHeight="1">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c r="BY1283" s="115"/>
      <c r="BZ1283" s="115"/>
      <c r="CA1283" s="115"/>
      <c r="CB1283" s="115"/>
      <c r="CC1283" s="115"/>
      <c r="CD1283" s="115"/>
      <c r="CE1283" s="115"/>
      <c r="CF1283" s="115"/>
      <c r="CG1283" s="115"/>
      <c r="CH1283" s="115"/>
      <c r="CI1283" s="115"/>
      <c r="CJ1283" s="115"/>
      <c r="CK1283" s="115"/>
      <c r="CL1283" s="115"/>
      <c r="CM1283" s="115"/>
      <c r="CN1283" s="115"/>
      <c r="CO1283" s="115"/>
      <c r="CP1283" s="115"/>
      <c r="CQ1283" s="115"/>
      <c r="CR1283" s="115"/>
      <c r="CS1283" s="115"/>
      <c r="CT1283" s="115"/>
      <c r="CU1283" s="115"/>
      <c r="CV1283" s="115"/>
      <c r="CW1283" s="115"/>
      <c r="CX1283" s="115"/>
      <c r="CY1283" s="115"/>
      <c r="CZ1283" s="115"/>
      <c r="DA1283" s="115"/>
      <c r="DB1283" s="115"/>
      <c r="DC1283" s="115"/>
      <c r="DD1283" s="115"/>
      <c r="DE1283" s="115"/>
      <c r="DF1283" s="115"/>
      <c r="DG1283" s="115"/>
    </row>
    <row r="1284" spans="1:111" ht="9" customHeight="1">
      <c r="A1284" s="154"/>
      <c r="B1284" s="154"/>
      <c r="C1284" s="154"/>
      <c r="D1284" s="154"/>
      <c r="E1284" s="154"/>
      <c r="F1284" s="154"/>
      <c r="G1284" s="154"/>
      <c r="H1284" s="154"/>
      <c r="I1284" s="154"/>
      <c r="J1284" s="416" t="str">
        <f>IF(C1270="","","Quantidade:")</f>
        <v/>
      </c>
      <c r="K1284" s="416"/>
      <c r="L1284" s="416"/>
      <c r="M1284" s="416"/>
      <c r="N1284" s="416"/>
      <c r="O1284" s="416"/>
      <c r="P1284" s="154"/>
      <c r="Q1284" s="417"/>
      <c r="R1284" s="417"/>
      <c r="S1284" s="417"/>
      <c r="T1284" s="417"/>
      <c r="U1284" s="154"/>
      <c r="V1284" s="416" t="str">
        <f>IF(C1270="","","Unidade:")</f>
        <v/>
      </c>
      <c r="W1284" s="416"/>
      <c r="X1284" s="416"/>
      <c r="Y1284" s="416"/>
      <c r="Z1284" s="416"/>
      <c r="AA1284" s="416"/>
      <c r="AB1284" s="154"/>
      <c r="AC1284" s="418"/>
      <c r="AD1284" s="418"/>
      <c r="AE1284" s="418"/>
      <c r="AF1284" s="418"/>
      <c r="AG1284" s="418"/>
      <c r="AH1284" s="418"/>
      <c r="AI1284" s="418"/>
      <c r="AJ1284" s="418"/>
      <c r="AK1284" s="418"/>
      <c r="AL1284" s="418"/>
      <c r="AM1284" s="418"/>
      <c r="AN1284" s="418"/>
      <c r="AO1284" s="418"/>
      <c r="AP1284" s="418"/>
      <c r="AQ1284" s="418"/>
      <c r="AR1284" s="418"/>
      <c r="AS1284" s="418"/>
      <c r="AT1284" s="418"/>
      <c r="AU1284" s="418"/>
      <c r="AV1284" s="418"/>
      <c r="AW1284" s="418"/>
      <c r="AX1284" s="418"/>
      <c r="AY1284" s="418"/>
      <c r="AZ1284" s="418"/>
      <c r="BA1284" s="418"/>
      <c r="BB1284" s="154"/>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c r="BY1284" s="115"/>
      <c r="BZ1284" s="115"/>
      <c r="CA1284" s="115"/>
      <c r="CB1284" s="115"/>
      <c r="CC1284" s="115"/>
      <c r="CD1284" s="115"/>
      <c r="CE1284" s="115"/>
      <c r="CF1284" s="115"/>
      <c r="CG1284" s="115"/>
      <c r="CH1284" s="115"/>
      <c r="CI1284" s="115"/>
      <c r="CJ1284" s="115"/>
      <c r="CK1284" s="115"/>
      <c r="CL1284" s="115"/>
      <c r="CM1284" s="115"/>
      <c r="CN1284" s="115"/>
      <c r="CO1284" s="115"/>
      <c r="CP1284" s="115"/>
      <c r="CQ1284" s="115"/>
      <c r="CR1284" s="115"/>
      <c r="CS1284" s="115"/>
      <c r="CT1284" s="115"/>
      <c r="CU1284" s="115"/>
      <c r="CV1284" s="115"/>
      <c r="CW1284" s="115"/>
      <c r="CX1284" s="115"/>
      <c r="CY1284" s="115"/>
      <c r="CZ1284" s="115"/>
      <c r="DA1284" s="115"/>
      <c r="DB1284" s="115"/>
      <c r="DC1284" s="115"/>
      <c r="DD1284" s="115"/>
      <c r="DE1284" s="115"/>
      <c r="DF1284" s="115"/>
      <c r="DG1284" s="115"/>
    </row>
    <row r="1285" spans="1:111" ht="9" customHeight="1">
      <c r="A1285" s="154"/>
      <c r="B1285" s="154"/>
      <c r="C1285" s="154"/>
      <c r="D1285" s="154"/>
      <c r="E1285" s="154"/>
      <c r="F1285" s="154"/>
      <c r="G1285" s="154"/>
      <c r="H1285" s="154"/>
      <c r="I1285" s="154"/>
      <c r="J1285" s="416"/>
      <c r="K1285" s="416"/>
      <c r="L1285" s="416"/>
      <c r="M1285" s="416"/>
      <c r="N1285" s="416"/>
      <c r="O1285" s="416"/>
      <c r="P1285" s="154"/>
      <c r="Q1285" s="417"/>
      <c r="R1285" s="417"/>
      <c r="S1285" s="417"/>
      <c r="T1285" s="417"/>
      <c r="U1285" s="154"/>
      <c r="V1285" s="416"/>
      <c r="W1285" s="416"/>
      <c r="X1285" s="416"/>
      <c r="Y1285" s="416"/>
      <c r="Z1285" s="416"/>
      <c r="AA1285" s="416"/>
      <c r="AB1285" s="154"/>
      <c r="AC1285" s="418"/>
      <c r="AD1285" s="418"/>
      <c r="AE1285" s="418"/>
      <c r="AF1285" s="418"/>
      <c r="AG1285" s="418"/>
      <c r="AH1285" s="418"/>
      <c r="AI1285" s="418"/>
      <c r="AJ1285" s="418"/>
      <c r="AK1285" s="418"/>
      <c r="AL1285" s="418"/>
      <c r="AM1285" s="418"/>
      <c r="AN1285" s="418"/>
      <c r="AO1285" s="418"/>
      <c r="AP1285" s="418"/>
      <c r="AQ1285" s="418"/>
      <c r="AR1285" s="418"/>
      <c r="AS1285" s="418"/>
      <c r="AT1285" s="418"/>
      <c r="AU1285" s="418"/>
      <c r="AV1285" s="418"/>
      <c r="AW1285" s="418"/>
      <c r="AX1285" s="418"/>
      <c r="AY1285" s="418"/>
      <c r="AZ1285" s="418"/>
      <c r="BA1285" s="418"/>
      <c r="BB1285" s="154"/>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c r="BY1285" s="115"/>
      <c r="BZ1285" s="115"/>
      <c r="CA1285" s="115"/>
      <c r="CB1285" s="115"/>
      <c r="CC1285" s="115"/>
      <c r="CD1285" s="115"/>
      <c r="CE1285" s="115"/>
      <c r="CF1285" s="115"/>
      <c r="CG1285" s="115"/>
      <c r="CH1285" s="115"/>
      <c r="CI1285" s="115"/>
      <c r="CJ1285" s="115"/>
      <c r="CK1285" s="115"/>
      <c r="CL1285" s="115"/>
      <c r="CM1285" s="115"/>
      <c r="CN1285" s="115"/>
      <c r="CO1285" s="115"/>
      <c r="CP1285" s="115"/>
      <c r="CQ1285" s="115"/>
      <c r="CR1285" s="115"/>
      <c r="CS1285" s="115"/>
      <c r="CT1285" s="115"/>
      <c r="CU1285" s="115"/>
      <c r="CV1285" s="115"/>
      <c r="CW1285" s="115"/>
      <c r="CX1285" s="115"/>
      <c r="CY1285" s="115"/>
      <c r="CZ1285" s="115"/>
      <c r="DA1285" s="115"/>
      <c r="DB1285" s="115"/>
      <c r="DC1285" s="115"/>
      <c r="DD1285" s="115"/>
      <c r="DE1285" s="115"/>
      <c r="DF1285" s="115"/>
      <c r="DG1285" s="115"/>
    </row>
    <row r="1286" spans="1:111" ht="9" customHeight="1">
      <c r="A1286" s="154"/>
      <c r="B1286" s="154"/>
      <c r="C1286" s="154"/>
      <c r="D1286" s="154"/>
      <c r="E1286" s="154"/>
      <c r="F1286" s="154"/>
      <c r="G1286" s="154"/>
      <c r="H1286" s="154"/>
      <c r="I1286" s="154"/>
      <c r="J1286" s="154"/>
      <c r="K1286" s="154"/>
      <c r="L1286" s="154"/>
      <c r="M1286" s="154"/>
      <c r="N1286" s="154"/>
      <c r="O1286" s="154"/>
      <c r="P1286" s="154"/>
      <c r="Q1286" s="417"/>
      <c r="R1286" s="417"/>
      <c r="S1286" s="417"/>
      <c r="T1286" s="417"/>
      <c r="U1286" s="154"/>
      <c r="V1286" s="154"/>
      <c r="W1286" s="154"/>
      <c r="X1286" s="154"/>
      <c r="Y1286" s="154"/>
      <c r="Z1286" s="154"/>
      <c r="AA1286" s="154"/>
      <c r="AB1286" s="154"/>
      <c r="AC1286" s="418"/>
      <c r="AD1286" s="418"/>
      <c r="AE1286" s="418"/>
      <c r="AF1286" s="418"/>
      <c r="AG1286" s="418"/>
      <c r="AH1286" s="418"/>
      <c r="AI1286" s="418"/>
      <c r="AJ1286" s="418"/>
      <c r="AK1286" s="418"/>
      <c r="AL1286" s="418"/>
      <c r="AM1286" s="418"/>
      <c r="AN1286" s="418"/>
      <c r="AO1286" s="418"/>
      <c r="AP1286" s="418"/>
      <c r="AQ1286" s="418"/>
      <c r="AR1286" s="418"/>
      <c r="AS1286" s="418"/>
      <c r="AT1286" s="418"/>
      <c r="AU1286" s="418"/>
      <c r="AV1286" s="418"/>
      <c r="AW1286" s="418"/>
      <c r="AX1286" s="418"/>
      <c r="AY1286" s="418"/>
      <c r="AZ1286" s="418"/>
      <c r="BA1286" s="418"/>
      <c r="BB1286" s="154"/>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c r="BY1286" s="115"/>
      <c r="BZ1286" s="115"/>
      <c r="CA1286" s="115"/>
      <c r="CB1286" s="115"/>
      <c r="CC1286" s="115"/>
      <c r="CD1286" s="115"/>
      <c r="CE1286" s="115"/>
      <c r="CF1286" s="115"/>
      <c r="CG1286" s="115"/>
      <c r="CH1286" s="115"/>
      <c r="CI1286" s="115"/>
      <c r="CJ1286" s="115"/>
      <c r="CK1286" s="115"/>
      <c r="CL1286" s="115"/>
      <c r="CM1286" s="115"/>
      <c r="CN1286" s="115"/>
      <c r="CO1286" s="115"/>
      <c r="CP1286" s="115"/>
      <c r="CQ1286" s="115"/>
      <c r="CR1286" s="115"/>
      <c r="CS1286" s="115"/>
      <c r="CT1286" s="115"/>
      <c r="CU1286" s="115"/>
      <c r="CV1286" s="115"/>
      <c r="CW1286" s="115"/>
      <c r="CX1286" s="115"/>
      <c r="CY1286" s="115"/>
      <c r="CZ1286" s="115"/>
      <c r="DA1286" s="115"/>
      <c r="DB1286" s="115"/>
      <c r="DC1286" s="115"/>
      <c r="DD1286" s="115"/>
      <c r="DE1286" s="115"/>
      <c r="DF1286" s="115"/>
      <c r="DG1286" s="115"/>
    </row>
    <row r="1287" spans="1:111" ht="4.5" customHeight="1">
      <c r="A1287" s="154"/>
      <c r="B1287" s="154"/>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c r="BY1287" s="115"/>
      <c r="BZ1287" s="115"/>
      <c r="CA1287" s="115"/>
      <c r="CB1287" s="115"/>
      <c r="CC1287" s="115"/>
      <c r="CD1287" s="115"/>
      <c r="CE1287" s="115"/>
      <c r="CF1287" s="115"/>
      <c r="CG1287" s="115"/>
      <c r="CH1287" s="115"/>
      <c r="CI1287" s="115"/>
      <c r="CJ1287" s="115"/>
      <c r="CK1287" s="115"/>
      <c r="CL1287" s="115"/>
      <c r="CM1287" s="115"/>
      <c r="CN1287" s="115"/>
      <c r="CO1287" s="115"/>
      <c r="CP1287" s="115"/>
      <c r="CQ1287" s="115"/>
      <c r="CR1287" s="115"/>
      <c r="CS1287" s="115"/>
      <c r="CT1287" s="115"/>
      <c r="CU1287" s="115"/>
      <c r="CV1287" s="115"/>
      <c r="CW1287" s="115"/>
      <c r="CX1287" s="115"/>
      <c r="CY1287" s="115"/>
      <c r="CZ1287" s="115"/>
      <c r="DA1287" s="115"/>
      <c r="DB1287" s="115"/>
      <c r="DC1287" s="115"/>
      <c r="DD1287" s="115"/>
      <c r="DE1287" s="115"/>
      <c r="DF1287" s="115"/>
      <c r="DG1287" s="115"/>
    </row>
    <row r="1288" spans="1:111" ht="9" customHeight="1">
      <c r="A1288" s="154"/>
      <c r="B1288" s="154"/>
      <c r="C1288" s="154"/>
      <c r="D1288" s="154"/>
      <c r="E1288" s="154"/>
      <c r="F1288" s="154"/>
      <c r="G1288" s="154"/>
      <c r="H1288" s="154"/>
      <c r="I1288" s="154"/>
      <c r="J1288" s="416" t="str">
        <f>IF(C1270="","","Valor Unitário (R$):")</f>
        <v/>
      </c>
      <c r="K1288" s="416"/>
      <c r="L1288" s="416"/>
      <c r="M1288" s="416"/>
      <c r="N1288" s="416"/>
      <c r="O1288" s="416"/>
      <c r="P1288" s="154"/>
      <c r="Q1288" s="419"/>
      <c r="R1288" s="419"/>
      <c r="S1288" s="419"/>
      <c r="T1288" s="419"/>
      <c r="U1288" s="419"/>
      <c r="V1288" s="419"/>
      <c r="W1288" s="419"/>
      <c r="X1288" s="419"/>
      <c r="Y1288" s="154"/>
      <c r="Z1288" s="416" t="str">
        <f>IF(C1270="","",IF(J1276="52 Equipamentos e Material Permanente","Tempo de Uso:",""))</f>
        <v/>
      </c>
      <c r="AA1288" s="416"/>
      <c r="AB1288" s="416"/>
      <c r="AC1288" s="416"/>
      <c r="AD1288" s="416"/>
      <c r="AE1288" s="416"/>
      <c r="AF1288" s="154"/>
      <c r="AG1288" s="420"/>
      <c r="AH1288" s="420"/>
      <c r="AI1288" s="420"/>
      <c r="AJ1288" s="420"/>
      <c r="AK1288" s="420"/>
      <c r="AL1288" s="420"/>
      <c r="AM1288" s="420"/>
      <c r="AN1288" s="420"/>
      <c r="AO1288" s="420"/>
      <c r="AP1288" s="420"/>
      <c r="AQ1288" s="420"/>
      <c r="AR1288" s="420"/>
      <c r="AS1288" s="420"/>
      <c r="AT1288" s="420"/>
      <c r="AU1288" s="420"/>
      <c r="AV1288" s="420"/>
      <c r="AW1288" s="420"/>
      <c r="AX1288" s="420"/>
      <c r="AY1288" s="420"/>
      <c r="AZ1288" s="420"/>
      <c r="BA1288" s="420"/>
      <c r="BB1288" s="154"/>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c r="BY1288" s="115"/>
      <c r="BZ1288" s="115"/>
      <c r="CA1288" s="115"/>
      <c r="CB1288" s="115"/>
      <c r="CC1288" s="115"/>
      <c r="CD1288" s="115"/>
      <c r="CE1288" s="115"/>
      <c r="CF1288" s="115"/>
      <c r="CG1288" s="115"/>
      <c r="CH1288" s="115"/>
      <c r="CI1288" s="115"/>
      <c r="CJ1288" s="115"/>
      <c r="CK1288" s="115"/>
      <c r="CL1288" s="115"/>
      <c r="CM1288" s="115"/>
      <c r="CN1288" s="115"/>
      <c r="CO1288" s="115"/>
      <c r="CP1288" s="115"/>
      <c r="CQ1288" s="115"/>
      <c r="CR1288" s="115"/>
      <c r="CS1288" s="115"/>
      <c r="CT1288" s="115"/>
      <c r="CU1288" s="115"/>
      <c r="CV1288" s="115"/>
      <c r="CW1288" s="115"/>
      <c r="CX1288" s="115"/>
      <c r="CY1288" s="115"/>
      <c r="CZ1288" s="115"/>
      <c r="DA1288" s="115"/>
      <c r="DB1288" s="115"/>
      <c r="DC1288" s="115"/>
      <c r="DD1288" s="115"/>
      <c r="DE1288" s="115"/>
      <c r="DF1288" s="115"/>
      <c r="DG1288" s="115"/>
    </row>
    <row r="1289" spans="1:111" ht="9" customHeight="1">
      <c r="A1289" s="154"/>
      <c r="B1289" s="154"/>
      <c r="C1289" s="154"/>
      <c r="D1289" s="154"/>
      <c r="E1289" s="154"/>
      <c r="F1289" s="154"/>
      <c r="G1289" s="154"/>
      <c r="H1289" s="154"/>
      <c r="I1289" s="154"/>
      <c r="J1289" s="416"/>
      <c r="K1289" s="416"/>
      <c r="L1289" s="416"/>
      <c r="M1289" s="416"/>
      <c r="N1289" s="416"/>
      <c r="O1289" s="416"/>
      <c r="P1289" s="154"/>
      <c r="Q1289" s="419"/>
      <c r="R1289" s="419"/>
      <c r="S1289" s="419"/>
      <c r="T1289" s="419"/>
      <c r="U1289" s="419"/>
      <c r="V1289" s="419"/>
      <c r="W1289" s="419"/>
      <c r="X1289" s="419"/>
      <c r="Y1289" s="154"/>
      <c r="Z1289" s="416"/>
      <c r="AA1289" s="416"/>
      <c r="AB1289" s="416"/>
      <c r="AC1289" s="416"/>
      <c r="AD1289" s="416"/>
      <c r="AE1289" s="416"/>
      <c r="AF1289" s="154"/>
      <c r="AG1289" s="420"/>
      <c r="AH1289" s="420"/>
      <c r="AI1289" s="420"/>
      <c r="AJ1289" s="420"/>
      <c r="AK1289" s="420"/>
      <c r="AL1289" s="420"/>
      <c r="AM1289" s="420"/>
      <c r="AN1289" s="420"/>
      <c r="AO1289" s="420"/>
      <c r="AP1289" s="420"/>
      <c r="AQ1289" s="420"/>
      <c r="AR1289" s="420"/>
      <c r="AS1289" s="420"/>
      <c r="AT1289" s="420"/>
      <c r="AU1289" s="420"/>
      <c r="AV1289" s="420"/>
      <c r="AW1289" s="420"/>
      <c r="AX1289" s="420"/>
      <c r="AY1289" s="420"/>
      <c r="AZ1289" s="420"/>
      <c r="BA1289" s="420"/>
      <c r="BB1289" s="154"/>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c r="BY1289" s="115"/>
      <c r="BZ1289" s="115"/>
      <c r="CA1289" s="115"/>
      <c r="CB1289" s="115"/>
      <c r="CC1289" s="115"/>
      <c r="CD1289" s="115"/>
      <c r="CE1289" s="115"/>
      <c r="CF1289" s="115"/>
      <c r="CG1289" s="115"/>
      <c r="CH1289" s="115"/>
      <c r="CI1289" s="115"/>
      <c r="CJ1289" s="115"/>
      <c r="CK1289" s="115"/>
      <c r="CL1289" s="115"/>
      <c r="CM1289" s="115"/>
      <c r="CN1289" s="115"/>
      <c r="CO1289" s="115"/>
      <c r="CP1289" s="115"/>
      <c r="CQ1289" s="115"/>
      <c r="CR1289" s="115"/>
      <c r="CS1289" s="115"/>
      <c r="CT1289" s="115"/>
      <c r="CU1289" s="115"/>
      <c r="CV1289" s="115"/>
      <c r="CW1289" s="115"/>
      <c r="CX1289" s="115"/>
      <c r="CY1289" s="115"/>
      <c r="CZ1289" s="115"/>
      <c r="DA1289" s="115"/>
      <c r="DB1289" s="115"/>
      <c r="DC1289" s="115"/>
      <c r="DD1289" s="115"/>
      <c r="DE1289" s="115"/>
      <c r="DF1289" s="115"/>
      <c r="DG1289" s="115"/>
    </row>
    <row r="1290" spans="1:111" ht="9" customHeight="1">
      <c r="A1290" s="154"/>
      <c r="B1290" s="154"/>
      <c r="C1290" s="154"/>
      <c r="D1290" s="154"/>
      <c r="E1290" s="154"/>
      <c r="F1290" s="154"/>
      <c r="G1290" s="154"/>
      <c r="H1290" s="154"/>
      <c r="I1290" s="154"/>
      <c r="J1290" s="154"/>
      <c r="K1290" s="154"/>
      <c r="L1290" s="154"/>
      <c r="M1290" s="154"/>
      <c r="N1290" s="154"/>
      <c r="O1290" s="154"/>
      <c r="P1290" s="154"/>
      <c r="Q1290" s="419"/>
      <c r="R1290" s="419"/>
      <c r="S1290" s="419"/>
      <c r="T1290" s="419"/>
      <c r="U1290" s="419"/>
      <c r="V1290" s="419"/>
      <c r="W1290" s="419"/>
      <c r="X1290" s="419"/>
      <c r="Y1290" s="154"/>
      <c r="Z1290" s="154"/>
      <c r="AA1290" s="154"/>
      <c r="AB1290" s="154"/>
      <c r="AC1290" s="154"/>
      <c r="AD1290" s="154"/>
      <c r="AE1290" s="154"/>
      <c r="AF1290" s="154"/>
      <c r="AG1290" s="420"/>
      <c r="AH1290" s="420"/>
      <c r="AI1290" s="420"/>
      <c r="AJ1290" s="420"/>
      <c r="AK1290" s="420"/>
      <c r="AL1290" s="420"/>
      <c r="AM1290" s="420"/>
      <c r="AN1290" s="420"/>
      <c r="AO1290" s="420"/>
      <c r="AP1290" s="420"/>
      <c r="AQ1290" s="420"/>
      <c r="AR1290" s="420"/>
      <c r="AS1290" s="420"/>
      <c r="AT1290" s="420"/>
      <c r="AU1290" s="420"/>
      <c r="AV1290" s="420"/>
      <c r="AW1290" s="420"/>
      <c r="AX1290" s="420"/>
      <c r="AY1290" s="420"/>
      <c r="AZ1290" s="420"/>
      <c r="BA1290" s="420"/>
      <c r="BB1290" s="154"/>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c r="BY1290" s="115"/>
      <c r="BZ1290" s="115"/>
      <c r="CA1290" s="115"/>
      <c r="CB1290" s="115"/>
      <c r="CC1290" s="115"/>
      <c r="CD1290" s="115"/>
      <c r="CE1290" s="115"/>
      <c r="CF1290" s="115"/>
      <c r="CG1290" s="115"/>
      <c r="CH1290" s="115"/>
      <c r="CI1290" s="115"/>
      <c r="CJ1290" s="115"/>
      <c r="CK1290" s="115"/>
      <c r="CL1290" s="115"/>
      <c r="CM1290" s="115"/>
      <c r="CN1290" s="115"/>
      <c r="CO1290" s="115"/>
      <c r="CP1290" s="115"/>
      <c r="CQ1290" s="115"/>
      <c r="CR1290" s="115"/>
      <c r="CS1290" s="115"/>
      <c r="CT1290" s="115"/>
      <c r="CU1290" s="115"/>
      <c r="CV1290" s="115"/>
      <c r="CW1290" s="115"/>
      <c r="CX1290" s="115"/>
      <c r="CY1290" s="115"/>
      <c r="CZ1290" s="115"/>
      <c r="DA1290" s="115"/>
      <c r="DB1290" s="115"/>
      <c r="DC1290" s="115"/>
      <c r="DD1290" s="115"/>
      <c r="DE1290" s="115"/>
      <c r="DF1290" s="115"/>
      <c r="DG1290" s="115"/>
    </row>
    <row r="1291" spans="1:111" ht="4.5" customHeight="1">
      <c r="A1291" s="154"/>
      <c r="B1291" s="154"/>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c r="BY1291" s="115"/>
      <c r="BZ1291" s="115"/>
      <c r="CA1291" s="115"/>
      <c r="CB1291" s="115"/>
      <c r="CC1291" s="115"/>
      <c r="CD1291" s="115"/>
      <c r="CE1291" s="115"/>
      <c r="CF1291" s="115"/>
      <c r="CG1291" s="115"/>
      <c r="CH1291" s="115"/>
      <c r="CI1291" s="115"/>
      <c r="CJ1291" s="115"/>
      <c r="CK1291" s="115"/>
      <c r="CL1291" s="115"/>
      <c r="CM1291" s="115"/>
      <c r="CN1291" s="115"/>
      <c r="CO1291" s="115"/>
      <c r="CP1291" s="115"/>
      <c r="CQ1291" s="115"/>
      <c r="CR1291" s="115"/>
      <c r="CS1291" s="115"/>
      <c r="CT1291" s="115"/>
      <c r="CU1291" s="115"/>
      <c r="CV1291" s="115"/>
      <c r="CW1291" s="115"/>
      <c r="CX1291" s="115"/>
      <c r="CY1291" s="115"/>
      <c r="CZ1291" s="115"/>
      <c r="DA1291" s="115"/>
      <c r="DB1291" s="115"/>
      <c r="DC1291" s="115"/>
      <c r="DD1291" s="115"/>
      <c r="DE1291" s="115"/>
      <c r="DF1291" s="115"/>
      <c r="DG1291" s="115"/>
    </row>
    <row r="1292" spans="1:111" ht="9" customHeight="1">
      <c r="A1292" s="154"/>
      <c r="B1292" s="154"/>
      <c r="C1292" s="154"/>
      <c r="D1292" s="154"/>
      <c r="E1292" s="154"/>
      <c r="F1292" s="154"/>
      <c r="G1292" s="154"/>
      <c r="H1292" s="154"/>
      <c r="I1292" s="154"/>
      <c r="J1292" s="416" t="str">
        <f>IF(C1270="","","Valor Total (R$):")</f>
        <v/>
      </c>
      <c r="K1292" s="416"/>
      <c r="L1292" s="416"/>
      <c r="M1292" s="416"/>
      <c r="N1292" s="416"/>
      <c r="O1292" s="416"/>
      <c r="P1292" s="154"/>
      <c r="Q1292" s="419" t="str">
        <f>IF(Q1288="","",Q1284*Q1288)</f>
        <v/>
      </c>
      <c r="R1292" s="419"/>
      <c r="S1292" s="419"/>
      <c r="T1292" s="419"/>
      <c r="U1292" s="419"/>
      <c r="V1292" s="419"/>
      <c r="W1292" s="419"/>
      <c r="X1292" s="419"/>
      <c r="Y1292" s="154"/>
      <c r="Z1292" s="416" t="str">
        <f>IF(C1270="","",IF(J1276="52 Equipamentos e Material Permanente","Justificativa e Utilização:",""))</f>
        <v/>
      </c>
      <c r="AA1292" s="416"/>
      <c r="AB1292" s="416"/>
      <c r="AC1292" s="416"/>
      <c r="AD1292" s="416"/>
      <c r="AE1292" s="416"/>
      <c r="AF1292" s="154"/>
      <c r="AG1292" s="420"/>
      <c r="AH1292" s="420"/>
      <c r="AI1292" s="420"/>
      <c r="AJ1292" s="420"/>
      <c r="AK1292" s="420"/>
      <c r="AL1292" s="420"/>
      <c r="AM1292" s="420"/>
      <c r="AN1292" s="420"/>
      <c r="AO1292" s="420"/>
      <c r="AP1292" s="420"/>
      <c r="AQ1292" s="420"/>
      <c r="AR1292" s="420"/>
      <c r="AS1292" s="420"/>
      <c r="AT1292" s="420"/>
      <c r="AU1292" s="420"/>
      <c r="AV1292" s="420"/>
      <c r="AW1292" s="420"/>
      <c r="AX1292" s="420"/>
      <c r="AY1292" s="420"/>
      <c r="AZ1292" s="420"/>
      <c r="BA1292" s="420"/>
      <c r="BB1292" s="154"/>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c r="BY1292" s="115"/>
      <c r="BZ1292" s="115"/>
      <c r="CA1292" s="115"/>
      <c r="CB1292" s="115"/>
      <c r="CC1292" s="115"/>
      <c r="CD1292" s="115"/>
      <c r="CE1292" s="115"/>
      <c r="CF1292" s="115"/>
      <c r="CG1292" s="115"/>
      <c r="CH1292" s="115"/>
      <c r="CI1292" s="115"/>
      <c r="CJ1292" s="115"/>
      <c r="CK1292" s="115"/>
      <c r="CL1292" s="115"/>
      <c r="CM1292" s="115"/>
      <c r="CN1292" s="115"/>
      <c r="CO1292" s="115"/>
      <c r="CP1292" s="115"/>
      <c r="CQ1292" s="115"/>
      <c r="CR1292" s="115"/>
      <c r="CS1292" s="115"/>
      <c r="CT1292" s="115"/>
      <c r="CU1292" s="115"/>
      <c r="CV1292" s="115"/>
      <c r="CW1292" s="115"/>
      <c r="CX1292" s="115"/>
      <c r="CY1292" s="115"/>
      <c r="CZ1292" s="115"/>
      <c r="DA1292" s="115"/>
      <c r="DB1292" s="115"/>
      <c r="DC1292" s="115"/>
      <c r="DD1292" s="115"/>
      <c r="DE1292" s="115"/>
      <c r="DF1292" s="115"/>
      <c r="DG1292" s="115"/>
    </row>
    <row r="1293" spans="1:111" ht="9" customHeight="1">
      <c r="A1293" s="154"/>
      <c r="B1293" s="154"/>
      <c r="C1293" s="154"/>
      <c r="D1293" s="154"/>
      <c r="E1293" s="154"/>
      <c r="F1293" s="154"/>
      <c r="G1293" s="154"/>
      <c r="H1293" s="154"/>
      <c r="I1293" s="154"/>
      <c r="J1293" s="416"/>
      <c r="K1293" s="416"/>
      <c r="L1293" s="416"/>
      <c r="M1293" s="416"/>
      <c r="N1293" s="416"/>
      <c r="O1293" s="416"/>
      <c r="P1293" s="154"/>
      <c r="Q1293" s="419"/>
      <c r="R1293" s="419"/>
      <c r="S1293" s="419"/>
      <c r="T1293" s="419"/>
      <c r="U1293" s="419"/>
      <c r="V1293" s="419"/>
      <c r="W1293" s="419"/>
      <c r="X1293" s="419"/>
      <c r="Y1293" s="154"/>
      <c r="Z1293" s="416"/>
      <c r="AA1293" s="416"/>
      <c r="AB1293" s="416"/>
      <c r="AC1293" s="416"/>
      <c r="AD1293" s="416"/>
      <c r="AE1293" s="416"/>
      <c r="AF1293" s="154"/>
      <c r="AG1293" s="420"/>
      <c r="AH1293" s="420"/>
      <c r="AI1293" s="420"/>
      <c r="AJ1293" s="420"/>
      <c r="AK1293" s="420"/>
      <c r="AL1293" s="420"/>
      <c r="AM1293" s="420"/>
      <c r="AN1293" s="420"/>
      <c r="AO1293" s="420"/>
      <c r="AP1293" s="420"/>
      <c r="AQ1293" s="420"/>
      <c r="AR1293" s="420"/>
      <c r="AS1293" s="420"/>
      <c r="AT1293" s="420"/>
      <c r="AU1293" s="420"/>
      <c r="AV1293" s="420"/>
      <c r="AW1293" s="420"/>
      <c r="AX1293" s="420"/>
      <c r="AY1293" s="420"/>
      <c r="AZ1293" s="420"/>
      <c r="BA1293" s="420"/>
      <c r="BB1293" s="154"/>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c r="BY1293" s="115"/>
      <c r="BZ1293" s="115"/>
      <c r="CA1293" s="115"/>
      <c r="CB1293" s="115"/>
      <c r="CC1293" s="115"/>
      <c r="CD1293" s="115"/>
      <c r="CE1293" s="115"/>
      <c r="CF1293" s="115"/>
      <c r="CG1293" s="115"/>
      <c r="CH1293" s="115"/>
      <c r="CI1293" s="115"/>
      <c r="CJ1293" s="115"/>
      <c r="CK1293" s="115"/>
      <c r="CL1293" s="115"/>
      <c r="CM1293" s="115"/>
      <c r="CN1293" s="115"/>
      <c r="CO1293" s="115"/>
      <c r="CP1293" s="115"/>
      <c r="CQ1293" s="115"/>
      <c r="CR1293" s="115"/>
      <c r="CS1293" s="115"/>
      <c r="CT1293" s="115"/>
      <c r="CU1293" s="115"/>
      <c r="CV1293" s="115"/>
      <c r="CW1293" s="115"/>
      <c r="CX1293" s="115"/>
      <c r="CY1293" s="115"/>
      <c r="CZ1293" s="115"/>
      <c r="DA1293" s="115"/>
      <c r="DB1293" s="115"/>
      <c r="DC1293" s="115"/>
      <c r="DD1293" s="115"/>
      <c r="DE1293" s="115"/>
      <c r="DF1293" s="115"/>
      <c r="DG1293" s="115"/>
    </row>
    <row r="1294" spans="1:111" ht="9" customHeight="1">
      <c r="A1294" s="154"/>
      <c r="B1294" s="154"/>
      <c r="C1294" s="154"/>
      <c r="D1294" s="154"/>
      <c r="E1294" s="154"/>
      <c r="F1294" s="154"/>
      <c r="G1294" s="154"/>
      <c r="H1294" s="154"/>
      <c r="I1294" s="154"/>
      <c r="J1294" s="154"/>
      <c r="K1294" s="154"/>
      <c r="L1294" s="154"/>
      <c r="M1294" s="154"/>
      <c r="N1294" s="154"/>
      <c r="O1294" s="154"/>
      <c r="P1294" s="154"/>
      <c r="Q1294" s="419"/>
      <c r="R1294" s="419"/>
      <c r="S1294" s="419"/>
      <c r="T1294" s="419"/>
      <c r="U1294" s="419"/>
      <c r="V1294" s="419"/>
      <c r="W1294" s="419"/>
      <c r="X1294" s="419"/>
      <c r="Y1294" s="154"/>
      <c r="Z1294" s="154"/>
      <c r="AA1294" s="154"/>
      <c r="AB1294" s="154"/>
      <c r="AC1294" s="154"/>
      <c r="AD1294" s="154"/>
      <c r="AE1294" s="154"/>
      <c r="AF1294" s="154"/>
      <c r="AG1294" s="420"/>
      <c r="AH1294" s="420"/>
      <c r="AI1294" s="420"/>
      <c r="AJ1294" s="420"/>
      <c r="AK1294" s="420"/>
      <c r="AL1294" s="420"/>
      <c r="AM1294" s="420"/>
      <c r="AN1294" s="420"/>
      <c r="AO1294" s="420"/>
      <c r="AP1294" s="420"/>
      <c r="AQ1294" s="420"/>
      <c r="AR1294" s="420"/>
      <c r="AS1294" s="420"/>
      <c r="AT1294" s="420"/>
      <c r="AU1294" s="420"/>
      <c r="AV1294" s="420"/>
      <c r="AW1294" s="420"/>
      <c r="AX1294" s="420"/>
      <c r="AY1294" s="420"/>
      <c r="AZ1294" s="420"/>
      <c r="BA1294" s="420"/>
      <c r="BB1294" s="154"/>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c r="BY1294" s="115"/>
      <c r="BZ1294" s="115"/>
      <c r="CA1294" s="115"/>
      <c r="CB1294" s="115"/>
      <c r="CC1294" s="115"/>
      <c r="CD1294" s="115"/>
      <c r="CE1294" s="115"/>
      <c r="CF1294" s="115"/>
      <c r="CG1294" s="115"/>
      <c r="CH1294" s="115"/>
      <c r="CI1294" s="115"/>
      <c r="CJ1294" s="115"/>
      <c r="CK1294" s="115"/>
      <c r="CL1294" s="115"/>
      <c r="CM1294" s="115"/>
      <c r="CN1294" s="115"/>
      <c r="CO1294" s="115"/>
      <c r="CP1294" s="115"/>
      <c r="CQ1294" s="115"/>
      <c r="CR1294" s="115"/>
      <c r="CS1294" s="115"/>
      <c r="CT1294" s="115"/>
      <c r="CU1294" s="115"/>
      <c r="CV1294" s="115"/>
      <c r="CW1294" s="115"/>
      <c r="CX1294" s="115"/>
      <c r="CY1294" s="115"/>
      <c r="CZ1294" s="115"/>
      <c r="DA1294" s="115"/>
      <c r="DB1294" s="115"/>
      <c r="DC1294" s="115"/>
      <c r="DD1294" s="115"/>
      <c r="DE1294" s="115"/>
      <c r="DF1294" s="115"/>
      <c r="DG1294" s="115"/>
    </row>
    <row r="1295" spans="1:111" ht="9" customHeight="1">
      <c r="A1295" s="154"/>
      <c r="B1295" s="154"/>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420"/>
      <c r="AH1295" s="420"/>
      <c r="AI1295" s="420"/>
      <c r="AJ1295" s="420"/>
      <c r="AK1295" s="420"/>
      <c r="AL1295" s="420"/>
      <c r="AM1295" s="420"/>
      <c r="AN1295" s="420"/>
      <c r="AO1295" s="420"/>
      <c r="AP1295" s="420"/>
      <c r="AQ1295" s="420"/>
      <c r="AR1295" s="420"/>
      <c r="AS1295" s="420"/>
      <c r="AT1295" s="420"/>
      <c r="AU1295" s="420"/>
      <c r="AV1295" s="420"/>
      <c r="AW1295" s="420"/>
      <c r="AX1295" s="420"/>
      <c r="AY1295" s="420"/>
      <c r="AZ1295" s="420"/>
      <c r="BA1295" s="420"/>
      <c r="BB1295" s="154"/>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c r="BY1295" s="115"/>
      <c r="BZ1295" s="115"/>
      <c r="CA1295" s="115"/>
      <c r="CB1295" s="115"/>
      <c r="CC1295" s="115"/>
      <c r="CD1295" s="115"/>
      <c r="CE1295" s="115"/>
      <c r="CF1295" s="115"/>
      <c r="CG1295" s="115"/>
      <c r="CH1295" s="115"/>
      <c r="CI1295" s="115"/>
      <c r="CJ1295" s="115"/>
      <c r="CK1295" s="115"/>
      <c r="CL1295" s="115"/>
      <c r="CM1295" s="115"/>
      <c r="CN1295" s="115"/>
      <c r="CO1295" s="115"/>
      <c r="CP1295" s="115"/>
      <c r="CQ1295" s="115"/>
      <c r="CR1295" s="115"/>
      <c r="CS1295" s="115"/>
      <c r="CT1295" s="115"/>
      <c r="CU1295" s="115"/>
      <c r="CV1295" s="115"/>
      <c r="CW1295" s="115"/>
      <c r="CX1295" s="115"/>
      <c r="CY1295" s="115"/>
      <c r="CZ1295" s="115"/>
      <c r="DA1295" s="115"/>
      <c r="DB1295" s="115"/>
      <c r="DC1295" s="115"/>
      <c r="DD1295" s="115"/>
      <c r="DE1295" s="115"/>
      <c r="DF1295" s="115"/>
      <c r="DG1295" s="115"/>
    </row>
    <row r="1296" spans="1:111" ht="9" customHeight="1">
      <c r="A1296" s="154"/>
      <c r="B1296" s="154"/>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420"/>
      <c r="AH1296" s="420"/>
      <c r="AI1296" s="420"/>
      <c r="AJ1296" s="420"/>
      <c r="AK1296" s="420"/>
      <c r="AL1296" s="420"/>
      <c r="AM1296" s="420"/>
      <c r="AN1296" s="420"/>
      <c r="AO1296" s="420"/>
      <c r="AP1296" s="420"/>
      <c r="AQ1296" s="420"/>
      <c r="AR1296" s="420"/>
      <c r="AS1296" s="420"/>
      <c r="AT1296" s="420"/>
      <c r="AU1296" s="420"/>
      <c r="AV1296" s="420"/>
      <c r="AW1296" s="420"/>
      <c r="AX1296" s="420"/>
      <c r="AY1296" s="420"/>
      <c r="AZ1296" s="420"/>
      <c r="BA1296" s="420"/>
      <c r="BB1296" s="154"/>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c r="BY1296" s="115"/>
      <c r="BZ1296" s="115"/>
      <c r="CA1296" s="115"/>
      <c r="CB1296" s="115"/>
      <c r="CC1296" s="115"/>
      <c r="CD1296" s="115"/>
      <c r="CE1296" s="115"/>
      <c r="CF1296" s="115"/>
      <c r="CG1296" s="115"/>
      <c r="CH1296" s="115"/>
      <c r="CI1296" s="115"/>
      <c r="CJ1296" s="115"/>
      <c r="CK1296" s="115"/>
      <c r="CL1296" s="115"/>
      <c r="CM1296" s="115"/>
      <c r="CN1296" s="115"/>
      <c r="CO1296" s="115"/>
      <c r="CP1296" s="115"/>
      <c r="CQ1296" s="115"/>
      <c r="CR1296" s="115"/>
      <c r="CS1296" s="115"/>
      <c r="CT1296" s="115"/>
      <c r="CU1296" s="115"/>
      <c r="CV1296" s="115"/>
      <c r="CW1296" s="115"/>
      <c r="CX1296" s="115"/>
      <c r="CY1296" s="115"/>
      <c r="CZ1296" s="115"/>
      <c r="DA1296" s="115"/>
      <c r="DB1296" s="115"/>
      <c r="DC1296" s="115"/>
      <c r="DD1296" s="115"/>
      <c r="DE1296" s="115"/>
      <c r="DF1296" s="115"/>
      <c r="DG1296" s="115"/>
    </row>
    <row r="1297" spans="1:111" ht="9" customHeight="1">
      <c r="A1297" s="154"/>
      <c r="B1297" s="154"/>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420"/>
      <c r="AH1297" s="420"/>
      <c r="AI1297" s="420"/>
      <c r="AJ1297" s="420"/>
      <c r="AK1297" s="420"/>
      <c r="AL1297" s="420"/>
      <c r="AM1297" s="420"/>
      <c r="AN1297" s="420"/>
      <c r="AO1297" s="420"/>
      <c r="AP1297" s="420"/>
      <c r="AQ1297" s="420"/>
      <c r="AR1297" s="420"/>
      <c r="AS1297" s="420"/>
      <c r="AT1297" s="420"/>
      <c r="AU1297" s="420"/>
      <c r="AV1297" s="420"/>
      <c r="AW1297" s="420"/>
      <c r="AX1297" s="420"/>
      <c r="AY1297" s="420"/>
      <c r="AZ1297" s="420"/>
      <c r="BA1297" s="420"/>
      <c r="BB1297" s="154"/>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c r="BY1297" s="115"/>
      <c r="BZ1297" s="115"/>
      <c r="CA1297" s="115"/>
      <c r="CB1297" s="115"/>
      <c r="CC1297" s="115"/>
      <c r="CD1297" s="115"/>
      <c r="CE1297" s="115"/>
      <c r="CF1297" s="115"/>
      <c r="CG1297" s="115"/>
      <c r="CH1297" s="115"/>
      <c r="CI1297" s="115"/>
      <c r="CJ1297" s="115"/>
      <c r="CK1297" s="115"/>
      <c r="CL1297" s="115"/>
      <c r="CM1297" s="115"/>
      <c r="CN1297" s="115"/>
      <c r="CO1297" s="115"/>
      <c r="CP1297" s="115"/>
      <c r="CQ1297" s="115"/>
      <c r="CR1297" s="115"/>
      <c r="CS1297" s="115"/>
      <c r="CT1297" s="115"/>
      <c r="CU1297" s="115"/>
      <c r="CV1297" s="115"/>
      <c r="CW1297" s="115"/>
      <c r="CX1297" s="115"/>
      <c r="CY1297" s="115"/>
      <c r="CZ1297" s="115"/>
      <c r="DA1297" s="115"/>
      <c r="DB1297" s="115"/>
      <c r="DC1297" s="115"/>
      <c r="DD1297" s="115"/>
      <c r="DE1297" s="115"/>
      <c r="DF1297" s="115"/>
      <c r="DG1297" s="115"/>
    </row>
    <row r="1298" spans="1:111" ht="15" customHeight="1">
      <c r="B1298" s="55"/>
      <c r="C1298" s="55"/>
      <c r="D1298" s="56"/>
      <c r="E1298" s="56"/>
      <c r="F1298" s="56"/>
      <c r="G1298" s="56"/>
      <c r="H1298" s="56"/>
      <c r="I1298" s="56"/>
      <c r="J1298" s="56"/>
      <c r="K1298" s="56"/>
      <c r="L1298" s="56"/>
      <c r="M1298" s="56"/>
      <c r="N1298" s="56"/>
      <c r="O1298" s="56"/>
      <c r="P1298" s="56"/>
      <c r="Q1298" s="56"/>
      <c r="R1298" s="56"/>
      <c r="S1298" s="56"/>
      <c r="T1298" s="56"/>
      <c r="U1298" s="56"/>
      <c r="V1298" s="56"/>
      <c r="W1298" s="56"/>
      <c r="X1298" s="56"/>
      <c r="Y1298" s="56"/>
      <c r="Z1298" s="56"/>
      <c r="AA1298" s="56"/>
      <c r="AB1298" s="56"/>
      <c r="AC1298" s="56"/>
      <c r="AD1298" s="56"/>
      <c r="AE1298" s="56"/>
      <c r="AF1298" s="56"/>
      <c r="AG1298" s="56"/>
      <c r="AH1298" s="56"/>
      <c r="AI1298" s="56"/>
      <c r="AJ1298" s="56"/>
      <c r="AK1298" s="141"/>
      <c r="AL1298" s="141"/>
      <c r="AM1298" s="141"/>
      <c r="AN1298" s="141"/>
      <c r="AO1298" s="140"/>
      <c r="AP1298" s="140"/>
      <c r="AQ1298" s="140"/>
      <c r="AR1298" s="140"/>
      <c r="AS1298" s="142"/>
      <c r="AT1298" s="142"/>
      <c r="AU1298" s="142"/>
      <c r="AV1298" s="142"/>
      <c r="AW1298" s="140"/>
      <c r="AX1298" s="140"/>
      <c r="AY1298" s="140"/>
      <c r="AZ1298" s="140"/>
      <c r="BA1298" s="140"/>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c r="BY1298" s="115"/>
      <c r="BZ1298" s="115"/>
      <c r="CA1298" s="115"/>
      <c r="CB1298" s="115"/>
      <c r="CC1298" s="115"/>
      <c r="CD1298" s="115"/>
      <c r="CE1298" s="115"/>
      <c r="CF1298" s="115"/>
      <c r="CG1298" s="115"/>
      <c r="CH1298" s="115"/>
      <c r="CI1298" s="115"/>
      <c r="CJ1298" s="115"/>
      <c r="CK1298" s="115"/>
      <c r="CL1298" s="115"/>
      <c r="CM1298" s="115"/>
      <c r="CN1298" s="115"/>
      <c r="CO1298" s="115"/>
      <c r="CP1298" s="115"/>
      <c r="CQ1298" s="115"/>
      <c r="CR1298" s="115"/>
      <c r="CS1298" s="115"/>
      <c r="CT1298" s="115"/>
      <c r="CU1298" s="115"/>
      <c r="CV1298" s="115"/>
      <c r="CW1298" s="115"/>
      <c r="CX1298" s="115"/>
      <c r="CY1298" s="115"/>
      <c r="CZ1298" s="115"/>
      <c r="DA1298" s="115"/>
      <c r="DB1298" s="115"/>
      <c r="DC1298" s="115"/>
      <c r="DD1298" s="115"/>
      <c r="DE1298" s="115"/>
      <c r="DF1298" s="115"/>
      <c r="DG1298" s="115"/>
    </row>
    <row r="1299" spans="1:111" ht="15" customHeight="1">
      <c r="B1299" s="55"/>
      <c r="C1299" s="422" t="str">
        <f>IF($AA$165&gt;=40,"DESPESA 40","")</f>
        <v/>
      </c>
      <c r="D1299" s="422"/>
      <c r="E1299" s="422"/>
      <c r="F1299" s="422"/>
      <c r="G1299" s="422"/>
      <c r="H1299" s="422"/>
      <c r="I1299" s="56"/>
      <c r="J1299" s="56"/>
      <c r="K1299" s="56"/>
      <c r="L1299" s="56"/>
      <c r="M1299" s="56"/>
      <c r="N1299" s="56"/>
      <c r="O1299" s="56"/>
      <c r="P1299" s="56"/>
      <c r="Q1299" s="56"/>
      <c r="R1299" s="56"/>
      <c r="S1299" s="56"/>
      <c r="T1299" s="56"/>
      <c r="U1299" s="56"/>
      <c r="V1299" s="56"/>
      <c r="W1299" s="56"/>
      <c r="X1299" s="56"/>
      <c r="Y1299" s="56"/>
      <c r="Z1299" s="56"/>
      <c r="AA1299" s="56"/>
      <c r="AB1299" s="56"/>
      <c r="AC1299" s="56"/>
      <c r="AD1299" s="56"/>
      <c r="AE1299" s="56"/>
      <c r="AF1299" s="56"/>
      <c r="AG1299" s="56"/>
      <c r="AH1299" s="56"/>
      <c r="AI1299" s="56"/>
      <c r="AJ1299" s="56"/>
      <c r="AK1299" s="141"/>
      <c r="AL1299" s="141"/>
      <c r="AM1299" s="141"/>
      <c r="AN1299" s="141"/>
      <c r="AO1299" s="140"/>
      <c r="AP1299" s="140"/>
      <c r="AQ1299" s="140"/>
      <c r="AR1299" s="140"/>
      <c r="AS1299" s="142"/>
      <c r="AT1299" s="142"/>
      <c r="AU1299" s="142"/>
      <c r="AV1299" s="142"/>
      <c r="AW1299" s="140"/>
      <c r="AX1299" s="140"/>
      <c r="AY1299" s="140"/>
      <c r="AZ1299" s="140"/>
      <c r="BA1299" s="140"/>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c r="BY1299" s="115"/>
      <c r="BZ1299" s="115"/>
      <c r="CA1299" s="115"/>
      <c r="CB1299" s="115"/>
      <c r="CC1299" s="115"/>
      <c r="CD1299" s="115"/>
      <c r="CE1299" s="115"/>
      <c r="CF1299" s="115"/>
      <c r="CG1299" s="115"/>
      <c r="CH1299" s="115"/>
      <c r="CI1299" s="115"/>
      <c r="CJ1299" s="115"/>
      <c r="CK1299" s="115"/>
      <c r="CL1299" s="115"/>
      <c r="CM1299" s="115"/>
      <c r="CN1299" s="115"/>
      <c r="CO1299" s="115"/>
      <c r="CP1299" s="115"/>
      <c r="CQ1299" s="115"/>
      <c r="CR1299" s="115"/>
      <c r="CS1299" s="115"/>
      <c r="CT1299" s="115"/>
      <c r="CU1299" s="115"/>
      <c r="CV1299" s="115"/>
      <c r="CW1299" s="115"/>
      <c r="CX1299" s="115"/>
      <c r="CY1299" s="115"/>
      <c r="CZ1299" s="115"/>
      <c r="DA1299" s="115"/>
      <c r="DB1299" s="115"/>
      <c r="DC1299" s="115"/>
      <c r="DD1299" s="115"/>
      <c r="DE1299" s="115"/>
      <c r="DF1299" s="115"/>
      <c r="DG1299" s="115"/>
    </row>
    <row r="1300" spans="1:111" ht="4.5" customHeight="1">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c r="BY1300" s="115"/>
      <c r="BZ1300" s="115"/>
      <c r="CA1300" s="115"/>
      <c r="CB1300" s="115"/>
      <c r="CC1300" s="115"/>
      <c r="CD1300" s="115"/>
      <c r="CE1300" s="115"/>
      <c r="CF1300" s="115"/>
      <c r="CG1300" s="115"/>
      <c r="CH1300" s="115"/>
      <c r="CI1300" s="115"/>
      <c r="CJ1300" s="115"/>
      <c r="CK1300" s="115"/>
      <c r="CL1300" s="115"/>
      <c r="CM1300" s="115"/>
      <c r="CN1300" s="115"/>
      <c r="CO1300" s="115"/>
      <c r="CP1300" s="115"/>
      <c r="CQ1300" s="115"/>
      <c r="CR1300" s="115"/>
      <c r="CS1300" s="115"/>
      <c r="CT1300" s="115"/>
      <c r="CU1300" s="115"/>
      <c r="CV1300" s="115"/>
      <c r="CW1300" s="115"/>
      <c r="CX1300" s="115"/>
      <c r="CY1300" s="115"/>
      <c r="CZ1300" s="115"/>
      <c r="DA1300" s="115"/>
      <c r="DB1300" s="115"/>
      <c r="DC1300" s="115"/>
      <c r="DD1300" s="115"/>
      <c r="DE1300" s="115"/>
      <c r="DF1300" s="115"/>
      <c r="DG1300" s="115"/>
    </row>
    <row r="1301" spans="1:111" ht="9" customHeight="1">
      <c r="C1301" s="416" t="str">
        <f>IF(C1299="","","Descrição da Despesa:")</f>
        <v/>
      </c>
      <c r="D1301" s="416"/>
      <c r="E1301" s="416"/>
      <c r="F1301" s="416"/>
      <c r="G1301" s="416"/>
      <c r="H1301" s="416"/>
      <c r="I1301" s="60"/>
      <c r="J1301" s="421"/>
      <c r="K1301" s="421"/>
      <c r="L1301" s="421"/>
      <c r="M1301" s="421"/>
      <c r="N1301" s="421"/>
      <c r="O1301" s="421"/>
      <c r="P1301" s="421"/>
      <c r="Q1301" s="421"/>
      <c r="R1301" s="421"/>
      <c r="S1301" s="421"/>
      <c r="T1301" s="421"/>
      <c r="U1301" s="421"/>
      <c r="V1301" s="421"/>
      <c r="W1301" s="421"/>
      <c r="X1301" s="421"/>
      <c r="Y1301" s="421"/>
      <c r="Z1301" s="421"/>
      <c r="AA1301" s="421"/>
      <c r="AB1301" s="421"/>
      <c r="AC1301" s="421"/>
      <c r="AD1301" s="421"/>
      <c r="AE1301" s="421"/>
      <c r="AF1301" s="421"/>
      <c r="AG1301" s="421"/>
      <c r="AH1301" s="421"/>
      <c r="AI1301" s="421"/>
      <c r="AJ1301" s="421"/>
      <c r="AK1301" s="421"/>
      <c r="AL1301" s="421"/>
      <c r="AM1301" s="421"/>
      <c r="AN1301" s="421"/>
      <c r="AO1301" s="421"/>
      <c r="AP1301" s="421"/>
      <c r="AQ1301" s="421"/>
      <c r="AR1301" s="421"/>
      <c r="AS1301" s="421"/>
      <c r="AT1301" s="421"/>
      <c r="AU1301" s="421"/>
      <c r="AV1301" s="421"/>
      <c r="AW1301" s="421"/>
      <c r="AX1301" s="421"/>
      <c r="AY1301" s="421"/>
      <c r="AZ1301" s="421"/>
      <c r="BA1301" s="421"/>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c r="BY1301" s="115"/>
      <c r="BZ1301" s="115"/>
      <c r="CA1301" s="115"/>
      <c r="CB1301" s="115"/>
      <c r="CC1301" s="115"/>
      <c r="CD1301" s="115"/>
      <c r="CE1301" s="115"/>
      <c r="CF1301" s="115"/>
      <c r="CG1301" s="115"/>
      <c r="CH1301" s="115"/>
      <c r="CI1301" s="115"/>
      <c r="CJ1301" s="115"/>
      <c r="CK1301" s="115"/>
      <c r="CL1301" s="115"/>
      <c r="CM1301" s="115"/>
      <c r="CN1301" s="115"/>
      <c r="CO1301" s="115"/>
      <c r="CP1301" s="115"/>
      <c r="CQ1301" s="115"/>
      <c r="CR1301" s="115"/>
      <c r="CS1301" s="115"/>
      <c r="CT1301" s="115"/>
      <c r="CU1301" s="115"/>
      <c r="CV1301" s="115"/>
      <c r="CW1301" s="115"/>
      <c r="CX1301" s="115"/>
      <c r="CY1301" s="115"/>
      <c r="CZ1301" s="115"/>
      <c r="DA1301" s="115"/>
      <c r="DB1301" s="115"/>
      <c r="DC1301" s="115"/>
      <c r="DD1301" s="115"/>
      <c r="DE1301" s="115"/>
      <c r="DF1301" s="115"/>
      <c r="DG1301" s="115"/>
    </row>
    <row r="1302" spans="1:111" ht="9" customHeight="1">
      <c r="C1302" s="416"/>
      <c r="D1302" s="416"/>
      <c r="E1302" s="416"/>
      <c r="F1302" s="416"/>
      <c r="G1302" s="416"/>
      <c r="H1302" s="416"/>
      <c r="I1302" s="60"/>
      <c r="J1302" s="421"/>
      <c r="K1302" s="421"/>
      <c r="L1302" s="421"/>
      <c r="M1302" s="421"/>
      <c r="N1302" s="421"/>
      <c r="O1302" s="421"/>
      <c r="P1302" s="421"/>
      <c r="Q1302" s="421"/>
      <c r="R1302" s="421"/>
      <c r="S1302" s="421"/>
      <c r="T1302" s="421"/>
      <c r="U1302" s="421"/>
      <c r="V1302" s="421"/>
      <c r="W1302" s="421"/>
      <c r="X1302" s="421"/>
      <c r="Y1302" s="421"/>
      <c r="Z1302" s="421"/>
      <c r="AA1302" s="421"/>
      <c r="AB1302" s="421"/>
      <c r="AC1302" s="421"/>
      <c r="AD1302" s="421"/>
      <c r="AE1302" s="421"/>
      <c r="AF1302" s="421"/>
      <c r="AG1302" s="421"/>
      <c r="AH1302" s="421"/>
      <c r="AI1302" s="421"/>
      <c r="AJ1302" s="421"/>
      <c r="AK1302" s="421"/>
      <c r="AL1302" s="421"/>
      <c r="AM1302" s="421"/>
      <c r="AN1302" s="421"/>
      <c r="AO1302" s="421"/>
      <c r="AP1302" s="421"/>
      <c r="AQ1302" s="421"/>
      <c r="AR1302" s="421"/>
      <c r="AS1302" s="421"/>
      <c r="AT1302" s="421"/>
      <c r="AU1302" s="421"/>
      <c r="AV1302" s="421"/>
      <c r="AW1302" s="421"/>
      <c r="AX1302" s="421"/>
      <c r="AY1302" s="421"/>
      <c r="AZ1302" s="421"/>
      <c r="BA1302" s="421"/>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c r="BY1302" s="115"/>
      <c r="BZ1302" s="115"/>
      <c r="CA1302" s="115"/>
      <c r="CB1302" s="115"/>
      <c r="CC1302" s="115"/>
      <c r="CD1302" s="115"/>
      <c r="CE1302" s="115"/>
      <c r="CF1302" s="115"/>
      <c r="CG1302" s="115"/>
      <c r="CH1302" s="115"/>
      <c r="CI1302" s="115"/>
      <c r="CJ1302" s="115"/>
      <c r="CK1302" s="115"/>
      <c r="CL1302" s="115"/>
      <c r="CM1302" s="115"/>
      <c r="CN1302" s="115"/>
      <c r="CO1302" s="115"/>
      <c r="CP1302" s="115"/>
      <c r="CQ1302" s="115"/>
      <c r="CR1302" s="115"/>
      <c r="CS1302" s="115"/>
      <c r="CT1302" s="115"/>
      <c r="CU1302" s="115"/>
      <c r="CV1302" s="115"/>
      <c r="CW1302" s="115"/>
      <c r="CX1302" s="115"/>
      <c r="CY1302" s="115"/>
      <c r="CZ1302" s="115"/>
      <c r="DA1302" s="115"/>
      <c r="DB1302" s="115"/>
      <c r="DC1302" s="115"/>
      <c r="DD1302" s="115"/>
      <c r="DE1302" s="115"/>
      <c r="DF1302" s="115"/>
      <c r="DG1302" s="115"/>
    </row>
    <row r="1303" spans="1:111" ht="9" customHeight="1">
      <c r="C1303" s="416"/>
      <c r="D1303" s="416"/>
      <c r="E1303" s="416"/>
      <c r="F1303" s="416"/>
      <c r="G1303" s="416"/>
      <c r="H1303" s="416"/>
      <c r="I1303" s="60"/>
      <c r="J1303" s="421"/>
      <c r="K1303" s="421"/>
      <c r="L1303" s="421"/>
      <c r="M1303" s="421"/>
      <c r="N1303" s="421"/>
      <c r="O1303" s="421"/>
      <c r="P1303" s="421"/>
      <c r="Q1303" s="421"/>
      <c r="R1303" s="421"/>
      <c r="S1303" s="421"/>
      <c r="T1303" s="421"/>
      <c r="U1303" s="421"/>
      <c r="V1303" s="421"/>
      <c r="W1303" s="421"/>
      <c r="X1303" s="421"/>
      <c r="Y1303" s="421"/>
      <c r="Z1303" s="421"/>
      <c r="AA1303" s="421"/>
      <c r="AB1303" s="421"/>
      <c r="AC1303" s="421"/>
      <c r="AD1303" s="421"/>
      <c r="AE1303" s="421"/>
      <c r="AF1303" s="421"/>
      <c r="AG1303" s="421"/>
      <c r="AH1303" s="421"/>
      <c r="AI1303" s="421"/>
      <c r="AJ1303" s="421"/>
      <c r="AK1303" s="421"/>
      <c r="AL1303" s="421"/>
      <c r="AM1303" s="421"/>
      <c r="AN1303" s="421"/>
      <c r="AO1303" s="421"/>
      <c r="AP1303" s="421"/>
      <c r="AQ1303" s="421"/>
      <c r="AR1303" s="421"/>
      <c r="AS1303" s="421"/>
      <c r="AT1303" s="421"/>
      <c r="AU1303" s="421"/>
      <c r="AV1303" s="421"/>
      <c r="AW1303" s="421"/>
      <c r="AX1303" s="421"/>
      <c r="AY1303" s="421"/>
      <c r="AZ1303" s="421"/>
      <c r="BA1303" s="421"/>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c r="BY1303" s="115"/>
      <c r="BZ1303" s="115"/>
      <c r="CA1303" s="115"/>
      <c r="CB1303" s="115"/>
      <c r="CC1303" s="115"/>
      <c r="CD1303" s="115"/>
      <c r="CE1303" s="115"/>
      <c r="CF1303" s="115"/>
      <c r="CG1303" s="115"/>
      <c r="CH1303" s="115"/>
      <c r="CI1303" s="115"/>
      <c r="CJ1303" s="115"/>
      <c r="CK1303" s="115"/>
      <c r="CL1303" s="115"/>
      <c r="CM1303" s="115"/>
      <c r="CN1303" s="115"/>
      <c r="CO1303" s="115"/>
      <c r="CP1303" s="115"/>
      <c r="CQ1303" s="115"/>
      <c r="CR1303" s="115"/>
      <c r="CS1303" s="115"/>
      <c r="CT1303" s="115"/>
      <c r="CU1303" s="115"/>
      <c r="CV1303" s="115"/>
      <c r="CW1303" s="115"/>
      <c r="CX1303" s="115"/>
      <c r="CY1303" s="115"/>
      <c r="CZ1303" s="115"/>
      <c r="DA1303" s="115"/>
      <c r="DB1303" s="115"/>
      <c r="DC1303" s="115"/>
      <c r="DD1303" s="115"/>
      <c r="DE1303" s="115"/>
      <c r="DF1303" s="115"/>
      <c r="DG1303" s="115"/>
    </row>
    <row r="1304" spans="1:111" ht="4.5" customHeight="1">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c r="BY1304" s="115"/>
      <c r="BZ1304" s="115"/>
      <c r="CA1304" s="115"/>
      <c r="CB1304" s="115"/>
      <c r="CC1304" s="115"/>
      <c r="CD1304" s="115"/>
      <c r="CE1304" s="115"/>
      <c r="CF1304" s="115"/>
      <c r="CG1304" s="115"/>
      <c r="CH1304" s="115"/>
      <c r="CI1304" s="115"/>
      <c r="CJ1304" s="115"/>
      <c r="CK1304" s="115"/>
      <c r="CL1304" s="115"/>
      <c r="CM1304" s="115"/>
      <c r="CN1304" s="115"/>
      <c r="CO1304" s="115"/>
      <c r="CP1304" s="115"/>
      <c r="CQ1304" s="115"/>
      <c r="CR1304" s="115"/>
      <c r="CS1304" s="115"/>
      <c r="CT1304" s="115"/>
      <c r="CU1304" s="115"/>
      <c r="CV1304" s="115"/>
      <c r="CW1304" s="115"/>
      <c r="CX1304" s="115"/>
      <c r="CY1304" s="115"/>
      <c r="CZ1304" s="115"/>
      <c r="DA1304" s="115"/>
      <c r="DB1304" s="115"/>
      <c r="DC1304" s="115"/>
      <c r="DD1304" s="115"/>
      <c r="DE1304" s="115"/>
      <c r="DF1304" s="115"/>
      <c r="DG1304" s="115"/>
    </row>
    <row r="1305" spans="1:111" ht="9" customHeight="1">
      <c r="C1305" s="416" t="str">
        <f>IF(C1299="","","Elemento de Despesa:")</f>
        <v/>
      </c>
      <c r="D1305" s="416"/>
      <c r="E1305" s="416"/>
      <c r="F1305" s="416"/>
      <c r="G1305" s="416"/>
      <c r="H1305" s="416"/>
      <c r="J1305" s="421"/>
      <c r="K1305" s="421"/>
      <c r="L1305" s="421"/>
      <c r="M1305" s="421"/>
      <c r="N1305" s="421"/>
      <c r="O1305" s="421"/>
      <c r="P1305" s="421"/>
      <c r="Q1305" s="421"/>
      <c r="R1305" s="421"/>
      <c r="S1305" s="421"/>
      <c r="T1305" s="421"/>
      <c r="U1305" s="421"/>
      <c r="V1305" s="421"/>
      <c r="W1305" s="421"/>
      <c r="X1305" s="421"/>
      <c r="Y1305" s="421"/>
      <c r="Z1305" s="421"/>
      <c r="AA1305" s="421"/>
      <c r="AB1305" s="421"/>
      <c r="AC1305" s="421"/>
      <c r="AD1305" s="421"/>
      <c r="AE1305" s="421"/>
      <c r="AF1305" s="421"/>
      <c r="AG1305" s="421"/>
      <c r="AH1305" s="421"/>
      <c r="AI1305" s="421"/>
      <c r="AJ1305" s="421"/>
      <c r="AK1305" s="421"/>
      <c r="AL1305" s="421"/>
      <c r="AM1305" s="421"/>
      <c r="AN1305" s="421"/>
      <c r="AO1305" s="421"/>
      <c r="AP1305" s="421"/>
      <c r="AQ1305" s="421"/>
      <c r="AR1305" s="421"/>
      <c r="AS1305" s="421"/>
      <c r="AT1305" s="421"/>
      <c r="AU1305" s="421"/>
      <c r="AV1305" s="421"/>
      <c r="AW1305" s="421"/>
      <c r="AX1305" s="421"/>
      <c r="AY1305" s="421"/>
      <c r="AZ1305" s="421"/>
      <c r="BA1305" s="421"/>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c r="BY1305" s="115"/>
      <c r="BZ1305" s="115"/>
      <c r="CA1305" s="115"/>
      <c r="CB1305" s="115"/>
      <c r="CC1305" s="115"/>
      <c r="CD1305" s="115"/>
      <c r="CE1305" s="115"/>
      <c r="CF1305" s="115"/>
      <c r="CG1305" s="115"/>
      <c r="CH1305" s="115"/>
      <c r="CI1305" s="115"/>
      <c r="CJ1305" s="115"/>
      <c r="CK1305" s="115"/>
      <c r="CL1305" s="115"/>
      <c r="CM1305" s="115"/>
      <c r="CN1305" s="115"/>
      <c r="CO1305" s="115"/>
      <c r="CP1305" s="115"/>
      <c r="CQ1305" s="115"/>
      <c r="CR1305" s="115"/>
      <c r="CS1305" s="115"/>
      <c r="CT1305" s="115"/>
      <c r="CU1305" s="115"/>
      <c r="CV1305" s="115"/>
      <c r="CW1305" s="115"/>
      <c r="CX1305" s="115"/>
      <c r="CY1305" s="115"/>
      <c r="CZ1305" s="115"/>
      <c r="DA1305" s="115"/>
      <c r="DB1305" s="115"/>
      <c r="DC1305" s="115"/>
      <c r="DD1305" s="115"/>
      <c r="DE1305" s="115"/>
      <c r="DF1305" s="115"/>
      <c r="DG1305" s="115"/>
    </row>
    <row r="1306" spans="1:111" ht="9" customHeight="1">
      <c r="C1306" s="416"/>
      <c r="D1306" s="416"/>
      <c r="E1306" s="416"/>
      <c r="F1306" s="416"/>
      <c r="G1306" s="416"/>
      <c r="H1306" s="416"/>
      <c r="J1306" s="421"/>
      <c r="K1306" s="421"/>
      <c r="L1306" s="421"/>
      <c r="M1306" s="421"/>
      <c r="N1306" s="421"/>
      <c r="O1306" s="421"/>
      <c r="P1306" s="421"/>
      <c r="Q1306" s="421"/>
      <c r="R1306" s="421"/>
      <c r="S1306" s="421"/>
      <c r="T1306" s="421"/>
      <c r="U1306" s="421"/>
      <c r="V1306" s="421"/>
      <c r="W1306" s="421"/>
      <c r="X1306" s="421"/>
      <c r="Y1306" s="421"/>
      <c r="Z1306" s="421"/>
      <c r="AA1306" s="421"/>
      <c r="AB1306" s="421"/>
      <c r="AC1306" s="421"/>
      <c r="AD1306" s="421"/>
      <c r="AE1306" s="421"/>
      <c r="AF1306" s="421"/>
      <c r="AG1306" s="421"/>
      <c r="AH1306" s="421"/>
      <c r="AI1306" s="421"/>
      <c r="AJ1306" s="421"/>
      <c r="AK1306" s="421"/>
      <c r="AL1306" s="421"/>
      <c r="AM1306" s="421"/>
      <c r="AN1306" s="421"/>
      <c r="AO1306" s="421"/>
      <c r="AP1306" s="421"/>
      <c r="AQ1306" s="421"/>
      <c r="AR1306" s="421"/>
      <c r="AS1306" s="421"/>
      <c r="AT1306" s="421"/>
      <c r="AU1306" s="421"/>
      <c r="AV1306" s="421"/>
      <c r="AW1306" s="421"/>
      <c r="AX1306" s="421"/>
      <c r="AY1306" s="421"/>
      <c r="AZ1306" s="421"/>
      <c r="BA1306" s="421"/>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c r="BY1306" s="115"/>
      <c r="BZ1306" s="115"/>
      <c r="CA1306" s="115"/>
      <c r="CB1306" s="115"/>
      <c r="CC1306" s="115"/>
      <c r="CD1306" s="115"/>
      <c r="CE1306" s="115"/>
      <c r="CF1306" s="115"/>
      <c r="CG1306" s="115"/>
      <c r="CH1306" s="115"/>
      <c r="CI1306" s="115"/>
      <c r="CJ1306" s="115"/>
      <c r="CK1306" s="115"/>
      <c r="CL1306" s="115"/>
      <c r="CM1306" s="115"/>
      <c r="CN1306" s="115"/>
      <c r="CO1306" s="115"/>
      <c r="CP1306" s="115"/>
      <c r="CQ1306" s="115"/>
      <c r="CR1306" s="115"/>
      <c r="CS1306" s="115"/>
      <c r="CT1306" s="115"/>
      <c r="CU1306" s="115"/>
      <c r="CV1306" s="115"/>
      <c r="CW1306" s="115"/>
      <c r="CX1306" s="115"/>
      <c r="CY1306" s="115"/>
      <c r="CZ1306" s="115"/>
      <c r="DA1306" s="115"/>
      <c r="DB1306" s="115"/>
      <c r="DC1306" s="115"/>
      <c r="DD1306" s="115"/>
      <c r="DE1306" s="115"/>
      <c r="DF1306" s="115"/>
      <c r="DG1306" s="115"/>
    </row>
    <row r="1307" spans="1:111" ht="9" customHeight="1">
      <c r="C1307" s="416"/>
      <c r="D1307" s="416"/>
      <c r="E1307" s="416"/>
      <c r="F1307" s="416"/>
      <c r="G1307" s="416"/>
      <c r="H1307" s="416"/>
      <c r="J1307" s="421"/>
      <c r="K1307" s="421"/>
      <c r="L1307" s="421"/>
      <c r="M1307" s="421"/>
      <c r="N1307" s="421"/>
      <c r="O1307" s="421"/>
      <c r="P1307" s="421"/>
      <c r="Q1307" s="421"/>
      <c r="R1307" s="421"/>
      <c r="S1307" s="421"/>
      <c r="T1307" s="421"/>
      <c r="U1307" s="421"/>
      <c r="V1307" s="421"/>
      <c r="W1307" s="421"/>
      <c r="X1307" s="421"/>
      <c r="Y1307" s="421"/>
      <c r="Z1307" s="421"/>
      <c r="AA1307" s="421"/>
      <c r="AB1307" s="421"/>
      <c r="AC1307" s="421"/>
      <c r="AD1307" s="421"/>
      <c r="AE1307" s="421"/>
      <c r="AF1307" s="421"/>
      <c r="AG1307" s="421"/>
      <c r="AH1307" s="421"/>
      <c r="AI1307" s="421"/>
      <c r="AJ1307" s="421"/>
      <c r="AK1307" s="421"/>
      <c r="AL1307" s="421"/>
      <c r="AM1307" s="421"/>
      <c r="AN1307" s="421"/>
      <c r="AO1307" s="421"/>
      <c r="AP1307" s="421"/>
      <c r="AQ1307" s="421"/>
      <c r="AR1307" s="421"/>
      <c r="AS1307" s="421"/>
      <c r="AT1307" s="421"/>
      <c r="AU1307" s="421"/>
      <c r="AV1307" s="421"/>
      <c r="AW1307" s="421"/>
      <c r="AX1307" s="421"/>
      <c r="AY1307" s="421"/>
      <c r="AZ1307" s="421"/>
      <c r="BA1307" s="421"/>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c r="BY1307" s="115"/>
      <c r="BZ1307" s="115"/>
      <c r="CA1307" s="115"/>
      <c r="CB1307" s="115"/>
      <c r="CC1307" s="115"/>
      <c r="CD1307" s="115"/>
      <c r="CE1307" s="115"/>
      <c r="CF1307" s="115"/>
      <c r="CG1307" s="115"/>
      <c r="CH1307" s="115"/>
      <c r="CI1307" s="115"/>
      <c r="CJ1307" s="115"/>
      <c r="CK1307" s="115"/>
      <c r="CL1307" s="115"/>
      <c r="CM1307" s="115"/>
      <c r="CN1307" s="115"/>
      <c r="CO1307" s="115"/>
      <c r="CP1307" s="115"/>
      <c r="CQ1307" s="115"/>
      <c r="CR1307" s="115"/>
      <c r="CS1307" s="115"/>
      <c r="CT1307" s="115"/>
      <c r="CU1307" s="115"/>
      <c r="CV1307" s="115"/>
      <c r="CW1307" s="115"/>
      <c r="CX1307" s="115"/>
      <c r="CY1307" s="115"/>
      <c r="CZ1307" s="115"/>
      <c r="DA1307" s="115"/>
      <c r="DB1307" s="115"/>
      <c r="DC1307" s="115"/>
      <c r="DD1307" s="115"/>
      <c r="DE1307" s="115"/>
      <c r="DF1307" s="115"/>
      <c r="DG1307" s="115"/>
    </row>
    <row r="1308" spans="1:111" ht="4.5" customHeight="1">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c r="BY1308" s="115"/>
      <c r="BZ1308" s="115"/>
      <c r="CA1308" s="115"/>
      <c r="CB1308" s="115"/>
      <c r="CC1308" s="115"/>
      <c r="CD1308" s="115"/>
      <c r="CE1308" s="115"/>
      <c r="CF1308" s="115"/>
      <c r="CG1308" s="115"/>
      <c r="CH1308" s="115"/>
      <c r="CI1308" s="115"/>
      <c r="CJ1308" s="115"/>
      <c r="CK1308" s="115"/>
      <c r="CL1308" s="115"/>
      <c r="CM1308" s="115"/>
      <c r="CN1308" s="115"/>
      <c r="CO1308" s="115"/>
      <c r="CP1308" s="115"/>
      <c r="CQ1308" s="115"/>
      <c r="CR1308" s="115"/>
      <c r="CS1308" s="115"/>
      <c r="CT1308" s="115"/>
      <c r="CU1308" s="115"/>
      <c r="CV1308" s="115"/>
      <c r="CW1308" s="115"/>
      <c r="CX1308" s="115"/>
      <c r="CY1308" s="115"/>
      <c r="CZ1308" s="115"/>
      <c r="DA1308" s="115"/>
      <c r="DB1308" s="115"/>
      <c r="DC1308" s="115"/>
      <c r="DD1308" s="115"/>
      <c r="DE1308" s="115"/>
      <c r="DF1308" s="115"/>
      <c r="DG1308" s="115"/>
    </row>
    <row r="1309" spans="1:111" ht="9" customHeight="1">
      <c r="A1309" s="61" t="str">
        <f>CONCATENATE(Q1309,AC1309)</f>
        <v/>
      </c>
      <c r="J1309" s="416" t="str">
        <f>IF(C1299="","","Meta Vinculada:")</f>
        <v/>
      </c>
      <c r="K1309" s="416"/>
      <c r="L1309" s="416"/>
      <c r="M1309" s="416"/>
      <c r="N1309" s="416"/>
      <c r="O1309" s="416"/>
      <c r="Q1309" s="417"/>
      <c r="R1309" s="417"/>
      <c r="S1309" s="417"/>
      <c r="T1309" s="417"/>
      <c r="U1309" s="56"/>
      <c r="V1309" s="416" t="str">
        <f>IF(C1299="","","Etapa Vinculada:")</f>
        <v/>
      </c>
      <c r="W1309" s="416"/>
      <c r="X1309" s="416"/>
      <c r="Y1309" s="416"/>
      <c r="Z1309" s="416"/>
      <c r="AA1309" s="416"/>
      <c r="AC1309" s="417"/>
      <c r="AD1309" s="417"/>
      <c r="AE1309" s="417"/>
      <c r="AF1309" s="417"/>
      <c r="AG1309" s="56"/>
      <c r="AH1309" s="56"/>
      <c r="AI1309" s="56"/>
      <c r="AJ1309" s="56"/>
      <c r="AK1309" s="141"/>
      <c r="AL1309" s="141"/>
      <c r="AM1309" s="141"/>
      <c r="AN1309" s="141"/>
      <c r="AO1309" s="140"/>
      <c r="AP1309" s="140"/>
      <c r="AQ1309" s="140"/>
      <c r="AR1309" s="140"/>
      <c r="AS1309" s="142"/>
      <c r="AT1309" s="142"/>
      <c r="AU1309" s="142"/>
      <c r="AV1309" s="142"/>
      <c r="AW1309" s="140"/>
      <c r="AX1309" s="140"/>
      <c r="AY1309" s="140"/>
      <c r="AZ1309" s="140"/>
      <c r="BA1309" s="140"/>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c r="BY1309" s="115"/>
      <c r="BZ1309" s="115"/>
      <c r="CA1309" s="115"/>
      <c r="CB1309" s="115"/>
      <c r="CC1309" s="115"/>
      <c r="CD1309" s="115"/>
      <c r="CE1309" s="115"/>
      <c r="CF1309" s="115"/>
      <c r="CG1309" s="115"/>
      <c r="CH1309" s="115"/>
      <c r="CI1309" s="115"/>
      <c r="CJ1309" s="115"/>
      <c r="CK1309" s="115"/>
      <c r="CL1309" s="115"/>
      <c r="CM1309" s="115"/>
      <c r="CN1309" s="115"/>
      <c r="CO1309" s="115"/>
      <c r="CP1309" s="115"/>
      <c r="CQ1309" s="115"/>
      <c r="CR1309" s="115"/>
      <c r="CS1309" s="115"/>
      <c r="CT1309" s="115"/>
      <c r="CU1309" s="115"/>
      <c r="CV1309" s="115"/>
      <c r="CW1309" s="115"/>
      <c r="CX1309" s="115"/>
      <c r="CY1309" s="115"/>
      <c r="CZ1309" s="115"/>
      <c r="DA1309" s="115"/>
      <c r="DB1309" s="115"/>
      <c r="DC1309" s="115"/>
      <c r="DD1309" s="115"/>
      <c r="DE1309" s="115"/>
      <c r="DF1309" s="115"/>
      <c r="DG1309" s="115"/>
    </row>
    <row r="1310" spans="1:111" ht="9" customHeight="1">
      <c r="B1310" s="55"/>
      <c r="C1310" s="55"/>
      <c r="D1310" s="56"/>
      <c r="E1310" s="56"/>
      <c r="F1310" s="56"/>
      <c r="G1310" s="56"/>
      <c r="H1310" s="56"/>
      <c r="I1310" s="56"/>
      <c r="J1310" s="416"/>
      <c r="K1310" s="416"/>
      <c r="L1310" s="416"/>
      <c r="M1310" s="416"/>
      <c r="N1310" s="416"/>
      <c r="O1310" s="416"/>
      <c r="Q1310" s="417"/>
      <c r="R1310" s="417"/>
      <c r="S1310" s="417"/>
      <c r="T1310" s="417"/>
      <c r="U1310" s="56"/>
      <c r="V1310" s="416"/>
      <c r="W1310" s="416"/>
      <c r="X1310" s="416"/>
      <c r="Y1310" s="416"/>
      <c r="Z1310" s="416"/>
      <c r="AA1310" s="416"/>
      <c r="AC1310" s="417"/>
      <c r="AD1310" s="417"/>
      <c r="AE1310" s="417"/>
      <c r="AF1310" s="417"/>
      <c r="AG1310" s="56"/>
      <c r="AH1310" s="56"/>
      <c r="AI1310" s="56"/>
      <c r="AJ1310" s="56"/>
      <c r="AK1310" s="141"/>
      <c r="AL1310" s="141"/>
      <c r="AM1310" s="141"/>
      <c r="AN1310" s="141"/>
      <c r="AO1310" s="140"/>
      <c r="AP1310" s="140"/>
      <c r="AQ1310" s="140"/>
      <c r="AR1310" s="140"/>
      <c r="AS1310" s="142"/>
      <c r="AT1310" s="142"/>
      <c r="AU1310" s="142"/>
      <c r="AV1310" s="142"/>
      <c r="AW1310" s="140"/>
      <c r="AX1310" s="140"/>
      <c r="AY1310" s="140"/>
      <c r="AZ1310" s="140"/>
      <c r="BA1310" s="140"/>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c r="BY1310" s="115"/>
      <c r="BZ1310" s="115"/>
      <c r="CA1310" s="115"/>
      <c r="CB1310" s="115"/>
      <c r="CC1310" s="115"/>
      <c r="CD1310" s="115"/>
      <c r="CE1310" s="115"/>
      <c r="CF1310" s="115"/>
      <c r="CG1310" s="115"/>
      <c r="CH1310" s="115"/>
      <c r="CI1310" s="115"/>
      <c r="CJ1310" s="115"/>
      <c r="CK1310" s="115"/>
      <c r="CL1310" s="115"/>
      <c r="CM1310" s="115"/>
      <c r="CN1310" s="115"/>
      <c r="CO1310" s="115"/>
      <c r="CP1310" s="115"/>
      <c r="CQ1310" s="115"/>
      <c r="CR1310" s="115"/>
      <c r="CS1310" s="115"/>
      <c r="CT1310" s="115"/>
      <c r="CU1310" s="115"/>
      <c r="CV1310" s="115"/>
      <c r="CW1310" s="115"/>
      <c r="CX1310" s="115"/>
      <c r="CY1310" s="115"/>
      <c r="CZ1310" s="115"/>
      <c r="DA1310" s="115"/>
      <c r="DB1310" s="115"/>
      <c r="DC1310" s="115"/>
      <c r="DD1310" s="115"/>
      <c r="DE1310" s="115"/>
      <c r="DF1310" s="115"/>
      <c r="DG1310" s="115"/>
    </row>
    <row r="1311" spans="1:111" ht="9" customHeight="1">
      <c r="Q1311" s="417"/>
      <c r="R1311" s="417"/>
      <c r="S1311" s="417"/>
      <c r="T1311" s="417"/>
      <c r="AC1311" s="417"/>
      <c r="AD1311" s="417"/>
      <c r="AE1311" s="417"/>
      <c r="AF1311" s="417"/>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c r="BY1311" s="115"/>
      <c r="BZ1311" s="115"/>
      <c r="CA1311" s="115"/>
      <c r="CB1311" s="115"/>
      <c r="CC1311" s="115"/>
      <c r="CD1311" s="115"/>
      <c r="CE1311" s="115"/>
      <c r="CF1311" s="115"/>
      <c r="CG1311" s="115"/>
      <c r="CH1311" s="115"/>
      <c r="CI1311" s="115"/>
      <c r="CJ1311" s="115"/>
      <c r="CK1311" s="115"/>
      <c r="CL1311" s="115"/>
      <c r="CM1311" s="115"/>
      <c r="CN1311" s="115"/>
      <c r="CO1311" s="115"/>
      <c r="CP1311" s="115"/>
      <c r="CQ1311" s="115"/>
      <c r="CR1311" s="115"/>
      <c r="CS1311" s="115"/>
      <c r="CT1311" s="115"/>
      <c r="CU1311" s="115"/>
      <c r="CV1311" s="115"/>
      <c r="CW1311" s="115"/>
      <c r="CX1311" s="115"/>
      <c r="CY1311" s="115"/>
      <c r="CZ1311" s="115"/>
      <c r="DA1311" s="115"/>
      <c r="DB1311" s="115"/>
      <c r="DC1311" s="115"/>
      <c r="DD1311" s="115"/>
      <c r="DE1311" s="115"/>
      <c r="DF1311" s="115"/>
      <c r="DG1311" s="115"/>
    </row>
    <row r="1312" spans="1:111" ht="4.5" customHeight="1">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c r="BY1312" s="115"/>
      <c r="BZ1312" s="115"/>
      <c r="CA1312" s="115"/>
      <c r="CB1312" s="115"/>
      <c r="CC1312" s="115"/>
      <c r="CD1312" s="115"/>
      <c r="CE1312" s="115"/>
      <c r="CF1312" s="115"/>
      <c r="CG1312" s="115"/>
      <c r="CH1312" s="115"/>
      <c r="CI1312" s="115"/>
      <c r="CJ1312" s="115"/>
      <c r="CK1312" s="115"/>
      <c r="CL1312" s="115"/>
      <c r="CM1312" s="115"/>
      <c r="CN1312" s="115"/>
      <c r="CO1312" s="115"/>
      <c r="CP1312" s="115"/>
      <c r="CQ1312" s="115"/>
      <c r="CR1312" s="115"/>
      <c r="CS1312" s="115"/>
      <c r="CT1312" s="115"/>
      <c r="CU1312" s="115"/>
      <c r="CV1312" s="115"/>
      <c r="CW1312" s="115"/>
      <c r="CX1312" s="115"/>
      <c r="CY1312" s="115"/>
      <c r="CZ1312" s="115"/>
      <c r="DA1312" s="115"/>
      <c r="DB1312" s="115"/>
      <c r="DC1312" s="115"/>
      <c r="DD1312" s="115"/>
      <c r="DE1312" s="115"/>
      <c r="DF1312" s="115"/>
      <c r="DG1312" s="115"/>
    </row>
    <row r="1313" spans="1:111" ht="9" customHeight="1">
      <c r="A1313" s="154"/>
      <c r="B1313" s="154"/>
      <c r="C1313" s="154"/>
      <c r="D1313" s="154"/>
      <c r="E1313" s="154"/>
      <c r="F1313" s="154"/>
      <c r="G1313" s="154"/>
      <c r="H1313" s="154"/>
      <c r="I1313" s="154"/>
      <c r="J1313" s="416" t="str">
        <f>IF(C1299="","","Quantidade:")</f>
        <v/>
      </c>
      <c r="K1313" s="416"/>
      <c r="L1313" s="416"/>
      <c r="M1313" s="416"/>
      <c r="N1313" s="416"/>
      <c r="O1313" s="416"/>
      <c r="P1313" s="154"/>
      <c r="Q1313" s="417"/>
      <c r="R1313" s="417"/>
      <c r="S1313" s="417"/>
      <c r="T1313" s="417"/>
      <c r="U1313" s="154"/>
      <c r="V1313" s="416" t="str">
        <f>IF(C1299="","","Unidade:")</f>
        <v/>
      </c>
      <c r="W1313" s="416"/>
      <c r="X1313" s="416"/>
      <c r="Y1313" s="416"/>
      <c r="Z1313" s="416"/>
      <c r="AA1313" s="416"/>
      <c r="AB1313" s="154"/>
      <c r="AC1313" s="418"/>
      <c r="AD1313" s="418"/>
      <c r="AE1313" s="418"/>
      <c r="AF1313" s="418"/>
      <c r="AG1313" s="418"/>
      <c r="AH1313" s="418"/>
      <c r="AI1313" s="418"/>
      <c r="AJ1313" s="418"/>
      <c r="AK1313" s="418"/>
      <c r="AL1313" s="418"/>
      <c r="AM1313" s="418"/>
      <c r="AN1313" s="418"/>
      <c r="AO1313" s="418"/>
      <c r="AP1313" s="418"/>
      <c r="AQ1313" s="418"/>
      <c r="AR1313" s="418"/>
      <c r="AS1313" s="418"/>
      <c r="AT1313" s="418"/>
      <c r="AU1313" s="418"/>
      <c r="AV1313" s="418"/>
      <c r="AW1313" s="418"/>
      <c r="AX1313" s="418"/>
      <c r="AY1313" s="418"/>
      <c r="AZ1313" s="418"/>
      <c r="BA1313" s="418"/>
      <c r="BB1313" s="154"/>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c r="BY1313" s="115"/>
      <c r="BZ1313" s="115"/>
      <c r="CA1313" s="115"/>
      <c r="CB1313" s="115"/>
      <c r="CC1313" s="115"/>
      <c r="CD1313" s="115"/>
      <c r="CE1313" s="115"/>
      <c r="CF1313" s="115"/>
      <c r="CG1313" s="115"/>
      <c r="CH1313" s="115"/>
      <c r="CI1313" s="115"/>
      <c r="CJ1313" s="115"/>
      <c r="CK1313" s="115"/>
      <c r="CL1313" s="115"/>
      <c r="CM1313" s="115"/>
      <c r="CN1313" s="115"/>
      <c r="CO1313" s="115"/>
      <c r="CP1313" s="115"/>
      <c r="CQ1313" s="115"/>
      <c r="CR1313" s="115"/>
      <c r="CS1313" s="115"/>
      <c r="CT1313" s="115"/>
      <c r="CU1313" s="115"/>
      <c r="CV1313" s="115"/>
      <c r="CW1313" s="115"/>
      <c r="CX1313" s="115"/>
      <c r="CY1313" s="115"/>
      <c r="CZ1313" s="115"/>
      <c r="DA1313" s="115"/>
      <c r="DB1313" s="115"/>
      <c r="DC1313" s="115"/>
      <c r="DD1313" s="115"/>
      <c r="DE1313" s="115"/>
      <c r="DF1313" s="115"/>
      <c r="DG1313" s="115"/>
    </row>
    <row r="1314" spans="1:111" ht="9" customHeight="1">
      <c r="A1314" s="154"/>
      <c r="B1314" s="154"/>
      <c r="C1314" s="154"/>
      <c r="D1314" s="154"/>
      <c r="E1314" s="154"/>
      <c r="F1314" s="154"/>
      <c r="G1314" s="154"/>
      <c r="H1314" s="154"/>
      <c r="I1314" s="154"/>
      <c r="J1314" s="416"/>
      <c r="K1314" s="416"/>
      <c r="L1314" s="416"/>
      <c r="M1314" s="416"/>
      <c r="N1314" s="416"/>
      <c r="O1314" s="416"/>
      <c r="P1314" s="154"/>
      <c r="Q1314" s="417"/>
      <c r="R1314" s="417"/>
      <c r="S1314" s="417"/>
      <c r="T1314" s="417"/>
      <c r="U1314" s="154"/>
      <c r="V1314" s="416"/>
      <c r="W1314" s="416"/>
      <c r="X1314" s="416"/>
      <c r="Y1314" s="416"/>
      <c r="Z1314" s="416"/>
      <c r="AA1314" s="416"/>
      <c r="AB1314" s="154"/>
      <c r="AC1314" s="418"/>
      <c r="AD1314" s="418"/>
      <c r="AE1314" s="418"/>
      <c r="AF1314" s="418"/>
      <c r="AG1314" s="418"/>
      <c r="AH1314" s="418"/>
      <c r="AI1314" s="418"/>
      <c r="AJ1314" s="418"/>
      <c r="AK1314" s="418"/>
      <c r="AL1314" s="418"/>
      <c r="AM1314" s="418"/>
      <c r="AN1314" s="418"/>
      <c r="AO1314" s="418"/>
      <c r="AP1314" s="418"/>
      <c r="AQ1314" s="418"/>
      <c r="AR1314" s="418"/>
      <c r="AS1314" s="418"/>
      <c r="AT1314" s="418"/>
      <c r="AU1314" s="418"/>
      <c r="AV1314" s="418"/>
      <c r="AW1314" s="418"/>
      <c r="AX1314" s="418"/>
      <c r="AY1314" s="418"/>
      <c r="AZ1314" s="418"/>
      <c r="BA1314" s="418"/>
      <c r="BB1314" s="154"/>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c r="BY1314" s="115"/>
      <c r="BZ1314" s="115"/>
      <c r="CA1314" s="115"/>
      <c r="CB1314" s="115"/>
      <c r="CC1314" s="115"/>
      <c r="CD1314" s="115"/>
      <c r="CE1314" s="115"/>
      <c r="CF1314" s="115"/>
      <c r="CG1314" s="115"/>
      <c r="CH1314" s="115"/>
      <c r="CI1314" s="115"/>
      <c r="CJ1314" s="115"/>
      <c r="CK1314" s="115"/>
      <c r="CL1314" s="115"/>
      <c r="CM1314" s="115"/>
      <c r="CN1314" s="115"/>
      <c r="CO1314" s="115"/>
      <c r="CP1314" s="115"/>
      <c r="CQ1314" s="115"/>
      <c r="CR1314" s="115"/>
      <c r="CS1314" s="115"/>
      <c r="CT1314" s="115"/>
      <c r="CU1314" s="115"/>
      <c r="CV1314" s="115"/>
      <c r="CW1314" s="115"/>
      <c r="CX1314" s="115"/>
      <c r="CY1314" s="115"/>
      <c r="CZ1314" s="115"/>
      <c r="DA1314" s="115"/>
      <c r="DB1314" s="115"/>
      <c r="DC1314" s="115"/>
      <c r="DD1314" s="115"/>
      <c r="DE1314" s="115"/>
      <c r="DF1314" s="115"/>
      <c r="DG1314" s="115"/>
    </row>
    <row r="1315" spans="1:111" ht="9" customHeight="1">
      <c r="A1315" s="154"/>
      <c r="B1315" s="154"/>
      <c r="C1315" s="154"/>
      <c r="D1315" s="154"/>
      <c r="E1315" s="154"/>
      <c r="F1315" s="154"/>
      <c r="G1315" s="154"/>
      <c r="H1315" s="154"/>
      <c r="I1315" s="154"/>
      <c r="J1315" s="154"/>
      <c r="K1315" s="154"/>
      <c r="L1315" s="154"/>
      <c r="M1315" s="154"/>
      <c r="N1315" s="154"/>
      <c r="O1315" s="154"/>
      <c r="P1315" s="154"/>
      <c r="Q1315" s="417"/>
      <c r="R1315" s="417"/>
      <c r="S1315" s="417"/>
      <c r="T1315" s="417"/>
      <c r="U1315" s="154"/>
      <c r="V1315" s="154"/>
      <c r="W1315" s="154"/>
      <c r="X1315" s="154"/>
      <c r="Y1315" s="154"/>
      <c r="Z1315" s="154"/>
      <c r="AA1315" s="154"/>
      <c r="AB1315" s="154"/>
      <c r="AC1315" s="418"/>
      <c r="AD1315" s="418"/>
      <c r="AE1315" s="418"/>
      <c r="AF1315" s="418"/>
      <c r="AG1315" s="418"/>
      <c r="AH1315" s="418"/>
      <c r="AI1315" s="418"/>
      <c r="AJ1315" s="418"/>
      <c r="AK1315" s="418"/>
      <c r="AL1315" s="418"/>
      <c r="AM1315" s="418"/>
      <c r="AN1315" s="418"/>
      <c r="AO1315" s="418"/>
      <c r="AP1315" s="418"/>
      <c r="AQ1315" s="418"/>
      <c r="AR1315" s="418"/>
      <c r="AS1315" s="418"/>
      <c r="AT1315" s="418"/>
      <c r="AU1315" s="418"/>
      <c r="AV1315" s="418"/>
      <c r="AW1315" s="418"/>
      <c r="AX1315" s="418"/>
      <c r="AY1315" s="418"/>
      <c r="AZ1315" s="418"/>
      <c r="BA1315" s="418"/>
      <c r="BB1315" s="154"/>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c r="BY1315" s="115"/>
      <c r="BZ1315" s="115"/>
      <c r="CA1315" s="115"/>
      <c r="CB1315" s="115"/>
      <c r="CC1315" s="115"/>
      <c r="CD1315" s="115"/>
      <c r="CE1315" s="115"/>
      <c r="CF1315" s="115"/>
      <c r="CG1315" s="115"/>
      <c r="CH1315" s="115"/>
      <c r="CI1315" s="115"/>
      <c r="CJ1315" s="115"/>
      <c r="CK1315" s="115"/>
      <c r="CL1315" s="115"/>
      <c r="CM1315" s="115"/>
      <c r="CN1315" s="115"/>
      <c r="CO1315" s="115"/>
      <c r="CP1315" s="115"/>
      <c r="CQ1315" s="115"/>
      <c r="CR1315" s="115"/>
      <c r="CS1315" s="115"/>
      <c r="CT1315" s="115"/>
      <c r="CU1315" s="115"/>
      <c r="CV1315" s="115"/>
      <c r="CW1315" s="115"/>
      <c r="CX1315" s="115"/>
      <c r="CY1315" s="115"/>
      <c r="CZ1315" s="115"/>
      <c r="DA1315" s="115"/>
      <c r="DB1315" s="115"/>
      <c r="DC1315" s="115"/>
      <c r="DD1315" s="115"/>
      <c r="DE1315" s="115"/>
      <c r="DF1315" s="115"/>
      <c r="DG1315" s="115"/>
    </row>
    <row r="1316" spans="1:111" ht="4.5" customHeight="1">
      <c r="A1316" s="154"/>
      <c r="B1316" s="154"/>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c r="BY1316" s="115"/>
      <c r="BZ1316" s="115"/>
      <c r="CA1316" s="115"/>
      <c r="CB1316" s="115"/>
      <c r="CC1316" s="115"/>
      <c r="CD1316" s="115"/>
      <c r="CE1316" s="115"/>
      <c r="CF1316" s="115"/>
      <c r="CG1316" s="115"/>
      <c r="CH1316" s="115"/>
      <c r="CI1316" s="115"/>
      <c r="CJ1316" s="115"/>
      <c r="CK1316" s="115"/>
      <c r="CL1316" s="115"/>
      <c r="CM1316" s="115"/>
      <c r="CN1316" s="115"/>
      <c r="CO1316" s="115"/>
      <c r="CP1316" s="115"/>
      <c r="CQ1316" s="115"/>
      <c r="CR1316" s="115"/>
      <c r="CS1316" s="115"/>
      <c r="CT1316" s="115"/>
      <c r="CU1316" s="115"/>
      <c r="CV1316" s="115"/>
      <c r="CW1316" s="115"/>
      <c r="CX1316" s="115"/>
      <c r="CY1316" s="115"/>
      <c r="CZ1316" s="115"/>
      <c r="DA1316" s="115"/>
      <c r="DB1316" s="115"/>
      <c r="DC1316" s="115"/>
      <c r="DD1316" s="115"/>
      <c r="DE1316" s="115"/>
      <c r="DF1316" s="115"/>
      <c r="DG1316" s="115"/>
    </row>
    <row r="1317" spans="1:111" ht="9" customHeight="1">
      <c r="A1317" s="154"/>
      <c r="B1317" s="154"/>
      <c r="C1317" s="154"/>
      <c r="D1317" s="154"/>
      <c r="E1317" s="154"/>
      <c r="F1317" s="154"/>
      <c r="G1317" s="154"/>
      <c r="H1317" s="154"/>
      <c r="I1317" s="154"/>
      <c r="J1317" s="416" t="str">
        <f>IF(C1299="","","Valor Unitário (R$):")</f>
        <v/>
      </c>
      <c r="K1317" s="416"/>
      <c r="L1317" s="416"/>
      <c r="M1317" s="416"/>
      <c r="N1317" s="416"/>
      <c r="O1317" s="416"/>
      <c r="P1317" s="154"/>
      <c r="Q1317" s="419"/>
      <c r="R1317" s="419"/>
      <c r="S1317" s="419"/>
      <c r="T1317" s="419"/>
      <c r="U1317" s="419"/>
      <c r="V1317" s="419"/>
      <c r="W1317" s="419"/>
      <c r="X1317" s="419"/>
      <c r="Y1317" s="154"/>
      <c r="Z1317" s="416" t="str">
        <f>IF(C1299="","",IF(J1305="52 Equipamentos e Material Permanente","Tempo de Uso:",""))</f>
        <v/>
      </c>
      <c r="AA1317" s="416"/>
      <c r="AB1317" s="416"/>
      <c r="AC1317" s="416"/>
      <c r="AD1317" s="416"/>
      <c r="AE1317" s="416"/>
      <c r="AF1317" s="154"/>
      <c r="AG1317" s="420"/>
      <c r="AH1317" s="420"/>
      <c r="AI1317" s="420"/>
      <c r="AJ1317" s="420"/>
      <c r="AK1317" s="420"/>
      <c r="AL1317" s="420"/>
      <c r="AM1317" s="420"/>
      <c r="AN1317" s="420"/>
      <c r="AO1317" s="420"/>
      <c r="AP1317" s="420"/>
      <c r="AQ1317" s="420"/>
      <c r="AR1317" s="420"/>
      <c r="AS1317" s="420"/>
      <c r="AT1317" s="420"/>
      <c r="AU1317" s="420"/>
      <c r="AV1317" s="420"/>
      <c r="AW1317" s="420"/>
      <c r="AX1317" s="420"/>
      <c r="AY1317" s="420"/>
      <c r="AZ1317" s="420"/>
      <c r="BA1317" s="420"/>
      <c r="BB1317" s="154"/>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c r="BY1317" s="115"/>
      <c r="BZ1317" s="115"/>
      <c r="CA1317" s="115"/>
      <c r="CB1317" s="115"/>
      <c r="CC1317" s="115"/>
      <c r="CD1317" s="115"/>
      <c r="CE1317" s="115"/>
      <c r="CF1317" s="115"/>
      <c r="CG1317" s="115"/>
      <c r="CH1317" s="115"/>
      <c r="CI1317" s="115"/>
      <c r="CJ1317" s="115"/>
      <c r="CK1317" s="115"/>
      <c r="CL1317" s="115"/>
      <c r="CM1317" s="115"/>
      <c r="CN1317" s="115"/>
      <c r="CO1317" s="115"/>
      <c r="CP1317" s="115"/>
      <c r="CQ1317" s="115"/>
      <c r="CR1317" s="115"/>
      <c r="CS1317" s="115"/>
      <c r="CT1317" s="115"/>
      <c r="CU1317" s="115"/>
      <c r="CV1317" s="115"/>
      <c r="CW1317" s="115"/>
      <c r="CX1317" s="115"/>
      <c r="CY1317" s="115"/>
      <c r="CZ1317" s="115"/>
      <c r="DA1317" s="115"/>
      <c r="DB1317" s="115"/>
      <c r="DC1317" s="115"/>
      <c r="DD1317" s="115"/>
      <c r="DE1317" s="115"/>
      <c r="DF1317" s="115"/>
      <c r="DG1317" s="115"/>
    </row>
    <row r="1318" spans="1:111" ht="9" customHeight="1">
      <c r="A1318" s="154"/>
      <c r="B1318" s="154"/>
      <c r="C1318" s="154"/>
      <c r="D1318" s="154"/>
      <c r="E1318" s="154"/>
      <c r="F1318" s="154"/>
      <c r="G1318" s="154"/>
      <c r="H1318" s="154"/>
      <c r="I1318" s="154"/>
      <c r="J1318" s="416"/>
      <c r="K1318" s="416"/>
      <c r="L1318" s="416"/>
      <c r="M1318" s="416"/>
      <c r="N1318" s="416"/>
      <c r="O1318" s="416"/>
      <c r="P1318" s="154"/>
      <c r="Q1318" s="419"/>
      <c r="R1318" s="419"/>
      <c r="S1318" s="419"/>
      <c r="T1318" s="419"/>
      <c r="U1318" s="419"/>
      <c r="V1318" s="419"/>
      <c r="W1318" s="419"/>
      <c r="X1318" s="419"/>
      <c r="Y1318" s="154"/>
      <c r="Z1318" s="416"/>
      <c r="AA1318" s="416"/>
      <c r="AB1318" s="416"/>
      <c r="AC1318" s="416"/>
      <c r="AD1318" s="416"/>
      <c r="AE1318" s="416"/>
      <c r="AF1318" s="154"/>
      <c r="AG1318" s="420"/>
      <c r="AH1318" s="420"/>
      <c r="AI1318" s="420"/>
      <c r="AJ1318" s="420"/>
      <c r="AK1318" s="420"/>
      <c r="AL1318" s="420"/>
      <c r="AM1318" s="420"/>
      <c r="AN1318" s="420"/>
      <c r="AO1318" s="420"/>
      <c r="AP1318" s="420"/>
      <c r="AQ1318" s="420"/>
      <c r="AR1318" s="420"/>
      <c r="AS1318" s="420"/>
      <c r="AT1318" s="420"/>
      <c r="AU1318" s="420"/>
      <c r="AV1318" s="420"/>
      <c r="AW1318" s="420"/>
      <c r="AX1318" s="420"/>
      <c r="AY1318" s="420"/>
      <c r="AZ1318" s="420"/>
      <c r="BA1318" s="420"/>
      <c r="BB1318" s="154"/>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c r="BY1318" s="115"/>
      <c r="BZ1318" s="115"/>
      <c r="CA1318" s="115"/>
      <c r="CB1318" s="115"/>
      <c r="CC1318" s="115"/>
      <c r="CD1318" s="115"/>
      <c r="CE1318" s="115"/>
      <c r="CF1318" s="115"/>
      <c r="CG1318" s="115"/>
      <c r="CH1318" s="115"/>
      <c r="CI1318" s="115"/>
      <c r="CJ1318" s="115"/>
      <c r="CK1318" s="115"/>
      <c r="CL1318" s="115"/>
      <c r="CM1318" s="115"/>
      <c r="CN1318" s="115"/>
      <c r="CO1318" s="115"/>
      <c r="CP1318" s="115"/>
      <c r="CQ1318" s="115"/>
      <c r="CR1318" s="115"/>
      <c r="CS1318" s="115"/>
      <c r="CT1318" s="115"/>
      <c r="CU1318" s="115"/>
      <c r="CV1318" s="115"/>
      <c r="CW1318" s="115"/>
      <c r="CX1318" s="115"/>
      <c r="CY1318" s="115"/>
      <c r="CZ1318" s="115"/>
      <c r="DA1318" s="115"/>
      <c r="DB1318" s="115"/>
      <c r="DC1318" s="115"/>
      <c r="DD1318" s="115"/>
      <c r="DE1318" s="115"/>
      <c r="DF1318" s="115"/>
      <c r="DG1318" s="115"/>
    </row>
    <row r="1319" spans="1:111" ht="9" customHeight="1">
      <c r="A1319" s="154"/>
      <c r="B1319" s="154"/>
      <c r="C1319" s="154"/>
      <c r="D1319" s="154"/>
      <c r="E1319" s="154"/>
      <c r="F1319" s="154"/>
      <c r="G1319" s="154"/>
      <c r="H1319" s="154"/>
      <c r="I1319" s="154"/>
      <c r="J1319" s="154"/>
      <c r="K1319" s="154"/>
      <c r="L1319" s="154"/>
      <c r="M1319" s="154"/>
      <c r="N1319" s="154"/>
      <c r="O1319" s="154"/>
      <c r="P1319" s="154"/>
      <c r="Q1319" s="419"/>
      <c r="R1319" s="419"/>
      <c r="S1319" s="419"/>
      <c r="T1319" s="419"/>
      <c r="U1319" s="419"/>
      <c r="V1319" s="419"/>
      <c r="W1319" s="419"/>
      <c r="X1319" s="419"/>
      <c r="Y1319" s="154"/>
      <c r="Z1319" s="154"/>
      <c r="AA1319" s="154"/>
      <c r="AB1319" s="154"/>
      <c r="AC1319" s="154"/>
      <c r="AD1319" s="154"/>
      <c r="AE1319" s="154"/>
      <c r="AF1319" s="154"/>
      <c r="AG1319" s="420"/>
      <c r="AH1319" s="420"/>
      <c r="AI1319" s="420"/>
      <c r="AJ1319" s="420"/>
      <c r="AK1319" s="420"/>
      <c r="AL1319" s="420"/>
      <c r="AM1319" s="420"/>
      <c r="AN1319" s="420"/>
      <c r="AO1319" s="420"/>
      <c r="AP1319" s="420"/>
      <c r="AQ1319" s="420"/>
      <c r="AR1319" s="420"/>
      <c r="AS1319" s="420"/>
      <c r="AT1319" s="420"/>
      <c r="AU1319" s="420"/>
      <c r="AV1319" s="420"/>
      <c r="AW1319" s="420"/>
      <c r="AX1319" s="420"/>
      <c r="AY1319" s="420"/>
      <c r="AZ1319" s="420"/>
      <c r="BA1319" s="420"/>
      <c r="BB1319" s="154"/>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c r="BY1319" s="115"/>
      <c r="BZ1319" s="115"/>
      <c r="CA1319" s="115"/>
      <c r="CB1319" s="115"/>
      <c r="CC1319" s="115"/>
      <c r="CD1319" s="115"/>
      <c r="CE1319" s="115"/>
      <c r="CF1319" s="115"/>
      <c r="CG1319" s="115"/>
      <c r="CH1319" s="115"/>
      <c r="CI1319" s="115"/>
      <c r="CJ1319" s="115"/>
      <c r="CK1319" s="115"/>
      <c r="CL1319" s="115"/>
      <c r="CM1319" s="115"/>
      <c r="CN1319" s="115"/>
      <c r="CO1319" s="115"/>
      <c r="CP1319" s="115"/>
      <c r="CQ1319" s="115"/>
      <c r="CR1319" s="115"/>
      <c r="CS1319" s="115"/>
      <c r="CT1319" s="115"/>
      <c r="CU1319" s="115"/>
      <c r="CV1319" s="115"/>
      <c r="CW1319" s="115"/>
      <c r="CX1319" s="115"/>
      <c r="CY1319" s="115"/>
      <c r="CZ1319" s="115"/>
      <c r="DA1319" s="115"/>
      <c r="DB1319" s="115"/>
      <c r="DC1319" s="115"/>
      <c r="DD1319" s="115"/>
      <c r="DE1319" s="115"/>
      <c r="DF1319" s="115"/>
      <c r="DG1319" s="115"/>
    </row>
    <row r="1320" spans="1:111" ht="4.5" customHeight="1">
      <c r="A1320" s="154"/>
      <c r="B1320" s="154"/>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c r="BY1320" s="115"/>
      <c r="BZ1320" s="115"/>
      <c r="CA1320" s="115"/>
      <c r="CB1320" s="115"/>
      <c r="CC1320" s="115"/>
      <c r="CD1320" s="115"/>
      <c r="CE1320" s="115"/>
      <c r="CF1320" s="115"/>
      <c r="CG1320" s="115"/>
      <c r="CH1320" s="115"/>
      <c r="CI1320" s="115"/>
      <c r="CJ1320" s="115"/>
      <c r="CK1320" s="115"/>
      <c r="CL1320" s="115"/>
      <c r="CM1320" s="115"/>
      <c r="CN1320" s="115"/>
      <c r="CO1320" s="115"/>
      <c r="CP1320" s="115"/>
      <c r="CQ1320" s="115"/>
      <c r="CR1320" s="115"/>
      <c r="CS1320" s="115"/>
      <c r="CT1320" s="115"/>
      <c r="CU1320" s="115"/>
      <c r="CV1320" s="115"/>
      <c r="CW1320" s="115"/>
      <c r="CX1320" s="115"/>
      <c r="CY1320" s="115"/>
      <c r="CZ1320" s="115"/>
      <c r="DA1320" s="115"/>
      <c r="DB1320" s="115"/>
      <c r="DC1320" s="115"/>
      <c r="DD1320" s="115"/>
      <c r="DE1320" s="115"/>
      <c r="DF1320" s="115"/>
      <c r="DG1320" s="115"/>
    </row>
    <row r="1321" spans="1:111" ht="9" customHeight="1">
      <c r="A1321" s="154"/>
      <c r="B1321" s="154"/>
      <c r="C1321" s="154"/>
      <c r="D1321" s="154"/>
      <c r="E1321" s="154"/>
      <c r="F1321" s="154"/>
      <c r="G1321" s="154"/>
      <c r="H1321" s="154"/>
      <c r="I1321" s="154"/>
      <c r="J1321" s="416" t="str">
        <f>IF(C1299="","","Valor Total (R$):")</f>
        <v/>
      </c>
      <c r="K1321" s="416"/>
      <c r="L1321" s="416"/>
      <c r="M1321" s="416"/>
      <c r="N1321" s="416"/>
      <c r="O1321" s="416"/>
      <c r="P1321" s="154"/>
      <c r="Q1321" s="419" t="str">
        <f>IF(Q1317="","",Q1313*Q1317)</f>
        <v/>
      </c>
      <c r="R1321" s="419"/>
      <c r="S1321" s="419"/>
      <c r="T1321" s="419"/>
      <c r="U1321" s="419"/>
      <c r="V1321" s="419"/>
      <c r="W1321" s="419"/>
      <c r="X1321" s="419"/>
      <c r="Y1321" s="154"/>
      <c r="Z1321" s="416" t="str">
        <f>IF(C1299="","",IF(J1305="52 Equipamentos e Material Permanente","Justificativa e Utilização:",""))</f>
        <v/>
      </c>
      <c r="AA1321" s="416"/>
      <c r="AB1321" s="416"/>
      <c r="AC1321" s="416"/>
      <c r="AD1321" s="416"/>
      <c r="AE1321" s="416"/>
      <c r="AF1321" s="154"/>
      <c r="AG1321" s="420"/>
      <c r="AH1321" s="420"/>
      <c r="AI1321" s="420"/>
      <c r="AJ1321" s="420"/>
      <c r="AK1321" s="420"/>
      <c r="AL1321" s="420"/>
      <c r="AM1321" s="420"/>
      <c r="AN1321" s="420"/>
      <c r="AO1321" s="420"/>
      <c r="AP1321" s="420"/>
      <c r="AQ1321" s="420"/>
      <c r="AR1321" s="420"/>
      <c r="AS1321" s="420"/>
      <c r="AT1321" s="420"/>
      <c r="AU1321" s="420"/>
      <c r="AV1321" s="420"/>
      <c r="AW1321" s="420"/>
      <c r="AX1321" s="420"/>
      <c r="AY1321" s="420"/>
      <c r="AZ1321" s="420"/>
      <c r="BA1321" s="420"/>
      <c r="BB1321" s="154"/>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c r="BY1321" s="115"/>
      <c r="BZ1321" s="115"/>
      <c r="CA1321" s="115"/>
      <c r="CB1321" s="115"/>
      <c r="CC1321" s="115"/>
      <c r="CD1321" s="115"/>
      <c r="CE1321" s="115"/>
      <c r="CF1321" s="115"/>
      <c r="CG1321" s="115"/>
      <c r="CH1321" s="115"/>
      <c r="CI1321" s="115"/>
      <c r="CJ1321" s="115"/>
      <c r="CK1321" s="115"/>
      <c r="CL1321" s="115"/>
      <c r="CM1321" s="115"/>
      <c r="CN1321" s="115"/>
      <c r="CO1321" s="115"/>
      <c r="CP1321" s="115"/>
      <c r="CQ1321" s="115"/>
      <c r="CR1321" s="115"/>
      <c r="CS1321" s="115"/>
      <c r="CT1321" s="115"/>
      <c r="CU1321" s="115"/>
      <c r="CV1321" s="115"/>
      <c r="CW1321" s="115"/>
      <c r="CX1321" s="115"/>
      <c r="CY1321" s="115"/>
      <c r="CZ1321" s="115"/>
      <c r="DA1321" s="115"/>
      <c r="DB1321" s="115"/>
      <c r="DC1321" s="115"/>
      <c r="DD1321" s="115"/>
      <c r="DE1321" s="115"/>
      <c r="DF1321" s="115"/>
      <c r="DG1321" s="115"/>
    </row>
    <row r="1322" spans="1:111" ht="9" customHeight="1">
      <c r="A1322" s="154"/>
      <c r="B1322" s="154"/>
      <c r="C1322" s="154"/>
      <c r="D1322" s="154"/>
      <c r="E1322" s="154"/>
      <c r="F1322" s="154"/>
      <c r="G1322" s="154"/>
      <c r="H1322" s="154"/>
      <c r="I1322" s="154"/>
      <c r="J1322" s="416"/>
      <c r="K1322" s="416"/>
      <c r="L1322" s="416"/>
      <c r="M1322" s="416"/>
      <c r="N1322" s="416"/>
      <c r="O1322" s="416"/>
      <c r="P1322" s="154"/>
      <c r="Q1322" s="419"/>
      <c r="R1322" s="419"/>
      <c r="S1322" s="419"/>
      <c r="T1322" s="419"/>
      <c r="U1322" s="419"/>
      <c r="V1322" s="419"/>
      <c r="W1322" s="419"/>
      <c r="X1322" s="419"/>
      <c r="Y1322" s="154"/>
      <c r="Z1322" s="416"/>
      <c r="AA1322" s="416"/>
      <c r="AB1322" s="416"/>
      <c r="AC1322" s="416"/>
      <c r="AD1322" s="416"/>
      <c r="AE1322" s="416"/>
      <c r="AF1322" s="154"/>
      <c r="AG1322" s="420"/>
      <c r="AH1322" s="420"/>
      <c r="AI1322" s="420"/>
      <c r="AJ1322" s="420"/>
      <c r="AK1322" s="420"/>
      <c r="AL1322" s="420"/>
      <c r="AM1322" s="420"/>
      <c r="AN1322" s="420"/>
      <c r="AO1322" s="420"/>
      <c r="AP1322" s="420"/>
      <c r="AQ1322" s="420"/>
      <c r="AR1322" s="420"/>
      <c r="AS1322" s="420"/>
      <c r="AT1322" s="420"/>
      <c r="AU1322" s="420"/>
      <c r="AV1322" s="420"/>
      <c r="AW1322" s="420"/>
      <c r="AX1322" s="420"/>
      <c r="AY1322" s="420"/>
      <c r="AZ1322" s="420"/>
      <c r="BA1322" s="420"/>
      <c r="BB1322" s="154"/>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c r="BY1322" s="115"/>
      <c r="BZ1322" s="115"/>
      <c r="CA1322" s="115"/>
      <c r="CB1322" s="115"/>
      <c r="CC1322" s="115"/>
      <c r="CD1322" s="115"/>
      <c r="CE1322" s="115"/>
      <c r="CF1322" s="115"/>
      <c r="CG1322" s="115"/>
      <c r="CH1322" s="115"/>
      <c r="CI1322" s="115"/>
      <c r="CJ1322" s="115"/>
      <c r="CK1322" s="115"/>
      <c r="CL1322" s="115"/>
      <c r="CM1322" s="115"/>
      <c r="CN1322" s="115"/>
      <c r="CO1322" s="115"/>
      <c r="CP1322" s="115"/>
      <c r="CQ1322" s="115"/>
      <c r="CR1322" s="115"/>
      <c r="CS1322" s="115"/>
      <c r="CT1322" s="115"/>
      <c r="CU1322" s="115"/>
      <c r="CV1322" s="115"/>
      <c r="CW1322" s="115"/>
      <c r="CX1322" s="115"/>
      <c r="CY1322" s="115"/>
      <c r="CZ1322" s="115"/>
      <c r="DA1322" s="115"/>
      <c r="DB1322" s="115"/>
      <c r="DC1322" s="115"/>
      <c r="DD1322" s="115"/>
      <c r="DE1322" s="115"/>
      <c r="DF1322" s="115"/>
      <c r="DG1322" s="115"/>
    </row>
    <row r="1323" spans="1:111" ht="9" customHeight="1">
      <c r="A1323" s="154"/>
      <c r="B1323" s="154"/>
      <c r="C1323" s="154"/>
      <c r="D1323" s="154"/>
      <c r="E1323" s="154"/>
      <c r="F1323" s="154"/>
      <c r="G1323" s="154"/>
      <c r="H1323" s="154"/>
      <c r="I1323" s="154"/>
      <c r="J1323" s="154"/>
      <c r="K1323" s="154"/>
      <c r="L1323" s="154"/>
      <c r="M1323" s="154"/>
      <c r="N1323" s="154"/>
      <c r="O1323" s="154"/>
      <c r="P1323" s="154"/>
      <c r="Q1323" s="419"/>
      <c r="R1323" s="419"/>
      <c r="S1323" s="419"/>
      <c r="T1323" s="419"/>
      <c r="U1323" s="419"/>
      <c r="V1323" s="419"/>
      <c r="W1323" s="419"/>
      <c r="X1323" s="419"/>
      <c r="Y1323" s="154"/>
      <c r="Z1323" s="154"/>
      <c r="AA1323" s="154"/>
      <c r="AB1323" s="154"/>
      <c r="AC1323" s="154"/>
      <c r="AD1323" s="154"/>
      <c r="AE1323" s="154"/>
      <c r="AF1323" s="154"/>
      <c r="AG1323" s="420"/>
      <c r="AH1323" s="420"/>
      <c r="AI1323" s="420"/>
      <c r="AJ1323" s="420"/>
      <c r="AK1323" s="420"/>
      <c r="AL1323" s="420"/>
      <c r="AM1323" s="420"/>
      <c r="AN1323" s="420"/>
      <c r="AO1323" s="420"/>
      <c r="AP1323" s="420"/>
      <c r="AQ1323" s="420"/>
      <c r="AR1323" s="420"/>
      <c r="AS1323" s="420"/>
      <c r="AT1323" s="420"/>
      <c r="AU1323" s="420"/>
      <c r="AV1323" s="420"/>
      <c r="AW1323" s="420"/>
      <c r="AX1323" s="420"/>
      <c r="AY1323" s="420"/>
      <c r="AZ1323" s="420"/>
      <c r="BA1323" s="420"/>
      <c r="BB1323" s="154"/>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c r="BY1323" s="115"/>
      <c r="BZ1323" s="115"/>
      <c r="CA1323" s="115"/>
      <c r="CB1323" s="115"/>
      <c r="CC1323" s="115"/>
      <c r="CD1323" s="115"/>
      <c r="CE1323" s="115"/>
      <c r="CF1323" s="115"/>
      <c r="CG1323" s="115"/>
      <c r="CH1323" s="115"/>
      <c r="CI1323" s="115"/>
      <c r="CJ1323" s="115"/>
      <c r="CK1323" s="115"/>
      <c r="CL1323" s="115"/>
      <c r="CM1323" s="115"/>
      <c r="CN1323" s="115"/>
      <c r="CO1323" s="115"/>
      <c r="CP1323" s="115"/>
      <c r="CQ1323" s="115"/>
      <c r="CR1323" s="115"/>
      <c r="CS1323" s="115"/>
      <c r="CT1323" s="115"/>
      <c r="CU1323" s="115"/>
      <c r="CV1323" s="115"/>
      <c r="CW1323" s="115"/>
      <c r="CX1323" s="115"/>
      <c r="CY1323" s="115"/>
      <c r="CZ1323" s="115"/>
      <c r="DA1323" s="115"/>
      <c r="DB1323" s="115"/>
      <c r="DC1323" s="115"/>
      <c r="DD1323" s="115"/>
      <c r="DE1323" s="115"/>
      <c r="DF1323" s="115"/>
      <c r="DG1323" s="115"/>
    </row>
    <row r="1324" spans="1:111" ht="9" customHeight="1">
      <c r="A1324" s="154"/>
      <c r="B1324" s="154"/>
      <c r="C1324" s="154"/>
      <c r="D1324" s="154"/>
      <c r="E1324" s="154"/>
      <c r="F1324" s="154"/>
      <c r="G1324" s="154"/>
      <c r="H1324" s="154"/>
      <c r="I1324" s="154"/>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420"/>
      <c r="AH1324" s="420"/>
      <c r="AI1324" s="420"/>
      <c r="AJ1324" s="420"/>
      <c r="AK1324" s="420"/>
      <c r="AL1324" s="420"/>
      <c r="AM1324" s="420"/>
      <c r="AN1324" s="420"/>
      <c r="AO1324" s="420"/>
      <c r="AP1324" s="420"/>
      <c r="AQ1324" s="420"/>
      <c r="AR1324" s="420"/>
      <c r="AS1324" s="420"/>
      <c r="AT1324" s="420"/>
      <c r="AU1324" s="420"/>
      <c r="AV1324" s="420"/>
      <c r="AW1324" s="420"/>
      <c r="AX1324" s="420"/>
      <c r="AY1324" s="420"/>
      <c r="AZ1324" s="420"/>
      <c r="BA1324" s="420"/>
      <c r="BB1324" s="154"/>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c r="BY1324" s="115"/>
      <c r="BZ1324" s="115"/>
      <c r="CA1324" s="115"/>
      <c r="CB1324" s="115"/>
      <c r="CC1324" s="115"/>
      <c r="CD1324" s="115"/>
      <c r="CE1324" s="115"/>
      <c r="CF1324" s="115"/>
      <c r="CG1324" s="115"/>
      <c r="CH1324" s="115"/>
      <c r="CI1324" s="115"/>
      <c r="CJ1324" s="115"/>
      <c r="CK1324" s="115"/>
      <c r="CL1324" s="115"/>
      <c r="CM1324" s="115"/>
      <c r="CN1324" s="115"/>
      <c r="CO1324" s="115"/>
      <c r="CP1324" s="115"/>
      <c r="CQ1324" s="115"/>
      <c r="CR1324" s="115"/>
      <c r="CS1324" s="115"/>
      <c r="CT1324" s="115"/>
      <c r="CU1324" s="115"/>
      <c r="CV1324" s="115"/>
      <c r="CW1324" s="115"/>
      <c r="CX1324" s="115"/>
      <c r="CY1324" s="115"/>
      <c r="CZ1324" s="115"/>
      <c r="DA1324" s="115"/>
      <c r="DB1324" s="115"/>
      <c r="DC1324" s="115"/>
      <c r="DD1324" s="115"/>
      <c r="DE1324" s="115"/>
      <c r="DF1324" s="115"/>
      <c r="DG1324" s="115"/>
    </row>
    <row r="1325" spans="1:111" ht="9" customHeight="1">
      <c r="A1325" s="154"/>
      <c r="B1325" s="154"/>
      <c r="C1325" s="154"/>
      <c r="D1325" s="154"/>
      <c r="E1325" s="154"/>
      <c r="F1325" s="154"/>
      <c r="G1325" s="154"/>
      <c r="H1325" s="154"/>
      <c r="I1325" s="154"/>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420"/>
      <c r="AH1325" s="420"/>
      <c r="AI1325" s="420"/>
      <c r="AJ1325" s="420"/>
      <c r="AK1325" s="420"/>
      <c r="AL1325" s="420"/>
      <c r="AM1325" s="420"/>
      <c r="AN1325" s="420"/>
      <c r="AO1325" s="420"/>
      <c r="AP1325" s="420"/>
      <c r="AQ1325" s="420"/>
      <c r="AR1325" s="420"/>
      <c r="AS1325" s="420"/>
      <c r="AT1325" s="420"/>
      <c r="AU1325" s="420"/>
      <c r="AV1325" s="420"/>
      <c r="AW1325" s="420"/>
      <c r="AX1325" s="420"/>
      <c r="AY1325" s="420"/>
      <c r="AZ1325" s="420"/>
      <c r="BA1325" s="420"/>
      <c r="BB1325" s="154"/>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c r="BY1325" s="115"/>
      <c r="BZ1325" s="115"/>
      <c r="CA1325" s="115"/>
      <c r="CB1325" s="115"/>
      <c r="CC1325" s="115"/>
      <c r="CD1325" s="115"/>
      <c r="CE1325" s="115"/>
      <c r="CF1325" s="115"/>
      <c r="CG1325" s="115"/>
      <c r="CH1325" s="115"/>
      <c r="CI1325" s="115"/>
      <c r="CJ1325" s="115"/>
      <c r="CK1325" s="115"/>
      <c r="CL1325" s="115"/>
      <c r="CM1325" s="115"/>
      <c r="CN1325" s="115"/>
      <c r="CO1325" s="115"/>
      <c r="CP1325" s="115"/>
      <c r="CQ1325" s="115"/>
      <c r="CR1325" s="115"/>
      <c r="CS1325" s="115"/>
      <c r="CT1325" s="115"/>
      <c r="CU1325" s="115"/>
      <c r="CV1325" s="115"/>
      <c r="CW1325" s="115"/>
      <c r="CX1325" s="115"/>
      <c r="CY1325" s="115"/>
      <c r="CZ1325" s="115"/>
      <c r="DA1325" s="115"/>
      <c r="DB1325" s="115"/>
      <c r="DC1325" s="115"/>
      <c r="DD1325" s="115"/>
      <c r="DE1325" s="115"/>
      <c r="DF1325" s="115"/>
      <c r="DG1325" s="115"/>
    </row>
    <row r="1326" spans="1:111" ht="9" customHeight="1">
      <c r="A1326" s="154"/>
      <c r="B1326" s="154"/>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420"/>
      <c r="AH1326" s="420"/>
      <c r="AI1326" s="420"/>
      <c r="AJ1326" s="420"/>
      <c r="AK1326" s="420"/>
      <c r="AL1326" s="420"/>
      <c r="AM1326" s="420"/>
      <c r="AN1326" s="420"/>
      <c r="AO1326" s="420"/>
      <c r="AP1326" s="420"/>
      <c r="AQ1326" s="420"/>
      <c r="AR1326" s="420"/>
      <c r="AS1326" s="420"/>
      <c r="AT1326" s="420"/>
      <c r="AU1326" s="420"/>
      <c r="AV1326" s="420"/>
      <c r="AW1326" s="420"/>
      <c r="AX1326" s="420"/>
      <c r="AY1326" s="420"/>
      <c r="AZ1326" s="420"/>
      <c r="BA1326" s="420"/>
      <c r="BB1326" s="154"/>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c r="BY1326" s="115"/>
      <c r="BZ1326" s="115"/>
      <c r="CA1326" s="115"/>
      <c r="CB1326" s="115"/>
      <c r="CC1326" s="115"/>
      <c r="CD1326" s="115"/>
      <c r="CE1326" s="115"/>
      <c r="CF1326" s="115"/>
      <c r="CG1326" s="115"/>
      <c r="CH1326" s="115"/>
      <c r="CI1326" s="115"/>
      <c r="CJ1326" s="115"/>
      <c r="CK1326" s="115"/>
      <c r="CL1326" s="115"/>
      <c r="CM1326" s="115"/>
      <c r="CN1326" s="115"/>
      <c r="CO1326" s="115"/>
      <c r="CP1326" s="115"/>
      <c r="CQ1326" s="115"/>
      <c r="CR1326" s="115"/>
      <c r="CS1326" s="115"/>
      <c r="CT1326" s="115"/>
      <c r="CU1326" s="115"/>
      <c r="CV1326" s="115"/>
      <c r="CW1326" s="115"/>
      <c r="CX1326" s="115"/>
      <c r="CY1326" s="115"/>
      <c r="CZ1326" s="115"/>
      <c r="DA1326" s="115"/>
      <c r="DB1326" s="115"/>
      <c r="DC1326" s="115"/>
      <c r="DD1326" s="115"/>
      <c r="DE1326" s="115"/>
      <c r="DF1326" s="115"/>
      <c r="DG1326" s="115"/>
    </row>
    <row r="1327" spans="1:111" ht="15" customHeight="1">
      <c r="B1327" s="55"/>
      <c r="C1327" s="55"/>
      <c r="D1327" s="56"/>
      <c r="E1327" s="56"/>
      <c r="F1327" s="56"/>
      <c r="G1327" s="56"/>
      <c r="H1327" s="56"/>
      <c r="I1327" s="56"/>
      <c r="J1327" s="56"/>
      <c r="K1327" s="56"/>
      <c r="L1327" s="56"/>
      <c r="M1327" s="56"/>
      <c r="N1327" s="56"/>
      <c r="O1327" s="56"/>
      <c r="P1327" s="56"/>
      <c r="Q1327" s="56"/>
      <c r="R1327" s="56"/>
      <c r="S1327" s="56"/>
      <c r="T1327" s="56"/>
      <c r="U1327" s="56"/>
      <c r="V1327" s="56"/>
      <c r="W1327" s="56"/>
      <c r="X1327" s="56"/>
      <c r="Y1327" s="56"/>
      <c r="Z1327" s="56"/>
      <c r="AA1327" s="56"/>
      <c r="AB1327" s="56"/>
      <c r="AC1327" s="56"/>
      <c r="AD1327" s="56"/>
      <c r="AE1327" s="56"/>
      <c r="AF1327" s="56"/>
      <c r="AG1327" s="56"/>
      <c r="AH1327" s="56"/>
      <c r="AI1327" s="56"/>
      <c r="AJ1327" s="56"/>
      <c r="AK1327" s="141"/>
      <c r="AL1327" s="141"/>
      <c r="AM1327" s="141"/>
      <c r="AN1327" s="141"/>
      <c r="AO1327" s="140"/>
      <c r="AP1327" s="140"/>
      <c r="AQ1327" s="140"/>
      <c r="AR1327" s="140"/>
      <c r="AS1327" s="142"/>
      <c r="AT1327" s="142"/>
      <c r="AU1327" s="142"/>
      <c r="AV1327" s="142"/>
      <c r="AW1327" s="140"/>
      <c r="AX1327" s="140"/>
      <c r="AY1327" s="140"/>
      <c r="AZ1327" s="140"/>
      <c r="BA1327" s="140"/>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c r="BY1327" s="115"/>
      <c r="BZ1327" s="115"/>
      <c r="CA1327" s="115"/>
      <c r="CB1327" s="115"/>
      <c r="CC1327" s="115"/>
      <c r="CD1327" s="115"/>
      <c r="CE1327" s="115"/>
      <c r="CF1327" s="115"/>
      <c r="CG1327" s="115"/>
      <c r="CH1327" s="115"/>
      <c r="CI1327" s="115"/>
      <c r="CJ1327" s="115"/>
      <c r="CK1327" s="115"/>
      <c r="CL1327" s="115"/>
      <c r="CM1327" s="115"/>
      <c r="CN1327" s="115"/>
      <c r="CO1327" s="115"/>
      <c r="CP1327" s="115"/>
      <c r="CQ1327" s="115"/>
      <c r="CR1327" s="115"/>
      <c r="CS1327" s="115"/>
      <c r="CT1327" s="115"/>
      <c r="CU1327" s="115"/>
      <c r="CV1327" s="115"/>
      <c r="CW1327" s="115"/>
      <c r="CX1327" s="115"/>
      <c r="CY1327" s="115"/>
      <c r="CZ1327" s="115"/>
      <c r="DA1327" s="115"/>
      <c r="DB1327" s="115"/>
      <c r="DC1327" s="115"/>
      <c r="DD1327" s="115"/>
      <c r="DE1327" s="115"/>
      <c r="DF1327" s="115"/>
      <c r="DG1327" s="115"/>
    </row>
    <row r="1328" spans="1:111" ht="15" customHeight="1">
      <c r="B1328" s="55"/>
      <c r="C1328" s="422" t="str">
        <f>IF($AA$165&gt;=41,"DESPESA 41","")</f>
        <v/>
      </c>
      <c r="D1328" s="422"/>
      <c r="E1328" s="422"/>
      <c r="F1328" s="422"/>
      <c r="G1328" s="422"/>
      <c r="H1328" s="422"/>
      <c r="I1328" s="56"/>
      <c r="J1328" s="56"/>
      <c r="K1328" s="56"/>
      <c r="L1328" s="56"/>
      <c r="M1328" s="56"/>
      <c r="N1328" s="56"/>
      <c r="O1328" s="56"/>
      <c r="P1328" s="56"/>
      <c r="Q1328" s="56"/>
      <c r="R1328" s="56"/>
      <c r="S1328" s="56"/>
      <c r="T1328" s="56"/>
      <c r="U1328" s="56"/>
      <c r="V1328" s="56"/>
      <c r="W1328" s="56"/>
      <c r="X1328" s="56"/>
      <c r="Y1328" s="56"/>
      <c r="Z1328" s="56"/>
      <c r="AA1328" s="56"/>
      <c r="AB1328" s="56"/>
      <c r="AC1328" s="56"/>
      <c r="AD1328" s="56"/>
      <c r="AE1328" s="56"/>
      <c r="AF1328" s="56"/>
      <c r="AG1328" s="56"/>
      <c r="AH1328" s="56"/>
      <c r="AI1328" s="56"/>
      <c r="AJ1328" s="56"/>
      <c r="AK1328" s="141"/>
      <c r="AL1328" s="141"/>
      <c r="AM1328" s="141"/>
      <c r="AN1328" s="141"/>
      <c r="AO1328" s="140"/>
      <c r="AP1328" s="140"/>
      <c r="AQ1328" s="140"/>
      <c r="AR1328" s="140"/>
      <c r="AS1328" s="142"/>
      <c r="AT1328" s="142"/>
      <c r="AU1328" s="142"/>
      <c r="AV1328" s="142"/>
      <c r="AW1328" s="140"/>
      <c r="AX1328" s="140"/>
      <c r="AY1328" s="140"/>
      <c r="AZ1328" s="140"/>
      <c r="BA1328" s="140"/>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c r="BY1328" s="115"/>
      <c r="BZ1328" s="115"/>
      <c r="CA1328" s="115"/>
      <c r="CB1328" s="115"/>
      <c r="CC1328" s="115"/>
      <c r="CD1328" s="115"/>
      <c r="CE1328" s="115"/>
      <c r="CF1328" s="115"/>
      <c r="CG1328" s="115"/>
      <c r="CH1328" s="115"/>
      <c r="CI1328" s="115"/>
      <c r="CJ1328" s="115"/>
      <c r="CK1328" s="115"/>
      <c r="CL1328" s="115"/>
      <c r="CM1328" s="115"/>
      <c r="CN1328" s="115"/>
      <c r="CO1328" s="115"/>
      <c r="CP1328" s="115"/>
      <c r="CQ1328" s="115"/>
      <c r="CR1328" s="115"/>
      <c r="CS1328" s="115"/>
      <c r="CT1328" s="115"/>
      <c r="CU1328" s="115"/>
      <c r="CV1328" s="115"/>
      <c r="CW1328" s="115"/>
      <c r="CX1328" s="115"/>
      <c r="CY1328" s="115"/>
      <c r="CZ1328" s="115"/>
      <c r="DA1328" s="115"/>
      <c r="DB1328" s="115"/>
      <c r="DC1328" s="115"/>
      <c r="DD1328" s="115"/>
      <c r="DE1328" s="115"/>
      <c r="DF1328" s="115"/>
      <c r="DG1328" s="115"/>
    </row>
    <row r="1329" spans="1:111" ht="4.5" customHeight="1">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c r="BY1329" s="115"/>
      <c r="BZ1329" s="115"/>
      <c r="CA1329" s="115"/>
      <c r="CB1329" s="115"/>
      <c r="CC1329" s="115"/>
      <c r="CD1329" s="115"/>
      <c r="CE1329" s="115"/>
      <c r="CF1329" s="115"/>
      <c r="CG1329" s="115"/>
      <c r="CH1329" s="115"/>
      <c r="CI1329" s="115"/>
      <c r="CJ1329" s="115"/>
      <c r="CK1329" s="115"/>
      <c r="CL1329" s="115"/>
      <c r="CM1329" s="115"/>
      <c r="CN1329" s="115"/>
      <c r="CO1329" s="115"/>
      <c r="CP1329" s="115"/>
      <c r="CQ1329" s="115"/>
      <c r="CR1329" s="115"/>
      <c r="CS1329" s="115"/>
      <c r="CT1329" s="115"/>
      <c r="CU1329" s="115"/>
      <c r="CV1329" s="115"/>
      <c r="CW1329" s="115"/>
      <c r="CX1329" s="115"/>
      <c r="CY1329" s="115"/>
      <c r="CZ1329" s="115"/>
      <c r="DA1329" s="115"/>
      <c r="DB1329" s="115"/>
      <c r="DC1329" s="115"/>
      <c r="DD1329" s="115"/>
      <c r="DE1329" s="115"/>
      <c r="DF1329" s="115"/>
      <c r="DG1329" s="115"/>
    </row>
    <row r="1330" spans="1:111" ht="9" customHeight="1">
      <c r="C1330" s="416" t="str">
        <f>IF(C1328="","","Descrição da Despesa:")</f>
        <v/>
      </c>
      <c r="D1330" s="416"/>
      <c r="E1330" s="416"/>
      <c r="F1330" s="416"/>
      <c r="G1330" s="416"/>
      <c r="H1330" s="416"/>
      <c r="I1330" s="60"/>
      <c r="J1330" s="421"/>
      <c r="K1330" s="421"/>
      <c r="L1330" s="421"/>
      <c r="M1330" s="421"/>
      <c r="N1330" s="421"/>
      <c r="O1330" s="421"/>
      <c r="P1330" s="421"/>
      <c r="Q1330" s="421"/>
      <c r="R1330" s="421"/>
      <c r="S1330" s="421"/>
      <c r="T1330" s="421"/>
      <c r="U1330" s="421"/>
      <c r="V1330" s="421"/>
      <c r="W1330" s="421"/>
      <c r="X1330" s="421"/>
      <c r="Y1330" s="421"/>
      <c r="Z1330" s="421"/>
      <c r="AA1330" s="421"/>
      <c r="AB1330" s="421"/>
      <c r="AC1330" s="421"/>
      <c r="AD1330" s="421"/>
      <c r="AE1330" s="421"/>
      <c r="AF1330" s="421"/>
      <c r="AG1330" s="421"/>
      <c r="AH1330" s="421"/>
      <c r="AI1330" s="421"/>
      <c r="AJ1330" s="421"/>
      <c r="AK1330" s="421"/>
      <c r="AL1330" s="421"/>
      <c r="AM1330" s="421"/>
      <c r="AN1330" s="421"/>
      <c r="AO1330" s="421"/>
      <c r="AP1330" s="421"/>
      <c r="AQ1330" s="421"/>
      <c r="AR1330" s="421"/>
      <c r="AS1330" s="421"/>
      <c r="AT1330" s="421"/>
      <c r="AU1330" s="421"/>
      <c r="AV1330" s="421"/>
      <c r="AW1330" s="421"/>
      <c r="AX1330" s="421"/>
      <c r="AY1330" s="421"/>
      <c r="AZ1330" s="421"/>
      <c r="BA1330" s="421"/>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c r="BY1330" s="115"/>
      <c r="BZ1330" s="115"/>
      <c r="CA1330" s="115"/>
      <c r="CB1330" s="115"/>
      <c r="CC1330" s="115"/>
      <c r="CD1330" s="115"/>
      <c r="CE1330" s="115"/>
      <c r="CF1330" s="115"/>
      <c r="CG1330" s="115"/>
      <c r="CH1330" s="115"/>
      <c r="CI1330" s="115"/>
      <c r="CJ1330" s="115"/>
      <c r="CK1330" s="115"/>
      <c r="CL1330" s="115"/>
      <c r="CM1330" s="115"/>
      <c r="CN1330" s="115"/>
      <c r="CO1330" s="115"/>
      <c r="CP1330" s="115"/>
      <c r="CQ1330" s="115"/>
      <c r="CR1330" s="115"/>
      <c r="CS1330" s="115"/>
      <c r="CT1330" s="115"/>
      <c r="CU1330" s="115"/>
      <c r="CV1330" s="115"/>
      <c r="CW1330" s="115"/>
      <c r="CX1330" s="115"/>
      <c r="CY1330" s="115"/>
      <c r="CZ1330" s="115"/>
      <c r="DA1330" s="115"/>
      <c r="DB1330" s="115"/>
      <c r="DC1330" s="115"/>
      <c r="DD1330" s="115"/>
      <c r="DE1330" s="115"/>
      <c r="DF1330" s="115"/>
      <c r="DG1330" s="115"/>
    </row>
    <row r="1331" spans="1:111" ht="9" customHeight="1">
      <c r="C1331" s="416"/>
      <c r="D1331" s="416"/>
      <c r="E1331" s="416"/>
      <c r="F1331" s="416"/>
      <c r="G1331" s="416"/>
      <c r="H1331" s="416"/>
      <c r="I1331" s="60"/>
      <c r="J1331" s="421"/>
      <c r="K1331" s="421"/>
      <c r="L1331" s="421"/>
      <c r="M1331" s="421"/>
      <c r="N1331" s="421"/>
      <c r="O1331" s="421"/>
      <c r="P1331" s="421"/>
      <c r="Q1331" s="421"/>
      <c r="R1331" s="421"/>
      <c r="S1331" s="421"/>
      <c r="T1331" s="421"/>
      <c r="U1331" s="421"/>
      <c r="V1331" s="421"/>
      <c r="W1331" s="421"/>
      <c r="X1331" s="421"/>
      <c r="Y1331" s="421"/>
      <c r="Z1331" s="421"/>
      <c r="AA1331" s="421"/>
      <c r="AB1331" s="421"/>
      <c r="AC1331" s="421"/>
      <c r="AD1331" s="421"/>
      <c r="AE1331" s="421"/>
      <c r="AF1331" s="421"/>
      <c r="AG1331" s="421"/>
      <c r="AH1331" s="421"/>
      <c r="AI1331" s="421"/>
      <c r="AJ1331" s="421"/>
      <c r="AK1331" s="421"/>
      <c r="AL1331" s="421"/>
      <c r="AM1331" s="421"/>
      <c r="AN1331" s="421"/>
      <c r="AO1331" s="421"/>
      <c r="AP1331" s="421"/>
      <c r="AQ1331" s="421"/>
      <c r="AR1331" s="421"/>
      <c r="AS1331" s="421"/>
      <c r="AT1331" s="421"/>
      <c r="AU1331" s="421"/>
      <c r="AV1331" s="421"/>
      <c r="AW1331" s="421"/>
      <c r="AX1331" s="421"/>
      <c r="AY1331" s="421"/>
      <c r="AZ1331" s="421"/>
      <c r="BA1331" s="421"/>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c r="BY1331" s="115"/>
      <c r="BZ1331" s="115"/>
      <c r="CA1331" s="115"/>
      <c r="CB1331" s="115"/>
      <c r="CC1331" s="115"/>
      <c r="CD1331" s="115"/>
      <c r="CE1331" s="115"/>
      <c r="CF1331" s="115"/>
      <c r="CG1331" s="115"/>
      <c r="CH1331" s="115"/>
      <c r="CI1331" s="115"/>
      <c r="CJ1331" s="115"/>
      <c r="CK1331" s="115"/>
      <c r="CL1331" s="115"/>
      <c r="CM1331" s="115"/>
      <c r="CN1331" s="115"/>
      <c r="CO1331" s="115"/>
      <c r="CP1331" s="115"/>
      <c r="CQ1331" s="115"/>
      <c r="CR1331" s="115"/>
      <c r="CS1331" s="115"/>
      <c r="CT1331" s="115"/>
      <c r="CU1331" s="115"/>
      <c r="CV1331" s="115"/>
      <c r="CW1331" s="115"/>
      <c r="CX1331" s="115"/>
      <c r="CY1331" s="115"/>
      <c r="CZ1331" s="115"/>
      <c r="DA1331" s="115"/>
      <c r="DB1331" s="115"/>
      <c r="DC1331" s="115"/>
      <c r="DD1331" s="115"/>
      <c r="DE1331" s="115"/>
      <c r="DF1331" s="115"/>
      <c r="DG1331" s="115"/>
    </row>
    <row r="1332" spans="1:111" ht="9" customHeight="1">
      <c r="C1332" s="416"/>
      <c r="D1332" s="416"/>
      <c r="E1332" s="416"/>
      <c r="F1332" s="416"/>
      <c r="G1332" s="416"/>
      <c r="H1332" s="416"/>
      <c r="I1332" s="60"/>
      <c r="J1332" s="421"/>
      <c r="K1332" s="421"/>
      <c r="L1332" s="421"/>
      <c r="M1332" s="421"/>
      <c r="N1332" s="421"/>
      <c r="O1332" s="421"/>
      <c r="P1332" s="421"/>
      <c r="Q1332" s="421"/>
      <c r="R1332" s="421"/>
      <c r="S1332" s="421"/>
      <c r="T1332" s="421"/>
      <c r="U1332" s="421"/>
      <c r="V1332" s="421"/>
      <c r="W1332" s="421"/>
      <c r="X1332" s="421"/>
      <c r="Y1332" s="421"/>
      <c r="Z1332" s="421"/>
      <c r="AA1332" s="421"/>
      <c r="AB1332" s="421"/>
      <c r="AC1332" s="421"/>
      <c r="AD1332" s="421"/>
      <c r="AE1332" s="421"/>
      <c r="AF1332" s="421"/>
      <c r="AG1332" s="421"/>
      <c r="AH1332" s="421"/>
      <c r="AI1332" s="421"/>
      <c r="AJ1332" s="421"/>
      <c r="AK1332" s="421"/>
      <c r="AL1332" s="421"/>
      <c r="AM1332" s="421"/>
      <c r="AN1332" s="421"/>
      <c r="AO1332" s="421"/>
      <c r="AP1332" s="421"/>
      <c r="AQ1332" s="421"/>
      <c r="AR1332" s="421"/>
      <c r="AS1332" s="421"/>
      <c r="AT1332" s="421"/>
      <c r="AU1332" s="421"/>
      <c r="AV1332" s="421"/>
      <c r="AW1332" s="421"/>
      <c r="AX1332" s="421"/>
      <c r="AY1332" s="421"/>
      <c r="AZ1332" s="421"/>
      <c r="BA1332" s="421"/>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c r="BY1332" s="115"/>
      <c r="BZ1332" s="115"/>
      <c r="CA1332" s="115"/>
      <c r="CB1332" s="115"/>
      <c r="CC1332" s="115"/>
      <c r="CD1332" s="115"/>
      <c r="CE1332" s="115"/>
      <c r="CF1332" s="115"/>
      <c r="CG1332" s="115"/>
      <c r="CH1332" s="115"/>
      <c r="CI1332" s="115"/>
      <c r="CJ1332" s="115"/>
      <c r="CK1332" s="115"/>
      <c r="CL1332" s="115"/>
      <c r="CM1332" s="115"/>
      <c r="CN1332" s="115"/>
      <c r="CO1332" s="115"/>
      <c r="CP1332" s="115"/>
      <c r="CQ1332" s="115"/>
      <c r="CR1332" s="115"/>
      <c r="CS1332" s="115"/>
      <c r="CT1332" s="115"/>
      <c r="CU1332" s="115"/>
      <c r="CV1332" s="115"/>
      <c r="CW1332" s="115"/>
      <c r="CX1332" s="115"/>
      <c r="CY1332" s="115"/>
      <c r="CZ1332" s="115"/>
      <c r="DA1332" s="115"/>
      <c r="DB1332" s="115"/>
      <c r="DC1332" s="115"/>
      <c r="DD1332" s="115"/>
      <c r="DE1332" s="115"/>
      <c r="DF1332" s="115"/>
      <c r="DG1332" s="115"/>
    </row>
    <row r="1333" spans="1:111" ht="4.5" customHeight="1">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c r="BY1333" s="115"/>
      <c r="BZ1333" s="115"/>
      <c r="CA1333" s="115"/>
      <c r="CB1333" s="115"/>
      <c r="CC1333" s="115"/>
      <c r="CD1333" s="115"/>
      <c r="CE1333" s="115"/>
      <c r="CF1333" s="115"/>
      <c r="CG1333" s="115"/>
      <c r="CH1333" s="115"/>
      <c r="CI1333" s="115"/>
      <c r="CJ1333" s="115"/>
      <c r="CK1333" s="115"/>
      <c r="CL1333" s="115"/>
      <c r="CM1333" s="115"/>
      <c r="CN1333" s="115"/>
      <c r="CO1333" s="115"/>
      <c r="CP1333" s="115"/>
      <c r="CQ1333" s="115"/>
      <c r="CR1333" s="115"/>
      <c r="CS1333" s="115"/>
      <c r="CT1333" s="115"/>
      <c r="CU1333" s="115"/>
      <c r="CV1333" s="115"/>
      <c r="CW1333" s="115"/>
      <c r="CX1333" s="115"/>
      <c r="CY1333" s="115"/>
      <c r="CZ1333" s="115"/>
      <c r="DA1333" s="115"/>
      <c r="DB1333" s="115"/>
      <c r="DC1333" s="115"/>
      <c r="DD1333" s="115"/>
      <c r="DE1333" s="115"/>
      <c r="DF1333" s="115"/>
      <c r="DG1333" s="115"/>
    </row>
    <row r="1334" spans="1:111" ht="9" customHeight="1">
      <c r="C1334" s="416" t="str">
        <f>IF(C1328="","","Elemento de Despesa:")</f>
        <v/>
      </c>
      <c r="D1334" s="416"/>
      <c r="E1334" s="416"/>
      <c r="F1334" s="416"/>
      <c r="G1334" s="416"/>
      <c r="H1334" s="416"/>
      <c r="J1334" s="421"/>
      <c r="K1334" s="421"/>
      <c r="L1334" s="421"/>
      <c r="M1334" s="421"/>
      <c r="N1334" s="421"/>
      <c r="O1334" s="421"/>
      <c r="P1334" s="421"/>
      <c r="Q1334" s="421"/>
      <c r="R1334" s="421"/>
      <c r="S1334" s="421"/>
      <c r="T1334" s="421"/>
      <c r="U1334" s="421"/>
      <c r="V1334" s="421"/>
      <c r="W1334" s="421"/>
      <c r="X1334" s="421"/>
      <c r="Y1334" s="421"/>
      <c r="Z1334" s="421"/>
      <c r="AA1334" s="421"/>
      <c r="AB1334" s="421"/>
      <c r="AC1334" s="421"/>
      <c r="AD1334" s="421"/>
      <c r="AE1334" s="421"/>
      <c r="AF1334" s="421"/>
      <c r="AG1334" s="421"/>
      <c r="AH1334" s="421"/>
      <c r="AI1334" s="421"/>
      <c r="AJ1334" s="421"/>
      <c r="AK1334" s="421"/>
      <c r="AL1334" s="421"/>
      <c r="AM1334" s="421"/>
      <c r="AN1334" s="421"/>
      <c r="AO1334" s="421"/>
      <c r="AP1334" s="421"/>
      <c r="AQ1334" s="421"/>
      <c r="AR1334" s="421"/>
      <c r="AS1334" s="421"/>
      <c r="AT1334" s="421"/>
      <c r="AU1334" s="421"/>
      <c r="AV1334" s="421"/>
      <c r="AW1334" s="421"/>
      <c r="AX1334" s="421"/>
      <c r="AY1334" s="421"/>
      <c r="AZ1334" s="421"/>
      <c r="BA1334" s="421"/>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c r="BY1334" s="115"/>
      <c r="BZ1334" s="115"/>
      <c r="CA1334" s="115"/>
      <c r="CB1334" s="115"/>
      <c r="CC1334" s="115"/>
      <c r="CD1334" s="115"/>
      <c r="CE1334" s="115"/>
      <c r="CF1334" s="115"/>
      <c r="CG1334" s="115"/>
      <c r="CH1334" s="115"/>
      <c r="CI1334" s="115"/>
      <c r="CJ1334" s="115"/>
      <c r="CK1334" s="115"/>
      <c r="CL1334" s="115"/>
      <c r="CM1334" s="115"/>
      <c r="CN1334" s="115"/>
      <c r="CO1334" s="115"/>
      <c r="CP1334" s="115"/>
      <c r="CQ1334" s="115"/>
      <c r="CR1334" s="115"/>
      <c r="CS1334" s="115"/>
      <c r="CT1334" s="115"/>
      <c r="CU1334" s="115"/>
      <c r="CV1334" s="115"/>
      <c r="CW1334" s="115"/>
      <c r="CX1334" s="115"/>
      <c r="CY1334" s="115"/>
      <c r="CZ1334" s="115"/>
      <c r="DA1334" s="115"/>
      <c r="DB1334" s="115"/>
      <c r="DC1334" s="115"/>
      <c r="DD1334" s="115"/>
      <c r="DE1334" s="115"/>
      <c r="DF1334" s="115"/>
      <c r="DG1334" s="115"/>
    </row>
    <row r="1335" spans="1:111" ht="9" customHeight="1">
      <c r="C1335" s="416"/>
      <c r="D1335" s="416"/>
      <c r="E1335" s="416"/>
      <c r="F1335" s="416"/>
      <c r="G1335" s="416"/>
      <c r="H1335" s="416"/>
      <c r="J1335" s="421"/>
      <c r="K1335" s="421"/>
      <c r="L1335" s="421"/>
      <c r="M1335" s="421"/>
      <c r="N1335" s="421"/>
      <c r="O1335" s="421"/>
      <c r="P1335" s="421"/>
      <c r="Q1335" s="421"/>
      <c r="R1335" s="421"/>
      <c r="S1335" s="421"/>
      <c r="T1335" s="421"/>
      <c r="U1335" s="421"/>
      <c r="V1335" s="421"/>
      <c r="W1335" s="421"/>
      <c r="X1335" s="421"/>
      <c r="Y1335" s="421"/>
      <c r="Z1335" s="421"/>
      <c r="AA1335" s="421"/>
      <c r="AB1335" s="421"/>
      <c r="AC1335" s="421"/>
      <c r="AD1335" s="421"/>
      <c r="AE1335" s="421"/>
      <c r="AF1335" s="421"/>
      <c r="AG1335" s="421"/>
      <c r="AH1335" s="421"/>
      <c r="AI1335" s="421"/>
      <c r="AJ1335" s="421"/>
      <c r="AK1335" s="421"/>
      <c r="AL1335" s="421"/>
      <c r="AM1335" s="421"/>
      <c r="AN1335" s="421"/>
      <c r="AO1335" s="421"/>
      <c r="AP1335" s="421"/>
      <c r="AQ1335" s="421"/>
      <c r="AR1335" s="421"/>
      <c r="AS1335" s="421"/>
      <c r="AT1335" s="421"/>
      <c r="AU1335" s="421"/>
      <c r="AV1335" s="421"/>
      <c r="AW1335" s="421"/>
      <c r="AX1335" s="421"/>
      <c r="AY1335" s="421"/>
      <c r="AZ1335" s="421"/>
      <c r="BA1335" s="421"/>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c r="BY1335" s="115"/>
      <c r="BZ1335" s="115"/>
      <c r="CA1335" s="115"/>
      <c r="CB1335" s="115"/>
      <c r="CC1335" s="115"/>
      <c r="CD1335" s="115"/>
      <c r="CE1335" s="115"/>
      <c r="CF1335" s="115"/>
      <c r="CG1335" s="115"/>
      <c r="CH1335" s="115"/>
      <c r="CI1335" s="115"/>
      <c r="CJ1335" s="115"/>
      <c r="CK1335" s="115"/>
      <c r="CL1335" s="115"/>
      <c r="CM1335" s="115"/>
      <c r="CN1335" s="115"/>
      <c r="CO1335" s="115"/>
      <c r="CP1335" s="115"/>
      <c r="CQ1335" s="115"/>
      <c r="CR1335" s="115"/>
      <c r="CS1335" s="115"/>
      <c r="CT1335" s="115"/>
      <c r="CU1335" s="115"/>
      <c r="CV1335" s="115"/>
      <c r="CW1335" s="115"/>
      <c r="CX1335" s="115"/>
      <c r="CY1335" s="115"/>
      <c r="CZ1335" s="115"/>
      <c r="DA1335" s="115"/>
      <c r="DB1335" s="115"/>
      <c r="DC1335" s="115"/>
      <c r="DD1335" s="115"/>
      <c r="DE1335" s="115"/>
      <c r="DF1335" s="115"/>
      <c r="DG1335" s="115"/>
    </row>
    <row r="1336" spans="1:111" ht="9" customHeight="1">
      <c r="C1336" s="416"/>
      <c r="D1336" s="416"/>
      <c r="E1336" s="416"/>
      <c r="F1336" s="416"/>
      <c r="G1336" s="416"/>
      <c r="H1336" s="416"/>
      <c r="J1336" s="421"/>
      <c r="K1336" s="421"/>
      <c r="L1336" s="421"/>
      <c r="M1336" s="421"/>
      <c r="N1336" s="421"/>
      <c r="O1336" s="421"/>
      <c r="P1336" s="421"/>
      <c r="Q1336" s="421"/>
      <c r="R1336" s="421"/>
      <c r="S1336" s="421"/>
      <c r="T1336" s="421"/>
      <c r="U1336" s="421"/>
      <c r="V1336" s="421"/>
      <c r="W1336" s="421"/>
      <c r="X1336" s="421"/>
      <c r="Y1336" s="421"/>
      <c r="Z1336" s="421"/>
      <c r="AA1336" s="421"/>
      <c r="AB1336" s="421"/>
      <c r="AC1336" s="421"/>
      <c r="AD1336" s="421"/>
      <c r="AE1336" s="421"/>
      <c r="AF1336" s="421"/>
      <c r="AG1336" s="421"/>
      <c r="AH1336" s="421"/>
      <c r="AI1336" s="421"/>
      <c r="AJ1336" s="421"/>
      <c r="AK1336" s="421"/>
      <c r="AL1336" s="421"/>
      <c r="AM1336" s="421"/>
      <c r="AN1336" s="421"/>
      <c r="AO1336" s="421"/>
      <c r="AP1336" s="421"/>
      <c r="AQ1336" s="421"/>
      <c r="AR1336" s="421"/>
      <c r="AS1336" s="421"/>
      <c r="AT1336" s="421"/>
      <c r="AU1336" s="421"/>
      <c r="AV1336" s="421"/>
      <c r="AW1336" s="421"/>
      <c r="AX1336" s="421"/>
      <c r="AY1336" s="421"/>
      <c r="AZ1336" s="421"/>
      <c r="BA1336" s="421"/>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c r="BY1336" s="115"/>
      <c r="BZ1336" s="115"/>
      <c r="CA1336" s="115"/>
      <c r="CB1336" s="115"/>
      <c r="CC1336" s="115"/>
      <c r="CD1336" s="115"/>
      <c r="CE1336" s="115"/>
      <c r="CF1336" s="115"/>
      <c r="CG1336" s="115"/>
      <c r="CH1336" s="115"/>
      <c r="CI1336" s="115"/>
      <c r="CJ1336" s="115"/>
      <c r="CK1336" s="115"/>
      <c r="CL1336" s="115"/>
      <c r="CM1336" s="115"/>
      <c r="CN1336" s="115"/>
      <c r="CO1336" s="115"/>
      <c r="CP1336" s="115"/>
      <c r="CQ1336" s="115"/>
      <c r="CR1336" s="115"/>
      <c r="CS1336" s="115"/>
      <c r="CT1336" s="115"/>
      <c r="CU1336" s="115"/>
      <c r="CV1336" s="115"/>
      <c r="CW1336" s="115"/>
      <c r="CX1336" s="115"/>
      <c r="CY1336" s="115"/>
      <c r="CZ1336" s="115"/>
      <c r="DA1336" s="115"/>
      <c r="DB1336" s="115"/>
      <c r="DC1336" s="115"/>
      <c r="DD1336" s="115"/>
      <c r="DE1336" s="115"/>
      <c r="DF1336" s="115"/>
      <c r="DG1336" s="115"/>
    </row>
    <row r="1337" spans="1:111" ht="4.5" customHeight="1">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c r="BY1337" s="115"/>
      <c r="BZ1337" s="115"/>
      <c r="CA1337" s="115"/>
      <c r="CB1337" s="115"/>
      <c r="CC1337" s="115"/>
      <c r="CD1337" s="115"/>
      <c r="CE1337" s="115"/>
      <c r="CF1337" s="115"/>
      <c r="CG1337" s="115"/>
      <c r="CH1337" s="115"/>
      <c r="CI1337" s="115"/>
      <c r="CJ1337" s="115"/>
      <c r="CK1337" s="115"/>
      <c r="CL1337" s="115"/>
      <c r="CM1337" s="115"/>
      <c r="CN1337" s="115"/>
      <c r="CO1337" s="115"/>
      <c r="CP1337" s="115"/>
      <c r="CQ1337" s="115"/>
      <c r="CR1337" s="115"/>
      <c r="CS1337" s="115"/>
      <c r="CT1337" s="115"/>
      <c r="CU1337" s="115"/>
      <c r="CV1337" s="115"/>
      <c r="CW1337" s="115"/>
      <c r="CX1337" s="115"/>
      <c r="CY1337" s="115"/>
      <c r="CZ1337" s="115"/>
      <c r="DA1337" s="115"/>
      <c r="DB1337" s="115"/>
      <c r="DC1337" s="115"/>
      <c r="DD1337" s="115"/>
      <c r="DE1337" s="115"/>
      <c r="DF1337" s="115"/>
      <c r="DG1337" s="115"/>
    </row>
    <row r="1338" spans="1:111" ht="9" customHeight="1">
      <c r="A1338" s="61" t="str">
        <f>CONCATENATE(Q1338,AC1338)</f>
        <v/>
      </c>
      <c r="J1338" s="416" t="str">
        <f>IF(C1328="","","Meta Vinculada:")</f>
        <v/>
      </c>
      <c r="K1338" s="416"/>
      <c r="L1338" s="416"/>
      <c r="M1338" s="416"/>
      <c r="N1338" s="416"/>
      <c r="O1338" s="416"/>
      <c r="Q1338" s="417"/>
      <c r="R1338" s="417"/>
      <c r="S1338" s="417"/>
      <c r="T1338" s="417"/>
      <c r="U1338" s="56"/>
      <c r="V1338" s="416" t="str">
        <f>IF(C1328="","","Etapa Vinculada:")</f>
        <v/>
      </c>
      <c r="W1338" s="416"/>
      <c r="X1338" s="416"/>
      <c r="Y1338" s="416"/>
      <c r="Z1338" s="416"/>
      <c r="AA1338" s="416"/>
      <c r="AC1338" s="417"/>
      <c r="AD1338" s="417"/>
      <c r="AE1338" s="417"/>
      <c r="AF1338" s="417"/>
      <c r="AG1338" s="56"/>
      <c r="AH1338" s="56"/>
      <c r="AI1338" s="56"/>
      <c r="AJ1338" s="56"/>
      <c r="AK1338" s="141"/>
      <c r="AL1338" s="141"/>
      <c r="AM1338" s="141"/>
      <c r="AN1338" s="141"/>
      <c r="AO1338" s="140"/>
      <c r="AP1338" s="140"/>
      <c r="AQ1338" s="140"/>
      <c r="AR1338" s="140"/>
      <c r="AS1338" s="142"/>
      <c r="AT1338" s="142"/>
      <c r="AU1338" s="142"/>
      <c r="AV1338" s="142"/>
      <c r="AW1338" s="140"/>
      <c r="AX1338" s="140"/>
      <c r="AY1338" s="140"/>
      <c r="AZ1338" s="140"/>
      <c r="BA1338" s="140"/>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c r="BY1338" s="115"/>
      <c r="BZ1338" s="115"/>
      <c r="CA1338" s="115"/>
      <c r="CB1338" s="115"/>
      <c r="CC1338" s="115"/>
      <c r="CD1338" s="115"/>
      <c r="CE1338" s="115"/>
      <c r="CF1338" s="115"/>
      <c r="CG1338" s="115"/>
      <c r="CH1338" s="115"/>
      <c r="CI1338" s="115"/>
      <c r="CJ1338" s="115"/>
      <c r="CK1338" s="115"/>
      <c r="CL1338" s="115"/>
      <c r="CM1338" s="115"/>
      <c r="CN1338" s="115"/>
      <c r="CO1338" s="115"/>
      <c r="CP1338" s="115"/>
      <c r="CQ1338" s="115"/>
      <c r="CR1338" s="115"/>
      <c r="CS1338" s="115"/>
      <c r="CT1338" s="115"/>
      <c r="CU1338" s="115"/>
      <c r="CV1338" s="115"/>
      <c r="CW1338" s="115"/>
      <c r="CX1338" s="115"/>
      <c r="CY1338" s="115"/>
      <c r="CZ1338" s="115"/>
      <c r="DA1338" s="115"/>
      <c r="DB1338" s="115"/>
      <c r="DC1338" s="115"/>
      <c r="DD1338" s="115"/>
      <c r="DE1338" s="115"/>
      <c r="DF1338" s="115"/>
      <c r="DG1338" s="115"/>
    </row>
    <row r="1339" spans="1:111" ht="9" customHeight="1">
      <c r="B1339" s="55"/>
      <c r="C1339" s="55"/>
      <c r="D1339" s="56"/>
      <c r="E1339" s="56"/>
      <c r="F1339" s="56"/>
      <c r="G1339" s="56"/>
      <c r="H1339" s="56"/>
      <c r="I1339" s="56"/>
      <c r="J1339" s="416"/>
      <c r="K1339" s="416"/>
      <c r="L1339" s="416"/>
      <c r="M1339" s="416"/>
      <c r="N1339" s="416"/>
      <c r="O1339" s="416"/>
      <c r="Q1339" s="417"/>
      <c r="R1339" s="417"/>
      <c r="S1339" s="417"/>
      <c r="T1339" s="417"/>
      <c r="U1339" s="56"/>
      <c r="V1339" s="416"/>
      <c r="W1339" s="416"/>
      <c r="X1339" s="416"/>
      <c r="Y1339" s="416"/>
      <c r="Z1339" s="416"/>
      <c r="AA1339" s="416"/>
      <c r="AC1339" s="417"/>
      <c r="AD1339" s="417"/>
      <c r="AE1339" s="417"/>
      <c r="AF1339" s="417"/>
      <c r="AG1339" s="56"/>
      <c r="AH1339" s="56"/>
      <c r="AI1339" s="56"/>
      <c r="AJ1339" s="56"/>
      <c r="AK1339" s="141"/>
      <c r="AL1339" s="141"/>
      <c r="AM1339" s="141"/>
      <c r="AN1339" s="141"/>
      <c r="AO1339" s="140"/>
      <c r="AP1339" s="140"/>
      <c r="AQ1339" s="140"/>
      <c r="AR1339" s="140"/>
      <c r="AS1339" s="142"/>
      <c r="AT1339" s="142"/>
      <c r="AU1339" s="142"/>
      <c r="AV1339" s="142"/>
      <c r="AW1339" s="140"/>
      <c r="AX1339" s="140"/>
      <c r="AY1339" s="140"/>
      <c r="AZ1339" s="140"/>
      <c r="BA1339" s="140"/>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c r="BY1339" s="115"/>
      <c r="BZ1339" s="115"/>
      <c r="CA1339" s="115"/>
      <c r="CB1339" s="115"/>
      <c r="CC1339" s="115"/>
      <c r="CD1339" s="115"/>
      <c r="CE1339" s="115"/>
      <c r="CF1339" s="115"/>
      <c r="CG1339" s="115"/>
      <c r="CH1339" s="115"/>
      <c r="CI1339" s="115"/>
      <c r="CJ1339" s="115"/>
      <c r="CK1339" s="115"/>
      <c r="CL1339" s="115"/>
      <c r="CM1339" s="115"/>
      <c r="CN1339" s="115"/>
      <c r="CO1339" s="115"/>
      <c r="CP1339" s="115"/>
      <c r="CQ1339" s="115"/>
      <c r="CR1339" s="115"/>
      <c r="CS1339" s="115"/>
      <c r="CT1339" s="115"/>
      <c r="CU1339" s="115"/>
      <c r="CV1339" s="115"/>
      <c r="CW1339" s="115"/>
      <c r="CX1339" s="115"/>
      <c r="CY1339" s="115"/>
      <c r="CZ1339" s="115"/>
      <c r="DA1339" s="115"/>
      <c r="DB1339" s="115"/>
      <c r="DC1339" s="115"/>
      <c r="DD1339" s="115"/>
      <c r="DE1339" s="115"/>
      <c r="DF1339" s="115"/>
      <c r="DG1339" s="115"/>
    </row>
    <row r="1340" spans="1:111" ht="9" customHeight="1">
      <c r="Q1340" s="417"/>
      <c r="R1340" s="417"/>
      <c r="S1340" s="417"/>
      <c r="T1340" s="417"/>
      <c r="AC1340" s="417"/>
      <c r="AD1340" s="417"/>
      <c r="AE1340" s="417"/>
      <c r="AF1340" s="417"/>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c r="BY1340" s="115"/>
      <c r="BZ1340" s="115"/>
      <c r="CA1340" s="115"/>
      <c r="CB1340" s="115"/>
      <c r="CC1340" s="115"/>
      <c r="CD1340" s="115"/>
      <c r="CE1340" s="115"/>
      <c r="CF1340" s="115"/>
      <c r="CG1340" s="115"/>
      <c r="CH1340" s="115"/>
      <c r="CI1340" s="115"/>
      <c r="CJ1340" s="115"/>
      <c r="CK1340" s="115"/>
      <c r="CL1340" s="115"/>
      <c r="CM1340" s="115"/>
      <c r="CN1340" s="115"/>
      <c r="CO1340" s="115"/>
      <c r="CP1340" s="115"/>
      <c r="CQ1340" s="115"/>
      <c r="CR1340" s="115"/>
      <c r="CS1340" s="115"/>
      <c r="CT1340" s="115"/>
      <c r="CU1340" s="115"/>
      <c r="CV1340" s="115"/>
      <c r="CW1340" s="115"/>
      <c r="CX1340" s="115"/>
      <c r="CY1340" s="115"/>
      <c r="CZ1340" s="115"/>
      <c r="DA1340" s="115"/>
      <c r="DB1340" s="115"/>
      <c r="DC1340" s="115"/>
      <c r="DD1340" s="115"/>
      <c r="DE1340" s="115"/>
      <c r="DF1340" s="115"/>
      <c r="DG1340" s="115"/>
    </row>
    <row r="1341" spans="1:111" ht="4.5" customHeight="1">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c r="BY1341" s="115"/>
      <c r="BZ1341" s="115"/>
      <c r="CA1341" s="115"/>
      <c r="CB1341" s="115"/>
      <c r="CC1341" s="115"/>
      <c r="CD1341" s="115"/>
      <c r="CE1341" s="115"/>
      <c r="CF1341" s="115"/>
      <c r="CG1341" s="115"/>
      <c r="CH1341" s="115"/>
      <c r="CI1341" s="115"/>
      <c r="CJ1341" s="115"/>
      <c r="CK1341" s="115"/>
      <c r="CL1341" s="115"/>
      <c r="CM1341" s="115"/>
      <c r="CN1341" s="115"/>
      <c r="CO1341" s="115"/>
      <c r="CP1341" s="115"/>
      <c r="CQ1341" s="115"/>
      <c r="CR1341" s="115"/>
      <c r="CS1341" s="115"/>
      <c r="CT1341" s="115"/>
      <c r="CU1341" s="115"/>
      <c r="CV1341" s="115"/>
      <c r="CW1341" s="115"/>
      <c r="CX1341" s="115"/>
      <c r="CY1341" s="115"/>
      <c r="CZ1341" s="115"/>
      <c r="DA1341" s="115"/>
      <c r="DB1341" s="115"/>
      <c r="DC1341" s="115"/>
      <c r="DD1341" s="115"/>
      <c r="DE1341" s="115"/>
      <c r="DF1341" s="115"/>
      <c r="DG1341" s="115"/>
    </row>
    <row r="1342" spans="1:111" ht="9" customHeight="1">
      <c r="A1342" s="154"/>
      <c r="B1342" s="154"/>
      <c r="C1342" s="154"/>
      <c r="D1342" s="154"/>
      <c r="E1342" s="154"/>
      <c r="F1342" s="154"/>
      <c r="G1342" s="154"/>
      <c r="H1342" s="154"/>
      <c r="I1342" s="154"/>
      <c r="J1342" s="416" t="str">
        <f>IF(C1328="","","Quantidade:")</f>
        <v/>
      </c>
      <c r="K1342" s="416"/>
      <c r="L1342" s="416"/>
      <c r="M1342" s="416"/>
      <c r="N1342" s="416"/>
      <c r="O1342" s="416"/>
      <c r="P1342" s="154"/>
      <c r="Q1342" s="417"/>
      <c r="R1342" s="417"/>
      <c r="S1342" s="417"/>
      <c r="T1342" s="417"/>
      <c r="U1342" s="154"/>
      <c r="V1342" s="416" t="str">
        <f>IF(C1328="","","Unidade:")</f>
        <v/>
      </c>
      <c r="W1342" s="416"/>
      <c r="X1342" s="416"/>
      <c r="Y1342" s="416"/>
      <c r="Z1342" s="416"/>
      <c r="AA1342" s="416"/>
      <c r="AB1342" s="154"/>
      <c r="AC1342" s="418"/>
      <c r="AD1342" s="418"/>
      <c r="AE1342" s="418"/>
      <c r="AF1342" s="418"/>
      <c r="AG1342" s="418"/>
      <c r="AH1342" s="418"/>
      <c r="AI1342" s="418"/>
      <c r="AJ1342" s="418"/>
      <c r="AK1342" s="418"/>
      <c r="AL1342" s="418"/>
      <c r="AM1342" s="418"/>
      <c r="AN1342" s="418"/>
      <c r="AO1342" s="418"/>
      <c r="AP1342" s="418"/>
      <c r="AQ1342" s="418"/>
      <c r="AR1342" s="418"/>
      <c r="AS1342" s="418"/>
      <c r="AT1342" s="418"/>
      <c r="AU1342" s="418"/>
      <c r="AV1342" s="418"/>
      <c r="AW1342" s="418"/>
      <c r="AX1342" s="418"/>
      <c r="AY1342" s="418"/>
      <c r="AZ1342" s="418"/>
      <c r="BA1342" s="418"/>
      <c r="BB1342" s="154"/>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c r="BY1342" s="115"/>
      <c r="BZ1342" s="115"/>
      <c r="CA1342" s="115"/>
      <c r="CB1342" s="115"/>
      <c r="CC1342" s="115"/>
      <c r="CD1342" s="115"/>
      <c r="CE1342" s="115"/>
      <c r="CF1342" s="115"/>
      <c r="CG1342" s="115"/>
      <c r="CH1342" s="115"/>
      <c r="CI1342" s="115"/>
      <c r="CJ1342" s="115"/>
      <c r="CK1342" s="115"/>
      <c r="CL1342" s="115"/>
      <c r="CM1342" s="115"/>
      <c r="CN1342" s="115"/>
      <c r="CO1342" s="115"/>
      <c r="CP1342" s="115"/>
      <c r="CQ1342" s="115"/>
      <c r="CR1342" s="115"/>
      <c r="CS1342" s="115"/>
      <c r="CT1342" s="115"/>
      <c r="CU1342" s="115"/>
      <c r="CV1342" s="115"/>
      <c r="CW1342" s="115"/>
      <c r="CX1342" s="115"/>
      <c r="CY1342" s="115"/>
      <c r="CZ1342" s="115"/>
      <c r="DA1342" s="115"/>
      <c r="DB1342" s="115"/>
      <c r="DC1342" s="115"/>
      <c r="DD1342" s="115"/>
      <c r="DE1342" s="115"/>
      <c r="DF1342" s="115"/>
      <c r="DG1342" s="115"/>
    </row>
    <row r="1343" spans="1:111" ht="9" customHeight="1">
      <c r="A1343" s="154"/>
      <c r="B1343" s="154"/>
      <c r="C1343" s="154"/>
      <c r="D1343" s="154"/>
      <c r="E1343" s="154"/>
      <c r="F1343" s="154"/>
      <c r="G1343" s="154"/>
      <c r="H1343" s="154"/>
      <c r="I1343" s="154"/>
      <c r="J1343" s="416"/>
      <c r="K1343" s="416"/>
      <c r="L1343" s="416"/>
      <c r="M1343" s="416"/>
      <c r="N1343" s="416"/>
      <c r="O1343" s="416"/>
      <c r="P1343" s="154"/>
      <c r="Q1343" s="417"/>
      <c r="R1343" s="417"/>
      <c r="S1343" s="417"/>
      <c r="T1343" s="417"/>
      <c r="U1343" s="154"/>
      <c r="V1343" s="416"/>
      <c r="W1343" s="416"/>
      <c r="X1343" s="416"/>
      <c r="Y1343" s="416"/>
      <c r="Z1343" s="416"/>
      <c r="AA1343" s="416"/>
      <c r="AB1343" s="154"/>
      <c r="AC1343" s="418"/>
      <c r="AD1343" s="418"/>
      <c r="AE1343" s="418"/>
      <c r="AF1343" s="418"/>
      <c r="AG1343" s="418"/>
      <c r="AH1343" s="418"/>
      <c r="AI1343" s="418"/>
      <c r="AJ1343" s="418"/>
      <c r="AK1343" s="418"/>
      <c r="AL1343" s="418"/>
      <c r="AM1343" s="418"/>
      <c r="AN1343" s="418"/>
      <c r="AO1343" s="418"/>
      <c r="AP1343" s="418"/>
      <c r="AQ1343" s="418"/>
      <c r="AR1343" s="418"/>
      <c r="AS1343" s="418"/>
      <c r="AT1343" s="418"/>
      <c r="AU1343" s="418"/>
      <c r="AV1343" s="418"/>
      <c r="AW1343" s="418"/>
      <c r="AX1343" s="418"/>
      <c r="AY1343" s="418"/>
      <c r="AZ1343" s="418"/>
      <c r="BA1343" s="418"/>
      <c r="BB1343" s="154"/>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c r="BY1343" s="115"/>
      <c r="BZ1343" s="115"/>
      <c r="CA1343" s="115"/>
      <c r="CB1343" s="115"/>
      <c r="CC1343" s="115"/>
      <c r="CD1343" s="115"/>
      <c r="CE1343" s="115"/>
      <c r="CF1343" s="115"/>
      <c r="CG1343" s="115"/>
      <c r="CH1343" s="115"/>
      <c r="CI1343" s="115"/>
      <c r="CJ1343" s="115"/>
      <c r="CK1343" s="115"/>
      <c r="CL1343" s="115"/>
      <c r="CM1343" s="115"/>
      <c r="CN1343" s="115"/>
      <c r="CO1343" s="115"/>
      <c r="CP1343" s="115"/>
      <c r="CQ1343" s="115"/>
      <c r="CR1343" s="115"/>
      <c r="CS1343" s="115"/>
      <c r="CT1343" s="115"/>
      <c r="CU1343" s="115"/>
      <c r="CV1343" s="115"/>
      <c r="CW1343" s="115"/>
      <c r="CX1343" s="115"/>
      <c r="CY1343" s="115"/>
      <c r="CZ1343" s="115"/>
      <c r="DA1343" s="115"/>
      <c r="DB1343" s="115"/>
      <c r="DC1343" s="115"/>
      <c r="DD1343" s="115"/>
      <c r="DE1343" s="115"/>
      <c r="DF1343" s="115"/>
      <c r="DG1343" s="115"/>
    </row>
    <row r="1344" spans="1:111" ht="9" customHeight="1">
      <c r="A1344" s="154"/>
      <c r="B1344" s="154"/>
      <c r="C1344" s="154"/>
      <c r="D1344" s="154"/>
      <c r="E1344" s="154"/>
      <c r="F1344" s="154"/>
      <c r="G1344" s="154"/>
      <c r="H1344" s="154"/>
      <c r="I1344" s="154"/>
      <c r="J1344" s="154"/>
      <c r="K1344" s="154"/>
      <c r="L1344" s="154"/>
      <c r="M1344" s="154"/>
      <c r="N1344" s="154"/>
      <c r="O1344" s="154"/>
      <c r="P1344" s="154"/>
      <c r="Q1344" s="417"/>
      <c r="R1344" s="417"/>
      <c r="S1344" s="417"/>
      <c r="T1344" s="417"/>
      <c r="U1344" s="154"/>
      <c r="V1344" s="154"/>
      <c r="W1344" s="154"/>
      <c r="X1344" s="154"/>
      <c r="Y1344" s="154"/>
      <c r="Z1344" s="154"/>
      <c r="AA1344" s="154"/>
      <c r="AB1344" s="154"/>
      <c r="AC1344" s="418"/>
      <c r="AD1344" s="418"/>
      <c r="AE1344" s="418"/>
      <c r="AF1344" s="418"/>
      <c r="AG1344" s="418"/>
      <c r="AH1344" s="418"/>
      <c r="AI1344" s="418"/>
      <c r="AJ1344" s="418"/>
      <c r="AK1344" s="418"/>
      <c r="AL1344" s="418"/>
      <c r="AM1344" s="418"/>
      <c r="AN1344" s="418"/>
      <c r="AO1344" s="418"/>
      <c r="AP1344" s="418"/>
      <c r="AQ1344" s="418"/>
      <c r="AR1344" s="418"/>
      <c r="AS1344" s="418"/>
      <c r="AT1344" s="418"/>
      <c r="AU1344" s="418"/>
      <c r="AV1344" s="418"/>
      <c r="AW1344" s="418"/>
      <c r="AX1344" s="418"/>
      <c r="AY1344" s="418"/>
      <c r="AZ1344" s="418"/>
      <c r="BA1344" s="418"/>
      <c r="BB1344" s="154"/>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c r="BY1344" s="115"/>
      <c r="BZ1344" s="115"/>
      <c r="CA1344" s="115"/>
      <c r="CB1344" s="115"/>
      <c r="CC1344" s="115"/>
      <c r="CD1344" s="115"/>
      <c r="CE1344" s="115"/>
      <c r="CF1344" s="115"/>
      <c r="CG1344" s="115"/>
      <c r="CH1344" s="115"/>
      <c r="CI1344" s="115"/>
      <c r="CJ1344" s="115"/>
      <c r="CK1344" s="115"/>
      <c r="CL1344" s="115"/>
      <c r="CM1344" s="115"/>
      <c r="CN1344" s="115"/>
      <c r="CO1344" s="115"/>
      <c r="CP1344" s="115"/>
      <c r="CQ1344" s="115"/>
      <c r="CR1344" s="115"/>
      <c r="CS1344" s="115"/>
      <c r="CT1344" s="115"/>
      <c r="CU1344" s="115"/>
      <c r="CV1344" s="115"/>
      <c r="CW1344" s="115"/>
      <c r="CX1344" s="115"/>
      <c r="CY1344" s="115"/>
      <c r="CZ1344" s="115"/>
      <c r="DA1344" s="115"/>
      <c r="DB1344" s="115"/>
      <c r="DC1344" s="115"/>
      <c r="DD1344" s="115"/>
      <c r="DE1344" s="115"/>
      <c r="DF1344" s="115"/>
      <c r="DG1344" s="115"/>
    </row>
    <row r="1345" spans="1:111" ht="4.5" customHeight="1">
      <c r="A1345" s="154"/>
      <c r="B1345" s="154"/>
      <c r="C1345" s="154"/>
      <c r="D1345" s="154"/>
      <c r="E1345" s="154"/>
      <c r="F1345" s="154"/>
      <c r="G1345" s="154"/>
      <c r="H1345" s="154"/>
      <c r="I1345" s="154"/>
      <c r="J1345" s="154"/>
      <c r="K1345" s="154"/>
      <c r="L1345" s="154"/>
      <c r="M1345" s="154"/>
      <c r="N1345" s="154"/>
      <c r="O1345" s="154"/>
      <c r="P1345" s="154"/>
      <c r="Q1345" s="154"/>
      <c r="R1345" s="154"/>
      <c r="S1345" s="154"/>
      <c r="T1345" s="154"/>
      <c r="U1345" s="154"/>
      <c r="V1345" s="154"/>
      <c r="W1345" s="154"/>
      <c r="X1345" s="154"/>
      <c r="Y1345" s="154"/>
      <c r="Z1345" s="154"/>
      <c r="AA1345" s="154"/>
      <c r="AB1345" s="154"/>
      <c r="AC1345" s="154"/>
      <c r="AD1345" s="154"/>
      <c r="AE1345" s="154"/>
      <c r="AF1345" s="154"/>
      <c r="AG1345" s="154"/>
      <c r="AH1345" s="154"/>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c r="BY1345" s="115"/>
      <c r="BZ1345" s="115"/>
      <c r="CA1345" s="115"/>
      <c r="CB1345" s="115"/>
      <c r="CC1345" s="115"/>
      <c r="CD1345" s="115"/>
      <c r="CE1345" s="115"/>
      <c r="CF1345" s="115"/>
      <c r="CG1345" s="115"/>
      <c r="CH1345" s="115"/>
      <c r="CI1345" s="115"/>
      <c r="CJ1345" s="115"/>
      <c r="CK1345" s="115"/>
      <c r="CL1345" s="115"/>
      <c r="CM1345" s="115"/>
      <c r="CN1345" s="115"/>
      <c r="CO1345" s="115"/>
      <c r="CP1345" s="115"/>
      <c r="CQ1345" s="115"/>
      <c r="CR1345" s="115"/>
      <c r="CS1345" s="115"/>
      <c r="CT1345" s="115"/>
      <c r="CU1345" s="115"/>
      <c r="CV1345" s="115"/>
      <c r="CW1345" s="115"/>
      <c r="CX1345" s="115"/>
      <c r="CY1345" s="115"/>
      <c r="CZ1345" s="115"/>
      <c r="DA1345" s="115"/>
      <c r="DB1345" s="115"/>
      <c r="DC1345" s="115"/>
      <c r="DD1345" s="115"/>
      <c r="DE1345" s="115"/>
      <c r="DF1345" s="115"/>
      <c r="DG1345" s="115"/>
    </row>
    <row r="1346" spans="1:111" ht="9" customHeight="1">
      <c r="A1346" s="154"/>
      <c r="B1346" s="154"/>
      <c r="C1346" s="154"/>
      <c r="D1346" s="154"/>
      <c r="E1346" s="154"/>
      <c r="F1346" s="154"/>
      <c r="G1346" s="154"/>
      <c r="H1346" s="154"/>
      <c r="I1346" s="154"/>
      <c r="J1346" s="416" t="str">
        <f>IF(C1328="","","Valor Unitário (R$):")</f>
        <v/>
      </c>
      <c r="K1346" s="416"/>
      <c r="L1346" s="416"/>
      <c r="M1346" s="416"/>
      <c r="N1346" s="416"/>
      <c r="O1346" s="416"/>
      <c r="P1346" s="154"/>
      <c r="Q1346" s="419"/>
      <c r="R1346" s="419"/>
      <c r="S1346" s="419"/>
      <c r="T1346" s="419"/>
      <c r="U1346" s="419"/>
      <c r="V1346" s="419"/>
      <c r="W1346" s="419"/>
      <c r="X1346" s="419"/>
      <c r="Y1346" s="154"/>
      <c r="Z1346" s="416" t="str">
        <f>IF(C1328="","",IF(J1334="52 Equipamentos e Material Permanente","Tempo de Uso:",""))</f>
        <v/>
      </c>
      <c r="AA1346" s="416"/>
      <c r="AB1346" s="416"/>
      <c r="AC1346" s="416"/>
      <c r="AD1346" s="416"/>
      <c r="AE1346" s="416"/>
      <c r="AF1346" s="154"/>
      <c r="AG1346" s="420"/>
      <c r="AH1346" s="420"/>
      <c r="AI1346" s="420"/>
      <c r="AJ1346" s="420"/>
      <c r="AK1346" s="420"/>
      <c r="AL1346" s="420"/>
      <c r="AM1346" s="420"/>
      <c r="AN1346" s="420"/>
      <c r="AO1346" s="420"/>
      <c r="AP1346" s="420"/>
      <c r="AQ1346" s="420"/>
      <c r="AR1346" s="420"/>
      <c r="AS1346" s="420"/>
      <c r="AT1346" s="420"/>
      <c r="AU1346" s="420"/>
      <c r="AV1346" s="420"/>
      <c r="AW1346" s="420"/>
      <c r="AX1346" s="420"/>
      <c r="AY1346" s="420"/>
      <c r="AZ1346" s="420"/>
      <c r="BA1346" s="420"/>
      <c r="BB1346" s="154"/>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c r="BY1346" s="115"/>
      <c r="BZ1346" s="115"/>
      <c r="CA1346" s="115"/>
      <c r="CB1346" s="115"/>
      <c r="CC1346" s="115"/>
      <c r="CD1346" s="115"/>
      <c r="CE1346" s="115"/>
      <c r="CF1346" s="115"/>
      <c r="CG1346" s="115"/>
      <c r="CH1346" s="115"/>
      <c r="CI1346" s="115"/>
      <c r="CJ1346" s="115"/>
      <c r="CK1346" s="115"/>
      <c r="CL1346" s="115"/>
      <c r="CM1346" s="115"/>
      <c r="CN1346" s="115"/>
      <c r="CO1346" s="115"/>
      <c r="CP1346" s="115"/>
      <c r="CQ1346" s="115"/>
      <c r="CR1346" s="115"/>
      <c r="CS1346" s="115"/>
      <c r="CT1346" s="115"/>
      <c r="CU1346" s="115"/>
      <c r="CV1346" s="115"/>
      <c r="CW1346" s="115"/>
      <c r="CX1346" s="115"/>
      <c r="CY1346" s="115"/>
      <c r="CZ1346" s="115"/>
      <c r="DA1346" s="115"/>
      <c r="DB1346" s="115"/>
      <c r="DC1346" s="115"/>
      <c r="DD1346" s="115"/>
      <c r="DE1346" s="115"/>
      <c r="DF1346" s="115"/>
      <c r="DG1346" s="115"/>
    </row>
    <row r="1347" spans="1:111" ht="9" customHeight="1">
      <c r="A1347" s="154"/>
      <c r="B1347" s="154"/>
      <c r="C1347" s="154"/>
      <c r="D1347" s="154"/>
      <c r="E1347" s="154"/>
      <c r="F1347" s="154"/>
      <c r="G1347" s="154"/>
      <c r="H1347" s="154"/>
      <c r="I1347" s="154"/>
      <c r="J1347" s="416"/>
      <c r="K1347" s="416"/>
      <c r="L1347" s="416"/>
      <c r="M1347" s="416"/>
      <c r="N1347" s="416"/>
      <c r="O1347" s="416"/>
      <c r="P1347" s="154"/>
      <c r="Q1347" s="419"/>
      <c r="R1347" s="419"/>
      <c r="S1347" s="419"/>
      <c r="T1347" s="419"/>
      <c r="U1347" s="419"/>
      <c r="V1347" s="419"/>
      <c r="W1347" s="419"/>
      <c r="X1347" s="419"/>
      <c r="Y1347" s="154"/>
      <c r="Z1347" s="416"/>
      <c r="AA1347" s="416"/>
      <c r="AB1347" s="416"/>
      <c r="AC1347" s="416"/>
      <c r="AD1347" s="416"/>
      <c r="AE1347" s="416"/>
      <c r="AF1347" s="154"/>
      <c r="AG1347" s="420"/>
      <c r="AH1347" s="420"/>
      <c r="AI1347" s="420"/>
      <c r="AJ1347" s="420"/>
      <c r="AK1347" s="420"/>
      <c r="AL1347" s="420"/>
      <c r="AM1347" s="420"/>
      <c r="AN1347" s="420"/>
      <c r="AO1347" s="420"/>
      <c r="AP1347" s="420"/>
      <c r="AQ1347" s="420"/>
      <c r="AR1347" s="420"/>
      <c r="AS1347" s="420"/>
      <c r="AT1347" s="420"/>
      <c r="AU1347" s="420"/>
      <c r="AV1347" s="420"/>
      <c r="AW1347" s="420"/>
      <c r="AX1347" s="420"/>
      <c r="AY1347" s="420"/>
      <c r="AZ1347" s="420"/>
      <c r="BA1347" s="420"/>
      <c r="BB1347" s="154"/>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c r="BY1347" s="115"/>
      <c r="BZ1347" s="115"/>
      <c r="CA1347" s="115"/>
      <c r="CB1347" s="115"/>
      <c r="CC1347" s="115"/>
      <c r="CD1347" s="115"/>
      <c r="CE1347" s="115"/>
      <c r="CF1347" s="115"/>
      <c r="CG1347" s="115"/>
      <c r="CH1347" s="115"/>
      <c r="CI1347" s="115"/>
      <c r="CJ1347" s="115"/>
      <c r="CK1347" s="115"/>
      <c r="CL1347" s="115"/>
      <c r="CM1347" s="115"/>
      <c r="CN1347" s="115"/>
      <c r="CO1347" s="115"/>
      <c r="CP1347" s="115"/>
      <c r="CQ1347" s="115"/>
      <c r="CR1347" s="115"/>
      <c r="CS1347" s="115"/>
      <c r="CT1347" s="115"/>
      <c r="CU1347" s="115"/>
      <c r="CV1347" s="115"/>
      <c r="CW1347" s="115"/>
      <c r="CX1347" s="115"/>
      <c r="CY1347" s="115"/>
      <c r="CZ1347" s="115"/>
      <c r="DA1347" s="115"/>
      <c r="DB1347" s="115"/>
      <c r="DC1347" s="115"/>
      <c r="DD1347" s="115"/>
      <c r="DE1347" s="115"/>
      <c r="DF1347" s="115"/>
      <c r="DG1347" s="115"/>
    </row>
    <row r="1348" spans="1:111" ht="9" customHeight="1">
      <c r="A1348" s="154"/>
      <c r="B1348" s="154"/>
      <c r="C1348" s="154"/>
      <c r="D1348" s="154"/>
      <c r="E1348" s="154"/>
      <c r="F1348" s="154"/>
      <c r="G1348" s="154"/>
      <c r="H1348" s="154"/>
      <c r="I1348" s="154"/>
      <c r="J1348" s="154"/>
      <c r="K1348" s="154"/>
      <c r="L1348" s="154"/>
      <c r="M1348" s="154"/>
      <c r="N1348" s="154"/>
      <c r="O1348" s="154"/>
      <c r="P1348" s="154"/>
      <c r="Q1348" s="419"/>
      <c r="R1348" s="419"/>
      <c r="S1348" s="419"/>
      <c r="T1348" s="419"/>
      <c r="U1348" s="419"/>
      <c r="V1348" s="419"/>
      <c r="W1348" s="419"/>
      <c r="X1348" s="419"/>
      <c r="Y1348" s="154"/>
      <c r="Z1348" s="154"/>
      <c r="AA1348" s="154"/>
      <c r="AB1348" s="154"/>
      <c r="AC1348" s="154"/>
      <c r="AD1348" s="154"/>
      <c r="AE1348" s="154"/>
      <c r="AF1348" s="154"/>
      <c r="AG1348" s="420"/>
      <c r="AH1348" s="420"/>
      <c r="AI1348" s="420"/>
      <c r="AJ1348" s="420"/>
      <c r="AK1348" s="420"/>
      <c r="AL1348" s="420"/>
      <c r="AM1348" s="420"/>
      <c r="AN1348" s="420"/>
      <c r="AO1348" s="420"/>
      <c r="AP1348" s="420"/>
      <c r="AQ1348" s="420"/>
      <c r="AR1348" s="420"/>
      <c r="AS1348" s="420"/>
      <c r="AT1348" s="420"/>
      <c r="AU1348" s="420"/>
      <c r="AV1348" s="420"/>
      <c r="AW1348" s="420"/>
      <c r="AX1348" s="420"/>
      <c r="AY1348" s="420"/>
      <c r="AZ1348" s="420"/>
      <c r="BA1348" s="420"/>
      <c r="BB1348" s="154"/>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c r="BY1348" s="115"/>
      <c r="BZ1348" s="115"/>
      <c r="CA1348" s="115"/>
      <c r="CB1348" s="115"/>
      <c r="CC1348" s="115"/>
      <c r="CD1348" s="115"/>
      <c r="CE1348" s="115"/>
      <c r="CF1348" s="115"/>
      <c r="CG1348" s="115"/>
      <c r="CH1348" s="115"/>
      <c r="CI1348" s="115"/>
      <c r="CJ1348" s="115"/>
      <c r="CK1348" s="115"/>
      <c r="CL1348" s="115"/>
      <c r="CM1348" s="115"/>
      <c r="CN1348" s="115"/>
      <c r="CO1348" s="115"/>
      <c r="CP1348" s="115"/>
      <c r="CQ1348" s="115"/>
      <c r="CR1348" s="115"/>
      <c r="CS1348" s="115"/>
      <c r="CT1348" s="115"/>
      <c r="CU1348" s="115"/>
      <c r="CV1348" s="115"/>
      <c r="CW1348" s="115"/>
      <c r="CX1348" s="115"/>
      <c r="CY1348" s="115"/>
      <c r="CZ1348" s="115"/>
      <c r="DA1348" s="115"/>
      <c r="DB1348" s="115"/>
      <c r="DC1348" s="115"/>
      <c r="DD1348" s="115"/>
      <c r="DE1348" s="115"/>
      <c r="DF1348" s="115"/>
      <c r="DG1348" s="115"/>
    </row>
    <row r="1349" spans="1:111" ht="4.5" customHeight="1">
      <c r="A1349" s="154"/>
      <c r="B1349" s="154"/>
      <c r="C1349" s="154"/>
      <c r="D1349" s="154"/>
      <c r="E1349" s="154"/>
      <c r="F1349" s="154"/>
      <c r="G1349" s="154"/>
      <c r="H1349" s="154"/>
      <c r="I1349" s="154"/>
      <c r="J1349" s="154"/>
      <c r="K1349" s="154"/>
      <c r="L1349" s="154"/>
      <c r="M1349" s="154"/>
      <c r="N1349" s="154"/>
      <c r="O1349" s="154"/>
      <c r="P1349" s="154"/>
      <c r="Q1349" s="154"/>
      <c r="R1349" s="154"/>
      <c r="S1349" s="154"/>
      <c r="T1349" s="154"/>
      <c r="U1349" s="154"/>
      <c r="V1349" s="154"/>
      <c r="W1349" s="154"/>
      <c r="X1349" s="154"/>
      <c r="Y1349" s="154"/>
      <c r="Z1349" s="154"/>
      <c r="AA1349" s="154"/>
      <c r="AB1349" s="154"/>
      <c r="AC1349" s="154"/>
      <c r="AD1349" s="154"/>
      <c r="AE1349" s="154"/>
      <c r="AF1349" s="154"/>
      <c r="AG1349" s="154"/>
      <c r="AH1349" s="154"/>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c r="BY1349" s="115"/>
      <c r="BZ1349" s="115"/>
      <c r="CA1349" s="115"/>
      <c r="CB1349" s="115"/>
      <c r="CC1349" s="115"/>
      <c r="CD1349" s="115"/>
      <c r="CE1349" s="115"/>
      <c r="CF1349" s="115"/>
      <c r="CG1349" s="115"/>
      <c r="CH1349" s="115"/>
      <c r="CI1349" s="115"/>
      <c r="CJ1349" s="115"/>
      <c r="CK1349" s="115"/>
      <c r="CL1349" s="115"/>
      <c r="CM1349" s="115"/>
      <c r="CN1349" s="115"/>
      <c r="CO1349" s="115"/>
      <c r="CP1349" s="115"/>
      <c r="CQ1349" s="115"/>
      <c r="CR1349" s="115"/>
      <c r="CS1349" s="115"/>
      <c r="CT1349" s="115"/>
      <c r="CU1349" s="115"/>
      <c r="CV1349" s="115"/>
      <c r="CW1349" s="115"/>
      <c r="CX1349" s="115"/>
      <c r="CY1349" s="115"/>
      <c r="CZ1349" s="115"/>
      <c r="DA1349" s="115"/>
      <c r="DB1349" s="115"/>
      <c r="DC1349" s="115"/>
      <c r="DD1349" s="115"/>
      <c r="DE1349" s="115"/>
      <c r="DF1349" s="115"/>
      <c r="DG1349" s="115"/>
    </row>
    <row r="1350" spans="1:111" ht="9" customHeight="1">
      <c r="A1350" s="154"/>
      <c r="B1350" s="154"/>
      <c r="C1350" s="154"/>
      <c r="D1350" s="154"/>
      <c r="E1350" s="154"/>
      <c r="F1350" s="154"/>
      <c r="G1350" s="154"/>
      <c r="H1350" s="154"/>
      <c r="I1350" s="154"/>
      <c r="J1350" s="416" t="str">
        <f>IF(C1328="","","Valor Total (R$):")</f>
        <v/>
      </c>
      <c r="K1350" s="416"/>
      <c r="L1350" s="416"/>
      <c r="M1350" s="416"/>
      <c r="N1350" s="416"/>
      <c r="O1350" s="416"/>
      <c r="P1350" s="154"/>
      <c r="Q1350" s="419" t="str">
        <f>IF(Q1346="","",Q1342*Q1346)</f>
        <v/>
      </c>
      <c r="R1350" s="419"/>
      <c r="S1350" s="419"/>
      <c r="T1350" s="419"/>
      <c r="U1350" s="419"/>
      <c r="V1350" s="419"/>
      <c r="W1350" s="419"/>
      <c r="X1350" s="419"/>
      <c r="Y1350" s="154"/>
      <c r="Z1350" s="416" t="str">
        <f>IF(C1328="","",IF(J1334="52 Equipamentos e Material Permanente","Justificativa e Utilização:",""))</f>
        <v/>
      </c>
      <c r="AA1350" s="416"/>
      <c r="AB1350" s="416"/>
      <c r="AC1350" s="416"/>
      <c r="AD1350" s="416"/>
      <c r="AE1350" s="416"/>
      <c r="AF1350" s="154"/>
      <c r="AG1350" s="420"/>
      <c r="AH1350" s="420"/>
      <c r="AI1350" s="420"/>
      <c r="AJ1350" s="420"/>
      <c r="AK1350" s="420"/>
      <c r="AL1350" s="420"/>
      <c r="AM1350" s="420"/>
      <c r="AN1350" s="420"/>
      <c r="AO1350" s="420"/>
      <c r="AP1350" s="420"/>
      <c r="AQ1350" s="420"/>
      <c r="AR1350" s="420"/>
      <c r="AS1350" s="420"/>
      <c r="AT1350" s="420"/>
      <c r="AU1350" s="420"/>
      <c r="AV1350" s="420"/>
      <c r="AW1350" s="420"/>
      <c r="AX1350" s="420"/>
      <c r="AY1350" s="420"/>
      <c r="AZ1350" s="420"/>
      <c r="BA1350" s="420"/>
      <c r="BB1350" s="154"/>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c r="BY1350" s="115"/>
      <c r="BZ1350" s="115"/>
      <c r="CA1350" s="115"/>
      <c r="CB1350" s="115"/>
      <c r="CC1350" s="115"/>
      <c r="CD1350" s="115"/>
      <c r="CE1350" s="115"/>
      <c r="CF1350" s="115"/>
      <c r="CG1350" s="115"/>
      <c r="CH1350" s="115"/>
      <c r="CI1350" s="115"/>
      <c r="CJ1350" s="115"/>
      <c r="CK1350" s="115"/>
      <c r="CL1350" s="115"/>
      <c r="CM1350" s="115"/>
      <c r="CN1350" s="115"/>
      <c r="CO1350" s="115"/>
      <c r="CP1350" s="115"/>
      <c r="CQ1350" s="115"/>
      <c r="CR1350" s="115"/>
      <c r="CS1350" s="115"/>
      <c r="CT1350" s="115"/>
      <c r="CU1350" s="115"/>
      <c r="CV1350" s="115"/>
      <c r="CW1350" s="115"/>
      <c r="CX1350" s="115"/>
      <c r="CY1350" s="115"/>
      <c r="CZ1350" s="115"/>
      <c r="DA1350" s="115"/>
      <c r="DB1350" s="115"/>
      <c r="DC1350" s="115"/>
      <c r="DD1350" s="115"/>
      <c r="DE1350" s="115"/>
      <c r="DF1350" s="115"/>
      <c r="DG1350" s="115"/>
    </row>
    <row r="1351" spans="1:111" ht="9" customHeight="1">
      <c r="A1351" s="154"/>
      <c r="B1351" s="154"/>
      <c r="C1351" s="154"/>
      <c r="D1351" s="154"/>
      <c r="E1351" s="154"/>
      <c r="F1351" s="154"/>
      <c r="G1351" s="154"/>
      <c r="H1351" s="154"/>
      <c r="I1351" s="154"/>
      <c r="J1351" s="416"/>
      <c r="K1351" s="416"/>
      <c r="L1351" s="416"/>
      <c r="M1351" s="416"/>
      <c r="N1351" s="416"/>
      <c r="O1351" s="416"/>
      <c r="P1351" s="154"/>
      <c r="Q1351" s="419"/>
      <c r="R1351" s="419"/>
      <c r="S1351" s="419"/>
      <c r="T1351" s="419"/>
      <c r="U1351" s="419"/>
      <c r="V1351" s="419"/>
      <c r="W1351" s="419"/>
      <c r="X1351" s="419"/>
      <c r="Y1351" s="154"/>
      <c r="Z1351" s="416"/>
      <c r="AA1351" s="416"/>
      <c r="AB1351" s="416"/>
      <c r="AC1351" s="416"/>
      <c r="AD1351" s="416"/>
      <c r="AE1351" s="416"/>
      <c r="AF1351" s="154"/>
      <c r="AG1351" s="420"/>
      <c r="AH1351" s="420"/>
      <c r="AI1351" s="420"/>
      <c r="AJ1351" s="420"/>
      <c r="AK1351" s="420"/>
      <c r="AL1351" s="420"/>
      <c r="AM1351" s="420"/>
      <c r="AN1351" s="420"/>
      <c r="AO1351" s="420"/>
      <c r="AP1351" s="420"/>
      <c r="AQ1351" s="420"/>
      <c r="AR1351" s="420"/>
      <c r="AS1351" s="420"/>
      <c r="AT1351" s="420"/>
      <c r="AU1351" s="420"/>
      <c r="AV1351" s="420"/>
      <c r="AW1351" s="420"/>
      <c r="AX1351" s="420"/>
      <c r="AY1351" s="420"/>
      <c r="AZ1351" s="420"/>
      <c r="BA1351" s="420"/>
      <c r="BB1351" s="154"/>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c r="BY1351" s="115"/>
      <c r="BZ1351" s="115"/>
      <c r="CA1351" s="115"/>
      <c r="CB1351" s="115"/>
      <c r="CC1351" s="115"/>
      <c r="CD1351" s="115"/>
      <c r="CE1351" s="115"/>
      <c r="CF1351" s="115"/>
      <c r="CG1351" s="115"/>
      <c r="CH1351" s="115"/>
      <c r="CI1351" s="115"/>
      <c r="CJ1351" s="115"/>
      <c r="CK1351" s="115"/>
      <c r="CL1351" s="115"/>
      <c r="CM1351" s="115"/>
      <c r="CN1351" s="115"/>
      <c r="CO1351" s="115"/>
      <c r="CP1351" s="115"/>
      <c r="CQ1351" s="115"/>
      <c r="CR1351" s="115"/>
      <c r="CS1351" s="115"/>
      <c r="CT1351" s="115"/>
      <c r="CU1351" s="115"/>
      <c r="CV1351" s="115"/>
      <c r="CW1351" s="115"/>
      <c r="CX1351" s="115"/>
      <c r="CY1351" s="115"/>
      <c r="CZ1351" s="115"/>
      <c r="DA1351" s="115"/>
      <c r="DB1351" s="115"/>
      <c r="DC1351" s="115"/>
      <c r="DD1351" s="115"/>
      <c r="DE1351" s="115"/>
      <c r="DF1351" s="115"/>
      <c r="DG1351" s="115"/>
    </row>
    <row r="1352" spans="1:111" ht="9" customHeight="1">
      <c r="A1352" s="154"/>
      <c r="B1352" s="154"/>
      <c r="C1352" s="154"/>
      <c r="D1352" s="154"/>
      <c r="E1352" s="154"/>
      <c r="F1352" s="154"/>
      <c r="G1352" s="154"/>
      <c r="H1352" s="154"/>
      <c r="I1352" s="154"/>
      <c r="J1352" s="154"/>
      <c r="K1352" s="154"/>
      <c r="L1352" s="154"/>
      <c r="M1352" s="154"/>
      <c r="N1352" s="154"/>
      <c r="O1352" s="154"/>
      <c r="P1352" s="154"/>
      <c r="Q1352" s="419"/>
      <c r="R1352" s="419"/>
      <c r="S1352" s="419"/>
      <c r="T1352" s="419"/>
      <c r="U1352" s="419"/>
      <c r="V1352" s="419"/>
      <c r="W1352" s="419"/>
      <c r="X1352" s="419"/>
      <c r="Y1352" s="154"/>
      <c r="Z1352" s="154"/>
      <c r="AA1352" s="154"/>
      <c r="AB1352" s="154"/>
      <c r="AC1352" s="154"/>
      <c r="AD1352" s="154"/>
      <c r="AE1352" s="154"/>
      <c r="AF1352" s="154"/>
      <c r="AG1352" s="420"/>
      <c r="AH1352" s="420"/>
      <c r="AI1352" s="420"/>
      <c r="AJ1352" s="420"/>
      <c r="AK1352" s="420"/>
      <c r="AL1352" s="420"/>
      <c r="AM1352" s="420"/>
      <c r="AN1352" s="420"/>
      <c r="AO1352" s="420"/>
      <c r="AP1352" s="420"/>
      <c r="AQ1352" s="420"/>
      <c r="AR1352" s="420"/>
      <c r="AS1352" s="420"/>
      <c r="AT1352" s="420"/>
      <c r="AU1352" s="420"/>
      <c r="AV1352" s="420"/>
      <c r="AW1352" s="420"/>
      <c r="AX1352" s="420"/>
      <c r="AY1352" s="420"/>
      <c r="AZ1352" s="420"/>
      <c r="BA1352" s="420"/>
      <c r="BB1352" s="154"/>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c r="BY1352" s="115"/>
      <c r="BZ1352" s="115"/>
      <c r="CA1352" s="115"/>
      <c r="CB1352" s="115"/>
      <c r="CC1352" s="115"/>
      <c r="CD1352" s="115"/>
      <c r="CE1352" s="115"/>
      <c r="CF1352" s="115"/>
      <c r="CG1352" s="115"/>
      <c r="CH1352" s="115"/>
      <c r="CI1352" s="115"/>
      <c r="CJ1352" s="115"/>
      <c r="CK1352" s="115"/>
      <c r="CL1352" s="115"/>
      <c r="CM1352" s="115"/>
      <c r="CN1352" s="115"/>
      <c r="CO1352" s="115"/>
      <c r="CP1352" s="115"/>
      <c r="CQ1352" s="115"/>
      <c r="CR1352" s="115"/>
      <c r="CS1352" s="115"/>
      <c r="CT1352" s="115"/>
      <c r="CU1352" s="115"/>
      <c r="CV1352" s="115"/>
      <c r="CW1352" s="115"/>
      <c r="CX1352" s="115"/>
      <c r="CY1352" s="115"/>
      <c r="CZ1352" s="115"/>
      <c r="DA1352" s="115"/>
      <c r="DB1352" s="115"/>
      <c r="DC1352" s="115"/>
      <c r="DD1352" s="115"/>
      <c r="DE1352" s="115"/>
      <c r="DF1352" s="115"/>
      <c r="DG1352" s="115"/>
    </row>
    <row r="1353" spans="1:111" ht="9" customHeight="1">
      <c r="A1353" s="154"/>
      <c r="B1353" s="154"/>
      <c r="C1353" s="154"/>
      <c r="D1353" s="154"/>
      <c r="E1353" s="154"/>
      <c r="F1353" s="154"/>
      <c r="G1353" s="154"/>
      <c r="H1353" s="154"/>
      <c r="I1353" s="154"/>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420"/>
      <c r="AH1353" s="420"/>
      <c r="AI1353" s="420"/>
      <c r="AJ1353" s="420"/>
      <c r="AK1353" s="420"/>
      <c r="AL1353" s="420"/>
      <c r="AM1353" s="420"/>
      <c r="AN1353" s="420"/>
      <c r="AO1353" s="420"/>
      <c r="AP1353" s="420"/>
      <c r="AQ1353" s="420"/>
      <c r="AR1353" s="420"/>
      <c r="AS1353" s="420"/>
      <c r="AT1353" s="420"/>
      <c r="AU1353" s="420"/>
      <c r="AV1353" s="420"/>
      <c r="AW1353" s="420"/>
      <c r="AX1353" s="420"/>
      <c r="AY1353" s="420"/>
      <c r="AZ1353" s="420"/>
      <c r="BA1353" s="420"/>
      <c r="BB1353" s="154"/>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c r="BY1353" s="115"/>
      <c r="BZ1353" s="115"/>
      <c r="CA1353" s="115"/>
      <c r="CB1353" s="115"/>
      <c r="CC1353" s="115"/>
      <c r="CD1353" s="115"/>
      <c r="CE1353" s="115"/>
      <c r="CF1353" s="115"/>
      <c r="CG1353" s="115"/>
      <c r="CH1353" s="115"/>
      <c r="CI1353" s="115"/>
      <c r="CJ1353" s="115"/>
      <c r="CK1353" s="115"/>
      <c r="CL1353" s="115"/>
      <c r="CM1353" s="115"/>
      <c r="CN1353" s="115"/>
      <c r="CO1353" s="115"/>
      <c r="CP1353" s="115"/>
      <c r="CQ1353" s="115"/>
      <c r="CR1353" s="115"/>
      <c r="CS1353" s="115"/>
      <c r="CT1353" s="115"/>
      <c r="CU1353" s="115"/>
      <c r="CV1353" s="115"/>
      <c r="CW1353" s="115"/>
      <c r="CX1353" s="115"/>
      <c r="CY1353" s="115"/>
      <c r="CZ1353" s="115"/>
      <c r="DA1353" s="115"/>
      <c r="DB1353" s="115"/>
      <c r="DC1353" s="115"/>
      <c r="DD1353" s="115"/>
      <c r="DE1353" s="115"/>
      <c r="DF1353" s="115"/>
      <c r="DG1353" s="115"/>
    </row>
    <row r="1354" spans="1:111" ht="9" customHeight="1">
      <c r="A1354" s="154"/>
      <c r="B1354" s="154"/>
      <c r="C1354" s="154"/>
      <c r="D1354" s="154"/>
      <c r="E1354" s="154"/>
      <c r="F1354" s="154"/>
      <c r="G1354" s="154"/>
      <c r="H1354" s="154"/>
      <c r="I1354" s="154"/>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420"/>
      <c r="AH1354" s="420"/>
      <c r="AI1354" s="420"/>
      <c r="AJ1354" s="420"/>
      <c r="AK1354" s="420"/>
      <c r="AL1354" s="420"/>
      <c r="AM1354" s="420"/>
      <c r="AN1354" s="420"/>
      <c r="AO1354" s="420"/>
      <c r="AP1354" s="420"/>
      <c r="AQ1354" s="420"/>
      <c r="AR1354" s="420"/>
      <c r="AS1354" s="420"/>
      <c r="AT1354" s="420"/>
      <c r="AU1354" s="420"/>
      <c r="AV1354" s="420"/>
      <c r="AW1354" s="420"/>
      <c r="AX1354" s="420"/>
      <c r="AY1354" s="420"/>
      <c r="AZ1354" s="420"/>
      <c r="BA1354" s="420"/>
      <c r="BB1354" s="154"/>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c r="BY1354" s="115"/>
      <c r="BZ1354" s="115"/>
      <c r="CA1354" s="115"/>
      <c r="CB1354" s="115"/>
      <c r="CC1354" s="115"/>
      <c r="CD1354" s="115"/>
      <c r="CE1354" s="115"/>
      <c r="CF1354" s="115"/>
      <c r="CG1354" s="115"/>
      <c r="CH1354" s="115"/>
      <c r="CI1354" s="115"/>
      <c r="CJ1354" s="115"/>
      <c r="CK1354" s="115"/>
      <c r="CL1354" s="115"/>
      <c r="CM1354" s="115"/>
      <c r="CN1354" s="115"/>
      <c r="CO1354" s="115"/>
      <c r="CP1354" s="115"/>
      <c r="CQ1354" s="115"/>
      <c r="CR1354" s="115"/>
      <c r="CS1354" s="115"/>
      <c r="CT1354" s="115"/>
      <c r="CU1354" s="115"/>
      <c r="CV1354" s="115"/>
      <c r="CW1354" s="115"/>
      <c r="CX1354" s="115"/>
      <c r="CY1354" s="115"/>
      <c r="CZ1354" s="115"/>
      <c r="DA1354" s="115"/>
      <c r="DB1354" s="115"/>
      <c r="DC1354" s="115"/>
      <c r="DD1354" s="115"/>
      <c r="DE1354" s="115"/>
      <c r="DF1354" s="115"/>
      <c r="DG1354" s="115"/>
    </row>
    <row r="1355" spans="1:111" ht="9" customHeight="1">
      <c r="A1355" s="154"/>
      <c r="B1355" s="154"/>
      <c r="C1355" s="154"/>
      <c r="D1355" s="154"/>
      <c r="E1355" s="154"/>
      <c r="F1355" s="154"/>
      <c r="G1355" s="154"/>
      <c r="H1355" s="154"/>
      <c r="I1355" s="154"/>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420"/>
      <c r="AH1355" s="420"/>
      <c r="AI1355" s="420"/>
      <c r="AJ1355" s="420"/>
      <c r="AK1355" s="420"/>
      <c r="AL1355" s="420"/>
      <c r="AM1355" s="420"/>
      <c r="AN1355" s="420"/>
      <c r="AO1355" s="420"/>
      <c r="AP1355" s="420"/>
      <c r="AQ1355" s="420"/>
      <c r="AR1355" s="420"/>
      <c r="AS1355" s="420"/>
      <c r="AT1355" s="420"/>
      <c r="AU1355" s="420"/>
      <c r="AV1355" s="420"/>
      <c r="AW1355" s="420"/>
      <c r="AX1355" s="420"/>
      <c r="AY1355" s="420"/>
      <c r="AZ1355" s="420"/>
      <c r="BA1355" s="420"/>
      <c r="BB1355" s="154"/>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c r="BY1355" s="115"/>
      <c r="BZ1355" s="115"/>
      <c r="CA1355" s="115"/>
      <c r="CB1355" s="115"/>
      <c r="CC1355" s="115"/>
      <c r="CD1355" s="115"/>
      <c r="CE1355" s="115"/>
      <c r="CF1355" s="115"/>
      <c r="CG1355" s="115"/>
      <c r="CH1355" s="115"/>
      <c r="CI1355" s="115"/>
      <c r="CJ1355" s="115"/>
      <c r="CK1355" s="115"/>
      <c r="CL1355" s="115"/>
      <c r="CM1355" s="115"/>
      <c r="CN1355" s="115"/>
      <c r="CO1355" s="115"/>
      <c r="CP1355" s="115"/>
      <c r="CQ1355" s="115"/>
      <c r="CR1355" s="115"/>
      <c r="CS1355" s="115"/>
      <c r="CT1355" s="115"/>
      <c r="CU1355" s="115"/>
      <c r="CV1355" s="115"/>
      <c r="CW1355" s="115"/>
      <c r="CX1355" s="115"/>
      <c r="CY1355" s="115"/>
      <c r="CZ1355" s="115"/>
      <c r="DA1355" s="115"/>
      <c r="DB1355" s="115"/>
      <c r="DC1355" s="115"/>
      <c r="DD1355" s="115"/>
      <c r="DE1355" s="115"/>
      <c r="DF1355" s="115"/>
      <c r="DG1355" s="115"/>
    </row>
    <row r="1356" spans="1:111" ht="15" customHeight="1">
      <c r="B1356" s="55"/>
      <c r="C1356" s="55"/>
      <c r="D1356" s="56"/>
      <c r="E1356" s="56"/>
      <c r="F1356" s="56"/>
      <c r="G1356" s="56"/>
      <c r="H1356" s="56"/>
      <c r="I1356" s="56"/>
      <c r="J1356" s="56"/>
      <c r="K1356" s="56"/>
      <c r="L1356" s="56"/>
      <c r="M1356" s="56"/>
      <c r="N1356" s="56"/>
      <c r="O1356" s="56"/>
      <c r="P1356" s="56"/>
      <c r="Q1356" s="56"/>
      <c r="R1356" s="56"/>
      <c r="S1356" s="56"/>
      <c r="T1356" s="56"/>
      <c r="U1356" s="56"/>
      <c r="V1356" s="56"/>
      <c r="W1356" s="56"/>
      <c r="X1356" s="56"/>
      <c r="Y1356" s="56"/>
      <c r="Z1356" s="56"/>
      <c r="AA1356" s="56"/>
      <c r="AB1356" s="56"/>
      <c r="AC1356" s="56"/>
      <c r="AD1356" s="56"/>
      <c r="AE1356" s="56"/>
      <c r="AF1356" s="56"/>
      <c r="AG1356" s="56"/>
      <c r="AH1356" s="56"/>
      <c r="AI1356" s="56"/>
      <c r="AJ1356" s="56"/>
      <c r="AK1356" s="141"/>
      <c r="AL1356" s="141"/>
      <c r="AM1356" s="141"/>
      <c r="AN1356" s="141"/>
      <c r="AO1356" s="140"/>
      <c r="AP1356" s="140"/>
      <c r="AQ1356" s="140"/>
      <c r="AR1356" s="140"/>
      <c r="AS1356" s="142"/>
      <c r="AT1356" s="142"/>
      <c r="AU1356" s="142"/>
      <c r="AV1356" s="142"/>
      <c r="AW1356" s="140"/>
      <c r="AX1356" s="140"/>
      <c r="AY1356" s="140"/>
      <c r="AZ1356" s="140"/>
      <c r="BA1356" s="140"/>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c r="BY1356" s="115"/>
      <c r="BZ1356" s="115"/>
      <c r="CA1356" s="115"/>
      <c r="CB1356" s="115"/>
      <c r="CC1356" s="115"/>
      <c r="CD1356" s="115"/>
      <c r="CE1356" s="115"/>
      <c r="CF1356" s="115"/>
      <c r="CG1356" s="115"/>
      <c r="CH1356" s="115"/>
      <c r="CI1356" s="115"/>
      <c r="CJ1356" s="115"/>
      <c r="CK1356" s="115"/>
      <c r="CL1356" s="115"/>
      <c r="CM1356" s="115"/>
      <c r="CN1356" s="115"/>
      <c r="CO1356" s="115"/>
      <c r="CP1356" s="115"/>
      <c r="CQ1356" s="115"/>
      <c r="CR1356" s="115"/>
      <c r="CS1356" s="115"/>
      <c r="CT1356" s="115"/>
      <c r="CU1356" s="115"/>
      <c r="CV1356" s="115"/>
      <c r="CW1356" s="115"/>
      <c r="CX1356" s="115"/>
      <c r="CY1356" s="115"/>
      <c r="CZ1356" s="115"/>
      <c r="DA1356" s="115"/>
      <c r="DB1356" s="115"/>
      <c r="DC1356" s="115"/>
      <c r="DD1356" s="115"/>
      <c r="DE1356" s="115"/>
      <c r="DF1356" s="115"/>
      <c r="DG1356" s="115"/>
    </row>
    <row r="1357" spans="1:111" ht="15" customHeight="1">
      <c r="B1357" s="55"/>
      <c r="C1357" s="422" t="str">
        <f>IF($AA$165&gt;=42,"DESPESA 42","")</f>
        <v/>
      </c>
      <c r="D1357" s="422"/>
      <c r="E1357" s="422"/>
      <c r="F1357" s="422"/>
      <c r="G1357" s="422"/>
      <c r="H1357" s="422"/>
      <c r="I1357" s="56"/>
      <c r="J1357" s="56"/>
      <c r="K1357" s="56"/>
      <c r="L1357" s="56"/>
      <c r="M1357" s="56"/>
      <c r="N1357" s="56"/>
      <c r="O1357" s="56"/>
      <c r="P1357" s="56"/>
      <c r="Q1357" s="56"/>
      <c r="R1357" s="56"/>
      <c r="S1357" s="56"/>
      <c r="T1357" s="56"/>
      <c r="U1357" s="56"/>
      <c r="V1357" s="56"/>
      <c r="W1357" s="56"/>
      <c r="X1357" s="56"/>
      <c r="Y1357" s="56"/>
      <c r="Z1357" s="56"/>
      <c r="AA1357" s="56"/>
      <c r="AB1357" s="56"/>
      <c r="AC1357" s="56"/>
      <c r="AD1357" s="56"/>
      <c r="AE1357" s="56"/>
      <c r="AF1357" s="56"/>
      <c r="AG1357" s="56"/>
      <c r="AH1357" s="56"/>
      <c r="AI1357" s="56"/>
      <c r="AJ1357" s="56"/>
      <c r="AK1357" s="141"/>
      <c r="AL1357" s="141"/>
      <c r="AM1357" s="141"/>
      <c r="AN1357" s="141"/>
      <c r="AO1357" s="140"/>
      <c r="AP1357" s="140"/>
      <c r="AQ1357" s="140"/>
      <c r="AR1357" s="140"/>
      <c r="AS1357" s="142"/>
      <c r="AT1357" s="142"/>
      <c r="AU1357" s="142"/>
      <c r="AV1357" s="142"/>
      <c r="AW1357" s="140"/>
      <c r="AX1357" s="140"/>
      <c r="AY1357" s="140"/>
      <c r="AZ1357" s="140"/>
      <c r="BA1357" s="140"/>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c r="BY1357" s="115"/>
      <c r="BZ1357" s="115"/>
      <c r="CA1357" s="115"/>
      <c r="CB1357" s="115"/>
      <c r="CC1357" s="115"/>
      <c r="CD1357" s="115"/>
      <c r="CE1357" s="115"/>
      <c r="CF1357" s="115"/>
      <c r="CG1357" s="115"/>
      <c r="CH1357" s="115"/>
      <c r="CI1357" s="115"/>
      <c r="CJ1357" s="115"/>
      <c r="CK1357" s="115"/>
      <c r="CL1357" s="115"/>
      <c r="CM1357" s="115"/>
      <c r="CN1357" s="115"/>
      <c r="CO1357" s="115"/>
      <c r="CP1357" s="115"/>
      <c r="CQ1357" s="115"/>
      <c r="CR1357" s="115"/>
      <c r="CS1357" s="115"/>
      <c r="CT1357" s="115"/>
      <c r="CU1357" s="115"/>
      <c r="CV1357" s="115"/>
      <c r="CW1357" s="115"/>
      <c r="CX1357" s="115"/>
      <c r="CY1357" s="115"/>
      <c r="CZ1357" s="115"/>
      <c r="DA1357" s="115"/>
      <c r="DB1357" s="115"/>
      <c r="DC1357" s="115"/>
      <c r="DD1357" s="115"/>
      <c r="DE1357" s="115"/>
      <c r="DF1357" s="115"/>
      <c r="DG1357" s="115"/>
    </row>
    <row r="1358" spans="1:111" ht="4.5" customHeight="1">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c r="BY1358" s="115"/>
      <c r="BZ1358" s="115"/>
      <c r="CA1358" s="115"/>
      <c r="CB1358" s="115"/>
      <c r="CC1358" s="115"/>
      <c r="CD1358" s="115"/>
      <c r="CE1358" s="115"/>
      <c r="CF1358" s="115"/>
      <c r="CG1358" s="115"/>
      <c r="CH1358" s="115"/>
      <c r="CI1358" s="115"/>
      <c r="CJ1358" s="115"/>
      <c r="CK1358" s="115"/>
      <c r="CL1358" s="115"/>
      <c r="CM1358" s="115"/>
      <c r="CN1358" s="115"/>
      <c r="CO1358" s="115"/>
      <c r="CP1358" s="115"/>
      <c r="CQ1358" s="115"/>
      <c r="CR1358" s="115"/>
      <c r="CS1358" s="115"/>
      <c r="CT1358" s="115"/>
      <c r="CU1358" s="115"/>
      <c r="CV1358" s="115"/>
      <c r="CW1358" s="115"/>
      <c r="CX1358" s="115"/>
      <c r="CY1358" s="115"/>
      <c r="CZ1358" s="115"/>
      <c r="DA1358" s="115"/>
      <c r="DB1358" s="115"/>
      <c r="DC1358" s="115"/>
      <c r="DD1358" s="115"/>
      <c r="DE1358" s="115"/>
      <c r="DF1358" s="115"/>
      <c r="DG1358" s="115"/>
    </row>
    <row r="1359" spans="1:111" ht="9" customHeight="1">
      <c r="C1359" s="416" t="str">
        <f>IF(C1357="","","Descrição da Despesa:")</f>
        <v/>
      </c>
      <c r="D1359" s="416"/>
      <c r="E1359" s="416"/>
      <c r="F1359" s="416"/>
      <c r="G1359" s="416"/>
      <c r="H1359" s="416"/>
      <c r="I1359" s="60"/>
      <c r="J1359" s="421"/>
      <c r="K1359" s="421"/>
      <c r="L1359" s="421"/>
      <c r="M1359" s="421"/>
      <c r="N1359" s="421"/>
      <c r="O1359" s="421"/>
      <c r="P1359" s="421"/>
      <c r="Q1359" s="421"/>
      <c r="R1359" s="421"/>
      <c r="S1359" s="421"/>
      <c r="T1359" s="421"/>
      <c r="U1359" s="421"/>
      <c r="V1359" s="421"/>
      <c r="W1359" s="421"/>
      <c r="X1359" s="421"/>
      <c r="Y1359" s="421"/>
      <c r="Z1359" s="421"/>
      <c r="AA1359" s="421"/>
      <c r="AB1359" s="421"/>
      <c r="AC1359" s="421"/>
      <c r="AD1359" s="421"/>
      <c r="AE1359" s="421"/>
      <c r="AF1359" s="421"/>
      <c r="AG1359" s="421"/>
      <c r="AH1359" s="421"/>
      <c r="AI1359" s="421"/>
      <c r="AJ1359" s="421"/>
      <c r="AK1359" s="421"/>
      <c r="AL1359" s="421"/>
      <c r="AM1359" s="421"/>
      <c r="AN1359" s="421"/>
      <c r="AO1359" s="421"/>
      <c r="AP1359" s="421"/>
      <c r="AQ1359" s="421"/>
      <c r="AR1359" s="421"/>
      <c r="AS1359" s="421"/>
      <c r="AT1359" s="421"/>
      <c r="AU1359" s="421"/>
      <c r="AV1359" s="421"/>
      <c r="AW1359" s="421"/>
      <c r="AX1359" s="421"/>
      <c r="AY1359" s="421"/>
      <c r="AZ1359" s="421"/>
      <c r="BA1359" s="421"/>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c r="BY1359" s="115"/>
      <c r="BZ1359" s="115"/>
      <c r="CA1359" s="115"/>
      <c r="CB1359" s="115"/>
      <c r="CC1359" s="115"/>
      <c r="CD1359" s="115"/>
      <c r="CE1359" s="115"/>
      <c r="CF1359" s="115"/>
      <c r="CG1359" s="115"/>
      <c r="CH1359" s="115"/>
      <c r="CI1359" s="115"/>
      <c r="CJ1359" s="115"/>
      <c r="CK1359" s="115"/>
      <c r="CL1359" s="115"/>
      <c r="CM1359" s="115"/>
      <c r="CN1359" s="115"/>
      <c r="CO1359" s="115"/>
      <c r="CP1359" s="115"/>
      <c r="CQ1359" s="115"/>
      <c r="CR1359" s="115"/>
      <c r="CS1359" s="115"/>
      <c r="CT1359" s="115"/>
      <c r="CU1359" s="115"/>
      <c r="CV1359" s="115"/>
      <c r="CW1359" s="115"/>
      <c r="CX1359" s="115"/>
      <c r="CY1359" s="115"/>
      <c r="CZ1359" s="115"/>
      <c r="DA1359" s="115"/>
      <c r="DB1359" s="115"/>
      <c r="DC1359" s="115"/>
      <c r="DD1359" s="115"/>
      <c r="DE1359" s="115"/>
      <c r="DF1359" s="115"/>
      <c r="DG1359" s="115"/>
    </row>
    <row r="1360" spans="1:111" ht="9" customHeight="1">
      <c r="C1360" s="416"/>
      <c r="D1360" s="416"/>
      <c r="E1360" s="416"/>
      <c r="F1360" s="416"/>
      <c r="G1360" s="416"/>
      <c r="H1360" s="416"/>
      <c r="I1360" s="60"/>
      <c r="J1360" s="421"/>
      <c r="K1360" s="421"/>
      <c r="L1360" s="421"/>
      <c r="M1360" s="421"/>
      <c r="N1360" s="421"/>
      <c r="O1360" s="421"/>
      <c r="P1360" s="421"/>
      <c r="Q1360" s="421"/>
      <c r="R1360" s="421"/>
      <c r="S1360" s="421"/>
      <c r="T1360" s="421"/>
      <c r="U1360" s="421"/>
      <c r="V1360" s="421"/>
      <c r="W1360" s="421"/>
      <c r="X1360" s="421"/>
      <c r="Y1360" s="421"/>
      <c r="Z1360" s="421"/>
      <c r="AA1360" s="421"/>
      <c r="AB1360" s="421"/>
      <c r="AC1360" s="421"/>
      <c r="AD1360" s="421"/>
      <c r="AE1360" s="421"/>
      <c r="AF1360" s="421"/>
      <c r="AG1360" s="421"/>
      <c r="AH1360" s="421"/>
      <c r="AI1360" s="421"/>
      <c r="AJ1360" s="421"/>
      <c r="AK1360" s="421"/>
      <c r="AL1360" s="421"/>
      <c r="AM1360" s="421"/>
      <c r="AN1360" s="421"/>
      <c r="AO1360" s="421"/>
      <c r="AP1360" s="421"/>
      <c r="AQ1360" s="421"/>
      <c r="AR1360" s="421"/>
      <c r="AS1360" s="421"/>
      <c r="AT1360" s="421"/>
      <c r="AU1360" s="421"/>
      <c r="AV1360" s="421"/>
      <c r="AW1360" s="421"/>
      <c r="AX1360" s="421"/>
      <c r="AY1360" s="421"/>
      <c r="AZ1360" s="421"/>
      <c r="BA1360" s="421"/>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c r="BY1360" s="115"/>
      <c r="BZ1360" s="115"/>
      <c r="CA1360" s="115"/>
      <c r="CB1360" s="115"/>
      <c r="CC1360" s="115"/>
      <c r="CD1360" s="115"/>
      <c r="CE1360" s="115"/>
      <c r="CF1360" s="115"/>
      <c r="CG1360" s="115"/>
      <c r="CH1360" s="115"/>
      <c r="CI1360" s="115"/>
      <c r="CJ1360" s="115"/>
      <c r="CK1360" s="115"/>
      <c r="CL1360" s="115"/>
      <c r="CM1360" s="115"/>
      <c r="CN1360" s="115"/>
      <c r="CO1360" s="115"/>
      <c r="CP1360" s="115"/>
      <c r="CQ1360" s="115"/>
      <c r="CR1360" s="115"/>
      <c r="CS1360" s="115"/>
      <c r="CT1360" s="115"/>
      <c r="CU1360" s="115"/>
      <c r="CV1360" s="115"/>
      <c r="CW1360" s="115"/>
      <c r="CX1360" s="115"/>
      <c r="CY1360" s="115"/>
      <c r="CZ1360" s="115"/>
      <c r="DA1360" s="115"/>
      <c r="DB1360" s="115"/>
      <c r="DC1360" s="115"/>
      <c r="DD1360" s="115"/>
      <c r="DE1360" s="115"/>
      <c r="DF1360" s="115"/>
      <c r="DG1360" s="115"/>
    </row>
    <row r="1361" spans="1:111" ht="9" customHeight="1">
      <c r="C1361" s="416"/>
      <c r="D1361" s="416"/>
      <c r="E1361" s="416"/>
      <c r="F1361" s="416"/>
      <c r="G1361" s="416"/>
      <c r="H1361" s="416"/>
      <c r="I1361" s="60"/>
      <c r="J1361" s="421"/>
      <c r="K1361" s="421"/>
      <c r="L1361" s="421"/>
      <c r="M1361" s="421"/>
      <c r="N1361" s="421"/>
      <c r="O1361" s="421"/>
      <c r="P1361" s="421"/>
      <c r="Q1361" s="421"/>
      <c r="R1361" s="421"/>
      <c r="S1361" s="421"/>
      <c r="T1361" s="421"/>
      <c r="U1361" s="421"/>
      <c r="V1361" s="421"/>
      <c r="W1361" s="421"/>
      <c r="X1361" s="421"/>
      <c r="Y1361" s="421"/>
      <c r="Z1361" s="421"/>
      <c r="AA1361" s="421"/>
      <c r="AB1361" s="421"/>
      <c r="AC1361" s="421"/>
      <c r="AD1361" s="421"/>
      <c r="AE1361" s="421"/>
      <c r="AF1361" s="421"/>
      <c r="AG1361" s="421"/>
      <c r="AH1361" s="421"/>
      <c r="AI1361" s="421"/>
      <c r="AJ1361" s="421"/>
      <c r="AK1361" s="421"/>
      <c r="AL1361" s="421"/>
      <c r="AM1361" s="421"/>
      <c r="AN1361" s="421"/>
      <c r="AO1361" s="421"/>
      <c r="AP1361" s="421"/>
      <c r="AQ1361" s="421"/>
      <c r="AR1361" s="421"/>
      <c r="AS1361" s="421"/>
      <c r="AT1361" s="421"/>
      <c r="AU1361" s="421"/>
      <c r="AV1361" s="421"/>
      <c r="AW1361" s="421"/>
      <c r="AX1361" s="421"/>
      <c r="AY1361" s="421"/>
      <c r="AZ1361" s="421"/>
      <c r="BA1361" s="421"/>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c r="BY1361" s="115"/>
      <c r="BZ1361" s="115"/>
      <c r="CA1361" s="115"/>
      <c r="CB1361" s="115"/>
      <c r="CC1361" s="115"/>
      <c r="CD1361" s="115"/>
      <c r="CE1361" s="115"/>
      <c r="CF1361" s="115"/>
      <c r="CG1361" s="115"/>
      <c r="CH1361" s="115"/>
      <c r="CI1361" s="115"/>
      <c r="CJ1361" s="115"/>
      <c r="CK1361" s="115"/>
      <c r="CL1361" s="115"/>
      <c r="CM1361" s="115"/>
      <c r="CN1361" s="115"/>
      <c r="CO1361" s="115"/>
      <c r="CP1361" s="115"/>
      <c r="CQ1361" s="115"/>
      <c r="CR1361" s="115"/>
      <c r="CS1361" s="115"/>
      <c r="CT1361" s="115"/>
      <c r="CU1361" s="115"/>
      <c r="CV1361" s="115"/>
      <c r="CW1361" s="115"/>
      <c r="CX1361" s="115"/>
      <c r="CY1361" s="115"/>
      <c r="CZ1361" s="115"/>
      <c r="DA1361" s="115"/>
      <c r="DB1361" s="115"/>
      <c r="DC1361" s="115"/>
      <c r="DD1361" s="115"/>
      <c r="DE1361" s="115"/>
      <c r="DF1361" s="115"/>
      <c r="DG1361" s="115"/>
    </row>
    <row r="1362" spans="1:111" ht="4.5" customHeight="1">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c r="BY1362" s="115"/>
      <c r="BZ1362" s="115"/>
      <c r="CA1362" s="115"/>
      <c r="CB1362" s="115"/>
      <c r="CC1362" s="115"/>
      <c r="CD1362" s="115"/>
      <c r="CE1362" s="115"/>
      <c r="CF1362" s="115"/>
      <c r="CG1362" s="115"/>
      <c r="CH1362" s="115"/>
      <c r="CI1362" s="115"/>
      <c r="CJ1362" s="115"/>
      <c r="CK1362" s="115"/>
      <c r="CL1362" s="115"/>
      <c r="CM1362" s="115"/>
      <c r="CN1362" s="115"/>
      <c r="CO1362" s="115"/>
      <c r="CP1362" s="115"/>
      <c r="CQ1362" s="115"/>
      <c r="CR1362" s="115"/>
      <c r="CS1362" s="115"/>
      <c r="CT1362" s="115"/>
      <c r="CU1362" s="115"/>
      <c r="CV1362" s="115"/>
      <c r="CW1362" s="115"/>
      <c r="CX1362" s="115"/>
      <c r="CY1362" s="115"/>
      <c r="CZ1362" s="115"/>
      <c r="DA1362" s="115"/>
      <c r="DB1362" s="115"/>
      <c r="DC1362" s="115"/>
      <c r="DD1362" s="115"/>
      <c r="DE1362" s="115"/>
      <c r="DF1362" s="115"/>
      <c r="DG1362" s="115"/>
    </row>
    <row r="1363" spans="1:111" ht="9" customHeight="1">
      <c r="C1363" s="416" t="str">
        <f>IF(C1357="","","Elemento de Despesa:")</f>
        <v/>
      </c>
      <c r="D1363" s="416"/>
      <c r="E1363" s="416"/>
      <c r="F1363" s="416"/>
      <c r="G1363" s="416"/>
      <c r="H1363" s="416"/>
      <c r="J1363" s="421"/>
      <c r="K1363" s="421"/>
      <c r="L1363" s="421"/>
      <c r="M1363" s="421"/>
      <c r="N1363" s="421"/>
      <c r="O1363" s="421"/>
      <c r="P1363" s="421"/>
      <c r="Q1363" s="421"/>
      <c r="R1363" s="421"/>
      <c r="S1363" s="421"/>
      <c r="T1363" s="421"/>
      <c r="U1363" s="421"/>
      <c r="V1363" s="421"/>
      <c r="W1363" s="421"/>
      <c r="X1363" s="421"/>
      <c r="Y1363" s="421"/>
      <c r="Z1363" s="421"/>
      <c r="AA1363" s="421"/>
      <c r="AB1363" s="421"/>
      <c r="AC1363" s="421"/>
      <c r="AD1363" s="421"/>
      <c r="AE1363" s="421"/>
      <c r="AF1363" s="421"/>
      <c r="AG1363" s="421"/>
      <c r="AH1363" s="421"/>
      <c r="AI1363" s="421"/>
      <c r="AJ1363" s="421"/>
      <c r="AK1363" s="421"/>
      <c r="AL1363" s="421"/>
      <c r="AM1363" s="421"/>
      <c r="AN1363" s="421"/>
      <c r="AO1363" s="421"/>
      <c r="AP1363" s="421"/>
      <c r="AQ1363" s="421"/>
      <c r="AR1363" s="421"/>
      <c r="AS1363" s="421"/>
      <c r="AT1363" s="421"/>
      <c r="AU1363" s="421"/>
      <c r="AV1363" s="421"/>
      <c r="AW1363" s="421"/>
      <c r="AX1363" s="421"/>
      <c r="AY1363" s="421"/>
      <c r="AZ1363" s="421"/>
      <c r="BA1363" s="421"/>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c r="BY1363" s="115"/>
      <c r="BZ1363" s="115"/>
      <c r="CA1363" s="115"/>
      <c r="CB1363" s="115"/>
      <c r="CC1363" s="115"/>
      <c r="CD1363" s="115"/>
      <c r="CE1363" s="115"/>
      <c r="CF1363" s="115"/>
      <c r="CG1363" s="115"/>
      <c r="CH1363" s="115"/>
      <c r="CI1363" s="115"/>
      <c r="CJ1363" s="115"/>
      <c r="CK1363" s="115"/>
      <c r="CL1363" s="115"/>
      <c r="CM1363" s="115"/>
      <c r="CN1363" s="115"/>
      <c r="CO1363" s="115"/>
      <c r="CP1363" s="115"/>
      <c r="CQ1363" s="115"/>
      <c r="CR1363" s="115"/>
      <c r="CS1363" s="115"/>
      <c r="CT1363" s="115"/>
      <c r="CU1363" s="115"/>
      <c r="CV1363" s="115"/>
      <c r="CW1363" s="115"/>
      <c r="CX1363" s="115"/>
      <c r="CY1363" s="115"/>
      <c r="CZ1363" s="115"/>
      <c r="DA1363" s="115"/>
      <c r="DB1363" s="115"/>
      <c r="DC1363" s="115"/>
      <c r="DD1363" s="115"/>
      <c r="DE1363" s="115"/>
      <c r="DF1363" s="115"/>
      <c r="DG1363" s="115"/>
    </row>
    <row r="1364" spans="1:111" ht="9" customHeight="1">
      <c r="C1364" s="416"/>
      <c r="D1364" s="416"/>
      <c r="E1364" s="416"/>
      <c r="F1364" s="416"/>
      <c r="G1364" s="416"/>
      <c r="H1364" s="416"/>
      <c r="J1364" s="421"/>
      <c r="K1364" s="421"/>
      <c r="L1364" s="421"/>
      <c r="M1364" s="421"/>
      <c r="N1364" s="421"/>
      <c r="O1364" s="421"/>
      <c r="P1364" s="421"/>
      <c r="Q1364" s="421"/>
      <c r="R1364" s="421"/>
      <c r="S1364" s="421"/>
      <c r="T1364" s="421"/>
      <c r="U1364" s="421"/>
      <c r="V1364" s="421"/>
      <c r="W1364" s="421"/>
      <c r="X1364" s="421"/>
      <c r="Y1364" s="421"/>
      <c r="Z1364" s="421"/>
      <c r="AA1364" s="421"/>
      <c r="AB1364" s="421"/>
      <c r="AC1364" s="421"/>
      <c r="AD1364" s="421"/>
      <c r="AE1364" s="421"/>
      <c r="AF1364" s="421"/>
      <c r="AG1364" s="421"/>
      <c r="AH1364" s="421"/>
      <c r="AI1364" s="421"/>
      <c r="AJ1364" s="421"/>
      <c r="AK1364" s="421"/>
      <c r="AL1364" s="421"/>
      <c r="AM1364" s="421"/>
      <c r="AN1364" s="421"/>
      <c r="AO1364" s="421"/>
      <c r="AP1364" s="421"/>
      <c r="AQ1364" s="421"/>
      <c r="AR1364" s="421"/>
      <c r="AS1364" s="421"/>
      <c r="AT1364" s="421"/>
      <c r="AU1364" s="421"/>
      <c r="AV1364" s="421"/>
      <c r="AW1364" s="421"/>
      <c r="AX1364" s="421"/>
      <c r="AY1364" s="421"/>
      <c r="AZ1364" s="421"/>
      <c r="BA1364" s="421"/>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c r="BY1364" s="115"/>
      <c r="BZ1364" s="115"/>
      <c r="CA1364" s="115"/>
      <c r="CB1364" s="115"/>
      <c r="CC1364" s="115"/>
      <c r="CD1364" s="115"/>
      <c r="CE1364" s="115"/>
      <c r="CF1364" s="115"/>
      <c r="CG1364" s="115"/>
      <c r="CH1364" s="115"/>
      <c r="CI1364" s="115"/>
      <c r="CJ1364" s="115"/>
      <c r="CK1364" s="115"/>
      <c r="CL1364" s="115"/>
      <c r="CM1364" s="115"/>
      <c r="CN1364" s="115"/>
      <c r="CO1364" s="115"/>
      <c r="CP1364" s="115"/>
      <c r="CQ1364" s="115"/>
      <c r="CR1364" s="115"/>
      <c r="CS1364" s="115"/>
      <c r="CT1364" s="115"/>
      <c r="CU1364" s="115"/>
      <c r="CV1364" s="115"/>
      <c r="CW1364" s="115"/>
      <c r="CX1364" s="115"/>
      <c r="CY1364" s="115"/>
      <c r="CZ1364" s="115"/>
      <c r="DA1364" s="115"/>
      <c r="DB1364" s="115"/>
      <c r="DC1364" s="115"/>
      <c r="DD1364" s="115"/>
      <c r="DE1364" s="115"/>
      <c r="DF1364" s="115"/>
      <c r="DG1364" s="115"/>
    </row>
    <row r="1365" spans="1:111" ht="9" customHeight="1">
      <c r="C1365" s="416"/>
      <c r="D1365" s="416"/>
      <c r="E1365" s="416"/>
      <c r="F1365" s="416"/>
      <c r="G1365" s="416"/>
      <c r="H1365" s="416"/>
      <c r="J1365" s="421"/>
      <c r="K1365" s="421"/>
      <c r="L1365" s="421"/>
      <c r="M1365" s="421"/>
      <c r="N1365" s="421"/>
      <c r="O1365" s="421"/>
      <c r="P1365" s="421"/>
      <c r="Q1365" s="421"/>
      <c r="R1365" s="421"/>
      <c r="S1365" s="421"/>
      <c r="T1365" s="421"/>
      <c r="U1365" s="421"/>
      <c r="V1365" s="421"/>
      <c r="W1365" s="421"/>
      <c r="X1365" s="421"/>
      <c r="Y1365" s="421"/>
      <c r="Z1365" s="421"/>
      <c r="AA1365" s="421"/>
      <c r="AB1365" s="421"/>
      <c r="AC1365" s="421"/>
      <c r="AD1365" s="421"/>
      <c r="AE1365" s="421"/>
      <c r="AF1365" s="421"/>
      <c r="AG1365" s="421"/>
      <c r="AH1365" s="421"/>
      <c r="AI1365" s="421"/>
      <c r="AJ1365" s="421"/>
      <c r="AK1365" s="421"/>
      <c r="AL1365" s="421"/>
      <c r="AM1365" s="421"/>
      <c r="AN1365" s="421"/>
      <c r="AO1365" s="421"/>
      <c r="AP1365" s="421"/>
      <c r="AQ1365" s="421"/>
      <c r="AR1365" s="421"/>
      <c r="AS1365" s="421"/>
      <c r="AT1365" s="421"/>
      <c r="AU1365" s="421"/>
      <c r="AV1365" s="421"/>
      <c r="AW1365" s="421"/>
      <c r="AX1365" s="421"/>
      <c r="AY1365" s="421"/>
      <c r="AZ1365" s="421"/>
      <c r="BA1365" s="421"/>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c r="BY1365" s="115"/>
      <c r="BZ1365" s="115"/>
      <c r="CA1365" s="115"/>
      <c r="CB1365" s="115"/>
      <c r="CC1365" s="115"/>
      <c r="CD1365" s="115"/>
      <c r="CE1365" s="115"/>
      <c r="CF1365" s="115"/>
      <c r="CG1365" s="115"/>
      <c r="CH1365" s="115"/>
      <c r="CI1365" s="115"/>
      <c r="CJ1365" s="115"/>
      <c r="CK1365" s="115"/>
      <c r="CL1365" s="115"/>
      <c r="CM1365" s="115"/>
      <c r="CN1365" s="115"/>
      <c r="CO1365" s="115"/>
      <c r="CP1365" s="115"/>
      <c r="CQ1365" s="115"/>
      <c r="CR1365" s="115"/>
      <c r="CS1365" s="115"/>
      <c r="CT1365" s="115"/>
      <c r="CU1365" s="115"/>
      <c r="CV1365" s="115"/>
      <c r="CW1365" s="115"/>
      <c r="CX1365" s="115"/>
      <c r="CY1365" s="115"/>
      <c r="CZ1365" s="115"/>
      <c r="DA1365" s="115"/>
      <c r="DB1365" s="115"/>
      <c r="DC1365" s="115"/>
      <c r="DD1365" s="115"/>
      <c r="DE1365" s="115"/>
      <c r="DF1365" s="115"/>
      <c r="DG1365" s="115"/>
    </row>
    <row r="1366" spans="1:111" ht="4.5" customHeight="1">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c r="BY1366" s="115"/>
      <c r="BZ1366" s="115"/>
      <c r="CA1366" s="115"/>
      <c r="CB1366" s="115"/>
      <c r="CC1366" s="115"/>
      <c r="CD1366" s="115"/>
      <c r="CE1366" s="115"/>
      <c r="CF1366" s="115"/>
      <c r="CG1366" s="115"/>
      <c r="CH1366" s="115"/>
      <c r="CI1366" s="115"/>
      <c r="CJ1366" s="115"/>
      <c r="CK1366" s="115"/>
      <c r="CL1366" s="115"/>
      <c r="CM1366" s="115"/>
      <c r="CN1366" s="115"/>
      <c r="CO1366" s="115"/>
      <c r="CP1366" s="115"/>
      <c r="CQ1366" s="115"/>
      <c r="CR1366" s="115"/>
      <c r="CS1366" s="115"/>
      <c r="CT1366" s="115"/>
      <c r="CU1366" s="115"/>
      <c r="CV1366" s="115"/>
      <c r="CW1366" s="115"/>
      <c r="CX1366" s="115"/>
      <c r="CY1366" s="115"/>
      <c r="CZ1366" s="115"/>
      <c r="DA1366" s="115"/>
      <c r="DB1366" s="115"/>
      <c r="DC1366" s="115"/>
      <c r="DD1366" s="115"/>
      <c r="DE1366" s="115"/>
      <c r="DF1366" s="115"/>
      <c r="DG1366" s="115"/>
    </row>
    <row r="1367" spans="1:111" ht="9" customHeight="1">
      <c r="A1367" s="61" t="str">
        <f>CONCATENATE(Q1367,AC1367)</f>
        <v/>
      </c>
      <c r="J1367" s="416" t="str">
        <f>IF(C1357="","","Meta Vinculada:")</f>
        <v/>
      </c>
      <c r="K1367" s="416"/>
      <c r="L1367" s="416"/>
      <c r="M1367" s="416"/>
      <c r="N1367" s="416"/>
      <c r="O1367" s="416"/>
      <c r="Q1367" s="417"/>
      <c r="R1367" s="417"/>
      <c r="S1367" s="417"/>
      <c r="T1367" s="417"/>
      <c r="U1367" s="56"/>
      <c r="V1367" s="416" t="str">
        <f>IF(C1357="","","Etapa Vinculada:")</f>
        <v/>
      </c>
      <c r="W1367" s="416"/>
      <c r="X1367" s="416"/>
      <c r="Y1367" s="416"/>
      <c r="Z1367" s="416"/>
      <c r="AA1367" s="416"/>
      <c r="AC1367" s="417"/>
      <c r="AD1367" s="417"/>
      <c r="AE1367" s="417"/>
      <c r="AF1367" s="417"/>
      <c r="AG1367" s="56"/>
      <c r="AH1367" s="56"/>
      <c r="AI1367" s="56"/>
      <c r="AJ1367" s="56"/>
      <c r="AK1367" s="141"/>
      <c r="AL1367" s="141"/>
      <c r="AM1367" s="141"/>
      <c r="AN1367" s="141"/>
      <c r="AO1367" s="140"/>
      <c r="AP1367" s="140"/>
      <c r="AQ1367" s="140"/>
      <c r="AR1367" s="140"/>
      <c r="AS1367" s="142"/>
      <c r="AT1367" s="142"/>
      <c r="AU1367" s="142"/>
      <c r="AV1367" s="142"/>
      <c r="AW1367" s="140"/>
      <c r="AX1367" s="140"/>
      <c r="AY1367" s="140"/>
      <c r="AZ1367" s="140"/>
      <c r="BA1367" s="140"/>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c r="BY1367" s="115"/>
      <c r="BZ1367" s="115"/>
      <c r="CA1367" s="115"/>
      <c r="CB1367" s="115"/>
      <c r="CC1367" s="115"/>
      <c r="CD1367" s="115"/>
      <c r="CE1367" s="115"/>
      <c r="CF1367" s="115"/>
      <c r="CG1367" s="115"/>
      <c r="CH1367" s="115"/>
      <c r="CI1367" s="115"/>
      <c r="CJ1367" s="115"/>
      <c r="CK1367" s="115"/>
      <c r="CL1367" s="115"/>
      <c r="CM1367" s="115"/>
      <c r="CN1367" s="115"/>
      <c r="CO1367" s="115"/>
      <c r="CP1367" s="115"/>
      <c r="CQ1367" s="115"/>
      <c r="CR1367" s="115"/>
      <c r="CS1367" s="115"/>
      <c r="CT1367" s="115"/>
      <c r="CU1367" s="115"/>
      <c r="CV1367" s="115"/>
      <c r="CW1367" s="115"/>
      <c r="CX1367" s="115"/>
      <c r="CY1367" s="115"/>
      <c r="CZ1367" s="115"/>
      <c r="DA1367" s="115"/>
      <c r="DB1367" s="115"/>
      <c r="DC1367" s="115"/>
      <c r="DD1367" s="115"/>
      <c r="DE1367" s="115"/>
      <c r="DF1367" s="115"/>
      <c r="DG1367" s="115"/>
    </row>
    <row r="1368" spans="1:111" ht="9" customHeight="1">
      <c r="B1368" s="55"/>
      <c r="C1368" s="55"/>
      <c r="D1368" s="56"/>
      <c r="E1368" s="56"/>
      <c r="F1368" s="56"/>
      <c r="G1368" s="56"/>
      <c r="H1368" s="56"/>
      <c r="I1368" s="56"/>
      <c r="J1368" s="416"/>
      <c r="K1368" s="416"/>
      <c r="L1368" s="416"/>
      <c r="M1368" s="416"/>
      <c r="N1368" s="416"/>
      <c r="O1368" s="416"/>
      <c r="Q1368" s="417"/>
      <c r="R1368" s="417"/>
      <c r="S1368" s="417"/>
      <c r="T1368" s="417"/>
      <c r="U1368" s="56"/>
      <c r="V1368" s="416"/>
      <c r="W1368" s="416"/>
      <c r="X1368" s="416"/>
      <c r="Y1368" s="416"/>
      <c r="Z1368" s="416"/>
      <c r="AA1368" s="416"/>
      <c r="AC1368" s="417"/>
      <c r="AD1368" s="417"/>
      <c r="AE1368" s="417"/>
      <c r="AF1368" s="417"/>
      <c r="AG1368" s="56"/>
      <c r="AH1368" s="56"/>
      <c r="AI1368" s="56"/>
      <c r="AJ1368" s="56"/>
      <c r="AK1368" s="141"/>
      <c r="AL1368" s="141"/>
      <c r="AM1368" s="141"/>
      <c r="AN1368" s="141"/>
      <c r="AO1368" s="140"/>
      <c r="AP1368" s="140"/>
      <c r="AQ1368" s="140"/>
      <c r="AR1368" s="140"/>
      <c r="AS1368" s="142"/>
      <c r="AT1368" s="142"/>
      <c r="AU1368" s="142"/>
      <c r="AV1368" s="142"/>
      <c r="AW1368" s="140"/>
      <c r="AX1368" s="140"/>
      <c r="AY1368" s="140"/>
      <c r="AZ1368" s="140"/>
      <c r="BA1368" s="140"/>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c r="BY1368" s="115"/>
      <c r="BZ1368" s="115"/>
      <c r="CA1368" s="115"/>
      <c r="CB1368" s="115"/>
      <c r="CC1368" s="115"/>
      <c r="CD1368" s="115"/>
      <c r="CE1368" s="115"/>
      <c r="CF1368" s="115"/>
      <c r="CG1368" s="115"/>
      <c r="CH1368" s="115"/>
      <c r="CI1368" s="115"/>
      <c r="CJ1368" s="115"/>
      <c r="CK1368" s="115"/>
      <c r="CL1368" s="115"/>
      <c r="CM1368" s="115"/>
      <c r="CN1368" s="115"/>
      <c r="CO1368" s="115"/>
      <c r="CP1368" s="115"/>
      <c r="CQ1368" s="115"/>
      <c r="CR1368" s="115"/>
      <c r="CS1368" s="115"/>
      <c r="CT1368" s="115"/>
      <c r="CU1368" s="115"/>
      <c r="CV1368" s="115"/>
      <c r="CW1368" s="115"/>
      <c r="CX1368" s="115"/>
      <c r="CY1368" s="115"/>
      <c r="CZ1368" s="115"/>
      <c r="DA1368" s="115"/>
      <c r="DB1368" s="115"/>
      <c r="DC1368" s="115"/>
      <c r="DD1368" s="115"/>
      <c r="DE1368" s="115"/>
      <c r="DF1368" s="115"/>
      <c r="DG1368" s="115"/>
    </row>
    <row r="1369" spans="1:111" ht="9" customHeight="1">
      <c r="Q1369" s="417"/>
      <c r="R1369" s="417"/>
      <c r="S1369" s="417"/>
      <c r="T1369" s="417"/>
      <c r="AC1369" s="417"/>
      <c r="AD1369" s="417"/>
      <c r="AE1369" s="417"/>
      <c r="AF1369" s="417"/>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c r="BY1369" s="115"/>
      <c r="BZ1369" s="115"/>
      <c r="CA1369" s="115"/>
      <c r="CB1369" s="115"/>
      <c r="CC1369" s="115"/>
      <c r="CD1369" s="115"/>
      <c r="CE1369" s="115"/>
      <c r="CF1369" s="115"/>
      <c r="CG1369" s="115"/>
      <c r="CH1369" s="115"/>
      <c r="CI1369" s="115"/>
      <c r="CJ1369" s="115"/>
      <c r="CK1369" s="115"/>
      <c r="CL1369" s="115"/>
      <c r="CM1369" s="115"/>
      <c r="CN1369" s="115"/>
      <c r="CO1369" s="115"/>
      <c r="CP1369" s="115"/>
      <c r="CQ1369" s="115"/>
      <c r="CR1369" s="115"/>
      <c r="CS1369" s="115"/>
      <c r="CT1369" s="115"/>
      <c r="CU1369" s="115"/>
      <c r="CV1369" s="115"/>
      <c r="CW1369" s="115"/>
      <c r="CX1369" s="115"/>
      <c r="CY1369" s="115"/>
      <c r="CZ1369" s="115"/>
      <c r="DA1369" s="115"/>
      <c r="DB1369" s="115"/>
      <c r="DC1369" s="115"/>
      <c r="DD1369" s="115"/>
      <c r="DE1369" s="115"/>
      <c r="DF1369" s="115"/>
      <c r="DG1369" s="115"/>
    </row>
    <row r="1370" spans="1:111" ht="4.5" customHeight="1">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c r="BY1370" s="115"/>
      <c r="BZ1370" s="115"/>
      <c r="CA1370" s="115"/>
      <c r="CB1370" s="115"/>
      <c r="CC1370" s="115"/>
      <c r="CD1370" s="115"/>
      <c r="CE1370" s="115"/>
      <c r="CF1370" s="115"/>
      <c r="CG1370" s="115"/>
      <c r="CH1370" s="115"/>
      <c r="CI1370" s="115"/>
      <c r="CJ1370" s="115"/>
      <c r="CK1370" s="115"/>
      <c r="CL1370" s="115"/>
      <c r="CM1370" s="115"/>
      <c r="CN1370" s="115"/>
      <c r="CO1370" s="115"/>
      <c r="CP1370" s="115"/>
      <c r="CQ1370" s="115"/>
      <c r="CR1370" s="115"/>
      <c r="CS1370" s="115"/>
      <c r="CT1370" s="115"/>
      <c r="CU1370" s="115"/>
      <c r="CV1370" s="115"/>
      <c r="CW1370" s="115"/>
      <c r="CX1370" s="115"/>
      <c r="CY1370" s="115"/>
      <c r="CZ1370" s="115"/>
      <c r="DA1370" s="115"/>
      <c r="DB1370" s="115"/>
      <c r="DC1370" s="115"/>
      <c r="DD1370" s="115"/>
      <c r="DE1370" s="115"/>
      <c r="DF1370" s="115"/>
      <c r="DG1370" s="115"/>
    </row>
    <row r="1371" spans="1:111" ht="9" customHeight="1">
      <c r="A1371" s="154"/>
      <c r="B1371" s="154"/>
      <c r="C1371" s="154"/>
      <c r="D1371" s="154"/>
      <c r="E1371" s="154"/>
      <c r="F1371" s="154"/>
      <c r="G1371" s="154"/>
      <c r="H1371" s="154"/>
      <c r="I1371" s="154"/>
      <c r="J1371" s="416" t="str">
        <f>IF(C1357="","","Quantidade:")</f>
        <v/>
      </c>
      <c r="K1371" s="416"/>
      <c r="L1371" s="416"/>
      <c r="M1371" s="416"/>
      <c r="N1371" s="416"/>
      <c r="O1371" s="416"/>
      <c r="P1371" s="154"/>
      <c r="Q1371" s="417"/>
      <c r="R1371" s="417"/>
      <c r="S1371" s="417"/>
      <c r="T1371" s="417"/>
      <c r="U1371" s="154"/>
      <c r="V1371" s="416" t="str">
        <f>IF(C1357="","","Unidade:")</f>
        <v/>
      </c>
      <c r="W1371" s="416"/>
      <c r="X1371" s="416"/>
      <c r="Y1371" s="416"/>
      <c r="Z1371" s="416"/>
      <c r="AA1371" s="416"/>
      <c r="AB1371" s="154"/>
      <c r="AC1371" s="418"/>
      <c r="AD1371" s="418"/>
      <c r="AE1371" s="418"/>
      <c r="AF1371" s="418"/>
      <c r="AG1371" s="418"/>
      <c r="AH1371" s="418"/>
      <c r="AI1371" s="418"/>
      <c r="AJ1371" s="418"/>
      <c r="AK1371" s="418"/>
      <c r="AL1371" s="418"/>
      <c r="AM1371" s="418"/>
      <c r="AN1371" s="418"/>
      <c r="AO1371" s="418"/>
      <c r="AP1371" s="418"/>
      <c r="AQ1371" s="418"/>
      <c r="AR1371" s="418"/>
      <c r="AS1371" s="418"/>
      <c r="AT1371" s="418"/>
      <c r="AU1371" s="418"/>
      <c r="AV1371" s="418"/>
      <c r="AW1371" s="418"/>
      <c r="AX1371" s="418"/>
      <c r="AY1371" s="418"/>
      <c r="AZ1371" s="418"/>
      <c r="BA1371" s="418"/>
      <c r="BB1371" s="154"/>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c r="BY1371" s="115"/>
      <c r="BZ1371" s="115"/>
      <c r="CA1371" s="115"/>
      <c r="CB1371" s="115"/>
      <c r="CC1371" s="115"/>
      <c r="CD1371" s="115"/>
      <c r="CE1371" s="115"/>
      <c r="CF1371" s="115"/>
      <c r="CG1371" s="115"/>
      <c r="CH1371" s="115"/>
      <c r="CI1371" s="115"/>
      <c r="CJ1371" s="115"/>
      <c r="CK1371" s="115"/>
      <c r="CL1371" s="115"/>
      <c r="CM1371" s="115"/>
      <c r="CN1371" s="115"/>
      <c r="CO1371" s="115"/>
      <c r="CP1371" s="115"/>
      <c r="CQ1371" s="115"/>
      <c r="CR1371" s="115"/>
      <c r="CS1371" s="115"/>
      <c r="CT1371" s="115"/>
      <c r="CU1371" s="115"/>
      <c r="CV1371" s="115"/>
      <c r="CW1371" s="115"/>
      <c r="CX1371" s="115"/>
      <c r="CY1371" s="115"/>
      <c r="CZ1371" s="115"/>
      <c r="DA1371" s="115"/>
      <c r="DB1371" s="115"/>
      <c r="DC1371" s="115"/>
      <c r="DD1371" s="115"/>
      <c r="DE1371" s="115"/>
      <c r="DF1371" s="115"/>
      <c r="DG1371" s="115"/>
    </row>
    <row r="1372" spans="1:111" ht="9" customHeight="1">
      <c r="A1372" s="154"/>
      <c r="B1372" s="154"/>
      <c r="C1372" s="154"/>
      <c r="D1372" s="154"/>
      <c r="E1372" s="154"/>
      <c r="F1372" s="154"/>
      <c r="G1372" s="154"/>
      <c r="H1372" s="154"/>
      <c r="I1372" s="154"/>
      <c r="J1372" s="416"/>
      <c r="K1372" s="416"/>
      <c r="L1372" s="416"/>
      <c r="M1372" s="416"/>
      <c r="N1372" s="416"/>
      <c r="O1372" s="416"/>
      <c r="P1372" s="154"/>
      <c r="Q1372" s="417"/>
      <c r="R1372" s="417"/>
      <c r="S1372" s="417"/>
      <c r="T1372" s="417"/>
      <c r="U1372" s="154"/>
      <c r="V1372" s="416"/>
      <c r="W1372" s="416"/>
      <c r="X1372" s="416"/>
      <c r="Y1372" s="416"/>
      <c r="Z1372" s="416"/>
      <c r="AA1372" s="416"/>
      <c r="AB1372" s="154"/>
      <c r="AC1372" s="418"/>
      <c r="AD1372" s="418"/>
      <c r="AE1372" s="418"/>
      <c r="AF1372" s="418"/>
      <c r="AG1372" s="418"/>
      <c r="AH1372" s="418"/>
      <c r="AI1372" s="418"/>
      <c r="AJ1372" s="418"/>
      <c r="AK1372" s="418"/>
      <c r="AL1372" s="418"/>
      <c r="AM1372" s="418"/>
      <c r="AN1372" s="418"/>
      <c r="AO1372" s="418"/>
      <c r="AP1372" s="418"/>
      <c r="AQ1372" s="418"/>
      <c r="AR1372" s="418"/>
      <c r="AS1372" s="418"/>
      <c r="AT1372" s="418"/>
      <c r="AU1372" s="418"/>
      <c r="AV1372" s="418"/>
      <c r="AW1372" s="418"/>
      <c r="AX1372" s="418"/>
      <c r="AY1372" s="418"/>
      <c r="AZ1372" s="418"/>
      <c r="BA1372" s="418"/>
      <c r="BB1372" s="154"/>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c r="BY1372" s="115"/>
      <c r="BZ1372" s="115"/>
      <c r="CA1372" s="115"/>
      <c r="CB1372" s="115"/>
      <c r="CC1372" s="115"/>
      <c r="CD1372" s="115"/>
      <c r="CE1372" s="115"/>
      <c r="CF1372" s="115"/>
      <c r="CG1372" s="115"/>
      <c r="CH1372" s="115"/>
      <c r="CI1372" s="115"/>
      <c r="CJ1372" s="115"/>
      <c r="CK1372" s="115"/>
      <c r="CL1372" s="115"/>
      <c r="CM1372" s="115"/>
      <c r="CN1372" s="115"/>
      <c r="CO1372" s="115"/>
      <c r="CP1372" s="115"/>
      <c r="CQ1372" s="115"/>
      <c r="CR1372" s="115"/>
      <c r="CS1372" s="115"/>
      <c r="CT1372" s="115"/>
      <c r="CU1372" s="115"/>
      <c r="CV1372" s="115"/>
      <c r="CW1372" s="115"/>
      <c r="CX1372" s="115"/>
      <c r="CY1372" s="115"/>
      <c r="CZ1372" s="115"/>
      <c r="DA1372" s="115"/>
      <c r="DB1372" s="115"/>
      <c r="DC1372" s="115"/>
      <c r="DD1372" s="115"/>
      <c r="DE1372" s="115"/>
      <c r="DF1372" s="115"/>
      <c r="DG1372" s="115"/>
    </row>
    <row r="1373" spans="1:111" ht="9" customHeight="1">
      <c r="A1373" s="154"/>
      <c r="B1373" s="154"/>
      <c r="C1373" s="154"/>
      <c r="D1373" s="154"/>
      <c r="E1373" s="154"/>
      <c r="F1373" s="154"/>
      <c r="G1373" s="154"/>
      <c r="H1373" s="154"/>
      <c r="I1373" s="154"/>
      <c r="J1373" s="154"/>
      <c r="K1373" s="154"/>
      <c r="L1373" s="154"/>
      <c r="M1373" s="154"/>
      <c r="N1373" s="154"/>
      <c r="O1373" s="154"/>
      <c r="P1373" s="154"/>
      <c r="Q1373" s="417"/>
      <c r="R1373" s="417"/>
      <c r="S1373" s="417"/>
      <c r="T1373" s="417"/>
      <c r="U1373" s="154"/>
      <c r="V1373" s="154"/>
      <c r="W1373" s="154"/>
      <c r="X1373" s="154"/>
      <c r="Y1373" s="154"/>
      <c r="Z1373" s="154"/>
      <c r="AA1373" s="154"/>
      <c r="AB1373" s="154"/>
      <c r="AC1373" s="418"/>
      <c r="AD1373" s="418"/>
      <c r="AE1373" s="418"/>
      <c r="AF1373" s="418"/>
      <c r="AG1373" s="418"/>
      <c r="AH1373" s="418"/>
      <c r="AI1373" s="418"/>
      <c r="AJ1373" s="418"/>
      <c r="AK1373" s="418"/>
      <c r="AL1373" s="418"/>
      <c r="AM1373" s="418"/>
      <c r="AN1373" s="418"/>
      <c r="AO1373" s="418"/>
      <c r="AP1373" s="418"/>
      <c r="AQ1373" s="418"/>
      <c r="AR1373" s="418"/>
      <c r="AS1373" s="418"/>
      <c r="AT1373" s="418"/>
      <c r="AU1373" s="418"/>
      <c r="AV1373" s="418"/>
      <c r="AW1373" s="418"/>
      <c r="AX1373" s="418"/>
      <c r="AY1373" s="418"/>
      <c r="AZ1373" s="418"/>
      <c r="BA1373" s="418"/>
      <c r="BB1373" s="154"/>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c r="BY1373" s="115"/>
      <c r="BZ1373" s="115"/>
      <c r="CA1373" s="115"/>
      <c r="CB1373" s="115"/>
      <c r="CC1373" s="115"/>
      <c r="CD1373" s="115"/>
      <c r="CE1373" s="115"/>
      <c r="CF1373" s="115"/>
      <c r="CG1373" s="115"/>
      <c r="CH1373" s="115"/>
      <c r="CI1373" s="115"/>
      <c r="CJ1373" s="115"/>
      <c r="CK1373" s="115"/>
      <c r="CL1373" s="115"/>
      <c r="CM1373" s="115"/>
      <c r="CN1373" s="115"/>
      <c r="CO1373" s="115"/>
      <c r="CP1373" s="115"/>
      <c r="CQ1373" s="115"/>
      <c r="CR1373" s="115"/>
      <c r="CS1373" s="115"/>
      <c r="CT1373" s="115"/>
      <c r="CU1373" s="115"/>
      <c r="CV1373" s="115"/>
      <c r="CW1373" s="115"/>
      <c r="CX1373" s="115"/>
      <c r="CY1373" s="115"/>
      <c r="CZ1373" s="115"/>
      <c r="DA1373" s="115"/>
      <c r="DB1373" s="115"/>
      <c r="DC1373" s="115"/>
      <c r="DD1373" s="115"/>
      <c r="DE1373" s="115"/>
      <c r="DF1373" s="115"/>
      <c r="DG1373" s="115"/>
    </row>
    <row r="1374" spans="1:111" ht="4.5" customHeight="1">
      <c r="A1374" s="154"/>
      <c r="B1374" s="154"/>
      <c r="C1374" s="154"/>
      <c r="D1374" s="154"/>
      <c r="E1374" s="154"/>
      <c r="F1374" s="154"/>
      <c r="G1374" s="154"/>
      <c r="H1374" s="154"/>
      <c r="I1374" s="154"/>
      <c r="J1374" s="154"/>
      <c r="K1374" s="154"/>
      <c r="L1374" s="154"/>
      <c r="M1374" s="154"/>
      <c r="N1374" s="154"/>
      <c r="O1374" s="154"/>
      <c r="P1374" s="154"/>
      <c r="Q1374" s="154"/>
      <c r="R1374" s="154"/>
      <c r="S1374" s="154"/>
      <c r="T1374" s="154"/>
      <c r="U1374" s="154"/>
      <c r="V1374" s="154"/>
      <c r="W1374" s="154"/>
      <c r="X1374" s="154"/>
      <c r="Y1374" s="154"/>
      <c r="Z1374" s="154"/>
      <c r="AA1374" s="154"/>
      <c r="AB1374" s="154"/>
      <c r="AC1374" s="154"/>
      <c r="AD1374" s="154"/>
      <c r="AE1374" s="154"/>
      <c r="AF1374" s="154"/>
      <c r="AG1374" s="154"/>
      <c r="AH1374" s="154"/>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c r="BY1374" s="115"/>
      <c r="BZ1374" s="115"/>
      <c r="CA1374" s="115"/>
      <c r="CB1374" s="115"/>
      <c r="CC1374" s="115"/>
      <c r="CD1374" s="115"/>
      <c r="CE1374" s="115"/>
      <c r="CF1374" s="115"/>
      <c r="CG1374" s="115"/>
      <c r="CH1374" s="115"/>
      <c r="CI1374" s="115"/>
      <c r="CJ1374" s="115"/>
      <c r="CK1374" s="115"/>
      <c r="CL1374" s="115"/>
      <c r="CM1374" s="115"/>
      <c r="CN1374" s="115"/>
      <c r="CO1374" s="115"/>
      <c r="CP1374" s="115"/>
      <c r="CQ1374" s="115"/>
      <c r="CR1374" s="115"/>
      <c r="CS1374" s="115"/>
      <c r="CT1374" s="115"/>
      <c r="CU1374" s="115"/>
      <c r="CV1374" s="115"/>
      <c r="CW1374" s="115"/>
      <c r="CX1374" s="115"/>
      <c r="CY1374" s="115"/>
      <c r="CZ1374" s="115"/>
      <c r="DA1374" s="115"/>
      <c r="DB1374" s="115"/>
      <c r="DC1374" s="115"/>
      <c r="DD1374" s="115"/>
      <c r="DE1374" s="115"/>
      <c r="DF1374" s="115"/>
      <c r="DG1374" s="115"/>
    </row>
    <row r="1375" spans="1:111" ht="9" customHeight="1">
      <c r="A1375" s="154"/>
      <c r="B1375" s="154"/>
      <c r="C1375" s="154"/>
      <c r="D1375" s="154"/>
      <c r="E1375" s="154"/>
      <c r="F1375" s="154"/>
      <c r="G1375" s="154"/>
      <c r="H1375" s="154"/>
      <c r="I1375" s="154"/>
      <c r="J1375" s="416" t="str">
        <f>IF(C1357="","","Valor Unitário (R$):")</f>
        <v/>
      </c>
      <c r="K1375" s="416"/>
      <c r="L1375" s="416"/>
      <c r="M1375" s="416"/>
      <c r="N1375" s="416"/>
      <c r="O1375" s="416"/>
      <c r="P1375" s="154"/>
      <c r="Q1375" s="419"/>
      <c r="R1375" s="419"/>
      <c r="S1375" s="419"/>
      <c r="T1375" s="419"/>
      <c r="U1375" s="419"/>
      <c r="V1375" s="419"/>
      <c r="W1375" s="419"/>
      <c r="X1375" s="419"/>
      <c r="Y1375" s="154"/>
      <c r="Z1375" s="416" t="str">
        <f>IF(C1357="","",IF(J1363="52 Equipamentos e Material Permanente","Tempo de Uso:",""))</f>
        <v/>
      </c>
      <c r="AA1375" s="416"/>
      <c r="AB1375" s="416"/>
      <c r="AC1375" s="416"/>
      <c r="AD1375" s="416"/>
      <c r="AE1375" s="416"/>
      <c r="AF1375" s="154"/>
      <c r="AG1375" s="420"/>
      <c r="AH1375" s="420"/>
      <c r="AI1375" s="420"/>
      <c r="AJ1375" s="420"/>
      <c r="AK1375" s="420"/>
      <c r="AL1375" s="420"/>
      <c r="AM1375" s="420"/>
      <c r="AN1375" s="420"/>
      <c r="AO1375" s="420"/>
      <c r="AP1375" s="420"/>
      <c r="AQ1375" s="420"/>
      <c r="AR1375" s="420"/>
      <c r="AS1375" s="420"/>
      <c r="AT1375" s="420"/>
      <c r="AU1375" s="420"/>
      <c r="AV1375" s="420"/>
      <c r="AW1375" s="420"/>
      <c r="AX1375" s="420"/>
      <c r="AY1375" s="420"/>
      <c r="AZ1375" s="420"/>
      <c r="BA1375" s="420"/>
      <c r="BB1375" s="154"/>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c r="BY1375" s="115"/>
      <c r="BZ1375" s="115"/>
      <c r="CA1375" s="115"/>
      <c r="CB1375" s="115"/>
      <c r="CC1375" s="115"/>
      <c r="CD1375" s="115"/>
      <c r="CE1375" s="115"/>
      <c r="CF1375" s="115"/>
      <c r="CG1375" s="115"/>
      <c r="CH1375" s="115"/>
      <c r="CI1375" s="115"/>
      <c r="CJ1375" s="115"/>
      <c r="CK1375" s="115"/>
      <c r="CL1375" s="115"/>
      <c r="CM1375" s="115"/>
      <c r="CN1375" s="115"/>
      <c r="CO1375" s="115"/>
      <c r="CP1375" s="115"/>
      <c r="CQ1375" s="115"/>
      <c r="CR1375" s="115"/>
      <c r="CS1375" s="115"/>
      <c r="CT1375" s="115"/>
      <c r="CU1375" s="115"/>
      <c r="CV1375" s="115"/>
      <c r="CW1375" s="115"/>
      <c r="CX1375" s="115"/>
      <c r="CY1375" s="115"/>
      <c r="CZ1375" s="115"/>
      <c r="DA1375" s="115"/>
      <c r="DB1375" s="115"/>
      <c r="DC1375" s="115"/>
      <c r="DD1375" s="115"/>
      <c r="DE1375" s="115"/>
      <c r="DF1375" s="115"/>
      <c r="DG1375" s="115"/>
    </row>
    <row r="1376" spans="1:111" ht="9" customHeight="1">
      <c r="A1376" s="154"/>
      <c r="B1376" s="154"/>
      <c r="C1376" s="154"/>
      <c r="D1376" s="154"/>
      <c r="E1376" s="154"/>
      <c r="F1376" s="154"/>
      <c r="G1376" s="154"/>
      <c r="H1376" s="154"/>
      <c r="I1376" s="154"/>
      <c r="J1376" s="416"/>
      <c r="K1376" s="416"/>
      <c r="L1376" s="416"/>
      <c r="M1376" s="416"/>
      <c r="N1376" s="416"/>
      <c r="O1376" s="416"/>
      <c r="P1376" s="154"/>
      <c r="Q1376" s="419"/>
      <c r="R1376" s="419"/>
      <c r="S1376" s="419"/>
      <c r="T1376" s="419"/>
      <c r="U1376" s="419"/>
      <c r="V1376" s="419"/>
      <c r="W1376" s="419"/>
      <c r="X1376" s="419"/>
      <c r="Y1376" s="154"/>
      <c r="Z1376" s="416"/>
      <c r="AA1376" s="416"/>
      <c r="AB1376" s="416"/>
      <c r="AC1376" s="416"/>
      <c r="AD1376" s="416"/>
      <c r="AE1376" s="416"/>
      <c r="AF1376" s="154"/>
      <c r="AG1376" s="420"/>
      <c r="AH1376" s="420"/>
      <c r="AI1376" s="420"/>
      <c r="AJ1376" s="420"/>
      <c r="AK1376" s="420"/>
      <c r="AL1376" s="420"/>
      <c r="AM1376" s="420"/>
      <c r="AN1376" s="420"/>
      <c r="AO1376" s="420"/>
      <c r="AP1376" s="420"/>
      <c r="AQ1376" s="420"/>
      <c r="AR1376" s="420"/>
      <c r="AS1376" s="420"/>
      <c r="AT1376" s="420"/>
      <c r="AU1376" s="420"/>
      <c r="AV1376" s="420"/>
      <c r="AW1376" s="420"/>
      <c r="AX1376" s="420"/>
      <c r="AY1376" s="420"/>
      <c r="AZ1376" s="420"/>
      <c r="BA1376" s="420"/>
      <c r="BB1376" s="154"/>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c r="BY1376" s="115"/>
      <c r="BZ1376" s="115"/>
      <c r="CA1376" s="115"/>
      <c r="CB1376" s="115"/>
      <c r="CC1376" s="115"/>
      <c r="CD1376" s="115"/>
      <c r="CE1376" s="115"/>
      <c r="CF1376" s="115"/>
      <c r="CG1376" s="115"/>
      <c r="CH1376" s="115"/>
      <c r="CI1376" s="115"/>
      <c r="CJ1376" s="115"/>
      <c r="CK1376" s="115"/>
      <c r="CL1376" s="115"/>
      <c r="CM1376" s="115"/>
      <c r="CN1376" s="115"/>
      <c r="CO1376" s="115"/>
      <c r="CP1376" s="115"/>
      <c r="CQ1376" s="115"/>
      <c r="CR1376" s="115"/>
      <c r="CS1376" s="115"/>
      <c r="CT1376" s="115"/>
      <c r="CU1376" s="115"/>
      <c r="CV1376" s="115"/>
      <c r="CW1376" s="115"/>
      <c r="CX1376" s="115"/>
      <c r="CY1376" s="115"/>
      <c r="CZ1376" s="115"/>
      <c r="DA1376" s="115"/>
      <c r="DB1376" s="115"/>
      <c r="DC1376" s="115"/>
      <c r="DD1376" s="115"/>
      <c r="DE1376" s="115"/>
      <c r="DF1376" s="115"/>
      <c r="DG1376" s="115"/>
    </row>
    <row r="1377" spans="1:111" ht="9" customHeight="1">
      <c r="A1377" s="154"/>
      <c r="B1377" s="154"/>
      <c r="C1377" s="154"/>
      <c r="D1377" s="154"/>
      <c r="E1377" s="154"/>
      <c r="F1377" s="154"/>
      <c r="G1377" s="154"/>
      <c r="H1377" s="154"/>
      <c r="I1377" s="154"/>
      <c r="J1377" s="154"/>
      <c r="K1377" s="154"/>
      <c r="L1377" s="154"/>
      <c r="M1377" s="154"/>
      <c r="N1377" s="154"/>
      <c r="O1377" s="154"/>
      <c r="P1377" s="154"/>
      <c r="Q1377" s="419"/>
      <c r="R1377" s="419"/>
      <c r="S1377" s="419"/>
      <c r="T1377" s="419"/>
      <c r="U1377" s="419"/>
      <c r="V1377" s="419"/>
      <c r="W1377" s="419"/>
      <c r="X1377" s="419"/>
      <c r="Y1377" s="154"/>
      <c r="Z1377" s="154"/>
      <c r="AA1377" s="154"/>
      <c r="AB1377" s="154"/>
      <c r="AC1377" s="154"/>
      <c r="AD1377" s="154"/>
      <c r="AE1377" s="154"/>
      <c r="AF1377" s="154"/>
      <c r="AG1377" s="420"/>
      <c r="AH1377" s="420"/>
      <c r="AI1377" s="420"/>
      <c r="AJ1377" s="420"/>
      <c r="AK1377" s="420"/>
      <c r="AL1377" s="420"/>
      <c r="AM1377" s="420"/>
      <c r="AN1377" s="420"/>
      <c r="AO1377" s="420"/>
      <c r="AP1377" s="420"/>
      <c r="AQ1377" s="420"/>
      <c r="AR1377" s="420"/>
      <c r="AS1377" s="420"/>
      <c r="AT1377" s="420"/>
      <c r="AU1377" s="420"/>
      <c r="AV1377" s="420"/>
      <c r="AW1377" s="420"/>
      <c r="AX1377" s="420"/>
      <c r="AY1377" s="420"/>
      <c r="AZ1377" s="420"/>
      <c r="BA1377" s="420"/>
      <c r="BB1377" s="154"/>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c r="BY1377" s="115"/>
      <c r="BZ1377" s="115"/>
      <c r="CA1377" s="115"/>
      <c r="CB1377" s="115"/>
      <c r="CC1377" s="115"/>
      <c r="CD1377" s="115"/>
      <c r="CE1377" s="115"/>
      <c r="CF1377" s="115"/>
      <c r="CG1377" s="115"/>
      <c r="CH1377" s="115"/>
      <c r="CI1377" s="115"/>
      <c r="CJ1377" s="115"/>
      <c r="CK1377" s="115"/>
      <c r="CL1377" s="115"/>
      <c r="CM1377" s="115"/>
      <c r="CN1377" s="115"/>
      <c r="CO1377" s="115"/>
      <c r="CP1377" s="115"/>
      <c r="CQ1377" s="115"/>
      <c r="CR1377" s="115"/>
      <c r="CS1377" s="115"/>
      <c r="CT1377" s="115"/>
      <c r="CU1377" s="115"/>
      <c r="CV1377" s="115"/>
      <c r="CW1377" s="115"/>
      <c r="CX1377" s="115"/>
      <c r="CY1377" s="115"/>
      <c r="CZ1377" s="115"/>
      <c r="DA1377" s="115"/>
      <c r="DB1377" s="115"/>
      <c r="DC1377" s="115"/>
      <c r="DD1377" s="115"/>
      <c r="DE1377" s="115"/>
      <c r="DF1377" s="115"/>
      <c r="DG1377" s="115"/>
    </row>
    <row r="1378" spans="1:111" ht="4.5" customHeight="1">
      <c r="A1378" s="154"/>
      <c r="B1378" s="154"/>
      <c r="C1378" s="154"/>
      <c r="D1378" s="154"/>
      <c r="E1378" s="154"/>
      <c r="F1378" s="154"/>
      <c r="G1378" s="154"/>
      <c r="H1378" s="154"/>
      <c r="I1378" s="154"/>
      <c r="J1378" s="154"/>
      <c r="K1378" s="154"/>
      <c r="L1378" s="154"/>
      <c r="M1378" s="154"/>
      <c r="N1378" s="154"/>
      <c r="O1378" s="154"/>
      <c r="P1378" s="154"/>
      <c r="Q1378" s="154"/>
      <c r="R1378" s="154"/>
      <c r="S1378" s="154"/>
      <c r="T1378" s="154"/>
      <c r="U1378" s="154"/>
      <c r="V1378" s="154"/>
      <c r="W1378" s="154"/>
      <c r="X1378" s="154"/>
      <c r="Y1378" s="154"/>
      <c r="Z1378" s="154"/>
      <c r="AA1378" s="154"/>
      <c r="AB1378" s="154"/>
      <c r="AC1378" s="154"/>
      <c r="AD1378" s="154"/>
      <c r="AE1378" s="154"/>
      <c r="AF1378" s="154"/>
      <c r="AG1378" s="154"/>
      <c r="AH1378" s="154"/>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c r="BY1378" s="115"/>
      <c r="BZ1378" s="115"/>
      <c r="CA1378" s="115"/>
      <c r="CB1378" s="115"/>
      <c r="CC1378" s="115"/>
      <c r="CD1378" s="115"/>
      <c r="CE1378" s="115"/>
      <c r="CF1378" s="115"/>
      <c r="CG1378" s="115"/>
      <c r="CH1378" s="115"/>
      <c r="CI1378" s="115"/>
      <c r="CJ1378" s="115"/>
      <c r="CK1378" s="115"/>
      <c r="CL1378" s="115"/>
      <c r="CM1378" s="115"/>
      <c r="CN1378" s="115"/>
      <c r="CO1378" s="115"/>
      <c r="CP1378" s="115"/>
      <c r="CQ1378" s="115"/>
      <c r="CR1378" s="115"/>
      <c r="CS1378" s="115"/>
      <c r="CT1378" s="115"/>
      <c r="CU1378" s="115"/>
      <c r="CV1378" s="115"/>
      <c r="CW1378" s="115"/>
      <c r="CX1378" s="115"/>
      <c r="CY1378" s="115"/>
      <c r="CZ1378" s="115"/>
      <c r="DA1378" s="115"/>
      <c r="DB1378" s="115"/>
      <c r="DC1378" s="115"/>
      <c r="DD1378" s="115"/>
      <c r="DE1378" s="115"/>
      <c r="DF1378" s="115"/>
      <c r="DG1378" s="115"/>
    </row>
    <row r="1379" spans="1:111" ht="9" customHeight="1">
      <c r="A1379" s="154"/>
      <c r="B1379" s="154"/>
      <c r="C1379" s="154"/>
      <c r="D1379" s="154"/>
      <c r="E1379" s="154"/>
      <c r="F1379" s="154"/>
      <c r="G1379" s="154"/>
      <c r="H1379" s="154"/>
      <c r="I1379" s="154"/>
      <c r="J1379" s="416" t="str">
        <f>IF(C1357="","","Valor Total (R$):")</f>
        <v/>
      </c>
      <c r="K1379" s="416"/>
      <c r="L1379" s="416"/>
      <c r="M1379" s="416"/>
      <c r="N1379" s="416"/>
      <c r="O1379" s="416"/>
      <c r="P1379" s="154"/>
      <c r="Q1379" s="419" t="str">
        <f>IF(Q1375="","",Q1371*Q1375)</f>
        <v/>
      </c>
      <c r="R1379" s="419"/>
      <c r="S1379" s="419"/>
      <c r="T1379" s="419"/>
      <c r="U1379" s="419"/>
      <c r="V1379" s="419"/>
      <c r="W1379" s="419"/>
      <c r="X1379" s="419"/>
      <c r="Y1379" s="154"/>
      <c r="Z1379" s="416" t="str">
        <f>IF(C1357="","",IF(J1363="52 Equipamentos e Material Permanente","Justificativa e Utilização:",""))</f>
        <v/>
      </c>
      <c r="AA1379" s="416"/>
      <c r="AB1379" s="416"/>
      <c r="AC1379" s="416"/>
      <c r="AD1379" s="416"/>
      <c r="AE1379" s="416"/>
      <c r="AF1379" s="154"/>
      <c r="AG1379" s="420"/>
      <c r="AH1379" s="420"/>
      <c r="AI1379" s="420"/>
      <c r="AJ1379" s="420"/>
      <c r="AK1379" s="420"/>
      <c r="AL1379" s="420"/>
      <c r="AM1379" s="420"/>
      <c r="AN1379" s="420"/>
      <c r="AO1379" s="420"/>
      <c r="AP1379" s="420"/>
      <c r="AQ1379" s="420"/>
      <c r="AR1379" s="420"/>
      <c r="AS1379" s="420"/>
      <c r="AT1379" s="420"/>
      <c r="AU1379" s="420"/>
      <c r="AV1379" s="420"/>
      <c r="AW1379" s="420"/>
      <c r="AX1379" s="420"/>
      <c r="AY1379" s="420"/>
      <c r="AZ1379" s="420"/>
      <c r="BA1379" s="420"/>
      <c r="BB1379" s="154"/>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c r="BY1379" s="115"/>
      <c r="BZ1379" s="115"/>
      <c r="CA1379" s="115"/>
      <c r="CB1379" s="115"/>
      <c r="CC1379" s="115"/>
      <c r="CD1379" s="115"/>
      <c r="CE1379" s="115"/>
      <c r="CF1379" s="115"/>
      <c r="CG1379" s="115"/>
      <c r="CH1379" s="115"/>
      <c r="CI1379" s="115"/>
      <c r="CJ1379" s="115"/>
      <c r="CK1379" s="115"/>
      <c r="CL1379" s="115"/>
      <c r="CM1379" s="115"/>
      <c r="CN1379" s="115"/>
      <c r="CO1379" s="115"/>
      <c r="CP1379" s="115"/>
      <c r="CQ1379" s="115"/>
      <c r="CR1379" s="115"/>
      <c r="CS1379" s="115"/>
      <c r="CT1379" s="115"/>
      <c r="CU1379" s="115"/>
      <c r="CV1379" s="115"/>
      <c r="CW1379" s="115"/>
      <c r="CX1379" s="115"/>
      <c r="CY1379" s="115"/>
      <c r="CZ1379" s="115"/>
      <c r="DA1379" s="115"/>
      <c r="DB1379" s="115"/>
      <c r="DC1379" s="115"/>
      <c r="DD1379" s="115"/>
      <c r="DE1379" s="115"/>
      <c r="DF1379" s="115"/>
      <c r="DG1379" s="115"/>
    </row>
    <row r="1380" spans="1:111" ht="9" customHeight="1">
      <c r="A1380" s="154"/>
      <c r="B1380" s="154"/>
      <c r="C1380" s="154"/>
      <c r="D1380" s="154"/>
      <c r="E1380" s="154"/>
      <c r="F1380" s="154"/>
      <c r="G1380" s="154"/>
      <c r="H1380" s="154"/>
      <c r="I1380" s="154"/>
      <c r="J1380" s="416"/>
      <c r="K1380" s="416"/>
      <c r="L1380" s="416"/>
      <c r="M1380" s="416"/>
      <c r="N1380" s="416"/>
      <c r="O1380" s="416"/>
      <c r="P1380" s="154"/>
      <c r="Q1380" s="419"/>
      <c r="R1380" s="419"/>
      <c r="S1380" s="419"/>
      <c r="T1380" s="419"/>
      <c r="U1380" s="419"/>
      <c r="V1380" s="419"/>
      <c r="W1380" s="419"/>
      <c r="X1380" s="419"/>
      <c r="Y1380" s="154"/>
      <c r="Z1380" s="416"/>
      <c r="AA1380" s="416"/>
      <c r="AB1380" s="416"/>
      <c r="AC1380" s="416"/>
      <c r="AD1380" s="416"/>
      <c r="AE1380" s="416"/>
      <c r="AF1380" s="154"/>
      <c r="AG1380" s="420"/>
      <c r="AH1380" s="420"/>
      <c r="AI1380" s="420"/>
      <c r="AJ1380" s="420"/>
      <c r="AK1380" s="420"/>
      <c r="AL1380" s="420"/>
      <c r="AM1380" s="420"/>
      <c r="AN1380" s="420"/>
      <c r="AO1380" s="420"/>
      <c r="AP1380" s="420"/>
      <c r="AQ1380" s="420"/>
      <c r="AR1380" s="420"/>
      <c r="AS1380" s="420"/>
      <c r="AT1380" s="420"/>
      <c r="AU1380" s="420"/>
      <c r="AV1380" s="420"/>
      <c r="AW1380" s="420"/>
      <c r="AX1380" s="420"/>
      <c r="AY1380" s="420"/>
      <c r="AZ1380" s="420"/>
      <c r="BA1380" s="420"/>
      <c r="BB1380" s="154"/>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c r="BY1380" s="115"/>
      <c r="BZ1380" s="115"/>
      <c r="CA1380" s="115"/>
      <c r="CB1380" s="115"/>
      <c r="CC1380" s="115"/>
      <c r="CD1380" s="115"/>
      <c r="CE1380" s="115"/>
      <c r="CF1380" s="115"/>
      <c r="CG1380" s="115"/>
      <c r="CH1380" s="115"/>
      <c r="CI1380" s="115"/>
      <c r="CJ1380" s="115"/>
      <c r="CK1380" s="115"/>
      <c r="CL1380" s="115"/>
      <c r="CM1380" s="115"/>
      <c r="CN1380" s="115"/>
      <c r="CO1380" s="115"/>
      <c r="CP1380" s="115"/>
      <c r="CQ1380" s="115"/>
      <c r="CR1380" s="115"/>
      <c r="CS1380" s="115"/>
      <c r="CT1380" s="115"/>
      <c r="CU1380" s="115"/>
      <c r="CV1380" s="115"/>
      <c r="CW1380" s="115"/>
      <c r="CX1380" s="115"/>
      <c r="CY1380" s="115"/>
      <c r="CZ1380" s="115"/>
      <c r="DA1380" s="115"/>
      <c r="DB1380" s="115"/>
      <c r="DC1380" s="115"/>
      <c r="DD1380" s="115"/>
      <c r="DE1380" s="115"/>
      <c r="DF1380" s="115"/>
      <c r="DG1380" s="115"/>
    </row>
    <row r="1381" spans="1:111" ht="9" customHeight="1">
      <c r="A1381" s="154"/>
      <c r="B1381" s="154"/>
      <c r="C1381" s="154"/>
      <c r="D1381" s="154"/>
      <c r="E1381" s="154"/>
      <c r="F1381" s="154"/>
      <c r="G1381" s="154"/>
      <c r="H1381" s="154"/>
      <c r="I1381" s="154"/>
      <c r="J1381" s="154"/>
      <c r="K1381" s="154"/>
      <c r="L1381" s="154"/>
      <c r="M1381" s="154"/>
      <c r="N1381" s="154"/>
      <c r="O1381" s="154"/>
      <c r="P1381" s="154"/>
      <c r="Q1381" s="419"/>
      <c r="R1381" s="419"/>
      <c r="S1381" s="419"/>
      <c r="T1381" s="419"/>
      <c r="U1381" s="419"/>
      <c r="V1381" s="419"/>
      <c r="W1381" s="419"/>
      <c r="X1381" s="419"/>
      <c r="Y1381" s="154"/>
      <c r="Z1381" s="154"/>
      <c r="AA1381" s="154"/>
      <c r="AB1381" s="154"/>
      <c r="AC1381" s="154"/>
      <c r="AD1381" s="154"/>
      <c r="AE1381" s="154"/>
      <c r="AF1381" s="154"/>
      <c r="AG1381" s="420"/>
      <c r="AH1381" s="420"/>
      <c r="AI1381" s="420"/>
      <c r="AJ1381" s="420"/>
      <c r="AK1381" s="420"/>
      <c r="AL1381" s="420"/>
      <c r="AM1381" s="420"/>
      <c r="AN1381" s="420"/>
      <c r="AO1381" s="420"/>
      <c r="AP1381" s="420"/>
      <c r="AQ1381" s="420"/>
      <c r="AR1381" s="420"/>
      <c r="AS1381" s="420"/>
      <c r="AT1381" s="420"/>
      <c r="AU1381" s="420"/>
      <c r="AV1381" s="420"/>
      <c r="AW1381" s="420"/>
      <c r="AX1381" s="420"/>
      <c r="AY1381" s="420"/>
      <c r="AZ1381" s="420"/>
      <c r="BA1381" s="420"/>
      <c r="BB1381" s="154"/>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c r="BY1381" s="115"/>
      <c r="BZ1381" s="115"/>
      <c r="CA1381" s="115"/>
      <c r="CB1381" s="115"/>
      <c r="CC1381" s="115"/>
      <c r="CD1381" s="115"/>
      <c r="CE1381" s="115"/>
      <c r="CF1381" s="115"/>
      <c r="CG1381" s="115"/>
      <c r="CH1381" s="115"/>
      <c r="CI1381" s="115"/>
      <c r="CJ1381" s="115"/>
      <c r="CK1381" s="115"/>
      <c r="CL1381" s="115"/>
      <c r="CM1381" s="115"/>
      <c r="CN1381" s="115"/>
      <c r="CO1381" s="115"/>
      <c r="CP1381" s="115"/>
      <c r="CQ1381" s="115"/>
      <c r="CR1381" s="115"/>
      <c r="CS1381" s="115"/>
      <c r="CT1381" s="115"/>
      <c r="CU1381" s="115"/>
      <c r="CV1381" s="115"/>
      <c r="CW1381" s="115"/>
      <c r="CX1381" s="115"/>
      <c r="CY1381" s="115"/>
      <c r="CZ1381" s="115"/>
      <c r="DA1381" s="115"/>
      <c r="DB1381" s="115"/>
      <c r="DC1381" s="115"/>
      <c r="DD1381" s="115"/>
      <c r="DE1381" s="115"/>
      <c r="DF1381" s="115"/>
      <c r="DG1381" s="115"/>
    </row>
    <row r="1382" spans="1:111" ht="9" customHeight="1">
      <c r="A1382" s="154"/>
      <c r="B1382" s="154"/>
      <c r="C1382" s="154"/>
      <c r="D1382" s="154"/>
      <c r="E1382" s="154"/>
      <c r="F1382" s="154"/>
      <c r="G1382" s="154"/>
      <c r="H1382" s="154"/>
      <c r="I1382" s="154"/>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420"/>
      <c r="AH1382" s="420"/>
      <c r="AI1382" s="420"/>
      <c r="AJ1382" s="420"/>
      <c r="AK1382" s="420"/>
      <c r="AL1382" s="420"/>
      <c r="AM1382" s="420"/>
      <c r="AN1382" s="420"/>
      <c r="AO1382" s="420"/>
      <c r="AP1382" s="420"/>
      <c r="AQ1382" s="420"/>
      <c r="AR1382" s="420"/>
      <c r="AS1382" s="420"/>
      <c r="AT1382" s="420"/>
      <c r="AU1382" s="420"/>
      <c r="AV1382" s="420"/>
      <c r="AW1382" s="420"/>
      <c r="AX1382" s="420"/>
      <c r="AY1382" s="420"/>
      <c r="AZ1382" s="420"/>
      <c r="BA1382" s="420"/>
      <c r="BB1382" s="154"/>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c r="BY1382" s="115"/>
      <c r="BZ1382" s="115"/>
      <c r="CA1382" s="115"/>
      <c r="CB1382" s="115"/>
      <c r="CC1382" s="115"/>
      <c r="CD1382" s="115"/>
      <c r="CE1382" s="115"/>
      <c r="CF1382" s="115"/>
      <c r="CG1382" s="115"/>
      <c r="CH1382" s="115"/>
      <c r="CI1382" s="115"/>
      <c r="CJ1382" s="115"/>
      <c r="CK1382" s="115"/>
      <c r="CL1382" s="115"/>
      <c r="CM1382" s="115"/>
      <c r="CN1382" s="115"/>
      <c r="CO1382" s="115"/>
      <c r="CP1382" s="115"/>
      <c r="CQ1382" s="115"/>
      <c r="CR1382" s="115"/>
      <c r="CS1382" s="115"/>
      <c r="CT1382" s="115"/>
      <c r="CU1382" s="115"/>
      <c r="CV1382" s="115"/>
      <c r="CW1382" s="115"/>
      <c r="CX1382" s="115"/>
      <c r="CY1382" s="115"/>
      <c r="CZ1382" s="115"/>
      <c r="DA1382" s="115"/>
      <c r="DB1382" s="115"/>
      <c r="DC1382" s="115"/>
      <c r="DD1382" s="115"/>
      <c r="DE1382" s="115"/>
      <c r="DF1382" s="115"/>
      <c r="DG1382" s="115"/>
    </row>
    <row r="1383" spans="1:111" ht="9" customHeight="1">
      <c r="A1383" s="154"/>
      <c r="B1383" s="154"/>
      <c r="C1383" s="154"/>
      <c r="D1383" s="154"/>
      <c r="E1383" s="154"/>
      <c r="F1383" s="154"/>
      <c r="G1383" s="154"/>
      <c r="H1383" s="154"/>
      <c r="I1383" s="154"/>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420"/>
      <c r="AH1383" s="420"/>
      <c r="AI1383" s="420"/>
      <c r="AJ1383" s="420"/>
      <c r="AK1383" s="420"/>
      <c r="AL1383" s="420"/>
      <c r="AM1383" s="420"/>
      <c r="AN1383" s="420"/>
      <c r="AO1383" s="420"/>
      <c r="AP1383" s="420"/>
      <c r="AQ1383" s="420"/>
      <c r="AR1383" s="420"/>
      <c r="AS1383" s="420"/>
      <c r="AT1383" s="420"/>
      <c r="AU1383" s="420"/>
      <c r="AV1383" s="420"/>
      <c r="AW1383" s="420"/>
      <c r="AX1383" s="420"/>
      <c r="AY1383" s="420"/>
      <c r="AZ1383" s="420"/>
      <c r="BA1383" s="420"/>
      <c r="BB1383" s="154"/>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c r="BY1383" s="115"/>
      <c r="BZ1383" s="115"/>
      <c r="CA1383" s="115"/>
      <c r="CB1383" s="115"/>
      <c r="CC1383" s="115"/>
      <c r="CD1383" s="115"/>
      <c r="CE1383" s="115"/>
      <c r="CF1383" s="115"/>
      <c r="CG1383" s="115"/>
      <c r="CH1383" s="115"/>
      <c r="CI1383" s="115"/>
      <c r="CJ1383" s="115"/>
      <c r="CK1383" s="115"/>
      <c r="CL1383" s="115"/>
      <c r="CM1383" s="115"/>
      <c r="CN1383" s="115"/>
      <c r="CO1383" s="115"/>
      <c r="CP1383" s="115"/>
      <c r="CQ1383" s="115"/>
      <c r="CR1383" s="115"/>
      <c r="CS1383" s="115"/>
      <c r="CT1383" s="115"/>
      <c r="CU1383" s="115"/>
      <c r="CV1383" s="115"/>
      <c r="CW1383" s="115"/>
      <c r="CX1383" s="115"/>
      <c r="CY1383" s="115"/>
      <c r="CZ1383" s="115"/>
      <c r="DA1383" s="115"/>
      <c r="DB1383" s="115"/>
      <c r="DC1383" s="115"/>
      <c r="DD1383" s="115"/>
      <c r="DE1383" s="115"/>
      <c r="DF1383" s="115"/>
      <c r="DG1383" s="115"/>
    </row>
    <row r="1384" spans="1:111" ht="9" customHeight="1">
      <c r="A1384" s="154"/>
      <c r="B1384" s="154"/>
      <c r="C1384" s="154"/>
      <c r="D1384" s="154"/>
      <c r="E1384" s="154"/>
      <c r="F1384" s="154"/>
      <c r="G1384" s="154"/>
      <c r="H1384" s="154"/>
      <c r="I1384" s="154"/>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420"/>
      <c r="AH1384" s="420"/>
      <c r="AI1384" s="420"/>
      <c r="AJ1384" s="420"/>
      <c r="AK1384" s="420"/>
      <c r="AL1384" s="420"/>
      <c r="AM1384" s="420"/>
      <c r="AN1384" s="420"/>
      <c r="AO1384" s="420"/>
      <c r="AP1384" s="420"/>
      <c r="AQ1384" s="420"/>
      <c r="AR1384" s="420"/>
      <c r="AS1384" s="420"/>
      <c r="AT1384" s="420"/>
      <c r="AU1384" s="420"/>
      <c r="AV1384" s="420"/>
      <c r="AW1384" s="420"/>
      <c r="AX1384" s="420"/>
      <c r="AY1384" s="420"/>
      <c r="AZ1384" s="420"/>
      <c r="BA1384" s="420"/>
      <c r="BB1384" s="154"/>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c r="BY1384" s="115"/>
      <c r="BZ1384" s="115"/>
      <c r="CA1384" s="115"/>
      <c r="CB1384" s="115"/>
      <c r="CC1384" s="115"/>
      <c r="CD1384" s="115"/>
      <c r="CE1384" s="115"/>
      <c r="CF1384" s="115"/>
      <c r="CG1384" s="115"/>
      <c r="CH1384" s="115"/>
      <c r="CI1384" s="115"/>
      <c r="CJ1384" s="115"/>
      <c r="CK1384" s="115"/>
      <c r="CL1384" s="115"/>
      <c r="CM1384" s="115"/>
      <c r="CN1384" s="115"/>
      <c r="CO1384" s="115"/>
      <c r="CP1384" s="115"/>
      <c r="CQ1384" s="115"/>
      <c r="CR1384" s="115"/>
      <c r="CS1384" s="115"/>
      <c r="CT1384" s="115"/>
      <c r="CU1384" s="115"/>
      <c r="CV1384" s="115"/>
      <c r="CW1384" s="115"/>
      <c r="CX1384" s="115"/>
      <c r="CY1384" s="115"/>
      <c r="CZ1384" s="115"/>
      <c r="DA1384" s="115"/>
      <c r="DB1384" s="115"/>
      <c r="DC1384" s="115"/>
      <c r="DD1384" s="115"/>
      <c r="DE1384" s="115"/>
      <c r="DF1384" s="115"/>
      <c r="DG1384" s="115"/>
    </row>
    <row r="1385" spans="1:111" ht="15" customHeight="1">
      <c r="B1385" s="55"/>
      <c r="C1385" s="55"/>
      <c r="D1385" s="56"/>
      <c r="E1385" s="56"/>
      <c r="F1385" s="56"/>
      <c r="G1385" s="56"/>
      <c r="H1385" s="56"/>
      <c r="I1385" s="56"/>
      <c r="J1385" s="56"/>
      <c r="K1385" s="56"/>
      <c r="L1385" s="56"/>
      <c r="M1385" s="56"/>
      <c r="N1385" s="56"/>
      <c r="O1385" s="56"/>
      <c r="P1385" s="56"/>
      <c r="Q1385" s="56"/>
      <c r="R1385" s="56"/>
      <c r="S1385" s="56"/>
      <c r="T1385" s="56"/>
      <c r="U1385" s="56"/>
      <c r="V1385" s="56"/>
      <c r="W1385" s="56"/>
      <c r="X1385" s="56"/>
      <c r="Y1385" s="56"/>
      <c r="Z1385" s="56"/>
      <c r="AA1385" s="56"/>
      <c r="AB1385" s="56"/>
      <c r="AC1385" s="56"/>
      <c r="AD1385" s="56"/>
      <c r="AE1385" s="56"/>
      <c r="AF1385" s="56"/>
      <c r="AG1385" s="56"/>
      <c r="AH1385" s="56"/>
      <c r="AI1385" s="56"/>
      <c r="AJ1385" s="56"/>
      <c r="AK1385" s="141"/>
      <c r="AL1385" s="141"/>
      <c r="AM1385" s="141"/>
      <c r="AN1385" s="141"/>
      <c r="AO1385" s="140"/>
      <c r="AP1385" s="140"/>
      <c r="AQ1385" s="140"/>
      <c r="AR1385" s="140"/>
      <c r="AS1385" s="142"/>
      <c r="AT1385" s="142"/>
      <c r="AU1385" s="142"/>
      <c r="AV1385" s="142"/>
      <c r="AW1385" s="140"/>
      <c r="AX1385" s="140"/>
      <c r="AY1385" s="140"/>
      <c r="AZ1385" s="140"/>
      <c r="BA1385" s="140"/>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c r="BY1385" s="115"/>
      <c r="BZ1385" s="115"/>
      <c r="CA1385" s="115"/>
      <c r="CB1385" s="115"/>
      <c r="CC1385" s="115"/>
      <c r="CD1385" s="115"/>
      <c r="CE1385" s="115"/>
      <c r="CF1385" s="115"/>
      <c r="CG1385" s="115"/>
      <c r="CH1385" s="115"/>
      <c r="CI1385" s="115"/>
      <c r="CJ1385" s="115"/>
      <c r="CK1385" s="115"/>
      <c r="CL1385" s="115"/>
      <c r="CM1385" s="115"/>
      <c r="CN1385" s="115"/>
      <c r="CO1385" s="115"/>
      <c r="CP1385" s="115"/>
      <c r="CQ1385" s="115"/>
      <c r="CR1385" s="115"/>
      <c r="CS1385" s="115"/>
      <c r="CT1385" s="115"/>
      <c r="CU1385" s="115"/>
      <c r="CV1385" s="115"/>
      <c r="CW1385" s="115"/>
      <c r="CX1385" s="115"/>
      <c r="CY1385" s="115"/>
      <c r="CZ1385" s="115"/>
      <c r="DA1385" s="115"/>
      <c r="DB1385" s="115"/>
      <c r="DC1385" s="115"/>
      <c r="DD1385" s="115"/>
      <c r="DE1385" s="115"/>
      <c r="DF1385" s="115"/>
      <c r="DG1385" s="115"/>
    </row>
    <row r="1386" spans="1:111" ht="15" customHeight="1">
      <c r="B1386" s="55"/>
      <c r="C1386" s="422" t="str">
        <f>IF($AA$165&gt;=43,"DESPESA 43","")</f>
        <v/>
      </c>
      <c r="D1386" s="422"/>
      <c r="E1386" s="422"/>
      <c r="F1386" s="422"/>
      <c r="G1386" s="422"/>
      <c r="H1386" s="422"/>
      <c r="I1386" s="56"/>
      <c r="J1386" s="56"/>
      <c r="K1386" s="56"/>
      <c r="L1386" s="56"/>
      <c r="M1386" s="56"/>
      <c r="N1386" s="56"/>
      <c r="O1386" s="56"/>
      <c r="P1386" s="56"/>
      <c r="Q1386" s="56"/>
      <c r="R1386" s="56"/>
      <c r="S1386" s="56"/>
      <c r="T1386" s="56"/>
      <c r="U1386" s="56"/>
      <c r="V1386" s="56"/>
      <c r="W1386" s="56"/>
      <c r="X1386" s="56"/>
      <c r="Y1386" s="56"/>
      <c r="Z1386" s="56"/>
      <c r="AA1386" s="56"/>
      <c r="AB1386" s="56"/>
      <c r="AC1386" s="56"/>
      <c r="AD1386" s="56"/>
      <c r="AE1386" s="56"/>
      <c r="AF1386" s="56"/>
      <c r="AG1386" s="56"/>
      <c r="AH1386" s="56"/>
      <c r="AI1386" s="56"/>
      <c r="AJ1386" s="56"/>
      <c r="AK1386" s="141"/>
      <c r="AL1386" s="141"/>
      <c r="AM1386" s="141"/>
      <c r="AN1386" s="141"/>
      <c r="AO1386" s="140"/>
      <c r="AP1386" s="140"/>
      <c r="AQ1386" s="140"/>
      <c r="AR1386" s="140"/>
      <c r="AS1386" s="142"/>
      <c r="AT1386" s="142"/>
      <c r="AU1386" s="142"/>
      <c r="AV1386" s="142"/>
      <c r="AW1386" s="140"/>
      <c r="AX1386" s="140"/>
      <c r="AY1386" s="140"/>
      <c r="AZ1386" s="140"/>
      <c r="BA1386" s="140"/>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c r="BY1386" s="115"/>
      <c r="BZ1386" s="115"/>
      <c r="CA1386" s="115"/>
      <c r="CB1386" s="115"/>
      <c r="CC1386" s="115"/>
      <c r="CD1386" s="115"/>
      <c r="CE1386" s="115"/>
      <c r="CF1386" s="115"/>
      <c r="CG1386" s="115"/>
      <c r="CH1386" s="115"/>
      <c r="CI1386" s="115"/>
      <c r="CJ1386" s="115"/>
      <c r="CK1386" s="115"/>
      <c r="CL1386" s="115"/>
      <c r="CM1386" s="115"/>
      <c r="CN1386" s="115"/>
      <c r="CO1386" s="115"/>
      <c r="CP1386" s="115"/>
      <c r="CQ1386" s="115"/>
      <c r="CR1386" s="115"/>
      <c r="CS1386" s="115"/>
      <c r="CT1386" s="115"/>
      <c r="CU1386" s="115"/>
      <c r="CV1386" s="115"/>
      <c r="CW1386" s="115"/>
      <c r="CX1386" s="115"/>
      <c r="CY1386" s="115"/>
      <c r="CZ1386" s="115"/>
      <c r="DA1386" s="115"/>
      <c r="DB1386" s="115"/>
      <c r="DC1386" s="115"/>
      <c r="DD1386" s="115"/>
      <c r="DE1386" s="115"/>
      <c r="DF1386" s="115"/>
      <c r="DG1386" s="115"/>
    </row>
    <row r="1387" spans="1:111" ht="4.5" customHeight="1">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c r="BY1387" s="115"/>
      <c r="BZ1387" s="115"/>
      <c r="CA1387" s="115"/>
      <c r="CB1387" s="115"/>
      <c r="CC1387" s="115"/>
      <c r="CD1387" s="115"/>
      <c r="CE1387" s="115"/>
      <c r="CF1387" s="115"/>
      <c r="CG1387" s="115"/>
      <c r="CH1387" s="115"/>
      <c r="CI1387" s="115"/>
      <c r="CJ1387" s="115"/>
      <c r="CK1387" s="115"/>
      <c r="CL1387" s="115"/>
      <c r="CM1387" s="115"/>
      <c r="CN1387" s="115"/>
      <c r="CO1387" s="115"/>
      <c r="CP1387" s="115"/>
      <c r="CQ1387" s="115"/>
      <c r="CR1387" s="115"/>
      <c r="CS1387" s="115"/>
      <c r="CT1387" s="115"/>
      <c r="CU1387" s="115"/>
      <c r="CV1387" s="115"/>
      <c r="CW1387" s="115"/>
      <c r="CX1387" s="115"/>
      <c r="CY1387" s="115"/>
      <c r="CZ1387" s="115"/>
      <c r="DA1387" s="115"/>
      <c r="DB1387" s="115"/>
      <c r="DC1387" s="115"/>
      <c r="DD1387" s="115"/>
      <c r="DE1387" s="115"/>
      <c r="DF1387" s="115"/>
      <c r="DG1387" s="115"/>
    </row>
    <row r="1388" spans="1:111" ht="9" customHeight="1">
      <c r="C1388" s="416" t="str">
        <f>IF(C1386="","","Descrição da Despesa:")</f>
        <v/>
      </c>
      <c r="D1388" s="416"/>
      <c r="E1388" s="416"/>
      <c r="F1388" s="416"/>
      <c r="G1388" s="416"/>
      <c r="H1388" s="416"/>
      <c r="I1388" s="60"/>
      <c r="J1388" s="421"/>
      <c r="K1388" s="421"/>
      <c r="L1388" s="421"/>
      <c r="M1388" s="421"/>
      <c r="N1388" s="421"/>
      <c r="O1388" s="421"/>
      <c r="P1388" s="421"/>
      <c r="Q1388" s="421"/>
      <c r="R1388" s="421"/>
      <c r="S1388" s="421"/>
      <c r="T1388" s="421"/>
      <c r="U1388" s="421"/>
      <c r="V1388" s="421"/>
      <c r="W1388" s="421"/>
      <c r="X1388" s="421"/>
      <c r="Y1388" s="421"/>
      <c r="Z1388" s="421"/>
      <c r="AA1388" s="421"/>
      <c r="AB1388" s="421"/>
      <c r="AC1388" s="421"/>
      <c r="AD1388" s="421"/>
      <c r="AE1388" s="421"/>
      <c r="AF1388" s="421"/>
      <c r="AG1388" s="421"/>
      <c r="AH1388" s="421"/>
      <c r="AI1388" s="421"/>
      <c r="AJ1388" s="421"/>
      <c r="AK1388" s="421"/>
      <c r="AL1388" s="421"/>
      <c r="AM1388" s="421"/>
      <c r="AN1388" s="421"/>
      <c r="AO1388" s="421"/>
      <c r="AP1388" s="421"/>
      <c r="AQ1388" s="421"/>
      <c r="AR1388" s="421"/>
      <c r="AS1388" s="421"/>
      <c r="AT1388" s="421"/>
      <c r="AU1388" s="421"/>
      <c r="AV1388" s="421"/>
      <c r="AW1388" s="421"/>
      <c r="AX1388" s="421"/>
      <c r="AY1388" s="421"/>
      <c r="AZ1388" s="421"/>
      <c r="BA1388" s="421"/>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c r="BY1388" s="115"/>
      <c r="BZ1388" s="115"/>
      <c r="CA1388" s="115"/>
      <c r="CB1388" s="115"/>
      <c r="CC1388" s="115"/>
      <c r="CD1388" s="115"/>
      <c r="CE1388" s="115"/>
      <c r="CF1388" s="115"/>
      <c r="CG1388" s="115"/>
      <c r="CH1388" s="115"/>
      <c r="CI1388" s="115"/>
      <c r="CJ1388" s="115"/>
      <c r="CK1388" s="115"/>
      <c r="CL1388" s="115"/>
      <c r="CM1388" s="115"/>
      <c r="CN1388" s="115"/>
      <c r="CO1388" s="115"/>
      <c r="CP1388" s="115"/>
      <c r="CQ1388" s="115"/>
      <c r="CR1388" s="115"/>
      <c r="CS1388" s="115"/>
      <c r="CT1388" s="115"/>
      <c r="CU1388" s="115"/>
      <c r="CV1388" s="115"/>
      <c r="CW1388" s="115"/>
      <c r="CX1388" s="115"/>
      <c r="CY1388" s="115"/>
      <c r="CZ1388" s="115"/>
      <c r="DA1388" s="115"/>
      <c r="DB1388" s="115"/>
      <c r="DC1388" s="115"/>
      <c r="DD1388" s="115"/>
      <c r="DE1388" s="115"/>
      <c r="DF1388" s="115"/>
      <c r="DG1388" s="115"/>
    </row>
    <row r="1389" spans="1:111" ht="9" customHeight="1">
      <c r="C1389" s="416"/>
      <c r="D1389" s="416"/>
      <c r="E1389" s="416"/>
      <c r="F1389" s="416"/>
      <c r="G1389" s="416"/>
      <c r="H1389" s="416"/>
      <c r="I1389" s="60"/>
      <c r="J1389" s="421"/>
      <c r="K1389" s="421"/>
      <c r="L1389" s="421"/>
      <c r="M1389" s="421"/>
      <c r="N1389" s="421"/>
      <c r="O1389" s="421"/>
      <c r="P1389" s="421"/>
      <c r="Q1389" s="421"/>
      <c r="R1389" s="421"/>
      <c r="S1389" s="421"/>
      <c r="T1389" s="421"/>
      <c r="U1389" s="421"/>
      <c r="V1389" s="421"/>
      <c r="W1389" s="421"/>
      <c r="X1389" s="421"/>
      <c r="Y1389" s="421"/>
      <c r="Z1389" s="421"/>
      <c r="AA1389" s="421"/>
      <c r="AB1389" s="421"/>
      <c r="AC1389" s="421"/>
      <c r="AD1389" s="421"/>
      <c r="AE1389" s="421"/>
      <c r="AF1389" s="421"/>
      <c r="AG1389" s="421"/>
      <c r="AH1389" s="421"/>
      <c r="AI1389" s="421"/>
      <c r="AJ1389" s="421"/>
      <c r="AK1389" s="421"/>
      <c r="AL1389" s="421"/>
      <c r="AM1389" s="421"/>
      <c r="AN1389" s="421"/>
      <c r="AO1389" s="421"/>
      <c r="AP1389" s="421"/>
      <c r="AQ1389" s="421"/>
      <c r="AR1389" s="421"/>
      <c r="AS1389" s="421"/>
      <c r="AT1389" s="421"/>
      <c r="AU1389" s="421"/>
      <c r="AV1389" s="421"/>
      <c r="AW1389" s="421"/>
      <c r="AX1389" s="421"/>
      <c r="AY1389" s="421"/>
      <c r="AZ1389" s="421"/>
      <c r="BA1389" s="421"/>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c r="BY1389" s="115"/>
      <c r="BZ1389" s="115"/>
      <c r="CA1389" s="115"/>
      <c r="CB1389" s="115"/>
      <c r="CC1389" s="115"/>
      <c r="CD1389" s="115"/>
      <c r="CE1389" s="115"/>
      <c r="CF1389" s="115"/>
      <c r="CG1389" s="115"/>
      <c r="CH1389" s="115"/>
      <c r="CI1389" s="115"/>
      <c r="CJ1389" s="115"/>
      <c r="CK1389" s="115"/>
      <c r="CL1389" s="115"/>
      <c r="CM1389" s="115"/>
      <c r="CN1389" s="115"/>
      <c r="CO1389" s="115"/>
      <c r="CP1389" s="115"/>
      <c r="CQ1389" s="115"/>
      <c r="CR1389" s="115"/>
      <c r="CS1389" s="115"/>
      <c r="CT1389" s="115"/>
      <c r="CU1389" s="115"/>
      <c r="CV1389" s="115"/>
      <c r="CW1389" s="115"/>
      <c r="CX1389" s="115"/>
      <c r="CY1389" s="115"/>
      <c r="CZ1389" s="115"/>
      <c r="DA1389" s="115"/>
      <c r="DB1389" s="115"/>
      <c r="DC1389" s="115"/>
      <c r="DD1389" s="115"/>
      <c r="DE1389" s="115"/>
      <c r="DF1389" s="115"/>
      <c r="DG1389" s="115"/>
    </row>
    <row r="1390" spans="1:111" ht="9" customHeight="1">
      <c r="C1390" s="416"/>
      <c r="D1390" s="416"/>
      <c r="E1390" s="416"/>
      <c r="F1390" s="416"/>
      <c r="G1390" s="416"/>
      <c r="H1390" s="416"/>
      <c r="I1390" s="60"/>
      <c r="J1390" s="421"/>
      <c r="K1390" s="421"/>
      <c r="L1390" s="421"/>
      <c r="M1390" s="421"/>
      <c r="N1390" s="421"/>
      <c r="O1390" s="421"/>
      <c r="P1390" s="421"/>
      <c r="Q1390" s="421"/>
      <c r="R1390" s="421"/>
      <c r="S1390" s="421"/>
      <c r="T1390" s="421"/>
      <c r="U1390" s="421"/>
      <c r="V1390" s="421"/>
      <c r="W1390" s="421"/>
      <c r="X1390" s="421"/>
      <c r="Y1390" s="421"/>
      <c r="Z1390" s="421"/>
      <c r="AA1390" s="421"/>
      <c r="AB1390" s="421"/>
      <c r="AC1390" s="421"/>
      <c r="AD1390" s="421"/>
      <c r="AE1390" s="421"/>
      <c r="AF1390" s="421"/>
      <c r="AG1390" s="421"/>
      <c r="AH1390" s="421"/>
      <c r="AI1390" s="421"/>
      <c r="AJ1390" s="421"/>
      <c r="AK1390" s="421"/>
      <c r="AL1390" s="421"/>
      <c r="AM1390" s="421"/>
      <c r="AN1390" s="421"/>
      <c r="AO1390" s="421"/>
      <c r="AP1390" s="421"/>
      <c r="AQ1390" s="421"/>
      <c r="AR1390" s="421"/>
      <c r="AS1390" s="421"/>
      <c r="AT1390" s="421"/>
      <c r="AU1390" s="421"/>
      <c r="AV1390" s="421"/>
      <c r="AW1390" s="421"/>
      <c r="AX1390" s="421"/>
      <c r="AY1390" s="421"/>
      <c r="AZ1390" s="421"/>
      <c r="BA1390" s="421"/>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c r="BY1390" s="115"/>
      <c r="BZ1390" s="115"/>
      <c r="CA1390" s="115"/>
      <c r="CB1390" s="115"/>
      <c r="CC1390" s="115"/>
      <c r="CD1390" s="115"/>
      <c r="CE1390" s="115"/>
      <c r="CF1390" s="115"/>
      <c r="CG1390" s="115"/>
      <c r="CH1390" s="115"/>
      <c r="CI1390" s="115"/>
      <c r="CJ1390" s="115"/>
      <c r="CK1390" s="115"/>
      <c r="CL1390" s="115"/>
      <c r="CM1390" s="115"/>
      <c r="CN1390" s="115"/>
      <c r="CO1390" s="115"/>
      <c r="CP1390" s="115"/>
      <c r="CQ1390" s="115"/>
      <c r="CR1390" s="115"/>
      <c r="CS1390" s="115"/>
      <c r="CT1390" s="115"/>
      <c r="CU1390" s="115"/>
      <c r="CV1390" s="115"/>
      <c r="CW1390" s="115"/>
      <c r="CX1390" s="115"/>
      <c r="CY1390" s="115"/>
      <c r="CZ1390" s="115"/>
      <c r="DA1390" s="115"/>
      <c r="DB1390" s="115"/>
      <c r="DC1390" s="115"/>
      <c r="DD1390" s="115"/>
      <c r="DE1390" s="115"/>
      <c r="DF1390" s="115"/>
      <c r="DG1390" s="115"/>
    </row>
    <row r="1391" spans="1:111" ht="4.5" customHeight="1">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c r="BY1391" s="115"/>
      <c r="BZ1391" s="115"/>
      <c r="CA1391" s="115"/>
      <c r="CB1391" s="115"/>
      <c r="CC1391" s="115"/>
      <c r="CD1391" s="115"/>
      <c r="CE1391" s="115"/>
      <c r="CF1391" s="115"/>
      <c r="CG1391" s="115"/>
      <c r="CH1391" s="115"/>
      <c r="CI1391" s="115"/>
      <c r="CJ1391" s="115"/>
      <c r="CK1391" s="115"/>
      <c r="CL1391" s="115"/>
      <c r="CM1391" s="115"/>
      <c r="CN1391" s="115"/>
      <c r="CO1391" s="115"/>
      <c r="CP1391" s="115"/>
      <c r="CQ1391" s="115"/>
      <c r="CR1391" s="115"/>
      <c r="CS1391" s="115"/>
      <c r="CT1391" s="115"/>
      <c r="CU1391" s="115"/>
      <c r="CV1391" s="115"/>
      <c r="CW1391" s="115"/>
      <c r="CX1391" s="115"/>
      <c r="CY1391" s="115"/>
      <c r="CZ1391" s="115"/>
      <c r="DA1391" s="115"/>
      <c r="DB1391" s="115"/>
      <c r="DC1391" s="115"/>
      <c r="DD1391" s="115"/>
      <c r="DE1391" s="115"/>
      <c r="DF1391" s="115"/>
      <c r="DG1391" s="115"/>
    </row>
    <row r="1392" spans="1:111" ht="9" customHeight="1">
      <c r="C1392" s="416" t="str">
        <f>IF(C1386="","","Elemento de Despesa:")</f>
        <v/>
      </c>
      <c r="D1392" s="416"/>
      <c r="E1392" s="416"/>
      <c r="F1392" s="416"/>
      <c r="G1392" s="416"/>
      <c r="H1392" s="416"/>
      <c r="J1392" s="421"/>
      <c r="K1392" s="421"/>
      <c r="L1392" s="421"/>
      <c r="M1392" s="421"/>
      <c r="N1392" s="421"/>
      <c r="O1392" s="421"/>
      <c r="P1392" s="421"/>
      <c r="Q1392" s="421"/>
      <c r="R1392" s="421"/>
      <c r="S1392" s="421"/>
      <c r="T1392" s="421"/>
      <c r="U1392" s="421"/>
      <c r="V1392" s="421"/>
      <c r="W1392" s="421"/>
      <c r="X1392" s="421"/>
      <c r="Y1392" s="421"/>
      <c r="Z1392" s="421"/>
      <c r="AA1392" s="421"/>
      <c r="AB1392" s="421"/>
      <c r="AC1392" s="421"/>
      <c r="AD1392" s="421"/>
      <c r="AE1392" s="421"/>
      <c r="AF1392" s="421"/>
      <c r="AG1392" s="421"/>
      <c r="AH1392" s="421"/>
      <c r="AI1392" s="421"/>
      <c r="AJ1392" s="421"/>
      <c r="AK1392" s="421"/>
      <c r="AL1392" s="421"/>
      <c r="AM1392" s="421"/>
      <c r="AN1392" s="421"/>
      <c r="AO1392" s="421"/>
      <c r="AP1392" s="421"/>
      <c r="AQ1392" s="421"/>
      <c r="AR1392" s="421"/>
      <c r="AS1392" s="421"/>
      <c r="AT1392" s="421"/>
      <c r="AU1392" s="421"/>
      <c r="AV1392" s="421"/>
      <c r="AW1392" s="421"/>
      <c r="AX1392" s="421"/>
      <c r="AY1392" s="421"/>
      <c r="AZ1392" s="421"/>
      <c r="BA1392" s="421"/>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c r="BY1392" s="115"/>
      <c r="BZ1392" s="115"/>
      <c r="CA1392" s="115"/>
      <c r="CB1392" s="115"/>
      <c r="CC1392" s="115"/>
      <c r="CD1392" s="115"/>
      <c r="CE1392" s="115"/>
      <c r="CF1392" s="115"/>
      <c r="CG1392" s="115"/>
      <c r="CH1392" s="115"/>
      <c r="CI1392" s="115"/>
      <c r="CJ1392" s="115"/>
      <c r="CK1392" s="115"/>
      <c r="CL1392" s="115"/>
      <c r="CM1392" s="115"/>
      <c r="CN1392" s="115"/>
      <c r="CO1392" s="115"/>
      <c r="CP1392" s="115"/>
      <c r="CQ1392" s="115"/>
      <c r="CR1392" s="115"/>
      <c r="CS1392" s="115"/>
      <c r="CT1392" s="115"/>
      <c r="CU1392" s="115"/>
      <c r="CV1392" s="115"/>
      <c r="CW1392" s="115"/>
      <c r="CX1392" s="115"/>
      <c r="CY1392" s="115"/>
      <c r="CZ1392" s="115"/>
      <c r="DA1392" s="115"/>
      <c r="DB1392" s="115"/>
      <c r="DC1392" s="115"/>
      <c r="DD1392" s="115"/>
      <c r="DE1392" s="115"/>
      <c r="DF1392" s="115"/>
      <c r="DG1392" s="115"/>
    </row>
    <row r="1393" spans="1:111" ht="9" customHeight="1">
      <c r="C1393" s="416"/>
      <c r="D1393" s="416"/>
      <c r="E1393" s="416"/>
      <c r="F1393" s="416"/>
      <c r="G1393" s="416"/>
      <c r="H1393" s="416"/>
      <c r="J1393" s="421"/>
      <c r="K1393" s="421"/>
      <c r="L1393" s="421"/>
      <c r="M1393" s="421"/>
      <c r="N1393" s="421"/>
      <c r="O1393" s="421"/>
      <c r="P1393" s="421"/>
      <c r="Q1393" s="421"/>
      <c r="R1393" s="421"/>
      <c r="S1393" s="421"/>
      <c r="T1393" s="421"/>
      <c r="U1393" s="421"/>
      <c r="V1393" s="421"/>
      <c r="W1393" s="421"/>
      <c r="X1393" s="421"/>
      <c r="Y1393" s="421"/>
      <c r="Z1393" s="421"/>
      <c r="AA1393" s="421"/>
      <c r="AB1393" s="421"/>
      <c r="AC1393" s="421"/>
      <c r="AD1393" s="421"/>
      <c r="AE1393" s="421"/>
      <c r="AF1393" s="421"/>
      <c r="AG1393" s="421"/>
      <c r="AH1393" s="421"/>
      <c r="AI1393" s="421"/>
      <c r="AJ1393" s="421"/>
      <c r="AK1393" s="421"/>
      <c r="AL1393" s="421"/>
      <c r="AM1393" s="421"/>
      <c r="AN1393" s="421"/>
      <c r="AO1393" s="421"/>
      <c r="AP1393" s="421"/>
      <c r="AQ1393" s="421"/>
      <c r="AR1393" s="421"/>
      <c r="AS1393" s="421"/>
      <c r="AT1393" s="421"/>
      <c r="AU1393" s="421"/>
      <c r="AV1393" s="421"/>
      <c r="AW1393" s="421"/>
      <c r="AX1393" s="421"/>
      <c r="AY1393" s="421"/>
      <c r="AZ1393" s="421"/>
      <c r="BA1393" s="421"/>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c r="BY1393" s="115"/>
      <c r="BZ1393" s="115"/>
      <c r="CA1393" s="115"/>
      <c r="CB1393" s="115"/>
      <c r="CC1393" s="115"/>
      <c r="CD1393" s="115"/>
      <c r="CE1393" s="115"/>
      <c r="CF1393" s="115"/>
      <c r="CG1393" s="115"/>
      <c r="CH1393" s="115"/>
      <c r="CI1393" s="115"/>
      <c r="CJ1393" s="115"/>
      <c r="CK1393" s="115"/>
      <c r="CL1393" s="115"/>
      <c r="CM1393" s="115"/>
      <c r="CN1393" s="115"/>
      <c r="CO1393" s="115"/>
      <c r="CP1393" s="115"/>
      <c r="CQ1393" s="115"/>
      <c r="CR1393" s="115"/>
      <c r="CS1393" s="115"/>
      <c r="CT1393" s="115"/>
      <c r="CU1393" s="115"/>
      <c r="CV1393" s="115"/>
      <c r="CW1393" s="115"/>
      <c r="CX1393" s="115"/>
      <c r="CY1393" s="115"/>
      <c r="CZ1393" s="115"/>
      <c r="DA1393" s="115"/>
      <c r="DB1393" s="115"/>
      <c r="DC1393" s="115"/>
      <c r="DD1393" s="115"/>
      <c r="DE1393" s="115"/>
      <c r="DF1393" s="115"/>
      <c r="DG1393" s="115"/>
    </row>
    <row r="1394" spans="1:111" ht="9" customHeight="1">
      <c r="C1394" s="416"/>
      <c r="D1394" s="416"/>
      <c r="E1394" s="416"/>
      <c r="F1394" s="416"/>
      <c r="G1394" s="416"/>
      <c r="H1394" s="416"/>
      <c r="J1394" s="421"/>
      <c r="K1394" s="421"/>
      <c r="L1394" s="421"/>
      <c r="M1394" s="421"/>
      <c r="N1394" s="421"/>
      <c r="O1394" s="421"/>
      <c r="P1394" s="421"/>
      <c r="Q1394" s="421"/>
      <c r="R1394" s="421"/>
      <c r="S1394" s="421"/>
      <c r="T1394" s="421"/>
      <c r="U1394" s="421"/>
      <c r="V1394" s="421"/>
      <c r="W1394" s="421"/>
      <c r="X1394" s="421"/>
      <c r="Y1394" s="421"/>
      <c r="Z1394" s="421"/>
      <c r="AA1394" s="421"/>
      <c r="AB1394" s="421"/>
      <c r="AC1394" s="421"/>
      <c r="AD1394" s="421"/>
      <c r="AE1394" s="421"/>
      <c r="AF1394" s="421"/>
      <c r="AG1394" s="421"/>
      <c r="AH1394" s="421"/>
      <c r="AI1394" s="421"/>
      <c r="AJ1394" s="421"/>
      <c r="AK1394" s="421"/>
      <c r="AL1394" s="421"/>
      <c r="AM1394" s="421"/>
      <c r="AN1394" s="421"/>
      <c r="AO1394" s="421"/>
      <c r="AP1394" s="421"/>
      <c r="AQ1394" s="421"/>
      <c r="AR1394" s="421"/>
      <c r="AS1394" s="421"/>
      <c r="AT1394" s="421"/>
      <c r="AU1394" s="421"/>
      <c r="AV1394" s="421"/>
      <c r="AW1394" s="421"/>
      <c r="AX1394" s="421"/>
      <c r="AY1394" s="421"/>
      <c r="AZ1394" s="421"/>
      <c r="BA1394" s="421"/>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c r="BY1394" s="115"/>
      <c r="BZ1394" s="115"/>
      <c r="CA1394" s="115"/>
      <c r="CB1394" s="115"/>
      <c r="CC1394" s="115"/>
      <c r="CD1394" s="115"/>
      <c r="CE1394" s="115"/>
      <c r="CF1394" s="115"/>
      <c r="CG1394" s="115"/>
      <c r="CH1394" s="115"/>
      <c r="CI1394" s="115"/>
      <c r="CJ1394" s="115"/>
      <c r="CK1394" s="115"/>
      <c r="CL1394" s="115"/>
      <c r="CM1394" s="115"/>
      <c r="CN1394" s="115"/>
      <c r="CO1394" s="115"/>
      <c r="CP1394" s="115"/>
      <c r="CQ1394" s="115"/>
      <c r="CR1394" s="115"/>
      <c r="CS1394" s="115"/>
      <c r="CT1394" s="115"/>
      <c r="CU1394" s="115"/>
      <c r="CV1394" s="115"/>
      <c r="CW1394" s="115"/>
      <c r="CX1394" s="115"/>
      <c r="CY1394" s="115"/>
      <c r="CZ1394" s="115"/>
      <c r="DA1394" s="115"/>
      <c r="DB1394" s="115"/>
      <c r="DC1394" s="115"/>
      <c r="DD1394" s="115"/>
      <c r="DE1394" s="115"/>
      <c r="DF1394" s="115"/>
      <c r="DG1394" s="115"/>
    </row>
    <row r="1395" spans="1:111" ht="4.5" customHeight="1">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c r="BY1395" s="115"/>
      <c r="BZ1395" s="115"/>
      <c r="CA1395" s="115"/>
      <c r="CB1395" s="115"/>
      <c r="CC1395" s="115"/>
      <c r="CD1395" s="115"/>
      <c r="CE1395" s="115"/>
      <c r="CF1395" s="115"/>
      <c r="CG1395" s="115"/>
      <c r="CH1395" s="115"/>
      <c r="CI1395" s="115"/>
      <c r="CJ1395" s="115"/>
      <c r="CK1395" s="115"/>
      <c r="CL1395" s="115"/>
      <c r="CM1395" s="115"/>
      <c r="CN1395" s="115"/>
      <c r="CO1395" s="115"/>
      <c r="CP1395" s="115"/>
      <c r="CQ1395" s="115"/>
      <c r="CR1395" s="115"/>
      <c r="CS1395" s="115"/>
      <c r="CT1395" s="115"/>
      <c r="CU1395" s="115"/>
      <c r="CV1395" s="115"/>
      <c r="CW1395" s="115"/>
      <c r="CX1395" s="115"/>
      <c r="CY1395" s="115"/>
      <c r="CZ1395" s="115"/>
      <c r="DA1395" s="115"/>
      <c r="DB1395" s="115"/>
      <c r="DC1395" s="115"/>
      <c r="DD1395" s="115"/>
      <c r="DE1395" s="115"/>
      <c r="DF1395" s="115"/>
      <c r="DG1395" s="115"/>
    </row>
    <row r="1396" spans="1:111" ht="9" customHeight="1">
      <c r="A1396" s="61" t="str">
        <f>CONCATENATE(Q1396,AC1396)</f>
        <v/>
      </c>
      <c r="J1396" s="416" t="str">
        <f>IF(C1386="","","Meta Vinculada:")</f>
        <v/>
      </c>
      <c r="K1396" s="416"/>
      <c r="L1396" s="416"/>
      <c r="M1396" s="416"/>
      <c r="N1396" s="416"/>
      <c r="O1396" s="416"/>
      <c r="Q1396" s="417"/>
      <c r="R1396" s="417"/>
      <c r="S1396" s="417"/>
      <c r="T1396" s="417"/>
      <c r="U1396" s="56"/>
      <c r="V1396" s="416" t="str">
        <f>IF(C1386="","","Etapa Vinculada:")</f>
        <v/>
      </c>
      <c r="W1396" s="416"/>
      <c r="X1396" s="416"/>
      <c r="Y1396" s="416"/>
      <c r="Z1396" s="416"/>
      <c r="AA1396" s="416"/>
      <c r="AC1396" s="417"/>
      <c r="AD1396" s="417"/>
      <c r="AE1396" s="417"/>
      <c r="AF1396" s="417"/>
      <c r="AG1396" s="56"/>
      <c r="AH1396" s="56"/>
      <c r="AI1396" s="56"/>
      <c r="AJ1396" s="56"/>
      <c r="AK1396" s="141"/>
      <c r="AL1396" s="141"/>
      <c r="AM1396" s="141"/>
      <c r="AN1396" s="141"/>
      <c r="AO1396" s="140"/>
      <c r="AP1396" s="140"/>
      <c r="AQ1396" s="140"/>
      <c r="AR1396" s="140"/>
      <c r="AS1396" s="142"/>
      <c r="AT1396" s="142"/>
      <c r="AU1396" s="142"/>
      <c r="AV1396" s="142"/>
      <c r="AW1396" s="140"/>
      <c r="AX1396" s="140"/>
      <c r="AY1396" s="140"/>
      <c r="AZ1396" s="140"/>
      <c r="BA1396" s="140"/>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c r="BY1396" s="115"/>
      <c r="BZ1396" s="115"/>
      <c r="CA1396" s="115"/>
      <c r="CB1396" s="115"/>
      <c r="CC1396" s="115"/>
      <c r="CD1396" s="115"/>
      <c r="CE1396" s="115"/>
      <c r="CF1396" s="115"/>
      <c r="CG1396" s="115"/>
      <c r="CH1396" s="115"/>
      <c r="CI1396" s="115"/>
      <c r="CJ1396" s="115"/>
      <c r="CK1396" s="115"/>
      <c r="CL1396" s="115"/>
      <c r="CM1396" s="115"/>
      <c r="CN1396" s="115"/>
      <c r="CO1396" s="115"/>
      <c r="CP1396" s="115"/>
      <c r="CQ1396" s="115"/>
      <c r="CR1396" s="115"/>
      <c r="CS1396" s="115"/>
      <c r="CT1396" s="115"/>
      <c r="CU1396" s="115"/>
      <c r="CV1396" s="115"/>
      <c r="CW1396" s="115"/>
      <c r="CX1396" s="115"/>
      <c r="CY1396" s="115"/>
      <c r="CZ1396" s="115"/>
      <c r="DA1396" s="115"/>
      <c r="DB1396" s="115"/>
      <c r="DC1396" s="115"/>
      <c r="DD1396" s="115"/>
      <c r="DE1396" s="115"/>
      <c r="DF1396" s="115"/>
      <c r="DG1396" s="115"/>
    </row>
    <row r="1397" spans="1:111" ht="9" customHeight="1">
      <c r="B1397" s="55"/>
      <c r="C1397" s="55"/>
      <c r="D1397" s="56"/>
      <c r="E1397" s="56"/>
      <c r="F1397" s="56"/>
      <c r="G1397" s="56"/>
      <c r="H1397" s="56"/>
      <c r="I1397" s="56"/>
      <c r="J1397" s="416"/>
      <c r="K1397" s="416"/>
      <c r="L1397" s="416"/>
      <c r="M1397" s="416"/>
      <c r="N1397" s="416"/>
      <c r="O1397" s="416"/>
      <c r="Q1397" s="417"/>
      <c r="R1397" s="417"/>
      <c r="S1397" s="417"/>
      <c r="T1397" s="417"/>
      <c r="U1397" s="56"/>
      <c r="V1397" s="416"/>
      <c r="W1397" s="416"/>
      <c r="X1397" s="416"/>
      <c r="Y1397" s="416"/>
      <c r="Z1397" s="416"/>
      <c r="AA1397" s="416"/>
      <c r="AC1397" s="417"/>
      <c r="AD1397" s="417"/>
      <c r="AE1397" s="417"/>
      <c r="AF1397" s="417"/>
      <c r="AG1397" s="56"/>
      <c r="AH1397" s="56"/>
      <c r="AI1397" s="56"/>
      <c r="AJ1397" s="56"/>
      <c r="AK1397" s="141"/>
      <c r="AL1397" s="141"/>
      <c r="AM1397" s="141"/>
      <c r="AN1397" s="141"/>
      <c r="AO1397" s="140"/>
      <c r="AP1397" s="140"/>
      <c r="AQ1397" s="140"/>
      <c r="AR1397" s="140"/>
      <c r="AS1397" s="142"/>
      <c r="AT1397" s="142"/>
      <c r="AU1397" s="142"/>
      <c r="AV1397" s="142"/>
      <c r="AW1397" s="140"/>
      <c r="AX1397" s="140"/>
      <c r="AY1397" s="140"/>
      <c r="AZ1397" s="140"/>
      <c r="BA1397" s="140"/>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c r="BY1397" s="115"/>
      <c r="BZ1397" s="115"/>
      <c r="CA1397" s="115"/>
      <c r="CB1397" s="115"/>
      <c r="CC1397" s="115"/>
      <c r="CD1397" s="115"/>
      <c r="CE1397" s="115"/>
      <c r="CF1397" s="115"/>
      <c r="CG1397" s="115"/>
      <c r="CH1397" s="115"/>
      <c r="CI1397" s="115"/>
      <c r="CJ1397" s="115"/>
      <c r="CK1397" s="115"/>
      <c r="CL1397" s="115"/>
      <c r="CM1397" s="115"/>
      <c r="CN1397" s="115"/>
      <c r="CO1397" s="115"/>
      <c r="CP1397" s="115"/>
      <c r="CQ1397" s="115"/>
      <c r="CR1397" s="115"/>
      <c r="CS1397" s="115"/>
      <c r="CT1397" s="115"/>
      <c r="CU1397" s="115"/>
      <c r="CV1397" s="115"/>
      <c r="CW1397" s="115"/>
      <c r="CX1397" s="115"/>
      <c r="CY1397" s="115"/>
      <c r="CZ1397" s="115"/>
      <c r="DA1397" s="115"/>
      <c r="DB1397" s="115"/>
      <c r="DC1397" s="115"/>
      <c r="DD1397" s="115"/>
      <c r="DE1397" s="115"/>
      <c r="DF1397" s="115"/>
      <c r="DG1397" s="115"/>
    </row>
    <row r="1398" spans="1:111" ht="9" customHeight="1">
      <c r="Q1398" s="417"/>
      <c r="R1398" s="417"/>
      <c r="S1398" s="417"/>
      <c r="T1398" s="417"/>
      <c r="AC1398" s="417"/>
      <c r="AD1398" s="417"/>
      <c r="AE1398" s="417"/>
      <c r="AF1398" s="417"/>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c r="BY1398" s="115"/>
      <c r="BZ1398" s="115"/>
      <c r="CA1398" s="115"/>
      <c r="CB1398" s="115"/>
      <c r="CC1398" s="115"/>
      <c r="CD1398" s="115"/>
      <c r="CE1398" s="115"/>
      <c r="CF1398" s="115"/>
      <c r="CG1398" s="115"/>
      <c r="CH1398" s="115"/>
      <c r="CI1398" s="115"/>
      <c r="CJ1398" s="115"/>
      <c r="CK1398" s="115"/>
      <c r="CL1398" s="115"/>
      <c r="CM1398" s="115"/>
      <c r="CN1398" s="115"/>
      <c r="CO1398" s="115"/>
      <c r="CP1398" s="115"/>
      <c r="CQ1398" s="115"/>
      <c r="CR1398" s="115"/>
      <c r="CS1398" s="115"/>
      <c r="CT1398" s="115"/>
      <c r="CU1398" s="115"/>
      <c r="CV1398" s="115"/>
      <c r="CW1398" s="115"/>
      <c r="CX1398" s="115"/>
      <c r="CY1398" s="115"/>
      <c r="CZ1398" s="115"/>
      <c r="DA1398" s="115"/>
      <c r="DB1398" s="115"/>
      <c r="DC1398" s="115"/>
      <c r="DD1398" s="115"/>
      <c r="DE1398" s="115"/>
      <c r="DF1398" s="115"/>
      <c r="DG1398" s="115"/>
    </row>
    <row r="1399" spans="1:111" ht="4.5" customHeight="1">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c r="BY1399" s="115"/>
      <c r="BZ1399" s="115"/>
      <c r="CA1399" s="115"/>
      <c r="CB1399" s="115"/>
      <c r="CC1399" s="115"/>
      <c r="CD1399" s="115"/>
      <c r="CE1399" s="115"/>
      <c r="CF1399" s="115"/>
      <c r="CG1399" s="115"/>
      <c r="CH1399" s="115"/>
      <c r="CI1399" s="115"/>
      <c r="CJ1399" s="115"/>
      <c r="CK1399" s="115"/>
      <c r="CL1399" s="115"/>
      <c r="CM1399" s="115"/>
      <c r="CN1399" s="115"/>
      <c r="CO1399" s="115"/>
      <c r="CP1399" s="115"/>
      <c r="CQ1399" s="115"/>
      <c r="CR1399" s="115"/>
      <c r="CS1399" s="115"/>
      <c r="CT1399" s="115"/>
      <c r="CU1399" s="115"/>
      <c r="CV1399" s="115"/>
      <c r="CW1399" s="115"/>
      <c r="CX1399" s="115"/>
      <c r="CY1399" s="115"/>
      <c r="CZ1399" s="115"/>
      <c r="DA1399" s="115"/>
      <c r="DB1399" s="115"/>
      <c r="DC1399" s="115"/>
      <c r="DD1399" s="115"/>
      <c r="DE1399" s="115"/>
      <c r="DF1399" s="115"/>
      <c r="DG1399" s="115"/>
    </row>
    <row r="1400" spans="1:111" ht="9" customHeight="1">
      <c r="A1400" s="154"/>
      <c r="B1400" s="154"/>
      <c r="C1400" s="154"/>
      <c r="D1400" s="154"/>
      <c r="E1400" s="154"/>
      <c r="F1400" s="154"/>
      <c r="G1400" s="154"/>
      <c r="H1400" s="154"/>
      <c r="I1400" s="154"/>
      <c r="J1400" s="416" t="str">
        <f>IF(C1386="","","Quantidade:")</f>
        <v/>
      </c>
      <c r="K1400" s="416"/>
      <c r="L1400" s="416"/>
      <c r="M1400" s="416"/>
      <c r="N1400" s="416"/>
      <c r="O1400" s="416"/>
      <c r="P1400" s="154"/>
      <c r="Q1400" s="417"/>
      <c r="R1400" s="417"/>
      <c r="S1400" s="417"/>
      <c r="T1400" s="417"/>
      <c r="U1400" s="154"/>
      <c r="V1400" s="416" t="str">
        <f>IF(C1386="","","Unidade:")</f>
        <v/>
      </c>
      <c r="W1400" s="416"/>
      <c r="X1400" s="416"/>
      <c r="Y1400" s="416"/>
      <c r="Z1400" s="416"/>
      <c r="AA1400" s="416"/>
      <c r="AB1400" s="154"/>
      <c r="AC1400" s="418"/>
      <c r="AD1400" s="418"/>
      <c r="AE1400" s="418"/>
      <c r="AF1400" s="418"/>
      <c r="AG1400" s="418"/>
      <c r="AH1400" s="418"/>
      <c r="AI1400" s="418"/>
      <c r="AJ1400" s="418"/>
      <c r="AK1400" s="418"/>
      <c r="AL1400" s="418"/>
      <c r="AM1400" s="418"/>
      <c r="AN1400" s="418"/>
      <c r="AO1400" s="418"/>
      <c r="AP1400" s="418"/>
      <c r="AQ1400" s="418"/>
      <c r="AR1400" s="418"/>
      <c r="AS1400" s="418"/>
      <c r="AT1400" s="418"/>
      <c r="AU1400" s="418"/>
      <c r="AV1400" s="418"/>
      <c r="AW1400" s="418"/>
      <c r="AX1400" s="418"/>
      <c r="AY1400" s="418"/>
      <c r="AZ1400" s="418"/>
      <c r="BA1400" s="418"/>
      <c r="BB1400" s="154"/>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c r="BY1400" s="115"/>
      <c r="BZ1400" s="115"/>
      <c r="CA1400" s="115"/>
      <c r="CB1400" s="115"/>
      <c r="CC1400" s="115"/>
      <c r="CD1400" s="115"/>
      <c r="CE1400" s="115"/>
      <c r="CF1400" s="115"/>
      <c r="CG1400" s="115"/>
      <c r="CH1400" s="115"/>
      <c r="CI1400" s="115"/>
      <c r="CJ1400" s="115"/>
      <c r="CK1400" s="115"/>
      <c r="CL1400" s="115"/>
      <c r="CM1400" s="115"/>
      <c r="CN1400" s="115"/>
      <c r="CO1400" s="115"/>
      <c r="CP1400" s="115"/>
      <c r="CQ1400" s="115"/>
      <c r="CR1400" s="115"/>
      <c r="CS1400" s="115"/>
      <c r="CT1400" s="115"/>
      <c r="CU1400" s="115"/>
      <c r="CV1400" s="115"/>
      <c r="CW1400" s="115"/>
      <c r="CX1400" s="115"/>
      <c r="CY1400" s="115"/>
      <c r="CZ1400" s="115"/>
      <c r="DA1400" s="115"/>
      <c r="DB1400" s="115"/>
      <c r="DC1400" s="115"/>
      <c r="DD1400" s="115"/>
      <c r="DE1400" s="115"/>
      <c r="DF1400" s="115"/>
      <c r="DG1400" s="115"/>
    </row>
    <row r="1401" spans="1:111" ht="9" customHeight="1">
      <c r="A1401" s="154"/>
      <c r="B1401" s="154"/>
      <c r="C1401" s="154"/>
      <c r="D1401" s="154"/>
      <c r="E1401" s="154"/>
      <c r="F1401" s="154"/>
      <c r="G1401" s="154"/>
      <c r="H1401" s="154"/>
      <c r="I1401" s="154"/>
      <c r="J1401" s="416"/>
      <c r="K1401" s="416"/>
      <c r="L1401" s="416"/>
      <c r="M1401" s="416"/>
      <c r="N1401" s="416"/>
      <c r="O1401" s="416"/>
      <c r="P1401" s="154"/>
      <c r="Q1401" s="417"/>
      <c r="R1401" s="417"/>
      <c r="S1401" s="417"/>
      <c r="T1401" s="417"/>
      <c r="U1401" s="154"/>
      <c r="V1401" s="416"/>
      <c r="W1401" s="416"/>
      <c r="X1401" s="416"/>
      <c r="Y1401" s="416"/>
      <c r="Z1401" s="416"/>
      <c r="AA1401" s="416"/>
      <c r="AB1401" s="154"/>
      <c r="AC1401" s="418"/>
      <c r="AD1401" s="418"/>
      <c r="AE1401" s="418"/>
      <c r="AF1401" s="418"/>
      <c r="AG1401" s="418"/>
      <c r="AH1401" s="418"/>
      <c r="AI1401" s="418"/>
      <c r="AJ1401" s="418"/>
      <c r="AK1401" s="418"/>
      <c r="AL1401" s="418"/>
      <c r="AM1401" s="418"/>
      <c r="AN1401" s="418"/>
      <c r="AO1401" s="418"/>
      <c r="AP1401" s="418"/>
      <c r="AQ1401" s="418"/>
      <c r="AR1401" s="418"/>
      <c r="AS1401" s="418"/>
      <c r="AT1401" s="418"/>
      <c r="AU1401" s="418"/>
      <c r="AV1401" s="418"/>
      <c r="AW1401" s="418"/>
      <c r="AX1401" s="418"/>
      <c r="AY1401" s="418"/>
      <c r="AZ1401" s="418"/>
      <c r="BA1401" s="418"/>
      <c r="BB1401" s="154"/>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c r="BY1401" s="115"/>
      <c r="BZ1401" s="115"/>
      <c r="CA1401" s="115"/>
      <c r="CB1401" s="115"/>
      <c r="CC1401" s="115"/>
      <c r="CD1401" s="115"/>
      <c r="CE1401" s="115"/>
      <c r="CF1401" s="115"/>
      <c r="CG1401" s="115"/>
      <c r="CH1401" s="115"/>
      <c r="CI1401" s="115"/>
      <c r="CJ1401" s="115"/>
      <c r="CK1401" s="115"/>
      <c r="CL1401" s="115"/>
      <c r="CM1401" s="115"/>
      <c r="CN1401" s="115"/>
      <c r="CO1401" s="115"/>
      <c r="CP1401" s="115"/>
      <c r="CQ1401" s="115"/>
      <c r="CR1401" s="115"/>
      <c r="CS1401" s="115"/>
      <c r="CT1401" s="115"/>
      <c r="CU1401" s="115"/>
      <c r="CV1401" s="115"/>
      <c r="CW1401" s="115"/>
      <c r="CX1401" s="115"/>
      <c r="CY1401" s="115"/>
      <c r="CZ1401" s="115"/>
      <c r="DA1401" s="115"/>
      <c r="DB1401" s="115"/>
      <c r="DC1401" s="115"/>
      <c r="DD1401" s="115"/>
      <c r="DE1401" s="115"/>
      <c r="DF1401" s="115"/>
      <c r="DG1401" s="115"/>
    </row>
    <row r="1402" spans="1:111" ht="9" customHeight="1">
      <c r="A1402" s="154"/>
      <c r="B1402" s="154"/>
      <c r="C1402" s="154"/>
      <c r="D1402" s="154"/>
      <c r="E1402" s="154"/>
      <c r="F1402" s="154"/>
      <c r="G1402" s="154"/>
      <c r="H1402" s="154"/>
      <c r="I1402" s="154"/>
      <c r="J1402" s="154"/>
      <c r="K1402" s="154"/>
      <c r="L1402" s="154"/>
      <c r="M1402" s="154"/>
      <c r="N1402" s="154"/>
      <c r="O1402" s="154"/>
      <c r="P1402" s="154"/>
      <c r="Q1402" s="417"/>
      <c r="R1402" s="417"/>
      <c r="S1402" s="417"/>
      <c r="T1402" s="417"/>
      <c r="U1402" s="154"/>
      <c r="V1402" s="154"/>
      <c r="W1402" s="154"/>
      <c r="X1402" s="154"/>
      <c r="Y1402" s="154"/>
      <c r="Z1402" s="154"/>
      <c r="AA1402" s="154"/>
      <c r="AB1402" s="154"/>
      <c r="AC1402" s="418"/>
      <c r="AD1402" s="418"/>
      <c r="AE1402" s="418"/>
      <c r="AF1402" s="418"/>
      <c r="AG1402" s="418"/>
      <c r="AH1402" s="418"/>
      <c r="AI1402" s="418"/>
      <c r="AJ1402" s="418"/>
      <c r="AK1402" s="418"/>
      <c r="AL1402" s="418"/>
      <c r="AM1402" s="418"/>
      <c r="AN1402" s="418"/>
      <c r="AO1402" s="418"/>
      <c r="AP1402" s="418"/>
      <c r="AQ1402" s="418"/>
      <c r="AR1402" s="418"/>
      <c r="AS1402" s="418"/>
      <c r="AT1402" s="418"/>
      <c r="AU1402" s="418"/>
      <c r="AV1402" s="418"/>
      <c r="AW1402" s="418"/>
      <c r="AX1402" s="418"/>
      <c r="AY1402" s="418"/>
      <c r="AZ1402" s="418"/>
      <c r="BA1402" s="418"/>
      <c r="BB1402" s="154"/>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c r="BY1402" s="115"/>
      <c r="BZ1402" s="115"/>
      <c r="CA1402" s="115"/>
      <c r="CB1402" s="115"/>
      <c r="CC1402" s="115"/>
      <c r="CD1402" s="115"/>
      <c r="CE1402" s="115"/>
      <c r="CF1402" s="115"/>
      <c r="CG1402" s="115"/>
      <c r="CH1402" s="115"/>
      <c r="CI1402" s="115"/>
      <c r="CJ1402" s="115"/>
      <c r="CK1402" s="115"/>
      <c r="CL1402" s="115"/>
      <c r="CM1402" s="115"/>
      <c r="CN1402" s="115"/>
      <c r="CO1402" s="115"/>
      <c r="CP1402" s="115"/>
      <c r="CQ1402" s="115"/>
      <c r="CR1402" s="115"/>
      <c r="CS1402" s="115"/>
      <c r="CT1402" s="115"/>
      <c r="CU1402" s="115"/>
      <c r="CV1402" s="115"/>
      <c r="CW1402" s="115"/>
      <c r="CX1402" s="115"/>
      <c r="CY1402" s="115"/>
      <c r="CZ1402" s="115"/>
      <c r="DA1402" s="115"/>
      <c r="DB1402" s="115"/>
      <c r="DC1402" s="115"/>
      <c r="DD1402" s="115"/>
      <c r="DE1402" s="115"/>
      <c r="DF1402" s="115"/>
      <c r="DG1402" s="115"/>
    </row>
    <row r="1403" spans="1:111" ht="4.5" customHeight="1">
      <c r="A1403" s="154"/>
      <c r="B1403" s="154"/>
      <c r="C1403" s="154"/>
      <c r="D1403" s="154"/>
      <c r="E1403" s="154"/>
      <c r="F1403" s="154"/>
      <c r="G1403" s="154"/>
      <c r="H1403" s="154"/>
      <c r="I1403" s="154"/>
      <c r="J1403" s="154"/>
      <c r="K1403" s="154"/>
      <c r="L1403" s="154"/>
      <c r="M1403" s="154"/>
      <c r="N1403" s="154"/>
      <c r="O1403" s="154"/>
      <c r="P1403" s="154"/>
      <c r="Q1403" s="154"/>
      <c r="R1403" s="154"/>
      <c r="S1403" s="154"/>
      <c r="T1403" s="154"/>
      <c r="U1403" s="154"/>
      <c r="V1403" s="154"/>
      <c r="W1403" s="154"/>
      <c r="X1403" s="154"/>
      <c r="Y1403" s="154"/>
      <c r="Z1403" s="154"/>
      <c r="AA1403" s="154"/>
      <c r="AB1403" s="154"/>
      <c r="AC1403" s="154"/>
      <c r="AD1403" s="154"/>
      <c r="AE1403" s="154"/>
      <c r="AF1403" s="154"/>
      <c r="AG1403" s="154"/>
      <c r="AH1403" s="154"/>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c r="BY1403" s="115"/>
      <c r="BZ1403" s="115"/>
      <c r="CA1403" s="115"/>
      <c r="CB1403" s="115"/>
      <c r="CC1403" s="115"/>
      <c r="CD1403" s="115"/>
      <c r="CE1403" s="115"/>
      <c r="CF1403" s="115"/>
      <c r="CG1403" s="115"/>
      <c r="CH1403" s="115"/>
      <c r="CI1403" s="115"/>
      <c r="CJ1403" s="115"/>
      <c r="CK1403" s="115"/>
      <c r="CL1403" s="115"/>
      <c r="CM1403" s="115"/>
      <c r="CN1403" s="115"/>
      <c r="CO1403" s="115"/>
      <c r="CP1403" s="115"/>
      <c r="CQ1403" s="115"/>
      <c r="CR1403" s="115"/>
      <c r="CS1403" s="115"/>
      <c r="CT1403" s="115"/>
      <c r="CU1403" s="115"/>
      <c r="CV1403" s="115"/>
      <c r="CW1403" s="115"/>
      <c r="CX1403" s="115"/>
      <c r="CY1403" s="115"/>
      <c r="CZ1403" s="115"/>
      <c r="DA1403" s="115"/>
      <c r="DB1403" s="115"/>
      <c r="DC1403" s="115"/>
      <c r="DD1403" s="115"/>
      <c r="DE1403" s="115"/>
      <c r="DF1403" s="115"/>
      <c r="DG1403" s="115"/>
    </row>
    <row r="1404" spans="1:111" ht="9" customHeight="1">
      <c r="A1404" s="154"/>
      <c r="B1404" s="154"/>
      <c r="C1404" s="154"/>
      <c r="D1404" s="154"/>
      <c r="E1404" s="154"/>
      <c r="F1404" s="154"/>
      <c r="G1404" s="154"/>
      <c r="H1404" s="154"/>
      <c r="I1404" s="154"/>
      <c r="J1404" s="416" t="str">
        <f>IF(C1386="","","Valor Unitário (R$):")</f>
        <v/>
      </c>
      <c r="K1404" s="416"/>
      <c r="L1404" s="416"/>
      <c r="M1404" s="416"/>
      <c r="N1404" s="416"/>
      <c r="O1404" s="416"/>
      <c r="P1404" s="154"/>
      <c r="Q1404" s="419"/>
      <c r="R1404" s="419"/>
      <c r="S1404" s="419"/>
      <c r="T1404" s="419"/>
      <c r="U1404" s="419"/>
      <c r="V1404" s="419"/>
      <c r="W1404" s="419"/>
      <c r="X1404" s="419"/>
      <c r="Y1404" s="154"/>
      <c r="Z1404" s="416" t="str">
        <f>IF(C1386="","",IF(J1392="52 Equipamentos e Material Permanente","Tempo de Uso:",""))</f>
        <v/>
      </c>
      <c r="AA1404" s="416"/>
      <c r="AB1404" s="416"/>
      <c r="AC1404" s="416"/>
      <c r="AD1404" s="416"/>
      <c r="AE1404" s="416"/>
      <c r="AF1404" s="154"/>
      <c r="AG1404" s="420"/>
      <c r="AH1404" s="420"/>
      <c r="AI1404" s="420"/>
      <c r="AJ1404" s="420"/>
      <c r="AK1404" s="420"/>
      <c r="AL1404" s="420"/>
      <c r="AM1404" s="420"/>
      <c r="AN1404" s="420"/>
      <c r="AO1404" s="420"/>
      <c r="AP1404" s="420"/>
      <c r="AQ1404" s="420"/>
      <c r="AR1404" s="420"/>
      <c r="AS1404" s="420"/>
      <c r="AT1404" s="420"/>
      <c r="AU1404" s="420"/>
      <c r="AV1404" s="420"/>
      <c r="AW1404" s="420"/>
      <c r="AX1404" s="420"/>
      <c r="AY1404" s="420"/>
      <c r="AZ1404" s="420"/>
      <c r="BA1404" s="420"/>
      <c r="BB1404" s="154"/>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c r="BY1404" s="115"/>
      <c r="BZ1404" s="115"/>
      <c r="CA1404" s="115"/>
      <c r="CB1404" s="115"/>
      <c r="CC1404" s="115"/>
      <c r="CD1404" s="115"/>
      <c r="CE1404" s="115"/>
      <c r="CF1404" s="115"/>
      <c r="CG1404" s="115"/>
      <c r="CH1404" s="115"/>
      <c r="CI1404" s="115"/>
      <c r="CJ1404" s="115"/>
      <c r="CK1404" s="115"/>
      <c r="CL1404" s="115"/>
      <c r="CM1404" s="115"/>
      <c r="CN1404" s="115"/>
      <c r="CO1404" s="115"/>
      <c r="CP1404" s="115"/>
      <c r="CQ1404" s="115"/>
      <c r="CR1404" s="115"/>
      <c r="CS1404" s="115"/>
      <c r="CT1404" s="115"/>
      <c r="CU1404" s="115"/>
      <c r="CV1404" s="115"/>
      <c r="CW1404" s="115"/>
      <c r="CX1404" s="115"/>
      <c r="CY1404" s="115"/>
      <c r="CZ1404" s="115"/>
      <c r="DA1404" s="115"/>
      <c r="DB1404" s="115"/>
      <c r="DC1404" s="115"/>
      <c r="DD1404" s="115"/>
      <c r="DE1404" s="115"/>
      <c r="DF1404" s="115"/>
      <c r="DG1404" s="115"/>
    </row>
    <row r="1405" spans="1:111" ht="9" customHeight="1">
      <c r="A1405" s="154"/>
      <c r="B1405" s="154"/>
      <c r="C1405" s="154"/>
      <c r="D1405" s="154"/>
      <c r="E1405" s="154"/>
      <c r="F1405" s="154"/>
      <c r="G1405" s="154"/>
      <c r="H1405" s="154"/>
      <c r="I1405" s="154"/>
      <c r="J1405" s="416"/>
      <c r="K1405" s="416"/>
      <c r="L1405" s="416"/>
      <c r="M1405" s="416"/>
      <c r="N1405" s="416"/>
      <c r="O1405" s="416"/>
      <c r="P1405" s="154"/>
      <c r="Q1405" s="419"/>
      <c r="R1405" s="419"/>
      <c r="S1405" s="419"/>
      <c r="T1405" s="419"/>
      <c r="U1405" s="419"/>
      <c r="V1405" s="419"/>
      <c r="W1405" s="419"/>
      <c r="X1405" s="419"/>
      <c r="Y1405" s="154"/>
      <c r="Z1405" s="416"/>
      <c r="AA1405" s="416"/>
      <c r="AB1405" s="416"/>
      <c r="AC1405" s="416"/>
      <c r="AD1405" s="416"/>
      <c r="AE1405" s="416"/>
      <c r="AF1405" s="154"/>
      <c r="AG1405" s="420"/>
      <c r="AH1405" s="420"/>
      <c r="AI1405" s="420"/>
      <c r="AJ1405" s="420"/>
      <c r="AK1405" s="420"/>
      <c r="AL1405" s="420"/>
      <c r="AM1405" s="420"/>
      <c r="AN1405" s="420"/>
      <c r="AO1405" s="420"/>
      <c r="AP1405" s="420"/>
      <c r="AQ1405" s="420"/>
      <c r="AR1405" s="420"/>
      <c r="AS1405" s="420"/>
      <c r="AT1405" s="420"/>
      <c r="AU1405" s="420"/>
      <c r="AV1405" s="420"/>
      <c r="AW1405" s="420"/>
      <c r="AX1405" s="420"/>
      <c r="AY1405" s="420"/>
      <c r="AZ1405" s="420"/>
      <c r="BA1405" s="420"/>
      <c r="BB1405" s="154"/>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c r="BY1405" s="115"/>
      <c r="BZ1405" s="115"/>
      <c r="CA1405" s="115"/>
      <c r="CB1405" s="115"/>
      <c r="CC1405" s="115"/>
      <c r="CD1405" s="115"/>
      <c r="CE1405" s="115"/>
      <c r="CF1405" s="115"/>
      <c r="CG1405" s="115"/>
      <c r="CH1405" s="115"/>
      <c r="CI1405" s="115"/>
      <c r="CJ1405" s="115"/>
      <c r="CK1405" s="115"/>
      <c r="CL1405" s="115"/>
      <c r="CM1405" s="115"/>
      <c r="CN1405" s="115"/>
      <c r="CO1405" s="115"/>
      <c r="CP1405" s="115"/>
      <c r="CQ1405" s="115"/>
      <c r="CR1405" s="115"/>
      <c r="CS1405" s="115"/>
      <c r="CT1405" s="115"/>
      <c r="CU1405" s="115"/>
      <c r="CV1405" s="115"/>
      <c r="CW1405" s="115"/>
      <c r="CX1405" s="115"/>
      <c r="CY1405" s="115"/>
      <c r="CZ1405" s="115"/>
      <c r="DA1405" s="115"/>
      <c r="DB1405" s="115"/>
      <c r="DC1405" s="115"/>
      <c r="DD1405" s="115"/>
      <c r="DE1405" s="115"/>
      <c r="DF1405" s="115"/>
      <c r="DG1405" s="115"/>
    </row>
    <row r="1406" spans="1:111" ht="9" customHeight="1">
      <c r="A1406" s="154"/>
      <c r="B1406" s="154"/>
      <c r="C1406" s="154"/>
      <c r="D1406" s="154"/>
      <c r="E1406" s="154"/>
      <c r="F1406" s="154"/>
      <c r="G1406" s="154"/>
      <c r="H1406" s="154"/>
      <c r="I1406" s="154"/>
      <c r="J1406" s="154"/>
      <c r="K1406" s="154"/>
      <c r="L1406" s="154"/>
      <c r="M1406" s="154"/>
      <c r="N1406" s="154"/>
      <c r="O1406" s="154"/>
      <c r="P1406" s="154"/>
      <c r="Q1406" s="419"/>
      <c r="R1406" s="419"/>
      <c r="S1406" s="419"/>
      <c r="T1406" s="419"/>
      <c r="U1406" s="419"/>
      <c r="V1406" s="419"/>
      <c r="W1406" s="419"/>
      <c r="X1406" s="419"/>
      <c r="Y1406" s="154"/>
      <c r="Z1406" s="154"/>
      <c r="AA1406" s="154"/>
      <c r="AB1406" s="154"/>
      <c r="AC1406" s="154"/>
      <c r="AD1406" s="154"/>
      <c r="AE1406" s="154"/>
      <c r="AF1406" s="154"/>
      <c r="AG1406" s="420"/>
      <c r="AH1406" s="420"/>
      <c r="AI1406" s="420"/>
      <c r="AJ1406" s="420"/>
      <c r="AK1406" s="420"/>
      <c r="AL1406" s="420"/>
      <c r="AM1406" s="420"/>
      <c r="AN1406" s="420"/>
      <c r="AO1406" s="420"/>
      <c r="AP1406" s="420"/>
      <c r="AQ1406" s="420"/>
      <c r="AR1406" s="420"/>
      <c r="AS1406" s="420"/>
      <c r="AT1406" s="420"/>
      <c r="AU1406" s="420"/>
      <c r="AV1406" s="420"/>
      <c r="AW1406" s="420"/>
      <c r="AX1406" s="420"/>
      <c r="AY1406" s="420"/>
      <c r="AZ1406" s="420"/>
      <c r="BA1406" s="420"/>
      <c r="BB1406" s="154"/>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c r="BY1406" s="115"/>
      <c r="BZ1406" s="115"/>
      <c r="CA1406" s="115"/>
      <c r="CB1406" s="115"/>
      <c r="CC1406" s="115"/>
      <c r="CD1406" s="115"/>
      <c r="CE1406" s="115"/>
      <c r="CF1406" s="115"/>
      <c r="CG1406" s="115"/>
      <c r="CH1406" s="115"/>
      <c r="CI1406" s="115"/>
      <c r="CJ1406" s="115"/>
      <c r="CK1406" s="115"/>
      <c r="CL1406" s="115"/>
      <c r="CM1406" s="115"/>
      <c r="CN1406" s="115"/>
      <c r="CO1406" s="115"/>
      <c r="CP1406" s="115"/>
      <c r="CQ1406" s="115"/>
      <c r="CR1406" s="115"/>
      <c r="CS1406" s="115"/>
      <c r="CT1406" s="115"/>
      <c r="CU1406" s="115"/>
      <c r="CV1406" s="115"/>
      <c r="CW1406" s="115"/>
      <c r="CX1406" s="115"/>
      <c r="CY1406" s="115"/>
      <c r="CZ1406" s="115"/>
      <c r="DA1406" s="115"/>
      <c r="DB1406" s="115"/>
      <c r="DC1406" s="115"/>
      <c r="DD1406" s="115"/>
      <c r="DE1406" s="115"/>
      <c r="DF1406" s="115"/>
      <c r="DG1406" s="115"/>
    </row>
    <row r="1407" spans="1:111" ht="4.5" customHeight="1">
      <c r="A1407" s="154"/>
      <c r="B1407" s="154"/>
      <c r="C1407" s="154"/>
      <c r="D1407" s="154"/>
      <c r="E1407" s="154"/>
      <c r="F1407" s="154"/>
      <c r="G1407" s="154"/>
      <c r="H1407" s="154"/>
      <c r="I1407" s="154"/>
      <c r="J1407" s="154"/>
      <c r="K1407" s="154"/>
      <c r="L1407" s="154"/>
      <c r="M1407" s="154"/>
      <c r="N1407" s="154"/>
      <c r="O1407" s="154"/>
      <c r="P1407" s="154"/>
      <c r="Q1407" s="154"/>
      <c r="R1407" s="154"/>
      <c r="S1407" s="154"/>
      <c r="T1407" s="154"/>
      <c r="U1407" s="154"/>
      <c r="V1407" s="154"/>
      <c r="W1407" s="154"/>
      <c r="X1407" s="154"/>
      <c r="Y1407" s="154"/>
      <c r="Z1407" s="154"/>
      <c r="AA1407" s="154"/>
      <c r="AB1407" s="154"/>
      <c r="AC1407" s="154"/>
      <c r="AD1407" s="154"/>
      <c r="AE1407" s="154"/>
      <c r="AF1407" s="154"/>
      <c r="AG1407" s="154"/>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c r="BY1407" s="115"/>
      <c r="BZ1407" s="115"/>
      <c r="CA1407" s="115"/>
      <c r="CB1407" s="115"/>
      <c r="CC1407" s="115"/>
      <c r="CD1407" s="115"/>
      <c r="CE1407" s="115"/>
      <c r="CF1407" s="115"/>
      <c r="CG1407" s="115"/>
      <c r="CH1407" s="115"/>
      <c r="CI1407" s="115"/>
      <c r="CJ1407" s="115"/>
      <c r="CK1407" s="115"/>
      <c r="CL1407" s="115"/>
      <c r="CM1407" s="115"/>
      <c r="CN1407" s="115"/>
      <c r="CO1407" s="115"/>
      <c r="CP1407" s="115"/>
      <c r="CQ1407" s="115"/>
      <c r="CR1407" s="115"/>
      <c r="CS1407" s="115"/>
      <c r="CT1407" s="115"/>
      <c r="CU1407" s="115"/>
      <c r="CV1407" s="115"/>
      <c r="CW1407" s="115"/>
      <c r="CX1407" s="115"/>
      <c r="CY1407" s="115"/>
      <c r="CZ1407" s="115"/>
      <c r="DA1407" s="115"/>
      <c r="DB1407" s="115"/>
      <c r="DC1407" s="115"/>
      <c r="DD1407" s="115"/>
      <c r="DE1407" s="115"/>
      <c r="DF1407" s="115"/>
      <c r="DG1407" s="115"/>
    </row>
    <row r="1408" spans="1:111" ht="9" customHeight="1">
      <c r="A1408" s="154"/>
      <c r="B1408" s="154"/>
      <c r="C1408" s="154"/>
      <c r="D1408" s="154"/>
      <c r="E1408" s="154"/>
      <c r="F1408" s="154"/>
      <c r="G1408" s="154"/>
      <c r="H1408" s="154"/>
      <c r="I1408" s="154"/>
      <c r="J1408" s="416" t="str">
        <f>IF(C1386="","","Valor Total (R$):")</f>
        <v/>
      </c>
      <c r="K1408" s="416"/>
      <c r="L1408" s="416"/>
      <c r="M1408" s="416"/>
      <c r="N1408" s="416"/>
      <c r="O1408" s="416"/>
      <c r="P1408" s="154"/>
      <c r="Q1408" s="419" t="str">
        <f>IF(Q1404="","",Q1400*Q1404)</f>
        <v/>
      </c>
      <c r="R1408" s="419"/>
      <c r="S1408" s="419"/>
      <c r="T1408" s="419"/>
      <c r="U1408" s="419"/>
      <c r="V1408" s="419"/>
      <c r="W1408" s="419"/>
      <c r="X1408" s="419"/>
      <c r="Y1408" s="154"/>
      <c r="Z1408" s="416" t="str">
        <f>IF(C1386="","",IF(J1392="52 Equipamentos e Material Permanente","Justificativa e Utilização:",""))</f>
        <v/>
      </c>
      <c r="AA1408" s="416"/>
      <c r="AB1408" s="416"/>
      <c r="AC1408" s="416"/>
      <c r="AD1408" s="416"/>
      <c r="AE1408" s="416"/>
      <c r="AF1408" s="154"/>
      <c r="AG1408" s="420"/>
      <c r="AH1408" s="420"/>
      <c r="AI1408" s="420"/>
      <c r="AJ1408" s="420"/>
      <c r="AK1408" s="420"/>
      <c r="AL1408" s="420"/>
      <c r="AM1408" s="420"/>
      <c r="AN1408" s="420"/>
      <c r="AO1408" s="420"/>
      <c r="AP1408" s="420"/>
      <c r="AQ1408" s="420"/>
      <c r="AR1408" s="420"/>
      <c r="AS1408" s="420"/>
      <c r="AT1408" s="420"/>
      <c r="AU1408" s="420"/>
      <c r="AV1408" s="420"/>
      <c r="AW1408" s="420"/>
      <c r="AX1408" s="420"/>
      <c r="AY1408" s="420"/>
      <c r="AZ1408" s="420"/>
      <c r="BA1408" s="420"/>
      <c r="BB1408" s="154"/>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c r="BY1408" s="115"/>
      <c r="BZ1408" s="115"/>
      <c r="CA1408" s="115"/>
      <c r="CB1408" s="115"/>
      <c r="CC1408" s="115"/>
      <c r="CD1408" s="115"/>
      <c r="CE1408" s="115"/>
      <c r="CF1408" s="115"/>
      <c r="CG1408" s="115"/>
      <c r="CH1408" s="115"/>
      <c r="CI1408" s="115"/>
      <c r="CJ1408" s="115"/>
      <c r="CK1408" s="115"/>
      <c r="CL1408" s="115"/>
      <c r="CM1408" s="115"/>
      <c r="CN1408" s="115"/>
      <c r="CO1408" s="115"/>
      <c r="CP1408" s="115"/>
      <c r="CQ1408" s="115"/>
      <c r="CR1408" s="115"/>
      <c r="CS1408" s="115"/>
      <c r="CT1408" s="115"/>
      <c r="CU1408" s="115"/>
      <c r="CV1408" s="115"/>
      <c r="CW1408" s="115"/>
      <c r="CX1408" s="115"/>
      <c r="CY1408" s="115"/>
      <c r="CZ1408" s="115"/>
      <c r="DA1408" s="115"/>
      <c r="DB1408" s="115"/>
      <c r="DC1408" s="115"/>
      <c r="DD1408" s="115"/>
      <c r="DE1408" s="115"/>
      <c r="DF1408" s="115"/>
      <c r="DG1408" s="115"/>
    </row>
    <row r="1409" spans="1:111" ht="9" customHeight="1">
      <c r="A1409" s="154"/>
      <c r="B1409" s="154"/>
      <c r="C1409" s="154"/>
      <c r="D1409" s="154"/>
      <c r="E1409" s="154"/>
      <c r="F1409" s="154"/>
      <c r="G1409" s="154"/>
      <c r="H1409" s="154"/>
      <c r="I1409" s="154"/>
      <c r="J1409" s="416"/>
      <c r="K1409" s="416"/>
      <c r="L1409" s="416"/>
      <c r="M1409" s="416"/>
      <c r="N1409" s="416"/>
      <c r="O1409" s="416"/>
      <c r="P1409" s="154"/>
      <c r="Q1409" s="419"/>
      <c r="R1409" s="419"/>
      <c r="S1409" s="419"/>
      <c r="T1409" s="419"/>
      <c r="U1409" s="419"/>
      <c r="V1409" s="419"/>
      <c r="W1409" s="419"/>
      <c r="X1409" s="419"/>
      <c r="Y1409" s="154"/>
      <c r="Z1409" s="416"/>
      <c r="AA1409" s="416"/>
      <c r="AB1409" s="416"/>
      <c r="AC1409" s="416"/>
      <c r="AD1409" s="416"/>
      <c r="AE1409" s="416"/>
      <c r="AF1409" s="154"/>
      <c r="AG1409" s="420"/>
      <c r="AH1409" s="420"/>
      <c r="AI1409" s="420"/>
      <c r="AJ1409" s="420"/>
      <c r="AK1409" s="420"/>
      <c r="AL1409" s="420"/>
      <c r="AM1409" s="420"/>
      <c r="AN1409" s="420"/>
      <c r="AO1409" s="420"/>
      <c r="AP1409" s="420"/>
      <c r="AQ1409" s="420"/>
      <c r="AR1409" s="420"/>
      <c r="AS1409" s="420"/>
      <c r="AT1409" s="420"/>
      <c r="AU1409" s="420"/>
      <c r="AV1409" s="420"/>
      <c r="AW1409" s="420"/>
      <c r="AX1409" s="420"/>
      <c r="AY1409" s="420"/>
      <c r="AZ1409" s="420"/>
      <c r="BA1409" s="420"/>
      <c r="BB1409" s="154"/>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c r="BY1409" s="115"/>
      <c r="BZ1409" s="115"/>
      <c r="CA1409" s="115"/>
      <c r="CB1409" s="115"/>
      <c r="CC1409" s="115"/>
      <c r="CD1409" s="115"/>
      <c r="CE1409" s="115"/>
      <c r="CF1409" s="115"/>
      <c r="CG1409" s="115"/>
      <c r="CH1409" s="115"/>
      <c r="CI1409" s="115"/>
      <c r="CJ1409" s="115"/>
      <c r="CK1409" s="115"/>
      <c r="CL1409" s="115"/>
      <c r="CM1409" s="115"/>
      <c r="CN1409" s="115"/>
      <c r="CO1409" s="115"/>
      <c r="CP1409" s="115"/>
      <c r="CQ1409" s="115"/>
      <c r="CR1409" s="115"/>
      <c r="CS1409" s="115"/>
      <c r="CT1409" s="115"/>
      <c r="CU1409" s="115"/>
      <c r="CV1409" s="115"/>
      <c r="CW1409" s="115"/>
      <c r="CX1409" s="115"/>
      <c r="CY1409" s="115"/>
      <c r="CZ1409" s="115"/>
      <c r="DA1409" s="115"/>
      <c r="DB1409" s="115"/>
      <c r="DC1409" s="115"/>
      <c r="DD1409" s="115"/>
      <c r="DE1409" s="115"/>
      <c r="DF1409" s="115"/>
      <c r="DG1409" s="115"/>
    </row>
    <row r="1410" spans="1:111" ht="9" customHeight="1">
      <c r="A1410" s="154"/>
      <c r="B1410" s="154"/>
      <c r="C1410" s="154"/>
      <c r="D1410" s="154"/>
      <c r="E1410" s="154"/>
      <c r="F1410" s="154"/>
      <c r="G1410" s="154"/>
      <c r="H1410" s="154"/>
      <c r="I1410" s="154"/>
      <c r="J1410" s="154"/>
      <c r="K1410" s="154"/>
      <c r="L1410" s="154"/>
      <c r="M1410" s="154"/>
      <c r="N1410" s="154"/>
      <c r="O1410" s="154"/>
      <c r="P1410" s="154"/>
      <c r="Q1410" s="419"/>
      <c r="R1410" s="419"/>
      <c r="S1410" s="419"/>
      <c r="T1410" s="419"/>
      <c r="U1410" s="419"/>
      <c r="V1410" s="419"/>
      <c r="W1410" s="419"/>
      <c r="X1410" s="419"/>
      <c r="Y1410" s="154"/>
      <c r="Z1410" s="154"/>
      <c r="AA1410" s="154"/>
      <c r="AB1410" s="154"/>
      <c r="AC1410" s="154"/>
      <c r="AD1410" s="154"/>
      <c r="AE1410" s="154"/>
      <c r="AF1410" s="154"/>
      <c r="AG1410" s="420"/>
      <c r="AH1410" s="420"/>
      <c r="AI1410" s="420"/>
      <c r="AJ1410" s="420"/>
      <c r="AK1410" s="420"/>
      <c r="AL1410" s="420"/>
      <c r="AM1410" s="420"/>
      <c r="AN1410" s="420"/>
      <c r="AO1410" s="420"/>
      <c r="AP1410" s="420"/>
      <c r="AQ1410" s="420"/>
      <c r="AR1410" s="420"/>
      <c r="AS1410" s="420"/>
      <c r="AT1410" s="420"/>
      <c r="AU1410" s="420"/>
      <c r="AV1410" s="420"/>
      <c r="AW1410" s="420"/>
      <c r="AX1410" s="420"/>
      <c r="AY1410" s="420"/>
      <c r="AZ1410" s="420"/>
      <c r="BA1410" s="420"/>
      <c r="BB1410" s="154"/>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c r="BY1410" s="115"/>
      <c r="BZ1410" s="115"/>
      <c r="CA1410" s="115"/>
      <c r="CB1410" s="115"/>
      <c r="CC1410" s="115"/>
      <c r="CD1410" s="115"/>
      <c r="CE1410" s="115"/>
      <c r="CF1410" s="115"/>
      <c r="CG1410" s="115"/>
      <c r="CH1410" s="115"/>
      <c r="CI1410" s="115"/>
      <c r="CJ1410" s="115"/>
      <c r="CK1410" s="115"/>
      <c r="CL1410" s="115"/>
      <c r="CM1410" s="115"/>
      <c r="CN1410" s="115"/>
      <c r="CO1410" s="115"/>
      <c r="CP1410" s="115"/>
      <c r="CQ1410" s="115"/>
      <c r="CR1410" s="115"/>
      <c r="CS1410" s="115"/>
      <c r="CT1410" s="115"/>
      <c r="CU1410" s="115"/>
      <c r="CV1410" s="115"/>
      <c r="CW1410" s="115"/>
      <c r="CX1410" s="115"/>
      <c r="CY1410" s="115"/>
      <c r="CZ1410" s="115"/>
      <c r="DA1410" s="115"/>
      <c r="DB1410" s="115"/>
      <c r="DC1410" s="115"/>
      <c r="DD1410" s="115"/>
      <c r="DE1410" s="115"/>
      <c r="DF1410" s="115"/>
      <c r="DG1410" s="115"/>
    </row>
    <row r="1411" spans="1:111" ht="9" customHeight="1">
      <c r="A1411" s="154"/>
      <c r="B1411" s="154"/>
      <c r="C1411" s="154"/>
      <c r="D1411" s="154"/>
      <c r="E1411" s="154"/>
      <c r="F1411" s="154"/>
      <c r="G1411" s="154"/>
      <c r="H1411" s="154"/>
      <c r="I1411" s="154"/>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420"/>
      <c r="AH1411" s="420"/>
      <c r="AI1411" s="420"/>
      <c r="AJ1411" s="420"/>
      <c r="AK1411" s="420"/>
      <c r="AL1411" s="420"/>
      <c r="AM1411" s="420"/>
      <c r="AN1411" s="420"/>
      <c r="AO1411" s="420"/>
      <c r="AP1411" s="420"/>
      <c r="AQ1411" s="420"/>
      <c r="AR1411" s="420"/>
      <c r="AS1411" s="420"/>
      <c r="AT1411" s="420"/>
      <c r="AU1411" s="420"/>
      <c r="AV1411" s="420"/>
      <c r="AW1411" s="420"/>
      <c r="AX1411" s="420"/>
      <c r="AY1411" s="420"/>
      <c r="AZ1411" s="420"/>
      <c r="BA1411" s="420"/>
      <c r="BB1411" s="154"/>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c r="BY1411" s="115"/>
      <c r="BZ1411" s="115"/>
      <c r="CA1411" s="115"/>
      <c r="CB1411" s="115"/>
      <c r="CC1411" s="115"/>
      <c r="CD1411" s="115"/>
      <c r="CE1411" s="115"/>
      <c r="CF1411" s="115"/>
      <c r="CG1411" s="115"/>
      <c r="CH1411" s="115"/>
      <c r="CI1411" s="115"/>
      <c r="CJ1411" s="115"/>
      <c r="CK1411" s="115"/>
      <c r="CL1411" s="115"/>
      <c r="CM1411" s="115"/>
      <c r="CN1411" s="115"/>
      <c r="CO1411" s="115"/>
      <c r="CP1411" s="115"/>
      <c r="CQ1411" s="115"/>
      <c r="CR1411" s="115"/>
      <c r="CS1411" s="115"/>
      <c r="CT1411" s="115"/>
      <c r="CU1411" s="115"/>
      <c r="CV1411" s="115"/>
      <c r="CW1411" s="115"/>
      <c r="CX1411" s="115"/>
      <c r="CY1411" s="115"/>
      <c r="CZ1411" s="115"/>
      <c r="DA1411" s="115"/>
      <c r="DB1411" s="115"/>
      <c r="DC1411" s="115"/>
      <c r="DD1411" s="115"/>
      <c r="DE1411" s="115"/>
      <c r="DF1411" s="115"/>
      <c r="DG1411" s="115"/>
    </row>
    <row r="1412" spans="1:111" ht="9" customHeight="1">
      <c r="A1412" s="154"/>
      <c r="B1412" s="154"/>
      <c r="C1412" s="154"/>
      <c r="D1412" s="154"/>
      <c r="E1412" s="154"/>
      <c r="F1412" s="154"/>
      <c r="G1412" s="154"/>
      <c r="H1412" s="154"/>
      <c r="I1412" s="154"/>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420"/>
      <c r="AH1412" s="420"/>
      <c r="AI1412" s="420"/>
      <c r="AJ1412" s="420"/>
      <c r="AK1412" s="420"/>
      <c r="AL1412" s="420"/>
      <c r="AM1412" s="420"/>
      <c r="AN1412" s="420"/>
      <c r="AO1412" s="420"/>
      <c r="AP1412" s="420"/>
      <c r="AQ1412" s="420"/>
      <c r="AR1412" s="420"/>
      <c r="AS1412" s="420"/>
      <c r="AT1412" s="420"/>
      <c r="AU1412" s="420"/>
      <c r="AV1412" s="420"/>
      <c r="AW1412" s="420"/>
      <c r="AX1412" s="420"/>
      <c r="AY1412" s="420"/>
      <c r="AZ1412" s="420"/>
      <c r="BA1412" s="420"/>
      <c r="BB1412" s="154"/>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c r="BY1412" s="115"/>
      <c r="BZ1412" s="115"/>
      <c r="CA1412" s="115"/>
      <c r="CB1412" s="115"/>
      <c r="CC1412" s="115"/>
      <c r="CD1412" s="115"/>
      <c r="CE1412" s="115"/>
      <c r="CF1412" s="115"/>
      <c r="CG1412" s="115"/>
      <c r="CH1412" s="115"/>
      <c r="CI1412" s="115"/>
      <c r="CJ1412" s="115"/>
      <c r="CK1412" s="115"/>
      <c r="CL1412" s="115"/>
      <c r="CM1412" s="115"/>
      <c r="CN1412" s="115"/>
      <c r="CO1412" s="115"/>
      <c r="CP1412" s="115"/>
      <c r="CQ1412" s="115"/>
      <c r="CR1412" s="115"/>
      <c r="CS1412" s="115"/>
      <c r="CT1412" s="115"/>
      <c r="CU1412" s="115"/>
      <c r="CV1412" s="115"/>
      <c r="CW1412" s="115"/>
      <c r="CX1412" s="115"/>
      <c r="CY1412" s="115"/>
      <c r="CZ1412" s="115"/>
      <c r="DA1412" s="115"/>
      <c r="DB1412" s="115"/>
      <c r="DC1412" s="115"/>
      <c r="DD1412" s="115"/>
      <c r="DE1412" s="115"/>
      <c r="DF1412" s="115"/>
      <c r="DG1412" s="115"/>
    </row>
    <row r="1413" spans="1:111" ht="9" customHeight="1">
      <c r="A1413" s="154"/>
      <c r="B1413" s="154"/>
      <c r="C1413" s="154"/>
      <c r="D1413" s="154"/>
      <c r="E1413" s="154"/>
      <c r="F1413" s="154"/>
      <c r="G1413" s="154"/>
      <c r="H1413" s="154"/>
      <c r="I1413" s="154"/>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420"/>
      <c r="AH1413" s="420"/>
      <c r="AI1413" s="420"/>
      <c r="AJ1413" s="420"/>
      <c r="AK1413" s="420"/>
      <c r="AL1413" s="420"/>
      <c r="AM1413" s="420"/>
      <c r="AN1413" s="420"/>
      <c r="AO1413" s="420"/>
      <c r="AP1413" s="420"/>
      <c r="AQ1413" s="420"/>
      <c r="AR1413" s="420"/>
      <c r="AS1413" s="420"/>
      <c r="AT1413" s="420"/>
      <c r="AU1413" s="420"/>
      <c r="AV1413" s="420"/>
      <c r="AW1413" s="420"/>
      <c r="AX1413" s="420"/>
      <c r="AY1413" s="420"/>
      <c r="AZ1413" s="420"/>
      <c r="BA1413" s="420"/>
      <c r="BB1413" s="154"/>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c r="BY1413" s="115"/>
      <c r="BZ1413" s="115"/>
      <c r="CA1413" s="115"/>
      <c r="CB1413" s="115"/>
      <c r="CC1413" s="115"/>
      <c r="CD1413" s="115"/>
      <c r="CE1413" s="115"/>
      <c r="CF1413" s="115"/>
      <c r="CG1413" s="115"/>
      <c r="CH1413" s="115"/>
      <c r="CI1413" s="115"/>
      <c r="CJ1413" s="115"/>
      <c r="CK1413" s="115"/>
      <c r="CL1413" s="115"/>
      <c r="CM1413" s="115"/>
      <c r="CN1413" s="115"/>
      <c r="CO1413" s="115"/>
      <c r="CP1413" s="115"/>
      <c r="CQ1413" s="115"/>
      <c r="CR1413" s="115"/>
      <c r="CS1413" s="115"/>
      <c r="CT1413" s="115"/>
      <c r="CU1413" s="115"/>
      <c r="CV1413" s="115"/>
      <c r="CW1413" s="115"/>
      <c r="CX1413" s="115"/>
      <c r="CY1413" s="115"/>
      <c r="CZ1413" s="115"/>
      <c r="DA1413" s="115"/>
      <c r="DB1413" s="115"/>
      <c r="DC1413" s="115"/>
      <c r="DD1413" s="115"/>
      <c r="DE1413" s="115"/>
      <c r="DF1413" s="115"/>
      <c r="DG1413" s="115"/>
    </row>
    <row r="1414" spans="1:111" ht="15" customHeight="1">
      <c r="B1414" s="55"/>
      <c r="C1414" s="55"/>
      <c r="D1414" s="56"/>
      <c r="E1414" s="56"/>
      <c r="F1414" s="56"/>
      <c r="G1414" s="56"/>
      <c r="H1414" s="56"/>
      <c r="I1414" s="56"/>
      <c r="J1414" s="56"/>
      <c r="K1414" s="56"/>
      <c r="L1414" s="56"/>
      <c r="M1414" s="56"/>
      <c r="N1414" s="56"/>
      <c r="O1414" s="56"/>
      <c r="P1414" s="56"/>
      <c r="Q1414" s="56"/>
      <c r="R1414" s="56"/>
      <c r="S1414" s="56"/>
      <c r="T1414" s="56"/>
      <c r="U1414" s="56"/>
      <c r="V1414" s="56"/>
      <c r="W1414" s="56"/>
      <c r="X1414" s="56"/>
      <c r="Y1414" s="56"/>
      <c r="Z1414" s="56"/>
      <c r="AA1414" s="56"/>
      <c r="AB1414" s="56"/>
      <c r="AC1414" s="56"/>
      <c r="AD1414" s="56"/>
      <c r="AE1414" s="56"/>
      <c r="AF1414" s="56"/>
      <c r="AG1414" s="56"/>
      <c r="AH1414" s="56"/>
      <c r="AI1414" s="56"/>
      <c r="AJ1414" s="56"/>
      <c r="AK1414" s="141"/>
      <c r="AL1414" s="141"/>
      <c r="AM1414" s="141"/>
      <c r="AN1414" s="141"/>
      <c r="AO1414" s="140"/>
      <c r="AP1414" s="140"/>
      <c r="AQ1414" s="140"/>
      <c r="AR1414" s="140"/>
      <c r="AS1414" s="142"/>
      <c r="AT1414" s="142"/>
      <c r="AU1414" s="142"/>
      <c r="AV1414" s="142"/>
      <c r="AW1414" s="140"/>
      <c r="AX1414" s="140"/>
      <c r="AY1414" s="140"/>
      <c r="AZ1414" s="140"/>
      <c r="BA1414" s="140"/>
      <c r="BC1414" s="115"/>
      <c r="BD1414" s="115"/>
      <c r="BE1414" s="115"/>
      <c r="BF1414" s="115"/>
      <c r="BG1414" s="115"/>
      <c r="BH1414" s="155"/>
      <c r="BI1414" s="155"/>
      <c r="BJ1414" s="155"/>
      <c r="BK1414" s="155"/>
      <c r="BL1414" s="155"/>
      <c r="BM1414" s="155"/>
      <c r="BN1414" s="155"/>
      <c r="BO1414" s="155"/>
      <c r="BP1414" s="155"/>
      <c r="BQ1414" s="155"/>
      <c r="BR1414" s="155"/>
      <c r="BS1414" s="155"/>
      <c r="BT1414" s="155"/>
      <c r="BU1414" s="155"/>
      <c r="BV1414" s="155"/>
      <c r="BW1414" s="155"/>
      <c r="BX1414" s="155"/>
      <c r="BY1414" s="155"/>
      <c r="BZ1414" s="155"/>
      <c r="CA1414" s="155"/>
      <c r="CB1414" s="155"/>
      <c r="CC1414" s="155"/>
      <c r="CD1414" s="155"/>
      <c r="CE1414" s="155"/>
      <c r="CF1414" s="155"/>
      <c r="CG1414" s="155"/>
      <c r="CH1414" s="155"/>
      <c r="CI1414" s="155"/>
      <c r="CJ1414" s="155"/>
      <c r="CK1414" s="155"/>
      <c r="CL1414" s="155"/>
      <c r="CM1414" s="155"/>
      <c r="CN1414" s="155"/>
      <c r="CO1414" s="155"/>
      <c r="CP1414" s="155"/>
      <c r="CQ1414" s="155"/>
      <c r="CR1414" s="155"/>
      <c r="CS1414" s="155"/>
      <c r="CT1414" s="155"/>
      <c r="CU1414" s="155"/>
      <c r="CV1414" s="155"/>
      <c r="CW1414" s="155"/>
      <c r="CX1414" s="155"/>
      <c r="CY1414" s="155"/>
      <c r="CZ1414" s="155"/>
      <c r="DA1414" s="155"/>
      <c r="DB1414" s="155"/>
      <c r="DC1414" s="155"/>
      <c r="DD1414" s="155"/>
      <c r="DE1414" s="155"/>
      <c r="DF1414" s="155"/>
      <c r="DG1414" s="115"/>
    </row>
    <row r="1415" spans="1:111" ht="15" customHeight="1">
      <c r="B1415" s="55"/>
      <c r="C1415" s="422" t="str">
        <f>IF($AA$165&gt;=44,"DESPESA 44","")</f>
        <v/>
      </c>
      <c r="D1415" s="422"/>
      <c r="E1415" s="422"/>
      <c r="F1415" s="422"/>
      <c r="G1415" s="422"/>
      <c r="H1415" s="422"/>
      <c r="I1415" s="56"/>
      <c r="J1415" s="56"/>
      <c r="K1415" s="56"/>
      <c r="L1415" s="56"/>
      <c r="M1415" s="56"/>
      <c r="N1415" s="56"/>
      <c r="O1415" s="56"/>
      <c r="P1415" s="56"/>
      <c r="Q1415" s="56"/>
      <c r="R1415" s="56"/>
      <c r="S1415" s="56"/>
      <c r="T1415" s="56"/>
      <c r="U1415" s="56"/>
      <c r="V1415" s="56"/>
      <c r="W1415" s="56"/>
      <c r="X1415" s="56"/>
      <c r="Y1415" s="56"/>
      <c r="Z1415" s="56"/>
      <c r="AA1415" s="56"/>
      <c r="AB1415" s="56"/>
      <c r="AC1415" s="56"/>
      <c r="AD1415" s="56"/>
      <c r="AE1415" s="56"/>
      <c r="AF1415" s="56"/>
      <c r="AG1415" s="56"/>
      <c r="AH1415" s="56"/>
      <c r="AI1415" s="56"/>
      <c r="AJ1415" s="56"/>
      <c r="AK1415" s="141"/>
      <c r="AL1415" s="141"/>
      <c r="AM1415" s="141"/>
      <c r="AN1415" s="141"/>
      <c r="AO1415" s="140"/>
      <c r="AP1415" s="140"/>
      <c r="AQ1415" s="140"/>
      <c r="AR1415" s="140"/>
      <c r="AS1415" s="142"/>
      <c r="AT1415" s="142"/>
      <c r="AU1415" s="142"/>
      <c r="AV1415" s="142"/>
      <c r="AW1415" s="140"/>
      <c r="AX1415" s="140"/>
      <c r="AY1415" s="140"/>
      <c r="AZ1415" s="140"/>
      <c r="BA1415" s="140"/>
      <c r="BC1415" s="115"/>
      <c r="BD1415" s="115"/>
      <c r="BE1415" s="115"/>
      <c r="BF1415" s="115"/>
      <c r="BG1415" s="115"/>
      <c r="BH1415" s="155"/>
      <c r="BI1415" s="155"/>
      <c r="BJ1415" s="155"/>
      <c r="BK1415" s="155"/>
      <c r="BL1415" s="155"/>
      <c r="BM1415" s="155"/>
      <c r="BN1415" s="155"/>
      <c r="BO1415" s="155"/>
      <c r="BP1415" s="155"/>
      <c r="BQ1415" s="155"/>
      <c r="BR1415" s="155"/>
      <c r="BS1415" s="155"/>
      <c r="BT1415" s="155"/>
      <c r="BU1415" s="155"/>
      <c r="BV1415" s="155"/>
      <c r="BW1415" s="155"/>
      <c r="BX1415" s="155"/>
      <c r="BY1415" s="155"/>
      <c r="BZ1415" s="155"/>
      <c r="CA1415" s="155"/>
      <c r="CB1415" s="155"/>
      <c r="CC1415" s="155"/>
      <c r="CD1415" s="155"/>
      <c r="CE1415" s="155"/>
      <c r="CF1415" s="155"/>
      <c r="CG1415" s="155"/>
      <c r="CH1415" s="155"/>
      <c r="CI1415" s="155"/>
      <c r="CJ1415" s="155"/>
      <c r="CK1415" s="155"/>
      <c r="CL1415" s="155"/>
      <c r="CM1415" s="155"/>
      <c r="CN1415" s="155"/>
      <c r="CO1415" s="155"/>
      <c r="CP1415" s="155"/>
      <c r="CQ1415" s="155"/>
      <c r="CR1415" s="155"/>
      <c r="CS1415" s="155"/>
      <c r="CT1415" s="155"/>
      <c r="CU1415" s="155"/>
      <c r="CV1415" s="155"/>
      <c r="CW1415" s="155"/>
      <c r="CX1415" s="155"/>
      <c r="CY1415" s="155"/>
      <c r="CZ1415" s="155"/>
      <c r="DA1415" s="155"/>
      <c r="DB1415" s="155"/>
      <c r="DC1415" s="155"/>
      <c r="DD1415" s="155"/>
      <c r="DE1415" s="155"/>
      <c r="DF1415" s="155"/>
      <c r="DG1415" s="115"/>
    </row>
    <row r="1416" spans="1:111" ht="4.5" customHeight="1">
      <c r="BC1416" s="115"/>
      <c r="BD1416" s="115"/>
      <c r="BE1416" s="115"/>
      <c r="BF1416" s="115"/>
      <c r="BG1416" s="115"/>
      <c r="BH1416" s="155"/>
      <c r="BI1416" s="155"/>
      <c r="BJ1416" s="155"/>
      <c r="BK1416" s="155"/>
      <c r="BL1416" s="155"/>
      <c r="BM1416" s="155"/>
      <c r="BN1416" s="155"/>
      <c r="BO1416" s="155"/>
      <c r="BP1416" s="155"/>
      <c r="BQ1416" s="155"/>
      <c r="BR1416" s="155"/>
      <c r="BS1416" s="155"/>
      <c r="BT1416" s="155"/>
      <c r="BU1416" s="155"/>
      <c r="BV1416" s="155"/>
      <c r="BW1416" s="155"/>
      <c r="BX1416" s="155"/>
      <c r="BY1416" s="155"/>
      <c r="BZ1416" s="155"/>
      <c r="CA1416" s="155"/>
      <c r="CB1416" s="155"/>
      <c r="CC1416" s="155"/>
      <c r="CD1416" s="155"/>
      <c r="CE1416" s="155"/>
      <c r="CF1416" s="155"/>
      <c r="CG1416" s="155"/>
      <c r="CH1416" s="155"/>
      <c r="CI1416" s="155"/>
      <c r="CJ1416" s="155"/>
      <c r="CK1416" s="155"/>
      <c r="CL1416" s="155"/>
      <c r="CM1416" s="155"/>
      <c r="CN1416" s="155"/>
      <c r="CO1416" s="155"/>
      <c r="CP1416" s="155"/>
      <c r="CQ1416" s="155"/>
      <c r="CR1416" s="155"/>
      <c r="CS1416" s="155"/>
      <c r="CT1416" s="155"/>
      <c r="CU1416" s="155"/>
      <c r="CV1416" s="155"/>
      <c r="CW1416" s="155"/>
      <c r="CX1416" s="155"/>
      <c r="CY1416" s="155"/>
      <c r="CZ1416" s="155"/>
      <c r="DA1416" s="155"/>
      <c r="DB1416" s="155"/>
      <c r="DC1416" s="155"/>
      <c r="DD1416" s="155"/>
      <c r="DE1416" s="155"/>
      <c r="DF1416" s="155"/>
      <c r="DG1416" s="115"/>
    </row>
    <row r="1417" spans="1:111" ht="9" customHeight="1">
      <c r="C1417" s="416" t="str">
        <f>IF(C1415="","","Descrição da Despesa:")</f>
        <v/>
      </c>
      <c r="D1417" s="416"/>
      <c r="E1417" s="416"/>
      <c r="F1417" s="416"/>
      <c r="G1417" s="416"/>
      <c r="H1417" s="416"/>
      <c r="I1417" s="60"/>
      <c r="J1417" s="421"/>
      <c r="K1417" s="421"/>
      <c r="L1417" s="421"/>
      <c r="M1417" s="421"/>
      <c r="N1417" s="421"/>
      <c r="O1417" s="421"/>
      <c r="P1417" s="421"/>
      <c r="Q1417" s="421"/>
      <c r="R1417" s="421"/>
      <c r="S1417" s="421"/>
      <c r="T1417" s="421"/>
      <c r="U1417" s="421"/>
      <c r="V1417" s="421"/>
      <c r="W1417" s="421"/>
      <c r="X1417" s="421"/>
      <c r="Y1417" s="421"/>
      <c r="Z1417" s="421"/>
      <c r="AA1417" s="421"/>
      <c r="AB1417" s="421"/>
      <c r="AC1417" s="421"/>
      <c r="AD1417" s="421"/>
      <c r="AE1417" s="421"/>
      <c r="AF1417" s="421"/>
      <c r="AG1417" s="421"/>
      <c r="AH1417" s="421"/>
      <c r="AI1417" s="421"/>
      <c r="AJ1417" s="421"/>
      <c r="AK1417" s="421"/>
      <c r="AL1417" s="421"/>
      <c r="AM1417" s="421"/>
      <c r="AN1417" s="421"/>
      <c r="AO1417" s="421"/>
      <c r="AP1417" s="421"/>
      <c r="AQ1417" s="421"/>
      <c r="AR1417" s="421"/>
      <c r="AS1417" s="421"/>
      <c r="AT1417" s="421"/>
      <c r="AU1417" s="421"/>
      <c r="AV1417" s="421"/>
      <c r="AW1417" s="421"/>
      <c r="AX1417" s="421"/>
      <c r="AY1417" s="421"/>
      <c r="AZ1417" s="421"/>
      <c r="BA1417" s="421"/>
      <c r="BC1417" s="115"/>
      <c r="BD1417" s="115"/>
      <c r="BE1417" s="115"/>
      <c r="BF1417" s="115"/>
      <c r="BG1417" s="115"/>
      <c r="BH1417" s="155"/>
      <c r="BI1417" s="155"/>
      <c r="BJ1417" s="155"/>
      <c r="BK1417" s="155"/>
      <c r="BL1417" s="155"/>
      <c r="BM1417" s="155"/>
      <c r="BN1417" s="155"/>
      <c r="BO1417" s="155"/>
      <c r="BP1417" s="155"/>
      <c r="BQ1417" s="155"/>
      <c r="BR1417" s="155"/>
      <c r="BS1417" s="155"/>
      <c r="BT1417" s="155"/>
      <c r="BU1417" s="155"/>
      <c r="BV1417" s="155"/>
      <c r="BW1417" s="155"/>
      <c r="BX1417" s="155"/>
      <c r="BY1417" s="155"/>
      <c r="BZ1417" s="155"/>
      <c r="CA1417" s="155"/>
      <c r="CB1417" s="155"/>
      <c r="CC1417" s="155"/>
      <c r="CD1417" s="155"/>
      <c r="CE1417" s="155"/>
      <c r="CF1417" s="155"/>
      <c r="CG1417" s="155"/>
      <c r="CH1417" s="155"/>
      <c r="CI1417" s="155"/>
      <c r="CJ1417" s="155"/>
      <c r="CK1417" s="155"/>
      <c r="CL1417" s="155"/>
      <c r="CM1417" s="155"/>
      <c r="CN1417" s="155"/>
      <c r="CO1417" s="155"/>
      <c r="CP1417" s="155"/>
      <c r="CQ1417" s="155"/>
      <c r="CR1417" s="155"/>
      <c r="CS1417" s="155"/>
      <c r="CT1417" s="155"/>
      <c r="CU1417" s="155"/>
      <c r="CV1417" s="155"/>
      <c r="CW1417" s="155"/>
      <c r="CX1417" s="155"/>
      <c r="CY1417" s="155"/>
      <c r="CZ1417" s="155"/>
      <c r="DA1417" s="155"/>
      <c r="DB1417" s="155"/>
      <c r="DC1417" s="155"/>
      <c r="DD1417" s="155"/>
      <c r="DE1417" s="155"/>
      <c r="DF1417" s="155"/>
      <c r="DG1417" s="115"/>
    </row>
    <row r="1418" spans="1:111" ht="9" customHeight="1">
      <c r="C1418" s="416"/>
      <c r="D1418" s="416"/>
      <c r="E1418" s="416"/>
      <c r="F1418" s="416"/>
      <c r="G1418" s="416"/>
      <c r="H1418" s="416"/>
      <c r="I1418" s="60"/>
      <c r="J1418" s="421"/>
      <c r="K1418" s="421"/>
      <c r="L1418" s="421"/>
      <c r="M1418" s="421"/>
      <c r="N1418" s="421"/>
      <c r="O1418" s="421"/>
      <c r="P1418" s="421"/>
      <c r="Q1418" s="421"/>
      <c r="R1418" s="421"/>
      <c r="S1418" s="421"/>
      <c r="T1418" s="421"/>
      <c r="U1418" s="421"/>
      <c r="V1418" s="421"/>
      <c r="W1418" s="421"/>
      <c r="X1418" s="421"/>
      <c r="Y1418" s="421"/>
      <c r="Z1418" s="421"/>
      <c r="AA1418" s="421"/>
      <c r="AB1418" s="421"/>
      <c r="AC1418" s="421"/>
      <c r="AD1418" s="421"/>
      <c r="AE1418" s="421"/>
      <c r="AF1418" s="421"/>
      <c r="AG1418" s="421"/>
      <c r="AH1418" s="421"/>
      <c r="AI1418" s="421"/>
      <c r="AJ1418" s="421"/>
      <c r="AK1418" s="421"/>
      <c r="AL1418" s="421"/>
      <c r="AM1418" s="421"/>
      <c r="AN1418" s="421"/>
      <c r="AO1418" s="421"/>
      <c r="AP1418" s="421"/>
      <c r="AQ1418" s="421"/>
      <c r="AR1418" s="421"/>
      <c r="AS1418" s="421"/>
      <c r="AT1418" s="421"/>
      <c r="AU1418" s="421"/>
      <c r="AV1418" s="421"/>
      <c r="AW1418" s="421"/>
      <c r="AX1418" s="421"/>
      <c r="AY1418" s="421"/>
      <c r="AZ1418" s="421"/>
      <c r="BA1418" s="421"/>
      <c r="BC1418" s="115"/>
      <c r="BD1418" s="115"/>
      <c r="BE1418" s="115"/>
      <c r="BF1418" s="115"/>
      <c r="BG1418" s="115"/>
      <c r="BH1418" s="155"/>
      <c r="BI1418" s="155"/>
      <c r="BJ1418" s="155"/>
      <c r="BK1418" s="155"/>
      <c r="BL1418" s="155"/>
      <c r="BM1418" s="155"/>
      <c r="BN1418" s="155"/>
      <c r="BO1418" s="155"/>
      <c r="BP1418" s="155"/>
      <c r="BQ1418" s="155"/>
      <c r="BR1418" s="155"/>
      <c r="BS1418" s="155"/>
      <c r="BT1418" s="155"/>
      <c r="BU1418" s="155"/>
      <c r="BV1418" s="155"/>
      <c r="BW1418" s="155"/>
      <c r="BX1418" s="155"/>
      <c r="BY1418" s="155"/>
      <c r="BZ1418" s="155"/>
      <c r="CA1418" s="155"/>
      <c r="CB1418" s="155"/>
      <c r="CC1418" s="155"/>
      <c r="CD1418" s="155"/>
      <c r="CE1418" s="155"/>
      <c r="CF1418" s="155"/>
      <c r="CG1418" s="155"/>
      <c r="CH1418" s="155"/>
      <c r="CI1418" s="155"/>
      <c r="CJ1418" s="155"/>
      <c r="CK1418" s="155"/>
      <c r="CL1418" s="155"/>
      <c r="CM1418" s="155"/>
      <c r="CN1418" s="155"/>
      <c r="CO1418" s="155"/>
      <c r="CP1418" s="155"/>
      <c r="CQ1418" s="155"/>
      <c r="CR1418" s="155"/>
      <c r="CS1418" s="155"/>
      <c r="CT1418" s="155"/>
      <c r="CU1418" s="155"/>
      <c r="CV1418" s="155"/>
      <c r="CW1418" s="155"/>
      <c r="CX1418" s="155"/>
      <c r="CY1418" s="155"/>
      <c r="CZ1418" s="155"/>
      <c r="DA1418" s="155"/>
      <c r="DB1418" s="155"/>
      <c r="DC1418" s="155"/>
      <c r="DD1418" s="155"/>
      <c r="DE1418" s="155"/>
      <c r="DF1418" s="155"/>
      <c r="DG1418" s="115"/>
    </row>
    <row r="1419" spans="1:111" ht="9" customHeight="1">
      <c r="C1419" s="416"/>
      <c r="D1419" s="416"/>
      <c r="E1419" s="416"/>
      <c r="F1419" s="416"/>
      <c r="G1419" s="416"/>
      <c r="H1419" s="416"/>
      <c r="I1419" s="60"/>
      <c r="J1419" s="421"/>
      <c r="K1419" s="421"/>
      <c r="L1419" s="421"/>
      <c r="M1419" s="421"/>
      <c r="N1419" s="421"/>
      <c r="O1419" s="421"/>
      <c r="P1419" s="421"/>
      <c r="Q1419" s="421"/>
      <c r="R1419" s="421"/>
      <c r="S1419" s="421"/>
      <c r="T1419" s="421"/>
      <c r="U1419" s="421"/>
      <c r="V1419" s="421"/>
      <c r="W1419" s="421"/>
      <c r="X1419" s="421"/>
      <c r="Y1419" s="421"/>
      <c r="Z1419" s="421"/>
      <c r="AA1419" s="421"/>
      <c r="AB1419" s="421"/>
      <c r="AC1419" s="421"/>
      <c r="AD1419" s="421"/>
      <c r="AE1419" s="421"/>
      <c r="AF1419" s="421"/>
      <c r="AG1419" s="421"/>
      <c r="AH1419" s="421"/>
      <c r="AI1419" s="421"/>
      <c r="AJ1419" s="421"/>
      <c r="AK1419" s="421"/>
      <c r="AL1419" s="421"/>
      <c r="AM1419" s="421"/>
      <c r="AN1419" s="421"/>
      <c r="AO1419" s="421"/>
      <c r="AP1419" s="421"/>
      <c r="AQ1419" s="421"/>
      <c r="AR1419" s="421"/>
      <c r="AS1419" s="421"/>
      <c r="AT1419" s="421"/>
      <c r="AU1419" s="421"/>
      <c r="AV1419" s="421"/>
      <c r="AW1419" s="421"/>
      <c r="AX1419" s="421"/>
      <c r="AY1419" s="421"/>
      <c r="AZ1419" s="421"/>
      <c r="BA1419" s="421"/>
      <c r="BC1419" s="115"/>
      <c r="BD1419" s="115"/>
      <c r="BE1419" s="115"/>
      <c r="BF1419" s="115"/>
      <c r="BG1419" s="115"/>
      <c r="BH1419" s="155"/>
      <c r="BI1419" s="155"/>
      <c r="BJ1419" s="155"/>
      <c r="BK1419" s="155"/>
      <c r="BL1419" s="155"/>
      <c r="BM1419" s="155"/>
      <c r="BN1419" s="155"/>
      <c r="BO1419" s="155"/>
      <c r="BP1419" s="155"/>
      <c r="BQ1419" s="155"/>
      <c r="BR1419" s="155"/>
      <c r="BS1419" s="155"/>
      <c r="BT1419" s="155"/>
      <c r="BU1419" s="155"/>
      <c r="BV1419" s="155"/>
      <c r="BW1419" s="155"/>
      <c r="BX1419" s="155"/>
      <c r="BY1419" s="155"/>
      <c r="BZ1419" s="155"/>
      <c r="CA1419" s="155"/>
      <c r="CB1419" s="155"/>
      <c r="CC1419" s="155"/>
      <c r="CD1419" s="155"/>
      <c r="CE1419" s="155"/>
      <c r="CF1419" s="155"/>
      <c r="CG1419" s="155"/>
      <c r="CH1419" s="155"/>
      <c r="CI1419" s="155"/>
      <c r="CJ1419" s="155"/>
      <c r="CK1419" s="155"/>
      <c r="CL1419" s="155"/>
      <c r="CM1419" s="155"/>
      <c r="CN1419" s="155"/>
      <c r="CO1419" s="155"/>
      <c r="CP1419" s="155"/>
      <c r="CQ1419" s="155"/>
      <c r="CR1419" s="155"/>
      <c r="CS1419" s="155"/>
      <c r="CT1419" s="155"/>
      <c r="CU1419" s="155"/>
      <c r="CV1419" s="155"/>
      <c r="CW1419" s="155"/>
      <c r="CX1419" s="155"/>
      <c r="CY1419" s="155"/>
      <c r="CZ1419" s="155"/>
      <c r="DA1419" s="155"/>
      <c r="DB1419" s="155"/>
      <c r="DC1419" s="155"/>
      <c r="DD1419" s="155"/>
      <c r="DE1419" s="155"/>
      <c r="DF1419" s="155"/>
      <c r="DG1419" s="115"/>
    </row>
    <row r="1420" spans="1:111" ht="4.5" customHeight="1">
      <c r="BC1420" s="115"/>
      <c r="BD1420" s="115"/>
      <c r="BE1420" s="115"/>
      <c r="BF1420" s="115"/>
      <c r="BG1420" s="115"/>
      <c r="BH1420" s="155"/>
      <c r="BI1420" s="155"/>
      <c r="BJ1420" s="155"/>
      <c r="BK1420" s="155"/>
      <c r="BL1420" s="155"/>
      <c r="BM1420" s="155"/>
      <c r="BN1420" s="155"/>
      <c r="BO1420" s="155"/>
      <c r="BP1420" s="155"/>
      <c r="BQ1420" s="155"/>
      <c r="BR1420" s="155"/>
      <c r="BS1420" s="155"/>
      <c r="BT1420" s="155"/>
      <c r="BU1420" s="155"/>
      <c r="BV1420" s="155"/>
      <c r="BW1420" s="155"/>
      <c r="BX1420" s="155"/>
      <c r="BY1420" s="155"/>
      <c r="BZ1420" s="155"/>
      <c r="CA1420" s="155"/>
      <c r="CB1420" s="155"/>
      <c r="CC1420" s="155"/>
      <c r="CD1420" s="155"/>
      <c r="CE1420" s="155"/>
      <c r="CF1420" s="155"/>
      <c r="CG1420" s="155"/>
      <c r="CH1420" s="155"/>
      <c r="CI1420" s="155"/>
      <c r="CJ1420" s="155"/>
      <c r="CK1420" s="155"/>
      <c r="CL1420" s="155"/>
      <c r="CM1420" s="155"/>
      <c r="CN1420" s="155"/>
      <c r="CO1420" s="155"/>
      <c r="CP1420" s="155"/>
      <c r="CQ1420" s="155"/>
      <c r="CR1420" s="155"/>
      <c r="CS1420" s="155"/>
      <c r="CT1420" s="155"/>
      <c r="CU1420" s="155"/>
      <c r="CV1420" s="155"/>
      <c r="CW1420" s="155"/>
      <c r="CX1420" s="155"/>
      <c r="CY1420" s="155"/>
      <c r="CZ1420" s="155"/>
      <c r="DA1420" s="155"/>
      <c r="DB1420" s="155"/>
      <c r="DC1420" s="155"/>
      <c r="DD1420" s="155"/>
      <c r="DE1420" s="155"/>
      <c r="DF1420" s="155"/>
      <c r="DG1420" s="115"/>
    </row>
    <row r="1421" spans="1:111" ht="9" customHeight="1">
      <c r="C1421" s="416" t="str">
        <f>IF(C1415="","","Elemento de Despesa:")</f>
        <v/>
      </c>
      <c r="D1421" s="416"/>
      <c r="E1421" s="416"/>
      <c r="F1421" s="416"/>
      <c r="G1421" s="416"/>
      <c r="H1421" s="416"/>
      <c r="J1421" s="421"/>
      <c r="K1421" s="421"/>
      <c r="L1421" s="421"/>
      <c r="M1421" s="421"/>
      <c r="N1421" s="421"/>
      <c r="O1421" s="421"/>
      <c r="P1421" s="421"/>
      <c r="Q1421" s="421"/>
      <c r="R1421" s="421"/>
      <c r="S1421" s="421"/>
      <c r="T1421" s="421"/>
      <c r="U1421" s="421"/>
      <c r="V1421" s="421"/>
      <c r="W1421" s="421"/>
      <c r="X1421" s="421"/>
      <c r="Y1421" s="421"/>
      <c r="Z1421" s="421"/>
      <c r="AA1421" s="421"/>
      <c r="AB1421" s="421"/>
      <c r="AC1421" s="421"/>
      <c r="AD1421" s="421"/>
      <c r="AE1421" s="421"/>
      <c r="AF1421" s="421"/>
      <c r="AG1421" s="421"/>
      <c r="AH1421" s="421"/>
      <c r="AI1421" s="421"/>
      <c r="AJ1421" s="421"/>
      <c r="AK1421" s="421"/>
      <c r="AL1421" s="421"/>
      <c r="AM1421" s="421"/>
      <c r="AN1421" s="421"/>
      <c r="AO1421" s="421"/>
      <c r="AP1421" s="421"/>
      <c r="AQ1421" s="421"/>
      <c r="AR1421" s="421"/>
      <c r="AS1421" s="421"/>
      <c r="AT1421" s="421"/>
      <c r="AU1421" s="421"/>
      <c r="AV1421" s="421"/>
      <c r="AW1421" s="421"/>
      <c r="AX1421" s="421"/>
      <c r="AY1421" s="421"/>
      <c r="AZ1421" s="421"/>
      <c r="BA1421" s="421"/>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c r="BY1421" s="115"/>
      <c r="BZ1421" s="115"/>
      <c r="CA1421" s="115"/>
      <c r="CB1421" s="115"/>
      <c r="CC1421" s="115"/>
      <c r="CD1421" s="115"/>
      <c r="CE1421" s="115"/>
      <c r="CF1421" s="115"/>
      <c r="CG1421" s="115"/>
      <c r="CH1421" s="115"/>
      <c r="CI1421" s="115"/>
      <c r="CJ1421" s="115"/>
      <c r="CK1421" s="115"/>
      <c r="CL1421" s="115"/>
      <c r="CM1421" s="115"/>
      <c r="CN1421" s="115"/>
      <c r="CO1421" s="115"/>
      <c r="CP1421" s="115"/>
      <c r="CQ1421" s="115"/>
      <c r="CR1421" s="115"/>
      <c r="CS1421" s="115"/>
      <c r="CT1421" s="115"/>
      <c r="CU1421" s="115"/>
      <c r="CV1421" s="115"/>
      <c r="CW1421" s="115"/>
      <c r="CX1421" s="115"/>
      <c r="CY1421" s="115"/>
      <c r="CZ1421" s="115"/>
      <c r="DA1421" s="115"/>
      <c r="DB1421" s="115"/>
      <c r="DC1421" s="115"/>
      <c r="DD1421" s="115"/>
      <c r="DE1421" s="115"/>
      <c r="DF1421" s="115"/>
      <c r="DG1421" s="115"/>
    </row>
    <row r="1422" spans="1:111" ht="9" customHeight="1">
      <c r="C1422" s="416"/>
      <c r="D1422" s="416"/>
      <c r="E1422" s="416"/>
      <c r="F1422" s="416"/>
      <c r="G1422" s="416"/>
      <c r="H1422" s="416"/>
      <c r="J1422" s="421"/>
      <c r="K1422" s="421"/>
      <c r="L1422" s="421"/>
      <c r="M1422" s="421"/>
      <c r="N1422" s="421"/>
      <c r="O1422" s="421"/>
      <c r="P1422" s="421"/>
      <c r="Q1422" s="421"/>
      <c r="R1422" s="421"/>
      <c r="S1422" s="421"/>
      <c r="T1422" s="421"/>
      <c r="U1422" s="421"/>
      <c r="V1422" s="421"/>
      <c r="W1422" s="421"/>
      <c r="X1422" s="421"/>
      <c r="Y1422" s="421"/>
      <c r="Z1422" s="421"/>
      <c r="AA1422" s="421"/>
      <c r="AB1422" s="421"/>
      <c r="AC1422" s="421"/>
      <c r="AD1422" s="421"/>
      <c r="AE1422" s="421"/>
      <c r="AF1422" s="421"/>
      <c r="AG1422" s="421"/>
      <c r="AH1422" s="421"/>
      <c r="AI1422" s="421"/>
      <c r="AJ1422" s="421"/>
      <c r="AK1422" s="421"/>
      <c r="AL1422" s="421"/>
      <c r="AM1422" s="421"/>
      <c r="AN1422" s="421"/>
      <c r="AO1422" s="421"/>
      <c r="AP1422" s="421"/>
      <c r="AQ1422" s="421"/>
      <c r="AR1422" s="421"/>
      <c r="AS1422" s="421"/>
      <c r="AT1422" s="421"/>
      <c r="AU1422" s="421"/>
      <c r="AV1422" s="421"/>
      <c r="AW1422" s="421"/>
      <c r="AX1422" s="421"/>
      <c r="AY1422" s="421"/>
      <c r="AZ1422" s="421"/>
      <c r="BA1422" s="421"/>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c r="BY1422" s="115"/>
      <c r="BZ1422" s="115"/>
      <c r="CA1422" s="115"/>
      <c r="CB1422" s="115"/>
      <c r="CC1422" s="115"/>
      <c r="CD1422" s="115"/>
      <c r="CE1422" s="115"/>
      <c r="CF1422" s="115"/>
      <c r="CG1422" s="115"/>
      <c r="CH1422" s="115"/>
      <c r="CI1422" s="115"/>
      <c r="CJ1422" s="115"/>
      <c r="CK1422" s="115"/>
      <c r="CL1422" s="115"/>
      <c r="CM1422" s="115"/>
      <c r="CN1422" s="115"/>
      <c r="CO1422" s="115"/>
      <c r="CP1422" s="115"/>
      <c r="CQ1422" s="115"/>
      <c r="CR1422" s="115"/>
      <c r="CS1422" s="115"/>
      <c r="CT1422" s="115"/>
      <c r="CU1422" s="115"/>
      <c r="CV1422" s="115"/>
      <c r="CW1422" s="115"/>
      <c r="CX1422" s="115"/>
      <c r="CY1422" s="115"/>
      <c r="CZ1422" s="115"/>
      <c r="DA1422" s="115"/>
      <c r="DB1422" s="115"/>
      <c r="DC1422" s="115"/>
      <c r="DD1422" s="115"/>
      <c r="DE1422" s="115"/>
      <c r="DF1422" s="115"/>
      <c r="DG1422" s="115"/>
    </row>
    <row r="1423" spans="1:111" ht="9" customHeight="1">
      <c r="C1423" s="416"/>
      <c r="D1423" s="416"/>
      <c r="E1423" s="416"/>
      <c r="F1423" s="416"/>
      <c r="G1423" s="416"/>
      <c r="H1423" s="416"/>
      <c r="J1423" s="421"/>
      <c r="K1423" s="421"/>
      <c r="L1423" s="421"/>
      <c r="M1423" s="421"/>
      <c r="N1423" s="421"/>
      <c r="O1423" s="421"/>
      <c r="P1423" s="421"/>
      <c r="Q1423" s="421"/>
      <c r="R1423" s="421"/>
      <c r="S1423" s="421"/>
      <c r="T1423" s="421"/>
      <c r="U1423" s="421"/>
      <c r="V1423" s="421"/>
      <c r="W1423" s="421"/>
      <c r="X1423" s="421"/>
      <c r="Y1423" s="421"/>
      <c r="Z1423" s="421"/>
      <c r="AA1423" s="421"/>
      <c r="AB1423" s="421"/>
      <c r="AC1423" s="421"/>
      <c r="AD1423" s="421"/>
      <c r="AE1423" s="421"/>
      <c r="AF1423" s="421"/>
      <c r="AG1423" s="421"/>
      <c r="AH1423" s="421"/>
      <c r="AI1423" s="421"/>
      <c r="AJ1423" s="421"/>
      <c r="AK1423" s="421"/>
      <c r="AL1423" s="421"/>
      <c r="AM1423" s="421"/>
      <c r="AN1423" s="421"/>
      <c r="AO1423" s="421"/>
      <c r="AP1423" s="421"/>
      <c r="AQ1423" s="421"/>
      <c r="AR1423" s="421"/>
      <c r="AS1423" s="421"/>
      <c r="AT1423" s="421"/>
      <c r="AU1423" s="421"/>
      <c r="AV1423" s="421"/>
      <c r="AW1423" s="421"/>
      <c r="AX1423" s="421"/>
      <c r="AY1423" s="421"/>
      <c r="AZ1423" s="421"/>
      <c r="BA1423" s="421"/>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c r="BY1423" s="115"/>
      <c r="BZ1423" s="115"/>
      <c r="CA1423" s="115"/>
      <c r="CB1423" s="115"/>
      <c r="CC1423" s="115"/>
      <c r="CD1423" s="115"/>
      <c r="CE1423" s="115"/>
      <c r="CF1423" s="115"/>
      <c r="CG1423" s="115"/>
      <c r="CH1423" s="115"/>
      <c r="CI1423" s="115"/>
      <c r="CJ1423" s="115"/>
      <c r="CK1423" s="115"/>
      <c r="CL1423" s="115"/>
      <c r="CM1423" s="115"/>
      <c r="CN1423" s="115"/>
      <c r="CO1423" s="115"/>
      <c r="CP1423" s="115"/>
      <c r="CQ1423" s="115"/>
      <c r="CR1423" s="115"/>
      <c r="CS1423" s="115"/>
      <c r="CT1423" s="115"/>
      <c r="CU1423" s="115"/>
      <c r="CV1423" s="115"/>
      <c r="CW1423" s="115"/>
      <c r="CX1423" s="115"/>
      <c r="CY1423" s="115"/>
      <c r="CZ1423" s="115"/>
      <c r="DA1423" s="115"/>
      <c r="DB1423" s="115"/>
      <c r="DC1423" s="115"/>
      <c r="DD1423" s="115"/>
      <c r="DE1423" s="115"/>
      <c r="DF1423" s="115"/>
      <c r="DG1423" s="115"/>
    </row>
    <row r="1424" spans="1:111" ht="4.5" customHeight="1">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c r="BY1424" s="115"/>
      <c r="BZ1424" s="115"/>
      <c r="CA1424" s="115"/>
      <c r="CB1424" s="115"/>
      <c r="CC1424" s="115"/>
      <c r="CD1424" s="115"/>
      <c r="CE1424" s="115"/>
      <c r="CF1424" s="115"/>
      <c r="CG1424" s="115"/>
      <c r="CH1424" s="115"/>
      <c r="CI1424" s="115"/>
      <c r="CJ1424" s="115"/>
      <c r="CK1424" s="115"/>
      <c r="CL1424" s="115"/>
      <c r="CM1424" s="115"/>
      <c r="CN1424" s="115"/>
      <c r="CO1424" s="115"/>
      <c r="CP1424" s="115"/>
      <c r="CQ1424" s="115"/>
      <c r="CR1424" s="115"/>
      <c r="CS1424" s="115"/>
      <c r="CT1424" s="115"/>
      <c r="CU1424" s="115"/>
      <c r="CV1424" s="115"/>
      <c r="CW1424" s="115"/>
      <c r="CX1424" s="115"/>
      <c r="CY1424" s="115"/>
      <c r="CZ1424" s="115"/>
      <c r="DA1424" s="115"/>
      <c r="DB1424" s="115"/>
      <c r="DC1424" s="115"/>
      <c r="DD1424" s="115"/>
      <c r="DE1424" s="115"/>
      <c r="DF1424" s="115"/>
      <c r="DG1424" s="115"/>
    </row>
    <row r="1425" spans="1:111" ht="9" customHeight="1">
      <c r="A1425" s="61" t="str">
        <f>CONCATENATE(Q1425,AC1425)</f>
        <v/>
      </c>
      <c r="J1425" s="416" t="str">
        <f>IF(C1415="","","Meta Vinculada:")</f>
        <v/>
      </c>
      <c r="K1425" s="416"/>
      <c r="L1425" s="416"/>
      <c r="M1425" s="416"/>
      <c r="N1425" s="416"/>
      <c r="O1425" s="416"/>
      <c r="Q1425" s="417"/>
      <c r="R1425" s="417"/>
      <c r="S1425" s="417"/>
      <c r="T1425" s="417"/>
      <c r="U1425" s="56"/>
      <c r="V1425" s="416" t="str">
        <f>IF(C1415="","","Etapa Vinculada:")</f>
        <v/>
      </c>
      <c r="W1425" s="416"/>
      <c r="X1425" s="416"/>
      <c r="Y1425" s="416"/>
      <c r="Z1425" s="416"/>
      <c r="AA1425" s="416"/>
      <c r="AC1425" s="417"/>
      <c r="AD1425" s="417"/>
      <c r="AE1425" s="417"/>
      <c r="AF1425" s="417"/>
      <c r="AG1425" s="56"/>
      <c r="AH1425" s="56"/>
      <c r="AI1425" s="56"/>
      <c r="AJ1425" s="56"/>
      <c r="AK1425" s="141"/>
      <c r="AL1425" s="141"/>
      <c r="AM1425" s="141"/>
      <c r="AN1425" s="141"/>
      <c r="AO1425" s="140"/>
      <c r="AP1425" s="140"/>
      <c r="AQ1425" s="140"/>
      <c r="AR1425" s="140"/>
      <c r="AS1425" s="142"/>
      <c r="AT1425" s="142"/>
      <c r="AU1425" s="142"/>
      <c r="AV1425" s="142"/>
      <c r="AW1425" s="140"/>
      <c r="AX1425" s="140"/>
      <c r="AY1425" s="140"/>
      <c r="AZ1425" s="140"/>
      <c r="BA1425" s="140"/>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c r="BY1425" s="115"/>
      <c r="BZ1425" s="115"/>
      <c r="CA1425" s="115"/>
      <c r="CB1425" s="115"/>
      <c r="CC1425" s="115"/>
      <c r="CD1425" s="115"/>
      <c r="CE1425" s="115"/>
      <c r="CF1425" s="115"/>
      <c r="CG1425" s="115"/>
      <c r="CH1425" s="115"/>
      <c r="CI1425" s="115"/>
      <c r="CJ1425" s="115"/>
      <c r="CK1425" s="115"/>
      <c r="CL1425" s="115"/>
      <c r="CM1425" s="115"/>
      <c r="CN1425" s="115"/>
      <c r="CO1425" s="115"/>
      <c r="CP1425" s="115"/>
      <c r="CQ1425" s="115"/>
      <c r="CR1425" s="115"/>
      <c r="CS1425" s="115"/>
      <c r="CT1425" s="115"/>
      <c r="CU1425" s="115"/>
      <c r="CV1425" s="115"/>
      <c r="CW1425" s="115"/>
      <c r="CX1425" s="115"/>
      <c r="CY1425" s="115"/>
      <c r="CZ1425" s="115"/>
      <c r="DA1425" s="115"/>
      <c r="DB1425" s="115"/>
      <c r="DC1425" s="115"/>
      <c r="DD1425" s="115"/>
      <c r="DE1425" s="115"/>
      <c r="DF1425" s="115"/>
      <c r="DG1425" s="115"/>
    </row>
    <row r="1426" spans="1:111" ht="9" customHeight="1">
      <c r="B1426" s="55"/>
      <c r="C1426" s="55"/>
      <c r="D1426" s="56"/>
      <c r="E1426" s="56"/>
      <c r="F1426" s="56"/>
      <c r="G1426" s="56"/>
      <c r="H1426" s="56"/>
      <c r="I1426" s="56"/>
      <c r="J1426" s="416"/>
      <c r="K1426" s="416"/>
      <c r="L1426" s="416"/>
      <c r="M1426" s="416"/>
      <c r="N1426" s="416"/>
      <c r="O1426" s="416"/>
      <c r="Q1426" s="417"/>
      <c r="R1426" s="417"/>
      <c r="S1426" s="417"/>
      <c r="T1426" s="417"/>
      <c r="U1426" s="56"/>
      <c r="V1426" s="416"/>
      <c r="W1426" s="416"/>
      <c r="X1426" s="416"/>
      <c r="Y1426" s="416"/>
      <c r="Z1426" s="416"/>
      <c r="AA1426" s="416"/>
      <c r="AC1426" s="417"/>
      <c r="AD1426" s="417"/>
      <c r="AE1426" s="417"/>
      <c r="AF1426" s="417"/>
      <c r="AG1426" s="56"/>
      <c r="AH1426" s="56"/>
      <c r="AI1426" s="56"/>
      <c r="AJ1426" s="56"/>
      <c r="AK1426" s="141"/>
      <c r="AL1426" s="141"/>
      <c r="AM1426" s="141"/>
      <c r="AN1426" s="141"/>
      <c r="AO1426" s="140"/>
      <c r="AP1426" s="140"/>
      <c r="AQ1426" s="140"/>
      <c r="AR1426" s="140"/>
      <c r="AS1426" s="142"/>
      <c r="AT1426" s="142"/>
      <c r="AU1426" s="142"/>
      <c r="AV1426" s="142"/>
      <c r="AW1426" s="140"/>
      <c r="AX1426" s="140"/>
      <c r="AY1426" s="140"/>
      <c r="AZ1426" s="140"/>
      <c r="BA1426" s="140"/>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c r="BY1426" s="115"/>
      <c r="BZ1426" s="115"/>
      <c r="CA1426" s="115"/>
      <c r="CB1426" s="115"/>
      <c r="CC1426" s="115"/>
      <c r="CD1426" s="115"/>
      <c r="CE1426" s="115"/>
      <c r="CF1426" s="115"/>
      <c r="CG1426" s="115"/>
      <c r="CH1426" s="115"/>
      <c r="CI1426" s="115"/>
      <c r="CJ1426" s="115"/>
      <c r="CK1426" s="115"/>
      <c r="CL1426" s="115"/>
      <c r="CM1426" s="115"/>
      <c r="CN1426" s="115"/>
      <c r="CO1426" s="115"/>
      <c r="CP1426" s="115"/>
      <c r="CQ1426" s="115"/>
      <c r="CR1426" s="115"/>
      <c r="CS1426" s="115"/>
      <c r="CT1426" s="115"/>
      <c r="CU1426" s="115"/>
      <c r="CV1426" s="115"/>
      <c r="CW1426" s="115"/>
      <c r="CX1426" s="115"/>
      <c r="CY1426" s="115"/>
      <c r="CZ1426" s="115"/>
      <c r="DA1426" s="115"/>
      <c r="DB1426" s="115"/>
      <c r="DC1426" s="115"/>
      <c r="DD1426" s="115"/>
      <c r="DE1426" s="115"/>
      <c r="DF1426" s="115"/>
      <c r="DG1426" s="115"/>
    </row>
    <row r="1427" spans="1:111" ht="9" customHeight="1">
      <c r="Q1427" s="417"/>
      <c r="R1427" s="417"/>
      <c r="S1427" s="417"/>
      <c r="T1427" s="417"/>
      <c r="AC1427" s="417"/>
      <c r="AD1427" s="417"/>
      <c r="AE1427" s="417"/>
      <c r="AF1427" s="417"/>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c r="BY1427" s="115"/>
      <c r="BZ1427" s="115"/>
      <c r="CA1427" s="115"/>
      <c r="CB1427" s="115"/>
      <c r="CC1427" s="115"/>
      <c r="CD1427" s="115"/>
      <c r="CE1427" s="115"/>
      <c r="CF1427" s="115"/>
      <c r="CG1427" s="115"/>
      <c r="CH1427" s="115"/>
      <c r="CI1427" s="115"/>
      <c r="CJ1427" s="115"/>
      <c r="CK1427" s="115"/>
      <c r="CL1427" s="115"/>
      <c r="CM1427" s="115"/>
      <c r="CN1427" s="115"/>
      <c r="CO1427" s="115"/>
      <c r="CP1427" s="115"/>
      <c r="CQ1427" s="115"/>
      <c r="CR1427" s="115"/>
      <c r="CS1427" s="115"/>
      <c r="CT1427" s="115"/>
      <c r="CU1427" s="115"/>
      <c r="CV1427" s="115"/>
      <c r="CW1427" s="115"/>
      <c r="CX1427" s="115"/>
      <c r="CY1427" s="115"/>
      <c r="CZ1427" s="115"/>
      <c r="DA1427" s="115"/>
      <c r="DB1427" s="115"/>
      <c r="DC1427" s="115"/>
      <c r="DD1427" s="115"/>
      <c r="DE1427" s="115"/>
      <c r="DF1427" s="115"/>
      <c r="DG1427" s="115"/>
    </row>
    <row r="1428" spans="1:111" ht="4.5" customHeight="1">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c r="BY1428" s="115"/>
      <c r="BZ1428" s="115"/>
      <c r="CA1428" s="115"/>
      <c r="CB1428" s="115"/>
      <c r="CC1428" s="115"/>
      <c r="CD1428" s="115"/>
      <c r="CE1428" s="115"/>
      <c r="CF1428" s="115"/>
      <c r="CG1428" s="115"/>
      <c r="CH1428" s="115"/>
      <c r="CI1428" s="115"/>
      <c r="CJ1428" s="115"/>
      <c r="CK1428" s="115"/>
      <c r="CL1428" s="115"/>
      <c r="CM1428" s="115"/>
      <c r="CN1428" s="115"/>
      <c r="CO1428" s="115"/>
      <c r="CP1428" s="115"/>
      <c r="CQ1428" s="115"/>
      <c r="CR1428" s="115"/>
      <c r="CS1428" s="115"/>
      <c r="CT1428" s="115"/>
      <c r="CU1428" s="115"/>
      <c r="CV1428" s="115"/>
      <c r="CW1428" s="115"/>
      <c r="CX1428" s="115"/>
      <c r="CY1428" s="115"/>
      <c r="CZ1428" s="115"/>
      <c r="DA1428" s="115"/>
      <c r="DB1428" s="115"/>
      <c r="DC1428" s="115"/>
      <c r="DD1428" s="115"/>
      <c r="DE1428" s="115"/>
      <c r="DF1428" s="115"/>
      <c r="DG1428" s="115"/>
    </row>
    <row r="1429" spans="1:111" ht="9" customHeight="1">
      <c r="A1429" s="154"/>
      <c r="B1429" s="154"/>
      <c r="C1429" s="154"/>
      <c r="D1429" s="154"/>
      <c r="E1429" s="154"/>
      <c r="F1429" s="154"/>
      <c r="G1429" s="154"/>
      <c r="H1429" s="154"/>
      <c r="I1429" s="154"/>
      <c r="J1429" s="416" t="str">
        <f>IF(C1415="","","Quantidade:")</f>
        <v/>
      </c>
      <c r="K1429" s="416"/>
      <c r="L1429" s="416"/>
      <c r="M1429" s="416"/>
      <c r="N1429" s="416"/>
      <c r="O1429" s="416"/>
      <c r="P1429" s="154"/>
      <c r="Q1429" s="417"/>
      <c r="R1429" s="417"/>
      <c r="S1429" s="417"/>
      <c r="T1429" s="417"/>
      <c r="U1429" s="154"/>
      <c r="V1429" s="416" t="str">
        <f>IF(C1415="","","Unidade:")</f>
        <v/>
      </c>
      <c r="W1429" s="416"/>
      <c r="X1429" s="416"/>
      <c r="Y1429" s="416"/>
      <c r="Z1429" s="416"/>
      <c r="AA1429" s="416"/>
      <c r="AB1429" s="154"/>
      <c r="AC1429" s="418"/>
      <c r="AD1429" s="418"/>
      <c r="AE1429" s="418"/>
      <c r="AF1429" s="418"/>
      <c r="AG1429" s="418"/>
      <c r="AH1429" s="418"/>
      <c r="AI1429" s="418"/>
      <c r="AJ1429" s="418"/>
      <c r="AK1429" s="418"/>
      <c r="AL1429" s="418"/>
      <c r="AM1429" s="418"/>
      <c r="AN1429" s="418"/>
      <c r="AO1429" s="418"/>
      <c r="AP1429" s="418"/>
      <c r="AQ1429" s="418"/>
      <c r="AR1429" s="418"/>
      <c r="AS1429" s="418"/>
      <c r="AT1429" s="418"/>
      <c r="AU1429" s="418"/>
      <c r="AV1429" s="418"/>
      <c r="AW1429" s="418"/>
      <c r="AX1429" s="418"/>
      <c r="AY1429" s="418"/>
      <c r="AZ1429" s="418"/>
      <c r="BA1429" s="418"/>
      <c r="BB1429" s="154"/>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c r="BY1429" s="115"/>
      <c r="BZ1429" s="115"/>
      <c r="CA1429" s="115"/>
      <c r="CB1429" s="115"/>
      <c r="CC1429" s="115"/>
      <c r="CD1429" s="115"/>
      <c r="CE1429" s="115"/>
      <c r="CF1429" s="115"/>
      <c r="CG1429" s="115"/>
      <c r="CH1429" s="115"/>
      <c r="CI1429" s="115"/>
      <c r="CJ1429" s="115"/>
      <c r="CK1429" s="115"/>
      <c r="CL1429" s="115"/>
      <c r="CM1429" s="115"/>
      <c r="CN1429" s="115"/>
      <c r="CO1429" s="115"/>
      <c r="CP1429" s="115"/>
      <c r="CQ1429" s="115"/>
      <c r="CR1429" s="115"/>
      <c r="CS1429" s="115"/>
      <c r="CT1429" s="115"/>
      <c r="CU1429" s="115"/>
      <c r="CV1429" s="115"/>
      <c r="CW1429" s="115"/>
      <c r="CX1429" s="115"/>
      <c r="CY1429" s="115"/>
      <c r="CZ1429" s="115"/>
      <c r="DA1429" s="115"/>
      <c r="DB1429" s="115"/>
      <c r="DC1429" s="115"/>
      <c r="DD1429" s="115"/>
      <c r="DE1429" s="115"/>
      <c r="DF1429" s="115"/>
      <c r="DG1429" s="115"/>
    </row>
    <row r="1430" spans="1:111" ht="9" customHeight="1">
      <c r="A1430" s="154"/>
      <c r="B1430" s="154"/>
      <c r="C1430" s="154"/>
      <c r="D1430" s="154"/>
      <c r="E1430" s="154"/>
      <c r="F1430" s="154"/>
      <c r="G1430" s="154"/>
      <c r="H1430" s="154"/>
      <c r="I1430" s="154"/>
      <c r="J1430" s="416"/>
      <c r="K1430" s="416"/>
      <c r="L1430" s="416"/>
      <c r="M1430" s="416"/>
      <c r="N1430" s="416"/>
      <c r="O1430" s="416"/>
      <c r="P1430" s="154"/>
      <c r="Q1430" s="417"/>
      <c r="R1430" s="417"/>
      <c r="S1430" s="417"/>
      <c r="T1430" s="417"/>
      <c r="U1430" s="154"/>
      <c r="V1430" s="416"/>
      <c r="W1430" s="416"/>
      <c r="X1430" s="416"/>
      <c r="Y1430" s="416"/>
      <c r="Z1430" s="416"/>
      <c r="AA1430" s="416"/>
      <c r="AB1430" s="154"/>
      <c r="AC1430" s="418"/>
      <c r="AD1430" s="418"/>
      <c r="AE1430" s="418"/>
      <c r="AF1430" s="418"/>
      <c r="AG1430" s="418"/>
      <c r="AH1430" s="418"/>
      <c r="AI1430" s="418"/>
      <c r="AJ1430" s="418"/>
      <c r="AK1430" s="418"/>
      <c r="AL1430" s="418"/>
      <c r="AM1430" s="418"/>
      <c r="AN1430" s="418"/>
      <c r="AO1430" s="418"/>
      <c r="AP1430" s="418"/>
      <c r="AQ1430" s="418"/>
      <c r="AR1430" s="418"/>
      <c r="AS1430" s="418"/>
      <c r="AT1430" s="418"/>
      <c r="AU1430" s="418"/>
      <c r="AV1430" s="418"/>
      <c r="AW1430" s="418"/>
      <c r="AX1430" s="418"/>
      <c r="AY1430" s="418"/>
      <c r="AZ1430" s="418"/>
      <c r="BA1430" s="418"/>
      <c r="BB1430" s="154"/>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c r="BY1430" s="115"/>
      <c r="BZ1430" s="115"/>
      <c r="CA1430" s="115"/>
      <c r="CB1430" s="115"/>
      <c r="CC1430" s="115"/>
      <c r="CD1430" s="115"/>
      <c r="CE1430" s="115"/>
      <c r="CF1430" s="115"/>
      <c r="CG1430" s="115"/>
      <c r="CH1430" s="115"/>
      <c r="CI1430" s="115"/>
      <c r="CJ1430" s="115"/>
      <c r="CK1430" s="115"/>
      <c r="CL1430" s="115"/>
      <c r="CM1430" s="115"/>
      <c r="CN1430" s="115"/>
      <c r="CO1430" s="115"/>
      <c r="CP1430" s="115"/>
      <c r="CQ1430" s="115"/>
      <c r="CR1430" s="115"/>
      <c r="CS1430" s="115"/>
      <c r="CT1430" s="115"/>
      <c r="CU1430" s="115"/>
      <c r="CV1430" s="115"/>
      <c r="CW1430" s="115"/>
      <c r="CX1430" s="115"/>
      <c r="CY1430" s="115"/>
      <c r="CZ1430" s="115"/>
      <c r="DA1430" s="115"/>
      <c r="DB1430" s="115"/>
      <c r="DC1430" s="115"/>
      <c r="DD1430" s="115"/>
      <c r="DE1430" s="115"/>
      <c r="DF1430" s="115"/>
      <c r="DG1430" s="115"/>
    </row>
    <row r="1431" spans="1:111" ht="9" customHeight="1">
      <c r="A1431" s="154"/>
      <c r="B1431" s="154"/>
      <c r="C1431" s="154"/>
      <c r="D1431" s="154"/>
      <c r="E1431" s="154"/>
      <c r="F1431" s="154"/>
      <c r="G1431" s="154"/>
      <c r="H1431" s="154"/>
      <c r="I1431" s="154"/>
      <c r="J1431" s="154"/>
      <c r="K1431" s="154"/>
      <c r="L1431" s="154"/>
      <c r="M1431" s="154"/>
      <c r="N1431" s="154"/>
      <c r="O1431" s="154"/>
      <c r="P1431" s="154"/>
      <c r="Q1431" s="417"/>
      <c r="R1431" s="417"/>
      <c r="S1431" s="417"/>
      <c r="T1431" s="417"/>
      <c r="U1431" s="154"/>
      <c r="V1431" s="154"/>
      <c r="W1431" s="154"/>
      <c r="X1431" s="154"/>
      <c r="Y1431" s="154"/>
      <c r="Z1431" s="154"/>
      <c r="AA1431" s="154"/>
      <c r="AB1431" s="154"/>
      <c r="AC1431" s="418"/>
      <c r="AD1431" s="418"/>
      <c r="AE1431" s="418"/>
      <c r="AF1431" s="418"/>
      <c r="AG1431" s="418"/>
      <c r="AH1431" s="418"/>
      <c r="AI1431" s="418"/>
      <c r="AJ1431" s="418"/>
      <c r="AK1431" s="418"/>
      <c r="AL1431" s="418"/>
      <c r="AM1431" s="418"/>
      <c r="AN1431" s="418"/>
      <c r="AO1431" s="418"/>
      <c r="AP1431" s="418"/>
      <c r="AQ1431" s="418"/>
      <c r="AR1431" s="418"/>
      <c r="AS1431" s="418"/>
      <c r="AT1431" s="418"/>
      <c r="AU1431" s="418"/>
      <c r="AV1431" s="418"/>
      <c r="AW1431" s="418"/>
      <c r="AX1431" s="418"/>
      <c r="AY1431" s="418"/>
      <c r="AZ1431" s="418"/>
      <c r="BA1431" s="418"/>
      <c r="BB1431" s="154"/>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c r="BY1431" s="115"/>
      <c r="BZ1431" s="115"/>
      <c r="CA1431" s="115"/>
      <c r="CB1431" s="115"/>
      <c r="CC1431" s="115"/>
      <c r="CD1431" s="115"/>
      <c r="CE1431" s="115"/>
      <c r="CF1431" s="115"/>
      <c r="CG1431" s="115"/>
      <c r="CH1431" s="115"/>
      <c r="CI1431" s="115"/>
      <c r="CJ1431" s="115"/>
      <c r="CK1431" s="115"/>
      <c r="CL1431" s="115"/>
      <c r="CM1431" s="115"/>
      <c r="CN1431" s="115"/>
      <c r="CO1431" s="115"/>
      <c r="CP1431" s="115"/>
      <c r="CQ1431" s="115"/>
      <c r="CR1431" s="115"/>
      <c r="CS1431" s="115"/>
      <c r="CT1431" s="115"/>
      <c r="CU1431" s="115"/>
      <c r="CV1431" s="115"/>
      <c r="CW1431" s="115"/>
      <c r="CX1431" s="115"/>
      <c r="CY1431" s="115"/>
      <c r="CZ1431" s="115"/>
      <c r="DA1431" s="115"/>
      <c r="DB1431" s="115"/>
      <c r="DC1431" s="115"/>
      <c r="DD1431" s="115"/>
      <c r="DE1431" s="115"/>
      <c r="DF1431" s="115"/>
      <c r="DG1431" s="115"/>
    </row>
    <row r="1432" spans="1:111" ht="4.5" customHeight="1">
      <c r="A1432" s="154"/>
      <c r="B1432" s="154"/>
      <c r="C1432" s="154"/>
      <c r="D1432" s="154"/>
      <c r="E1432" s="154"/>
      <c r="F1432" s="154"/>
      <c r="G1432" s="154"/>
      <c r="H1432" s="154"/>
      <c r="I1432" s="154"/>
      <c r="J1432" s="154"/>
      <c r="K1432" s="154"/>
      <c r="L1432" s="154"/>
      <c r="M1432" s="154"/>
      <c r="N1432" s="154"/>
      <c r="O1432" s="154"/>
      <c r="P1432" s="154"/>
      <c r="Q1432" s="154"/>
      <c r="R1432" s="154"/>
      <c r="S1432" s="154"/>
      <c r="T1432" s="154"/>
      <c r="U1432" s="154"/>
      <c r="V1432" s="154"/>
      <c r="W1432" s="154"/>
      <c r="X1432" s="154"/>
      <c r="Y1432" s="154"/>
      <c r="Z1432" s="154"/>
      <c r="AA1432" s="154"/>
      <c r="AB1432" s="154"/>
      <c r="AC1432" s="154"/>
      <c r="AD1432" s="154"/>
      <c r="AE1432" s="154"/>
      <c r="AF1432" s="154"/>
      <c r="AG1432" s="154"/>
      <c r="AH1432" s="154"/>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c r="BY1432" s="115"/>
      <c r="BZ1432" s="115"/>
      <c r="CA1432" s="115"/>
      <c r="CB1432" s="115"/>
      <c r="CC1432" s="115"/>
      <c r="CD1432" s="115"/>
      <c r="CE1432" s="115"/>
      <c r="CF1432" s="115"/>
      <c r="CG1432" s="115"/>
      <c r="CH1432" s="115"/>
      <c r="CI1432" s="115"/>
      <c r="CJ1432" s="115"/>
      <c r="CK1432" s="115"/>
      <c r="CL1432" s="115"/>
      <c r="CM1432" s="115"/>
      <c r="CN1432" s="115"/>
      <c r="CO1432" s="115"/>
      <c r="CP1432" s="115"/>
      <c r="CQ1432" s="115"/>
      <c r="CR1432" s="115"/>
      <c r="CS1432" s="115"/>
      <c r="CT1432" s="115"/>
      <c r="CU1432" s="115"/>
      <c r="CV1432" s="115"/>
      <c r="CW1432" s="115"/>
      <c r="CX1432" s="115"/>
      <c r="CY1432" s="115"/>
      <c r="CZ1432" s="115"/>
      <c r="DA1432" s="115"/>
      <c r="DB1432" s="115"/>
      <c r="DC1432" s="115"/>
      <c r="DD1432" s="115"/>
      <c r="DE1432" s="115"/>
      <c r="DF1432" s="115"/>
      <c r="DG1432" s="115"/>
    </row>
    <row r="1433" spans="1:111" ht="9" customHeight="1">
      <c r="A1433" s="154"/>
      <c r="B1433" s="154"/>
      <c r="C1433" s="154"/>
      <c r="D1433" s="154"/>
      <c r="E1433" s="154"/>
      <c r="F1433" s="154"/>
      <c r="G1433" s="154"/>
      <c r="H1433" s="154"/>
      <c r="I1433" s="154"/>
      <c r="J1433" s="416" t="str">
        <f>IF(C1415="","","Valor Unitário (R$):")</f>
        <v/>
      </c>
      <c r="K1433" s="416"/>
      <c r="L1433" s="416"/>
      <c r="M1433" s="416"/>
      <c r="N1433" s="416"/>
      <c r="O1433" s="416"/>
      <c r="P1433" s="154"/>
      <c r="Q1433" s="419"/>
      <c r="R1433" s="419"/>
      <c r="S1433" s="419"/>
      <c r="T1433" s="419"/>
      <c r="U1433" s="419"/>
      <c r="V1433" s="419"/>
      <c r="W1433" s="419"/>
      <c r="X1433" s="419"/>
      <c r="Y1433" s="154"/>
      <c r="Z1433" s="416" t="str">
        <f>IF(C1415="","",IF(J1421="52 Equipamentos e Material Permanente","Tempo de Uso:",""))</f>
        <v/>
      </c>
      <c r="AA1433" s="416"/>
      <c r="AB1433" s="416"/>
      <c r="AC1433" s="416"/>
      <c r="AD1433" s="416"/>
      <c r="AE1433" s="416"/>
      <c r="AF1433" s="154"/>
      <c r="AG1433" s="420"/>
      <c r="AH1433" s="420"/>
      <c r="AI1433" s="420"/>
      <c r="AJ1433" s="420"/>
      <c r="AK1433" s="420"/>
      <c r="AL1433" s="420"/>
      <c r="AM1433" s="420"/>
      <c r="AN1433" s="420"/>
      <c r="AO1433" s="420"/>
      <c r="AP1433" s="420"/>
      <c r="AQ1433" s="420"/>
      <c r="AR1433" s="420"/>
      <c r="AS1433" s="420"/>
      <c r="AT1433" s="420"/>
      <c r="AU1433" s="420"/>
      <c r="AV1433" s="420"/>
      <c r="AW1433" s="420"/>
      <c r="AX1433" s="420"/>
      <c r="AY1433" s="420"/>
      <c r="AZ1433" s="420"/>
      <c r="BA1433" s="420"/>
      <c r="BB1433" s="154"/>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c r="BY1433" s="115"/>
      <c r="BZ1433" s="115"/>
      <c r="CA1433" s="115"/>
      <c r="CB1433" s="115"/>
      <c r="CC1433" s="115"/>
      <c r="CD1433" s="115"/>
      <c r="CE1433" s="115"/>
      <c r="CF1433" s="115"/>
      <c r="CG1433" s="115"/>
      <c r="CH1433" s="115"/>
      <c r="CI1433" s="115"/>
      <c r="CJ1433" s="115"/>
      <c r="CK1433" s="115"/>
      <c r="CL1433" s="115"/>
      <c r="CM1433" s="115"/>
      <c r="CN1433" s="115"/>
      <c r="CO1433" s="115"/>
      <c r="CP1433" s="115"/>
      <c r="CQ1433" s="115"/>
      <c r="CR1433" s="115"/>
      <c r="CS1433" s="115"/>
      <c r="CT1433" s="115"/>
      <c r="CU1433" s="115"/>
      <c r="CV1433" s="115"/>
      <c r="CW1433" s="115"/>
      <c r="CX1433" s="115"/>
      <c r="CY1433" s="115"/>
      <c r="CZ1433" s="115"/>
      <c r="DA1433" s="115"/>
      <c r="DB1433" s="115"/>
      <c r="DC1433" s="115"/>
      <c r="DD1433" s="115"/>
      <c r="DE1433" s="115"/>
      <c r="DF1433" s="115"/>
      <c r="DG1433" s="115"/>
    </row>
    <row r="1434" spans="1:111" ht="9" customHeight="1">
      <c r="A1434" s="154"/>
      <c r="B1434" s="154"/>
      <c r="C1434" s="154"/>
      <c r="D1434" s="154"/>
      <c r="E1434" s="154"/>
      <c r="F1434" s="154"/>
      <c r="G1434" s="154"/>
      <c r="H1434" s="154"/>
      <c r="I1434" s="154"/>
      <c r="J1434" s="416"/>
      <c r="K1434" s="416"/>
      <c r="L1434" s="416"/>
      <c r="M1434" s="416"/>
      <c r="N1434" s="416"/>
      <c r="O1434" s="416"/>
      <c r="P1434" s="154"/>
      <c r="Q1434" s="419"/>
      <c r="R1434" s="419"/>
      <c r="S1434" s="419"/>
      <c r="T1434" s="419"/>
      <c r="U1434" s="419"/>
      <c r="V1434" s="419"/>
      <c r="W1434" s="419"/>
      <c r="X1434" s="419"/>
      <c r="Y1434" s="154"/>
      <c r="Z1434" s="416"/>
      <c r="AA1434" s="416"/>
      <c r="AB1434" s="416"/>
      <c r="AC1434" s="416"/>
      <c r="AD1434" s="416"/>
      <c r="AE1434" s="416"/>
      <c r="AF1434" s="154"/>
      <c r="AG1434" s="420"/>
      <c r="AH1434" s="420"/>
      <c r="AI1434" s="420"/>
      <c r="AJ1434" s="420"/>
      <c r="AK1434" s="420"/>
      <c r="AL1434" s="420"/>
      <c r="AM1434" s="420"/>
      <c r="AN1434" s="420"/>
      <c r="AO1434" s="420"/>
      <c r="AP1434" s="420"/>
      <c r="AQ1434" s="420"/>
      <c r="AR1434" s="420"/>
      <c r="AS1434" s="420"/>
      <c r="AT1434" s="420"/>
      <c r="AU1434" s="420"/>
      <c r="AV1434" s="420"/>
      <c r="AW1434" s="420"/>
      <c r="AX1434" s="420"/>
      <c r="AY1434" s="420"/>
      <c r="AZ1434" s="420"/>
      <c r="BA1434" s="420"/>
      <c r="BB1434" s="154"/>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c r="BY1434" s="115"/>
      <c r="BZ1434" s="115"/>
      <c r="CA1434" s="115"/>
      <c r="CB1434" s="115"/>
      <c r="CC1434" s="115"/>
      <c r="CD1434" s="115"/>
      <c r="CE1434" s="115"/>
      <c r="CF1434" s="115"/>
      <c r="CG1434" s="115"/>
      <c r="CH1434" s="115"/>
      <c r="CI1434" s="115"/>
      <c r="CJ1434" s="115"/>
      <c r="CK1434" s="115"/>
      <c r="CL1434" s="115"/>
      <c r="CM1434" s="115"/>
      <c r="CN1434" s="115"/>
      <c r="CO1434" s="115"/>
      <c r="CP1434" s="115"/>
      <c r="CQ1434" s="115"/>
      <c r="CR1434" s="115"/>
      <c r="CS1434" s="115"/>
      <c r="CT1434" s="115"/>
      <c r="CU1434" s="115"/>
      <c r="CV1434" s="115"/>
      <c r="CW1434" s="115"/>
      <c r="CX1434" s="115"/>
      <c r="CY1434" s="115"/>
      <c r="CZ1434" s="115"/>
      <c r="DA1434" s="115"/>
      <c r="DB1434" s="115"/>
      <c r="DC1434" s="115"/>
      <c r="DD1434" s="115"/>
      <c r="DE1434" s="115"/>
      <c r="DF1434" s="115"/>
      <c r="DG1434" s="115"/>
    </row>
    <row r="1435" spans="1:111" ht="9" customHeight="1">
      <c r="A1435" s="154"/>
      <c r="B1435" s="154"/>
      <c r="C1435" s="154"/>
      <c r="D1435" s="154"/>
      <c r="E1435" s="154"/>
      <c r="F1435" s="154"/>
      <c r="G1435" s="154"/>
      <c r="H1435" s="154"/>
      <c r="I1435" s="154"/>
      <c r="J1435" s="154"/>
      <c r="K1435" s="154"/>
      <c r="L1435" s="154"/>
      <c r="M1435" s="154"/>
      <c r="N1435" s="154"/>
      <c r="O1435" s="154"/>
      <c r="P1435" s="154"/>
      <c r="Q1435" s="419"/>
      <c r="R1435" s="419"/>
      <c r="S1435" s="419"/>
      <c r="T1435" s="419"/>
      <c r="U1435" s="419"/>
      <c r="V1435" s="419"/>
      <c r="W1435" s="419"/>
      <c r="X1435" s="419"/>
      <c r="Y1435" s="154"/>
      <c r="Z1435" s="154"/>
      <c r="AA1435" s="154"/>
      <c r="AB1435" s="154"/>
      <c r="AC1435" s="154"/>
      <c r="AD1435" s="154"/>
      <c r="AE1435" s="154"/>
      <c r="AF1435" s="154"/>
      <c r="AG1435" s="420"/>
      <c r="AH1435" s="420"/>
      <c r="AI1435" s="420"/>
      <c r="AJ1435" s="420"/>
      <c r="AK1435" s="420"/>
      <c r="AL1435" s="420"/>
      <c r="AM1435" s="420"/>
      <c r="AN1435" s="420"/>
      <c r="AO1435" s="420"/>
      <c r="AP1435" s="420"/>
      <c r="AQ1435" s="420"/>
      <c r="AR1435" s="420"/>
      <c r="AS1435" s="420"/>
      <c r="AT1435" s="420"/>
      <c r="AU1435" s="420"/>
      <c r="AV1435" s="420"/>
      <c r="AW1435" s="420"/>
      <c r="AX1435" s="420"/>
      <c r="AY1435" s="420"/>
      <c r="AZ1435" s="420"/>
      <c r="BA1435" s="420"/>
      <c r="BB1435" s="154"/>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c r="BY1435" s="115"/>
      <c r="BZ1435" s="115"/>
      <c r="CA1435" s="115"/>
      <c r="CB1435" s="115"/>
      <c r="CC1435" s="115"/>
      <c r="CD1435" s="115"/>
      <c r="CE1435" s="115"/>
      <c r="CF1435" s="115"/>
      <c r="CG1435" s="115"/>
      <c r="CH1435" s="115"/>
      <c r="CI1435" s="115"/>
      <c r="CJ1435" s="115"/>
      <c r="CK1435" s="115"/>
      <c r="CL1435" s="115"/>
      <c r="CM1435" s="115"/>
      <c r="CN1435" s="115"/>
      <c r="CO1435" s="115"/>
      <c r="CP1435" s="115"/>
      <c r="CQ1435" s="115"/>
      <c r="CR1435" s="115"/>
      <c r="CS1435" s="115"/>
      <c r="CT1435" s="115"/>
      <c r="CU1435" s="115"/>
      <c r="CV1435" s="115"/>
      <c r="CW1435" s="115"/>
      <c r="CX1435" s="115"/>
      <c r="CY1435" s="115"/>
      <c r="CZ1435" s="115"/>
      <c r="DA1435" s="115"/>
      <c r="DB1435" s="115"/>
      <c r="DC1435" s="115"/>
      <c r="DD1435" s="115"/>
      <c r="DE1435" s="115"/>
      <c r="DF1435" s="115"/>
      <c r="DG1435" s="115"/>
    </row>
    <row r="1436" spans="1:111" ht="4.5" customHeight="1">
      <c r="A1436" s="154"/>
      <c r="B1436" s="154"/>
      <c r="C1436" s="154"/>
      <c r="D1436" s="154"/>
      <c r="E1436" s="154"/>
      <c r="F1436" s="154"/>
      <c r="G1436" s="154"/>
      <c r="H1436" s="154"/>
      <c r="I1436" s="154"/>
      <c r="J1436" s="154"/>
      <c r="K1436" s="154"/>
      <c r="L1436" s="154"/>
      <c r="M1436" s="154"/>
      <c r="N1436" s="154"/>
      <c r="O1436" s="154"/>
      <c r="P1436" s="154"/>
      <c r="Q1436" s="154"/>
      <c r="R1436" s="154"/>
      <c r="S1436" s="154"/>
      <c r="T1436" s="154"/>
      <c r="U1436" s="154"/>
      <c r="V1436" s="154"/>
      <c r="W1436" s="154"/>
      <c r="X1436" s="154"/>
      <c r="Y1436" s="154"/>
      <c r="Z1436" s="154"/>
      <c r="AA1436" s="154"/>
      <c r="AB1436" s="154"/>
      <c r="AC1436" s="154"/>
      <c r="AD1436" s="154"/>
      <c r="AE1436" s="154"/>
      <c r="AF1436" s="154"/>
      <c r="AG1436" s="154"/>
      <c r="AH1436" s="154"/>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c r="BY1436" s="115"/>
      <c r="BZ1436" s="115"/>
      <c r="CA1436" s="115"/>
      <c r="CB1436" s="115"/>
      <c r="CC1436" s="115"/>
      <c r="CD1436" s="115"/>
      <c r="CE1436" s="115"/>
      <c r="CF1436" s="115"/>
      <c r="CG1436" s="115"/>
      <c r="CH1436" s="115"/>
      <c r="CI1436" s="115"/>
      <c r="CJ1436" s="115"/>
      <c r="CK1436" s="115"/>
      <c r="CL1436" s="115"/>
      <c r="CM1436" s="115"/>
      <c r="CN1436" s="115"/>
      <c r="CO1436" s="115"/>
      <c r="CP1436" s="115"/>
      <c r="CQ1436" s="115"/>
      <c r="CR1436" s="115"/>
      <c r="CS1436" s="115"/>
      <c r="CT1436" s="115"/>
      <c r="CU1436" s="115"/>
      <c r="CV1436" s="115"/>
      <c r="CW1436" s="115"/>
      <c r="CX1436" s="115"/>
      <c r="CY1436" s="115"/>
      <c r="CZ1436" s="115"/>
      <c r="DA1436" s="115"/>
      <c r="DB1436" s="115"/>
      <c r="DC1436" s="115"/>
      <c r="DD1436" s="115"/>
      <c r="DE1436" s="115"/>
      <c r="DF1436" s="115"/>
      <c r="DG1436" s="115"/>
    </row>
    <row r="1437" spans="1:111" ht="9" customHeight="1">
      <c r="A1437" s="154"/>
      <c r="B1437" s="154"/>
      <c r="C1437" s="154"/>
      <c r="D1437" s="154"/>
      <c r="E1437" s="154"/>
      <c r="F1437" s="154"/>
      <c r="G1437" s="154"/>
      <c r="H1437" s="154"/>
      <c r="I1437" s="154"/>
      <c r="J1437" s="416" t="str">
        <f>IF(C1415="","","Valor Total (R$):")</f>
        <v/>
      </c>
      <c r="K1437" s="416"/>
      <c r="L1437" s="416"/>
      <c r="M1437" s="416"/>
      <c r="N1437" s="416"/>
      <c r="O1437" s="416"/>
      <c r="P1437" s="154"/>
      <c r="Q1437" s="419" t="str">
        <f>IF(Q1433="","",Q1429*Q1433)</f>
        <v/>
      </c>
      <c r="R1437" s="419"/>
      <c r="S1437" s="419"/>
      <c r="T1437" s="419"/>
      <c r="U1437" s="419"/>
      <c r="V1437" s="419"/>
      <c r="W1437" s="419"/>
      <c r="X1437" s="419"/>
      <c r="Y1437" s="154"/>
      <c r="Z1437" s="416" t="str">
        <f>IF(C1415="","",IF(J1421="52 Equipamentos e Material Permanente","Justificativa e Utilização:",""))</f>
        <v/>
      </c>
      <c r="AA1437" s="416"/>
      <c r="AB1437" s="416"/>
      <c r="AC1437" s="416"/>
      <c r="AD1437" s="416"/>
      <c r="AE1437" s="416"/>
      <c r="AF1437" s="154"/>
      <c r="AG1437" s="420"/>
      <c r="AH1437" s="420"/>
      <c r="AI1437" s="420"/>
      <c r="AJ1437" s="420"/>
      <c r="AK1437" s="420"/>
      <c r="AL1437" s="420"/>
      <c r="AM1437" s="420"/>
      <c r="AN1437" s="420"/>
      <c r="AO1437" s="420"/>
      <c r="AP1437" s="420"/>
      <c r="AQ1437" s="420"/>
      <c r="AR1437" s="420"/>
      <c r="AS1437" s="420"/>
      <c r="AT1437" s="420"/>
      <c r="AU1437" s="420"/>
      <c r="AV1437" s="420"/>
      <c r="AW1437" s="420"/>
      <c r="AX1437" s="420"/>
      <c r="AY1437" s="420"/>
      <c r="AZ1437" s="420"/>
      <c r="BA1437" s="420"/>
      <c r="BB1437" s="154"/>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c r="BY1437" s="115"/>
      <c r="BZ1437" s="115"/>
      <c r="CA1437" s="115"/>
      <c r="CB1437" s="115"/>
      <c r="CC1437" s="115"/>
      <c r="CD1437" s="115"/>
      <c r="CE1437" s="115"/>
      <c r="CF1437" s="115"/>
      <c r="CG1437" s="115"/>
      <c r="CH1437" s="115"/>
      <c r="CI1437" s="115"/>
      <c r="CJ1437" s="115"/>
      <c r="CK1437" s="115"/>
      <c r="CL1437" s="115"/>
      <c r="CM1437" s="115"/>
      <c r="CN1437" s="115"/>
      <c r="CO1437" s="115"/>
      <c r="CP1437" s="115"/>
      <c r="CQ1437" s="115"/>
      <c r="CR1437" s="115"/>
      <c r="CS1437" s="115"/>
      <c r="CT1437" s="115"/>
      <c r="CU1437" s="115"/>
      <c r="CV1437" s="115"/>
      <c r="CW1437" s="115"/>
      <c r="CX1437" s="115"/>
      <c r="CY1437" s="115"/>
      <c r="CZ1437" s="115"/>
      <c r="DA1437" s="115"/>
      <c r="DB1437" s="115"/>
      <c r="DC1437" s="115"/>
      <c r="DD1437" s="115"/>
      <c r="DE1437" s="115"/>
      <c r="DF1437" s="115"/>
      <c r="DG1437" s="115"/>
    </row>
    <row r="1438" spans="1:111" ht="9" customHeight="1">
      <c r="A1438" s="154"/>
      <c r="B1438" s="154"/>
      <c r="C1438" s="154"/>
      <c r="D1438" s="154"/>
      <c r="E1438" s="154"/>
      <c r="F1438" s="154"/>
      <c r="G1438" s="154"/>
      <c r="H1438" s="154"/>
      <c r="I1438" s="154"/>
      <c r="J1438" s="416"/>
      <c r="K1438" s="416"/>
      <c r="L1438" s="416"/>
      <c r="M1438" s="416"/>
      <c r="N1438" s="416"/>
      <c r="O1438" s="416"/>
      <c r="P1438" s="154"/>
      <c r="Q1438" s="419"/>
      <c r="R1438" s="419"/>
      <c r="S1438" s="419"/>
      <c r="T1438" s="419"/>
      <c r="U1438" s="419"/>
      <c r="V1438" s="419"/>
      <c r="W1438" s="419"/>
      <c r="X1438" s="419"/>
      <c r="Y1438" s="154"/>
      <c r="Z1438" s="416"/>
      <c r="AA1438" s="416"/>
      <c r="AB1438" s="416"/>
      <c r="AC1438" s="416"/>
      <c r="AD1438" s="416"/>
      <c r="AE1438" s="416"/>
      <c r="AF1438" s="154"/>
      <c r="AG1438" s="420"/>
      <c r="AH1438" s="420"/>
      <c r="AI1438" s="420"/>
      <c r="AJ1438" s="420"/>
      <c r="AK1438" s="420"/>
      <c r="AL1438" s="420"/>
      <c r="AM1438" s="420"/>
      <c r="AN1438" s="420"/>
      <c r="AO1438" s="420"/>
      <c r="AP1438" s="420"/>
      <c r="AQ1438" s="420"/>
      <c r="AR1438" s="420"/>
      <c r="AS1438" s="420"/>
      <c r="AT1438" s="420"/>
      <c r="AU1438" s="420"/>
      <c r="AV1438" s="420"/>
      <c r="AW1438" s="420"/>
      <c r="AX1438" s="420"/>
      <c r="AY1438" s="420"/>
      <c r="AZ1438" s="420"/>
      <c r="BA1438" s="420"/>
      <c r="BB1438" s="154"/>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c r="BY1438" s="115"/>
      <c r="BZ1438" s="115"/>
      <c r="CA1438" s="115"/>
      <c r="CB1438" s="115"/>
      <c r="CC1438" s="115"/>
      <c r="CD1438" s="115"/>
      <c r="CE1438" s="115"/>
      <c r="CF1438" s="115"/>
      <c r="CG1438" s="115"/>
      <c r="CH1438" s="115"/>
      <c r="CI1438" s="115"/>
      <c r="CJ1438" s="115"/>
      <c r="CK1438" s="115"/>
      <c r="CL1438" s="115"/>
      <c r="CM1438" s="115"/>
      <c r="CN1438" s="115"/>
      <c r="CO1438" s="115"/>
      <c r="CP1438" s="115"/>
      <c r="CQ1438" s="115"/>
      <c r="CR1438" s="115"/>
      <c r="CS1438" s="115"/>
      <c r="CT1438" s="115"/>
      <c r="CU1438" s="115"/>
      <c r="CV1438" s="115"/>
      <c r="CW1438" s="115"/>
      <c r="CX1438" s="115"/>
      <c r="CY1438" s="115"/>
      <c r="CZ1438" s="115"/>
      <c r="DA1438" s="115"/>
      <c r="DB1438" s="115"/>
      <c r="DC1438" s="115"/>
      <c r="DD1438" s="115"/>
      <c r="DE1438" s="115"/>
      <c r="DF1438" s="115"/>
      <c r="DG1438" s="115"/>
    </row>
    <row r="1439" spans="1:111" ht="9" customHeight="1">
      <c r="A1439" s="154"/>
      <c r="B1439" s="154"/>
      <c r="C1439" s="154"/>
      <c r="D1439" s="154"/>
      <c r="E1439" s="154"/>
      <c r="F1439" s="154"/>
      <c r="G1439" s="154"/>
      <c r="H1439" s="154"/>
      <c r="I1439" s="154"/>
      <c r="J1439" s="154"/>
      <c r="K1439" s="154"/>
      <c r="L1439" s="154"/>
      <c r="M1439" s="154"/>
      <c r="N1439" s="154"/>
      <c r="O1439" s="154"/>
      <c r="P1439" s="154"/>
      <c r="Q1439" s="419"/>
      <c r="R1439" s="419"/>
      <c r="S1439" s="419"/>
      <c r="T1439" s="419"/>
      <c r="U1439" s="419"/>
      <c r="V1439" s="419"/>
      <c r="W1439" s="419"/>
      <c r="X1439" s="419"/>
      <c r="Y1439" s="154"/>
      <c r="Z1439" s="154"/>
      <c r="AA1439" s="154"/>
      <c r="AB1439" s="154"/>
      <c r="AC1439" s="154"/>
      <c r="AD1439" s="154"/>
      <c r="AE1439" s="154"/>
      <c r="AF1439" s="154"/>
      <c r="AG1439" s="420"/>
      <c r="AH1439" s="420"/>
      <c r="AI1439" s="420"/>
      <c r="AJ1439" s="420"/>
      <c r="AK1439" s="420"/>
      <c r="AL1439" s="420"/>
      <c r="AM1439" s="420"/>
      <c r="AN1439" s="420"/>
      <c r="AO1439" s="420"/>
      <c r="AP1439" s="420"/>
      <c r="AQ1439" s="420"/>
      <c r="AR1439" s="420"/>
      <c r="AS1439" s="420"/>
      <c r="AT1439" s="420"/>
      <c r="AU1439" s="420"/>
      <c r="AV1439" s="420"/>
      <c r="AW1439" s="420"/>
      <c r="AX1439" s="420"/>
      <c r="AY1439" s="420"/>
      <c r="AZ1439" s="420"/>
      <c r="BA1439" s="420"/>
      <c r="BB1439" s="154"/>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c r="BY1439" s="115"/>
      <c r="BZ1439" s="115"/>
      <c r="CA1439" s="115"/>
      <c r="CB1439" s="115"/>
      <c r="CC1439" s="115"/>
      <c r="CD1439" s="115"/>
      <c r="CE1439" s="115"/>
      <c r="CF1439" s="115"/>
      <c r="CG1439" s="115"/>
      <c r="CH1439" s="115"/>
      <c r="CI1439" s="115"/>
      <c r="CJ1439" s="115"/>
      <c r="CK1439" s="115"/>
      <c r="CL1439" s="115"/>
      <c r="CM1439" s="115"/>
      <c r="CN1439" s="115"/>
      <c r="CO1439" s="115"/>
      <c r="CP1439" s="115"/>
      <c r="CQ1439" s="115"/>
      <c r="CR1439" s="115"/>
      <c r="CS1439" s="115"/>
      <c r="CT1439" s="115"/>
      <c r="CU1439" s="115"/>
      <c r="CV1439" s="115"/>
      <c r="CW1439" s="115"/>
      <c r="CX1439" s="115"/>
      <c r="CY1439" s="115"/>
      <c r="CZ1439" s="115"/>
      <c r="DA1439" s="115"/>
      <c r="DB1439" s="115"/>
      <c r="DC1439" s="115"/>
      <c r="DD1439" s="115"/>
      <c r="DE1439" s="115"/>
      <c r="DF1439" s="115"/>
      <c r="DG1439" s="115"/>
    </row>
    <row r="1440" spans="1:111" ht="9" customHeight="1">
      <c r="A1440" s="154"/>
      <c r="B1440" s="154"/>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420"/>
      <c r="AH1440" s="420"/>
      <c r="AI1440" s="420"/>
      <c r="AJ1440" s="420"/>
      <c r="AK1440" s="420"/>
      <c r="AL1440" s="420"/>
      <c r="AM1440" s="420"/>
      <c r="AN1440" s="420"/>
      <c r="AO1440" s="420"/>
      <c r="AP1440" s="420"/>
      <c r="AQ1440" s="420"/>
      <c r="AR1440" s="420"/>
      <c r="AS1440" s="420"/>
      <c r="AT1440" s="420"/>
      <c r="AU1440" s="420"/>
      <c r="AV1440" s="420"/>
      <c r="AW1440" s="420"/>
      <c r="AX1440" s="420"/>
      <c r="AY1440" s="420"/>
      <c r="AZ1440" s="420"/>
      <c r="BA1440" s="420"/>
      <c r="BB1440" s="154"/>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c r="BY1440" s="115"/>
      <c r="BZ1440" s="115"/>
      <c r="CA1440" s="115"/>
      <c r="CB1440" s="115"/>
      <c r="CC1440" s="115"/>
      <c r="CD1440" s="115"/>
      <c r="CE1440" s="115"/>
      <c r="CF1440" s="115"/>
      <c r="CG1440" s="115"/>
      <c r="CH1440" s="115"/>
      <c r="CI1440" s="115"/>
      <c r="CJ1440" s="115"/>
      <c r="CK1440" s="115"/>
      <c r="CL1440" s="115"/>
      <c r="CM1440" s="115"/>
      <c r="CN1440" s="115"/>
      <c r="CO1440" s="115"/>
      <c r="CP1440" s="115"/>
      <c r="CQ1440" s="115"/>
      <c r="CR1440" s="115"/>
      <c r="CS1440" s="115"/>
      <c r="CT1440" s="115"/>
      <c r="CU1440" s="115"/>
      <c r="CV1440" s="115"/>
      <c r="CW1440" s="115"/>
      <c r="CX1440" s="115"/>
      <c r="CY1440" s="115"/>
      <c r="CZ1440" s="115"/>
      <c r="DA1440" s="115"/>
      <c r="DB1440" s="115"/>
      <c r="DC1440" s="115"/>
      <c r="DD1440" s="115"/>
      <c r="DE1440" s="115"/>
      <c r="DF1440" s="115"/>
      <c r="DG1440" s="115"/>
    </row>
    <row r="1441" spans="1:111" ht="9" customHeight="1">
      <c r="A1441" s="154"/>
      <c r="B1441" s="154"/>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420"/>
      <c r="AH1441" s="420"/>
      <c r="AI1441" s="420"/>
      <c r="AJ1441" s="420"/>
      <c r="AK1441" s="420"/>
      <c r="AL1441" s="420"/>
      <c r="AM1441" s="420"/>
      <c r="AN1441" s="420"/>
      <c r="AO1441" s="420"/>
      <c r="AP1441" s="420"/>
      <c r="AQ1441" s="420"/>
      <c r="AR1441" s="420"/>
      <c r="AS1441" s="420"/>
      <c r="AT1441" s="420"/>
      <c r="AU1441" s="420"/>
      <c r="AV1441" s="420"/>
      <c r="AW1441" s="420"/>
      <c r="AX1441" s="420"/>
      <c r="AY1441" s="420"/>
      <c r="AZ1441" s="420"/>
      <c r="BA1441" s="420"/>
      <c r="BB1441" s="154"/>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c r="BY1441" s="115"/>
      <c r="BZ1441" s="115"/>
      <c r="CA1441" s="115"/>
      <c r="CB1441" s="115"/>
      <c r="CC1441" s="115"/>
      <c r="CD1441" s="115"/>
      <c r="CE1441" s="115"/>
      <c r="CF1441" s="115"/>
      <c r="CG1441" s="115"/>
      <c r="CH1441" s="115"/>
      <c r="CI1441" s="115"/>
      <c r="CJ1441" s="115"/>
      <c r="CK1441" s="115"/>
      <c r="CL1441" s="115"/>
      <c r="CM1441" s="115"/>
      <c r="CN1441" s="115"/>
      <c r="CO1441" s="115"/>
      <c r="CP1441" s="115"/>
      <c r="CQ1441" s="115"/>
      <c r="CR1441" s="115"/>
      <c r="CS1441" s="115"/>
      <c r="CT1441" s="115"/>
      <c r="CU1441" s="115"/>
      <c r="CV1441" s="115"/>
      <c r="CW1441" s="115"/>
      <c r="CX1441" s="115"/>
      <c r="CY1441" s="115"/>
      <c r="CZ1441" s="115"/>
      <c r="DA1441" s="115"/>
      <c r="DB1441" s="115"/>
      <c r="DC1441" s="115"/>
      <c r="DD1441" s="115"/>
      <c r="DE1441" s="115"/>
      <c r="DF1441" s="115"/>
      <c r="DG1441" s="115"/>
    </row>
    <row r="1442" spans="1:111" ht="9" customHeight="1">
      <c r="A1442" s="154"/>
      <c r="B1442" s="154"/>
      <c r="C1442" s="154"/>
      <c r="D1442" s="154"/>
      <c r="E1442" s="154"/>
      <c r="F1442" s="154"/>
      <c r="G1442" s="154"/>
      <c r="H1442" s="154"/>
      <c r="I1442" s="154"/>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420"/>
      <c r="AH1442" s="420"/>
      <c r="AI1442" s="420"/>
      <c r="AJ1442" s="420"/>
      <c r="AK1442" s="420"/>
      <c r="AL1442" s="420"/>
      <c r="AM1442" s="420"/>
      <c r="AN1442" s="420"/>
      <c r="AO1442" s="420"/>
      <c r="AP1442" s="420"/>
      <c r="AQ1442" s="420"/>
      <c r="AR1442" s="420"/>
      <c r="AS1442" s="420"/>
      <c r="AT1442" s="420"/>
      <c r="AU1442" s="420"/>
      <c r="AV1442" s="420"/>
      <c r="AW1442" s="420"/>
      <c r="AX1442" s="420"/>
      <c r="AY1442" s="420"/>
      <c r="AZ1442" s="420"/>
      <c r="BA1442" s="420"/>
      <c r="BB1442" s="154"/>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c r="BY1442" s="115"/>
      <c r="BZ1442" s="115"/>
      <c r="CA1442" s="115"/>
      <c r="CB1442" s="115"/>
      <c r="CC1442" s="115"/>
      <c r="CD1442" s="115"/>
      <c r="CE1442" s="115"/>
      <c r="CF1442" s="115"/>
      <c r="CG1442" s="115"/>
      <c r="CH1442" s="115"/>
      <c r="CI1442" s="115"/>
      <c r="CJ1442" s="115"/>
      <c r="CK1442" s="115"/>
      <c r="CL1442" s="115"/>
      <c r="CM1442" s="115"/>
      <c r="CN1442" s="115"/>
      <c r="CO1442" s="115"/>
      <c r="CP1442" s="115"/>
      <c r="CQ1442" s="115"/>
      <c r="CR1442" s="115"/>
      <c r="CS1442" s="115"/>
      <c r="CT1442" s="115"/>
      <c r="CU1442" s="115"/>
      <c r="CV1442" s="115"/>
      <c r="CW1442" s="115"/>
      <c r="CX1442" s="115"/>
      <c r="CY1442" s="115"/>
      <c r="CZ1442" s="115"/>
      <c r="DA1442" s="115"/>
      <c r="DB1442" s="115"/>
      <c r="DC1442" s="115"/>
      <c r="DD1442" s="115"/>
      <c r="DE1442" s="115"/>
      <c r="DF1442" s="115"/>
      <c r="DG1442" s="115"/>
    </row>
    <row r="1443" spans="1:111" ht="14.25" customHeight="1">
      <c r="B1443" s="55"/>
      <c r="C1443" s="55"/>
      <c r="D1443" s="56"/>
      <c r="E1443" s="56"/>
      <c r="F1443" s="56"/>
      <c r="G1443" s="56"/>
      <c r="H1443" s="56"/>
      <c r="I1443" s="56"/>
      <c r="J1443" s="56"/>
      <c r="K1443" s="56"/>
      <c r="L1443" s="56"/>
      <c r="M1443" s="56"/>
      <c r="N1443" s="56"/>
      <c r="O1443" s="56"/>
      <c r="P1443" s="56"/>
      <c r="Q1443" s="56"/>
      <c r="R1443" s="56"/>
      <c r="S1443" s="56"/>
      <c r="T1443" s="56"/>
      <c r="U1443" s="56"/>
      <c r="V1443" s="56"/>
      <c r="W1443" s="56"/>
      <c r="X1443" s="56"/>
      <c r="Y1443" s="56"/>
      <c r="Z1443" s="56"/>
      <c r="AA1443" s="56"/>
      <c r="AB1443" s="56"/>
      <c r="AC1443" s="56"/>
      <c r="AD1443" s="56"/>
      <c r="AE1443" s="56"/>
      <c r="AF1443" s="56"/>
      <c r="AG1443" s="56"/>
      <c r="AH1443" s="56"/>
      <c r="AI1443" s="56"/>
      <c r="AJ1443" s="56"/>
      <c r="AK1443" s="141"/>
      <c r="AL1443" s="141"/>
      <c r="AM1443" s="141"/>
      <c r="AN1443" s="141"/>
      <c r="AO1443" s="140"/>
      <c r="AP1443" s="140"/>
      <c r="AQ1443" s="140"/>
      <c r="AR1443" s="140"/>
      <c r="AS1443" s="142"/>
      <c r="AT1443" s="142"/>
      <c r="AU1443" s="142"/>
      <c r="AV1443" s="142"/>
      <c r="AW1443" s="140"/>
      <c r="AX1443" s="140"/>
      <c r="AY1443" s="140"/>
      <c r="AZ1443" s="140"/>
      <c r="BA1443" s="140"/>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c r="BY1443" s="115"/>
      <c r="BZ1443" s="115"/>
      <c r="CA1443" s="115"/>
      <c r="CB1443" s="115"/>
      <c r="CC1443" s="115"/>
      <c r="CD1443" s="115"/>
      <c r="CE1443" s="115"/>
      <c r="CF1443" s="115"/>
      <c r="CG1443" s="115"/>
      <c r="CH1443" s="115"/>
      <c r="CI1443" s="115"/>
      <c r="CJ1443" s="115"/>
      <c r="CK1443" s="115"/>
      <c r="CL1443" s="115"/>
      <c r="CM1443" s="115"/>
      <c r="CN1443" s="115"/>
      <c r="CO1443" s="115"/>
      <c r="CP1443" s="115"/>
      <c r="CQ1443" s="115"/>
      <c r="CR1443" s="115"/>
      <c r="CS1443" s="115"/>
      <c r="CT1443" s="115"/>
      <c r="CU1443" s="115"/>
      <c r="CV1443" s="115"/>
      <c r="CW1443" s="115"/>
      <c r="CX1443" s="115"/>
      <c r="CY1443" s="115"/>
      <c r="CZ1443" s="115"/>
      <c r="DA1443" s="115"/>
      <c r="DB1443" s="115"/>
      <c r="DC1443" s="115"/>
      <c r="DD1443" s="115"/>
      <c r="DE1443" s="115"/>
      <c r="DF1443" s="115"/>
      <c r="DG1443" s="115"/>
    </row>
    <row r="1444" spans="1:111" ht="15" customHeight="1">
      <c r="B1444" s="55"/>
      <c r="C1444" s="422" t="str">
        <f>IF($AA$165&gt;=45,"DESPESA 45","")</f>
        <v/>
      </c>
      <c r="D1444" s="422"/>
      <c r="E1444" s="422"/>
      <c r="F1444" s="422"/>
      <c r="G1444" s="422"/>
      <c r="H1444" s="422"/>
      <c r="I1444" s="56"/>
      <c r="J1444" s="56"/>
      <c r="K1444" s="56"/>
      <c r="L1444" s="56"/>
      <c r="M1444" s="56"/>
      <c r="N1444" s="56"/>
      <c r="O1444" s="56"/>
      <c r="P1444" s="56"/>
      <c r="Q1444" s="56"/>
      <c r="R1444" s="56"/>
      <c r="S1444" s="56"/>
      <c r="T1444" s="56"/>
      <c r="U1444" s="56"/>
      <c r="V1444" s="56"/>
      <c r="W1444" s="56"/>
      <c r="X1444" s="56"/>
      <c r="Y1444" s="56"/>
      <c r="Z1444" s="56"/>
      <c r="AA1444" s="56"/>
      <c r="AB1444" s="56"/>
      <c r="AC1444" s="56"/>
      <c r="AD1444" s="56"/>
      <c r="AE1444" s="56"/>
      <c r="AF1444" s="56"/>
      <c r="AG1444" s="56"/>
      <c r="AH1444" s="56"/>
      <c r="AI1444" s="56"/>
      <c r="AJ1444" s="56"/>
      <c r="AK1444" s="141"/>
      <c r="AL1444" s="141"/>
      <c r="AM1444" s="141"/>
      <c r="AN1444" s="141"/>
      <c r="AO1444" s="140"/>
      <c r="AP1444" s="140"/>
      <c r="AQ1444" s="140"/>
      <c r="AR1444" s="140"/>
      <c r="AS1444" s="142"/>
      <c r="AT1444" s="142"/>
      <c r="AU1444" s="142"/>
      <c r="AV1444" s="142"/>
      <c r="AW1444" s="140"/>
      <c r="AX1444" s="140"/>
      <c r="AY1444" s="140"/>
      <c r="AZ1444" s="140"/>
      <c r="BA1444" s="140"/>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c r="BY1444" s="115"/>
      <c r="BZ1444" s="115"/>
      <c r="CA1444" s="115"/>
      <c r="CB1444" s="115"/>
      <c r="CC1444" s="115"/>
      <c r="CD1444" s="115"/>
      <c r="CE1444" s="115"/>
      <c r="CF1444" s="115"/>
      <c r="CG1444" s="115"/>
      <c r="CH1444" s="115"/>
      <c r="CI1444" s="115"/>
      <c r="CJ1444" s="115"/>
      <c r="CK1444" s="115"/>
      <c r="CL1444" s="115"/>
      <c r="CM1444" s="115"/>
      <c r="CN1444" s="115"/>
      <c r="CO1444" s="115"/>
      <c r="CP1444" s="115"/>
      <c r="CQ1444" s="115"/>
      <c r="CR1444" s="115"/>
      <c r="CS1444" s="115"/>
      <c r="CT1444" s="115"/>
      <c r="CU1444" s="115"/>
      <c r="CV1444" s="115"/>
      <c r="CW1444" s="115"/>
      <c r="CX1444" s="115"/>
      <c r="CY1444" s="115"/>
      <c r="CZ1444" s="115"/>
      <c r="DA1444" s="115"/>
      <c r="DB1444" s="115"/>
      <c r="DC1444" s="115"/>
      <c r="DD1444" s="115"/>
      <c r="DE1444" s="115"/>
      <c r="DF1444" s="115"/>
      <c r="DG1444" s="115"/>
    </row>
    <row r="1445" spans="1:111" ht="4.5" customHeight="1">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c r="BY1445" s="115"/>
      <c r="BZ1445" s="115"/>
      <c r="CA1445" s="115"/>
      <c r="CB1445" s="115"/>
      <c r="CC1445" s="115"/>
      <c r="CD1445" s="115"/>
      <c r="CE1445" s="115"/>
      <c r="CF1445" s="115"/>
      <c r="CG1445" s="115"/>
      <c r="CH1445" s="115"/>
      <c r="CI1445" s="115"/>
      <c r="CJ1445" s="115"/>
      <c r="CK1445" s="115"/>
      <c r="CL1445" s="115"/>
      <c r="CM1445" s="115"/>
      <c r="CN1445" s="115"/>
      <c r="CO1445" s="115"/>
      <c r="CP1445" s="115"/>
      <c r="CQ1445" s="115"/>
      <c r="CR1445" s="115"/>
      <c r="CS1445" s="115"/>
      <c r="CT1445" s="115"/>
      <c r="CU1445" s="115"/>
      <c r="CV1445" s="115"/>
      <c r="CW1445" s="115"/>
      <c r="CX1445" s="115"/>
      <c r="CY1445" s="115"/>
      <c r="CZ1445" s="115"/>
      <c r="DA1445" s="115"/>
      <c r="DB1445" s="115"/>
      <c r="DC1445" s="115"/>
      <c r="DD1445" s="115"/>
      <c r="DE1445" s="115"/>
      <c r="DF1445" s="115"/>
      <c r="DG1445" s="115"/>
    </row>
    <row r="1446" spans="1:111" ht="9" customHeight="1">
      <c r="C1446" s="416" t="str">
        <f>IF(C1444="","","Descrição da Despesa:")</f>
        <v/>
      </c>
      <c r="D1446" s="416"/>
      <c r="E1446" s="416"/>
      <c r="F1446" s="416"/>
      <c r="G1446" s="416"/>
      <c r="H1446" s="416"/>
      <c r="I1446" s="60"/>
      <c r="J1446" s="421"/>
      <c r="K1446" s="421"/>
      <c r="L1446" s="421"/>
      <c r="M1446" s="421"/>
      <c r="N1446" s="421"/>
      <c r="O1446" s="421"/>
      <c r="P1446" s="421"/>
      <c r="Q1446" s="421"/>
      <c r="R1446" s="421"/>
      <c r="S1446" s="421"/>
      <c r="T1446" s="421"/>
      <c r="U1446" s="421"/>
      <c r="V1446" s="421"/>
      <c r="W1446" s="421"/>
      <c r="X1446" s="421"/>
      <c r="Y1446" s="421"/>
      <c r="Z1446" s="421"/>
      <c r="AA1446" s="421"/>
      <c r="AB1446" s="421"/>
      <c r="AC1446" s="421"/>
      <c r="AD1446" s="421"/>
      <c r="AE1446" s="421"/>
      <c r="AF1446" s="421"/>
      <c r="AG1446" s="421"/>
      <c r="AH1446" s="421"/>
      <c r="AI1446" s="421"/>
      <c r="AJ1446" s="421"/>
      <c r="AK1446" s="421"/>
      <c r="AL1446" s="421"/>
      <c r="AM1446" s="421"/>
      <c r="AN1446" s="421"/>
      <c r="AO1446" s="421"/>
      <c r="AP1446" s="421"/>
      <c r="AQ1446" s="421"/>
      <c r="AR1446" s="421"/>
      <c r="AS1446" s="421"/>
      <c r="AT1446" s="421"/>
      <c r="AU1446" s="421"/>
      <c r="AV1446" s="421"/>
      <c r="AW1446" s="421"/>
      <c r="AX1446" s="421"/>
      <c r="AY1446" s="421"/>
      <c r="AZ1446" s="421"/>
      <c r="BA1446" s="421"/>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c r="BY1446" s="115"/>
      <c r="BZ1446" s="115"/>
      <c r="CA1446" s="115"/>
      <c r="CB1446" s="115"/>
      <c r="CC1446" s="115"/>
      <c r="CD1446" s="115"/>
      <c r="CE1446" s="115"/>
      <c r="CF1446" s="115"/>
      <c r="CG1446" s="115"/>
      <c r="CH1446" s="115"/>
      <c r="CI1446" s="115"/>
      <c r="CJ1446" s="115"/>
      <c r="CK1446" s="115"/>
      <c r="CL1446" s="115"/>
      <c r="CM1446" s="115"/>
      <c r="CN1446" s="115"/>
      <c r="CO1446" s="115"/>
      <c r="CP1446" s="115"/>
      <c r="CQ1446" s="115"/>
      <c r="CR1446" s="115"/>
      <c r="CS1446" s="115"/>
      <c r="CT1446" s="115"/>
      <c r="CU1446" s="115"/>
      <c r="CV1446" s="115"/>
      <c r="CW1446" s="115"/>
      <c r="CX1446" s="115"/>
      <c r="CY1446" s="115"/>
      <c r="CZ1446" s="115"/>
      <c r="DA1446" s="115"/>
      <c r="DB1446" s="115"/>
      <c r="DC1446" s="115"/>
      <c r="DD1446" s="115"/>
      <c r="DE1446" s="115"/>
      <c r="DF1446" s="115"/>
      <c r="DG1446" s="115"/>
    </row>
    <row r="1447" spans="1:111" ht="9" customHeight="1">
      <c r="C1447" s="416"/>
      <c r="D1447" s="416"/>
      <c r="E1447" s="416"/>
      <c r="F1447" s="416"/>
      <c r="G1447" s="416"/>
      <c r="H1447" s="416"/>
      <c r="I1447" s="60"/>
      <c r="J1447" s="421"/>
      <c r="K1447" s="421"/>
      <c r="L1447" s="421"/>
      <c r="M1447" s="421"/>
      <c r="N1447" s="421"/>
      <c r="O1447" s="421"/>
      <c r="P1447" s="421"/>
      <c r="Q1447" s="421"/>
      <c r="R1447" s="421"/>
      <c r="S1447" s="421"/>
      <c r="T1447" s="421"/>
      <c r="U1447" s="421"/>
      <c r="V1447" s="421"/>
      <c r="W1447" s="421"/>
      <c r="X1447" s="421"/>
      <c r="Y1447" s="421"/>
      <c r="Z1447" s="421"/>
      <c r="AA1447" s="421"/>
      <c r="AB1447" s="421"/>
      <c r="AC1447" s="421"/>
      <c r="AD1447" s="421"/>
      <c r="AE1447" s="421"/>
      <c r="AF1447" s="421"/>
      <c r="AG1447" s="421"/>
      <c r="AH1447" s="421"/>
      <c r="AI1447" s="421"/>
      <c r="AJ1447" s="421"/>
      <c r="AK1447" s="421"/>
      <c r="AL1447" s="421"/>
      <c r="AM1447" s="421"/>
      <c r="AN1447" s="421"/>
      <c r="AO1447" s="421"/>
      <c r="AP1447" s="421"/>
      <c r="AQ1447" s="421"/>
      <c r="AR1447" s="421"/>
      <c r="AS1447" s="421"/>
      <c r="AT1447" s="421"/>
      <c r="AU1447" s="421"/>
      <c r="AV1447" s="421"/>
      <c r="AW1447" s="421"/>
      <c r="AX1447" s="421"/>
      <c r="AY1447" s="421"/>
      <c r="AZ1447" s="421"/>
      <c r="BA1447" s="421"/>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c r="BY1447" s="115"/>
      <c r="BZ1447" s="115"/>
      <c r="CA1447" s="115"/>
      <c r="CB1447" s="115"/>
      <c r="CC1447" s="115"/>
      <c r="CD1447" s="115"/>
      <c r="CE1447" s="115"/>
      <c r="CF1447" s="115"/>
      <c r="CG1447" s="115"/>
      <c r="CH1447" s="115"/>
      <c r="CI1447" s="115"/>
      <c r="CJ1447" s="115"/>
      <c r="CK1447" s="115"/>
      <c r="CL1447" s="115"/>
      <c r="CM1447" s="115"/>
      <c r="CN1447" s="115"/>
      <c r="CO1447" s="115"/>
      <c r="CP1447" s="115"/>
      <c r="CQ1447" s="115"/>
      <c r="CR1447" s="115"/>
      <c r="CS1447" s="115"/>
      <c r="CT1447" s="115"/>
      <c r="CU1447" s="115"/>
      <c r="CV1447" s="115"/>
      <c r="CW1447" s="115"/>
      <c r="CX1447" s="115"/>
      <c r="CY1447" s="115"/>
      <c r="CZ1447" s="115"/>
      <c r="DA1447" s="115"/>
      <c r="DB1447" s="115"/>
      <c r="DC1447" s="115"/>
      <c r="DD1447" s="115"/>
      <c r="DE1447" s="115"/>
      <c r="DF1447" s="115"/>
      <c r="DG1447" s="115"/>
    </row>
    <row r="1448" spans="1:111" ht="9" customHeight="1">
      <c r="C1448" s="416"/>
      <c r="D1448" s="416"/>
      <c r="E1448" s="416"/>
      <c r="F1448" s="416"/>
      <c r="G1448" s="416"/>
      <c r="H1448" s="416"/>
      <c r="I1448" s="60"/>
      <c r="J1448" s="421"/>
      <c r="K1448" s="421"/>
      <c r="L1448" s="421"/>
      <c r="M1448" s="421"/>
      <c r="N1448" s="421"/>
      <c r="O1448" s="421"/>
      <c r="P1448" s="421"/>
      <c r="Q1448" s="421"/>
      <c r="R1448" s="421"/>
      <c r="S1448" s="421"/>
      <c r="T1448" s="421"/>
      <c r="U1448" s="421"/>
      <c r="V1448" s="421"/>
      <c r="W1448" s="421"/>
      <c r="X1448" s="421"/>
      <c r="Y1448" s="421"/>
      <c r="Z1448" s="421"/>
      <c r="AA1448" s="421"/>
      <c r="AB1448" s="421"/>
      <c r="AC1448" s="421"/>
      <c r="AD1448" s="421"/>
      <c r="AE1448" s="421"/>
      <c r="AF1448" s="421"/>
      <c r="AG1448" s="421"/>
      <c r="AH1448" s="421"/>
      <c r="AI1448" s="421"/>
      <c r="AJ1448" s="421"/>
      <c r="AK1448" s="421"/>
      <c r="AL1448" s="421"/>
      <c r="AM1448" s="421"/>
      <c r="AN1448" s="421"/>
      <c r="AO1448" s="421"/>
      <c r="AP1448" s="421"/>
      <c r="AQ1448" s="421"/>
      <c r="AR1448" s="421"/>
      <c r="AS1448" s="421"/>
      <c r="AT1448" s="421"/>
      <c r="AU1448" s="421"/>
      <c r="AV1448" s="421"/>
      <c r="AW1448" s="421"/>
      <c r="AX1448" s="421"/>
      <c r="AY1448" s="421"/>
      <c r="AZ1448" s="421"/>
      <c r="BA1448" s="421"/>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c r="BY1448" s="115"/>
      <c r="BZ1448" s="115"/>
      <c r="CA1448" s="115"/>
      <c r="CB1448" s="115"/>
      <c r="CC1448" s="115"/>
      <c r="CD1448" s="115"/>
      <c r="CE1448" s="115"/>
      <c r="CF1448" s="115"/>
      <c r="CG1448" s="115"/>
      <c r="CH1448" s="115"/>
      <c r="CI1448" s="115"/>
      <c r="CJ1448" s="115"/>
      <c r="CK1448" s="115"/>
      <c r="CL1448" s="115"/>
      <c r="CM1448" s="115"/>
      <c r="CN1448" s="115"/>
      <c r="CO1448" s="115"/>
      <c r="CP1448" s="115"/>
      <c r="CQ1448" s="115"/>
      <c r="CR1448" s="115"/>
      <c r="CS1448" s="115"/>
      <c r="CT1448" s="115"/>
      <c r="CU1448" s="115"/>
      <c r="CV1448" s="115"/>
      <c r="CW1448" s="115"/>
      <c r="CX1448" s="115"/>
      <c r="CY1448" s="115"/>
      <c r="CZ1448" s="115"/>
      <c r="DA1448" s="115"/>
      <c r="DB1448" s="115"/>
      <c r="DC1448" s="115"/>
      <c r="DD1448" s="115"/>
      <c r="DE1448" s="115"/>
      <c r="DF1448" s="115"/>
      <c r="DG1448" s="115"/>
    </row>
    <row r="1449" spans="1:111" ht="4.5" customHeight="1">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c r="BY1449" s="115"/>
      <c r="BZ1449" s="115"/>
      <c r="CA1449" s="115"/>
      <c r="CB1449" s="115"/>
      <c r="CC1449" s="115"/>
      <c r="CD1449" s="115"/>
      <c r="CE1449" s="115"/>
      <c r="CF1449" s="115"/>
      <c r="CG1449" s="115"/>
      <c r="CH1449" s="115"/>
      <c r="CI1449" s="115"/>
      <c r="CJ1449" s="115"/>
      <c r="CK1449" s="115"/>
      <c r="CL1449" s="115"/>
      <c r="CM1449" s="115"/>
      <c r="CN1449" s="115"/>
      <c r="CO1449" s="115"/>
      <c r="CP1449" s="115"/>
      <c r="CQ1449" s="115"/>
      <c r="CR1449" s="115"/>
      <c r="CS1449" s="115"/>
      <c r="CT1449" s="115"/>
      <c r="CU1449" s="115"/>
      <c r="CV1449" s="115"/>
      <c r="CW1449" s="115"/>
      <c r="CX1449" s="115"/>
      <c r="CY1449" s="115"/>
      <c r="CZ1449" s="115"/>
      <c r="DA1449" s="115"/>
      <c r="DB1449" s="115"/>
      <c r="DC1449" s="115"/>
      <c r="DD1449" s="115"/>
      <c r="DE1449" s="115"/>
      <c r="DF1449" s="115"/>
      <c r="DG1449" s="115"/>
    </row>
    <row r="1450" spans="1:111" ht="9" customHeight="1">
      <c r="C1450" s="416" t="str">
        <f>IF(C1444="","","Elemento de Despesa:")</f>
        <v/>
      </c>
      <c r="D1450" s="416"/>
      <c r="E1450" s="416"/>
      <c r="F1450" s="416"/>
      <c r="G1450" s="416"/>
      <c r="H1450" s="416"/>
      <c r="J1450" s="421"/>
      <c r="K1450" s="421"/>
      <c r="L1450" s="421"/>
      <c r="M1450" s="421"/>
      <c r="N1450" s="421"/>
      <c r="O1450" s="421"/>
      <c r="P1450" s="421"/>
      <c r="Q1450" s="421"/>
      <c r="R1450" s="421"/>
      <c r="S1450" s="421"/>
      <c r="T1450" s="421"/>
      <c r="U1450" s="421"/>
      <c r="V1450" s="421"/>
      <c r="W1450" s="421"/>
      <c r="X1450" s="421"/>
      <c r="Y1450" s="421"/>
      <c r="Z1450" s="421"/>
      <c r="AA1450" s="421"/>
      <c r="AB1450" s="421"/>
      <c r="AC1450" s="421"/>
      <c r="AD1450" s="421"/>
      <c r="AE1450" s="421"/>
      <c r="AF1450" s="421"/>
      <c r="AG1450" s="421"/>
      <c r="AH1450" s="421"/>
      <c r="AI1450" s="421"/>
      <c r="AJ1450" s="421"/>
      <c r="AK1450" s="421"/>
      <c r="AL1450" s="421"/>
      <c r="AM1450" s="421"/>
      <c r="AN1450" s="421"/>
      <c r="AO1450" s="421"/>
      <c r="AP1450" s="421"/>
      <c r="AQ1450" s="421"/>
      <c r="AR1450" s="421"/>
      <c r="AS1450" s="421"/>
      <c r="AT1450" s="421"/>
      <c r="AU1450" s="421"/>
      <c r="AV1450" s="421"/>
      <c r="AW1450" s="421"/>
      <c r="AX1450" s="421"/>
      <c r="AY1450" s="421"/>
      <c r="AZ1450" s="421"/>
      <c r="BA1450" s="421"/>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c r="BY1450" s="115"/>
      <c r="BZ1450" s="115"/>
      <c r="CA1450" s="115"/>
      <c r="CB1450" s="115"/>
      <c r="CC1450" s="115"/>
      <c r="CD1450" s="115"/>
      <c r="CE1450" s="115"/>
      <c r="CF1450" s="115"/>
      <c r="CG1450" s="115"/>
      <c r="CH1450" s="115"/>
      <c r="CI1450" s="115"/>
      <c r="CJ1450" s="115"/>
      <c r="CK1450" s="115"/>
      <c r="CL1450" s="115"/>
      <c r="CM1450" s="115"/>
      <c r="CN1450" s="115"/>
      <c r="CO1450" s="115"/>
      <c r="CP1450" s="115"/>
      <c r="CQ1450" s="115"/>
      <c r="CR1450" s="115"/>
      <c r="CS1450" s="115"/>
      <c r="CT1450" s="115"/>
      <c r="CU1450" s="115"/>
      <c r="CV1450" s="115"/>
      <c r="CW1450" s="115"/>
      <c r="CX1450" s="115"/>
      <c r="CY1450" s="115"/>
      <c r="CZ1450" s="115"/>
      <c r="DA1450" s="115"/>
      <c r="DB1450" s="115"/>
      <c r="DC1450" s="115"/>
      <c r="DD1450" s="115"/>
      <c r="DE1450" s="115"/>
      <c r="DF1450" s="115"/>
      <c r="DG1450" s="115"/>
    </row>
    <row r="1451" spans="1:111" ht="9" customHeight="1">
      <c r="C1451" s="416"/>
      <c r="D1451" s="416"/>
      <c r="E1451" s="416"/>
      <c r="F1451" s="416"/>
      <c r="G1451" s="416"/>
      <c r="H1451" s="416"/>
      <c r="J1451" s="421"/>
      <c r="K1451" s="421"/>
      <c r="L1451" s="421"/>
      <c r="M1451" s="421"/>
      <c r="N1451" s="421"/>
      <c r="O1451" s="421"/>
      <c r="P1451" s="421"/>
      <c r="Q1451" s="421"/>
      <c r="R1451" s="421"/>
      <c r="S1451" s="421"/>
      <c r="T1451" s="421"/>
      <c r="U1451" s="421"/>
      <c r="V1451" s="421"/>
      <c r="W1451" s="421"/>
      <c r="X1451" s="421"/>
      <c r="Y1451" s="421"/>
      <c r="Z1451" s="421"/>
      <c r="AA1451" s="421"/>
      <c r="AB1451" s="421"/>
      <c r="AC1451" s="421"/>
      <c r="AD1451" s="421"/>
      <c r="AE1451" s="421"/>
      <c r="AF1451" s="421"/>
      <c r="AG1451" s="421"/>
      <c r="AH1451" s="421"/>
      <c r="AI1451" s="421"/>
      <c r="AJ1451" s="421"/>
      <c r="AK1451" s="421"/>
      <c r="AL1451" s="421"/>
      <c r="AM1451" s="421"/>
      <c r="AN1451" s="421"/>
      <c r="AO1451" s="421"/>
      <c r="AP1451" s="421"/>
      <c r="AQ1451" s="421"/>
      <c r="AR1451" s="421"/>
      <c r="AS1451" s="421"/>
      <c r="AT1451" s="421"/>
      <c r="AU1451" s="421"/>
      <c r="AV1451" s="421"/>
      <c r="AW1451" s="421"/>
      <c r="AX1451" s="421"/>
      <c r="AY1451" s="421"/>
      <c r="AZ1451" s="421"/>
      <c r="BA1451" s="421"/>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c r="BY1451" s="115"/>
      <c r="BZ1451" s="115"/>
      <c r="CA1451" s="115"/>
      <c r="CB1451" s="115"/>
      <c r="CC1451" s="115"/>
      <c r="CD1451" s="115"/>
      <c r="CE1451" s="115"/>
      <c r="CF1451" s="115"/>
      <c r="CG1451" s="115"/>
      <c r="CH1451" s="115"/>
      <c r="CI1451" s="115"/>
      <c r="CJ1451" s="115"/>
      <c r="CK1451" s="115"/>
      <c r="CL1451" s="115"/>
      <c r="CM1451" s="115"/>
      <c r="CN1451" s="115"/>
      <c r="CO1451" s="115"/>
      <c r="CP1451" s="115"/>
      <c r="CQ1451" s="115"/>
      <c r="CR1451" s="115"/>
      <c r="CS1451" s="115"/>
      <c r="CT1451" s="115"/>
      <c r="CU1451" s="115"/>
      <c r="CV1451" s="115"/>
      <c r="CW1451" s="115"/>
      <c r="CX1451" s="115"/>
      <c r="CY1451" s="115"/>
      <c r="CZ1451" s="115"/>
      <c r="DA1451" s="115"/>
      <c r="DB1451" s="115"/>
      <c r="DC1451" s="115"/>
      <c r="DD1451" s="115"/>
      <c r="DE1451" s="115"/>
      <c r="DF1451" s="115"/>
      <c r="DG1451" s="115"/>
    </row>
    <row r="1452" spans="1:111" ht="9" customHeight="1">
      <c r="C1452" s="416"/>
      <c r="D1452" s="416"/>
      <c r="E1452" s="416"/>
      <c r="F1452" s="416"/>
      <c r="G1452" s="416"/>
      <c r="H1452" s="416"/>
      <c r="J1452" s="421"/>
      <c r="K1452" s="421"/>
      <c r="L1452" s="421"/>
      <c r="M1452" s="421"/>
      <c r="N1452" s="421"/>
      <c r="O1452" s="421"/>
      <c r="P1452" s="421"/>
      <c r="Q1452" s="421"/>
      <c r="R1452" s="421"/>
      <c r="S1452" s="421"/>
      <c r="T1452" s="421"/>
      <c r="U1452" s="421"/>
      <c r="V1452" s="421"/>
      <c r="W1452" s="421"/>
      <c r="X1452" s="421"/>
      <c r="Y1452" s="421"/>
      <c r="Z1452" s="421"/>
      <c r="AA1452" s="421"/>
      <c r="AB1452" s="421"/>
      <c r="AC1452" s="421"/>
      <c r="AD1452" s="421"/>
      <c r="AE1452" s="421"/>
      <c r="AF1452" s="421"/>
      <c r="AG1452" s="421"/>
      <c r="AH1452" s="421"/>
      <c r="AI1452" s="421"/>
      <c r="AJ1452" s="421"/>
      <c r="AK1452" s="421"/>
      <c r="AL1452" s="421"/>
      <c r="AM1452" s="421"/>
      <c r="AN1452" s="421"/>
      <c r="AO1452" s="421"/>
      <c r="AP1452" s="421"/>
      <c r="AQ1452" s="421"/>
      <c r="AR1452" s="421"/>
      <c r="AS1452" s="421"/>
      <c r="AT1452" s="421"/>
      <c r="AU1452" s="421"/>
      <c r="AV1452" s="421"/>
      <c r="AW1452" s="421"/>
      <c r="AX1452" s="421"/>
      <c r="AY1452" s="421"/>
      <c r="AZ1452" s="421"/>
      <c r="BA1452" s="421"/>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c r="BY1452" s="115"/>
      <c r="BZ1452" s="115"/>
      <c r="CA1452" s="115"/>
      <c r="CB1452" s="115"/>
      <c r="CC1452" s="115"/>
      <c r="CD1452" s="115"/>
      <c r="CE1452" s="115"/>
      <c r="CF1452" s="115"/>
      <c r="CG1452" s="115"/>
      <c r="CH1452" s="115"/>
      <c r="CI1452" s="115"/>
      <c r="CJ1452" s="115"/>
      <c r="CK1452" s="115"/>
      <c r="CL1452" s="115"/>
      <c r="CM1452" s="115"/>
      <c r="CN1452" s="115"/>
      <c r="CO1452" s="115"/>
      <c r="CP1452" s="115"/>
      <c r="CQ1452" s="115"/>
      <c r="CR1452" s="115"/>
      <c r="CS1452" s="115"/>
      <c r="CT1452" s="115"/>
      <c r="CU1452" s="115"/>
      <c r="CV1452" s="115"/>
      <c r="CW1452" s="115"/>
      <c r="CX1452" s="115"/>
      <c r="CY1452" s="115"/>
      <c r="CZ1452" s="115"/>
      <c r="DA1452" s="115"/>
      <c r="DB1452" s="115"/>
      <c r="DC1452" s="115"/>
      <c r="DD1452" s="115"/>
      <c r="DE1452" s="115"/>
      <c r="DF1452" s="115"/>
      <c r="DG1452" s="115"/>
    </row>
    <row r="1453" spans="1:111" ht="4.5" customHeight="1">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c r="BY1453" s="115"/>
      <c r="BZ1453" s="115"/>
      <c r="CA1453" s="115"/>
      <c r="CB1453" s="115"/>
      <c r="CC1453" s="115"/>
      <c r="CD1453" s="115"/>
      <c r="CE1453" s="115"/>
      <c r="CF1453" s="115"/>
      <c r="CG1453" s="115"/>
      <c r="CH1453" s="115"/>
      <c r="CI1453" s="115"/>
      <c r="CJ1453" s="115"/>
      <c r="CK1453" s="115"/>
      <c r="CL1453" s="115"/>
      <c r="CM1453" s="115"/>
      <c r="CN1453" s="115"/>
      <c r="CO1453" s="115"/>
      <c r="CP1453" s="115"/>
      <c r="CQ1453" s="115"/>
      <c r="CR1453" s="115"/>
      <c r="CS1453" s="115"/>
      <c r="CT1453" s="115"/>
      <c r="CU1453" s="115"/>
      <c r="CV1453" s="115"/>
      <c r="CW1453" s="115"/>
      <c r="CX1453" s="115"/>
      <c r="CY1453" s="115"/>
      <c r="CZ1453" s="115"/>
      <c r="DA1453" s="115"/>
      <c r="DB1453" s="115"/>
      <c r="DC1453" s="115"/>
      <c r="DD1453" s="115"/>
      <c r="DE1453" s="115"/>
      <c r="DF1453" s="115"/>
      <c r="DG1453" s="115"/>
    </row>
    <row r="1454" spans="1:111" ht="9" customHeight="1">
      <c r="A1454" s="61" t="str">
        <f>CONCATENATE(Q1454,AC1454)</f>
        <v/>
      </c>
      <c r="J1454" s="416" t="str">
        <f>IF(C1444="","","Meta Vinculada:")</f>
        <v/>
      </c>
      <c r="K1454" s="416"/>
      <c r="L1454" s="416"/>
      <c r="M1454" s="416"/>
      <c r="N1454" s="416"/>
      <c r="O1454" s="416"/>
      <c r="Q1454" s="417"/>
      <c r="R1454" s="417"/>
      <c r="S1454" s="417"/>
      <c r="T1454" s="417"/>
      <c r="U1454" s="56"/>
      <c r="V1454" s="416" t="str">
        <f>IF(C1444="","","Etapa Vinculada:")</f>
        <v/>
      </c>
      <c r="W1454" s="416"/>
      <c r="X1454" s="416"/>
      <c r="Y1454" s="416"/>
      <c r="Z1454" s="416"/>
      <c r="AA1454" s="416"/>
      <c r="AC1454" s="417"/>
      <c r="AD1454" s="417"/>
      <c r="AE1454" s="417"/>
      <c r="AF1454" s="417"/>
      <c r="AG1454" s="56"/>
      <c r="AH1454" s="56"/>
      <c r="AI1454" s="56"/>
      <c r="AJ1454" s="56"/>
      <c r="AK1454" s="141"/>
      <c r="AL1454" s="141"/>
      <c r="AM1454" s="141"/>
      <c r="AN1454" s="141"/>
      <c r="AO1454" s="140"/>
      <c r="AP1454" s="140"/>
      <c r="AQ1454" s="140"/>
      <c r="AR1454" s="140"/>
      <c r="AS1454" s="142"/>
      <c r="AT1454" s="142"/>
      <c r="AU1454" s="142"/>
      <c r="AV1454" s="142"/>
      <c r="AW1454" s="140"/>
      <c r="AX1454" s="140"/>
      <c r="AY1454" s="140"/>
      <c r="AZ1454" s="140"/>
      <c r="BA1454" s="140"/>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c r="BY1454" s="115"/>
      <c r="BZ1454" s="115"/>
      <c r="CA1454" s="115"/>
      <c r="CB1454" s="115"/>
      <c r="CC1454" s="115"/>
      <c r="CD1454" s="115"/>
      <c r="CE1454" s="115"/>
      <c r="CF1454" s="115"/>
      <c r="CG1454" s="115"/>
      <c r="CH1454" s="115"/>
      <c r="CI1454" s="115"/>
      <c r="CJ1454" s="115"/>
      <c r="CK1454" s="115"/>
      <c r="CL1454" s="115"/>
      <c r="CM1454" s="115"/>
      <c r="CN1454" s="115"/>
      <c r="CO1454" s="115"/>
      <c r="CP1454" s="115"/>
      <c r="CQ1454" s="115"/>
      <c r="CR1454" s="115"/>
      <c r="CS1454" s="115"/>
      <c r="CT1454" s="115"/>
      <c r="CU1454" s="115"/>
      <c r="CV1454" s="115"/>
      <c r="CW1454" s="115"/>
      <c r="CX1454" s="115"/>
      <c r="CY1454" s="115"/>
      <c r="CZ1454" s="115"/>
      <c r="DA1454" s="115"/>
      <c r="DB1454" s="115"/>
      <c r="DC1454" s="115"/>
      <c r="DD1454" s="115"/>
      <c r="DE1454" s="115"/>
      <c r="DF1454" s="115"/>
      <c r="DG1454" s="115"/>
    </row>
    <row r="1455" spans="1:111" ht="9" customHeight="1">
      <c r="B1455" s="55"/>
      <c r="C1455" s="55"/>
      <c r="D1455" s="56"/>
      <c r="E1455" s="56"/>
      <c r="F1455" s="56"/>
      <c r="G1455" s="56"/>
      <c r="H1455" s="56"/>
      <c r="I1455" s="56"/>
      <c r="J1455" s="416"/>
      <c r="K1455" s="416"/>
      <c r="L1455" s="416"/>
      <c r="M1455" s="416"/>
      <c r="N1455" s="416"/>
      <c r="O1455" s="416"/>
      <c r="Q1455" s="417"/>
      <c r="R1455" s="417"/>
      <c r="S1455" s="417"/>
      <c r="T1455" s="417"/>
      <c r="U1455" s="56"/>
      <c r="V1455" s="416"/>
      <c r="W1455" s="416"/>
      <c r="X1455" s="416"/>
      <c r="Y1455" s="416"/>
      <c r="Z1455" s="416"/>
      <c r="AA1455" s="416"/>
      <c r="AC1455" s="417"/>
      <c r="AD1455" s="417"/>
      <c r="AE1455" s="417"/>
      <c r="AF1455" s="417"/>
      <c r="AG1455" s="56"/>
      <c r="AH1455" s="56"/>
      <c r="AI1455" s="56"/>
      <c r="AJ1455" s="56"/>
      <c r="AK1455" s="141"/>
      <c r="AL1455" s="141"/>
      <c r="AM1455" s="141"/>
      <c r="AN1455" s="141"/>
      <c r="AO1455" s="140"/>
      <c r="AP1455" s="140"/>
      <c r="AQ1455" s="140"/>
      <c r="AR1455" s="140"/>
      <c r="AS1455" s="142"/>
      <c r="AT1455" s="142"/>
      <c r="AU1455" s="142"/>
      <c r="AV1455" s="142"/>
      <c r="AW1455" s="140"/>
      <c r="AX1455" s="140"/>
      <c r="AY1455" s="140"/>
      <c r="AZ1455" s="140"/>
      <c r="BA1455" s="140"/>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c r="BY1455" s="115"/>
      <c r="BZ1455" s="115"/>
      <c r="CA1455" s="115"/>
      <c r="CB1455" s="115"/>
      <c r="CC1455" s="115"/>
      <c r="CD1455" s="115"/>
      <c r="CE1455" s="115"/>
      <c r="CF1455" s="115"/>
      <c r="CG1455" s="115"/>
      <c r="CH1455" s="115"/>
      <c r="CI1455" s="115"/>
      <c r="CJ1455" s="115"/>
      <c r="CK1455" s="115"/>
      <c r="CL1455" s="115"/>
      <c r="CM1455" s="115"/>
      <c r="CN1455" s="115"/>
      <c r="CO1455" s="115"/>
      <c r="CP1455" s="115"/>
      <c r="CQ1455" s="115"/>
      <c r="CR1455" s="115"/>
      <c r="CS1455" s="115"/>
      <c r="CT1455" s="115"/>
      <c r="CU1455" s="115"/>
      <c r="CV1455" s="115"/>
      <c r="CW1455" s="115"/>
      <c r="CX1455" s="115"/>
      <c r="CY1455" s="115"/>
      <c r="CZ1455" s="115"/>
      <c r="DA1455" s="115"/>
      <c r="DB1455" s="115"/>
      <c r="DC1455" s="115"/>
      <c r="DD1455" s="115"/>
      <c r="DE1455" s="115"/>
      <c r="DF1455" s="115"/>
      <c r="DG1455" s="115"/>
    </row>
    <row r="1456" spans="1:111" ht="9" customHeight="1">
      <c r="Q1456" s="417"/>
      <c r="R1456" s="417"/>
      <c r="S1456" s="417"/>
      <c r="T1456" s="417"/>
      <c r="AC1456" s="417"/>
      <c r="AD1456" s="417"/>
      <c r="AE1456" s="417"/>
      <c r="AF1456" s="417"/>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c r="BY1456" s="115"/>
      <c r="BZ1456" s="115"/>
      <c r="CA1456" s="115"/>
      <c r="CB1456" s="115"/>
      <c r="CC1456" s="115"/>
      <c r="CD1456" s="115"/>
      <c r="CE1456" s="115"/>
      <c r="CF1456" s="115"/>
      <c r="CG1456" s="115"/>
      <c r="CH1456" s="115"/>
      <c r="CI1456" s="115"/>
      <c r="CJ1456" s="115"/>
      <c r="CK1456" s="115"/>
      <c r="CL1456" s="115"/>
      <c r="CM1456" s="115"/>
      <c r="CN1456" s="115"/>
      <c r="CO1456" s="115"/>
      <c r="CP1456" s="115"/>
      <c r="CQ1456" s="115"/>
      <c r="CR1456" s="115"/>
      <c r="CS1456" s="115"/>
      <c r="CT1456" s="115"/>
      <c r="CU1456" s="115"/>
      <c r="CV1456" s="115"/>
      <c r="CW1456" s="115"/>
      <c r="CX1456" s="115"/>
      <c r="CY1456" s="115"/>
      <c r="CZ1456" s="115"/>
      <c r="DA1456" s="115"/>
      <c r="DB1456" s="115"/>
      <c r="DC1456" s="115"/>
      <c r="DD1456" s="115"/>
      <c r="DE1456" s="115"/>
      <c r="DF1456" s="115"/>
      <c r="DG1456" s="115"/>
    </row>
    <row r="1457" spans="1:111" ht="4.5" customHeight="1">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c r="BY1457" s="115"/>
      <c r="BZ1457" s="115"/>
      <c r="CA1457" s="115"/>
      <c r="CB1457" s="115"/>
      <c r="CC1457" s="115"/>
      <c r="CD1457" s="115"/>
      <c r="CE1457" s="115"/>
      <c r="CF1457" s="115"/>
      <c r="CG1457" s="115"/>
      <c r="CH1457" s="115"/>
      <c r="CI1457" s="115"/>
      <c r="CJ1457" s="115"/>
      <c r="CK1457" s="115"/>
      <c r="CL1457" s="115"/>
      <c r="CM1457" s="115"/>
      <c r="CN1457" s="115"/>
      <c r="CO1457" s="115"/>
      <c r="CP1457" s="115"/>
      <c r="CQ1457" s="115"/>
      <c r="CR1457" s="115"/>
      <c r="CS1457" s="115"/>
      <c r="CT1457" s="115"/>
      <c r="CU1457" s="115"/>
      <c r="CV1457" s="115"/>
      <c r="CW1457" s="115"/>
      <c r="CX1457" s="115"/>
      <c r="CY1457" s="115"/>
      <c r="CZ1457" s="115"/>
      <c r="DA1457" s="115"/>
      <c r="DB1457" s="115"/>
      <c r="DC1457" s="115"/>
      <c r="DD1457" s="115"/>
      <c r="DE1457" s="115"/>
      <c r="DF1457" s="115"/>
      <c r="DG1457" s="115"/>
    </row>
    <row r="1458" spans="1:111" ht="9" customHeight="1">
      <c r="A1458" s="154"/>
      <c r="B1458" s="154"/>
      <c r="C1458" s="154"/>
      <c r="D1458" s="154"/>
      <c r="E1458" s="154"/>
      <c r="F1458" s="154"/>
      <c r="G1458" s="154"/>
      <c r="H1458" s="154"/>
      <c r="I1458" s="154"/>
      <c r="J1458" s="416" t="str">
        <f>IF(C1444="","","Quantidade:")</f>
        <v/>
      </c>
      <c r="K1458" s="416"/>
      <c r="L1458" s="416"/>
      <c r="M1458" s="416"/>
      <c r="N1458" s="416"/>
      <c r="O1458" s="416"/>
      <c r="P1458" s="154"/>
      <c r="Q1458" s="417"/>
      <c r="R1458" s="417"/>
      <c r="S1458" s="417"/>
      <c r="T1458" s="417"/>
      <c r="U1458" s="154"/>
      <c r="V1458" s="416" t="str">
        <f>IF(C1444="","","Unidade:")</f>
        <v/>
      </c>
      <c r="W1458" s="416"/>
      <c r="X1458" s="416"/>
      <c r="Y1458" s="416"/>
      <c r="Z1458" s="416"/>
      <c r="AA1458" s="416"/>
      <c r="AB1458" s="154"/>
      <c r="AC1458" s="418"/>
      <c r="AD1458" s="418"/>
      <c r="AE1458" s="418"/>
      <c r="AF1458" s="418"/>
      <c r="AG1458" s="418"/>
      <c r="AH1458" s="418"/>
      <c r="AI1458" s="418"/>
      <c r="AJ1458" s="418"/>
      <c r="AK1458" s="418"/>
      <c r="AL1458" s="418"/>
      <c r="AM1458" s="418"/>
      <c r="AN1458" s="418"/>
      <c r="AO1458" s="418"/>
      <c r="AP1458" s="418"/>
      <c r="AQ1458" s="418"/>
      <c r="AR1458" s="418"/>
      <c r="AS1458" s="418"/>
      <c r="AT1458" s="418"/>
      <c r="AU1458" s="418"/>
      <c r="AV1458" s="418"/>
      <c r="AW1458" s="418"/>
      <c r="AX1458" s="418"/>
      <c r="AY1458" s="418"/>
      <c r="AZ1458" s="418"/>
      <c r="BA1458" s="418"/>
      <c r="BB1458" s="154"/>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c r="BY1458" s="115"/>
      <c r="BZ1458" s="115"/>
      <c r="CA1458" s="115"/>
      <c r="CB1458" s="115"/>
      <c r="CC1458" s="115"/>
      <c r="CD1458" s="115"/>
      <c r="CE1458" s="115"/>
      <c r="CF1458" s="115"/>
      <c r="CG1458" s="115"/>
      <c r="CH1458" s="115"/>
      <c r="CI1458" s="115"/>
      <c r="CJ1458" s="115"/>
      <c r="CK1458" s="115"/>
      <c r="CL1458" s="115"/>
      <c r="CM1458" s="115"/>
      <c r="CN1458" s="115"/>
      <c r="CO1458" s="115"/>
      <c r="CP1458" s="115"/>
      <c r="CQ1458" s="115"/>
      <c r="CR1458" s="115"/>
      <c r="CS1458" s="115"/>
      <c r="CT1458" s="115"/>
      <c r="CU1458" s="115"/>
      <c r="CV1458" s="115"/>
      <c r="CW1458" s="115"/>
      <c r="CX1458" s="115"/>
      <c r="CY1458" s="115"/>
      <c r="CZ1458" s="115"/>
      <c r="DA1458" s="115"/>
      <c r="DB1458" s="115"/>
      <c r="DC1458" s="115"/>
      <c r="DD1458" s="115"/>
      <c r="DE1458" s="115"/>
      <c r="DF1458" s="115"/>
      <c r="DG1458" s="115"/>
    </row>
    <row r="1459" spans="1:111" ht="9" customHeight="1">
      <c r="A1459" s="154"/>
      <c r="B1459" s="154"/>
      <c r="C1459" s="154"/>
      <c r="D1459" s="154"/>
      <c r="E1459" s="154"/>
      <c r="F1459" s="154"/>
      <c r="G1459" s="154"/>
      <c r="H1459" s="154"/>
      <c r="I1459" s="154"/>
      <c r="J1459" s="416"/>
      <c r="K1459" s="416"/>
      <c r="L1459" s="416"/>
      <c r="M1459" s="416"/>
      <c r="N1459" s="416"/>
      <c r="O1459" s="416"/>
      <c r="P1459" s="154"/>
      <c r="Q1459" s="417"/>
      <c r="R1459" s="417"/>
      <c r="S1459" s="417"/>
      <c r="T1459" s="417"/>
      <c r="U1459" s="154"/>
      <c r="V1459" s="416"/>
      <c r="W1459" s="416"/>
      <c r="X1459" s="416"/>
      <c r="Y1459" s="416"/>
      <c r="Z1459" s="416"/>
      <c r="AA1459" s="416"/>
      <c r="AB1459" s="154"/>
      <c r="AC1459" s="418"/>
      <c r="AD1459" s="418"/>
      <c r="AE1459" s="418"/>
      <c r="AF1459" s="418"/>
      <c r="AG1459" s="418"/>
      <c r="AH1459" s="418"/>
      <c r="AI1459" s="418"/>
      <c r="AJ1459" s="418"/>
      <c r="AK1459" s="418"/>
      <c r="AL1459" s="418"/>
      <c r="AM1459" s="418"/>
      <c r="AN1459" s="418"/>
      <c r="AO1459" s="418"/>
      <c r="AP1459" s="418"/>
      <c r="AQ1459" s="418"/>
      <c r="AR1459" s="418"/>
      <c r="AS1459" s="418"/>
      <c r="AT1459" s="418"/>
      <c r="AU1459" s="418"/>
      <c r="AV1459" s="418"/>
      <c r="AW1459" s="418"/>
      <c r="AX1459" s="418"/>
      <c r="AY1459" s="418"/>
      <c r="AZ1459" s="418"/>
      <c r="BA1459" s="418"/>
      <c r="BB1459" s="154"/>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c r="BY1459" s="115"/>
      <c r="BZ1459" s="115"/>
      <c r="CA1459" s="115"/>
      <c r="CB1459" s="115"/>
      <c r="CC1459" s="115"/>
      <c r="CD1459" s="115"/>
      <c r="CE1459" s="115"/>
      <c r="CF1459" s="115"/>
      <c r="CG1459" s="115"/>
      <c r="CH1459" s="115"/>
      <c r="CI1459" s="115"/>
      <c r="CJ1459" s="115"/>
      <c r="CK1459" s="115"/>
      <c r="CL1459" s="115"/>
      <c r="CM1459" s="115"/>
      <c r="CN1459" s="115"/>
      <c r="CO1459" s="115"/>
      <c r="CP1459" s="115"/>
      <c r="CQ1459" s="115"/>
      <c r="CR1459" s="115"/>
      <c r="CS1459" s="115"/>
      <c r="CT1459" s="115"/>
      <c r="CU1459" s="115"/>
      <c r="CV1459" s="115"/>
      <c r="CW1459" s="115"/>
      <c r="CX1459" s="115"/>
      <c r="CY1459" s="115"/>
      <c r="CZ1459" s="115"/>
      <c r="DA1459" s="115"/>
      <c r="DB1459" s="115"/>
      <c r="DC1459" s="115"/>
      <c r="DD1459" s="115"/>
      <c r="DE1459" s="115"/>
      <c r="DF1459" s="115"/>
      <c r="DG1459" s="115"/>
    </row>
    <row r="1460" spans="1:111" ht="9" customHeight="1">
      <c r="A1460" s="154"/>
      <c r="B1460" s="154"/>
      <c r="C1460" s="154"/>
      <c r="D1460" s="154"/>
      <c r="E1460" s="154"/>
      <c r="F1460" s="154"/>
      <c r="G1460" s="154"/>
      <c r="H1460" s="154"/>
      <c r="I1460" s="154"/>
      <c r="J1460" s="154"/>
      <c r="K1460" s="154"/>
      <c r="L1460" s="154"/>
      <c r="M1460" s="154"/>
      <c r="N1460" s="154"/>
      <c r="O1460" s="154"/>
      <c r="P1460" s="154"/>
      <c r="Q1460" s="417"/>
      <c r="R1460" s="417"/>
      <c r="S1460" s="417"/>
      <c r="T1460" s="417"/>
      <c r="U1460" s="154"/>
      <c r="V1460" s="154"/>
      <c r="W1460" s="154"/>
      <c r="X1460" s="154"/>
      <c r="Y1460" s="154"/>
      <c r="Z1460" s="154"/>
      <c r="AA1460" s="154"/>
      <c r="AB1460" s="154"/>
      <c r="AC1460" s="418"/>
      <c r="AD1460" s="418"/>
      <c r="AE1460" s="418"/>
      <c r="AF1460" s="418"/>
      <c r="AG1460" s="418"/>
      <c r="AH1460" s="418"/>
      <c r="AI1460" s="418"/>
      <c r="AJ1460" s="418"/>
      <c r="AK1460" s="418"/>
      <c r="AL1460" s="418"/>
      <c r="AM1460" s="418"/>
      <c r="AN1460" s="418"/>
      <c r="AO1460" s="418"/>
      <c r="AP1460" s="418"/>
      <c r="AQ1460" s="418"/>
      <c r="AR1460" s="418"/>
      <c r="AS1460" s="418"/>
      <c r="AT1460" s="418"/>
      <c r="AU1460" s="418"/>
      <c r="AV1460" s="418"/>
      <c r="AW1460" s="418"/>
      <c r="AX1460" s="418"/>
      <c r="AY1460" s="418"/>
      <c r="AZ1460" s="418"/>
      <c r="BA1460" s="418"/>
      <c r="BB1460" s="154"/>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c r="BY1460" s="115"/>
      <c r="BZ1460" s="115"/>
      <c r="CA1460" s="115"/>
      <c r="CB1460" s="115"/>
      <c r="CC1460" s="115"/>
      <c r="CD1460" s="115"/>
      <c r="CE1460" s="115"/>
      <c r="CF1460" s="115"/>
      <c r="CG1460" s="115"/>
      <c r="CH1460" s="115"/>
      <c r="CI1460" s="115"/>
      <c r="CJ1460" s="115"/>
      <c r="CK1460" s="115"/>
      <c r="CL1460" s="115"/>
      <c r="CM1460" s="115"/>
      <c r="CN1460" s="115"/>
      <c r="CO1460" s="115"/>
      <c r="CP1460" s="115"/>
      <c r="CQ1460" s="115"/>
      <c r="CR1460" s="115"/>
      <c r="CS1460" s="115"/>
      <c r="CT1460" s="115"/>
      <c r="CU1460" s="115"/>
      <c r="CV1460" s="115"/>
      <c r="CW1460" s="115"/>
      <c r="CX1460" s="115"/>
      <c r="CY1460" s="115"/>
      <c r="CZ1460" s="115"/>
      <c r="DA1460" s="115"/>
      <c r="DB1460" s="115"/>
      <c r="DC1460" s="115"/>
      <c r="DD1460" s="115"/>
      <c r="DE1460" s="115"/>
      <c r="DF1460" s="115"/>
      <c r="DG1460" s="115"/>
    </row>
    <row r="1461" spans="1:111" ht="4.5" customHeight="1">
      <c r="A1461" s="154"/>
      <c r="B1461" s="154"/>
      <c r="C1461" s="154"/>
      <c r="D1461" s="154"/>
      <c r="E1461" s="154"/>
      <c r="F1461" s="154"/>
      <c r="G1461" s="154"/>
      <c r="H1461" s="154"/>
      <c r="I1461" s="154"/>
      <c r="J1461" s="154"/>
      <c r="K1461" s="154"/>
      <c r="L1461" s="154"/>
      <c r="M1461" s="154"/>
      <c r="N1461" s="154"/>
      <c r="O1461" s="154"/>
      <c r="P1461" s="154"/>
      <c r="Q1461" s="154"/>
      <c r="R1461" s="154"/>
      <c r="S1461" s="154"/>
      <c r="T1461" s="154"/>
      <c r="U1461" s="154"/>
      <c r="V1461" s="154"/>
      <c r="W1461" s="154"/>
      <c r="X1461" s="154"/>
      <c r="Y1461" s="154"/>
      <c r="Z1461" s="154"/>
      <c r="AA1461" s="154"/>
      <c r="AB1461" s="154"/>
      <c r="AC1461" s="154"/>
      <c r="AD1461" s="154"/>
      <c r="AE1461" s="154"/>
      <c r="AF1461" s="154"/>
      <c r="AG1461" s="154"/>
      <c r="AH1461" s="154"/>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c r="BY1461" s="115"/>
      <c r="BZ1461" s="115"/>
      <c r="CA1461" s="115"/>
      <c r="CB1461" s="115"/>
      <c r="CC1461" s="115"/>
      <c r="CD1461" s="115"/>
      <c r="CE1461" s="115"/>
      <c r="CF1461" s="115"/>
      <c r="CG1461" s="115"/>
      <c r="CH1461" s="115"/>
      <c r="CI1461" s="115"/>
      <c r="CJ1461" s="115"/>
      <c r="CK1461" s="115"/>
      <c r="CL1461" s="115"/>
      <c r="CM1461" s="115"/>
      <c r="CN1461" s="115"/>
      <c r="CO1461" s="115"/>
      <c r="CP1461" s="115"/>
      <c r="CQ1461" s="115"/>
      <c r="CR1461" s="115"/>
      <c r="CS1461" s="115"/>
      <c r="CT1461" s="115"/>
      <c r="CU1461" s="115"/>
      <c r="CV1461" s="115"/>
      <c r="CW1461" s="115"/>
      <c r="CX1461" s="115"/>
      <c r="CY1461" s="115"/>
      <c r="CZ1461" s="115"/>
      <c r="DA1461" s="115"/>
      <c r="DB1461" s="115"/>
      <c r="DC1461" s="115"/>
      <c r="DD1461" s="115"/>
      <c r="DE1461" s="115"/>
      <c r="DF1461" s="115"/>
      <c r="DG1461" s="115"/>
    </row>
    <row r="1462" spans="1:111" ht="9" customHeight="1">
      <c r="A1462" s="154"/>
      <c r="B1462" s="154"/>
      <c r="C1462" s="154"/>
      <c r="D1462" s="154"/>
      <c r="E1462" s="154"/>
      <c r="F1462" s="154"/>
      <c r="G1462" s="154"/>
      <c r="H1462" s="154"/>
      <c r="I1462" s="154"/>
      <c r="J1462" s="416" t="str">
        <f>IF(C1444="","","Valor Unitário (R$):")</f>
        <v/>
      </c>
      <c r="K1462" s="416"/>
      <c r="L1462" s="416"/>
      <c r="M1462" s="416"/>
      <c r="N1462" s="416"/>
      <c r="O1462" s="416"/>
      <c r="P1462" s="154"/>
      <c r="Q1462" s="419"/>
      <c r="R1462" s="419"/>
      <c r="S1462" s="419"/>
      <c r="T1462" s="419"/>
      <c r="U1462" s="419"/>
      <c r="V1462" s="419"/>
      <c r="W1462" s="419"/>
      <c r="X1462" s="419"/>
      <c r="Y1462" s="154"/>
      <c r="Z1462" s="416" t="str">
        <f>IF(C1444="","",IF(J1450="52 Equipamentos e Material Permanente","Tempo de Uso:",""))</f>
        <v/>
      </c>
      <c r="AA1462" s="416"/>
      <c r="AB1462" s="416"/>
      <c r="AC1462" s="416"/>
      <c r="AD1462" s="416"/>
      <c r="AE1462" s="416"/>
      <c r="AF1462" s="154"/>
      <c r="AG1462" s="420"/>
      <c r="AH1462" s="420"/>
      <c r="AI1462" s="420"/>
      <c r="AJ1462" s="420"/>
      <c r="AK1462" s="420"/>
      <c r="AL1462" s="420"/>
      <c r="AM1462" s="420"/>
      <c r="AN1462" s="420"/>
      <c r="AO1462" s="420"/>
      <c r="AP1462" s="420"/>
      <c r="AQ1462" s="420"/>
      <c r="AR1462" s="420"/>
      <c r="AS1462" s="420"/>
      <c r="AT1462" s="420"/>
      <c r="AU1462" s="420"/>
      <c r="AV1462" s="420"/>
      <c r="AW1462" s="420"/>
      <c r="AX1462" s="420"/>
      <c r="AY1462" s="420"/>
      <c r="AZ1462" s="420"/>
      <c r="BA1462" s="420"/>
      <c r="BB1462" s="154"/>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c r="BY1462" s="115"/>
      <c r="BZ1462" s="115"/>
      <c r="CA1462" s="115"/>
      <c r="CB1462" s="115"/>
      <c r="CC1462" s="115"/>
      <c r="CD1462" s="115"/>
      <c r="CE1462" s="115"/>
      <c r="CF1462" s="115"/>
      <c r="CG1462" s="115"/>
      <c r="CH1462" s="115"/>
      <c r="CI1462" s="115"/>
      <c r="CJ1462" s="115"/>
      <c r="CK1462" s="115"/>
      <c r="CL1462" s="115"/>
      <c r="CM1462" s="115"/>
      <c r="CN1462" s="115"/>
      <c r="CO1462" s="115"/>
      <c r="CP1462" s="115"/>
      <c r="CQ1462" s="115"/>
      <c r="CR1462" s="115"/>
      <c r="CS1462" s="115"/>
      <c r="CT1462" s="115"/>
      <c r="CU1462" s="115"/>
      <c r="CV1462" s="115"/>
      <c r="CW1462" s="115"/>
      <c r="CX1462" s="115"/>
      <c r="CY1462" s="115"/>
      <c r="CZ1462" s="115"/>
      <c r="DA1462" s="115"/>
      <c r="DB1462" s="115"/>
      <c r="DC1462" s="115"/>
      <c r="DD1462" s="115"/>
      <c r="DE1462" s="115"/>
      <c r="DF1462" s="115"/>
      <c r="DG1462" s="115"/>
    </row>
    <row r="1463" spans="1:111" ht="9" customHeight="1">
      <c r="A1463" s="154"/>
      <c r="B1463" s="154"/>
      <c r="C1463" s="154"/>
      <c r="D1463" s="154"/>
      <c r="E1463" s="154"/>
      <c r="F1463" s="154"/>
      <c r="G1463" s="154"/>
      <c r="H1463" s="154"/>
      <c r="I1463" s="154"/>
      <c r="J1463" s="416"/>
      <c r="K1463" s="416"/>
      <c r="L1463" s="416"/>
      <c r="M1463" s="416"/>
      <c r="N1463" s="416"/>
      <c r="O1463" s="416"/>
      <c r="P1463" s="154"/>
      <c r="Q1463" s="419"/>
      <c r="R1463" s="419"/>
      <c r="S1463" s="419"/>
      <c r="T1463" s="419"/>
      <c r="U1463" s="419"/>
      <c r="V1463" s="419"/>
      <c r="W1463" s="419"/>
      <c r="X1463" s="419"/>
      <c r="Y1463" s="154"/>
      <c r="Z1463" s="416"/>
      <c r="AA1463" s="416"/>
      <c r="AB1463" s="416"/>
      <c r="AC1463" s="416"/>
      <c r="AD1463" s="416"/>
      <c r="AE1463" s="416"/>
      <c r="AF1463" s="154"/>
      <c r="AG1463" s="420"/>
      <c r="AH1463" s="420"/>
      <c r="AI1463" s="420"/>
      <c r="AJ1463" s="420"/>
      <c r="AK1463" s="420"/>
      <c r="AL1463" s="420"/>
      <c r="AM1463" s="420"/>
      <c r="AN1463" s="420"/>
      <c r="AO1463" s="420"/>
      <c r="AP1463" s="420"/>
      <c r="AQ1463" s="420"/>
      <c r="AR1463" s="420"/>
      <c r="AS1463" s="420"/>
      <c r="AT1463" s="420"/>
      <c r="AU1463" s="420"/>
      <c r="AV1463" s="420"/>
      <c r="AW1463" s="420"/>
      <c r="AX1463" s="420"/>
      <c r="AY1463" s="420"/>
      <c r="AZ1463" s="420"/>
      <c r="BA1463" s="420"/>
      <c r="BB1463" s="154"/>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c r="BY1463" s="115"/>
      <c r="BZ1463" s="115"/>
      <c r="CA1463" s="115"/>
      <c r="CB1463" s="115"/>
      <c r="CC1463" s="115"/>
      <c r="CD1463" s="115"/>
      <c r="CE1463" s="115"/>
      <c r="CF1463" s="115"/>
      <c r="CG1463" s="115"/>
      <c r="CH1463" s="115"/>
      <c r="CI1463" s="115"/>
      <c r="CJ1463" s="115"/>
      <c r="CK1463" s="115"/>
      <c r="CL1463" s="115"/>
      <c r="CM1463" s="115"/>
      <c r="CN1463" s="115"/>
      <c r="CO1463" s="115"/>
      <c r="CP1463" s="115"/>
      <c r="CQ1463" s="115"/>
      <c r="CR1463" s="115"/>
      <c r="CS1463" s="115"/>
      <c r="CT1463" s="115"/>
      <c r="CU1463" s="115"/>
      <c r="CV1463" s="115"/>
      <c r="CW1463" s="115"/>
      <c r="CX1463" s="115"/>
      <c r="CY1463" s="115"/>
      <c r="CZ1463" s="115"/>
      <c r="DA1463" s="115"/>
      <c r="DB1463" s="115"/>
      <c r="DC1463" s="115"/>
      <c r="DD1463" s="115"/>
      <c r="DE1463" s="115"/>
      <c r="DF1463" s="115"/>
      <c r="DG1463" s="115"/>
    </row>
    <row r="1464" spans="1:111" ht="9" customHeight="1">
      <c r="A1464" s="154"/>
      <c r="B1464" s="154"/>
      <c r="C1464" s="154"/>
      <c r="D1464" s="154"/>
      <c r="E1464" s="154"/>
      <c r="F1464" s="154"/>
      <c r="G1464" s="154"/>
      <c r="H1464" s="154"/>
      <c r="I1464" s="154"/>
      <c r="J1464" s="154"/>
      <c r="K1464" s="154"/>
      <c r="L1464" s="154"/>
      <c r="M1464" s="154"/>
      <c r="N1464" s="154"/>
      <c r="O1464" s="154"/>
      <c r="P1464" s="154"/>
      <c r="Q1464" s="419"/>
      <c r="R1464" s="419"/>
      <c r="S1464" s="419"/>
      <c r="T1464" s="419"/>
      <c r="U1464" s="419"/>
      <c r="V1464" s="419"/>
      <c r="W1464" s="419"/>
      <c r="X1464" s="419"/>
      <c r="Y1464" s="154"/>
      <c r="Z1464" s="154"/>
      <c r="AA1464" s="154"/>
      <c r="AB1464" s="154"/>
      <c r="AC1464" s="154"/>
      <c r="AD1464" s="154"/>
      <c r="AE1464" s="154"/>
      <c r="AF1464" s="154"/>
      <c r="AG1464" s="420"/>
      <c r="AH1464" s="420"/>
      <c r="AI1464" s="420"/>
      <c r="AJ1464" s="420"/>
      <c r="AK1464" s="420"/>
      <c r="AL1464" s="420"/>
      <c r="AM1464" s="420"/>
      <c r="AN1464" s="420"/>
      <c r="AO1464" s="420"/>
      <c r="AP1464" s="420"/>
      <c r="AQ1464" s="420"/>
      <c r="AR1464" s="420"/>
      <c r="AS1464" s="420"/>
      <c r="AT1464" s="420"/>
      <c r="AU1464" s="420"/>
      <c r="AV1464" s="420"/>
      <c r="AW1464" s="420"/>
      <c r="AX1464" s="420"/>
      <c r="AY1464" s="420"/>
      <c r="AZ1464" s="420"/>
      <c r="BA1464" s="420"/>
      <c r="BB1464" s="154"/>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c r="BY1464" s="115"/>
      <c r="BZ1464" s="115"/>
      <c r="CA1464" s="115"/>
      <c r="CB1464" s="115"/>
      <c r="CC1464" s="115"/>
      <c r="CD1464" s="115"/>
      <c r="CE1464" s="115"/>
      <c r="CF1464" s="115"/>
      <c r="CG1464" s="115"/>
      <c r="CH1464" s="115"/>
      <c r="CI1464" s="115"/>
      <c r="CJ1464" s="115"/>
      <c r="CK1464" s="115"/>
      <c r="CL1464" s="115"/>
      <c r="CM1464" s="115"/>
      <c r="CN1464" s="115"/>
      <c r="CO1464" s="115"/>
      <c r="CP1464" s="115"/>
      <c r="CQ1464" s="115"/>
      <c r="CR1464" s="115"/>
      <c r="CS1464" s="115"/>
      <c r="CT1464" s="115"/>
      <c r="CU1464" s="115"/>
      <c r="CV1464" s="115"/>
      <c r="CW1464" s="115"/>
      <c r="CX1464" s="115"/>
      <c r="CY1464" s="115"/>
      <c r="CZ1464" s="115"/>
      <c r="DA1464" s="115"/>
      <c r="DB1464" s="115"/>
      <c r="DC1464" s="115"/>
      <c r="DD1464" s="115"/>
      <c r="DE1464" s="115"/>
      <c r="DF1464" s="115"/>
      <c r="DG1464" s="115"/>
    </row>
    <row r="1465" spans="1:111" ht="4.5" customHeight="1">
      <c r="A1465" s="154"/>
      <c r="B1465" s="154"/>
      <c r="C1465" s="154"/>
      <c r="D1465" s="154"/>
      <c r="E1465" s="154"/>
      <c r="F1465" s="154"/>
      <c r="G1465" s="154"/>
      <c r="H1465" s="154"/>
      <c r="I1465" s="154"/>
      <c r="J1465" s="154"/>
      <c r="K1465" s="154"/>
      <c r="L1465" s="154"/>
      <c r="M1465" s="154"/>
      <c r="N1465" s="154"/>
      <c r="O1465" s="154"/>
      <c r="P1465" s="154"/>
      <c r="Q1465" s="154"/>
      <c r="R1465" s="154"/>
      <c r="S1465" s="154"/>
      <c r="T1465" s="154"/>
      <c r="U1465" s="154"/>
      <c r="V1465" s="154"/>
      <c r="W1465" s="154"/>
      <c r="X1465" s="154"/>
      <c r="Y1465" s="154"/>
      <c r="Z1465" s="154"/>
      <c r="AA1465" s="154"/>
      <c r="AB1465" s="154"/>
      <c r="AC1465" s="154"/>
      <c r="AD1465" s="154"/>
      <c r="AE1465" s="154"/>
      <c r="AF1465" s="154"/>
      <c r="AG1465" s="154"/>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c r="BY1465" s="115"/>
      <c r="BZ1465" s="115"/>
      <c r="CA1465" s="115"/>
      <c r="CB1465" s="115"/>
      <c r="CC1465" s="115"/>
      <c r="CD1465" s="115"/>
      <c r="CE1465" s="115"/>
      <c r="CF1465" s="115"/>
      <c r="CG1465" s="115"/>
      <c r="CH1465" s="115"/>
      <c r="CI1465" s="115"/>
      <c r="CJ1465" s="115"/>
      <c r="CK1465" s="115"/>
      <c r="CL1465" s="115"/>
      <c r="CM1465" s="115"/>
      <c r="CN1465" s="115"/>
      <c r="CO1465" s="115"/>
      <c r="CP1465" s="115"/>
      <c r="CQ1465" s="115"/>
      <c r="CR1465" s="115"/>
      <c r="CS1465" s="115"/>
      <c r="CT1465" s="115"/>
      <c r="CU1465" s="115"/>
      <c r="CV1465" s="115"/>
      <c r="CW1465" s="115"/>
      <c r="CX1465" s="115"/>
      <c r="CY1465" s="115"/>
      <c r="CZ1465" s="115"/>
      <c r="DA1465" s="115"/>
      <c r="DB1465" s="115"/>
      <c r="DC1465" s="115"/>
      <c r="DD1465" s="115"/>
      <c r="DE1465" s="115"/>
      <c r="DF1465" s="115"/>
      <c r="DG1465" s="115"/>
    </row>
    <row r="1466" spans="1:111" ht="9" customHeight="1">
      <c r="A1466" s="154"/>
      <c r="B1466" s="154"/>
      <c r="C1466" s="154"/>
      <c r="D1466" s="154"/>
      <c r="E1466" s="154"/>
      <c r="F1466" s="154"/>
      <c r="G1466" s="154"/>
      <c r="H1466" s="154"/>
      <c r="I1466" s="154"/>
      <c r="J1466" s="416" t="str">
        <f>IF(C1444="","","Valor Total (R$):")</f>
        <v/>
      </c>
      <c r="K1466" s="416"/>
      <c r="L1466" s="416"/>
      <c r="M1466" s="416"/>
      <c r="N1466" s="416"/>
      <c r="O1466" s="416"/>
      <c r="P1466" s="154"/>
      <c r="Q1466" s="419" t="str">
        <f>IF(Q1462="","",Q1458*Q1462)</f>
        <v/>
      </c>
      <c r="R1466" s="419"/>
      <c r="S1466" s="419"/>
      <c r="T1466" s="419"/>
      <c r="U1466" s="419"/>
      <c r="V1466" s="419"/>
      <c r="W1466" s="419"/>
      <c r="X1466" s="419"/>
      <c r="Y1466" s="154"/>
      <c r="Z1466" s="416" t="str">
        <f>IF(C1444="","",IF(J1450="52 Equipamentos e Material Permanente","Justificativa e Utilização:",""))</f>
        <v/>
      </c>
      <c r="AA1466" s="416"/>
      <c r="AB1466" s="416"/>
      <c r="AC1466" s="416"/>
      <c r="AD1466" s="416"/>
      <c r="AE1466" s="416"/>
      <c r="AF1466" s="154"/>
      <c r="AG1466" s="420"/>
      <c r="AH1466" s="420"/>
      <c r="AI1466" s="420"/>
      <c r="AJ1466" s="420"/>
      <c r="AK1466" s="420"/>
      <c r="AL1466" s="420"/>
      <c r="AM1466" s="420"/>
      <c r="AN1466" s="420"/>
      <c r="AO1466" s="420"/>
      <c r="AP1466" s="420"/>
      <c r="AQ1466" s="420"/>
      <c r="AR1466" s="420"/>
      <c r="AS1466" s="420"/>
      <c r="AT1466" s="420"/>
      <c r="AU1466" s="420"/>
      <c r="AV1466" s="420"/>
      <c r="AW1466" s="420"/>
      <c r="AX1466" s="420"/>
      <c r="AY1466" s="420"/>
      <c r="AZ1466" s="420"/>
      <c r="BA1466" s="420"/>
      <c r="BB1466" s="154"/>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c r="BY1466" s="115"/>
      <c r="BZ1466" s="115"/>
      <c r="CA1466" s="115"/>
      <c r="CB1466" s="115"/>
      <c r="CC1466" s="115"/>
      <c r="CD1466" s="115"/>
      <c r="CE1466" s="115"/>
      <c r="CF1466" s="115"/>
      <c r="CG1466" s="115"/>
      <c r="CH1466" s="115"/>
      <c r="CI1466" s="115"/>
      <c r="CJ1466" s="115"/>
      <c r="CK1466" s="115"/>
      <c r="CL1466" s="115"/>
      <c r="CM1466" s="115"/>
      <c r="CN1466" s="115"/>
      <c r="CO1466" s="115"/>
      <c r="CP1466" s="115"/>
      <c r="CQ1466" s="115"/>
      <c r="CR1466" s="115"/>
      <c r="CS1466" s="115"/>
      <c r="CT1466" s="115"/>
      <c r="CU1466" s="115"/>
      <c r="CV1466" s="115"/>
      <c r="CW1466" s="115"/>
      <c r="CX1466" s="115"/>
      <c r="CY1466" s="115"/>
      <c r="CZ1466" s="115"/>
      <c r="DA1466" s="115"/>
      <c r="DB1466" s="115"/>
      <c r="DC1466" s="115"/>
      <c r="DD1466" s="115"/>
      <c r="DE1466" s="115"/>
      <c r="DF1466" s="115"/>
      <c r="DG1466" s="115"/>
    </row>
    <row r="1467" spans="1:111" ht="9" customHeight="1">
      <c r="A1467" s="154"/>
      <c r="B1467" s="154"/>
      <c r="C1467" s="154"/>
      <c r="D1467" s="154"/>
      <c r="E1467" s="154"/>
      <c r="F1467" s="154"/>
      <c r="G1467" s="154"/>
      <c r="H1467" s="154"/>
      <c r="I1467" s="154"/>
      <c r="J1467" s="416"/>
      <c r="K1467" s="416"/>
      <c r="L1467" s="416"/>
      <c r="M1467" s="416"/>
      <c r="N1467" s="416"/>
      <c r="O1467" s="416"/>
      <c r="P1467" s="154"/>
      <c r="Q1467" s="419"/>
      <c r="R1467" s="419"/>
      <c r="S1467" s="419"/>
      <c r="T1467" s="419"/>
      <c r="U1467" s="419"/>
      <c r="V1467" s="419"/>
      <c r="W1467" s="419"/>
      <c r="X1467" s="419"/>
      <c r="Y1467" s="154"/>
      <c r="Z1467" s="416"/>
      <c r="AA1467" s="416"/>
      <c r="AB1467" s="416"/>
      <c r="AC1467" s="416"/>
      <c r="AD1467" s="416"/>
      <c r="AE1467" s="416"/>
      <c r="AF1467" s="154"/>
      <c r="AG1467" s="420"/>
      <c r="AH1467" s="420"/>
      <c r="AI1467" s="420"/>
      <c r="AJ1467" s="420"/>
      <c r="AK1467" s="420"/>
      <c r="AL1467" s="420"/>
      <c r="AM1467" s="420"/>
      <c r="AN1467" s="420"/>
      <c r="AO1467" s="420"/>
      <c r="AP1467" s="420"/>
      <c r="AQ1467" s="420"/>
      <c r="AR1467" s="420"/>
      <c r="AS1467" s="420"/>
      <c r="AT1467" s="420"/>
      <c r="AU1467" s="420"/>
      <c r="AV1467" s="420"/>
      <c r="AW1467" s="420"/>
      <c r="AX1467" s="420"/>
      <c r="AY1467" s="420"/>
      <c r="AZ1467" s="420"/>
      <c r="BA1467" s="420"/>
      <c r="BB1467" s="154"/>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c r="BY1467" s="115"/>
      <c r="BZ1467" s="115"/>
      <c r="CA1467" s="115"/>
      <c r="CB1467" s="115"/>
      <c r="CC1467" s="115"/>
      <c r="CD1467" s="115"/>
      <c r="CE1467" s="115"/>
      <c r="CF1467" s="115"/>
      <c r="CG1467" s="115"/>
      <c r="CH1467" s="115"/>
      <c r="CI1467" s="115"/>
      <c r="CJ1467" s="115"/>
      <c r="CK1467" s="115"/>
      <c r="CL1467" s="115"/>
      <c r="CM1467" s="115"/>
      <c r="CN1467" s="115"/>
      <c r="CO1467" s="115"/>
      <c r="CP1467" s="115"/>
      <c r="CQ1467" s="115"/>
      <c r="CR1467" s="115"/>
      <c r="CS1467" s="115"/>
      <c r="CT1467" s="115"/>
      <c r="CU1467" s="115"/>
      <c r="CV1467" s="115"/>
      <c r="CW1467" s="115"/>
      <c r="CX1467" s="115"/>
      <c r="CY1467" s="115"/>
      <c r="CZ1467" s="115"/>
      <c r="DA1467" s="115"/>
      <c r="DB1467" s="115"/>
      <c r="DC1467" s="115"/>
      <c r="DD1467" s="115"/>
      <c r="DE1467" s="115"/>
      <c r="DF1467" s="115"/>
      <c r="DG1467" s="115"/>
    </row>
    <row r="1468" spans="1:111" ht="9" customHeight="1">
      <c r="A1468" s="154"/>
      <c r="B1468" s="154"/>
      <c r="C1468" s="154"/>
      <c r="D1468" s="154"/>
      <c r="E1468" s="154"/>
      <c r="F1468" s="154"/>
      <c r="G1468" s="154"/>
      <c r="H1468" s="154"/>
      <c r="I1468" s="154"/>
      <c r="J1468" s="154"/>
      <c r="K1468" s="154"/>
      <c r="L1468" s="154"/>
      <c r="M1468" s="154"/>
      <c r="N1468" s="154"/>
      <c r="O1468" s="154"/>
      <c r="P1468" s="154"/>
      <c r="Q1468" s="419"/>
      <c r="R1468" s="419"/>
      <c r="S1468" s="419"/>
      <c r="T1468" s="419"/>
      <c r="U1468" s="419"/>
      <c r="V1468" s="419"/>
      <c r="W1468" s="419"/>
      <c r="X1468" s="419"/>
      <c r="Y1468" s="154"/>
      <c r="Z1468" s="154"/>
      <c r="AA1468" s="154"/>
      <c r="AB1468" s="154"/>
      <c r="AC1468" s="154"/>
      <c r="AD1468" s="154"/>
      <c r="AE1468" s="154"/>
      <c r="AF1468" s="154"/>
      <c r="AG1468" s="420"/>
      <c r="AH1468" s="420"/>
      <c r="AI1468" s="420"/>
      <c r="AJ1468" s="420"/>
      <c r="AK1468" s="420"/>
      <c r="AL1468" s="420"/>
      <c r="AM1468" s="420"/>
      <c r="AN1468" s="420"/>
      <c r="AO1468" s="420"/>
      <c r="AP1468" s="420"/>
      <c r="AQ1468" s="420"/>
      <c r="AR1468" s="420"/>
      <c r="AS1468" s="420"/>
      <c r="AT1468" s="420"/>
      <c r="AU1468" s="420"/>
      <c r="AV1468" s="420"/>
      <c r="AW1468" s="420"/>
      <c r="AX1468" s="420"/>
      <c r="AY1468" s="420"/>
      <c r="AZ1468" s="420"/>
      <c r="BA1468" s="420"/>
      <c r="BB1468" s="154"/>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c r="BY1468" s="115"/>
      <c r="BZ1468" s="115"/>
      <c r="CA1468" s="115"/>
      <c r="CB1468" s="115"/>
      <c r="CC1468" s="115"/>
      <c r="CD1468" s="115"/>
      <c r="CE1468" s="115"/>
      <c r="CF1468" s="115"/>
      <c r="CG1468" s="115"/>
      <c r="CH1468" s="115"/>
      <c r="CI1468" s="115"/>
      <c r="CJ1468" s="115"/>
      <c r="CK1468" s="115"/>
      <c r="CL1468" s="115"/>
      <c r="CM1468" s="115"/>
      <c r="CN1468" s="115"/>
      <c r="CO1468" s="115"/>
      <c r="CP1468" s="115"/>
      <c r="CQ1468" s="115"/>
      <c r="CR1468" s="115"/>
      <c r="CS1468" s="115"/>
      <c r="CT1468" s="115"/>
      <c r="CU1468" s="115"/>
      <c r="CV1468" s="115"/>
      <c r="CW1468" s="115"/>
      <c r="CX1468" s="115"/>
      <c r="CY1468" s="115"/>
      <c r="CZ1468" s="115"/>
      <c r="DA1468" s="115"/>
      <c r="DB1468" s="115"/>
      <c r="DC1468" s="115"/>
      <c r="DD1468" s="115"/>
      <c r="DE1468" s="115"/>
      <c r="DF1468" s="115"/>
      <c r="DG1468" s="115"/>
    </row>
    <row r="1469" spans="1:111" ht="9" customHeight="1">
      <c r="A1469" s="154"/>
      <c r="B1469" s="154"/>
      <c r="C1469" s="154"/>
      <c r="D1469" s="154"/>
      <c r="E1469" s="154"/>
      <c r="F1469" s="154"/>
      <c r="G1469" s="154"/>
      <c r="H1469" s="154"/>
      <c r="I1469" s="154"/>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420"/>
      <c r="AH1469" s="420"/>
      <c r="AI1469" s="420"/>
      <c r="AJ1469" s="420"/>
      <c r="AK1469" s="420"/>
      <c r="AL1469" s="420"/>
      <c r="AM1469" s="420"/>
      <c r="AN1469" s="420"/>
      <c r="AO1469" s="420"/>
      <c r="AP1469" s="420"/>
      <c r="AQ1469" s="420"/>
      <c r="AR1469" s="420"/>
      <c r="AS1469" s="420"/>
      <c r="AT1469" s="420"/>
      <c r="AU1469" s="420"/>
      <c r="AV1469" s="420"/>
      <c r="AW1469" s="420"/>
      <c r="AX1469" s="420"/>
      <c r="AY1469" s="420"/>
      <c r="AZ1469" s="420"/>
      <c r="BA1469" s="420"/>
      <c r="BB1469" s="154"/>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c r="BY1469" s="115"/>
      <c r="BZ1469" s="115"/>
      <c r="CA1469" s="115"/>
      <c r="CB1469" s="115"/>
      <c r="CC1469" s="115"/>
      <c r="CD1469" s="115"/>
      <c r="CE1469" s="115"/>
      <c r="CF1469" s="115"/>
      <c r="CG1469" s="115"/>
      <c r="CH1469" s="115"/>
      <c r="CI1469" s="115"/>
      <c r="CJ1469" s="115"/>
      <c r="CK1469" s="115"/>
      <c r="CL1469" s="115"/>
      <c r="CM1469" s="115"/>
      <c r="CN1469" s="115"/>
      <c r="CO1469" s="115"/>
      <c r="CP1469" s="115"/>
      <c r="CQ1469" s="115"/>
      <c r="CR1469" s="115"/>
      <c r="CS1469" s="115"/>
      <c r="CT1469" s="115"/>
      <c r="CU1469" s="115"/>
      <c r="CV1469" s="115"/>
      <c r="CW1469" s="115"/>
      <c r="CX1469" s="115"/>
      <c r="CY1469" s="115"/>
      <c r="CZ1469" s="115"/>
      <c r="DA1469" s="115"/>
      <c r="DB1469" s="115"/>
      <c r="DC1469" s="115"/>
      <c r="DD1469" s="115"/>
      <c r="DE1469" s="115"/>
      <c r="DF1469" s="115"/>
      <c r="DG1469" s="115"/>
    </row>
    <row r="1470" spans="1:111" ht="9" customHeight="1">
      <c r="A1470" s="154"/>
      <c r="B1470" s="154"/>
      <c r="C1470" s="154"/>
      <c r="D1470" s="154"/>
      <c r="E1470" s="154"/>
      <c r="F1470" s="154"/>
      <c r="G1470" s="154"/>
      <c r="H1470" s="154"/>
      <c r="I1470" s="154"/>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420"/>
      <c r="AH1470" s="420"/>
      <c r="AI1470" s="420"/>
      <c r="AJ1470" s="420"/>
      <c r="AK1470" s="420"/>
      <c r="AL1470" s="420"/>
      <c r="AM1470" s="420"/>
      <c r="AN1470" s="420"/>
      <c r="AO1470" s="420"/>
      <c r="AP1470" s="420"/>
      <c r="AQ1470" s="420"/>
      <c r="AR1470" s="420"/>
      <c r="AS1470" s="420"/>
      <c r="AT1470" s="420"/>
      <c r="AU1470" s="420"/>
      <c r="AV1470" s="420"/>
      <c r="AW1470" s="420"/>
      <c r="AX1470" s="420"/>
      <c r="AY1470" s="420"/>
      <c r="AZ1470" s="420"/>
      <c r="BA1470" s="420"/>
      <c r="BB1470" s="154"/>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c r="BY1470" s="115"/>
      <c r="BZ1470" s="115"/>
      <c r="CA1470" s="115"/>
      <c r="CB1470" s="115"/>
      <c r="CC1470" s="115"/>
      <c r="CD1470" s="115"/>
      <c r="CE1470" s="115"/>
      <c r="CF1470" s="115"/>
      <c r="CG1470" s="115"/>
      <c r="CH1470" s="115"/>
      <c r="CI1470" s="115"/>
      <c r="CJ1470" s="115"/>
      <c r="CK1470" s="115"/>
      <c r="CL1470" s="115"/>
      <c r="CM1470" s="115"/>
      <c r="CN1470" s="115"/>
      <c r="CO1470" s="115"/>
      <c r="CP1470" s="115"/>
      <c r="CQ1470" s="115"/>
      <c r="CR1470" s="115"/>
      <c r="CS1470" s="115"/>
      <c r="CT1470" s="115"/>
      <c r="CU1470" s="115"/>
      <c r="CV1470" s="115"/>
      <c r="CW1470" s="115"/>
      <c r="CX1470" s="115"/>
      <c r="CY1470" s="115"/>
      <c r="CZ1470" s="115"/>
      <c r="DA1470" s="115"/>
      <c r="DB1470" s="115"/>
      <c r="DC1470" s="115"/>
      <c r="DD1470" s="115"/>
      <c r="DE1470" s="115"/>
      <c r="DF1470" s="115"/>
      <c r="DG1470" s="115"/>
    </row>
    <row r="1471" spans="1:111" ht="9" customHeight="1">
      <c r="A1471" s="154"/>
      <c r="B1471" s="154"/>
      <c r="C1471" s="154"/>
      <c r="D1471" s="154"/>
      <c r="E1471" s="154"/>
      <c r="F1471" s="154"/>
      <c r="G1471" s="154"/>
      <c r="H1471" s="154"/>
      <c r="I1471" s="154"/>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420"/>
      <c r="AH1471" s="420"/>
      <c r="AI1471" s="420"/>
      <c r="AJ1471" s="420"/>
      <c r="AK1471" s="420"/>
      <c r="AL1471" s="420"/>
      <c r="AM1471" s="420"/>
      <c r="AN1471" s="420"/>
      <c r="AO1471" s="420"/>
      <c r="AP1471" s="420"/>
      <c r="AQ1471" s="420"/>
      <c r="AR1471" s="420"/>
      <c r="AS1471" s="420"/>
      <c r="AT1471" s="420"/>
      <c r="AU1471" s="420"/>
      <c r="AV1471" s="420"/>
      <c r="AW1471" s="420"/>
      <c r="AX1471" s="420"/>
      <c r="AY1471" s="420"/>
      <c r="AZ1471" s="420"/>
      <c r="BA1471" s="420"/>
      <c r="BB1471" s="154"/>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c r="BY1471" s="115"/>
      <c r="BZ1471" s="115"/>
      <c r="CA1471" s="115"/>
      <c r="CB1471" s="115"/>
      <c r="CC1471" s="115"/>
      <c r="CD1471" s="115"/>
      <c r="CE1471" s="115"/>
      <c r="CF1471" s="115"/>
      <c r="CG1471" s="115"/>
      <c r="CH1471" s="115"/>
      <c r="CI1471" s="115"/>
      <c r="CJ1471" s="115"/>
      <c r="CK1471" s="115"/>
      <c r="CL1471" s="115"/>
      <c r="CM1471" s="115"/>
      <c r="CN1471" s="115"/>
      <c r="CO1471" s="115"/>
      <c r="CP1471" s="115"/>
      <c r="CQ1471" s="115"/>
      <c r="CR1471" s="115"/>
      <c r="CS1471" s="115"/>
      <c r="CT1471" s="115"/>
      <c r="CU1471" s="115"/>
      <c r="CV1471" s="115"/>
      <c r="CW1471" s="115"/>
      <c r="CX1471" s="115"/>
      <c r="CY1471" s="115"/>
      <c r="CZ1471" s="115"/>
      <c r="DA1471" s="115"/>
      <c r="DB1471" s="115"/>
      <c r="DC1471" s="115"/>
      <c r="DD1471" s="115"/>
      <c r="DE1471" s="115"/>
      <c r="DF1471" s="115"/>
      <c r="DG1471" s="115"/>
    </row>
    <row r="1472" spans="1:111" ht="15" customHeight="1">
      <c r="A1472" s="154"/>
      <c r="B1472" s="154"/>
      <c r="C1472" s="154"/>
      <c r="D1472" s="154"/>
      <c r="E1472" s="154"/>
      <c r="F1472" s="154"/>
      <c r="G1472" s="154"/>
      <c r="H1472" s="154"/>
      <c r="I1472" s="154"/>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c r="BY1472" s="115"/>
      <c r="BZ1472" s="115"/>
      <c r="CA1472" s="115"/>
      <c r="CB1472" s="115"/>
      <c r="CC1472" s="115"/>
      <c r="CD1472" s="115"/>
      <c r="CE1472" s="115"/>
      <c r="CF1472" s="115"/>
      <c r="CG1472" s="115"/>
      <c r="CH1472" s="115"/>
      <c r="CI1472" s="115"/>
      <c r="CJ1472" s="115"/>
      <c r="CK1472" s="115"/>
      <c r="CL1472" s="115"/>
      <c r="CM1472" s="115"/>
      <c r="CN1472" s="115"/>
      <c r="CO1472" s="115"/>
      <c r="CP1472" s="115"/>
      <c r="CQ1472" s="115"/>
      <c r="CR1472" s="115"/>
      <c r="CS1472" s="115"/>
      <c r="CT1472" s="115"/>
      <c r="CU1472" s="115"/>
      <c r="CV1472" s="115"/>
      <c r="CW1472" s="115"/>
      <c r="CX1472" s="115"/>
      <c r="CY1472" s="115"/>
      <c r="CZ1472" s="115"/>
      <c r="DA1472" s="115"/>
      <c r="DB1472" s="115"/>
      <c r="DC1472" s="115"/>
      <c r="DD1472" s="115"/>
      <c r="DE1472" s="115"/>
      <c r="DF1472" s="115"/>
      <c r="DG1472" s="115"/>
    </row>
    <row r="1473" spans="1:111" ht="15" customHeight="1">
      <c r="B1473" s="55"/>
      <c r="C1473" s="422" t="str">
        <f>IF($AA$165&gt;=46,"DESPESA 46","")</f>
        <v/>
      </c>
      <c r="D1473" s="422"/>
      <c r="E1473" s="422"/>
      <c r="F1473" s="422"/>
      <c r="G1473" s="422"/>
      <c r="H1473" s="422"/>
      <c r="I1473" s="56"/>
      <c r="J1473" s="56"/>
      <c r="K1473" s="56"/>
      <c r="L1473" s="56"/>
      <c r="M1473" s="56"/>
      <c r="N1473" s="56"/>
      <c r="O1473" s="56"/>
      <c r="P1473" s="56"/>
      <c r="Q1473" s="56"/>
      <c r="R1473" s="56"/>
      <c r="S1473" s="56"/>
      <c r="T1473" s="56"/>
      <c r="U1473" s="56"/>
      <c r="V1473" s="56"/>
      <c r="W1473" s="56"/>
      <c r="X1473" s="56"/>
      <c r="Y1473" s="56"/>
      <c r="Z1473" s="56"/>
      <c r="AA1473" s="56"/>
      <c r="AB1473" s="56"/>
      <c r="AC1473" s="56"/>
      <c r="AD1473" s="56"/>
      <c r="AE1473" s="56"/>
      <c r="AF1473" s="56"/>
      <c r="AG1473" s="56"/>
      <c r="AH1473" s="56"/>
      <c r="AI1473" s="56"/>
      <c r="AJ1473" s="56"/>
      <c r="AK1473" s="141"/>
      <c r="AL1473" s="141"/>
      <c r="AM1473" s="141"/>
      <c r="AN1473" s="141"/>
      <c r="AO1473" s="140"/>
      <c r="AP1473" s="140"/>
      <c r="AQ1473" s="140"/>
      <c r="AR1473" s="140"/>
      <c r="AS1473" s="142"/>
      <c r="AT1473" s="142"/>
      <c r="AU1473" s="142"/>
      <c r="AV1473" s="142"/>
      <c r="AW1473" s="140"/>
      <c r="AX1473" s="140"/>
      <c r="AY1473" s="140"/>
      <c r="AZ1473" s="140"/>
      <c r="BA1473" s="140"/>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c r="BY1473" s="115"/>
      <c r="BZ1473" s="115"/>
      <c r="CA1473" s="115"/>
      <c r="CB1473" s="115"/>
      <c r="CC1473" s="115"/>
      <c r="CD1473" s="115"/>
      <c r="CE1473" s="115"/>
      <c r="CF1473" s="115"/>
      <c r="CG1473" s="115"/>
      <c r="CH1473" s="115"/>
      <c r="CI1473" s="115"/>
      <c r="CJ1473" s="115"/>
      <c r="CK1473" s="115"/>
      <c r="CL1473" s="115"/>
      <c r="CM1473" s="115"/>
      <c r="CN1473" s="115"/>
      <c r="CO1473" s="115"/>
      <c r="CP1473" s="115"/>
      <c r="CQ1473" s="115"/>
      <c r="CR1473" s="115"/>
      <c r="CS1473" s="115"/>
      <c r="CT1473" s="115"/>
      <c r="CU1473" s="115"/>
      <c r="CV1473" s="115"/>
      <c r="CW1473" s="115"/>
      <c r="CX1473" s="115"/>
      <c r="CY1473" s="115"/>
      <c r="CZ1473" s="115"/>
      <c r="DA1473" s="115"/>
      <c r="DB1473" s="115"/>
      <c r="DC1473" s="115"/>
      <c r="DD1473" s="115"/>
      <c r="DE1473" s="115"/>
      <c r="DF1473" s="115"/>
      <c r="DG1473" s="115"/>
    </row>
    <row r="1474" spans="1:111" ht="4.5" customHeight="1">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c r="BY1474" s="115"/>
      <c r="BZ1474" s="115"/>
      <c r="CA1474" s="115"/>
      <c r="CB1474" s="115"/>
      <c r="CC1474" s="115"/>
      <c r="CD1474" s="115"/>
      <c r="CE1474" s="115"/>
      <c r="CF1474" s="115"/>
      <c r="CG1474" s="115"/>
      <c r="CH1474" s="115"/>
      <c r="CI1474" s="115"/>
      <c r="CJ1474" s="115"/>
      <c r="CK1474" s="115"/>
      <c r="CL1474" s="115"/>
      <c r="CM1474" s="115"/>
      <c r="CN1474" s="115"/>
      <c r="CO1474" s="115"/>
      <c r="CP1474" s="115"/>
      <c r="CQ1474" s="115"/>
      <c r="CR1474" s="115"/>
      <c r="CS1474" s="115"/>
      <c r="CT1474" s="115"/>
      <c r="CU1474" s="115"/>
      <c r="CV1474" s="115"/>
      <c r="CW1474" s="115"/>
      <c r="CX1474" s="115"/>
      <c r="CY1474" s="115"/>
      <c r="CZ1474" s="115"/>
      <c r="DA1474" s="115"/>
      <c r="DB1474" s="115"/>
      <c r="DC1474" s="115"/>
      <c r="DD1474" s="115"/>
      <c r="DE1474" s="115"/>
      <c r="DF1474" s="115"/>
      <c r="DG1474" s="115"/>
    </row>
    <row r="1475" spans="1:111" ht="9" customHeight="1">
      <c r="C1475" s="416" t="str">
        <f>IF(C1473="","","Descrição da Despesa:")</f>
        <v/>
      </c>
      <c r="D1475" s="416"/>
      <c r="E1475" s="416"/>
      <c r="F1475" s="416"/>
      <c r="G1475" s="416"/>
      <c r="H1475" s="416"/>
      <c r="I1475" s="60"/>
      <c r="J1475" s="421"/>
      <c r="K1475" s="421"/>
      <c r="L1475" s="421"/>
      <c r="M1475" s="421"/>
      <c r="N1475" s="421"/>
      <c r="O1475" s="421"/>
      <c r="P1475" s="421"/>
      <c r="Q1475" s="421"/>
      <c r="R1475" s="421"/>
      <c r="S1475" s="421"/>
      <c r="T1475" s="421"/>
      <c r="U1475" s="421"/>
      <c r="V1475" s="421"/>
      <c r="W1475" s="421"/>
      <c r="X1475" s="421"/>
      <c r="Y1475" s="421"/>
      <c r="Z1475" s="421"/>
      <c r="AA1475" s="421"/>
      <c r="AB1475" s="421"/>
      <c r="AC1475" s="421"/>
      <c r="AD1475" s="421"/>
      <c r="AE1475" s="421"/>
      <c r="AF1475" s="421"/>
      <c r="AG1475" s="421"/>
      <c r="AH1475" s="421"/>
      <c r="AI1475" s="421"/>
      <c r="AJ1475" s="421"/>
      <c r="AK1475" s="421"/>
      <c r="AL1475" s="421"/>
      <c r="AM1475" s="421"/>
      <c r="AN1475" s="421"/>
      <c r="AO1475" s="421"/>
      <c r="AP1475" s="421"/>
      <c r="AQ1475" s="421"/>
      <c r="AR1475" s="421"/>
      <c r="AS1475" s="421"/>
      <c r="AT1475" s="421"/>
      <c r="AU1475" s="421"/>
      <c r="AV1475" s="421"/>
      <c r="AW1475" s="421"/>
      <c r="AX1475" s="421"/>
      <c r="AY1475" s="421"/>
      <c r="AZ1475" s="421"/>
      <c r="BA1475" s="421"/>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c r="BY1475" s="115"/>
      <c r="BZ1475" s="115"/>
      <c r="CA1475" s="115"/>
      <c r="CB1475" s="115"/>
      <c r="CC1475" s="115"/>
      <c r="CD1475" s="115"/>
      <c r="CE1475" s="115"/>
      <c r="CF1475" s="115"/>
      <c r="CG1475" s="115"/>
      <c r="CH1475" s="115"/>
      <c r="CI1475" s="115"/>
      <c r="CJ1475" s="115"/>
      <c r="CK1475" s="115"/>
      <c r="CL1475" s="115"/>
      <c r="CM1475" s="115"/>
      <c r="CN1475" s="115"/>
      <c r="CO1475" s="115"/>
      <c r="CP1475" s="115"/>
      <c r="CQ1475" s="115"/>
      <c r="CR1475" s="115"/>
      <c r="CS1475" s="115"/>
      <c r="CT1475" s="115"/>
      <c r="CU1475" s="115"/>
      <c r="CV1475" s="115"/>
      <c r="CW1475" s="115"/>
      <c r="CX1475" s="115"/>
      <c r="CY1475" s="115"/>
      <c r="CZ1475" s="115"/>
      <c r="DA1475" s="115"/>
      <c r="DB1475" s="115"/>
      <c r="DC1475" s="115"/>
      <c r="DD1475" s="115"/>
      <c r="DE1475" s="115"/>
      <c r="DF1475" s="115"/>
      <c r="DG1475" s="115"/>
    </row>
    <row r="1476" spans="1:111" ht="9" customHeight="1">
      <c r="C1476" s="416"/>
      <c r="D1476" s="416"/>
      <c r="E1476" s="416"/>
      <c r="F1476" s="416"/>
      <c r="G1476" s="416"/>
      <c r="H1476" s="416"/>
      <c r="I1476" s="60"/>
      <c r="J1476" s="421"/>
      <c r="K1476" s="421"/>
      <c r="L1476" s="421"/>
      <c r="M1476" s="421"/>
      <c r="N1476" s="421"/>
      <c r="O1476" s="421"/>
      <c r="P1476" s="421"/>
      <c r="Q1476" s="421"/>
      <c r="R1476" s="421"/>
      <c r="S1476" s="421"/>
      <c r="T1476" s="421"/>
      <c r="U1476" s="421"/>
      <c r="V1476" s="421"/>
      <c r="W1476" s="421"/>
      <c r="X1476" s="421"/>
      <c r="Y1476" s="421"/>
      <c r="Z1476" s="421"/>
      <c r="AA1476" s="421"/>
      <c r="AB1476" s="421"/>
      <c r="AC1476" s="421"/>
      <c r="AD1476" s="421"/>
      <c r="AE1476" s="421"/>
      <c r="AF1476" s="421"/>
      <c r="AG1476" s="421"/>
      <c r="AH1476" s="421"/>
      <c r="AI1476" s="421"/>
      <c r="AJ1476" s="421"/>
      <c r="AK1476" s="421"/>
      <c r="AL1476" s="421"/>
      <c r="AM1476" s="421"/>
      <c r="AN1476" s="421"/>
      <c r="AO1476" s="421"/>
      <c r="AP1476" s="421"/>
      <c r="AQ1476" s="421"/>
      <c r="AR1476" s="421"/>
      <c r="AS1476" s="421"/>
      <c r="AT1476" s="421"/>
      <c r="AU1476" s="421"/>
      <c r="AV1476" s="421"/>
      <c r="AW1476" s="421"/>
      <c r="AX1476" s="421"/>
      <c r="AY1476" s="421"/>
      <c r="AZ1476" s="421"/>
      <c r="BA1476" s="421"/>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c r="BY1476" s="115"/>
      <c r="BZ1476" s="115"/>
      <c r="CA1476" s="115"/>
      <c r="CB1476" s="115"/>
      <c r="CC1476" s="115"/>
      <c r="CD1476" s="115"/>
      <c r="CE1476" s="115"/>
      <c r="CF1476" s="115"/>
      <c r="CG1476" s="115"/>
      <c r="CH1476" s="115"/>
      <c r="CI1476" s="115"/>
      <c r="CJ1476" s="115"/>
      <c r="CK1476" s="115"/>
      <c r="CL1476" s="115"/>
      <c r="CM1476" s="115"/>
      <c r="CN1476" s="115"/>
      <c r="CO1476" s="115"/>
      <c r="CP1476" s="115"/>
      <c r="CQ1476" s="115"/>
      <c r="CR1476" s="115"/>
      <c r="CS1476" s="115"/>
      <c r="CT1476" s="115"/>
      <c r="CU1476" s="115"/>
      <c r="CV1476" s="115"/>
      <c r="CW1476" s="115"/>
      <c r="CX1476" s="115"/>
      <c r="CY1476" s="115"/>
      <c r="CZ1476" s="115"/>
      <c r="DA1476" s="115"/>
      <c r="DB1476" s="115"/>
      <c r="DC1476" s="115"/>
      <c r="DD1476" s="115"/>
      <c r="DE1476" s="115"/>
      <c r="DF1476" s="115"/>
      <c r="DG1476" s="115"/>
    </row>
    <row r="1477" spans="1:111" ht="9" customHeight="1">
      <c r="C1477" s="416"/>
      <c r="D1477" s="416"/>
      <c r="E1477" s="416"/>
      <c r="F1477" s="416"/>
      <c r="G1477" s="416"/>
      <c r="H1477" s="416"/>
      <c r="I1477" s="60"/>
      <c r="J1477" s="421"/>
      <c r="K1477" s="421"/>
      <c r="L1477" s="421"/>
      <c r="M1477" s="421"/>
      <c r="N1477" s="421"/>
      <c r="O1477" s="421"/>
      <c r="P1477" s="421"/>
      <c r="Q1477" s="421"/>
      <c r="R1477" s="421"/>
      <c r="S1477" s="421"/>
      <c r="T1477" s="421"/>
      <c r="U1477" s="421"/>
      <c r="V1477" s="421"/>
      <c r="W1477" s="421"/>
      <c r="X1477" s="421"/>
      <c r="Y1477" s="421"/>
      <c r="Z1477" s="421"/>
      <c r="AA1477" s="421"/>
      <c r="AB1477" s="421"/>
      <c r="AC1477" s="421"/>
      <c r="AD1477" s="421"/>
      <c r="AE1477" s="421"/>
      <c r="AF1477" s="421"/>
      <c r="AG1477" s="421"/>
      <c r="AH1477" s="421"/>
      <c r="AI1477" s="421"/>
      <c r="AJ1477" s="421"/>
      <c r="AK1477" s="421"/>
      <c r="AL1477" s="421"/>
      <c r="AM1477" s="421"/>
      <c r="AN1477" s="421"/>
      <c r="AO1477" s="421"/>
      <c r="AP1477" s="421"/>
      <c r="AQ1477" s="421"/>
      <c r="AR1477" s="421"/>
      <c r="AS1477" s="421"/>
      <c r="AT1477" s="421"/>
      <c r="AU1477" s="421"/>
      <c r="AV1477" s="421"/>
      <c r="AW1477" s="421"/>
      <c r="AX1477" s="421"/>
      <c r="AY1477" s="421"/>
      <c r="AZ1477" s="421"/>
      <c r="BA1477" s="421"/>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c r="BY1477" s="115"/>
      <c r="BZ1477" s="115"/>
      <c r="CA1477" s="115"/>
      <c r="CB1477" s="115"/>
      <c r="CC1477" s="115"/>
      <c r="CD1477" s="115"/>
      <c r="CE1477" s="115"/>
      <c r="CF1477" s="115"/>
      <c r="CG1477" s="115"/>
      <c r="CH1477" s="115"/>
      <c r="CI1477" s="115"/>
      <c r="CJ1477" s="115"/>
      <c r="CK1477" s="115"/>
      <c r="CL1477" s="115"/>
      <c r="CM1477" s="115"/>
      <c r="CN1477" s="115"/>
      <c r="CO1477" s="115"/>
      <c r="CP1477" s="115"/>
      <c r="CQ1477" s="115"/>
      <c r="CR1477" s="115"/>
      <c r="CS1477" s="115"/>
      <c r="CT1477" s="115"/>
      <c r="CU1477" s="115"/>
      <c r="CV1477" s="115"/>
      <c r="CW1477" s="115"/>
      <c r="CX1477" s="115"/>
      <c r="CY1477" s="115"/>
      <c r="CZ1477" s="115"/>
      <c r="DA1477" s="115"/>
      <c r="DB1477" s="115"/>
      <c r="DC1477" s="115"/>
      <c r="DD1477" s="115"/>
      <c r="DE1477" s="115"/>
      <c r="DF1477" s="115"/>
      <c r="DG1477" s="115"/>
    </row>
    <row r="1478" spans="1:111" ht="4.5" customHeight="1">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c r="BY1478" s="115"/>
      <c r="BZ1478" s="115"/>
      <c r="CA1478" s="115"/>
      <c r="CB1478" s="115"/>
      <c r="CC1478" s="115"/>
      <c r="CD1478" s="115"/>
      <c r="CE1478" s="115"/>
      <c r="CF1478" s="115"/>
      <c r="CG1478" s="115"/>
      <c r="CH1478" s="115"/>
      <c r="CI1478" s="115"/>
      <c r="CJ1478" s="115"/>
      <c r="CK1478" s="115"/>
      <c r="CL1478" s="115"/>
      <c r="CM1478" s="115"/>
      <c r="CN1478" s="115"/>
      <c r="CO1478" s="115"/>
      <c r="CP1478" s="115"/>
      <c r="CQ1478" s="115"/>
      <c r="CR1478" s="115"/>
      <c r="CS1478" s="115"/>
      <c r="CT1478" s="115"/>
      <c r="CU1478" s="115"/>
      <c r="CV1478" s="115"/>
      <c r="CW1478" s="115"/>
      <c r="CX1478" s="115"/>
      <c r="CY1478" s="115"/>
      <c r="CZ1478" s="115"/>
      <c r="DA1478" s="115"/>
      <c r="DB1478" s="115"/>
      <c r="DC1478" s="115"/>
      <c r="DD1478" s="115"/>
      <c r="DE1478" s="115"/>
      <c r="DF1478" s="115"/>
      <c r="DG1478" s="115"/>
    </row>
    <row r="1479" spans="1:111" ht="9" customHeight="1">
      <c r="C1479" s="416" t="str">
        <f>IF(C1473="","","Elemento de Despesa:")</f>
        <v/>
      </c>
      <c r="D1479" s="416"/>
      <c r="E1479" s="416"/>
      <c r="F1479" s="416"/>
      <c r="G1479" s="416"/>
      <c r="H1479" s="416"/>
      <c r="J1479" s="421"/>
      <c r="K1479" s="421"/>
      <c r="L1479" s="421"/>
      <c r="M1479" s="421"/>
      <c r="N1479" s="421"/>
      <c r="O1479" s="421"/>
      <c r="P1479" s="421"/>
      <c r="Q1479" s="421"/>
      <c r="R1479" s="421"/>
      <c r="S1479" s="421"/>
      <c r="T1479" s="421"/>
      <c r="U1479" s="421"/>
      <c r="V1479" s="421"/>
      <c r="W1479" s="421"/>
      <c r="X1479" s="421"/>
      <c r="Y1479" s="421"/>
      <c r="Z1479" s="421"/>
      <c r="AA1479" s="421"/>
      <c r="AB1479" s="421"/>
      <c r="AC1479" s="421"/>
      <c r="AD1479" s="421"/>
      <c r="AE1479" s="421"/>
      <c r="AF1479" s="421"/>
      <c r="AG1479" s="421"/>
      <c r="AH1479" s="421"/>
      <c r="AI1479" s="421"/>
      <c r="AJ1479" s="421"/>
      <c r="AK1479" s="421"/>
      <c r="AL1479" s="421"/>
      <c r="AM1479" s="421"/>
      <c r="AN1479" s="421"/>
      <c r="AO1479" s="421"/>
      <c r="AP1479" s="421"/>
      <c r="AQ1479" s="421"/>
      <c r="AR1479" s="421"/>
      <c r="AS1479" s="421"/>
      <c r="AT1479" s="421"/>
      <c r="AU1479" s="421"/>
      <c r="AV1479" s="421"/>
      <c r="AW1479" s="421"/>
      <c r="AX1479" s="421"/>
      <c r="AY1479" s="421"/>
      <c r="AZ1479" s="421"/>
      <c r="BA1479" s="421"/>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c r="BY1479" s="115"/>
      <c r="BZ1479" s="115"/>
      <c r="CA1479" s="115"/>
      <c r="CB1479" s="115"/>
      <c r="CC1479" s="115"/>
      <c r="CD1479" s="115"/>
      <c r="CE1479" s="115"/>
      <c r="CF1479" s="115"/>
      <c r="CG1479" s="115"/>
      <c r="CH1479" s="115"/>
      <c r="CI1479" s="115"/>
      <c r="CJ1479" s="115"/>
      <c r="CK1479" s="115"/>
      <c r="CL1479" s="115"/>
      <c r="CM1479" s="115"/>
      <c r="CN1479" s="115"/>
      <c r="CO1479" s="115"/>
      <c r="CP1479" s="115"/>
      <c r="CQ1479" s="115"/>
      <c r="CR1479" s="115"/>
      <c r="CS1479" s="115"/>
      <c r="CT1479" s="115"/>
      <c r="CU1479" s="115"/>
      <c r="CV1479" s="115"/>
      <c r="CW1479" s="115"/>
      <c r="CX1479" s="115"/>
      <c r="CY1479" s="115"/>
      <c r="CZ1479" s="115"/>
      <c r="DA1479" s="115"/>
      <c r="DB1479" s="115"/>
      <c r="DC1479" s="115"/>
      <c r="DD1479" s="115"/>
      <c r="DE1479" s="115"/>
      <c r="DF1479" s="115"/>
      <c r="DG1479" s="115"/>
    </row>
    <row r="1480" spans="1:111" ht="9" customHeight="1">
      <c r="C1480" s="416"/>
      <c r="D1480" s="416"/>
      <c r="E1480" s="416"/>
      <c r="F1480" s="416"/>
      <c r="G1480" s="416"/>
      <c r="H1480" s="416"/>
      <c r="J1480" s="421"/>
      <c r="K1480" s="421"/>
      <c r="L1480" s="421"/>
      <c r="M1480" s="421"/>
      <c r="N1480" s="421"/>
      <c r="O1480" s="421"/>
      <c r="P1480" s="421"/>
      <c r="Q1480" s="421"/>
      <c r="R1480" s="421"/>
      <c r="S1480" s="421"/>
      <c r="T1480" s="421"/>
      <c r="U1480" s="421"/>
      <c r="V1480" s="421"/>
      <c r="W1480" s="421"/>
      <c r="X1480" s="421"/>
      <c r="Y1480" s="421"/>
      <c r="Z1480" s="421"/>
      <c r="AA1480" s="421"/>
      <c r="AB1480" s="421"/>
      <c r="AC1480" s="421"/>
      <c r="AD1480" s="421"/>
      <c r="AE1480" s="421"/>
      <c r="AF1480" s="421"/>
      <c r="AG1480" s="421"/>
      <c r="AH1480" s="421"/>
      <c r="AI1480" s="421"/>
      <c r="AJ1480" s="421"/>
      <c r="AK1480" s="421"/>
      <c r="AL1480" s="421"/>
      <c r="AM1480" s="421"/>
      <c r="AN1480" s="421"/>
      <c r="AO1480" s="421"/>
      <c r="AP1480" s="421"/>
      <c r="AQ1480" s="421"/>
      <c r="AR1480" s="421"/>
      <c r="AS1480" s="421"/>
      <c r="AT1480" s="421"/>
      <c r="AU1480" s="421"/>
      <c r="AV1480" s="421"/>
      <c r="AW1480" s="421"/>
      <c r="AX1480" s="421"/>
      <c r="AY1480" s="421"/>
      <c r="AZ1480" s="421"/>
      <c r="BA1480" s="421"/>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c r="BY1480" s="115"/>
      <c r="BZ1480" s="115"/>
      <c r="CA1480" s="115"/>
      <c r="CB1480" s="115"/>
      <c r="CC1480" s="115"/>
      <c r="CD1480" s="115"/>
      <c r="CE1480" s="115"/>
      <c r="CF1480" s="115"/>
      <c r="CG1480" s="115"/>
      <c r="CH1480" s="115"/>
      <c r="CI1480" s="115"/>
      <c r="CJ1480" s="115"/>
      <c r="CK1480" s="115"/>
      <c r="CL1480" s="115"/>
      <c r="CM1480" s="115"/>
      <c r="CN1480" s="115"/>
      <c r="CO1480" s="115"/>
      <c r="CP1480" s="115"/>
      <c r="CQ1480" s="115"/>
      <c r="CR1480" s="115"/>
      <c r="CS1480" s="115"/>
      <c r="CT1480" s="115"/>
      <c r="CU1480" s="115"/>
      <c r="CV1480" s="115"/>
      <c r="CW1480" s="115"/>
      <c r="CX1480" s="115"/>
      <c r="CY1480" s="115"/>
      <c r="CZ1480" s="115"/>
      <c r="DA1480" s="115"/>
      <c r="DB1480" s="115"/>
      <c r="DC1480" s="115"/>
      <c r="DD1480" s="115"/>
      <c r="DE1480" s="115"/>
      <c r="DF1480" s="115"/>
      <c r="DG1480" s="115"/>
    </row>
    <row r="1481" spans="1:111" ht="9" customHeight="1">
      <c r="C1481" s="416"/>
      <c r="D1481" s="416"/>
      <c r="E1481" s="416"/>
      <c r="F1481" s="416"/>
      <c r="G1481" s="416"/>
      <c r="H1481" s="416"/>
      <c r="J1481" s="421"/>
      <c r="K1481" s="421"/>
      <c r="L1481" s="421"/>
      <c r="M1481" s="421"/>
      <c r="N1481" s="421"/>
      <c r="O1481" s="421"/>
      <c r="P1481" s="421"/>
      <c r="Q1481" s="421"/>
      <c r="R1481" s="421"/>
      <c r="S1481" s="421"/>
      <c r="T1481" s="421"/>
      <c r="U1481" s="421"/>
      <c r="V1481" s="421"/>
      <c r="W1481" s="421"/>
      <c r="X1481" s="421"/>
      <c r="Y1481" s="421"/>
      <c r="Z1481" s="421"/>
      <c r="AA1481" s="421"/>
      <c r="AB1481" s="421"/>
      <c r="AC1481" s="421"/>
      <c r="AD1481" s="421"/>
      <c r="AE1481" s="421"/>
      <c r="AF1481" s="421"/>
      <c r="AG1481" s="421"/>
      <c r="AH1481" s="421"/>
      <c r="AI1481" s="421"/>
      <c r="AJ1481" s="421"/>
      <c r="AK1481" s="421"/>
      <c r="AL1481" s="421"/>
      <c r="AM1481" s="421"/>
      <c r="AN1481" s="421"/>
      <c r="AO1481" s="421"/>
      <c r="AP1481" s="421"/>
      <c r="AQ1481" s="421"/>
      <c r="AR1481" s="421"/>
      <c r="AS1481" s="421"/>
      <c r="AT1481" s="421"/>
      <c r="AU1481" s="421"/>
      <c r="AV1481" s="421"/>
      <c r="AW1481" s="421"/>
      <c r="AX1481" s="421"/>
      <c r="AY1481" s="421"/>
      <c r="AZ1481" s="421"/>
      <c r="BA1481" s="421"/>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c r="BY1481" s="115"/>
      <c r="BZ1481" s="115"/>
      <c r="CA1481" s="115"/>
      <c r="CB1481" s="115"/>
      <c r="CC1481" s="115"/>
      <c r="CD1481" s="115"/>
      <c r="CE1481" s="115"/>
      <c r="CF1481" s="115"/>
      <c r="CG1481" s="115"/>
      <c r="CH1481" s="115"/>
      <c r="CI1481" s="115"/>
      <c r="CJ1481" s="115"/>
      <c r="CK1481" s="115"/>
      <c r="CL1481" s="115"/>
      <c r="CM1481" s="115"/>
      <c r="CN1481" s="115"/>
      <c r="CO1481" s="115"/>
      <c r="CP1481" s="115"/>
      <c r="CQ1481" s="115"/>
      <c r="CR1481" s="115"/>
      <c r="CS1481" s="115"/>
      <c r="CT1481" s="115"/>
      <c r="CU1481" s="115"/>
      <c r="CV1481" s="115"/>
      <c r="CW1481" s="115"/>
      <c r="CX1481" s="115"/>
      <c r="CY1481" s="115"/>
      <c r="CZ1481" s="115"/>
      <c r="DA1481" s="115"/>
      <c r="DB1481" s="115"/>
      <c r="DC1481" s="115"/>
      <c r="DD1481" s="115"/>
      <c r="DE1481" s="115"/>
      <c r="DF1481" s="115"/>
      <c r="DG1481" s="115"/>
    </row>
    <row r="1482" spans="1:111" ht="4.5" customHeight="1">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c r="BY1482" s="115"/>
      <c r="BZ1482" s="115"/>
      <c r="CA1482" s="115"/>
      <c r="CB1482" s="115"/>
      <c r="CC1482" s="115"/>
      <c r="CD1482" s="115"/>
      <c r="CE1482" s="115"/>
      <c r="CF1482" s="115"/>
      <c r="CG1482" s="115"/>
      <c r="CH1482" s="115"/>
      <c r="CI1482" s="115"/>
      <c r="CJ1482" s="115"/>
      <c r="CK1482" s="115"/>
      <c r="CL1482" s="115"/>
      <c r="CM1482" s="115"/>
      <c r="CN1482" s="115"/>
      <c r="CO1482" s="115"/>
      <c r="CP1482" s="115"/>
      <c r="CQ1482" s="115"/>
      <c r="CR1482" s="115"/>
      <c r="CS1482" s="115"/>
      <c r="CT1482" s="115"/>
      <c r="CU1482" s="115"/>
      <c r="CV1482" s="115"/>
      <c r="CW1482" s="115"/>
      <c r="CX1482" s="115"/>
      <c r="CY1482" s="115"/>
      <c r="CZ1482" s="115"/>
      <c r="DA1482" s="115"/>
      <c r="DB1482" s="115"/>
      <c r="DC1482" s="115"/>
      <c r="DD1482" s="115"/>
      <c r="DE1482" s="115"/>
      <c r="DF1482" s="115"/>
      <c r="DG1482" s="115"/>
    </row>
    <row r="1483" spans="1:111" ht="9" customHeight="1">
      <c r="A1483" s="61" t="str">
        <f>CONCATENATE(Q1483,AC1483)</f>
        <v/>
      </c>
      <c r="J1483" s="416" t="str">
        <f>IF(C1473="","","Meta Vinculada:")</f>
        <v/>
      </c>
      <c r="K1483" s="416"/>
      <c r="L1483" s="416"/>
      <c r="M1483" s="416"/>
      <c r="N1483" s="416"/>
      <c r="O1483" s="416"/>
      <c r="Q1483" s="417"/>
      <c r="R1483" s="417"/>
      <c r="S1483" s="417"/>
      <c r="T1483" s="417"/>
      <c r="U1483" s="56"/>
      <c r="V1483" s="416" t="str">
        <f>IF(C1473="","","Etapa Vinculada:")</f>
        <v/>
      </c>
      <c r="W1483" s="416"/>
      <c r="X1483" s="416"/>
      <c r="Y1483" s="416"/>
      <c r="Z1483" s="416"/>
      <c r="AA1483" s="416"/>
      <c r="AC1483" s="417"/>
      <c r="AD1483" s="417"/>
      <c r="AE1483" s="417"/>
      <c r="AF1483" s="417"/>
      <c r="AG1483" s="56"/>
      <c r="AH1483" s="56"/>
      <c r="AI1483" s="56"/>
      <c r="AJ1483" s="56"/>
      <c r="AK1483" s="141"/>
      <c r="AL1483" s="141"/>
      <c r="AM1483" s="141"/>
      <c r="AN1483" s="141"/>
      <c r="AO1483" s="140"/>
      <c r="AP1483" s="140"/>
      <c r="AQ1483" s="140"/>
      <c r="AR1483" s="140"/>
      <c r="AS1483" s="142"/>
      <c r="AT1483" s="142"/>
      <c r="AU1483" s="142"/>
      <c r="AV1483" s="142"/>
      <c r="AW1483" s="140"/>
      <c r="AX1483" s="140"/>
      <c r="AY1483" s="140"/>
      <c r="AZ1483" s="140"/>
      <c r="BA1483" s="140"/>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c r="BY1483" s="115"/>
      <c r="BZ1483" s="115"/>
      <c r="CA1483" s="115"/>
      <c r="CB1483" s="115"/>
      <c r="CC1483" s="115"/>
      <c r="CD1483" s="115"/>
      <c r="CE1483" s="115"/>
      <c r="CF1483" s="115"/>
      <c r="CG1483" s="115"/>
      <c r="CH1483" s="115"/>
      <c r="CI1483" s="115"/>
      <c r="CJ1483" s="115"/>
      <c r="CK1483" s="115"/>
      <c r="CL1483" s="115"/>
      <c r="CM1483" s="115"/>
      <c r="CN1483" s="115"/>
      <c r="CO1483" s="115"/>
      <c r="CP1483" s="115"/>
      <c r="CQ1483" s="115"/>
      <c r="CR1483" s="115"/>
      <c r="CS1483" s="115"/>
      <c r="CT1483" s="115"/>
      <c r="CU1483" s="115"/>
      <c r="CV1483" s="115"/>
      <c r="CW1483" s="115"/>
      <c r="CX1483" s="115"/>
      <c r="CY1483" s="115"/>
      <c r="CZ1483" s="115"/>
      <c r="DA1483" s="115"/>
      <c r="DB1483" s="115"/>
      <c r="DC1483" s="115"/>
      <c r="DD1483" s="115"/>
      <c r="DE1483" s="115"/>
      <c r="DF1483" s="115"/>
      <c r="DG1483" s="115"/>
    </row>
    <row r="1484" spans="1:111" ht="9" customHeight="1">
      <c r="B1484" s="55"/>
      <c r="C1484" s="55"/>
      <c r="D1484" s="56"/>
      <c r="E1484" s="56"/>
      <c r="F1484" s="56"/>
      <c r="G1484" s="56"/>
      <c r="H1484" s="56"/>
      <c r="I1484" s="56"/>
      <c r="J1484" s="416"/>
      <c r="K1484" s="416"/>
      <c r="L1484" s="416"/>
      <c r="M1484" s="416"/>
      <c r="N1484" s="416"/>
      <c r="O1484" s="416"/>
      <c r="Q1484" s="417"/>
      <c r="R1484" s="417"/>
      <c r="S1484" s="417"/>
      <c r="T1484" s="417"/>
      <c r="U1484" s="56"/>
      <c r="V1484" s="416"/>
      <c r="W1484" s="416"/>
      <c r="X1484" s="416"/>
      <c r="Y1484" s="416"/>
      <c r="Z1484" s="416"/>
      <c r="AA1484" s="416"/>
      <c r="AC1484" s="417"/>
      <c r="AD1484" s="417"/>
      <c r="AE1484" s="417"/>
      <c r="AF1484" s="417"/>
      <c r="AG1484" s="56"/>
      <c r="AH1484" s="56"/>
      <c r="AI1484" s="56"/>
      <c r="AJ1484" s="56"/>
      <c r="AK1484" s="141"/>
      <c r="AL1484" s="141"/>
      <c r="AM1484" s="141"/>
      <c r="AN1484" s="141"/>
      <c r="AO1484" s="140"/>
      <c r="AP1484" s="140"/>
      <c r="AQ1484" s="140"/>
      <c r="AR1484" s="140"/>
      <c r="AS1484" s="142"/>
      <c r="AT1484" s="142"/>
      <c r="AU1484" s="142"/>
      <c r="AV1484" s="142"/>
      <c r="AW1484" s="140"/>
      <c r="AX1484" s="140"/>
      <c r="AY1484" s="140"/>
      <c r="AZ1484" s="140"/>
      <c r="BA1484" s="140"/>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c r="BY1484" s="115"/>
      <c r="BZ1484" s="115"/>
      <c r="CA1484" s="115"/>
      <c r="CB1484" s="115"/>
      <c r="CC1484" s="115"/>
      <c r="CD1484" s="115"/>
      <c r="CE1484" s="115"/>
      <c r="CF1484" s="115"/>
      <c r="CG1484" s="115"/>
      <c r="CH1484" s="115"/>
      <c r="CI1484" s="115"/>
      <c r="CJ1484" s="115"/>
      <c r="CK1484" s="115"/>
      <c r="CL1484" s="115"/>
      <c r="CM1484" s="115"/>
      <c r="CN1484" s="115"/>
      <c r="CO1484" s="115"/>
      <c r="CP1484" s="115"/>
      <c r="CQ1484" s="115"/>
      <c r="CR1484" s="115"/>
      <c r="CS1484" s="115"/>
      <c r="CT1484" s="115"/>
      <c r="CU1484" s="115"/>
      <c r="CV1484" s="115"/>
      <c r="CW1484" s="115"/>
      <c r="CX1484" s="115"/>
      <c r="CY1484" s="115"/>
      <c r="CZ1484" s="115"/>
      <c r="DA1484" s="115"/>
      <c r="DB1484" s="115"/>
      <c r="DC1484" s="115"/>
      <c r="DD1484" s="115"/>
      <c r="DE1484" s="115"/>
      <c r="DF1484" s="115"/>
      <c r="DG1484" s="115"/>
    </row>
    <row r="1485" spans="1:111" ht="9" customHeight="1">
      <c r="Q1485" s="417"/>
      <c r="R1485" s="417"/>
      <c r="S1485" s="417"/>
      <c r="T1485" s="417"/>
      <c r="AC1485" s="417"/>
      <c r="AD1485" s="417"/>
      <c r="AE1485" s="417"/>
      <c r="AF1485" s="417"/>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c r="BY1485" s="115"/>
      <c r="BZ1485" s="115"/>
      <c r="CA1485" s="115"/>
      <c r="CB1485" s="115"/>
      <c r="CC1485" s="115"/>
      <c r="CD1485" s="115"/>
      <c r="CE1485" s="115"/>
      <c r="CF1485" s="115"/>
      <c r="CG1485" s="115"/>
      <c r="CH1485" s="115"/>
      <c r="CI1485" s="115"/>
      <c r="CJ1485" s="115"/>
      <c r="CK1485" s="115"/>
      <c r="CL1485" s="115"/>
      <c r="CM1485" s="115"/>
      <c r="CN1485" s="115"/>
      <c r="CO1485" s="115"/>
      <c r="CP1485" s="115"/>
      <c r="CQ1485" s="115"/>
      <c r="CR1485" s="115"/>
      <c r="CS1485" s="115"/>
      <c r="CT1485" s="115"/>
      <c r="CU1485" s="115"/>
      <c r="CV1485" s="115"/>
      <c r="CW1485" s="115"/>
      <c r="CX1485" s="115"/>
      <c r="CY1485" s="115"/>
      <c r="CZ1485" s="115"/>
      <c r="DA1485" s="115"/>
      <c r="DB1485" s="115"/>
      <c r="DC1485" s="115"/>
      <c r="DD1485" s="115"/>
      <c r="DE1485" s="115"/>
      <c r="DF1485" s="115"/>
      <c r="DG1485" s="115"/>
    </row>
    <row r="1486" spans="1:111" ht="4.5" customHeight="1">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c r="BY1486" s="115"/>
      <c r="BZ1486" s="115"/>
      <c r="CA1486" s="115"/>
      <c r="CB1486" s="115"/>
      <c r="CC1486" s="115"/>
      <c r="CD1486" s="115"/>
      <c r="CE1486" s="115"/>
      <c r="CF1486" s="115"/>
      <c r="CG1486" s="115"/>
      <c r="CH1486" s="115"/>
      <c r="CI1486" s="115"/>
      <c r="CJ1486" s="115"/>
      <c r="CK1486" s="115"/>
      <c r="CL1486" s="115"/>
      <c r="CM1486" s="115"/>
      <c r="CN1486" s="115"/>
      <c r="CO1486" s="115"/>
      <c r="CP1486" s="115"/>
      <c r="CQ1486" s="115"/>
      <c r="CR1486" s="115"/>
      <c r="CS1486" s="115"/>
      <c r="CT1486" s="115"/>
      <c r="CU1486" s="115"/>
      <c r="CV1486" s="115"/>
      <c r="CW1486" s="115"/>
      <c r="CX1486" s="115"/>
      <c r="CY1486" s="115"/>
      <c r="CZ1486" s="115"/>
      <c r="DA1486" s="115"/>
      <c r="DB1486" s="115"/>
      <c r="DC1486" s="115"/>
      <c r="DD1486" s="115"/>
      <c r="DE1486" s="115"/>
      <c r="DF1486" s="115"/>
      <c r="DG1486" s="115"/>
    </row>
    <row r="1487" spans="1:111" ht="9" customHeight="1">
      <c r="A1487" s="154"/>
      <c r="B1487" s="154"/>
      <c r="C1487" s="154"/>
      <c r="D1487" s="154"/>
      <c r="E1487" s="154"/>
      <c r="F1487" s="154"/>
      <c r="G1487" s="154"/>
      <c r="H1487" s="154"/>
      <c r="I1487" s="154"/>
      <c r="J1487" s="416" t="str">
        <f>IF(C1473="","","Quantidade:")</f>
        <v/>
      </c>
      <c r="K1487" s="416"/>
      <c r="L1487" s="416"/>
      <c r="M1487" s="416"/>
      <c r="N1487" s="416"/>
      <c r="O1487" s="416"/>
      <c r="P1487" s="154"/>
      <c r="Q1487" s="417"/>
      <c r="R1487" s="417"/>
      <c r="S1487" s="417"/>
      <c r="T1487" s="417"/>
      <c r="U1487" s="154"/>
      <c r="V1487" s="416" t="str">
        <f>IF(C1473="","","Unidade:")</f>
        <v/>
      </c>
      <c r="W1487" s="416"/>
      <c r="X1487" s="416"/>
      <c r="Y1487" s="416"/>
      <c r="Z1487" s="416"/>
      <c r="AA1487" s="416"/>
      <c r="AB1487" s="154"/>
      <c r="AC1487" s="418"/>
      <c r="AD1487" s="418"/>
      <c r="AE1487" s="418"/>
      <c r="AF1487" s="418"/>
      <c r="AG1487" s="418"/>
      <c r="AH1487" s="418"/>
      <c r="AI1487" s="418"/>
      <c r="AJ1487" s="418"/>
      <c r="AK1487" s="418"/>
      <c r="AL1487" s="418"/>
      <c r="AM1487" s="418"/>
      <c r="AN1487" s="418"/>
      <c r="AO1487" s="418"/>
      <c r="AP1487" s="418"/>
      <c r="AQ1487" s="418"/>
      <c r="AR1487" s="418"/>
      <c r="AS1487" s="418"/>
      <c r="AT1487" s="418"/>
      <c r="AU1487" s="418"/>
      <c r="AV1487" s="418"/>
      <c r="AW1487" s="418"/>
      <c r="AX1487" s="418"/>
      <c r="AY1487" s="418"/>
      <c r="AZ1487" s="418"/>
      <c r="BA1487" s="418"/>
      <c r="BB1487" s="154"/>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c r="BY1487" s="115"/>
      <c r="BZ1487" s="115"/>
      <c r="CA1487" s="115"/>
      <c r="CB1487" s="115"/>
      <c r="CC1487" s="115"/>
      <c r="CD1487" s="115"/>
      <c r="CE1487" s="115"/>
      <c r="CF1487" s="115"/>
      <c r="CG1487" s="115"/>
      <c r="CH1487" s="115"/>
      <c r="CI1487" s="115"/>
      <c r="CJ1487" s="115"/>
      <c r="CK1487" s="115"/>
      <c r="CL1487" s="115"/>
      <c r="CM1487" s="115"/>
      <c r="CN1487" s="115"/>
      <c r="CO1487" s="115"/>
      <c r="CP1487" s="115"/>
      <c r="CQ1487" s="115"/>
      <c r="CR1487" s="115"/>
      <c r="CS1487" s="115"/>
      <c r="CT1487" s="115"/>
      <c r="CU1487" s="115"/>
      <c r="CV1487" s="115"/>
      <c r="CW1487" s="115"/>
      <c r="CX1487" s="115"/>
      <c r="CY1487" s="115"/>
      <c r="CZ1487" s="115"/>
      <c r="DA1487" s="115"/>
      <c r="DB1487" s="115"/>
      <c r="DC1487" s="115"/>
      <c r="DD1487" s="115"/>
      <c r="DE1487" s="115"/>
      <c r="DF1487" s="115"/>
      <c r="DG1487" s="115"/>
    </row>
    <row r="1488" spans="1:111" ht="9" customHeight="1">
      <c r="A1488" s="154"/>
      <c r="B1488" s="154"/>
      <c r="C1488" s="154"/>
      <c r="D1488" s="154"/>
      <c r="E1488" s="154"/>
      <c r="F1488" s="154"/>
      <c r="G1488" s="154"/>
      <c r="H1488" s="154"/>
      <c r="I1488" s="154"/>
      <c r="J1488" s="416"/>
      <c r="K1488" s="416"/>
      <c r="L1488" s="416"/>
      <c r="M1488" s="416"/>
      <c r="N1488" s="416"/>
      <c r="O1488" s="416"/>
      <c r="P1488" s="154"/>
      <c r="Q1488" s="417"/>
      <c r="R1488" s="417"/>
      <c r="S1488" s="417"/>
      <c r="T1488" s="417"/>
      <c r="U1488" s="154"/>
      <c r="V1488" s="416"/>
      <c r="W1488" s="416"/>
      <c r="X1488" s="416"/>
      <c r="Y1488" s="416"/>
      <c r="Z1488" s="416"/>
      <c r="AA1488" s="416"/>
      <c r="AB1488" s="154"/>
      <c r="AC1488" s="418"/>
      <c r="AD1488" s="418"/>
      <c r="AE1488" s="418"/>
      <c r="AF1488" s="418"/>
      <c r="AG1488" s="418"/>
      <c r="AH1488" s="418"/>
      <c r="AI1488" s="418"/>
      <c r="AJ1488" s="418"/>
      <c r="AK1488" s="418"/>
      <c r="AL1488" s="418"/>
      <c r="AM1488" s="418"/>
      <c r="AN1488" s="418"/>
      <c r="AO1488" s="418"/>
      <c r="AP1488" s="418"/>
      <c r="AQ1488" s="418"/>
      <c r="AR1488" s="418"/>
      <c r="AS1488" s="418"/>
      <c r="AT1488" s="418"/>
      <c r="AU1488" s="418"/>
      <c r="AV1488" s="418"/>
      <c r="AW1488" s="418"/>
      <c r="AX1488" s="418"/>
      <c r="AY1488" s="418"/>
      <c r="AZ1488" s="418"/>
      <c r="BA1488" s="418"/>
      <c r="BB1488" s="154"/>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c r="BY1488" s="115"/>
      <c r="BZ1488" s="115"/>
      <c r="CA1488" s="115"/>
      <c r="CB1488" s="115"/>
      <c r="CC1488" s="115"/>
      <c r="CD1488" s="115"/>
      <c r="CE1488" s="115"/>
      <c r="CF1488" s="115"/>
      <c r="CG1488" s="115"/>
      <c r="CH1488" s="115"/>
      <c r="CI1488" s="115"/>
      <c r="CJ1488" s="115"/>
      <c r="CK1488" s="115"/>
      <c r="CL1488" s="115"/>
      <c r="CM1488" s="115"/>
      <c r="CN1488" s="115"/>
      <c r="CO1488" s="115"/>
      <c r="CP1488" s="115"/>
      <c r="CQ1488" s="115"/>
      <c r="CR1488" s="115"/>
      <c r="CS1488" s="115"/>
      <c r="CT1488" s="115"/>
      <c r="CU1488" s="115"/>
      <c r="CV1488" s="115"/>
      <c r="CW1488" s="115"/>
      <c r="CX1488" s="115"/>
      <c r="CY1488" s="115"/>
      <c r="CZ1488" s="115"/>
      <c r="DA1488" s="115"/>
      <c r="DB1488" s="115"/>
      <c r="DC1488" s="115"/>
      <c r="DD1488" s="115"/>
      <c r="DE1488" s="115"/>
      <c r="DF1488" s="115"/>
      <c r="DG1488" s="115"/>
    </row>
    <row r="1489" spans="1:111" ht="9" customHeight="1">
      <c r="A1489" s="154"/>
      <c r="B1489" s="154"/>
      <c r="C1489" s="154"/>
      <c r="D1489" s="154"/>
      <c r="E1489" s="154"/>
      <c r="F1489" s="154"/>
      <c r="G1489" s="154"/>
      <c r="H1489" s="154"/>
      <c r="I1489" s="154"/>
      <c r="J1489" s="154"/>
      <c r="K1489" s="154"/>
      <c r="L1489" s="154"/>
      <c r="M1489" s="154"/>
      <c r="N1489" s="154"/>
      <c r="O1489" s="154"/>
      <c r="P1489" s="154"/>
      <c r="Q1489" s="417"/>
      <c r="R1489" s="417"/>
      <c r="S1489" s="417"/>
      <c r="T1489" s="417"/>
      <c r="U1489" s="154"/>
      <c r="V1489" s="154"/>
      <c r="W1489" s="154"/>
      <c r="X1489" s="154"/>
      <c r="Y1489" s="154"/>
      <c r="Z1489" s="154"/>
      <c r="AA1489" s="154"/>
      <c r="AB1489" s="154"/>
      <c r="AC1489" s="418"/>
      <c r="AD1489" s="418"/>
      <c r="AE1489" s="418"/>
      <c r="AF1489" s="418"/>
      <c r="AG1489" s="418"/>
      <c r="AH1489" s="418"/>
      <c r="AI1489" s="418"/>
      <c r="AJ1489" s="418"/>
      <c r="AK1489" s="418"/>
      <c r="AL1489" s="418"/>
      <c r="AM1489" s="418"/>
      <c r="AN1489" s="418"/>
      <c r="AO1489" s="418"/>
      <c r="AP1489" s="418"/>
      <c r="AQ1489" s="418"/>
      <c r="AR1489" s="418"/>
      <c r="AS1489" s="418"/>
      <c r="AT1489" s="418"/>
      <c r="AU1489" s="418"/>
      <c r="AV1489" s="418"/>
      <c r="AW1489" s="418"/>
      <c r="AX1489" s="418"/>
      <c r="AY1489" s="418"/>
      <c r="AZ1489" s="418"/>
      <c r="BA1489" s="418"/>
      <c r="BB1489" s="154"/>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c r="BY1489" s="115"/>
      <c r="BZ1489" s="115"/>
      <c r="CA1489" s="115"/>
      <c r="CB1489" s="115"/>
      <c r="CC1489" s="115"/>
      <c r="CD1489" s="115"/>
      <c r="CE1489" s="115"/>
      <c r="CF1489" s="115"/>
      <c r="CG1489" s="115"/>
      <c r="CH1489" s="115"/>
      <c r="CI1489" s="115"/>
      <c r="CJ1489" s="115"/>
      <c r="CK1489" s="115"/>
      <c r="CL1489" s="115"/>
      <c r="CM1489" s="115"/>
      <c r="CN1489" s="115"/>
      <c r="CO1489" s="115"/>
      <c r="CP1489" s="115"/>
      <c r="CQ1489" s="115"/>
      <c r="CR1489" s="115"/>
      <c r="CS1489" s="115"/>
      <c r="CT1489" s="115"/>
      <c r="CU1489" s="115"/>
      <c r="CV1489" s="115"/>
      <c r="CW1489" s="115"/>
      <c r="CX1489" s="115"/>
      <c r="CY1489" s="115"/>
      <c r="CZ1489" s="115"/>
      <c r="DA1489" s="115"/>
      <c r="DB1489" s="115"/>
      <c r="DC1489" s="115"/>
      <c r="DD1489" s="115"/>
      <c r="DE1489" s="115"/>
      <c r="DF1489" s="115"/>
      <c r="DG1489" s="115"/>
    </row>
    <row r="1490" spans="1:111" ht="4.5" customHeight="1">
      <c r="A1490" s="154"/>
      <c r="B1490" s="154"/>
      <c r="C1490" s="154"/>
      <c r="D1490" s="154"/>
      <c r="E1490" s="154"/>
      <c r="F1490" s="154"/>
      <c r="G1490" s="154"/>
      <c r="H1490" s="154"/>
      <c r="I1490" s="154"/>
      <c r="J1490" s="154"/>
      <c r="K1490" s="154"/>
      <c r="L1490" s="154"/>
      <c r="M1490" s="154"/>
      <c r="N1490" s="154"/>
      <c r="O1490" s="154"/>
      <c r="P1490" s="154"/>
      <c r="Q1490" s="154"/>
      <c r="R1490" s="154"/>
      <c r="S1490" s="154"/>
      <c r="T1490" s="154"/>
      <c r="U1490" s="154"/>
      <c r="V1490" s="154"/>
      <c r="W1490" s="154"/>
      <c r="X1490" s="154"/>
      <c r="Y1490" s="154"/>
      <c r="Z1490" s="154"/>
      <c r="AA1490" s="154"/>
      <c r="AB1490" s="154"/>
      <c r="AC1490" s="154"/>
      <c r="AD1490" s="154"/>
      <c r="AE1490" s="154"/>
      <c r="AF1490" s="154"/>
      <c r="AG1490" s="154"/>
      <c r="AH1490" s="154"/>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c r="BY1490" s="115"/>
      <c r="BZ1490" s="115"/>
      <c r="CA1490" s="115"/>
      <c r="CB1490" s="115"/>
      <c r="CC1490" s="115"/>
      <c r="CD1490" s="115"/>
      <c r="CE1490" s="115"/>
      <c r="CF1490" s="115"/>
      <c r="CG1490" s="115"/>
      <c r="CH1490" s="115"/>
      <c r="CI1490" s="115"/>
      <c r="CJ1490" s="115"/>
      <c r="CK1490" s="115"/>
      <c r="CL1490" s="115"/>
      <c r="CM1490" s="115"/>
      <c r="CN1490" s="115"/>
      <c r="CO1490" s="115"/>
      <c r="CP1490" s="115"/>
      <c r="CQ1490" s="115"/>
      <c r="CR1490" s="115"/>
      <c r="CS1490" s="115"/>
      <c r="CT1490" s="115"/>
      <c r="CU1490" s="115"/>
      <c r="CV1490" s="115"/>
      <c r="CW1490" s="115"/>
      <c r="CX1490" s="115"/>
      <c r="CY1490" s="115"/>
      <c r="CZ1490" s="115"/>
      <c r="DA1490" s="115"/>
      <c r="DB1490" s="115"/>
      <c r="DC1490" s="115"/>
      <c r="DD1490" s="115"/>
      <c r="DE1490" s="115"/>
      <c r="DF1490" s="115"/>
      <c r="DG1490" s="115"/>
    </row>
    <row r="1491" spans="1:111" ht="9" customHeight="1">
      <c r="A1491" s="154"/>
      <c r="B1491" s="154"/>
      <c r="C1491" s="154"/>
      <c r="D1491" s="154"/>
      <c r="E1491" s="154"/>
      <c r="F1491" s="154"/>
      <c r="G1491" s="154"/>
      <c r="H1491" s="154"/>
      <c r="I1491" s="154"/>
      <c r="J1491" s="416" t="str">
        <f>IF(C1473="","","Valor Unitário (R$):")</f>
        <v/>
      </c>
      <c r="K1491" s="416"/>
      <c r="L1491" s="416"/>
      <c r="M1491" s="416"/>
      <c r="N1491" s="416"/>
      <c r="O1491" s="416"/>
      <c r="P1491" s="154"/>
      <c r="Q1491" s="419"/>
      <c r="R1491" s="419"/>
      <c r="S1491" s="419"/>
      <c r="T1491" s="419"/>
      <c r="U1491" s="419"/>
      <c r="V1491" s="419"/>
      <c r="W1491" s="419"/>
      <c r="X1491" s="419"/>
      <c r="Y1491" s="154"/>
      <c r="Z1491" s="416" t="str">
        <f>IF(C1473="","",IF(J1479="52 Equipamentos e Material Permanente","Tempo de Uso:",""))</f>
        <v/>
      </c>
      <c r="AA1491" s="416"/>
      <c r="AB1491" s="416"/>
      <c r="AC1491" s="416"/>
      <c r="AD1491" s="416"/>
      <c r="AE1491" s="416"/>
      <c r="AF1491" s="154"/>
      <c r="AG1491" s="420"/>
      <c r="AH1491" s="420"/>
      <c r="AI1491" s="420"/>
      <c r="AJ1491" s="420"/>
      <c r="AK1491" s="420"/>
      <c r="AL1491" s="420"/>
      <c r="AM1491" s="420"/>
      <c r="AN1491" s="420"/>
      <c r="AO1491" s="420"/>
      <c r="AP1491" s="420"/>
      <c r="AQ1491" s="420"/>
      <c r="AR1491" s="420"/>
      <c r="AS1491" s="420"/>
      <c r="AT1491" s="420"/>
      <c r="AU1491" s="420"/>
      <c r="AV1491" s="420"/>
      <c r="AW1491" s="420"/>
      <c r="AX1491" s="420"/>
      <c r="AY1491" s="420"/>
      <c r="AZ1491" s="420"/>
      <c r="BA1491" s="420"/>
      <c r="BB1491" s="154"/>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c r="BY1491" s="115"/>
      <c r="BZ1491" s="115"/>
      <c r="CA1491" s="115"/>
      <c r="CB1491" s="115"/>
      <c r="CC1491" s="115"/>
      <c r="CD1491" s="115"/>
      <c r="CE1491" s="115"/>
      <c r="CF1491" s="115"/>
      <c r="CG1491" s="115"/>
      <c r="CH1491" s="115"/>
      <c r="CI1491" s="115"/>
      <c r="CJ1491" s="115"/>
      <c r="CK1491" s="115"/>
      <c r="CL1491" s="115"/>
      <c r="CM1491" s="115"/>
      <c r="CN1491" s="115"/>
      <c r="CO1491" s="115"/>
      <c r="CP1491" s="115"/>
      <c r="CQ1491" s="115"/>
      <c r="CR1491" s="115"/>
      <c r="CS1491" s="115"/>
      <c r="CT1491" s="115"/>
      <c r="CU1491" s="115"/>
      <c r="CV1491" s="115"/>
      <c r="CW1491" s="115"/>
      <c r="CX1491" s="115"/>
      <c r="CY1491" s="115"/>
      <c r="CZ1491" s="115"/>
      <c r="DA1491" s="115"/>
      <c r="DB1491" s="115"/>
      <c r="DC1491" s="115"/>
      <c r="DD1491" s="115"/>
      <c r="DE1491" s="115"/>
      <c r="DF1491" s="115"/>
      <c r="DG1491" s="115"/>
    </row>
    <row r="1492" spans="1:111" ht="9" customHeight="1">
      <c r="A1492" s="154"/>
      <c r="B1492" s="154"/>
      <c r="C1492" s="154"/>
      <c r="D1492" s="154"/>
      <c r="E1492" s="154"/>
      <c r="F1492" s="154"/>
      <c r="G1492" s="154"/>
      <c r="H1492" s="154"/>
      <c r="I1492" s="154"/>
      <c r="J1492" s="416"/>
      <c r="K1492" s="416"/>
      <c r="L1492" s="416"/>
      <c r="M1492" s="416"/>
      <c r="N1492" s="416"/>
      <c r="O1492" s="416"/>
      <c r="P1492" s="154"/>
      <c r="Q1492" s="419"/>
      <c r="R1492" s="419"/>
      <c r="S1492" s="419"/>
      <c r="T1492" s="419"/>
      <c r="U1492" s="419"/>
      <c r="V1492" s="419"/>
      <c r="W1492" s="419"/>
      <c r="X1492" s="419"/>
      <c r="Y1492" s="154"/>
      <c r="Z1492" s="416"/>
      <c r="AA1492" s="416"/>
      <c r="AB1492" s="416"/>
      <c r="AC1492" s="416"/>
      <c r="AD1492" s="416"/>
      <c r="AE1492" s="416"/>
      <c r="AF1492" s="154"/>
      <c r="AG1492" s="420"/>
      <c r="AH1492" s="420"/>
      <c r="AI1492" s="420"/>
      <c r="AJ1492" s="420"/>
      <c r="AK1492" s="420"/>
      <c r="AL1492" s="420"/>
      <c r="AM1492" s="420"/>
      <c r="AN1492" s="420"/>
      <c r="AO1492" s="420"/>
      <c r="AP1492" s="420"/>
      <c r="AQ1492" s="420"/>
      <c r="AR1492" s="420"/>
      <c r="AS1492" s="420"/>
      <c r="AT1492" s="420"/>
      <c r="AU1492" s="420"/>
      <c r="AV1492" s="420"/>
      <c r="AW1492" s="420"/>
      <c r="AX1492" s="420"/>
      <c r="AY1492" s="420"/>
      <c r="AZ1492" s="420"/>
      <c r="BA1492" s="420"/>
      <c r="BB1492" s="154"/>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c r="BY1492" s="115"/>
      <c r="BZ1492" s="115"/>
      <c r="CA1492" s="115"/>
      <c r="CB1492" s="115"/>
      <c r="CC1492" s="115"/>
      <c r="CD1492" s="115"/>
      <c r="CE1492" s="115"/>
      <c r="CF1492" s="115"/>
      <c r="CG1492" s="115"/>
      <c r="CH1492" s="115"/>
      <c r="CI1492" s="115"/>
      <c r="CJ1492" s="115"/>
      <c r="CK1492" s="115"/>
      <c r="CL1492" s="115"/>
      <c r="CM1492" s="115"/>
      <c r="CN1492" s="115"/>
      <c r="CO1492" s="115"/>
      <c r="CP1492" s="115"/>
      <c r="CQ1492" s="115"/>
      <c r="CR1492" s="115"/>
      <c r="CS1492" s="115"/>
      <c r="CT1492" s="115"/>
      <c r="CU1492" s="115"/>
      <c r="CV1492" s="115"/>
      <c r="CW1492" s="115"/>
      <c r="CX1492" s="115"/>
      <c r="CY1492" s="115"/>
      <c r="CZ1492" s="115"/>
      <c r="DA1492" s="115"/>
      <c r="DB1492" s="115"/>
      <c r="DC1492" s="115"/>
      <c r="DD1492" s="115"/>
      <c r="DE1492" s="115"/>
      <c r="DF1492" s="115"/>
      <c r="DG1492" s="115"/>
    </row>
    <row r="1493" spans="1:111" ht="9" customHeight="1">
      <c r="A1493" s="154"/>
      <c r="B1493" s="154"/>
      <c r="C1493" s="154"/>
      <c r="D1493" s="154"/>
      <c r="E1493" s="154"/>
      <c r="F1493" s="154"/>
      <c r="G1493" s="154"/>
      <c r="H1493" s="154"/>
      <c r="I1493" s="154"/>
      <c r="J1493" s="154"/>
      <c r="K1493" s="154"/>
      <c r="L1493" s="154"/>
      <c r="M1493" s="154"/>
      <c r="N1493" s="154"/>
      <c r="O1493" s="154"/>
      <c r="P1493" s="154"/>
      <c r="Q1493" s="419"/>
      <c r="R1493" s="419"/>
      <c r="S1493" s="419"/>
      <c r="T1493" s="419"/>
      <c r="U1493" s="419"/>
      <c r="V1493" s="419"/>
      <c r="W1493" s="419"/>
      <c r="X1493" s="419"/>
      <c r="Y1493" s="154"/>
      <c r="Z1493" s="154"/>
      <c r="AA1493" s="154"/>
      <c r="AB1493" s="154"/>
      <c r="AC1493" s="154"/>
      <c r="AD1493" s="154"/>
      <c r="AE1493" s="154"/>
      <c r="AF1493" s="154"/>
      <c r="AG1493" s="420"/>
      <c r="AH1493" s="420"/>
      <c r="AI1493" s="420"/>
      <c r="AJ1493" s="420"/>
      <c r="AK1493" s="420"/>
      <c r="AL1493" s="420"/>
      <c r="AM1493" s="420"/>
      <c r="AN1493" s="420"/>
      <c r="AO1493" s="420"/>
      <c r="AP1493" s="420"/>
      <c r="AQ1493" s="420"/>
      <c r="AR1493" s="420"/>
      <c r="AS1493" s="420"/>
      <c r="AT1493" s="420"/>
      <c r="AU1493" s="420"/>
      <c r="AV1493" s="420"/>
      <c r="AW1493" s="420"/>
      <c r="AX1493" s="420"/>
      <c r="AY1493" s="420"/>
      <c r="AZ1493" s="420"/>
      <c r="BA1493" s="420"/>
      <c r="BB1493" s="154"/>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c r="BY1493" s="115"/>
      <c r="BZ1493" s="115"/>
      <c r="CA1493" s="115"/>
      <c r="CB1493" s="115"/>
      <c r="CC1493" s="115"/>
      <c r="CD1493" s="115"/>
      <c r="CE1493" s="115"/>
      <c r="CF1493" s="115"/>
      <c r="CG1493" s="115"/>
      <c r="CH1493" s="115"/>
      <c r="CI1493" s="115"/>
      <c r="CJ1493" s="115"/>
      <c r="CK1493" s="115"/>
      <c r="CL1493" s="115"/>
      <c r="CM1493" s="115"/>
      <c r="CN1493" s="115"/>
      <c r="CO1493" s="115"/>
      <c r="CP1493" s="115"/>
      <c r="CQ1493" s="115"/>
      <c r="CR1493" s="115"/>
      <c r="CS1493" s="115"/>
      <c r="CT1493" s="115"/>
      <c r="CU1493" s="115"/>
      <c r="CV1493" s="115"/>
      <c r="CW1493" s="115"/>
      <c r="CX1493" s="115"/>
      <c r="CY1493" s="115"/>
      <c r="CZ1493" s="115"/>
      <c r="DA1493" s="115"/>
      <c r="DB1493" s="115"/>
      <c r="DC1493" s="115"/>
      <c r="DD1493" s="115"/>
      <c r="DE1493" s="115"/>
      <c r="DF1493" s="115"/>
      <c r="DG1493" s="115"/>
    </row>
    <row r="1494" spans="1:111" ht="4.5" customHeight="1">
      <c r="A1494" s="154"/>
      <c r="B1494" s="154"/>
      <c r="C1494" s="154"/>
      <c r="D1494" s="154"/>
      <c r="E1494" s="154"/>
      <c r="F1494" s="154"/>
      <c r="G1494" s="154"/>
      <c r="H1494" s="154"/>
      <c r="I1494" s="154"/>
      <c r="J1494" s="154"/>
      <c r="K1494" s="154"/>
      <c r="L1494" s="154"/>
      <c r="M1494" s="154"/>
      <c r="N1494" s="154"/>
      <c r="O1494" s="154"/>
      <c r="P1494" s="154"/>
      <c r="Q1494" s="154"/>
      <c r="R1494" s="154"/>
      <c r="S1494" s="154"/>
      <c r="T1494" s="154"/>
      <c r="U1494" s="154"/>
      <c r="V1494" s="154"/>
      <c r="W1494" s="154"/>
      <c r="X1494" s="154"/>
      <c r="Y1494" s="154"/>
      <c r="Z1494" s="154"/>
      <c r="AA1494" s="154"/>
      <c r="AB1494" s="154"/>
      <c r="AC1494" s="154"/>
      <c r="AD1494" s="154"/>
      <c r="AE1494" s="154"/>
      <c r="AF1494" s="154"/>
      <c r="AG1494" s="154"/>
      <c r="AH1494" s="154"/>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c r="BY1494" s="115"/>
      <c r="BZ1494" s="115"/>
      <c r="CA1494" s="115"/>
      <c r="CB1494" s="115"/>
      <c r="CC1494" s="115"/>
      <c r="CD1494" s="115"/>
      <c r="CE1494" s="115"/>
      <c r="CF1494" s="115"/>
      <c r="CG1494" s="115"/>
      <c r="CH1494" s="115"/>
      <c r="CI1494" s="115"/>
      <c r="CJ1494" s="115"/>
      <c r="CK1494" s="115"/>
      <c r="CL1494" s="115"/>
      <c r="CM1494" s="115"/>
      <c r="CN1494" s="115"/>
      <c r="CO1494" s="115"/>
      <c r="CP1494" s="115"/>
      <c r="CQ1494" s="115"/>
      <c r="CR1494" s="115"/>
      <c r="CS1494" s="115"/>
      <c r="CT1494" s="115"/>
      <c r="CU1494" s="115"/>
      <c r="CV1494" s="115"/>
      <c r="CW1494" s="115"/>
      <c r="CX1494" s="115"/>
      <c r="CY1494" s="115"/>
      <c r="CZ1494" s="115"/>
      <c r="DA1494" s="115"/>
      <c r="DB1494" s="115"/>
      <c r="DC1494" s="115"/>
      <c r="DD1494" s="115"/>
      <c r="DE1494" s="115"/>
      <c r="DF1494" s="115"/>
      <c r="DG1494" s="115"/>
    </row>
    <row r="1495" spans="1:111" ht="9" customHeight="1">
      <c r="A1495" s="154"/>
      <c r="B1495" s="154"/>
      <c r="C1495" s="154"/>
      <c r="D1495" s="154"/>
      <c r="E1495" s="154"/>
      <c r="F1495" s="154"/>
      <c r="G1495" s="154"/>
      <c r="H1495" s="154"/>
      <c r="I1495" s="154"/>
      <c r="J1495" s="416" t="str">
        <f>IF(C1473="","","Valor Total (R$):")</f>
        <v/>
      </c>
      <c r="K1495" s="416"/>
      <c r="L1495" s="416"/>
      <c r="M1495" s="416"/>
      <c r="N1495" s="416"/>
      <c r="O1495" s="416"/>
      <c r="P1495" s="154"/>
      <c r="Q1495" s="419" t="str">
        <f>IF(Q1491="","",Q1487*Q1491)</f>
        <v/>
      </c>
      <c r="R1495" s="419"/>
      <c r="S1495" s="419"/>
      <c r="T1495" s="419"/>
      <c r="U1495" s="419"/>
      <c r="V1495" s="419"/>
      <c r="W1495" s="419"/>
      <c r="X1495" s="419"/>
      <c r="Y1495" s="154"/>
      <c r="Z1495" s="416" t="str">
        <f>IF(C1473="","",IF(J1479="52 Equipamentos e Material Permanente","Justificativa e Utilização:",""))</f>
        <v/>
      </c>
      <c r="AA1495" s="416"/>
      <c r="AB1495" s="416"/>
      <c r="AC1495" s="416"/>
      <c r="AD1495" s="416"/>
      <c r="AE1495" s="416"/>
      <c r="AF1495" s="154"/>
      <c r="AG1495" s="420"/>
      <c r="AH1495" s="420"/>
      <c r="AI1495" s="420"/>
      <c r="AJ1495" s="420"/>
      <c r="AK1495" s="420"/>
      <c r="AL1495" s="420"/>
      <c r="AM1495" s="420"/>
      <c r="AN1495" s="420"/>
      <c r="AO1495" s="420"/>
      <c r="AP1495" s="420"/>
      <c r="AQ1495" s="420"/>
      <c r="AR1495" s="420"/>
      <c r="AS1495" s="420"/>
      <c r="AT1495" s="420"/>
      <c r="AU1495" s="420"/>
      <c r="AV1495" s="420"/>
      <c r="AW1495" s="420"/>
      <c r="AX1495" s="420"/>
      <c r="AY1495" s="420"/>
      <c r="AZ1495" s="420"/>
      <c r="BA1495" s="420"/>
      <c r="BB1495" s="154"/>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c r="BY1495" s="115"/>
      <c r="BZ1495" s="115"/>
      <c r="CA1495" s="115"/>
      <c r="CB1495" s="115"/>
      <c r="CC1495" s="115"/>
      <c r="CD1495" s="115"/>
      <c r="CE1495" s="115"/>
      <c r="CF1495" s="115"/>
      <c r="CG1495" s="115"/>
      <c r="CH1495" s="115"/>
      <c r="CI1495" s="115"/>
      <c r="CJ1495" s="115"/>
      <c r="CK1495" s="115"/>
      <c r="CL1495" s="115"/>
      <c r="CM1495" s="115"/>
      <c r="CN1495" s="115"/>
      <c r="CO1495" s="115"/>
      <c r="CP1495" s="115"/>
      <c r="CQ1495" s="115"/>
      <c r="CR1495" s="115"/>
      <c r="CS1495" s="115"/>
      <c r="CT1495" s="115"/>
      <c r="CU1495" s="115"/>
      <c r="CV1495" s="115"/>
      <c r="CW1495" s="115"/>
      <c r="CX1495" s="115"/>
      <c r="CY1495" s="115"/>
      <c r="CZ1495" s="115"/>
      <c r="DA1495" s="115"/>
      <c r="DB1495" s="115"/>
      <c r="DC1495" s="115"/>
      <c r="DD1495" s="115"/>
      <c r="DE1495" s="115"/>
      <c r="DF1495" s="115"/>
      <c r="DG1495" s="115"/>
    </row>
    <row r="1496" spans="1:111" ht="9" customHeight="1">
      <c r="A1496" s="154"/>
      <c r="B1496" s="154"/>
      <c r="C1496" s="154"/>
      <c r="D1496" s="154"/>
      <c r="E1496" s="154"/>
      <c r="F1496" s="154"/>
      <c r="G1496" s="154"/>
      <c r="H1496" s="154"/>
      <c r="I1496" s="154"/>
      <c r="J1496" s="416"/>
      <c r="K1496" s="416"/>
      <c r="L1496" s="416"/>
      <c r="M1496" s="416"/>
      <c r="N1496" s="416"/>
      <c r="O1496" s="416"/>
      <c r="P1496" s="154"/>
      <c r="Q1496" s="419"/>
      <c r="R1496" s="419"/>
      <c r="S1496" s="419"/>
      <c r="T1496" s="419"/>
      <c r="U1496" s="419"/>
      <c r="V1496" s="419"/>
      <c r="W1496" s="419"/>
      <c r="X1496" s="419"/>
      <c r="Y1496" s="154"/>
      <c r="Z1496" s="416"/>
      <c r="AA1496" s="416"/>
      <c r="AB1496" s="416"/>
      <c r="AC1496" s="416"/>
      <c r="AD1496" s="416"/>
      <c r="AE1496" s="416"/>
      <c r="AF1496" s="154"/>
      <c r="AG1496" s="420"/>
      <c r="AH1496" s="420"/>
      <c r="AI1496" s="420"/>
      <c r="AJ1496" s="420"/>
      <c r="AK1496" s="420"/>
      <c r="AL1496" s="420"/>
      <c r="AM1496" s="420"/>
      <c r="AN1496" s="420"/>
      <c r="AO1496" s="420"/>
      <c r="AP1496" s="420"/>
      <c r="AQ1496" s="420"/>
      <c r="AR1496" s="420"/>
      <c r="AS1496" s="420"/>
      <c r="AT1496" s="420"/>
      <c r="AU1496" s="420"/>
      <c r="AV1496" s="420"/>
      <c r="AW1496" s="420"/>
      <c r="AX1496" s="420"/>
      <c r="AY1496" s="420"/>
      <c r="AZ1496" s="420"/>
      <c r="BA1496" s="420"/>
      <c r="BB1496" s="154"/>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c r="BY1496" s="115"/>
      <c r="BZ1496" s="115"/>
      <c r="CA1496" s="115"/>
      <c r="CB1496" s="115"/>
      <c r="CC1496" s="115"/>
      <c r="CD1496" s="115"/>
      <c r="CE1496" s="115"/>
      <c r="CF1496" s="115"/>
      <c r="CG1496" s="115"/>
      <c r="CH1496" s="115"/>
      <c r="CI1496" s="115"/>
      <c r="CJ1496" s="115"/>
      <c r="CK1496" s="115"/>
      <c r="CL1496" s="115"/>
      <c r="CM1496" s="115"/>
      <c r="CN1496" s="115"/>
      <c r="CO1496" s="115"/>
      <c r="CP1496" s="115"/>
      <c r="CQ1496" s="115"/>
      <c r="CR1496" s="115"/>
      <c r="CS1496" s="115"/>
      <c r="CT1496" s="115"/>
      <c r="CU1496" s="115"/>
      <c r="CV1496" s="115"/>
      <c r="CW1496" s="115"/>
      <c r="CX1496" s="115"/>
      <c r="CY1496" s="115"/>
      <c r="CZ1496" s="115"/>
      <c r="DA1496" s="115"/>
      <c r="DB1496" s="115"/>
      <c r="DC1496" s="115"/>
      <c r="DD1496" s="115"/>
      <c r="DE1496" s="115"/>
      <c r="DF1496" s="115"/>
      <c r="DG1496" s="115"/>
    </row>
    <row r="1497" spans="1:111" ht="9" customHeight="1">
      <c r="A1497" s="154"/>
      <c r="B1497" s="154"/>
      <c r="C1497" s="154"/>
      <c r="D1497" s="154"/>
      <c r="E1497" s="154"/>
      <c r="F1497" s="154"/>
      <c r="G1497" s="154"/>
      <c r="H1497" s="154"/>
      <c r="I1497" s="154"/>
      <c r="J1497" s="154"/>
      <c r="K1497" s="154"/>
      <c r="L1497" s="154"/>
      <c r="M1497" s="154"/>
      <c r="N1497" s="154"/>
      <c r="O1497" s="154"/>
      <c r="P1497" s="154"/>
      <c r="Q1497" s="419"/>
      <c r="R1497" s="419"/>
      <c r="S1497" s="419"/>
      <c r="T1497" s="419"/>
      <c r="U1497" s="419"/>
      <c r="V1497" s="419"/>
      <c r="W1497" s="419"/>
      <c r="X1497" s="419"/>
      <c r="Y1497" s="154"/>
      <c r="Z1497" s="154"/>
      <c r="AA1497" s="154"/>
      <c r="AB1497" s="154"/>
      <c r="AC1497" s="154"/>
      <c r="AD1497" s="154"/>
      <c r="AE1497" s="154"/>
      <c r="AF1497" s="154"/>
      <c r="AG1497" s="420"/>
      <c r="AH1497" s="420"/>
      <c r="AI1497" s="420"/>
      <c r="AJ1497" s="420"/>
      <c r="AK1497" s="420"/>
      <c r="AL1497" s="420"/>
      <c r="AM1497" s="420"/>
      <c r="AN1497" s="420"/>
      <c r="AO1497" s="420"/>
      <c r="AP1497" s="420"/>
      <c r="AQ1497" s="420"/>
      <c r="AR1497" s="420"/>
      <c r="AS1497" s="420"/>
      <c r="AT1497" s="420"/>
      <c r="AU1497" s="420"/>
      <c r="AV1497" s="420"/>
      <c r="AW1497" s="420"/>
      <c r="AX1497" s="420"/>
      <c r="AY1497" s="420"/>
      <c r="AZ1497" s="420"/>
      <c r="BA1497" s="420"/>
      <c r="BB1497" s="154"/>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c r="BY1497" s="115"/>
      <c r="BZ1497" s="115"/>
      <c r="CA1497" s="115"/>
      <c r="CB1497" s="115"/>
      <c r="CC1497" s="115"/>
      <c r="CD1497" s="115"/>
      <c r="CE1497" s="115"/>
      <c r="CF1497" s="115"/>
      <c r="CG1497" s="115"/>
      <c r="CH1497" s="115"/>
      <c r="CI1497" s="115"/>
      <c r="CJ1497" s="115"/>
      <c r="CK1497" s="115"/>
      <c r="CL1497" s="115"/>
      <c r="CM1497" s="115"/>
      <c r="CN1497" s="115"/>
      <c r="CO1497" s="115"/>
      <c r="CP1497" s="115"/>
      <c r="CQ1497" s="115"/>
      <c r="CR1497" s="115"/>
      <c r="CS1497" s="115"/>
      <c r="CT1497" s="115"/>
      <c r="CU1497" s="115"/>
      <c r="CV1497" s="115"/>
      <c r="CW1497" s="115"/>
      <c r="CX1497" s="115"/>
      <c r="CY1497" s="115"/>
      <c r="CZ1497" s="115"/>
      <c r="DA1497" s="115"/>
      <c r="DB1497" s="115"/>
      <c r="DC1497" s="115"/>
      <c r="DD1497" s="115"/>
      <c r="DE1497" s="115"/>
      <c r="DF1497" s="115"/>
      <c r="DG1497" s="115"/>
    </row>
    <row r="1498" spans="1:111" ht="9" customHeight="1">
      <c r="A1498" s="154"/>
      <c r="B1498" s="154"/>
      <c r="C1498" s="154"/>
      <c r="D1498" s="154"/>
      <c r="E1498" s="154"/>
      <c r="F1498" s="154"/>
      <c r="G1498" s="154"/>
      <c r="H1498" s="154"/>
      <c r="I1498" s="154"/>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420"/>
      <c r="AH1498" s="420"/>
      <c r="AI1498" s="420"/>
      <c r="AJ1498" s="420"/>
      <c r="AK1498" s="420"/>
      <c r="AL1498" s="420"/>
      <c r="AM1498" s="420"/>
      <c r="AN1498" s="420"/>
      <c r="AO1498" s="420"/>
      <c r="AP1498" s="420"/>
      <c r="AQ1498" s="420"/>
      <c r="AR1498" s="420"/>
      <c r="AS1498" s="420"/>
      <c r="AT1498" s="420"/>
      <c r="AU1498" s="420"/>
      <c r="AV1498" s="420"/>
      <c r="AW1498" s="420"/>
      <c r="AX1498" s="420"/>
      <c r="AY1498" s="420"/>
      <c r="AZ1498" s="420"/>
      <c r="BA1498" s="420"/>
      <c r="BB1498" s="154"/>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c r="BY1498" s="115"/>
      <c r="BZ1498" s="115"/>
      <c r="CA1498" s="115"/>
      <c r="CB1498" s="115"/>
      <c r="CC1498" s="115"/>
      <c r="CD1498" s="115"/>
      <c r="CE1498" s="115"/>
      <c r="CF1498" s="115"/>
      <c r="CG1498" s="115"/>
      <c r="CH1498" s="115"/>
      <c r="CI1498" s="115"/>
      <c r="CJ1498" s="115"/>
      <c r="CK1498" s="115"/>
      <c r="CL1498" s="115"/>
      <c r="CM1498" s="115"/>
      <c r="CN1498" s="115"/>
      <c r="CO1498" s="115"/>
      <c r="CP1498" s="115"/>
      <c r="CQ1498" s="115"/>
      <c r="CR1498" s="115"/>
      <c r="CS1498" s="115"/>
      <c r="CT1498" s="115"/>
      <c r="CU1498" s="115"/>
      <c r="CV1498" s="115"/>
      <c r="CW1498" s="115"/>
      <c r="CX1498" s="115"/>
      <c r="CY1498" s="115"/>
      <c r="CZ1498" s="115"/>
      <c r="DA1498" s="115"/>
      <c r="DB1498" s="115"/>
      <c r="DC1498" s="115"/>
      <c r="DD1498" s="115"/>
      <c r="DE1498" s="115"/>
      <c r="DF1498" s="115"/>
      <c r="DG1498" s="115"/>
    </row>
    <row r="1499" spans="1:111" ht="9" customHeight="1">
      <c r="A1499" s="154"/>
      <c r="B1499" s="154"/>
      <c r="C1499" s="154"/>
      <c r="D1499" s="154"/>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420"/>
      <c r="AH1499" s="420"/>
      <c r="AI1499" s="420"/>
      <c r="AJ1499" s="420"/>
      <c r="AK1499" s="420"/>
      <c r="AL1499" s="420"/>
      <c r="AM1499" s="420"/>
      <c r="AN1499" s="420"/>
      <c r="AO1499" s="420"/>
      <c r="AP1499" s="420"/>
      <c r="AQ1499" s="420"/>
      <c r="AR1499" s="420"/>
      <c r="AS1499" s="420"/>
      <c r="AT1499" s="420"/>
      <c r="AU1499" s="420"/>
      <c r="AV1499" s="420"/>
      <c r="AW1499" s="420"/>
      <c r="AX1499" s="420"/>
      <c r="AY1499" s="420"/>
      <c r="AZ1499" s="420"/>
      <c r="BA1499" s="420"/>
      <c r="BB1499" s="154"/>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c r="BY1499" s="115"/>
      <c r="BZ1499" s="115"/>
      <c r="CA1499" s="115"/>
      <c r="CB1499" s="115"/>
      <c r="CC1499" s="115"/>
      <c r="CD1499" s="115"/>
      <c r="CE1499" s="115"/>
      <c r="CF1499" s="115"/>
      <c r="CG1499" s="115"/>
      <c r="CH1499" s="115"/>
      <c r="CI1499" s="115"/>
      <c r="CJ1499" s="115"/>
      <c r="CK1499" s="115"/>
      <c r="CL1499" s="115"/>
      <c r="CM1499" s="115"/>
      <c r="CN1499" s="115"/>
      <c r="CO1499" s="115"/>
      <c r="CP1499" s="115"/>
      <c r="CQ1499" s="115"/>
      <c r="CR1499" s="115"/>
      <c r="CS1499" s="115"/>
      <c r="CT1499" s="115"/>
      <c r="CU1499" s="115"/>
      <c r="CV1499" s="115"/>
      <c r="CW1499" s="115"/>
      <c r="CX1499" s="115"/>
      <c r="CY1499" s="115"/>
      <c r="CZ1499" s="115"/>
      <c r="DA1499" s="115"/>
      <c r="DB1499" s="115"/>
      <c r="DC1499" s="115"/>
      <c r="DD1499" s="115"/>
      <c r="DE1499" s="115"/>
      <c r="DF1499" s="115"/>
      <c r="DG1499" s="115"/>
    </row>
    <row r="1500" spans="1:111" ht="9" customHeight="1">
      <c r="A1500" s="154"/>
      <c r="B1500" s="154"/>
      <c r="C1500" s="154"/>
      <c r="D1500" s="154"/>
      <c r="E1500" s="154"/>
      <c r="F1500" s="154"/>
      <c r="G1500" s="154"/>
      <c r="H1500" s="154"/>
      <c r="I1500" s="154"/>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420"/>
      <c r="AH1500" s="420"/>
      <c r="AI1500" s="420"/>
      <c r="AJ1500" s="420"/>
      <c r="AK1500" s="420"/>
      <c r="AL1500" s="420"/>
      <c r="AM1500" s="420"/>
      <c r="AN1500" s="420"/>
      <c r="AO1500" s="420"/>
      <c r="AP1500" s="420"/>
      <c r="AQ1500" s="420"/>
      <c r="AR1500" s="420"/>
      <c r="AS1500" s="420"/>
      <c r="AT1500" s="420"/>
      <c r="AU1500" s="420"/>
      <c r="AV1500" s="420"/>
      <c r="AW1500" s="420"/>
      <c r="AX1500" s="420"/>
      <c r="AY1500" s="420"/>
      <c r="AZ1500" s="420"/>
      <c r="BA1500" s="420"/>
      <c r="BB1500" s="154"/>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c r="BY1500" s="115"/>
      <c r="BZ1500" s="115"/>
      <c r="CA1500" s="115"/>
      <c r="CB1500" s="115"/>
      <c r="CC1500" s="115"/>
      <c r="CD1500" s="115"/>
      <c r="CE1500" s="115"/>
      <c r="CF1500" s="115"/>
      <c r="CG1500" s="115"/>
      <c r="CH1500" s="115"/>
      <c r="CI1500" s="115"/>
      <c r="CJ1500" s="115"/>
      <c r="CK1500" s="115"/>
      <c r="CL1500" s="115"/>
      <c r="CM1500" s="115"/>
      <c r="CN1500" s="115"/>
      <c r="CO1500" s="115"/>
      <c r="CP1500" s="115"/>
      <c r="CQ1500" s="115"/>
      <c r="CR1500" s="115"/>
      <c r="CS1500" s="115"/>
      <c r="CT1500" s="115"/>
      <c r="CU1500" s="115"/>
      <c r="CV1500" s="115"/>
      <c r="CW1500" s="115"/>
      <c r="CX1500" s="115"/>
      <c r="CY1500" s="115"/>
      <c r="CZ1500" s="115"/>
      <c r="DA1500" s="115"/>
      <c r="DB1500" s="115"/>
      <c r="DC1500" s="115"/>
      <c r="DD1500" s="115"/>
      <c r="DE1500" s="115"/>
      <c r="DF1500" s="115"/>
      <c r="DG1500" s="115"/>
    </row>
    <row r="1501" spans="1:111" ht="15" customHeight="1">
      <c r="B1501" s="55"/>
      <c r="C1501" s="55"/>
      <c r="D1501" s="56"/>
      <c r="E1501" s="56"/>
      <c r="F1501" s="56"/>
      <c r="G1501" s="56"/>
      <c r="H1501" s="56"/>
      <c r="I1501" s="56"/>
      <c r="J1501" s="56"/>
      <c r="K1501" s="56"/>
      <c r="L1501" s="56"/>
      <c r="M1501" s="56"/>
      <c r="N1501" s="56"/>
      <c r="O1501" s="56"/>
      <c r="P1501" s="56"/>
      <c r="Q1501" s="56"/>
      <c r="R1501" s="56"/>
      <c r="S1501" s="56"/>
      <c r="T1501" s="56"/>
      <c r="U1501" s="56"/>
      <c r="V1501" s="56"/>
      <c r="W1501" s="56"/>
      <c r="X1501" s="56"/>
      <c r="Y1501" s="56"/>
      <c r="Z1501" s="56"/>
      <c r="AA1501" s="56"/>
      <c r="AB1501" s="56"/>
      <c r="AC1501" s="56"/>
      <c r="AD1501" s="56"/>
      <c r="AE1501" s="56"/>
      <c r="AF1501" s="56"/>
      <c r="AG1501" s="56"/>
      <c r="AH1501" s="56"/>
      <c r="AI1501" s="56"/>
      <c r="AJ1501" s="56"/>
      <c r="AK1501" s="141"/>
      <c r="AL1501" s="141"/>
      <c r="AM1501" s="141"/>
      <c r="AN1501" s="141"/>
      <c r="AO1501" s="140"/>
      <c r="AP1501" s="140"/>
      <c r="AQ1501" s="140"/>
      <c r="AR1501" s="140"/>
      <c r="AS1501" s="142"/>
      <c r="AT1501" s="142"/>
      <c r="AU1501" s="142"/>
      <c r="AV1501" s="142"/>
      <c r="AW1501" s="140"/>
      <c r="AX1501" s="140"/>
      <c r="AY1501" s="140"/>
      <c r="AZ1501" s="140"/>
      <c r="BA1501" s="140"/>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c r="BY1501" s="115"/>
      <c r="BZ1501" s="115"/>
      <c r="CA1501" s="115"/>
      <c r="CB1501" s="115"/>
      <c r="CC1501" s="115"/>
      <c r="CD1501" s="115"/>
      <c r="CE1501" s="115"/>
      <c r="CF1501" s="115"/>
      <c r="CG1501" s="115"/>
      <c r="CH1501" s="115"/>
      <c r="CI1501" s="115"/>
      <c r="CJ1501" s="115"/>
      <c r="CK1501" s="115"/>
      <c r="CL1501" s="115"/>
      <c r="CM1501" s="115"/>
      <c r="CN1501" s="115"/>
      <c r="CO1501" s="115"/>
      <c r="CP1501" s="115"/>
      <c r="CQ1501" s="115"/>
      <c r="CR1501" s="115"/>
      <c r="CS1501" s="115"/>
      <c r="CT1501" s="115"/>
      <c r="CU1501" s="115"/>
      <c r="CV1501" s="115"/>
      <c r="CW1501" s="115"/>
      <c r="CX1501" s="115"/>
      <c r="CY1501" s="115"/>
      <c r="CZ1501" s="115"/>
      <c r="DA1501" s="115"/>
      <c r="DB1501" s="115"/>
      <c r="DC1501" s="115"/>
      <c r="DD1501" s="115"/>
      <c r="DE1501" s="115"/>
      <c r="DF1501" s="115"/>
      <c r="DG1501" s="115"/>
    </row>
    <row r="1502" spans="1:111" ht="15" customHeight="1">
      <c r="B1502" s="55"/>
      <c r="C1502" s="422" t="str">
        <f>IF($AA$165&gt;=47,"DESPESA 47","")</f>
        <v/>
      </c>
      <c r="D1502" s="422"/>
      <c r="E1502" s="422"/>
      <c r="F1502" s="422"/>
      <c r="G1502" s="422"/>
      <c r="H1502" s="422"/>
      <c r="I1502" s="56"/>
      <c r="J1502" s="56"/>
      <c r="K1502" s="56"/>
      <c r="L1502" s="56"/>
      <c r="M1502" s="56"/>
      <c r="N1502" s="56"/>
      <c r="O1502" s="56"/>
      <c r="P1502" s="56"/>
      <c r="Q1502" s="56"/>
      <c r="R1502" s="56"/>
      <c r="S1502" s="56"/>
      <c r="T1502" s="56"/>
      <c r="U1502" s="56"/>
      <c r="V1502" s="56"/>
      <c r="W1502" s="56"/>
      <c r="X1502" s="56"/>
      <c r="Y1502" s="56"/>
      <c r="Z1502" s="56"/>
      <c r="AA1502" s="56"/>
      <c r="AB1502" s="56"/>
      <c r="AC1502" s="56"/>
      <c r="AD1502" s="56"/>
      <c r="AE1502" s="56"/>
      <c r="AF1502" s="56"/>
      <c r="AG1502" s="56"/>
      <c r="AH1502" s="56"/>
      <c r="AI1502" s="56"/>
      <c r="AJ1502" s="56"/>
      <c r="AK1502" s="141"/>
      <c r="AL1502" s="141"/>
      <c r="AM1502" s="141"/>
      <c r="AN1502" s="141"/>
      <c r="AO1502" s="140"/>
      <c r="AP1502" s="140"/>
      <c r="AQ1502" s="140"/>
      <c r="AR1502" s="140"/>
      <c r="AS1502" s="142"/>
      <c r="AT1502" s="142"/>
      <c r="AU1502" s="142"/>
      <c r="AV1502" s="142"/>
      <c r="AW1502" s="140"/>
      <c r="AX1502" s="140"/>
      <c r="AY1502" s="140"/>
      <c r="AZ1502" s="140"/>
      <c r="BA1502" s="140"/>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c r="BY1502" s="115"/>
      <c r="BZ1502" s="115"/>
      <c r="CA1502" s="115"/>
      <c r="CB1502" s="115"/>
      <c r="CC1502" s="115"/>
      <c r="CD1502" s="115"/>
      <c r="CE1502" s="115"/>
      <c r="CF1502" s="115"/>
      <c r="CG1502" s="115"/>
      <c r="CH1502" s="115"/>
      <c r="CI1502" s="115"/>
      <c r="CJ1502" s="115"/>
      <c r="CK1502" s="115"/>
      <c r="CL1502" s="115"/>
      <c r="CM1502" s="115"/>
      <c r="CN1502" s="115"/>
      <c r="CO1502" s="115"/>
      <c r="CP1502" s="115"/>
      <c r="CQ1502" s="115"/>
      <c r="CR1502" s="115"/>
      <c r="CS1502" s="115"/>
      <c r="CT1502" s="115"/>
      <c r="CU1502" s="115"/>
      <c r="CV1502" s="115"/>
      <c r="CW1502" s="115"/>
      <c r="CX1502" s="115"/>
      <c r="CY1502" s="115"/>
      <c r="CZ1502" s="115"/>
      <c r="DA1502" s="115"/>
      <c r="DB1502" s="115"/>
      <c r="DC1502" s="115"/>
      <c r="DD1502" s="115"/>
      <c r="DE1502" s="115"/>
      <c r="DF1502" s="115"/>
      <c r="DG1502" s="115"/>
    </row>
    <row r="1503" spans="1:111" ht="4.5" customHeight="1">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c r="BY1503" s="115"/>
      <c r="BZ1503" s="115"/>
      <c r="CA1503" s="115"/>
      <c r="CB1503" s="115"/>
      <c r="CC1503" s="115"/>
      <c r="CD1503" s="115"/>
      <c r="CE1503" s="115"/>
      <c r="CF1503" s="115"/>
      <c r="CG1503" s="115"/>
      <c r="CH1503" s="115"/>
      <c r="CI1503" s="115"/>
      <c r="CJ1503" s="115"/>
      <c r="CK1503" s="115"/>
      <c r="CL1503" s="115"/>
      <c r="CM1503" s="115"/>
      <c r="CN1503" s="115"/>
      <c r="CO1503" s="115"/>
      <c r="CP1503" s="115"/>
      <c r="CQ1503" s="115"/>
      <c r="CR1503" s="115"/>
      <c r="CS1503" s="115"/>
      <c r="CT1503" s="115"/>
      <c r="CU1503" s="115"/>
      <c r="CV1503" s="115"/>
      <c r="CW1503" s="115"/>
      <c r="CX1503" s="115"/>
      <c r="CY1503" s="115"/>
      <c r="CZ1503" s="115"/>
      <c r="DA1503" s="115"/>
      <c r="DB1503" s="115"/>
      <c r="DC1503" s="115"/>
      <c r="DD1503" s="115"/>
      <c r="DE1503" s="115"/>
      <c r="DF1503" s="115"/>
      <c r="DG1503" s="115"/>
    </row>
    <row r="1504" spans="1:111" ht="9" customHeight="1">
      <c r="C1504" s="416" t="str">
        <f>IF(C1502="","","Descrição da Despesa:")</f>
        <v/>
      </c>
      <c r="D1504" s="416"/>
      <c r="E1504" s="416"/>
      <c r="F1504" s="416"/>
      <c r="G1504" s="416"/>
      <c r="H1504" s="416"/>
      <c r="I1504" s="60"/>
      <c r="J1504" s="421"/>
      <c r="K1504" s="421"/>
      <c r="L1504" s="421"/>
      <c r="M1504" s="421"/>
      <c r="N1504" s="421"/>
      <c r="O1504" s="421"/>
      <c r="P1504" s="421"/>
      <c r="Q1504" s="421"/>
      <c r="R1504" s="421"/>
      <c r="S1504" s="421"/>
      <c r="T1504" s="421"/>
      <c r="U1504" s="421"/>
      <c r="V1504" s="421"/>
      <c r="W1504" s="421"/>
      <c r="X1504" s="421"/>
      <c r="Y1504" s="421"/>
      <c r="Z1504" s="421"/>
      <c r="AA1504" s="421"/>
      <c r="AB1504" s="421"/>
      <c r="AC1504" s="421"/>
      <c r="AD1504" s="421"/>
      <c r="AE1504" s="421"/>
      <c r="AF1504" s="421"/>
      <c r="AG1504" s="421"/>
      <c r="AH1504" s="421"/>
      <c r="AI1504" s="421"/>
      <c r="AJ1504" s="421"/>
      <c r="AK1504" s="421"/>
      <c r="AL1504" s="421"/>
      <c r="AM1504" s="421"/>
      <c r="AN1504" s="421"/>
      <c r="AO1504" s="421"/>
      <c r="AP1504" s="421"/>
      <c r="AQ1504" s="421"/>
      <c r="AR1504" s="421"/>
      <c r="AS1504" s="421"/>
      <c r="AT1504" s="421"/>
      <c r="AU1504" s="421"/>
      <c r="AV1504" s="421"/>
      <c r="AW1504" s="421"/>
      <c r="AX1504" s="421"/>
      <c r="AY1504" s="421"/>
      <c r="AZ1504" s="421"/>
      <c r="BA1504" s="421"/>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c r="BY1504" s="115"/>
      <c r="BZ1504" s="115"/>
      <c r="CA1504" s="115"/>
      <c r="CB1504" s="115"/>
      <c r="CC1504" s="115"/>
      <c r="CD1504" s="115"/>
      <c r="CE1504" s="115"/>
      <c r="CF1504" s="115"/>
      <c r="CG1504" s="115"/>
      <c r="CH1504" s="115"/>
      <c r="CI1504" s="115"/>
      <c r="CJ1504" s="115"/>
      <c r="CK1504" s="115"/>
      <c r="CL1504" s="115"/>
      <c r="CM1504" s="115"/>
      <c r="CN1504" s="115"/>
      <c r="CO1504" s="115"/>
      <c r="CP1504" s="115"/>
      <c r="CQ1504" s="115"/>
      <c r="CR1504" s="115"/>
      <c r="CS1504" s="115"/>
      <c r="CT1504" s="115"/>
      <c r="CU1504" s="115"/>
      <c r="CV1504" s="115"/>
      <c r="CW1504" s="115"/>
      <c r="CX1504" s="115"/>
      <c r="CY1504" s="115"/>
      <c r="CZ1504" s="115"/>
      <c r="DA1504" s="115"/>
      <c r="DB1504" s="115"/>
      <c r="DC1504" s="115"/>
      <c r="DD1504" s="115"/>
      <c r="DE1504" s="115"/>
      <c r="DF1504" s="115"/>
      <c r="DG1504" s="115"/>
    </row>
    <row r="1505" spans="1:111" ht="9" customHeight="1">
      <c r="C1505" s="416"/>
      <c r="D1505" s="416"/>
      <c r="E1505" s="416"/>
      <c r="F1505" s="416"/>
      <c r="G1505" s="416"/>
      <c r="H1505" s="416"/>
      <c r="I1505" s="60"/>
      <c r="J1505" s="421"/>
      <c r="K1505" s="421"/>
      <c r="L1505" s="421"/>
      <c r="M1505" s="421"/>
      <c r="N1505" s="421"/>
      <c r="O1505" s="421"/>
      <c r="P1505" s="421"/>
      <c r="Q1505" s="421"/>
      <c r="R1505" s="421"/>
      <c r="S1505" s="421"/>
      <c r="T1505" s="421"/>
      <c r="U1505" s="421"/>
      <c r="V1505" s="421"/>
      <c r="W1505" s="421"/>
      <c r="X1505" s="421"/>
      <c r="Y1505" s="421"/>
      <c r="Z1505" s="421"/>
      <c r="AA1505" s="421"/>
      <c r="AB1505" s="421"/>
      <c r="AC1505" s="421"/>
      <c r="AD1505" s="421"/>
      <c r="AE1505" s="421"/>
      <c r="AF1505" s="421"/>
      <c r="AG1505" s="421"/>
      <c r="AH1505" s="421"/>
      <c r="AI1505" s="421"/>
      <c r="AJ1505" s="421"/>
      <c r="AK1505" s="421"/>
      <c r="AL1505" s="421"/>
      <c r="AM1505" s="421"/>
      <c r="AN1505" s="421"/>
      <c r="AO1505" s="421"/>
      <c r="AP1505" s="421"/>
      <c r="AQ1505" s="421"/>
      <c r="AR1505" s="421"/>
      <c r="AS1505" s="421"/>
      <c r="AT1505" s="421"/>
      <c r="AU1505" s="421"/>
      <c r="AV1505" s="421"/>
      <c r="AW1505" s="421"/>
      <c r="AX1505" s="421"/>
      <c r="AY1505" s="421"/>
      <c r="AZ1505" s="421"/>
      <c r="BA1505" s="421"/>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c r="BY1505" s="115"/>
      <c r="BZ1505" s="115"/>
      <c r="CA1505" s="115"/>
      <c r="CB1505" s="115"/>
      <c r="CC1505" s="115"/>
      <c r="CD1505" s="115"/>
      <c r="CE1505" s="115"/>
      <c r="CF1505" s="115"/>
      <c r="CG1505" s="115"/>
      <c r="CH1505" s="115"/>
      <c r="CI1505" s="115"/>
      <c r="CJ1505" s="115"/>
      <c r="CK1505" s="115"/>
      <c r="CL1505" s="115"/>
      <c r="CM1505" s="115"/>
      <c r="CN1505" s="115"/>
      <c r="CO1505" s="115"/>
      <c r="CP1505" s="115"/>
      <c r="CQ1505" s="115"/>
      <c r="CR1505" s="115"/>
      <c r="CS1505" s="115"/>
      <c r="CT1505" s="115"/>
      <c r="CU1505" s="115"/>
      <c r="CV1505" s="115"/>
      <c r="CW1505" s="115"/>
      <c r="CX1505" s="115"/>
      <c r="CY1505" s="115"/>
      <c r="CZ1505" s="115"/>
      <c r="DA1505" s="115"/>
      <c r="DB1505" s="115"/>
      <c r="DC1505" s="115"/>
      <c r="DD1505" s="115"/>
      <c r="DE1505" s="115"/>
      <c r="DF1505" s="115"/>
      <c r="DG1505" s="115"/>
    </row>
    <row r="1506" spans="1:111" ht="9" customHeight="1">
      <c r="C1506" s="416"/>
      <c r="D1506" s="416"/>
      <c r="E1506" s="416"/>
      <c r="F1506" s="416"/>
      <c r="G1506" s="416"/>
      <c r="H1506" s="416"/>
      <c r="I1506" s="60"/>
      <c r="J1506" s="421"/>
      <c r="K1506" s="421"/>
      <c r="L1506" s="421"/>
      <c r="M1506" s="421"/>
      <c r="N1506" s="421"/>
      <c r="O1506" s="421"/>
      <c r="P1506" s="421"/>
      <c r="Q1506" s="421"/>
      <c r="R1506" s="421"/>
      <c r="S1506" s="421"/>
      <c r="T1506" s="421"/>
      <c r="U1506" s="421"/>
      <c r="V1506" s="421"/>
      <c r="W1506" s="421"/>
      <c r="X1506" s="421"/>
      <c r="Y1506" s="421"/>
      <c r="Z1506" s="421"/>
      <c r="AA1506" s="421"/>
      <c r="AB1506" s="421"/>
      <c r="AC1506" s="421"/>
      <c r="AD1506" s="421"/>
      <c r="AE1506" s="421"/>
      <c r="AF1506" s="421"/>
      <c r="AG1506" s="421"/>
      <c r="AH1506" s="421"/>
      <c r="AI1506" s="421"/>
      <c r="AJ1506" s="421"/>
      <c r="AK1506" s="421"/>
      <c r="AL1506" s="421"/>
      <c r="AM1506" s="421"/>
      <c r="AN1506" s="421"/>
      <c r="AO1506" s="421"/>
      <c r="AP1506" s="421"/>
      <c r="AQ1506" s="421"/>
      <c r="AR1506" s="421"/>
      <c r="AS1506" s="421"/>
      <c r="AT1506" s="421"/>
      <c r="AU1506" s="421"/>
      <c r="AV1506" s="421"/>
      <c r="AW1506" s="421"/>
      <c r="AX1506" s="421"/>
      <c r="AY1506" s="421"/>
      <c r="AZ1506" s="421"/>
      <c r="BA1506" s="421"/>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c r="BY1506" s="115"/>
      <c r="BZ1506" s="115"/>
      <c r="CA1506" s="115"/>
      <c r="CB1506" s="115"/>
      <c r="CC1506" s="115"/>
      <c r="CD1506" s="115"/>
      <c r="CE1506" s="115"/>
      <c r="CF1506" s="115"/>
      <c r="CG1506" s="115"/>
      <c r="CH1506" s="115"/>
      <c r="CI1506" s="115"/>
      <c r="CJ1506" s="115"/>
      <c r="CK1506" s="115"/>
      <c r="CL1506" s="115"/>
      <c r="CM1506" s="115"/>
      <c r="CN1506" s="115"/>
      <c r="CO1506" s="115"/>
      <c r="CP1506" s="115"/>
      <c r="CQ1506" s="115"/>
      <c r="CR1506" s="115"/>
      <c r="CS1506" s="115"/>
      <c r="CT1506" s="115"/>
      <c r="CU1506" s="115"/>
      <c r="CV1506" s="115"/>
      <c r="CW1506" s="115"/>
      <c r="CX1506" s="115"/>
      <c r="CY1506" s="115"/>
      <c r="CZ1506" s="115"/>
      <c r="DA1506" s="115"/>
      <c r="DB1506" s="115"/>
      <c r="DC1506" s="115"/>
      <c r="DD1506" s="115"/>
      <c r="DE1506" s="115"/>
      <c r="DF1506" s="115"/>
      <c r="DG1506" s="115"/>
    </row>
    <row r="1507" spans="1:111" ht="4.5" customHeight="1">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c r="BY1507" s="115"/>
      <c r="BZ1507" s="115"/>
      <c r="CA1507" s="115"/>
      <c r="CB1507" s="115"/>
      <c r="CC1507" s="115"/>
      <c r="CD1507" s="115"/>
      <c r="CE1507" s="115"/>
      <c r="CF1507" s="115"/>
      <c r="CG1507" s="115"/>
      <c r="CH1507" s="115"/>
      <c r="CI1507" s="115"/>
      <c r="CJ1507" s="115"/>
      <c r="CK1507" s="115"/>
      <c r="CL1507" s="115"/>
      <c r="CM1507" s="115"/>
      <c r="CN1507" s="115"/>
      <c r="CO1507" s="115"/>
      <c r="CP1507" s="115"/>
      <c r="CQ1507" s="115"/>
      <c r="CR1507" s="115"/>
      <c r="CS1507" s="115"/>
      <c r="CT1507" s="115"/>
      <c r="CU1507" s="115"/>
      <c r="CV1507" s="115"/>
      <c r="CW1507" s="115"/>
      <c r="CX1507" s="115"/>
      <c r="CY1507" s="115"/>
      <c r="CZ1507" s="115"/>
      <c r="DA1507" s="115"/>
      <c r="DB1507" s="115"/>
      <c r="DC1507" s="115"/>
      <c r="DD1507" s="115"/>
      <c r="DE1507" s="115"/>
      <c r="DF1507" s="115"/>
      <c r="DG1507" s="115"/>
    </row>
    <row r="1508" spans="1:111" ht="9" customHeight="1">
      <c r="C1508" s="416" t="str">
        <f>IF(C1502="","","Elemento de Despesa:")</f>
        <v/>
      </c>
      <c r="D1508" s="416"/>
      <c r="E1508" s="416"/>
      <c r="F1508" s="416"/>
      <c r="G1508" s="416"/>
      <c r="H1508" s="416"/>
      <c r="J1508" s="421"/>
      <c r="K1508" s="421"/>
      <c r="L1508" s="421"/>
      <c r="M1508" s="421"/>
      <c r="N1508" s="421"/>
      <c r="O1508" s="421"/>
      <c r="P1508" s="421"/>
      <c r="Q1508" s="421"/>
      <c r="R1508" s="421"/>
      <c r="S1508" s="421"/>
      <c r="T1508" s="421"/>
      <c r="U1508" s="421"/>
      <c r="V1508" s="421"/>
      <c r="W1508" s="421"/>
      <c r="X1508" s="421"/>
      <c r="Y1508" s="421"/>
      <c r="Z1508" s="421"/>
      <c r="AA1508" s="421"/>
      <c r="AB1508" s="421"/>
      <c r="AC1508" s="421"/>
      <c r="AD1508" s="421"/>
      <c r="AE1508" s="421"/>
      <c r="AF1508" s="421"/>
      <c r="AG1508" s="421"/>
      <c r="AH1508" s="421"/>
      <c r="AI1508" s="421"/>
      <c r="AJ1508" s="421"/>
      <c r="AK1508" s="421"/>
      <c r="AL1508" s="421"/>
      <c r="AM1508" s="421"/>
      <c r="AN1508" s="421"/>
      <c r="AO1508" s="421"/>
      <c r="AP1508" s="421"/>
      <c r="AQ1508" s="421"/>
      <c r="AR1508" s="421"/>
      <c r="AS1508" s="421"/>
      <c r="AT1508" s="421"/>
      <c r="AU1508" s="421"/>
      <c r="AV1508" s="421"/>
      <c r="AW1508" s="421"/>
      <c r="AX1508" s="421"/>
      <c r="AY1508" s="421"/>
      <c r="AZ1508" s="421"/>
      <c r="BA1508" s="421"/>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c r="BY1508" s="115"/>
      <c r="BZ1508" s="115"/>
      <c r="CA1508" s="115"/>
      <c r="CB1508" s="115"/>
      <c r="CC1508" s="115"/>
      <c r="CD1508" s="115"/>
      <c r="CE1508" s="115"/>
      <c r="CF1508" s="115"/>
      <c r="CG1508" s="115"/>
      <c r="CH1508" s="115"/>
      <c r="CI1508" s="115"/>
      <c r="CJ1508" s="115"/>
      <c r="CK1508" s="115"/>
      <c r="CL1508" s="115"/>
      <c r="CM1508" s="115"/>
      <c r="CN1508" s="115"/>
      <c r="CO1508" s="115"/>
      <c r="CP1508" s="115"/>
      <c r="CQ1508" s="115"/>
      <c r="CR1508" s="115"/>
      <c r="CS1508" s="115"/>
      <c r="CT1508" s="115"/>
      <c r="CU1508" s="115"/>
      <c r="CV1508" s="115"/>
      <c r="CW1508" s="115"/>
      <c r="CX1508" s="115"/>
      <c r="CY1508" s="115"/>
      <c r="CZ1508" s="115"/>
      <c r="DA1508" s="115"/>
      <c r="DB1508" s="115"/>
      <c r="DC1508" s="115"/>
      <c r="DD1508" s="115"/>
      <c r="DE1508" s="115"/>
      <c r="DF1508" s="115"/>
      <c r="DG1508" s="115"/>
    </row>
    <row r="1509" spans="1:111" ht="9" customHeight="1">
      <c r="C1509" s="416"/>
      <c r="D1509" s="416"/>
      <c r="E1509" s="416"/>
      <c r="F1509" s="416"/>
      <c r="G1509" s="416"/>
      <c r="H1509" s="416"/>
      <c r="J1509" s="421"/>
      <c r="K1509" s="421"/>
      <c r="L1509" s="421"/>
      <c r="M1509" s="421"/>
      <c r="N1509" s="421"/>
      <c r="O1509" s="421"/>
      <c r="P1509" s="421"/>
      <c r="Q1509" s="421"/>
      <c r="R1509" s="421"/>
      <c r="S1509" s="421"/>
      <c r="T1509" s="421"/>
      <c r="U1509" s="421"/>
      <c r="V1509" s="421"/>
      <c r="W1509" s="421"/>
      <c r="X1509" s="421"/>
      <c r="Y1509" s="421"/>
      <c r="Z1509" s="421"/>
      <c r="AA1509" s="421"/>
      <c r="AB1509" s="421"/>
      <c r="AC1509" s="421"/>
      <c r="AD1509" s="421"/>
      <c r="AE1509" s="421"/>
      <c r="AF1509" s="421"/>
      <c r="AG1509" s="421"/>
      <c r="AH1509" s="421"/>
      <c r="AI1509" s="421"/>
      <c r="AJ1509" s="421"/>
      <c r="AK1509" s="421"/>
      <c r="AL1509" s="421"/>
      <c r="AM1509" s="421"/>
      <c r="AN1509" s="421"/>
      <c r="AO1509" s="421"/>
      <c r="AP1509" s="421"/>
      <c r="AQ1509" s="421"/>
      <c r="AR1509" s="421"/>
      <c r="AS1509" s="421"/>
      <c r="AT1509" s="421"/>
      <c r="AU1509" s="421"/>
      <c r="AV1509" s="421"/>
      <c r="AW1509" s="421"/>
      <c r="AX1509" s="421"/>
      <c r="AY1509" s="421"/>
      <c r="AZ1509" s="421"/>
      <c r="BA1509" s="421"/>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c r="BY1509" s="115"/>
      <c r="BZ1509" s="115"/>
      <c r="CA1509" s="115"/>
      <c r="CB1509" s="115"/>
      <c r="CC1509" s="115"/>
      <c r="CD1509" s="115"/>
      <c r="CE1509" s="115"/>
      <c r="CF1509" s="115"/>
      <c r="CG1509" s="115"/>
      <c r="CH1509" s="115"/>
      <c r="CI1509" s="115"/>
      <c r="CJ1509" s="115"/>
      <c r="CK1509" s="115"/>
      <c r="CL1509" s="115"/>
      <c r="CM1509" s="115"/>
      <c r="CN1509" s="115"/>
      <c r="CO1509" s="115"/>
      <c r="CP1509" s="115"/>
      <c r="CQ1509" s="115"/>
      <c r="CR1509" s="115"/>
      <c r="CS1509" s="115"/>
      <c r="CT1509" s="115"/>
      <c r="CU1509" s="115"/>
      <c r="CV1509" s="115"/>
      <c r="CW1509" s="115"/>
      <c r="CX1509" s="115"/>
      <c r="CY1509" s="115"/>
      <c r="CZ1509" s="115"/>
      <c r="DA1509" s="115"/>
      <c r="DB1509" s="115"/>
      <c r="DC1509" s="115"/>
      <c r="DD1509" s="115"/>
      <c r="DE1509" s="115"/>
      <c r="DF1509" s="115"/>
      <c r="DG1509" s="115"/>
    </row>
    <row r="1510" spans="1:111" ht="9" customHeight="1">
      <c r="C1510" s="416"/>
      <c r="D1510" s="416"/>
      <c r="E1510" s="416"/>
      <c r="F1510" s="416"/>
      <c r="G1510" s="416"/>
      <c r="H1510" s="416"/>
      <c r="J1510" s="421"/>
      <c r="K1510" s="421"/>
      <c r="L1510" s="421"/>
      <c r="M1510" s="421"/>
      <c r="N1510" s="421"/>
      <c r="O1510" s="421"/>
      <c r="P1510" s="421"/>
      <c r="Q1510" s="421"/>
      <c r="R1510" s="421"/>
      <c r="S1510" s="421"/>
      <c r="T1510" s="421"/>
      <c r="U1510" s="421"/>
      <c r="V1510" s="421"/>
      <c r="W1510" s="421"/>
      <c r="X1510" s="421"/>
      <c r="Y1510" s="421"/>
      <c r="Z1510" s="421"/>
      <c r="AA1510" s="421"/>
      <c r="AB1510" s="421"/>
      <c r="AC1510" s="421"/>
      <c r="AD1510" s="421"/>
      <c r="AE1510" s="421"/>
      <c r="AF1510" s="421"/>
      <c r="AG1510" s="421"/>
      <c r="AH1510" s="421"/>
      <c r="AI1510" s="421"/>
      <c r="AJ1510" s="421"/>
      <c r="AK1510" s="421"/>
      <c r="AL1510" s="421"/>
      <c r="AM1510" s="421"/>
      <c r="AN1510" s="421"/>
      <c r="AO1510" s="421"/>
      <c r="AP1510" s="421"/>
      <c r="AQ1510" s="421"/>
      <c r="AR1510" s="421"/>
      <c r="AS1510" s="421"/>
      <c r="AT1510" s="421"/>
      <c r="AU1510" s="421"/>
      <c r="AV1510" s="421"/>
      <c r="AW1510" s="421"/>
      <c r="AX1510" s="421"/>
      <c r="AY1510" s="421"/>
      <c r="AZ1510" s="421"/>
      <c r="BA1510" s="421"/>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c r="BY1510" s="115"/>
      <c r="BZ1510" s="115"/>
      <c r="CA1510" s="115"/>
      <c r="CB1510" s="115"/>
      <c r="CC1510" s="115"/>
      <c r="CD1510" s="115"/>
      <c r="CE1510" s="115"/>
      <c r="CF1510" s="115"/>
      <c r="CG1510" s="115"/>
      <c r="CH1510" s="115"/>
      <c r="CI1510" s="115"/>
      <c r="CJ1510" s="115"/>
      <c r="CK1510" s="115"/>
      <c r="CL1510" s="115"/>
      <c r="CM1510" s="115"/>
      <c r="CN1510" s="115"/>
      <c r="CO1510" s="115"/>
      <c r="CP1510" s="115"/>
      <c r="CQ1510" s="115"/>
      <c r="CR1510" s="115"/>
      <c r="CS1510" s="115"/>
      <c r="CT1510" s="115"/>
      <c r="CU1510" s="115"/>
      <c r="CV1510" s="115"/>
      <c r="CW1510" s="115"/>
      <c r="CX1510" s="115"/>
      <c r="CY1510" s="115"/>
      <c r="CZ1510" s="115"/>
      <c r="DA1510" s="115"/>
      <c r="DB1510" s="115"/>
      <c r="DC1510" s="115"/>
      <c r="DD1510" s="115"/>
      <c r="DE1510" s="115"/>
      <c r="DF1510" s="115"/>
      <c r="DG1510" s="115"/>
    </row>
    <row r="1511" spans="1:111" ht="4.5" customHeight="1">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c r="BY1511" s="115"/>
      <c r="BZ1511" s="115"/>
      <c r="CA1511" s="115"/>
      <c r="CB1511" s="115"/>
      <c r="CC1511" s="115"/>
      <c r="CD1511" s="115"/>
      <c r="CE1511" s="115"/>
      <c r="CF1511" s="115"/>
      <c r="CG1511" s="115"/>
      <c r="CH1511" s="115"/>
      <c r="CI1511" s="115"/>
      <c r="CJ1511" s="115"/>
      <c r="CK1511" s="115"/>
      <c r="CL1511" s="115"/>
      <c r="CM1511" s="115"/>
      <c r="CN1511" s="115"/>
      <c r="CO1511" s="115"/>
      <c r="CP1511" s="115"/>
      <c r="CQ1511" s="115"/>
      <c r="CR1511" s="115"/>
      <c r="CS1511" s="115"/>
      <c r="CT1511" s="115"/>
      <c r="CU1511" s="115"/>
      <c r="CV1511" s="115"/>
      <c r="CW1511" s="115"/>
      <c r="CX1511" s="115"/>
      <c r="CY1511" s="115"/>
      <c r="CZ1511" s="115"/>
      <c r="DA1511" s="115"/>
      <c r="DB1511" s="115"/>
      <c r="DC1511" s="115"/>
      <c r="DD1511" s="115"/>
      <c r="DE1511" s="115"/>
      <c r="DF1511" s="115"/>
      <c r="DG1511" s="115"/>
    </row>
    <row r="1512" spans="1:111" ht="9" customHeight="1">
      <c r="A1512" s="61" t="str">
        <f>CONCATENATE(Q1512,AC1512)</f>
        <v/>
      </c>
      <c r="J1512" s="416" t="str">
        <f>IF(C1502="","","Meta Vinculada:")</f>
        <v/>
      </c>
      <c r="K1512" s="416"/>
      <c r="L1512" s="416"/>
      <c r="M1512" s="416"/>
      <c r="N1512" s="416"/>
      <c r="O1512" s="416"/>
      <c r="Q1512" s="417"/>
      <c r="R1512" s="417"/>
      <c r="S1512" s="417"/>
      <c r="T1512" s="417"/>
      <c r="U1512" s="56"/>
      <c r="V1512" s="416" t="str">
        <f>IF(C1502="","","Etapa Vinculada:")</f>
        <v/>
      </c>
      <c r="W1512" s="416"/>
      <c r="X1512" s="416"/>
      <c r="Y1512" s="416"/>
      <c r="Z1512" s="416"/>
      <c r="AA1512" s="416"/>
      <c r="AC1512" s="417"/>
      <c r="AD1512" s="417"/>
      <c r="AE1512" s="417"/>
      <c r="AF1512" s="417"/>
      <c r="AG1512" s="56"/>
      <c r="AH1512" s="56"/>
      <c r="AI1512" s="56"/>
      <c r="AJ1512" s="56"/>
      <c r="AK1512" s="141"/>
      <c r="AL1512" s="141"/>
      <c r="AM1512" s="141"/>
      <c r="AN1512" s="141"/>
      <c r="AO1512" s="140"/>
      <c r="AP1512" s="140"/>
      <c r="AQ1512" s="140"/>
      <c r="AR1512" s="140"/>
      <c r="AS1512" s="142"/>
      <c r="AT1512" s="142"/>
      <c r="AU1512" s="142"/>
      <c r="AV1512" s="142"/>
      <c r="AW1512" s="140"/>
      <c r="AX1512" s="140"/>
      <c r="AY1512" s="140"/>
      <c r="AZ1512" s="140"/>
      <c r="BA1512" s="140"/>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c r="BY1512" s="115"/>
      <c r="BZ1512" s="115"/>
      <c r="CA1512" s="115"/>
      <c r="CB1512" s="115"/>
      <c r="CC1512" s="115"/>
      <c r="CD1512" s="115"/>
      <c r="CE1512" s="115"/>
      <c r="CF1512" s="115"/>
      <c r="CG1512" s="115"/>
      <c r="CH1512" s="115"/>
      <c r="CI1512" s="115"/>
      <c r="CJ1512" s="115"/>
      <c r="CK1512" s="115"/>
      <c r="CL1512" s="115"/>
      <c r="CM1512" s="115"/>
      <c r="CN1512" s="115"/>
      <c r="CO1512" s="115"/>
      <c r="CP1512" s="115"/>
      <c r="CQ1512" s="115"/>
      <c r="CR1512" s="115"/>
      <c r="CS1512" s="115"/>
      <c r="CT1512" s="115"/>
      <c r="CU1512" s="115"/>
      <c r="CV1512" s="115"/>
      <c r="CW1512" s="115"/>
      <c r="CX1512" s="115"/>
      <c r="CY1512" s="115"/>
      <c r="CZ1512" s="115"/>
      <c r="DA1512" s="115"/>
      <c r="DB1512" s="115"/>
      <c r="DC1512" s="115"/>
      <c r="DD1512" s="115"/>
      <c r="DE1512" s="115"/>
      <c r="DF1512" s="115"/>
      <c r="DG1512" s="115"/>
    </row>
    <row r="1513" spans="1:111" ht="9" customHeight="1">
      <c r="B1513" s="55"/>
      <c r="C1513" s="55"/>
      <c r="D1513" s="56"/>
      <c r="E1513" s="56"/>
      <c r="F1513" s="56"/>
      <c r="G1513" s="56"/>
      <c r="H1513" s="56"/>
      <c r="I1513" s="56"/>
      <c r="J1513" s="416"/>
      <c r="K1513" s="416"/>
      <c r="L1513" s="416"/>
      <c r="M1513" s="416"/>
      <c r="N1513" s="416"/>
      <c r="O1513" s="416"/>
      <c r="Q1513" s="417"/>
      <c r="R1513" s="417"/>
      <c r="S1513" s="417"/>
      <c r="T1513" s="417"/>
      <c r="U1513" s="56"/>
      <c r="V1513" s="416"/>
      <c r="W1513" s="416"/>
      <c r="X1513" s="416"/>
      <c r="Y1513" s="416"/>
      <c r="Z1513" s="416"/>
      <c r="AA1513" s="416"/>
      <c r="AC1513" s="417"/>
      <c r="AD1513" s="417"/>
      <c r="AE1513" s="417"/>
      <c r="AF1513" s="417"/>
      <c r="AG1513" s="56"/>
      <c r="AH1513" s="56"/>
      <c r="AI1513" s="56"/>
      <c r="AJ1513" s="56"/>
      <c r="AK1513" s="141"/>
      <c r="AL1513" s="141"/>
      <c r="AM1513" s="141"/>
      <c r="AN1513" s="141"/>
      <c r="AO1513" s="140"/>
      <c r="AP1513" s="140"/>
      <c r="AQ1513" s="140"/>
      <c r="AR1513" s="140"/>
      <c r="AS1513" s="142"/>
      <c r="AT1513" s="142"/>
      <c r="AU1513" s="142"/>
      <c r="AV1513" s="142"/>
      <c r="AW1513" s="140"/>
      <c r="AX1513" s="140"/>
      <c r="AY1513" s="140"/>
      <c r="AZ1513" s="140"/>
      <c r="BA1513" s="140"/>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c r="BY1513" s="115"/>
      <c r="BZ1513" s="115"/>
      <c r="CA1513" s="115"/>
      <c r="CB1513" s="115"/>
      <c r="CC1513" s="115"/>
      <c r="CD1513" s="115"/>
      <c r="CE1513" s="115"/>
      <c r="CF1513" s="115"/>
      <c r="CG1513" s="115"/>
      <c r="CH1513" s="115"/>
      <c r="CI1513" s="115"/>
      <c r="CJ1513" s="115"/>
      <c r="CK1513" s="115"/>
      <c r="CL1513" s="115"/>
      <c r="CM1513" s="115"/>
      <c r="CN1513" s="115"/>
      <c r="CO1513" s="115"/>
      <c r="CP1513" s="115"/>
      <c r="CQ1513" s="115"/>
      <c r="CR1513" s="115"/>
      <c r="CS1513" s="115"/>
      <c r="CT1513" s="115"/>
      <c r="CU1513" s="115"/>
      <c r="CV1513" s="115"/>
      <c r="CW1513" s="115"/>
      <c r="CX1513" s="115"/>
      <c r="CY1513" s="115"/>
      <c r="CZ1513" s="115"/>
      <c r="DA1513" s="115"/>
      <c r="DB1513" s="115"/>
      <c r="DC1513" s="115"/>
      <c r="DD1513" s="115"/>
      <c r="DE1513" s="115"/>
      <c r="DF1513" s="115"/>
      <c r="DG1513" s="115"/>
    </row>
    <row r="1514" spans="1:111" ht="9" customHeight="1">
      <c r="Q1514" s="417"/>
      <c r="R1514" s="417"/>
      <c r="S1514" s="417"/>
      <c r="T1514" s="417"/>
      <c r="AC1514" s="417"/>
      <c r="AD1514" s="417"/>
      <c r="AE1514" s="417"/>
      <c r="AF1514" s="417"/>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c r="BY1514" s="115"/>
      <c r="BZ1514" s="115"/>
      <c r="CA1514" s="115"/>
      <c r="CB1514" s="115"/>
      <c r="CC1514" s="115"/>
      <c r="CD1514" s="115"/>
      <c r="CE1514" s="115"/>
      <c r="CF1514" s="115"/>
      <c r="CG1514" s="115"/>
      <c r="CH1514" s="115"/>
      <c r="CI1514" s="115"/>
      <c r="CJ1514" s="115"/>
      <c r="CK1514" s="115"/>
      <c r="CL1514" s="115"/>
      <c r="CM1514" s="115"/>
      <c r="CN1514" s="115"/>
      <c r="CO1514" s="115"/>
      <c r="CP1514" s="115"/>
      <c r="CQ1514" s="115"/>
      <c r="CR1514" s="115"/>
      <c r="CS1514" s="115"/>
      <c r="CT1514" s="115"/>
      <c r="CU1514" s="115"/>
      <c r="CV1514" s="115"/>
      <c r="CW1514" s="115"/>
      <c r="CX1514" s="115"/>
      <c r="CY1514" s="115"/>
      <c r="CZ1514" s="115"/>
      <c r="DA1514" s="115"/>
      <c r="DB1514" s="115"/>
      <c r="DC1514" s="115"/>
      <c r="DD1514" s="115"/>
      <c r="DE1514" s="115"/>
      <c r="DF1514" s="115"/>
      <c r="DG1514" s="115"/>
    </row>
    <row r="1515" spans="1:111" ht="4.5" customHeight="1">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c r="BY1515" s="115"/>
      <c r="BZ1515" s="115"/>
      <c r="CA1515" s="115"/>
      <c r="CB1515" s="115"/>
      <c r="CC1515" s="115"/>
      <c r="CD1515" s="115"/>
      <c r="CE1515" s="115"/>
      <c r="CF1515" s="115"/>
      <c r="CG1515" s="115"/>
      <c r="CH1515" s="115"/>
      <c r="CI1515" s="115"/>
      <c r="CJ1515" s="115"/>
      <c r="CK1515" s="115"/>
      <c r="CL1515" s="115"/>
      <c r="CM1515" s="115"/>
      <c r="CN1515" s="115"/>
      <c r="CO1515" s="115"/>
      <c r="CP1515" s="115"/>
      <c r="CQ1515" s="115"/>
      <c r="CR1515" s="115"/>
      <c r="CS1515" s="115"/>
      <c r="CT1515" s="115"/>
      <c r="CU1515" s="115"/>
      <c r="CV1515" s="115"/>
      <c r="CW1515" s="115"/>
      <c r="CX1515" s="115"/>
      <c r="CY1515" s="115"/>
      <c r="CZ1515" s="115"/>
      <c r="DA1515" s="115"/>
      <c r="DB1515" s="115"/>
      <c r="DC1515" s="115"/>
      <c r="DD1515" s="115"/>
      <c r="DE1515" s="115"/>
      <c r="DF1515" s="115"/>
      <c r="DG1515" s="115"/>
    </row>
    <row r="1516" spans="1:111" ht="9" customHeight="1">
      <c r="A1516" s="154"/>
      <c r="B1516" s="154"/>
      <c r="C1516" s="154"/>
      <c r="D1516" s="154"/>
      <c r="E1516" s="154"/>
      <c r="F1516" s="154"/>
      <c r="G1516" s="154"/>
      <c r="H1516" s="154"/>
      <c r="I1516" s="154"/>
      <c r="J1516" s="416" t="str">
        <f>IF(C1502="","","Quantidade:")</f>
        <v/>
      </c>
      <c r="K1516" s="416"/>
      <c r="L1516" s="416"/>
      <c r="M1516" s="416"/>
      <c r="N1516" s="416"/>
      <c r="O1516" s="416"/>
      <c r="P1516" s="154"/>
      <c r="Q1516" s="417"/>
      <c r="R1516" s="417"/>
      <c r="S1516" s="417"/>
      <c r="T1516" s="417"/>
      <c r="U1516" s="154"/>
      <c r="V1516" s="416" t="str">
        <f>IF(C1502="","","Unidade:")</f>
        <v/>
      </c>
      <c r="W1516" s="416"/>
      <c r="X1516" s="416"/>
      <c r="Y1516" s="416"/>
      <c r="Z1516" s="416"/>
      <c r="AA1516" s="416"/>
      <c r="AB1516" s="154"/>
      <c r="AC1516" s="418"/>
      <c r="AD1516" s="418"/>
      <c r="AE1516" s="418"/>
      <c r="AF1516" s="418"/>
      <c r="AG1516" s="418"/>
      <c r="AH1516" s="418"/>
      <c r="AI1516" s="418"/>
      <c r="AJ1516" s="418"/>
      <c r="AK1516" s="418"/>
      <c r="AL1516" s="418"/>
      <c r="AM1516" s="418"/>
      <c r="AN1516" s="418"/>
      <c r="AO1516" s="418"/>
      <c r="AP1516" s="418"/>
      <c r="AQ1516" s="418"/>
      <c r="AR1516" s="418"/>
      <c r="AS1516" s="418"/>
      <c r="AT1516" s="418"/>
      <c r="AU1516" s="418"/>
      <c r="AV1516" s="418"/>
      <c r="AW1516" s="418"/>
      <c r="AX1516" s="418"/>
      <c r="AY1516" s="418"/>
      <c r="AZ1516" s="418"/>
      <c r="BA1516" s="418"/>
      <c r="BB1516" s="154"/>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c r="BY1516" s="115"/>
      <c r="BZ1516" s="115"/>
      <c r="CA1516" s="115"/>
      <c r="CB1516" s="115"/>
      <c r="CC1516" s="115"/>
      <c r="CD1516" s="115"/>
      <c r="CE1516" s="115"/>
      <c r="CF1516" s="115"/>
      <c r="CG1516" s="115"/>
      <c r="CH1516" s="115"/>
      <c r="CI1516" s="115"/>
      <c r="CJ1516" s="115"/>
      <c r="CK1516" s="115"/>
      <c r="CL1516" s="115"/>
      <c r="CM1516" s="115"/>
      <c r="CN1516" s="115"/>
      <c r="CO1516" s="115"/>
      <c r="CP1516" s="115"/>
      <c r="CQ1516" s="115"/>
      <c r="CR1516" s="115"/>
      <c r="CS1516" s="115"/>
      <c r="CT1516" s="115"/>
      <c r="CU1516" s="115"/>
      <c r="CV1516" s="115"/>
      <c r="CW1516" s="115"/>
      <c r="CX1516" s="115"/>
      <c r="CY1516" s="115"/>
      <c r="CZ1516" s="115"/>
      <c r="DA1516" s="115"/>
      <c r="DB1516" s="115"/>
      <c r="DC1516" s="115"/>
      <c r="DD1516" s="115"/>
      <c r="DE1516" s="115"/>
      <c r="DF1516" s="115"/>
      <c r="DG1516" s="115"/>
    </row>
    <row r="1517" spans="1:111" ht="9" customHeight="1">
      <c r="A1517" s="154"/>
      <c r="B1517" s="154"/>
      <c r="C1517" s="154"/>
      <c r="D1517" s="154"/>
      <c r="E1517" s="154"/>
      <c r="F1517" s="154"/>
      <c r="G1517" s="154"/>
      <c r="H1517" s="154"/>
      <c r="I1517" s="154"/>
      <c r="J1517" s="416"/>
      <c r="K1517" s="416"/>
      <c r="L1517" s="416"/>
      <c r="M1517" s="416"/>
      <c r="N1517" s="416"/>
      <c r="O1517" s="416"/>
      <c r="P1517" s="154"/>
      <c r="Q1517" s="417"/>
      <c r="R1517" s="417"/>
      <c r="S1517" s="417"/>
      <c r="T1517" s="417"/>
      <c r="U1517" s="154"/>
      <c r="V1517" s="416"/>
      <c r="W1517" s="416"/>
      <c r="X1517" s="416"/>
      <c r="Y1517" s="416"/>
      <c r="Z1517" s="416"/>
      <c r="AA1517" s="416"/>
      <c r="AB1517" s="154"/>
      <c r="AC1517" s="418"/>
      <c r="AD1517" s="418"/>
      <c r="AE1517" s="418"/>
      <c r="AF1517" s="418"/>
      <c r="AG1517" s="418"/>
      <c r="AH1517" s="418"/>
      <c r="AI1517" s="418"/>
      <c r="AJ1517" s="418"/>
      <c r="AK1517" s="418"/>
      <c r="AL1517" s="418"/>
      <c r="AM1517" s="418"/>
      <c r="AN1517" s="418"/>
      <c r="AO1517" s="418"/>
      <c r="AP1517" s="418"/>
      <c r="AQ1517" s="418"/>
      <c r="AR1517" s="418"/>
      <c r="AS1517" s="418"/>
      <c r="AT1517" s="418"/>
      <c r="AU1517" s="418"/>
      <c r="AV1517" s="418"/>
      <c r="AW1517" s="418"/>
      <c r="AX1517" s="418"/>
      <c r="AY1517" s="418"/>
      <c r="AZ1517" s="418"/>
      <c r="BA1517" s="418"/>
      <c r="BB1517" s="154"/>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c r="BY1517" s="115"/>
      <c r="BZ1517" s="115"/>
      <c r="CA1517" s="115"/>
      <c r="CB1517" s="115"/>
      <c r="CC1517" s="115"/>
      <c r="CD1517" s="115"/>
      <c r="CE1517" s="115"/>
      <c r="CF1517" s="115"/>
      <c r="CG1517" s="115"/>
      <c r="CH1517" s="115"/>
      <c r="CI1517" s="115"/>
      <c r="CJ1517" s="115"/>
      <c r="CK1517" s="115"/>
      <c r="CL1517" s="115"/>
      <c r="CM1517" s="115"/>
      <c r="CN1517" s="115"/>
      <c r="CO1517" s="115"/>
      <c r="CP1517" s="115"/>
      <c r="CQ1517" s="115"/>
      <c r="CR1517" s="115"/>
      <c r="CS1517" s="115"/>
      <c r="CT1517" s="115"/>
      <c r="CU1517" s="115"/>
      <c r="CV1517" s="115"/>
      <c r="CW1517" s="115"/>
      <c r="CX1517" s="115"/>
      <c r="CY1517" s="115"/>
      <c r="CZ1517" s="115"/>
      <c r="DA1517" s="115"/>
      <c r="DB1517" s="115"/>
      <c r="DC1517" s="115"/>
      <c r="DD1517" s="115"/>
      <c r="DE1517" s="115"/>
      <c r="DF1517" s="115"/>
      <c r="DG1517" s="115"/>
    </row>
    <row r="1518" spans="1:111" ht="9" customHeight="1">
      <c r="A1518" s="154"/>
      <c r="B1518" s="154"/>
      <c r="C1518" s="154"/>
      <c r="D1518" s="154"/>
      <c r="E1518" s="154"/>
      <c r="F1518" s="154"/>
      <c r="G1518" s="154"/>
      <c r="H1518" s="154"/>
      <c r="I1518" s="154"/>
      <c r="J1518" s="154"/>
      <c r="K1518" s="154"/>
      <c r="L1518" s="154"/>
      <c r="M1518" s="154"/>
      <c r="N1518" s="154"/>
      <c r="O1518" s="154"/>
      <c r="P1518" s="154"/>
      <c r="Q1518" s="417"/>
      <c r="R1518" s="417"/>
      <c r="S1518" s="417"/>
      <c r="T1518" s="417"/>
      <c r="U1518" s="154"/>
      <c r="V1518" s="154"/>
      <c r="W1518" s="154"/>
      <c r="X1518" s="154"/>
      <c r="Y1518" s="154"/>
      <c r="Z1518" s="154"/>
      <c r="AA1518" s="154"/>
      <c r="AB1518" s="154"/>
      <c r="AC1518" s="418"/>
      <c r="AD1518" s="418"/>
      <c r="AE1518" s="418"/>
      <c r="AF1518" s="418"/>
      <c r="AG1518" s="418"/>
      <c r="AH1518" s="418"/>
      <c r="AI1518" s="418"/>
      <c r="AJ1518" s="418"/>
      <c r="AK1518" s="418"/>
      <c r="AL1518" s="418"/>
      <c r="AM1518" s="418"/>
      <c r="AN1518" s="418"/>
      <c r="AO1518" s="418"/>
      <c r="AP1518" s="418"/>
      <c r="AQ1518" s="418"/>
      <c r="AR1518" s="418"/>
      <c r="AS1518" s="418"/>
      <c r="AT1518" s="418"/>
      <c r="AU1518" s="418"/>
      <c r="AV1518" s="418"/>
      <c r="AW1518" s="418"/>
      <c r="AX1518" s="418"/>
      <c r="AY1518" s="418"/>
      <c r="AZ1518" s="418"/>
      <c r="BA1518" s="418"/>
      <c r="BB1518" s="154"/>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c r="BY1518" s="115"/>
      <c r="BZ1518" s="115"/>
      <c r="CA1518" s="115"/>
      <c r="CB1518" s="115"/>
      <c r="CC1518" s="115"/>
      <c r="CD1518" s="115"/>
      <c r="CE1518" s="115"/>
      <c r="CF1518" s="115"/>
      <c r="CG1518" s="115"/>
      <c r="CH1518" s="115"/>
      <c r="CI1518" s="115"/>
      <c r="CJ1518" s="115"/>
      <c r="CK1518" s="115"/>
      <c r="CL1518" s="115"/>
      <c r="CM1518" s="115"/>
      <c r="CN1518" s="115"/>
      <c r="CO1518" s="115"/>
      <c r="CP1518" s="115"/>
      <c r="CQ1518" s="115"/>
      <c r="CR1518" s="115"/>
      <c r="CS1518" s="115"/>
      <c r="CT1518" s="115"/>
      <c r="CU1518" s="115"/>
      <c r="CV1518" s="115"/>
      <c r="CW1518" s="115"/>
      <c r="CX1518" s="115"/>
      <c r="CY1518" s="115"/>
      <c r="CZ1518" s="115"/>
      <c r="DA1518" s="115"/>
      <c r="DB1518" s="115"/>
      <c r="DC1518" s="115"/>
      <c r="DD1518" s="115"/>
      <c r="DE1518" s="115"/>
      <c r="DF1518" s="115"/>
      <c r="DG1518" s="115"/>
    </row>
    <row r="1519" spans="1:111" ht="4.5" customHeight="1">
      <c r="A1519" s="154"/>
      <c r="B1519" s="154"/>
      <c r="C1519" s="154"/>
      <c r="D1519" s="154"/>
      <c r="E1519" s="154"/>
      <c r="F1519" s="154"/>
      <c r="G1519" s="154"/>
      <c r="H1519" s="154"/>
      <c r="I1519" s="154"/>
      <c r="J1519" s="154"/>
      <c r="K1519" s="154"/>
      <c r="L1519" s="154"/>
      <c r="M1519" s="154"/>
      <c r="N1519" s="154"/>
      <c r="O1519" s="154"/>
      <c r="P1519" s="154"/>
      <c r="Q1519" s="154"/>
      <c r="R1519" s="154"/>
      <c r="S1519" s="154"/>
      <c r="T1519" s="154"/>
      <c r="U1519" s="154"/>
      <c r="V1519" s="154"/>
      <c r="W1519" s="154"/>
      <c r="X1519" s="154"/>
      <c r="Y1519" s="154"/>
      <c r="Z1519" s="154"/>
      <c r="AA1519" s="154"/>
      <c r="AB1519" s="154"/>
      <c r="AC1519" s="154"/>
      <c r="AD1519" s="154"/>
      <c r="AE1519" s="154"/>
      <c r="AF1519" s="154"/>
      <c r="AG1519" s="154"/>
      <c r="AH1519" s="154"/>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c r="BY1519" s="115"/>
      <c r="BZ1519" s="115"/>
      <c r="CA1519" s="115"/>
      <c r="CB1519" s="115"/>
      <c r="CC1519" s="115"/>
      <c r="CD1519" s="115"/>
      <c r="CE1519" s="115"/>
      <c r="CF1519" s="115"/>
      <c r="CG1519" s="115"/>
      <c r="CH1519" s="115"/>
      <c r="CI1519" s="115"/>
      <c r="CJ1519" s="115"/>
      <c r="CK1519" s="115"/>
      <c r="CL1519" s="115"/>
      <c r="CM1519" s="115"/>
      <c r="CN1519" s="115"/>
      <c r="CO1519" s="115"/>
      <c r="CP1519" s="115"/>
      <c r="CQ1519" s="115"/>
      <c r="CR1519" s="115"/>
      <c r="CS1519" s="115"/>
      <c r="CT1519" s="115"/>
      <c r="CU1519" s="115"/>
      <c r="CV1519" s="115"/>
      <c r="CW1519" s="115"/>
      <c r="CX1519" s="115"/>
      <c r="CY1519" s="115"/>
      <c r="CZ1519" s="115"/>
      <c r="DA1519" s="115"/>
      <c r="DB1519" s="115"/>
      <c r="DC1519" s="115"/>
      <c r="DD1519" s="115"/>
      <c r="DE1519" s="115"/>
      <c r="DF1519" s="115"/>
      <c r="DG1519" s="115"/>
    </row>
    <row r="1520" spans="1:111" ht="9" customHeight="1">
      <c r="A1520" s="154"/>
      <c r="B1520" s="154"/>
      <c r="C1520" s="154"/>
      <c r="D1520" s="154"/>
      <c r="E1520" s="154"/>
      <c r="F1520" s="154"/>
      <c r="G1520" s="154"/>
      <c r="H1520" s="154"/>
      <c r="I1520" s="154"/>
      <c r="J1520" s="416" t="str">
        <f>IF(C1502="","","Valor Unitário (R$):")</f>
        <v/>
      </c>
      <c r="K1520" s="416"/>
      <c r="L1520" s="416"/>
      <c r="M1520" s="416"/>
      <c r="N1520" s="416"/>
      <c r="O1520" s="416"/>
      <c r="P1520" s="154"/>
      <c r="Q1520" s="419"/>
      <c r="R1520" s="419"/>
      <c r="S1520" s="419"/>
      <c r="T1520" s="419"/>
      <c r="U1520" s="419"/>
      <c r="V1520" s="419"/>
      <c r="W1520" s="419"/>
      <c r="X1520" s="419"/>
      <c r="Y1520" s="154"/>
      <c r="Z1520" s="416" t="str">
        <f>IF(C1502="","",IF(J1508="52 Equipamentos e Material Permanente","Tempo de Uso:",""))</f>
        <v/>
      </c>
      <c r="AA1520" s="416"/>
      <c r="AB1520" s="416"/>
      <c r="AC1520" s="416"/>
      <c r="AD1520" s="416"/>
      <c r="AE1520" s="416"/>
      <c r="AF1520" s="154"/>
      <c r="AG1520" s="420"/>
      <c r="AH1520" s="420"/>
      <c r="AI1520" s="420"/>
      <c r="AJ1520" s="420"/>
      <c r="AK1520" s="420"/>
      <c r="AL1520" s="420"/>
      <c r="AM1520" s="420"/>
      <c r="AN1520" s="420"/>
      <c r="AO1520" s="420"/>
      <c r="AP1520" s="420"/>
      <c r="AQ1520" s="420"/>
      <c r="AR1520" s="420"/>
      <c r="AS1520" s="420"/>
      <c r="AT1520" s="420"/>
      <c r="AU1520" s="420"/>
      <c r="AV1520" s="420"/>
      <c r="AW1520" s="420"/>
      <c r="AX1520" s="420"/>
      <c r="AY1520" s="420"/>
      <c r="AZ1520" s="420"/>
      <c r="BA1520" s="420"/>
      <c r="BB1520" s="154"/>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c r="BY1520" s="115"/>
      <c r="BZ1520" s="115"/>
      <c r="CA1520" s="115"/>
      <c r="CB1520" s="115"/>
      <c r="CC1520" s="115"/>
      <c r="CD1520" s="115"/>
      <c r="CE1520" s="115"/>
      <c r="CF1520" s="115"/>
      <c r="CG1520" s="115"/>
      <c r="CH1520" s="115"/>
      <c r="CI1520" s="115"/>
      <c r="CJ1520" s="115"/>
      <c r="CK1520" s="115"/>
      <c r="CL1520" s="115"/>
      <c r="CM1520" s="115"/>
      <c r="CN1520" s="115"/>
      <c r="CO1520" s="115"/>
      <c r="CP1520" s="115"/>
      <c r="CQ1520" s="115"/>
      <c r="CR1520" s="115"/>
      <c r="CS1520" s="115"/>
      <c r="CT1520" s="115"/>
      <c r="CU1520" s="115"/>
      <c r="CV1520" s="115"/>
      <c r="CW1520" s="115"/>
      <c r="CX1520" s="115"/>
      <c r="CY1520" s="115"/>
      <c r="CZ1520" s="115"/>
      <c r="DA1520" s="115"/>
      <c r="DB1520" s="115"/>
      <c r="DC1520" s="115"/>
      <c r="DD1520" s="115"/>
      <c r="DE1520" s="115"/>
      <c r="DF1520" s="115"/>
      <c r="DG1520" s="115"/>
    </row>
    <row r="1521" spans="1:111" ht="9" customHeight="1">
      <c r="A1521" s="154"/>
      <c r="B1521" s="154"/>
      <c r="C1521" s="154"/>
      <c r="D1521" s="154"/>
      <c r="E1521" s="154"/>
      <c r="F1521" s="154"/>
      <c r="G1521" s="154"/>
      <c r="H1521" s="154"/>
      <c r="I1521" s="154"/>
      <c r="J1521" s="416"/>
      <c r="K1521" s="416"/>
      <c r="L1521" s="416"/>
      <c r="M1521" s="416"/>
      <c r="N1521" s="416"/>
      <c r="O1521" s="416"/>
      <c r="P1521" s="154"/>
      <c r="Q1521" s="419"/>
      <c r="R1521" s="419"/>
      <c r="S1521" s="419"/>
      <c r="T1521" s="419"/>
      <c r="U1521" s="419"/>
      <c r="V1521" s="419"/>
      <c r="W1521" s="419"/>
      <c r="X1521" s="419"/>
      <c r="Y1521" s="154"/>
      <c r="Z1521" s="416"/>
      <c r="AA1521" s="416"/>
      <c r="AB1521" s="416"/>
      <c r="AC1521" s="416"/>
      <c r="AD1521" s="416"/>
      <c r="AE1521" s="416"/>
      <c r="AF1521" s="154"/>
      <c r="AG1521" s="420"/>
      <c r="AH1521" s="420"/>
      <c r="AI1521" s="420"/>
      <c r="AJ1521" s="420"/>
      <c r="AK1521" s="420"/>
      <c r="AL1521" s="420"/>
      <c r="AM1521" s="420"/>
      <c r="AN1521" s="420"/>
      <c r="AO1521" s="420"/>
      <c r="AP1521" s="420"/>
      <c r="AQ1521" s="420"/>
      <c r="AR1521" s="420"/>
      <c r="AS1521" s="420"/>
      <c r="AT1521" s="420"/>
      <c r="AU1521" s="420"/>
      <c r="AV1521" s="420"/>
      <c r="AW1521" s="420"/>
      <c r="AX1521" s="420"/>
      <c r="AY1521" s="420"/>
      <c r="AZ1521" s="420"/>
      <c r="BA1521" s="420"/>
      <c r="BB1521" s="154"/>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c r="BY1521" s="115"/>
      <c r="BZ1521" s="115"/>
      <c r="CA1521" s="115"/>
      <c r="CB1521" s="115"/>
      <c r="CC1521" s="115"/>
      <c r="CD1521" s="115"/>
      <c r="CE1521" s="115"/>
      <c r="CF1521" s="115"/>
      <c r="CG1521" s="115"/>
      <c r="CH1521" s="115"/>
      <c r="CI1521" s="115"/>
      <c r="CJ1521" s="115"/>
      <c r="CK1521" s="115"/>
      <c r="CL1521" s="115"/>
      <c r="CM1521" s="115"/>
      <c r="CN1521" s="115"/>
      <c r="CO1521" s="115"/>
      <c r="CP1521" s="115"/>
      <c r="CQ1521" s="115"/>
      <c r="CR1521" s="115"/>
      <c r="CS1521" s="115"/>
      <c r="CT1521" s="115"/>
      <c r="CU1521" s="115"/>
      <c r="CV1521" s="115"/>
      <c r="CW1521" s="115"/>
      <c r="CX1521" s="115"/>
      <c r="CY1521" s="115"/>
      <c r="CZ1521" s="115"/>
      <c r="DA1521" s="115"/>
      <c r="DB1521" s="115"/>
      <c r="DC1521" s="115"/>
      <c r="DD1521" s="115"/>
      <c r="DE1521" s="115"/>
      <c r="DF1521" s="115"/>
      <c r="DG1521" s="115"/>
    </row>
    <row r="1522" spans="1:111" ht="9" customHeight="1">
      <c r="A1522" s="154"/>
      <c r="B1522" s="154"/>
      <c r="C1522" s="154"/>
      <c r="D1522" s="154"/>
      <c r="E1522" s="154"/>
      <c r="F1522" s="154"/>
      <c r="G1522" s="154"/>
      <c r="H1522" s="154"/>
      <c r="I1522" s="154"/>
      <c r="J1522" s="154"/>
      <c r="K1522" s="154"/>
      <c r="L1522" s="154"/>
      <c r="M1522" s="154"/>
      <c r="N1522" s="154"/>
      <c r="O1522" s="154"/>
      <c r="P1522" s="154"/>
      <c r="Q1522" s="419"/>
      <c r="R1522" s="419"/>
      <c r="S1522" s="419"/>
      <c r="T1522" s="419"/>
      <c r="U1522" s="419"/>
      <c r="V1522" s="419"/>
      <c r="W1522" s="419"/>
      <c r="X1522" s="419"/>
      <c r="Y1522" s="154"/>
      <c r="Z1522" s="154"/>
      <c r="AA1522" s="154"/>
      <c r="AB1522" s="154"/>
      <c r="AC1522" s="154"/>
      <c r="AD1522" s="154"/>
      <c r="AE1522" s="154"/>
      <c r="AF1522" s="154"/>
      <c r="AG1522" s="420"/>
      <c r="AH1522" s="420"/>
      <c r="AI1522" s="420"/>
      <c r="AJ1522" s="420"/>
      <c r="AK1522" s="420"/>
      <c r="AL1522" s="420"/>
      <c r="AM1522" s="420"/>
      <c r="AN1522" s="420"/>
      <c r="AO1522" s="420"/>
      <c r="AP1522" s="420"/>
      <c r="AQ1522" s="420"/>
      <c r="AR1522" s="420"/>
      <c r="AS1522" s="420"/>
      <c r="AT1522" s="420"/>
      <c r="AU1522" s="420"/>
      <c r="AV1522" s="420"/>
      <c r="AW1522" s="420"/>
      <c r="AX1522" s="420"/>
      <c r="AY1522" s="420"/>
      <c r="AZ1522" s="420"/>
      <c r="BA1522" s="420"/>
      <c r="BB1522" s="154"/>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c r="BY1522" s="115"/>
      <c r="BZ1522" s="115"/>
      <c r="CA1522" s="115"/>
      <c r="CB1522" s="115"/>
      <c r="CC1522" s="115"/>
      <c r="CD1522" s="115"/>
      <c r="CE1522" s="115"/>
      <c r="CF1522" s="115"/>
      <c r="CG1522" s="115"/>
      <c r="CH1522" s="115"/>
      <c r="CI1522" s="115"/>
      <c r="CJ1522" s="115"/>
      <c r="CK1522" s="115"/>
      <c r="CL1522" s="115"/>
      <c r="CM1522" s="115"/>
      <c r="CN1522" s="115"/>
      <c r="CO1522" s="115"/>
      <c r="CP1522" s="115"/>
      <c r="CQ1522" s="115"/>
      <c r="CR1522" s="115"/>
      <c r="CS1522" s="115"/>
      <c r="CT1522" s="115"/>
      <c r="CU1522" s="115"/>
      <c r="CV1522" s="115"/>
      <c r="CW1522" s="115"/>
      <c r="CX1522" s="115"/>
      <c r="CY1522" s="115"/>
      <c r="CZ1522" s="115"/>
      <c r="DA1522" s="115"/>
      <c r="DB1522" s="115"/>
      <c r="DC1522" s="115"/>
      <c r="DD1522" s="115"/>
      <c r="DE1522" s="115"/>
      <c r="DF1522" s="115"/>
      <c r="DG1522" s="115"/>
    </row>
    <row r="1523" spans="1:111" ht="4.5" customHeight="1">
      <c r="A1523" s="154"/>
      <c r="B1523" s="154"/>
      <c r="C1523" s="154"/>
      <c r="D1523" s="154"/>
      <c r="E1523" s="154"/>
      <c r="F1523" s="154"/>
      <c r="G1523" s="154"/>
      <c r="H1523" s="154"/>
      <c r="I1523" s="154"/>
      <c r="J1523" s="154"/>
      <c r="K1523" s="154"/>
      <c r="L1523" s="154"/>
      <c r="M1523" s="154"/>
      <c r="N1523" s="154"/>
      <c r="O1523" s="154"/>
      <c r="P1523" s="154"/>
      <c r="Q1523" s="154"/>
      <c r="R1523" s="154"/>
      <c r="S1523" s="154"/>
      <c r="T1523" s="154"/>
      <c r="U1523" s="154"/>
      <c r="V1523" s="154"/>
      <c r="W1523" s="154"/>
      <c r="X1523" s="154"/>
      <c r="Y1523" s="154"/>
      <c r="Z1523" s="154"/>
      <c r="AA1523" s="154"/>
      <c r="AB1523" s="154"/>
      <c r="AC1523" s="154"/>
      <c r="AD1523" s="154"/>
      <c r="AE1523" s="154"/>
      <c r="AF1523" s="154"/>
      <c r="AG1523" s="154"/>
      <c r="AH1523" s="154"/>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c r="BY1523" s="115"/>
      <c r="BZ1523" s="115"/>
      <c r="CA1523" s="115"/>
      <c r="CB1523" s="115"/>
      <c r="CC1523" s="115"/>
      <c r="CD1523" s="115"/>
      <c r="CE1523" s="115"/>
      <c r="CF1523" s="115"/>
      <c r="CG1523" s="115"/>
      <c r="CH1523" s="115"/>
      <c r="CI1523" s="115"/>
      <c r="CJ1523" s="115"/>
      <c r="CK1523" s="115"/>
      <c r="CL1523" s="115"/>
      <c r="CM1523" s="115"/>
      <c r="CN1523" s="115"/>
      <c r="CO1523" s="115"/>
      <c r="CP1523" s="115"/>
      <c r="CQ1523" s="115"/>
      <c r="CR1523" s="115"/>
      <c r="CS1523" s="115"/>
      <c r="CT1523" s="115"/>
      <c r="CU1523" s="115"/>
      <c r="CV1523" s="115"/>
      <c r="CW1523" s="115"/>
      <c r="CX1523" s="115"/>
      <c r="CY1523" s="115"/>
      <c r="CZ1523" s="115"/>
      <c r="DA1523" s="115"/>
      <c r="DB1523" s="115"/>
      <c r="DC1523" s="115"/>
      <c r="DD1523" s="115"/>
      <c r="DE1523" s="115"/>
      <c r="DF1523" s="115"/>
      <c r="DG1523" s="115"/>
    </row>
    <row r="1524" spans="1:111" ht="9" customHeight="1">
      <c r="A1524" s="154"/>
      <c r="B1524" s="154"/>
      <c r="C1524" s="154"/>
      <c r="D1524" s="154"/>
      <c r="E1524" s="154"/>
      <c r="F1524" s="154"/>
      <c r="G1524" s="154"/>
      <c r="H1524" s="154"/>
      <c r="I1524" s="154"/>
      <c r="J1524" s="416" t="str">
        <f>IF(C1502="","","Valor Total (R$):")</f>
        <v/>
      </c>
      <c r="K1524" s="416"/>
      <c r="L1524" s="416"/>
      <c r="M1524" s="416"/>
      <c r="N1524" s="416"/>
      <c r="O1524" s="416"/>
      <c r="P1524" s="154"/>
      <c r="Q1524" s="419" t="str">
        <f>IF(Q1520="","",Q1516*Q1520)</f>
        <v/>
      </c>
      <c r="R1524" s="419"/>
      <c r="S1524" s="419"/>
      <c r="T1524" s="419"/>
      <c r="U1524" s="419"/>
      <c r="V1524" s="419"/>
      <c r="W1524" s="419"/>
      <c r="X1524" s="419"/>
      <c r="Y1524" s="154"/>
      <c r="Z1524" s="416" t="str">
        <f>IF(C1502="","",IF(J1508="52 Equipamentos e Material Permanente","Justificativa e Utilização:",""))</f>
        <v/>
      </c>
      <c r="AA1524" s="416"/>
      <c r="AB1524" s="416"/>
      <c r="AC1524" s="416"/>
      <c r="AD1524" s="416"/>
      <c r="AE1524" s="416"/>
      <c r="AF1524" s="154"/>
      <c r="AG1524" s="420"/>
      <c r="AH1524" s="420"/>
      <c r="AI1524" s="420"/>
      <c r="AJ1524" s="420"/>
      <c r="AK1524" s="420"/>
      <c r="AL1524" s="420"/>
      <c r="AM1524" s="420"/>
      <c r="AN1524" s="420"/>
      <c r="AO1524" s="420"/>
      <c r="AP1524" s="420"/>
      <c r="AQ1524" s="420"/>
      <c r="AR1524" s="420"/>
      <c r="AS1524" s="420"/>
      <c r="AT1524" s="420"/>
      <c r="AU1524" s="420"/>
      <c r="AV1524" s="420"/>
      <c r="AW1524" s="420"/>
      <c r="AX1524" s="420"/>
      <c r="AY1524" s="420"/>
      <c r="AZ1524" s="420"/>
      <c r="BA1524" s="420"/>
      <c r="BB1524" s="154"/>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c r="BY1524" s="115"/>
      <c r="BZ1524" s="115"/>
      <c r="CA1524" s="115"/>
      <c r="CB1524" s="115"/>
      <c r="CC1524" s="115"/>
      <c r="CD1524" s="115"/>
      <c r="CE1524" s="115"/>
      <c r="CF1524" s="115"/>
      <c r="CG1524" s="115"/>
      <c r="CH1524" s="115"/>
      <c r="CI1524" s="115"/>
      <c r="CJ1524" s="115"/>
      <c r="CK1524" s="115"/>
      <c r="CL1524" s="115"/>
      <c r="CM1524" s="115"/>
      <c r="CN1524" s="115"/>
      <c r="CO1524" s="115"/>
      <c r="CP1524" s="115"/>
      <c r="CQ1524" s="115"/>
      <c r="CR1524" s="115"/>
      <c r="CS1524" s="115"/>
      <c r="CT1524" s="115"/>
      <c r="CU1524" s="115"/>
      <c r="CV1524" s="115"/>
      <c r="CW1524" s="115"/>
      <c r="CX1524" s="115"/>
      <c r="CY1524" s="115"/>
      <c r="CZ1524" s="115"/>
      <c r="DA1524" s="115"/>
      <c r="DB1524" s="115"/>
      <c r="DC1524" s="115"/>
      <c r="DD1524" s="115"/>
      <c r="DE1524" s="115"/>
      <c r="DF1524" s="115"/>
      <c r="DG1524" s="115"/>
    </row>
    <row r="1525" spans="1:111" ht="9" customHeight="1">
      <c r="A1525" s="154"/>
      <c r="B1525" s="154"/>
      <c r="C1525" s="154"/>
      <c r="D1525" s="154"/>
      <c r="E1525" s="154"/>
      <c r="F1525" s="154"/>
      <c r="G1525" s="154"/>
      <c r="H1525" s="154"/>
      <c r="I1525" s="154"/>
      <c r="J1525" s="416"/>
      <c r="K1525" s="416"/>
      <c r="L1525" s="416"/>
      <c r="M1525" s="416"/>
      <c r="N1525" s="416"/>
      <c r="O1525" s="416"/>
      <c r="P1525" s="154"/>
      <c r="Q1525" s="419"/>
      <c r="R1525" s="419"/>
      <c r="S1525" s="419"/>
      <c r="T1525" s="419"/>
      <c r="U1525" s="419"/>
      <c r="V1525" s="419"/>
      <c r="W1525" s="419"/>
      <c r="X1525" s="419"/>
      <c r="Y1525" s="154"/>
      <c r="Z1525" s="416"/>
      <c r="AA1525" s="416"/>
      <c r="AB1525" s="416"/>
      <c r="AC1525" s="416"/>
      <c r="AD1525" s="416"/>
      <c r="AE1525" s="416"/>
      <c r="AF1525" s="154"/>
      <c r="AG1525" s="420"/>
      <c r="AH1525" s="420"/>
      <c r="AI1525" s="420"/>
      <c r="AJ1525" s="420"/>
      <c r="AK1525" s="420"/>
      <c r="AL1525" s="420"/>
      <c r="AM1525" s="420"/>
      <c r="AN1525" s="420"/>
      <c r="AO1525" s="420"/>
      <c r="AP1525" s="420"/>
      <c r="AQ1525" s="420"/>
      <c r="AR1525" s="420"/>
      <c r="AS1525" s="420"/>
      <c r="AT1525" s="420"/>
      <c r="AU1525" s="420"/>
      <c r="AV1525" s="420"/>
      <c r="AW1525" s="420"/>
      <c r="AX1525" s="420"/>
      <c r="AY1525" s="420"/>
      <c r="AZ1525" s="420"/>
      <c r="BA1525" s="420"/>
      <c r="BB1525" s="154"/>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c r="BY1525" s="115"/>
      <c r="BZ1525" s="115"/>
      <c r="CA1525" s="115"/>
      <c r="CB1525" s="115"/>
      <c r="CC1525" s="115"/>
      <c r="CD1525" s="115"/>
      <c r="CE1525" s="115"/>
      <c r="CF1525" s="115"/>
      <c r="CG1525" s="115"/>
      <c r="CH1525" s="115"/>
      <c r="CI1525" s="115"/>
      <c r="CJ1525" s="115"/>
      <c r="CK1525" s="115"/>
      <c r="CL1525" s="115"/>
      <c r="CM1525" s="115"/>
      <c r="CN1525" s="115"/>
      <c r="CO1525" s="115"/>
      <c r="CP1525" s="115"/>
      <c r="CQ1525" s="115"/>
      <c r="CR1525" s="115"/>
      <c r="CS1525" s="115"/>
      <c r="CT1525" s="115"/>
      <c r="CU1525" s="115"/>
      <c r="CV1525" s="115"/>
      <c r="CW1525" s="115"/>
      <c r="CX1525" s="115"/>
      <c r="CY1525" s="115"/>
      <c r="CZ1525" s="115"/>
      <c r="DA1525" s="115"/>
      <c r="DB1525" s="115"/>
      <c r="DC1525" s="115"/>
      <c r="DD1525" s="115"/>
      <c r="DE1525" s="115"/>
      <c r="DF1525" s="115"/>
      <c r="DG1525" s="115"/>
    </row>
    <row r="1526" spans="1:111" ht="9" customHeight="1">
      <c r="A1526" s="154"/>
      <c r="B1526" s="154"/>
      <c r="C1526" s="154"/>
      <c r="D1526" s="154"/>
      <c r="E1526" s="154"/>
      <c r="F1526" s="154"/>
      <c r="G1526" s="154"/>
      <c r="H1526" s="154"/>
      <c r="I1526" s="154"/>
      <c r="J1526" s="154"/>
      <c r="K1526" s="154"/>
      <c r="L1526" s="154"/>
      <c r="M1526" s="154"/>
      <c r="N1526" s="154"/>
      <c r="O1526" s="154"/>
      <c r="P1526" s="154"/>
      <c r="Q1526" s="419"/>
      <c r="R1526" s="419"/>
      <c r="S1526" s="419"/>
      <c r="T1526" s="419"/>
      <c r="U1526" s="419"/>
      <c r="V1526" s="419"/>
      <c r="W1526" s="419"/>
      <c r="X1526" s="419"/>
      <c r="Y1526" s="154"/>
      <c r="Z1526" s="154"/>
      <c r="AA1526" s="154"/>
      <c r="AB1526" s="154"/>
      <c r="AC1526" s="154"/>
      <c r="AD1526" s="154"/>
      <c r="AE1526" s="154"/>
      <c r="AF1526" s="154"/>
      <c r="AG1526" s="420"/>
      <c r="AH1526" s="420"/>
      <c r="AI1526" s="420"/>
      <c r="AJ1526" s="420"/>
      <c r="AK1526" s="420"/>
      <c r="AL1526" s="420"/>
      <c r="AM1526" s="420"/>
      <c r="AN1526" s="420"/>
      <c r="AO1526" s="420"/>
      <c r="AP1526" s="420"/>
      <c r="AQ1526" s="420"/>
      <c r="AR1526" s="420"/>
      <c r="AS1526" s="420"/>
      <c r="AT1526" s="420"/>
      <c r="AU1526" s="420"/>
      <c r="AV1526" s="420"/>
      <c r="AW1526" s="420"/>
      <c r="AX1526" s="420"/>
      <c r="AY1526" s="420"/>
      <c r="AZ1526" s="420"/>
      <c r="BA1526" s="420"/>
      <c r="BB1526" s="154"/>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c r="BY1526" s="115"/>
      <c r="BZ1526" s="115"/>
      <c r="CA1526" s="115"/>
      <c r="CB1526" s="115"/>
      <c r="CC1526" s="115"/>
      <c r="CD1526" s="115"/>
      <c r="CE1526" s="115"/>
      <c r="CF1526" s="115"/>
      <c r="CG1526" s="115"/>
      <c r="CH1526" s="115"/>
      <c r="CI1526" s="115"/>
      <c r="CJ1526" s="115"/>
      <c r="CK1526" s="115"/>
      <c r="CL1526" s="115"/>
      <c r="CM1526" s="115"/>
      <c r="CN1526" s="115"/>
      <c r="CO1526" s="115"/>
      <c r="CP1526" s="115"/>
      <c r="CQ1526" s="115"/>
      <c r="CR1526" s="115"/>
      <c r="CS1526" s="115"/>
      <c r="CT1526" s="115"/>
      <c r="CU1526" s="115"/>
      <c r="CV1526" s="115"/>
      <c r="CW1526" s="115"/>
      <c r="CX1526" s="115"/>
      <c r="CY1526" s="115"/>
      <c r="CZ1526" s="115"/>
      <c r="DA1526" s="115"/>
      <c r="DB1526" s="115"/>
      <c r="DC1526" s="115"/>
      <c r="DD1526" s="115"/>
      <c r="DE1526" s="115"/>
      <c r="DF1526" s="115"/>
      <c r="DG1526" s="115"/>
    </row>
    <row r="1527" spans="1:111" ht="9" customHeight="1">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420"/>
      <c r="AH1527" s="420"/>
      <c r="AI1527" s="420"/>
      <c r="AJ1527" s="420"/>
      <c r="AK1527" s="420"/>
      <c r="AL1527" s="420"/>
      <c r="AM1527" s="420"/>
      <c r="AN1527" s="420"/>
      <c r="AO1527" s="420"/>
      <c r="AP1527" s="420"/>
      <c r="AQ1527" s="420"/>
      <c r="AR1527" s="420"/>
      <c r="AS1527" s="420"/>
      <c r="AT1527" s="420"/>
      <c r="AU1527" s="420"/>
      <c r="AV1527" s="420"/>
      <c r="AW1527" s="420"/>
      <c r="AX1527" s="420"/>
      <c r="AY1527" s="420"/>
      <c r="AZ1527" s="420"/>
      <c r="BA1527" s="420"/>
      <c r="BB1527" s="154"/>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c r="BY1527" s="115"/>
      <c r="BZ1527" s="115"/>
      <c r="CA1527" s="115"/>
      <c r="CB1527" s="115"/>
      <c r="CC1527" s="115"/>
      <c r="CD1527" s="115"/>
      <c r="CE1527" s="115"/>
      <c r="CF1527" s="115"/>
      <c r="CG1527" s="115"/>
      <c r="CH1527" s="115"/>
      <c r="CI1527" s="115"/>
      <c r="CJ1527" s="115"/>
      <c r="CK1527" s="115"/>
      <c r="CL1527" s="115"/>
      <c r="CM1527" s="115"/>
      <c r="CN1527" s="115"/>
      <c r="CO1527" s="115"/>
      <c r="CP1527" s="115"/>
      <c r="CQ1527" s="115"/>
      <c r="CR1527" s="115"/>
      <c r="CS1527" s="115"/>
      <c r="CT1527" s="115"/>
      <c r="CU1527" s="115"/>
      <c r="CV1527" s="115"/>
      <c r="CW1527" s="115"/>
      <c r="CX1527" s="115"/>
      <c r="CY1527" s="115"/>
      <c r="CZ1527" s="115"/>
      <c r="DA1527" s="115"/>
      <c r="DB1527" s="115"/>
      <c r="DC1527" s="115"/>
      <c r="DD1527" s="115"/>
      <c r="DE1527" s="115"/>
      <c r="DF1527" s="115"/>
      <c r="DG1527" s="115"/>
    </row>
    <row r="1528" spans="1:111" ht="9" customHeight="1">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420"/>
      <c r="AH1528" s="420"/>
      <c r="AI1528" s="420"/>
      <c r="AJ1528" s="420"/>
      <c r="AK1528" s="420"/>
      <c r="AL1528" s="420"/>
      <c r="AM1528" s="420"/>
      <c r="AN1528" s="420"/>
      <c r="AO1528" s="420"/>
      <c r="AP1528" s="420"/>
      <c r="AQ1528" s="420"/>
      <c r="AR1528" s="420"/>
      <c r="AS1528" s="420"/>
      <c r="AT1528" s="420"/>
      <c r="AU1528" s="420"/>
      <c r="AV1528" s="420"/>
      <c r="AW1528" s="420"/>
      <c r="AX1528" s="420"/>
      <c r="AY1528" s="420"/>
      <c r="AZ1528" s="420"/>
      <c r="BA1528" s="420"/>
      <c r="BB1528" s="154"/>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c r="BY1528" s="115"/>
      <c r="BZ1528" s="115"/>
      <c r="CA1528" s="115"/>
      <c r="CB1528" s="115"/>
      <c r="CC1528" s="115"/>
      <c r="CD1528" s="115"/>
      <c r="CE1528" s="115"/>
      <c r="CF1528" s="115"/>
      <c r="CG1528" s="115"/>
      <c r="CH1528" s="115"/>
      <c r="CI1528" s="115"/>
      <c r="CJ1528" s="115"/>
      <c r="CK1528" s="115"/>
      <c r="CL1528" s="115"/>
      <c r="CM1528" s="115"/>
      <c r="CN1528" s="115"/>
      <c r="CO1528" s="115"/>
      <c r="CP1528" s="115"/>
      <c r="CQ1528" s="115"/>
      <c r="CR1528" s="115"/>
      <c r="CS1528" s="115"/>
      <c r="CT1528" s="115"/>
      <c r="CU1528" s="115"/>
      <c r="CV1528" s="115"/>
      <c r="CW1528" s="115"/>
      <c r="CX1528" s="115"/>
      <c r="CY1528" s="115"/>
      <c r="CZ1528" s="115"/>
      <c r="DA1528" s="115"/>
      <c r="DB1528" s="115"/>
      <c r="DC1528" s="115"/>
      <c r="DD1528" s="115"/>
      <c r="DE1528" s="115"/>
      <c r="DF1528" s="115"/>
      <c r="DG1528" s="115"/>
    </row>
    <row r="1529" spans="1:111" ht="9" customHeight="1">
      <c r="A1529" s="154"/>
      <c r="B1529" s="154"/>
      <c r="C1529" s="154"/>
      <c r="D1529" s="154"/>
      <c r="E1529" s="154"/>
      <c r="F1529" s="154"/>
      <c r="G1529" s="154"/>
      <c r="H1529" s="154"/>
      <c r="I1529" s="154"/>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420"/>
      <c r="AH1529" s="420"/>
      <c r="AI1529" s="420"/>
      <c r="AJ1529" s="420"/>
      <c r="AK1529" s="420"/>
      <c r="AL1529" s="420"/>
      <c r="AM1529" s="420"/>
      <c r="AN1529" s="420"/>
      <c r="AO1529" s="420"/>
      <c r="AP1529" s="420"/>
      <c r="AQ1529" s="420"/>
      <c r="AR1529" s="420"/>
      <c r="AS1529" s="420"/>
      <c r="AT1529" s="420"/>
      <c r="AU1529" s="420"/>
      <c r="AV1529" s="420"/>
      <c r="AW1529" s="420"/>
      <c r="AX1529" s="420"/>
      <c r="AY1529" s="420"/>
      <c r="AZ1529" s="420"/>
      <c r="BA1529" s="420"/>
      <c r="BB1529" s="154"/>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c r="BY1529" s="115"/>
      <c r="BZ1529" s="115"/>
      <c r="CA1529" s="115"/>
      <c r="CB1529" s="115"/>
      <c r="CC1529" s="115"/>
      <c r="CD1529" s="115"/>
      <c r="CE1529" s="115"/>
      <c r="CF1529" s="115"/>
      <c r="CG1529" s="115"/>
      <c r="CH1529" s="115"/>
      <c r="CI1529" s="115"/>
      <c r="CJ1529" s="115"/>
      <c r="CK1529" s="115"/>
      <c r="CL1529" s="115"/>
      <c r="CM1529" s="115"/>
      <c r="CN1529" s="115"/>
      <c r="CO1529" s="115"/>
      <c r="CP1529" s="115"/>
      <c r="CQ1529" s="115"/>
      <c r="CR1529" s="115"/>
      <c r="CS1529" s="115"/>
      <c r="CT1529" s="115"/>
      <c r="CU1529" s="115"/>
      <c r="CV1529" s="115"/>
      <c r="CW1529" s="115"/>
      <c r="CX1529" s="115"/>
      <c r="CY1529" s="115"/>
      <c r="CZ1529" s="115"/>
      <c r="DA1529" s="115"/>
      <c r="DB1529" s="115"/>
      <c r="DC1529" s="115"/>
      <c r="DD1529" s="115"/>
      <c r="DE1529" s="115"/>
      <c r="DF1529" s="115"/>
      <c r="DG1529" s="115"/>
    </row>
    <row r="1530" spans="1:111" ht="15" customHeight="1">
      <c r="B1530" s="55"/>
      <c r="C1530" s="55"/>
      <c r="D1530" s="56"/>
      <c r="E1530" s="56"/>
      <c r="F1530" s="56"/>
      <c r="G1530" s="56"/>
      <c r="H1530" s="56"/>
      <c r="I1530" s="56"/>
      <c r="J1530" s="56"/>
      <c r="K1530" s="56"/>
      <c r="L1530" s="56"/>
      <c r="M1530" s="56"/>
      <c r="N1530" s="56"/>
      <c r="O1530" s="56"/>
      <c r="P1530" s="56"/>
      <c r="Q1530" s="56"/>
      <c r="R1530" s="56"/>
      <c r="S1530" s="56"/>
      <c r="T1530" s="56"/>
      <c r="U1530" s="56"/>
      <c r="V1530" s="56"/>
      <c r="W1530" s="56"/>
      <c r="X1530" s="56"/>
      <c r="Y1530" s="56"/>
      <c r="Z1530" s="56"/>
      <c r="AA1530" s="56"/>
      <c r="AB1530" s="56"/>
      <c r="AC1530" s="56"/>
      <c r="AD1530" s="56"/>
      <c r="AE1530" s="56"/>
      <c r="AF1530" s="56"/>
      <c r="AG1530" s="56"/>
      <c r="AH1530" s="56"/>
      <c r="AI1530" s="56"/>
      <c r="AJ1530" s="56"/>
      <c r="AK1530" s="141"/>
      <c r="AL1530" s="141"/>
      <c r="AM1530" s="141"/>
      <c r="AN1530" s="141"/>
      <c r="AO1530" s="140"/>
      <c r="AP1530" s="140"/>
      <c r="AQ1530" s="140"/>
      <c r="AR1530" s="140"/>
      <c r="AS1530" s="142"/>
      <c r="AT1530" s="142"/>
      <c r="AU1530" s="142"/>
      <c r="AV1530" s="142"/>
      <c r="AW1530" s="140"/>
      <c r="AX1530" s="140"/>
      <c r="AY1530" s="140"/>
      <c r="AZ1530" s="140"/>
      <c r="BA1530" s="140"/>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c r="BY1530" s="115"/>
      <c r="BZ1530" s="115"/>
      <c r="CA1530" s="115"/>
      <c r="CB1530" s="115"/>
      <c r="CC1530" s="115"/>
      <c r="CD1530" s="115"/>
      <c r="CE1530" s="115"/>
      <c r="CF1530" s="115"/>
      <c r="CG1530" s="115"/>
      <c r="CH1530" s="115"/>
      <c r="CI1530" s="115"/>
      <c r="CJ1530" s="115"/>
      <c r="CK1530" s="115"/>
      <c r="CL1530" s="115"/>
      <c r="CM1530" s="115"/>
      <c r="CN1530" s="115"/>
      <c r="CO1530" s="115"/>
      <c r="CP1530" s="115"/>
      <c r="CQ1530" s="115"/>
      <c r="CR1530" s="115"/>
      <c r="CS1530" s="115"/>
      <c r="CT1530" s="115"/>
      <c r="CU1530" s="115"/>
      <c r="CV1530" s="115"/>
      <c r="CW1530" s="115"/>
      <c r="CX1530" s="115"/>
      <c r="CY1530" s="115"/>
      <c r="CZ1530" s="115"/>
      <c r="DA1530" s="115"/>
      <c r="DB1530" s="115"/>
      <c r="DC1530" s="115"/>
      <c r="DD1530" s="115"/>
      <c r="DE1530" s="115"/>
      <c r="DF1530" s="115"/>
      <c r="DG1530" s="115"/>
    </row>
    <row r="1531" spans="1:111" ht="15" customHeight="1">
      <c r="B1531" s="55"/>
      <c r="C1531" s="422" t="str">
        <f>IF($AA$165&gt;=48,"DESPESA 48","")</f>
        <v/>
      </c>
      <c r="D1531" s="422"/>
      <c r="E1531" s="422"/>
      <c r="F1531" s="422"/>
      <c r="G1531" s="422"/>
      <c r="H1531" s="422"/>
      <c r="I1531" s="56"/>
      <c r="J1531" s="56"/>
      <c r="K1531" s="56"/>
      <c r="L1531" s="56"/>
      <c r="M1531" s="56"/>
      <c r="N1531" s="56"/>
      <c r="O1531" s="56"/>
      <c r="P1531" s="56"/>
      <c r="Q1531" s="56"/>
      <c r="R1531" s="56"/>
      <c r="S1531" s="56"/>
      <c r="T1531" s="56"/>
      <c r="U1531" s="56"/>
      <c r="V1531" s="56"/>
      <c r="W1531" s="56"/>
      <c r="X1531" s="56"/>
      <c r="Y1531" s="56"/>
      <c r="Z1531" s="56"/>
      <c r="AA1531" s="56"/>
      <c r="AB1531" s="56"/>
      <c r="AC1531" s="56"/>
      <c r="AD1531" s="56"/>
      <c r="AE1531" s="56"/>
      <c r="AF1531" s="56"/>
      <c r="AG1531" s="56"/>
      <c r="AH1531" s="56"/>
      <c r="AI1531" s="56"/>
      <c r="AJ1531" s="56"/>
      <c r="AK1531" s="141"/>
      <c r="AL1531" s="141"/>
      <c r="AM1531" s="141"/>
      <c r="AN1531" s="141"/>
      <c r="AO1531" s="140"/>
      <c r="AP1531" s="140"/>
      <c r="AQ1531" s="140"/>
      <c r="AR1531" s="140"/>
      <c r="AS1531" s="142"/>
      <c r="AT1531" s="142"/>
      <c r="AU1531" s="142"/>
      <c r="AV1531" s="142"/>
      <c r="AW1531" s="140"/>
      <c r="AX1531" s="140"/>
      <c r="AY1531" s="140"/>
      <c r="AZ1531" s="140"/>
      <c r="BA1531" s="140"/>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c r="BY1531" s="115"/>
      <c r="BZ1531" s="115"/>
      <c r="CA1531" s="115"/>
      <c r="CB1531" s="115"/>
      <c r="CC1531" s="115"/>
      <c r="CD1531" s="115"/>
      <c r="CE1531" s="115"/>
      <c r="CF1531" s="115"/>
      <c r="CG1531" s="115"/>
      <c r="CH1531" s="115"/>
      <c r="CI1531" s="115"/>
      <c r="CJ1531" s="115"/>
      <c r="CK1531" s="115"/>
      <c r="CL1531" s="115"/>
      <c r="CM1531" s="115"/>
      <c r="CN1531" s="115"/>
      <c r="CO1531" s="115"/>
      <c r="CP1531" s="115"/>
      <c r="CQ1531" s="115"/>
      <c r="CR1531" s="115"/>
      <c r="CS1531" s="115"/>
      <c r="CT1531" s="115"/>
      <c r="CU1531" s="115"/>
      <c r="CV1531" s="115"/>
      <c r="CW1531" s="115"/>
      <c r="CX1531" s="115"/>
      <c r="CY1531" s="115"/>
      <c r="CZ1531" s="115"/>
      <c r="DA1531" s="115"/>
      <c r="DB1531" s="115"/>
      <c r="DC1531" s="115"/>
      <c r="DD1531" s="115"/>
      <c r="DE1531" s="115"/>
      <c r="DF1531" s="115"/>
      <c r="DG1531" s="115"/>
    </row>
    <row r="1532" spans="1:111" ht="4.5" customHeight="1">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c r="BY1532" s="115"/>
      <c r="BZ1532" s="115"/>
      <c r="CA1532" s="115"/>
      <c r="CB1532" s="115"/>
      <c r="CC1532" s="115"/>
      <c r="CD1532" s="115"/>
      <c r="CE1532" s="115"/>
      <c r="CF1532" s="115"/>
      <c r="CG1532" s="115"/>
      <c r="CH1532" s="115"/>
      <c r="CI1532" s="115"/>
      <c r="CJ1532" s="115"/>
      <c r="CK1532" s="115"/>
      <c r="CL1532" s="115"/>
      <c r="CM1532" s="115"/>
      <c r="CN1532" s="115"/>
      <c r="CO1532" s="115"/>
      <c r="CP1532" s="115"/>
      <c r="CQ1532" s="115"/>
      <c r="CR1532" s="115"/>
      <c r="CS1532" s="115"/>
      <c r="CT1532" s="115"/>
      <c r="CU1532" s="115"/>
      <c r="CV1532" s="115"/>
      <c r="CW1532" s="115"/>
      <c r="CX1532" s="115"/>
      <c r="CY1532" s="115"/>
      <c r="CZ1532" s="115"/>
      <c r="DA1532" s="115"/>
      <c r="DB1532" s="115"/>
      <c r="DC1532" s="115"/>
      <c r="DD1532" s="115"/>
      <c r="DE1532" s="115"/>
      <c r="DF1532" s="115"/>
      <c r="DG1532" s="115"/>
    </row>
    <row r="1533" spans="1:111" ht="9" customHeight="1">
      <c r="C1533" s="416" t="str">
        <f>IF(C1531="","","Descrição da Despesa:")</f>
        <v/>
      </c>
      <c r="D1533" s="416"/>
      <c r="E1533" s="416"/>
      <c r="F1533" s="416"/>
      <c r="G1533" s="416"/>
      <c r="H1533" s="416"/>
      <c r="I1533" s="60"/>
      <c r="J1533" s="421"/>
      <c r="K1533" s="421"/>
      <c r="L1533" s="421"/>
      <c r="M1533" s="421"/>
      <c r="N1533" s="421"/>
      <c r="O1533" s="421"/>
      <c r="P1533" s="421"/>
      <c r="Q1533" s="421"/>
      <c r="R1533" s="421"/>
      <c r="S1533" s="421"/>
      <c r="T1533" s="421"/>
      <c r="U1533" s="421"/>
      <c r="V1533" s="421"/>
      <c r="W1533" s="421"/>
      <c r="X1533" s="421"/>
      <c r="Y1533" s="421"/>
      <c r="Z1533" s="421"/>
      <c r="AA1533" s="421"/>
      <c r="AB1533" s="421"/>
      <c r="AC1533" s="421"/>
      <c r="AD1533" s="421"/>
      <c r="AE1533" s="421"/>
      <c r="AF1533" s="421"/>
      <c r="AG1533" s="421"/>
      <c r="AH1533" s="421"/>
      <c r="AI1533" s="421"/>
      <c r="AJ1533" s="421"/>
      <c r="AK1533" s="421"/>
      <c r="AL1533" s="421"/>
      <c r="AM1533" s="421"/>
      <c r="AN1533" s="421"/>
      <c r="AO1533" s="421"/>
      <c r="AP1533" s="421"/>
      <c r="AQ1533" s="421"/>
      <c r="AR1533" s="421"/>
      <c r="AS1533" s="421"/>
      <c r="AT1533" s="421"/>
      <c r="AU1533" s="421"/>
      <c r="AV1533" s="421"/>
      <c r="AW1533" s="421"/>
      <c r="AX1533" s="421"/>
      <c r="AY1533" s="421"/>
      <c r="AZ1533" s="421"/>
      <c r="BA1533" s="421"/>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c r="BY1533" s="115"/>
      <c r="BZ1533" s="115"/>
      <c r="CA1533" s="115"/>
      <c r="CB1533" s="115"/>
      <c r="CC1533" s="115"/>
      <c r="CD1533" s="115"/>
      <c r="CE1533" s="115"/>
      <c r="CF1533" s="115"/>
      <c r="CG1533" s="115"/>
      <c r="CH1533" s="115"/>
      <c r="CI1533" s="115"/>
      <c r="CJ1533" s="115"/>
      <c r="CK1533" s="115"/>
      <c r="CL1533" s="115"/>
      <c r="CM1533" s="115"/>
      <c r="CN1533" s="115"/>
      <c r="CO1533" s="115"/>
      <c r="CP1533" s="115"/>
      <c r="CQ1533" s="115"/>
      <c r="CR1533" s="115"/>
      <c r="CS1533" s="115"/>
      <c r="CT1533" s="115"/>
      <c r="CU1533" s="115"/>
      <c r="CV1533" s="115"/>
      <c r="CW1533" s="115"/>
      <c r="CX1533" s="115"/>
      <c r="CY1533" s="115"/>
      <c r="CZ1533" s="115"/>
      <c r="DA1533" s="115"/>
      <c r="DB1533" s="115"/>
      <c r="DC1533" s="115"/>
      <c r="DD1533" s="115"/>
      <c r="DE1533" s="115"/>
      <c r="DF1533" s="115"/>
      <c r="DG1533" s="115"/>
    </row>
    <row r="1534" spans="1:111" ht="9" customHeight="1">
      <c r="C1534" s="416"/>
      <c r="D1534" s="416"/>
      <c r="E1534" s="416"/>
      <c r="F1534" s="416"/>
      <c r="G1534" s="416"/>
      <c r="H1534" s="416"/>
      <c r="I1534" s="60"/>
      <c r="J1534" s="421"/>
      <c r="K1534" s="421"/>
      <c r="L1534" s="421"/>
      <c r="M1534" s="421"/>
      <c r="N1534" s="421"/>
      <c r="O1534" s="421"/>
      <c r="P1534" s="421"/>
      <c r="Q1534" s="421"/>
      <c r="R1534" s="421"/>
      <c r="S1534" s="421"/>
      <c r="T1534" s="421"/>
      <c r="U1534" s="421"/>
      <c r="V1534" s="421"/>
      <c r="W1534" s="421"/>
      <c r="X1534" s="421"/>
      <c r="Y1534" s="421"/>
      <c r="Z1534" s="421"/>
      <c r="AA1534" s="421"/>
      <c r="AB1534" s="421"/>
      <c r="AC1534" s="421"/>
      <c r="AD1534" s="421"/>
      <c r="AE1534" s="421"/>
      <c r="AF1534" s="421"/>
      <c r="AG1534" s="421"/>
      <c r="AH1534" s="421"/>
      <c r="AI1534" s="421"/>
      <c r="AJ1534" s="421"/>
      <c r="AK1534" s="421"/>
      <c r="AL1534" s="421"/>
      <c r="AM1534" s="421"/>
      <c r="AN1534" s="421"/>
      <c r="AO1534" s="421"/>
      <c r="AP1534" s="421"/>
      <c r="AQ1534" s="421"/>
      <c r="AR1534" s="421"/>
      <c r="AS1534" s="421"/>
      <c r="AT1534" s="421"/>
      <c r="AU1534" s="421"/>
      <c r="AV1534" s="421"/>
      <c r="AW1534" s="421"/>
      <c r="AX1534" s="421"/>
      <c r="AY1534" s="421"/>
      <c r="AZ1534" s="421"/>
      <c r="BA1534" s="421"/>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c r="BY1534" s="115"/>
      <c r="BZ1534" s="115"/>
      <c r="CA1534" s="115"/>
      <c r="CB1534" s="115"/>
      <c r="CC1534" s="115"/>
      <c r="CD1534" s="115"/>
      <c r="CE1534" s="115"/>
      <c r="CF1534" s="115"/>
      <c r="CG1534" s="115"/>
      <c r="CH1534" s="115"/>
      <c r="CI1534" s="115"/>
      <c r="CJ1534" s="115"/>
      <c r="CK1534" s="115"/>
      <c r="CL1534" s="115"/>
      <c r="CM1534" s="115"/>
      <c r="CN1534" s="115"/>
      <c r="CO1534" s="115"/>
      <c r="CP1534" s="115"/>
      <c r="CQ1534" s="115"/>
      <c r="CR1534" s="115"/>
      <c r="CS1534" s="115"/>
      <c r="CT1534" s="115"/>
      <c r="CU1534" s="115"/>
      <c r="CV1534" s="115"/>
      <c r="CW1534" s="115"/>
      <c r="CX1534" s="115"/>
      <c r="CY1534" s="115"/>
      <c r="CZ1534" s="115"/>
      <c r="DA1534" s="115"/>
      <c r="DB1534" s="115"/>
      <c r="DC1534" s="115"/>
      <c r="DD1534" s="115"/>
      <c r="DE1534" s="115"/>
      <c r="DF1534" s="115"/>
      <c r="DG1534" s="115"/>
    </row>
    <row r="1535" spans="1:111" ht="9" customHeight="1">
      <c r="C1535" s="416"/>
      <c r="D1535" s="416"/>
      <c r="E1535" s="416"/>
      <c r="F1535" s="416"/>
      <c r="G1535" s="416"/>
      <c r="H1535" s="416"/>
      <c r="I1535" s="60"/>
      <c r="J1535" s="421"/>
      <c r="K1535" s="421"/>
      <c r="L1535" s="421"/>
      <c r="M1535" s="421"/>
      <c r="N1535" s="421"/>
      <c r="O1535" s="421"/>
      <c r="P1535" s="421"/>
      <c r="Q1535" s="421"/>
      <c r="R1535" s="421"/>
      <c r="S1535" s="421"/>
      <c r="T1535" s="421"/>
      <c r="U1535" s="421"/>
      <c r="V1535" s="421"/>
      <c r="W1535" s="421"/>
      <c r="X1535" s="421"/>
      <c r="Y1535" s="421"/>
      <c r="Z1535" s="421"/>
      <c r="AA1535" s="421"/>
      <c r="AB1535" s="421"/>
      <c r="AC1535" s="421"/>
      <c r="AD1535" s="421"/>
      <c r="AE1535" s="421"/>
      <c r="AF1535" s="421"/>
      <c r="AG1535" s="421"/>
      <c r="AH1535" s="421"/>
      <c r="AI1535" s="421"/>
      <c r="AJ1535" s="421"/>
      <c r="AK1535" s="421"/>
      <c r="AL1535" s="421"/>
      <c r="AM1535" s="421"/>
      <c r="AN1535" s="421"/>
      <c r="AO1535" s="421"/>
      <c r="AP1535" s="421"/>
      <c r="AQ1535" s="421"/>
      <c r="AR1535" s="421"/>
      <c r="AS1535" s="421"/>
      <c r="AT1535" s="421"/>
      <c r="AU1535" s="421"/>
      <c r="AV1535" s="421"/>
      <c r="AW1535" s="421"/>
      <c r="AX1535" s="421"/>
      <c r="AY1535" s="421"/>
      <c r="AZ1535" s="421"/>
      <c r="BA1535" s="421"/>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c r="BY1535" s="115"/>
      <c r="BZ1535" s="115"/>
      <c r="CA1535" s="115"/>
      <c r="CB1535" s="115"/>
      <c r="CC1535" s="115"/>
      <c r="CD1535" s="115"/>
      <c r="CE1535" s="115"/>
      <c r="CF1535" s="115"/>
      <c r="CG1535" s="115"/>
      <c r="CH1535" s="115"/>
      <c r="CI1535" s="115"/>
      <c r="CJ1535" s="115"/>
      <c r="CK1535" s="115"/>
      <c r="CL1535" s="115"/>
      <c r="CM1535" s="115"/>
      <c r="CN1535" s="115"/>
      <c r="CO1535" s="115"/>
      <c r="CP1535" s="115"/>
      <c r="CQ1535" s="115"/>
      <c r="CR1535" s="115"/>
      <c r="CS1535" s="115"/>
      <c r="CT1535" s="115"/>
      <c r="CU1535" s="115"/>
      <c r="CV1535" s="115"/>
      <c r="CW1535" s="115"/>
      <c r="CX1535" s="115"/>
      <c r="CY1535" s="115"/>
      <c r="CZ1535" s="115"/>
      <c r="DA1535" s="115"/>
      <c r="DB1535" s="115"/>
      <c r="DC1535" s="115"/>
      <c r="DD1535" s="115"/>
      <c r="DE1535" s="115"/>
      <c r="DF1535" s="115"/>
      <c r="DG1535" s="115"/>
    </row>
    <row r="1536" spans="1:111" ht="4.5" customHeight="1">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c r="BY1536" s="115"/>
      <c r="BZ1536" s="115"/>
      <c r="CA1536" s="115"/>
      <c r="CB1536" s="115"/>
      <c r="CC1536" s="115"/>
      <c r="CD1536" s="115"/>
      <c r="CE1536" s="115"/>
      <c r="CF1536" s="115"/>
      <c r="CG1536" s="115"/>
      <c r="CH1536" s="115"/>
      <c r="CI1536" s="115"/>
      <c r="CJ1536" s="115"/>
      <c r="CK1536" s="115"/>
      <c r="CL1536" s="115"/>
      <c r="CM1536" s="115"/>
      <c r="CN1536" s="115"/>
      <c r="CO1536" s="115"/>
      <c r="CP1536" s="115"/>
      <c r="CQ1536" s="115"/>
      <c r="CR1536" s="115"/>
      <c r="CS1536" s="115"/>
      <c r="CT1536" s="115"/>
      <c r="CU1536" s="115"/>
      <c r="CV1536" s="115"/>
      <c r="CW1536" s="115"/>
      <c r="CX1536" s="115"/>
      <c r="CY1536" s="115"/>
      <c r="CZ1536" s="115"/>
      <c r="DA1536" s="115"/>
      <c r="DB1536" s="115"/>
      <c r="DC1536" s="115"/>
      <c r="DD1536" s="115"/>
      <c r="DE1536" s="115"/>
      <c r="DF1536" s="115"/>
      <c r="DG1536" s="115"/>
    </row>
    <row r="1537" spans="1:111" ht="9" customHeight="1">
      <c r="C1537" s="416" t="str">
        <f>IF(C1531="","","Elemento de Despesa:")</f>
        <v/>
      </c>
      <c r="D1537" s="416"/>
      <c r="E1537" s="416"/>
      <c r="F1537" s="416"/>
      <c r="G1537" s="416"/>
      <c r="H1537" s="416"/>
      <c r="J1537" s="421"/>
      <c r="K1537" s="421"/>
      <c r="L1537" s="421"/>
      <c r="M1537" s="421"/>
      <c r="N1537" s="421"/>
      <c r="O1537" s="421"/>
      <c r="P1537" s="421"/>
      <c r="Q1537" s="421"/>
      <c r="R1537" s="421"/>
      <c r="S1537" s="421"/>
      <c r="T1537" s="421"/>
      <c r="U1537" s="421"/>
      <c r="V1537" s="421"/>
      <c r="W1537" s="421"/>
      <c r="X1537" s="421"/>
      <c r="Y1537" s="421"/>
      <c r="Z1537" s="421"/>
      <c r="AA1537" s="421"/>
      <c r="AB1537" s="421"/>
      <c r="AC1537" s="421"/>
      <c r="AD1537" s="421"/>
      <c r="AE1537" s="421"/>
      <c r="AF1537" s="421"/>
      <c r="AG1537" s="421"/>
      <c r="AH1537" s="421"/>
      <c r="AI1537" s="421"/>
      <c r="AJ1537" s="421"/>
      <c r="AK1537" s="421"/>
      <c r="AL1537" s="421"/>
      <c r="AM1537" s="421"/>
      <c r="AN1537" s="421"/>
      <c r="AO1537" s="421"/>
      <c r="AP1537" s="421"/>
      <c r="AQ1537" s="421"/>
      <c r="AR1537" s="421"/>
      <c r="AS1537" s="421"/>
      <c r="AT1537" s="421"/>
      <c r="AU1537" s="421"/>
      <c r="AV1537" s="421"/>
      <c r="AW1537" s="421"/>
      <c r="AX1537" s="421"/>
      <c r="AY1537" s="421"/>
      <c r="AZ1537" s="421"/>
      <c r="BA1537" s="421"/>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c r="BY1537" s="115"/>
      <c r="BZ1537" s="115"/>
      <c r="CA1537" s="115"/>
      <c r="CB1537" s="115"/>
      <c r="CC1537" s="115"/>
      <c r="CD1537" s="115"/>
      <c r="CE1537" s="115"/>
      <c r="CF1537" s="115"/>
      <c r="CG1537" s="115"/>
      <c r="CH1537" s="115"/>
      <c r="CI1537" s="115"/>
      <c r="CJ1537" s="115"/>
      <c r="CK1537" s="115"/>
      <c r="CL1537" s="115"/>
      <c r="CM1537" s="115"/>
      <c r="CN1537" s="115"/>
      <c r="CO1537" s="115"/>
      <c r="CP1537" s="115"/>
      <c r="CQ1537" s="115"/>
      <c r="CR1537" s="115"/>
      <c r="CS1537" s="115"/>
      <c r="CT1537" s="115"/>
      <c r="CU1537" s="115"/>
      <c r="CV1537" s="115"/>
      <c r="CW1537" s="115"/>
      <c r="CX1537" s="115"/>
      <c r="CY1537" s="115"/>
      <c r="CZ1537" s="115"/>
      <c r="DA1537" s="115"/>
      <c r="DB1537" s="115"/>
      <c r="DC1537" s="115"/>
      <c r="DD1537" s="115"/>
      <c r="DE1537" s="115"/>
      <c r="DF1537" s="115"/>
      <c r="DG1537" s="115"/>
    </row>
    <row r="1538" spans="1:111" ht="9" customHeight="1">
      <c r="C1538" s="416"/>
      <c r="D1538" s="416"/>
      <c r="E1538" s="416"/>
      <c r="F1538" s="416"/>
      <c r="G1538" s="416"/>
      <c r="H1538" s="416"/>
      <c r="J1538" s="421"/>
      <c r="K1538" s="421"/>
      <c r="L1538" s="421"/>
      <c r="M1538" s="421"/>
      <c r="N1538" s="421"/>
      <c r="O1538" s="421"/>
      <c r="P1538" s="421"/>
      <c r="Q1538" s="421"/>
      <c r="R1538" s="421"/>
      <c r="S1538" s="421"/>
      <c r="T1538" s="421"/>
      <c r="U1538" s="421"/>
      <c r="V1538" s="421"/>
      <c r="W1538" s="421"/>
      <c r="X1538" s="421"/>
      <c r="Y1538" s="421"/>
      <c r="Z1538" s="421"/>
      <c r="AA1538" s="421"/>
      <c r="AB1538" s="421"/>
      <c r="AC1538" s="421"/>
      <c r="AD1538" s="421"/>
      <c r="AE1538" s="421"/>
      <c r="AF1538" s="421"/>
      <c r="AG1538" s="421"/>
      <c r="AH1538" s="421"/>
      <c r="AI1538" s="421"/>
      <c r="AJ1538" s="421"/>
      <c r="AK1538" s="421"/>
      <c r="AL1538" s="421"/>
      <c r="AM1538" s="421"/>
      <c r="AN1538" s="421"/>
      <c r="AO1538" s="421"/>
      <c r="AP1538" s="421"/>
      <c r="AQ1538" s="421"/>
      <c r="AR1538" s="421"/>
      <c r="AS1538" s="421"/>
      <c r="AT1538" s="421"/>
      <c r="AU1538" s="421"/>
      <c r="AV1538" s="421"/>
      <c r="AW1538" s="421"/>
      <c r="AX1538" s="421"/>
      <c r="AY1538" s="421"/>
      <c r="AZ1538" s="421"/>
      <c r="BA1538" s="421"/>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c r="BY1538" s="115"/>
      <c r="BZ1538" s="115"/>
      <c r="CA1538" s="115"/>
      <c r="CB1538" s="115"/>
      <c r="CC1538" s="115"/>
      <c r="CD1538" s="115"/>
      <c r="CE1538" s="115"/>
      <c r="CF1538" s="115"/>
      <c r="CG1538" s="115"/>
      <c r="CH1538" s="115"/>
      <c r="CI1538" s="115"/>
      <c r="CJ1538" s="115"/>
      <c r="CK1538" s="115"/>
      <c r="CL1538" s="115"/>
      <c r="CM1538" s="115"/>
      <c r="CN1538" s="115"/>
      <c r="CO1538" s="115"/>
      <c r="CP1538" s="115"/>
      <c r="CQ1538" s="115"/>
      <c r="CR1538" s="115"/>
      <c r="CS1538" s="115"/>
      <c r="CT1538" s="115"/>
      <c r="CU1538" s="115"/>
      <c r="CV1538" s="115"/>
      <c r="CW1538" s="115"/>
      <c r="CX1538" s="115"/>
      <c r="CY1538" s="115"/>
      <c r="CZ1538" s="115"/>
      <c r="DA1538" s="115"/>
      <c r="DB1538" s="115"/>
      <c r="DC1538" s="115"/>
      <c r="DD1538" s="115"/>
      <c r="DE1538" s="115"/>
      <c r="DF1538" s="115"/>
      <c r="DG1538" s="115"/>
    </row>
    <row r="1539" spans="1:111" ht="9" customHeight="1">
      <c r="C1539" s="416"/>
      <c r="D1539" s="416"/>
      <c r="E1539" s="416"/>
      <c r="F1539" s="416"/>
      <c r="G1539" s="416"/>
      <c r="H1539" s="416"/>
      <c r="J1539" s="421"/>
      <c r="K1539" s="421"/>
      <c r="L1539" s="421"/>
      <c r="M1539" s="421"/>
      <c r="N1539" s="421"/>
      <c r="O1539" s="421"/>
      <c r="P1539" s="421"/>
      <c r="Q1539" s="421"/>
      <c r="R1539" s="421"/>
      <c r="S1539" s="421"/>
      <c r="T1539" s="421"/>
      <c r="U1539" s="421"/>
      <c r="V1539" s="421"/>
      <c r="W1539" s="421"/>
      <c r="X1539" s="421"/>
      <c r="Y1539" s="421"/>
      <c r="Z1539" s="421"/>
      <c r="AA1539" s="421"/>
      <c r="AB1539" s="421"/>
      <c r="AC1539" s="421"/>
      <c r="AD1539" s="421"/>
      <c r="AE1539" s="421"/>
      <c r="AF1539" s="421"/>
      <c r="AG1539" s="421"/>
      <c r="AH1539" s="421"/>
      <c r="AI1539" s="421"/>
      <c r="AJ1539" s="421"/>
      <c r="AK1539" s="421"/>
      <c r="AL1539" s="421"/>
      <c r="AM1539" s="421"/>
      <c r="AN1539" s="421"/>
      <c r="AO1539" s="421"/>
      <c r="AP1539" s="421"/>
      <c r="AQ1539" s="421"/>
      <c r="AR1539" s="421"/>
      <c r="AS1539" s="421"/>
      <c r="AT1539" s="421"/>
      <c r="AU1539" s="421"/>
      <c r="AV1539" s="421"/>
      <c r="AW1539" s="421"/>
      <c r="AX1539" s="421"/>
      <c r="AY1539" s="421"/>
      <c r="AZ1539" s="421"/>
      <c r="BA1539" s="421"/>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c r="BY1539" s="115"/>
      <c r="BZ1539" s="115"/>
      <c r="CA1539" s="115"/>
      <c r="CB1539" s="115"/>
      <c r="CC1539" s="115"/>
      <c r="CD1539" s="115"/>
      <c r="CE1539" s="115"/>
      <c r="CF1539" s="115"/>
      <c r="CG1539" s="115"/>
      <c r="CH1539" s="115"/>
      <c r="CI1539" s="115"/>
      <c r="CJ1539" s="115"/>
      <c r="CK1539" s="115"/>
      <c r="CL1539" s="115"/>
      <c r="CM1539" s="115"/>
      <c r="CN1539" s="115"/>
      <c r="CO1539" s="115"/>
      <c r="CP1539" s="115"/>
      <c r="CQ1539" s="115"/>
      <c r="CR1539" s="115"/>
      <c r="CS1539" s="115"/>
      <c r="CT1539" s="115"/>
      <c r="CU1539" s="115"/>
      <c r="CV1539" s="115"/>
      <c r="CW1539" s="115"/>
      <c r="CX1539" s="115"/>
      <c r="CY1539" s="115"/>
      <c r="CZ1539" s="115"/>
      <c r="DA1539" s="115"/>
      <c r="DB1539" s="115"/>
      <c r="DC1539" s="115"/>
      <c r="DD1539" s="115"/>
      <c r="DE1539" s="115"/>
      <c r="DF1539" s="115"/>
      <c r="DG1539" s="115"/>
    </row>
    <row r="1540" spans="1:111" ht="4.5" customHeight="1">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c r="BY1540" s="115"/>
      <c r="BZ1540" s="115"/>
      <c r="CA1540" s="115"/>
      <c r="CB1540" s="115"/>
      <c r="CC1540" s="115"/>
      <c r="CD1540" s="115"/>
      <c r="CE1540" s="115"/>
      <c r="CF1540" s="115"/>
      <c r="CG1540" s="115"/>
      <c r="CH1540" s="115"/>
      <c r="CI1540" s="115"/>
      <c r="CJ1540" s="115"/>
      <c r="CK1540" s="115"/>
      <c r="CL1540" s="115"/>
      <c r="CM1540" s="115"/>
      <c r="CN1540" s="115"/>
      <c r="CO1540" s="115"/>
      <c r="CP1540" s="115"/>
      <c r="CQ1540" s="115"/>
      <c r="CR1540" s="115"/>
      <c r="CS1540" s="115"/>
      <c r="CT1540" s="115"/>
      <c r="CU1540" s="115"/>
      <c r="CV1540" s="115"/>
      <c r="CW1540" s="115"/>
      <c r="CX1540" s="115"/>
      <c r="CY1540" s="115"/>
      <c r="CZ1540" s="115"/>
      <c r="DA1540" s="115"/>
      <c r="DB1540" s="115"/>
      <c r="DC1540" s="115"/>
      <c r="DD1540" s="115"/>
      <c r="DE1540" s="115"/>
      <c r="DF1540" s="115"/>
      <c r="DG1540" s="115"/>
    </row>
    <row r="1541" spans="1:111" ht="9" customHeight="1">
      <c r="A1541" s="61" t="str">
        <f>CONCATENATE(Q1541,AC1541)</f>
        <v/>
      </c>
      <c r="J1541" s="416" t="str">
        <f>IF(C1531="","","Meta Vinculada:")</f>
        <v/>
      </c>
      <c r="K1541" s="416"/>
      <c r="L1541" s="416"/>
      <c r="M1541" s="416"/>
      <c r="N1541" s="416"/>
      <c r="O1541" s="416"/>
      <c r="Q1541" s="417"/>
      <c r="R1541" s="417"/>
      <c r="S1541" s="417"/>
      <c r="T1541" s="417"/>
      <c r="U1541" s="56"/>
      <c r="V1541" s="416" t="str">
        <f>IF(C1531="","","Etapa Vinculada:")</f>
        <v/>
      </c>
      <c r="W1541" s="416"/>
      <c r="X1541" s="416"/>
      <c r="Y1541" s="416"/>
      <c r="Z1541" s="416"/>
      <c r="AA1541" s="416"/>
      <c r="AC1541" s="417"/>
      <c r="AD1541" s="417"/>
      <c r="AE1541" s="417"/>
      <c r="AF1541" s="417"/>
      <c r="AG1541" s="56"/>
      <c r="AH1541" s="56"/>
      <c r="AI1541" s="56"/>
      <c r="AJ1541" s="56"/>
      <c r="AK1541" s="141"/>
      <c r="AL1541" s="141"/>
      <c r="AM1541" s="141"/>
      <c r="AN1541" s="141"/>
      <c r="AO1541" s="140"/>
      <c r="AP1541" s="140"/>
      <c r="AQ1541" s="140"/>
      <c r="AR1541" s="140"/>
      <c r="AS1541" s="142"/>
      <c r="AT1541" s="142"/>
      <c r="AU1541" s="142"/>
      <c r="AV1541" s="142"/>
      <c r="AW1541" s="140"/>
      <c r="AX1541" s="140"/>
      <c r="AY1541" s="140"/>
      <c r="AZ1541" s="140"/>
      <c r="BA1541" s="140"/>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c r="BY1541" s="115"/>
      <c r="BZ1541" s="115"/>
      <c r="CA1541" s="115"/>
      <c r="CB1541" s="115"/>
      <c r="CC1541" s="115"/>
      <c r="CD1541" s="115"/>
      <c r="CE1541" s="115"/>
      <c r="CF1541" s="115"/>
      <c r="CG1541" s="115"/>
      <c r="CH1541" s="115"/>
      <c r="CI1541" s="115"/>
      <c r="CJ1541" s="115"/>
      <c r="CK1541" s="115"/>
      <c r="CL1541" s="115"/>
      <c r="CM1541" s="115"/>
      <c r="CN1541" s="115"/>
      <c r="CO1541" s="115"/>
      <c r="CP1541" s="115"/>
      <c r="CQ1541" s="115"/>
      <c r="CR1541" s="115"/>
      <c r="CS1541" s="115"/>
      <c r="CT1541" s="115"/>
      <c r="CU1541" s="115"/>
      <c r="CV1541" s="115"/>
      <c r="CW1541" s="115"/>
      <c r="CX1541" s="115"/>
      <c r="CY1541" s="115"/>
      <c r="CZ1541" s="115"/>
      <c r="DA1541" s="115"/>
      <c r="DB1541" s="115"/>
      <c r="DC1541" s="115"/>
      <c r="DD1541" s="115"/>
      <c r="DE1541" s="115"/>
      <c r="DF1541" s="115"/>
      <c r="DG1541" s="115"/>
    </row>
    <row r="1542" spans="1:111" ht="9" customHeight="1">
      <c r="B1542" s="55"/>
      <c r="C1542" s="55"/>
      <c r="D1542" s="56"/>
      <c r="E1542" s="56"/>
      <c r="F1542" s="56"/>
      <c r="G1542" s="56"/>
      <c r="H1542" s="56"/>
      <c r="I1542" s="56"/>
      <c r="J1542" s="416"/>
      <c r="K1542" s="416"/>
      <c r="L1542" s="416"/>
      <c r="M1542" s="416"/>
      <c r="N1542" s="416"/>
      <c r="O1542" s="416"/>
      <c r="Q1542" s="417"/>
      <c r="R1542" s="417"/>
      <c r="S1542" s="417"/>
      <c r="T1542" s="417"/>
      <c r="U1542" s="56"/>
      <c r="V1542" s="416"/>
      <c r="W1542" s="416"/>
      <c r="X1542" s="416"/>
      <c r="Y1542" s="416"/>
      <c r="Z1542" s="416"/>
      <c r="AA1542" s="416"/>
      <c r="AC1542" s="417"/>
      <c r="AD1542" s="417"/>
      <c r="AE1542" s="417"/>
      <c r="AF1542" s="417"/>
      <c r="AG1542" s="56"/>
      <c r="AH1542" s="56"/>
      <c r="AI1542" s="56"/>
      <c r="AJ1542" s="56"/>
      <c r="AK1542" s="141"/>
      <c r="AL1542" s="141"/>
      <c r="AM1542" s="141"/>
      <c r="AN1542" s="141"/>
      <c r="AO1542" s="140"/>
      <c r="AP1542" s="140"/>
      <c r="AQ1542" s="140"/>
      <c r="AR1542" s="140"/>
      <c r="AS1542" s="142"/>
      <c r="AT1542" s="142"/>
      <c r="AU1542" s="142"/>
      <c r="AV1542" s="142"/>
      <c r="AW1542" s="140"/>
      <c r="AX1542" s="140"/>
      <c r="AY1542" s="140"/>
      <c r="AZ1542" s="140"/>
      <c r="BA1542" s="140"/>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c r="BY1542" s="115"/>
      <c r="BZ1542" s="115"/>
      <c r="CA1542" s="115"/>
      <c r="CB1542" s="115"/>
      <c r="CC1542" s="115"/>
      <c r="CD1542" s="115"/>
      <c r="CE1542" s="115"/>
      <c r="CF1542" s="115"/>
      <c r="CG1542" s="115"/>
      <c r="CH1542" s="115"/>
      <c r="CI1542" s="115"/>
      <c r="CJ1542" s="115"/>
      <c r="CK1542" s="115"/>
      <c r="CL1542" s="115"/>
      <c r="CM1542" s="115"/>
      <c r="CN1542" s="115"/>
      <c r="CO1542" s="115"/>
      <c r="CP1542" s="115"/>
      <c r="CQ1542" s="115"/>
      <c r="CR1542" s="115"/>
      <c r="CS1542" s="115"/>
      <c r="CT1542" s="115"/>
      <c r="CU1542" s="115"/>
      <c r="CV1542" s="115"/>
      <c r="CW1542" s="115"/>
      <c r="CX1542" s="115"/>
      <c r="CY1542" s="115"/>
      <c r="CZ1542" s="115"/>
      <c r="DA1542" s="115"/>
      <c r="DB1542" s="115"/>
      <c r="DC1542" s="115"/>
      <c r="DD1542" s="115"/>
      <c r="DE1542" s="115"/>
      <c r="DF1542" s="115"/>
      <c r="DG1542" s="115"/>
    </row>
    <row r="1543" spans="1:111" ht="9" customHeight="1">
      <c r="Q1543" s="417"/>
      <c r="R1543" s="417"/>
      <c r="S1543" s="417"/>
      <c r="T1543" s="417"/>
      <c r="AC1543" s="417"/>
      <c r="AD1543" s="417"/>
      <c r="AE1543" s="417"/>
      <c r="AF1543" s="417"/>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c r="BY1543" s="115"/>
      <c r="BZ1543" s="115"/>
      <c r="CA1543" s="115"/>
      <c r="CB1543" s="115"/>
      <c r="CC1543" s="115"/>
      <c r="CD1543" s="115"/>
      <c r="CE1543" s="115"/>
      <c r="CF1543" s="115"/>
      <c r="CG1543" s="115"/>
      <c r="CH1543" s="115"/>
      <c r="CI1543" s="115"/>
      <c r="CJ1543" s="115"/>
      <c r="CK1543" s="115"/>
      <c r="CL1543" s="115"/>
      <c r="CM1543" s="115"/>
      <c r="CN1543" s="115"/>
      <c r="CO1543" s="115"/>
      <c r="CP1543" s="115"/>
      <c r="CQ1543" s="115"/>
      <c r="CR1543" s="115"/>
      <c r="CS1543" s="115"/>
      <c r="CT1543" s="115"/>
      <c r="CU1543" s="115"/>
      <c r="CV1543" s="115"/>
      <c r="CW1543" s="115"/>
      <c r="CX1543" s="115"/>
      <c r="CY1543" s="115"/>
      <c r="CZ1543" s="115"/>
      <c r="DA1543" s="115"/>
      <c r="DB1543" s="115"/>
      <c r="DC1543" s="115"/>
      <c r="DD1543" s="115"/>
      <c r="DE1543" s="115"/>
      <c r="DF1543" s="115"/>
      <c r="DG1543" s="115"/>
    </row>
    <row r="1544" spans="1:111" ht="4.5" customHeight="1">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c r="BY1544" s="115"/>
      <c r="BZ1544" s="115"/>
      <c r="CA1544" s="115"/>
      <c r="CB1544" s="115"/>
      <c r="CC1544" s="115"/>
      <c r="CD1544" s="115"/>
      <c r="CE1544" s="115"/>
      <c r="CF1544" s="115"/>
      <c r="CG1544" s="115"/>
      <c r="CH1544" s="115"/>
      <c r="CI1544" s="115"/>
      <c r="CJ1544" s="115"/>
      <c r="CK1544" s="115"/>
      <c r="CL1544" s="115"/>
      <c r="CM1544" s="115"/>
      <c r="CN1544" s="115"/>
      <c r="CO1544" s="115"/>
      <c r="CP1544" s="115"/>
      <c r="CQ1544" s="115"/>
      <c r="CR1544" s="115"/>
      <c r="CS1544" s="115"/>
      <c r="CT1544" s="115"/>
      <c r="CU1544" s="115"/>
      <c r="CV1544" s="115"/>
      <c r="CW1544" s="115"/>
      <c r="CX1544" s="115"/>
      <c r="CY1544" s="115"/>
      <c r="CZ1544" s="115"/>
      <c r="DA1544" s="115"/>
      <c r="DB1544" s="115"/>
      <c r="DC1544" s="115"/>
      <c r="DD1544" s="115"/>
      <c r="DE1544" s="115"/>
      <c r="DF1544" s="115"/>
      <c r="DG1544" s="115"/>
    </row>
    <row r="1545" spans="1:111" ht="9" customHeight="1">
      <c r="A1545" s="154"/>
      <c r="B1545" s="154"/>
      <c r="C1545" s="154"/>
      <c r="D1545" s="154"/>
      <c r="E1545" s="154"/>
      <c r="F1545" s="154"/>
      <c r="G1545" s="154"/>
      <c r="H1545" s="154"/>
      <c r="I1545" s="154"/>
      <c r="J1545" s="416" t="str">
        <f>IF(C1531="","","Quantidade:")</f>
        <v/>
      </c>
      <c r="K1545" s="416"/>
      <c r="L1545" s="416"/>
      <c r="M1545" s="416"/>
      <c r="N1545" s="416"/>
      <c r="O1545" s="416"/>
      <c r="P1545" s="154"/>
      <c r="Q1545" s="417"/>
      <c r="R1545" s="417"/>
      <c r="S1545" s="417"/>
      <c r="T1545" s="417"/>
      <c r="U1545" s="154"/>
      <c r="V1545" s="416" t="str">
        <f>IF(C1531="","","Unidade:")</f>
        <v/>
      </c>
      <c r="W1545" s="416"/>
      <c r="X1545" s="416"/>
      <c r="Y1545" s="416"/>
      <c r="Z1545" s="416"/>
      <c r="AA1545" s="416"/>
      <c r="AB1545" s="154"/>
      <c r="AC1545" s="418"/>
      <c r="AD1545" s="418"/>
      <c r="AE1545" s="418"/>
      <c r="AF1545" s="418"/>
      <c r="AG1545" s="418"/>
      <c r="AH1545" s="418"/>
      <c r="AI1545" s="418"/>
      <c r="AJ1545" s="418"/>
      <c r="AK1545" s="418"/>
      <c r="AL1545" s="418"/>
      <c r="AM1545" s="418"/>
      <c r="AN1545" s="418"/>
      <c r="AO1545" s="418"/>
      <c r="AP1545" s="418"/>
      <c r="AQ1545" s="418"/>
      <c r="AR1545" s="418"/>
      <c r="AS1545" s="418"/>
      <c r="AT1545" s="418"/>
      <c r="AU1545" s="418"/>
      <c r="AV1545" s="418"/>
      <c r="AW1545" s="418"/>
      <c r="AX1545" s="418"/>
      <c r="AY1545" s="418"/>
      <c r="AZ1545" s="418"/>
      <c r="BA1545" s="418"/>
      <c r="BB1545" s="154"/>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c r="BY1545" s="115"/>
      <c r="BZ1545" s="115"/>
      <c r="CA1545" s="115"/>
      <c r="CB1545" s="115"/>
      <c r="CC1545" s="115"/>
      <c r="CD1545" s="115"/>
      <c r="CE1545" s="115"/>
      <c r="CF1545" s="115"/>
      <c r="CG1545" s="115"/>
      <c r="CH1545" s="115"/>
      <c r="CI1545" s="115"/>
      <c r="CJ1545" s="115"/>
      <c r="CK1545" s="115"/>
      <c r="CL1545" s="115"/>
      <c r="CM1545" s="115"/>
      <c r="CN1545" s="115"/>
      <c r="CO1545" s="115"/>
      <c r="CP1545" s="115"/>
      <c r="CQ1545" s="115"/>
      <c r="CR1545" s="115"/>
      <c r="CS1545" s="115"/>
      <c r="CT1545" s="115"/>
      <c r="CU1545" s="115"/>
      <c r="CV1545" s="115"/>
      <c r="CW1545" s="115"/>
      <c r="CX1545" s="115"/>
      <c r="CY1545" s="115"/>
      <c r="CZ1545" s="115"/>
      <c r="DA1545" s="115"/>
      <c r="DB1545" s="115"/>
      <c r="DC1545" s="115"/>
      <c r="DD1545" s="115"/>
      <c r="DE1545" s="115"/>
      <c r="DF1545" s="115"/>
      <c r="DG1545" s="115"/>
    </row>
    <row r="1546" spans="1:111" ht="9" customHeight="1">
      <c r="A1546" s="154"/>
      <c r="B1546" s="154"/>
      <c r="C1546" s="154"/>
      <c r="D1546" s="154"/>
      <c r="E1546" s="154"/>
      <c r="F1546" s="154"/>
      <c r="G1546" s="154"/>
      <c r="H1546" s="154"/>
      <c r="I1546" s="154"/>
      <c r="J1546" s="416"/>
      <c r="K1546" s="416"/>
      <c r="L1546" s="416"/>
      <c r="M1546" s="416"/>
      <c r="N1546" s="416"/>
      <c r="O1546" s="416"/>
      <c r="P1546" s="154"/>
      <c r="Q1546" s="417"/>
      <c r="R1546" s="417"/>
      <c r="S1546" s="417"/>
      <c r="T1546" s="417"/>
      <c r="U1546" s="154"/>
      <c r="V1546" s="416"/>
      <c r="W1546" s="416"/>
      <c r="X1546" s="416"/>
      <c r="Y1546" s="416"/>
      <c r="Z1546" s="416"/>
      <c r="AA1546" s="416"/>
      <c r="AB1546" s="154"/>
      <c r="AC1546" s="418"/>
      <c r="AD1546" s="418"/>
      <c r="AE1546" s="418"/>
      <c r="AF1546" s="418"/>
      <c r="AG1546" s="418"/>
      <c r="AH1546" s="418"/>
      <c r="AI1546" s="418"/>
      <c r="AJ1546" s="418"/>
      <c r="AK1546" s="418"/>
      <c r="AL1546" s="418"/>
      <c r="AM1546" s="418"/>
      <c r="AN1546" s="418"/>
      <c r="AO1546" s="418"/>
      <c r="AP1546" s="418"/>
      <c r="AQ1546" s="418"/>
      <c r="AR1546" s="418"/>
      <c r="AS1546" s="418"/>
      <c r="AT1546" s="418"/>
      <c r="AU1546" s="418"/>
      <c r="AV1546" s="418"/>
      <c r="AW1546" s="418"/>
      <c r="AX1546" s="418"/>
      <c r="AY1546" s="418"/>
      <c r="AZ1546" s="418"/>
      <c r="BA1546" s="418"/>
      <c r="BB1546" s="154"/>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c r="BY1546" s="115"/>
      <c r="BZ1546" s="115"/>
      <c r="CA1546" s="115"/>
      <c r="CB1546" s="115"/>
      <c r="CC1546" s="115"/>
      <c r="CD1546" s="115"/>
      <c r="CE1546" s="115"/>
      <c r="CF1546" s="115"/>
      <c r="CG1546" s="115"/>
      <c r="CH1546" s="115"/>
      <c r="CI1546" s="115"/>
      <c r="CJ1546" s="115"/>
      <c r="CK1546" s="115"/>
      <c r="CL1546" s="115"/>
      <c r="CM1546" s="115"/>
      <c r="CN1546" s="115"/>
      <c r="CO1546" s="115"/>
      <c r="CP1546" s="115"/>
      <c r="CQ1546" s="115"/>
      <c r="CR1546" s="115"/>
      <c r="CS1546" s="115"/>
      <c r="CT1546" s="115"/>
      <c r="CU1546" s="115"/>
      <c r="CV1546" s="115"/>
      <c r="CW1546" s="115"/>
      <c r="CX1546" s="115"/>
      <c r="CY1546" s="115"/>
      <c r="CZ1546" s="115"/>
      <c r="DA1546" s="115"/>
      <c r="DB1546" s="115"/>
      <c r="DC1546" s="115"/>
      <c r="DD1546" s="115"/>
      <c r="DE1546" s="115"/>
      <c r="DF1546" s="115"/>
      <c r="DG1546" s="115"/>
    </row>
    <row r="1547" spans="1:111" ht="9" customHeight="1">
      <c r="A1547" s="154"/>
      <c r="B1547" s="154"/>
      <c r="C1547" s="154"/>
      <c r="D1547" s="154"/>
      <c r="E1547" s="154"/>
      <c r="F1547" s="154"/>
      <c r="G1547" s="154"/>
      <c r="H1547" s="154"/>
      <c r="I1547" s="154"/>
      <c r="J1547" s="154"/>
      <c r="K1547" s="154"/>
      <c r="L1547" s="154"/>
      <c r="M1547" s="154"/>
      <c r="N1547" s="154"/>
      <c r="O1547" s="154"/>
      <c r="P1547" s="154"/>
      <c r="Q1547" s="417"/>
      <c r="R1547" s="417"/>
      <c r="S1547" s="417"/>
      <c r="T1547" s="417"/>
      <c r="U1547" s="154"/>
      <c r="V1547" s="154"/>
      <c r="W1547" s="154"/>
      <c r="X1547" s="154"/>
      <c r="Y1547" s="154"/>
      <c r="Z1547" s="154"/>
      <c r="AA1547" s="154"/>
      <c r="AB1547" s="154"/>
      <c r="AC1547" s="418"/>
      <c r="AD1547" s="418"/>
      <c r="AE1547" s="418"/>
      <c r="AF1547" s="418"/>
      <c r="AG1547" s="418"/>
      <c r="AH1547" s="418"/>
      <c r="AI1547" s="418"/>
      <c r="AJ1547" s="418"/>
      <c r="AK1547" s="418"/>
      <c r="AL1547" s="418"/>
      <c r="AM1547" s="418"/>
      <c r="AN1547" s="418"/>
      <c r="AO1547" s="418"/>
      <c r="AP1547" s="418"/>
      <c r="AQ1547" s="418"/>
      <c r="AR1547" s="418"/>
      <c r="AS1547" s="418"/>
      <c r="AT1547" s="418"/>
      <c r="AU1547" s="418"/>
      <c r="AV1547" s="418"/>
      <c r="AW1547" s="418"/>
      <c r="AX1547" s="418"/>
      <c r="AY1547" s="418"/>
      <c r="AZ1547" s="418"/>
      <c r="BA1547" s="418"/>
      <c r="BB1547" s="154"/>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c r="BY1547" s="115"/>
      <c r="BZ1547" s="115"/>
      <c r="CA1547" s="115"/>
      <c r="CB1547" s="115"/>
      <c r="CC1547" s="115"/>
      <c r="CD1547" s="115"/>
      <c r="CE1547" s="115"/>
      <c r="CF1547" s="115"/>
      <c r="CG1547" s="115"/>
      <c r="CH1547" s="115"/>
      <c r="CI1547" s="115"/>
      <c r="CJ1547" s="115"/>
      <c r="CK1547" s="115"/>
      <c r="CL1547" s="115"/>
      <c r="CM1547" s="115"/>
      <c r="CN1547" s="115"/>
      <c r="CO1547" s="115"/>
      <c r="CP1547" s="115"/>
      <c r="CQ1547" s="115"/>
      <c r="CR1547" s="115"/>
      <c r="CS1547" s="115"/>
      <c r="CT1547" s="115"/>
      <c r="CU1547" s="115"/>
      <c r="CV1547" s="115"/>
      <c r="CW1547" s="115"/>
      <c r="CX1547" s="115"/>
      <c r="CY1547" s="115"/>
      <c r="CZ1547" s="115"/>
      <c r="DA1547" s="115"/>
      <c r="DB1547" s="115"/>
      <c r="DC1547" s="115"/>
      <c r="DD1547" s="115"/>
      <c r="DE1547" s="115"/>
      <c r="DF1547" s="115"/>
      <c r="DG1547" s="115"/>
    </row>
    <row r="1548" spans="1:111" ht="4.5" customHeight="1">
      <c r="A1548" s="154"/>
      <c r="B1548" s="154"/>
      <c r="C1548" s="154"/>
      <c r="D1548" s="154"/>
      <c r="E1548" s="154"/>
      <c r="F1548" s="154"/>
      <c r="G1548" s="154"/>
      <c r="H1548" s="154"/>
      <c r="I1548" s="154"/>
      <c r="J1548" s="154"/>
      <c r="K1548" s="154"/>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c r="BY1548" s="115"/>
      <c r="BZ1548" s="115"/>
      <c r="CA1548" s="115"/>
      <c r="CB1548" s="115"/>
      <c r="CC1548" s="115"/>
      <c r="CD1548" s="115"/>
      <c r="CE1548" s="115"/>
      <c r="CF1548" s="115"/>
      <c r="CG1548" s="115"/>
      <c r="CH1548" s="115"/>
      <c r="CI1548" s="115"/>
      <c r="CJ1548" s="115"/>
      <c r="CK1548" s="115"/>
      <c r="CL1548" s="115"/>
      <c r="CM1548" s="115"/>
      <c r="CN1548" s="115"/>
      <c r="CO1548" s="115"/>
      <c r="CP1548" s="115"/>
      <c r="CQ1548" s="115"/>
      <c r="CR1548" s="115"/>
      <c r="CS1548" s="115"/>
      <c r="CT1548" s="115"/>
      <c r="CU1548" s="115"/>
      <c r="CV1548" s="115"/>
      <c r="CW1548" s="115"/>
      <c r="CX1548" s="115"/>
      <c r="CY1548" s="115"/>
      <c r="CZ1548" s="115"/>
      <c r="DA1548" s="115"/>
      <c r="DB1548" s="115"/>
      <c r="DC1548" s="115"/>
      <c r="DD1548" s="115"/>
      <c r="DE1548" s="115"/>
      <c r="DF1548" s="115"/>
      <c r="DG1548" s="115"/>
    </row>
    <row r="1549" spans="1:111" ht="9" customHeight="1">
      <c r="A1549" s="154"/>
      <c r="B1549" s="154"/>
      <c r="C1549" s="154"/>
      <c r="D1549" s="154"/>
      <c r="E1549" s="154"/>
      <c r="F1549" s="154"/>
      <c r="G1549" s="154"/>
      <c r="H1549" s="154"/>
      <c r="I1549" s="154"/>
      <c r="J1549" s="416" t="str">
        <f>IF(C1531="","","Valor Unitário (R$):")</f>
        <v/>
      </c>
      <c r="K1549" s="416"/>
      <c r="L1549" s="416"/>
      <c r="M1549" s="416"/>
      <c r="N1549" s="416"/>
      <c r="O1549" s="416"/>
      <c r="P1549" s="154"/>
      <c r="Q1549" s="419"/>
      <c r="R1549" s="419"/>
      <c r="S1549" s="419"/>
      <c r="T1549" s="419"/>
      <c r="U1549" s="419"/>
      <c r="V1549" s="419"/>
      <c r="W1549" s="419"/>
      <c r="X1549" s="419"/>
      <c r="Y1549" s="154"/>
      <c r="Z1549" s="416" t="str">
        <f>IF(C1531="","",IF(J1537="52 Equipamentos e Material Permanente","Tempo de Uso:",""))</f>
        <v/>
      </c>
      <c r="AA1549" s="416"/>
      <c r="AB1549" s="416"/>
      <c r="AC1549" s="416"/>
      <c r="AD1549" s="416"/>
      <c r="AE1549" s="416"/>
      <c r="AF1549" s="154"/>
      <c r="AG1549" s="420"/>
      <c r="AH1549" s="420"/>
      <c r="AI1549" s="420"/>
      <c r="AJ1549" s="420"/>
      <c r="AK1549" s="420"/>
      <c r="AL1549" s="420"/>
      <c r="AM1549" s="420"/>
      <c r="AN1549" s="420"/>
      <c r="AO1549" s="420"/>
      <c r="AP1549" s="420"/>
      <c r="AQ1549" s="420"/>
      <c r="AR1549" s="420"/>
      <c r="AS1549" s="420"/>
      <c r="AT1549" s="420"/>
      <c r="AU1549" s="420"/>
      <c r="AV1549" s="420"/>
      <c r="AW1549" s="420"/>
      <c r="AX1549" s="420"/>
      <c r="AY1549" s="420"/>
      <c r="AZ1549" s="420"/>
      <c r="BA1549" s="420"/>
      <c r="BB1549" s="154"/>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c r="BY1549" s="115"/>
      <c r="BZ1549" s="115"/>
      <c r="CA1549" s="115"/>
      <c r="CB1549" s="115"/>
      <c r="CC1549" s="115"/>
      <c r="CD1549" s="115"/>
      <c r="CE1549" s="115"/>
      <c r="CF1549" s="115"/>
      <c r="CG1549" s="115"/>
      <c r="CH1549" s="115"/>
      <c r="CI1549" s="115"/>
      <c r="CJ1549" s="115"/>
      <c r="CK1549" s="115"/>
      <c r="CL1549" s="115"/>
      <c r="CM1549" s="115"/>
      <c r="CN1549" s="115"/>
      <c r="CO1549" s="115"/>
      <c r="CP1549" s="115"/>
      <c r="CQ1549" s="115"/>
      <c r="CR1549" s="115"/>
      <c r="CS1549" s="115"/>
      <c r="CT1549" s="115"/>
      <c r="CU1549" s="115"/>
      <c r="CV1549" s="115"/>
      <c r="CW1549" s="115"/>
      <c r="CX1549" s="115"/>
      <c r="CY1549" s="115"/>
      <c r="CZ1549" s="115"/>
      <c r="DA1549" s="115"/>
      <c r="DB1549" s="115"/>
      <c r="DC1549" s="115"/>
      <c r="DD1549" s="115"/>
      <c r="DE1549" s="115"/>
      <c r="DF1549" s="115"/>
      <c r="DG1549" s="115"/>
    </row>
    <row r="1550" spans="1:111" ht="9" customHeight="1">
      <c r="A1550" s="154"/>
      <c r="B1550" s="154"/>
      <c r="C1550" s="154"/>
      <c r="D1550" s="154"/>
      <c r="E1550" s="154"/>
      <c r="F1550" s="154"/>
      <c r="G1550" s="154"/>
      <c r="H1550" s="154"/>
      <c r="I1550" s="154"/>
      <c r="J1550" s="416"/>
      <c r="K1550" s="416"/>
      <c r="L1550" s="416"/>
      <c r="M1550" s="416"/>
      <c r="N1550" s="416"/>
      <c r="O1550" s="416"/>
      <c r="P1550" s="154"/>
      <c r="Q1550" s="419"/>
      <c r="R1550" s="419"/>
      <c r="S1550" s="419"/>
      <c r="T1550" s="419"/>
      <c r="U1550" s="419"/>
      <c r="V1550" s="419"/>
      <c r="W1550" s="419"/>
      <c r="X1550" s="419"/>
      <c r="Y1550" s="154"/>
      <c r="Z1550" s="416"/>
      <c r="AA1550" s="416"/>
      <c r="AB1550" s="416"/>
      <c r="AC1550" s="416"/>
      <c r="AD1550" s="416"/>
      <c r="AE1550" s="416"/>
      <c r="AF1550" s="154"/>
      <c r="AG1550" s="420"/>
      <c r="AH1550" s="420"/>
      <c r="AI1550" s="420"/>
      <c r="AJ1550" s="420"/>
      <c r="AK1550" s="420"/>
      <c r="AL1550" s="420"/>
      <c r="AM1550" s="420"/>
      <c r="AN1550" s="420"/>
      <c r="AO1550" s="420"/>
      <c r="AP1550" s="420"/>
      <c r="AQ1550" s="420"/>
      <c r="AR1550" s="420"/>
      <c r="AS1550" s="420"/>
      <c r="AT1550" s="420"/>
      <c r="AU1550" s="420"/>
      <c r="AV1550" s="420"/>
      <c r="AW1550" s="420"/>
      <c r="AX1550" s="420"/>
      <c r="AY1550" s="420"/>
      <c r="AZ1550" s="420"/>
      <c r="BA1550" s="420"/>
      <c r="BB1550" s="154"/>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c r="BY1550" s="115"/>
      <c r="BZ1550" s="115"/>
      <c r="CA1550" s="115"/>
      <c r="CB1550" s="115"/>
      <c r="CC1550" s="115"/>
      <c r="CD1550" s="115"/>
      <c r="CE1550" s="115"/>
      <c r="CF1550" s="115"/>
      <c r="CG1550" s="115"/>
      <c r="CH1550" s="115"/>
      <c r="CI1550" s="115"/>
      <c r="CJ1550" s="115"/>
      <c r="CK1550" s="115"/>
      <c r="CL1550" s="115"/>
      <c r="CM1550" s="115"/>
      <c r="CN1550" s="115"/>
      <c r="CO1550" s="115"/>
      <c r="CP1550" s="115"/>
      <c r="CQ1550" s="115"/>
      <c r="CR1550" s="115"/>
      <c r="CS1550" s="115"/>
      <c r="CT1550" s="115"/>
      <c r="CU1550" s="115"/>
      <c r="CV1550" s="115"/>
      <c r="CW1550" s="115"/>
      <c r="CX1550" s="115"/>
      <c r="CY1550" s="115"/>
      <c r="CZ1550" s="115"/>
      <c r="DA1550" s="115"/>
      <c r="DB1550" s="115"/>
      <c r="DC1550" s="115"/>
      <c r="DD1550" s="115"/>
      <c r="DE1550" s="115"/>
      <c r="DF1550" s="115"/>
      <c r="DG1550" s="115"/>
    </row>
    <row r="1551" spans="1:111" ht="9" customHeight="1">
      <c r="A1551" s="154"/>
      <c r="B1551" s="154"/>
      <c r="C1551" s="154"/>
      <c r="D1551" s="154"/>
      <c r="E1551" s="154"/>
      <c r="F1551" s="154"/>
      <c r="G1551" s="154"/>
      <c r="H1551" s="154"/>
      <c r="I1551" s="154"/>
      <c r="J1551" s="154"/>
      <c r="K1551" s="154"/>
      <c r="L1551" s="154"/>
      <c r="M1551" s="154"/>
      <c r="N1551" s="154"/>
      <c r="O1551" s="154"/>
      <c r="P1551" s="154"/>
      <c r="Q1551" s="419"/>
      <c r="R1551" s="419"/>
      <c r="S1551" s="419"/>
      <c r="T1551" s="419"/>
      <c r="U1551" s="419"/>
      <c r="V1551" s="419"/>
      <c r="W1551" s="419"/>
      <c r="X1551" s="419"/>
      <c r="Y1551" s="154"/>
      <c r="Z1551" s="154"/>
      <c r="AA1551" s="154"/>
      <c r="AB1551" s="154"/>
      <c r="AC1551" s="154"/>
      <c r="AD1551" s="154"/>
      <c r="AE1551" s="154"/>
      <c r="AF1551" s="154"/>
      <c r="AG1551" s="420"/>
      <c r="AH1551" s="420"/>
      <c r="AI1551" s="420"/>
      <c r="AJ1551" s="420"/>
      <c r="AK1551" s="420"/>
      <c r="AL1551" s="420"/>
      <c r="AM1551" s="420"/>
      <c r="AN1551" s="420"/>
      <c r="AO1551" s="420"/>
      <c r="AP1551" s="420"/>
      <c r="AQ1551" s="420"/>
      <c r="AR1551" s="420"/>
      <c r="AS1551" s="420"/>
      <c r="AT1551" s="420"/>
      <c r="AU1551" s="420"/>
      <c r="AV1551" s="420"/>
      <c r="AW1551" s="420"/>
      <c r="AX1551" s="420"/>
      <c r="AY1551" s="420"/>
      <c r="AZ1551" s="420"/>
      <c r="BA1551" s="420"/>
      <c r="BB1551" s="154"/>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c r="BY1551" s="115"/>
      <c r="BZ1551" s="115"/>
      <c r="CA1551" s="115"/>
      <c r="CB1551" s="115"/>
      <c r="CC1551" s="115"/>
      <c r="CD1551" s="115"/>
      <c r="CE1551" s="115"/>
      <c r="CF1551" s="115"/>
      <c r="CG1551" s="115"/>
      <c r="CH1551" s="115"/>
      <c r="CI1551" s="115"/>
      <c r="CJ1551" s="115"/>
      <c r="CK1551" s="115"/>
      <c r="CL1551" s="115"/>
      <c r="CM1551" s="115"/>
      <c r="CN1551" s="115"/>
      <c r="CO1551" s="115"/>
      <c r="CP1551" s="115"/>
      <c r="CQ1551" s="115"/>
      <c r="CR1551" s="115"/>
      <c r="CS1551" s="115"/>
      <c r="CT1551" s="115"/>
      <c r="CU1551" s="115"/>
      <c r="CV1551" s="115"/>
      <c r="CW1551" s="115"/>
      <c r="CX1551" s="115"/>
      <c r="CY1551" s="115"/>
      <c r="CZ1551" s="115"/>
      <c r="DA1551" s="115"/>
      <c r="DB1551" s="115"/>
      <c r="DC1551" s="115"/>
      <c r="DD1551" s="115"/>
      <c r="DE1551" s="115"/>
      <c r="DF1551" s="115"/>
      <c r="DG1551" s="115"/>
    </row>
    <row r="1552" spans="1:111" ht="4.5" customHeight="1">
      <c r="A1552" s="154"/>
      <c r="B1552" s="154"/>
      <c r="C1552" s="154"/>
      <c r="D1552" s="154"/>
      <c r="E1552" s="154"/>
      <c r="F1552" s="154"/>
      <c r="G1552" s="154"/>
      <c r="H1552" s="154"/>
      <c r="I1552" s="154"/>
      <c r="J1552" s="154"/>
      <c r="K1552" s="154"/>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c r="BY1552" s="115"/>
      <c r="BZ1552" s="115"/>
      <c r="CA1552" s="115"/>
      <c r="CB1552" s="115"/>
      <c r="CC1552" s="115"/>
      <c r="CD1552" s="115"/>
      <c r="CE1552" s="115"/>
      <c r="CF1552" s="115"/>
      <c r="CG1552" s="115"/>
      <c r="CH1552" s="115"/>
      <c r="CI1552" s="115"/>
      <c r="CJ1552" s="115"/>
      <c r="CK1552" s="115"/>
      <c r="CL1552" s="115"/>
      <c r="CM1552" s="115"/>
      <c r="CN1552" s="115"/>
      <c r="CO1552" s="115"/>
      <c r="CP1552" s="115"/>
      <c r="CQ1552" s="115"/>
      <c r="CR1552" s="115"/>
      <c r="CS1552" s="115"/>
      <c r="CT1552" s="115"/>
      <c r="CU1552" s="115"/>
      <c r="CV1552" s="115"/>
      <c r="CW1552" s="115"/>
      <c r="CX1552" s="115"/>
      <c r="CY1552" s="115"/>
      <c r="CZ1552" s="115"/>
      <c r="DA1552" s="115"/>
      <c r="DB1552" s="115"/>
      <c r="DC1552" s="115"/>
      <c r="DD1552" s="115"/>
      <c r="DE1552" s="115"/>
      <c r="DF1552" s="115"/>
      <c r="DG1552" s="115"/>
    </row>
    <row r="1553" spans="1:111" ht="9" customHeight="1">
      <c r="A1553" s="154"/>
      <c r="B1553" s="154"/>
      <c r="C1553" s="154"/>
      <c r="D1553" s="154"/>
      <c r="E1553" s="154"/>
      <c r="F1553" s="154"/>
      <c r="G1553" s="154"/>
      <c r="H1553" s="154"/>
      <c r="I1553" s="154"/>
      <c r="J1553" s="416" t="str">
        <f>IF(C1531="","","Valor Total (R$):")</f>
        <v/>
      </c>
      <c r="K1553" s="416"/>
      <c r="L1553" s="416"/>
      <c r="M1553" s="416"/>
      <c r="N1553" s="416"/>
      <c r="O1553" s="416"/>
      <c r="P1553" s="154"/>
      <c r="Q1553" s="419" t="str">
        <f>IF(Q1549="","",Q1545*Q1549)</f>
        <v/>
      </c>
      <c r="R1553" s="419"/>
      <c r="S1553" s="419"/>
      <c r="T1553" s="419"/>
      <c r="U1553" s="419"/>
      <c r="V1553" s="419"/>
      <c r="W1553" s="419"/>
      <c r="X1553" s="419"/>
      <c r="Y1553" s="154"/>
      <c r="Z1553" s="416" t="str">
        <f>IF(C1531="","",IF(J1537="52 Equipamentos e Material Permanente","Justificativa e Utilização:",""))</f>
        <v/>
      </c>
      <c r="AA1553" s="416"/>
      <c r="AB1553" s="416"/>
      <c r="AC1553" s="416"/>
      <c r="AD1553" s="416"/>
      <c r="AE1553" s="416"/>
      <c r="AF1553" s="154"/>
      <c r="AG1553" s="420"/>
      <c r="AH1553" s="420"/>
      <c r="AI1553" s="420"/>
      <c r="AJ1553" s="420"/>
      <c r="AK1553" s="420"/>
      <c r="AL1553" s="420"/>
      <c r="AM1553" s="420"/>
      <c r="AN1553" s="420"/>
      <c r="AO1553" s="420"/>
      <c r="AP1553" s="420"/>
      <c r="AQ1553" s="420"/>
      <c r="AR1553" s="420"/>
      <c r="AS1553" s="420"/>
      <c r="AT1553" s="420"/>
      <c r="AU1553" s="420"/>
      <c r="AV1553" s="420"/>
      <c r="AW1553" s="420"/>
      <c r="AX1553" s="420"/>
      <c r="AY1553" s="420"/>
      <c r="AZ1553" s="420"/>
      <c r="BA1553" s="420"/>
      <c r="BB1553" s="154"/>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c r="BY1553" s="115"/>
      <c r="BZ1553" s="115"/>
      <c r="CA1553" s="115"/>
      <c r="CB1553" s="115"/>
      <c r="CC1553" s="115"/>
      <c r="CD1553" s="115"/>
      <c r="CE1553" s="115"/>
      <c r="CF1553" s="115"/>
      <c r="CG1553" s="115"/>
      <c r="CH1553" s="115"/>
      <c r="CI1553" s="115"/>
      <c r="CJ1553" s="115"/>
      <c r="CK1553" s="115"/>
      <c r="CL1553" s="115"/>
      <c r="CM1553" s="115"/>
      <c r="CN1553" s="115"/>
      <c r="CO1553" s="115"/>
      <c r="CP1553" s="115"/>
      <c r="CQ1553" s="115"/>
      <c r="CR1553" s="115"/>
      <c r="CS1553" s="115"/>
      <c r="CT1553" s="115"/>
      <c r="CU1553" s="115"/>
      <c r="CV1553" s="115"/>
      <c r="CW1553" s="115"/>
      <c r="CX1553" s="115"/>
      <c r="CY1553" s="115"/>
      <c r="CZ1553" s="115"/>
      <c r="DA1553" s="115"/>
      <c r="DB1553" s="115"/>
      <c r="DC1553" s="115"/>
      <c r="DD1553" s="115"/>
      <c r="DE1553" s="115"/>
      <c r="DF1553" s="115"/>
      <c r="DG1553" s="115"/>
    </row>
    <row r="1554" spans="1:111" ht="9" customHeight="1">
      <c r="A1554" s="154"/>
      <c r="B1554" s="154"/>
      <c r="C1554" s="154"/>
      <c r="D1554" s="154"/>
      <c r="E1554" s="154"/>
      <c r="F1554" s="154"/>
      <c r="G1554" s="154"/>
      <c r="H1554" s="154"/>
      <c r="I1554" s="154"/>
      <c r="J1554" s="416"/>
      <c r="K1554" s="416"/>
      <c r="L1554" s="416"/>
      <c r="M1554" s="416"/>
      <c r="N1554" s="416"/>
      <c r="O1554" s="416"/>
      <c r="P1554" s="154"/>
      <c r="Q1554" s="419"/>
      <c r="R1554" s="419"/>
      <c r="S1554" s="419"/>
      <c r="T1554" s="419"/>
      <c r="U1554" s="419"/>
      <c r="V1554" s="419"/>
      <c r="W1554" s="419"/>
      <c r="X1554" s="419"/>
      <c r="Y1554" s="154"/>
      <c r="Z1554" s="416"/>
      <c r="AA1554" s="416"/>
      <c r="AB1554" s="416"/>
      <c r="AC1554" s="416"/>
      <c r="AD1554" s="416"/>
      <c r="AE1554" s="416"/>
      <c r="AF1554" s="154"/>
      <c r="AG1554" s="420"/>
      <c r="AH1554" s="420"/>
      <c r="AI1554" s="420"/>
      <c r="AJ1554" s="420"/>
      <c r="AK1554" s="420"/>
      <c r="AL1554" s="420"/>
      <c r="AM1554" s="420"/>
      <c r="AN1554" s="420"/>
      <c r="AO1554" s="420"/>
      <c r="AP1554" s="420"/>
      <c r="AQ1554" s="420"/>
      <c r="AR1554" s="420"/>
      <c r="AS1554" s="420"/>
      <c r="AT1554" s="420"/>
      <c r="AU1554" s="420"/>
      <c r="AV1554" s="420"/>
      <c r="AW1554" s="420"/>
      <c r="AX1554" s="420"/>
      <c r="AY1554" s="420"/>
      <c r="AZ1554" s="420"/>
      <c r="BA1554" s="420"/>
      <c r="BB1554" s="154"/>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c r="BY1554" s="115"/>
      <c r="BZ1554" s="115"/>
      <c r="CA1554" s="115"/>
      <c r="CB1554" s="115"/>
      <c r="CC1554" s="115"/>
      <c r="CD1554" s="115"/>
      <c r="CE1554" s="115"/>
      <c r="CF1554" s="115"/>
      <c r="CG1554" s="115"/>
      <c r="CH1554" s="115"/>
      <c r="CI1554" s="115"/>
      <c r="CJ1554" s="115"/>
      <c r="CK1554" s="115"/>
      <c r="CL1554" s="115"/>
      <c r="CM1554" s="115"/>
      <c r="CN1554" s="115"/>
      <c r="CO1554" s="115"/>
      <c r="CP1554" s="115"/>
      <c r="CQ1554" s="115"/>
      <c r="CR1554" s="115"/>
      <c r="CS1554" s="115"/>
      <c r="CT1554" s="115"/>
      <c r="CU1554" s="115"/>
      <c r="CV1554" s="115"/>
      <c r="CW1554" s="115"/>
      <c r="CX1554" s="115"/>
      <c r="CY1554" s="115"/>
      <c r="CZ1554" s="115"/>
      <c r="DA1554" s="115"/>
      <c r="DB1554" s="115"/>
      <c r="DC1554" s="115"/>
      <c r="DD1554" s="115"/>
      <c r="DE1554" s="115"/>
      <c r="DF1554" s="115"/>
      <c r="DG1554" s="115"/>
    </row>
    <row r="1555" spans="1:111" ht="9" customHeight="1">
      <c r="A1555" s="154"/>
      <c r="B1555" s="154"/>
      <c r="C1555" s="154"/>
      <c r="D1555" s="154"/>
      <c r="E1555" s="154"/>
      <c r="F1555" s="154"/>
      <c r="G1555" s="154"/>
      <c r="H1555" s="154"/>
      <c r="I1555" s="154"/>
      <c r="J1555" s="154"/>
      <c r="K1555" s="154"/>
      <c r="L1555" s="154"/>
      <c r="M1555" s="154"/>
      <c r="N1555" s="154"/>
      <c r="O1555" s="154"/>
      <c r="P1555" s="154"/>
      <c r="Q1555" s="419"/>
      <c r="R1555" s="419"/>
      <c r="S1555" s="419"/>
      <c r="T1555" s="419"/>
      <c r="U1555" s="419"/>
      <c r="V1555" s="419"/>
      <c r="W1555" s="419"/>
      <c r="X1555" s="419"/>
      <c r="Y1555" s="154"/>
      <c r="Z1555" s="154"/>
      <c r="AA1555" s="154"/>
      <c r="AB1555" s="154"/>
      <c r="AC1555" s="154"/>
      <c r="AD1555" s="154"/>
      <c r="AE1555" s="154"/>
      <c r="AF1555" s="154"/>
      <c r="AG1555" s="420"/>
      <c r="AH1555" s="420"/>
      <c r="AI1555" s="420"/>
      <c r="AJ1555" s="420"/>
      <c r="AK1555" s="420"/>
      <c r="AL1555" s="420"/>
      <c r="AM1555" s="420"/>
      <c r="AN1555" s="420"/>
      <c r="AO1555" s="420"/>
      <c r="AP1555" s="420"/>
      <c r="AQ1555" s="420"/>
      <c r="AR1555" s="420"/>
      <c r="AS1555" s="420"/>
      <c r="AT1555" s="420"/>
      <c r="AU1555" s="420"/>
      <c r="AV1555" s="420"/>
      <c r="AW1555" s="420"/>
      <c r="AX1555" s="420"/>
      <c r="AY1555" s="420"/>
      <c r="AZ1555" s="420"/>
      <c r="BA1555" s="420"/>
      <c r="BB1555" s="154"/>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c r="BY1555" s="115"/>
      <c r="BZ1555" s="115"/>
      <c r="CA1555" s="115"/>
      <c r="CB1555" s="115"/>
      <c r="CC1555" s="115"/>
      <c r="CD1555" s="115"/>
      <c r="CE1555" s="115"/>
      <c r="CF1555" s="115"/>
      <c r="CG1555" s="115"/>
      <c r="CH1555" s="115"/>
      <c r="CI1555" s="115"/>
      <c r="CJ1555" s="115"/>
      <c r="CK1555" s="115"/>
      <c r="CL1555" s="115"/>
      <c r="CM1555" s="115"/>
      <c r="CN1555" s="115"/>
      <c r="CO1555" s="115"/>
      <c r="CP1555" s="115"/>
      <c r="CQ1555" s="115"/>
      <c r="CR1555" s="115"/>
      <c r="CS1555" s="115"/>
      <c r="CT1555" s="115"/>
      <c r="CU1555" s="115"/>
      <c r="CV1555" s="115"/>
      <c r="CW1555" s="115"/>
      <c r="CX1555" s="115"/>
      <c r="CY1555" s="115"/>
      <c r="CZ1555" s="115"/>
      <c r="DA1555" s="115"/>
      <c r="DB1555" s="115"/>
      <c r="DC1555" s="115"/>
      <c r="DD1555" s="115"/>
      <c r="DE1555" s="115"/>
      <c r="DF1555" s="115"/>
      <c r="DG1555" s="115"/>
    </row>
    <row r="1556" spans="1:111" ht="9" customHeight="1">
      <c r="A1556" s="154"/>
      <c r="B1556" s="154"/>
      <c r="C1556" s="154"/>
      <c r="D1556" s="154"/>
      <c r="E1556" s="154"/>
      <c r="F1556" s="154"/>
      <c r="G1556" s="154"/>
      <c r="H1556" s="154"/>
      <c r="I1556" s="154"/>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420"/>
      <c r="AH1556" s="420"/>
      <c r="AI1556" s="420"/>
      <c r="AJ1556" s="420"/>
      <c r="AK1556" s="420"/>
      <c r="AL1556" s="420"/>
      <c r="AM1556" s="420"/>
      <c r="AN1556" s="420"/>
      <c r="AO1556" s="420"/>
      <c r="AP1556" s="420"/>
      <c r="AQ1556" s="420"/>
      <c r="AR1556" s="420"/>
      <c r="AS1556" s="420"/>
      <c r="AT1556" s="420"/>
      <c r="AU1556" s="420"/>
      <c r="AV1556" s="420"/>
      <c r="AW1556" s="420"/>
      <c r="AX1556" s="420"/>
      <c r="AY1556" s="420"/>
      <c r="AZ1556" s="420"/>
      <c r="BA1556" s="420"/>
      <c r="BB1556" s="154"/>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c r="BY1556" s="115"/>
      <c r="BZ1556" s="115"/>
      <c r="CA1556" s="115"/>
      <c r="CB1556" s="115"/>
      <c r="CC1556" s="115"/>
      <c r="CD1556" s="115"/>
      <c r="CE1556" s="115"/>
      <c r="CF1556" s="115"/>
      <c r="CG1556" s="115"/>
      <c r="CH1556" s="115"/>
      <c r="CI1556" s="115"/>
      <c r="CJ1556" s="115"/>
      <c r="CK1556" s="115"/>
      <c r="CL1556" s="115"/>
      <c r="CM1556" s="115"/>
      <c r="CN1556" s="115"/>
      <c r="CO1556" s="115"/>
      <c r="CP1556" s="115"/>
      <c r="CQ1556" s="115"/>
      <c r="CR1556" s="115"/>
      <c r="CS1556" s="115"/>
      <c r="CT1556" s="115"/>
      <c r="CU1556" s="115"/>
      <c r="CV1556" s="115"/>
      <c r="CW1556" s="115"/>
      <c r="CX1556" s="115"/>
      <c r="CY1556" s="115"/>
      <c r="CZ1556" s="115"/>
      <c r="DA1556" s="115"/>
      <c r="DB1556" s="115"/>
      <c r="DC1556" s="115"/>
      <c r="DD1556" s="115"/>
      <c r="DE1556" s="115"/>
      <c r="DF1556" s="115"/>
      <c r="DG1556" s="115"/>
    </row>
    <row r="1557" spans="1:111" ht="9" customHeight="1">
      <c r="A1557" s="154"/>
      <c r="B1557" s="154"/>
      <c r="C1557" s="154"/>
      <c r="D1557" s="154"/>
      <c r="E1557" s="154"/>
      <c r="F1557" s="154"/>
      <c r="G1557" s="154"/>
      <c r="H1557" s="154"/>
      <c r="I1557" s="154"/>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420"/>
      <c r="AH1557" s="420"/>
      <c r="AI1557" s="420"/>
      <c r="AJ1557" s="420"/>
      <c r="AK1557" s="420"/>
      <c r="AL1557" s="420"/>
      <c r="AM1557" s="420"/>
      <c r="AN1557" s="420"/>
      <c r="AO1557" s="420"/>
      <c r="AP1557" s="420"/>
      <c r="AQ1557" s="420"/>
      <c r="AR1557" s="420"/>
      <c r="AS1557" s="420"/>
      <c r="AT1557" s="420"/>
      <c r="AU1557" s="420"/>
      <c r="AV1557" s="420"/>
      <c r="AW1557" s="420"/>
      <c r="AX1557" s="420"/>
      <c r="AY1557" s="420"/>
      <c r="AZ1557" s="420"/>
      <c r="BA1557" s="420"/>
      <c r="BB1557" s="154"/>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c r="BY1557" s="115"/>
      <c r="BZ1557" s="115"/>
      <c r="CA1557" s="115"/>
      <c r="CB1557" s="115"/>
      <c r="CC1557" s="115"/>
      <c r="CD1557" s="115"/>
      <c r="CE1557" s="115"/>
      <c r="CF1557" s="115"/>
      <c r="CG1557" s="115"/>
      <c r="CH1557" s="115"/>
      <c r="CI1557" s="115"/>
      <c r="CJ1557" s="115"/>
      <c r="CK1557" s="115"/>
      <c r="CL1557" s="115"/>
      <c r="CM1557" s="115"/>
      <c r="CN1557" s="115"/>
      <c r="CO1557" s="115"/>
      <c r="CP1557" s="115"/>
      <c r="CQ1557" s="115"/>
      <c r="CR1557" s="115"/>
      <c r="CS1557" s="115"/>
      <c r="CT1557" s="115"/>
      <c r="CU1557" s="115"/>
      <c r="CV1557" s="115"/>
      <c r="CW1557" s="115"/>
      <c r="CX1557" s="115"/>
      <c r="CY1557" s="115"/>
      <c r="CZ1557" s="115"/>
      <c r="DA1557" s="115"/>
      <c r="DB1557" s="115"/>
      <c r="DC1557" s="115"/>
      <c r="DD1557" s="115"/>
      <c r="DE1557" s="115"/>
      <c r="DF1557" s="115"/>
      <c r="DG1557" s="115"/>
    </row>
    <row r="1558" spans="1:111" ht="9" customHeight="1">
      <c r="A1558" s="154"/>
      <c r="B1558" s="154"/>
      <c r="C1558" s="154"/>
      <c r="D1558" s="154"/>
      <c r="E1558" s="154"/>
      <c r="F1558" s="154"/>
      <c r="G1558" s="154"/>
      <c r="H1558" s="154"/>
      <c r="I1558" s="154"/>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420"/>
      <c r="AH1558" s="420"/>
      <c r="AI1558" s="420"/>
      <c r="AJ1558" s="420"/>
      <c r="AK1558" s="420"/>
      <c r="AL1558" s="420"/>
      <c r="AM1558" s="420"/>
      <c r="AN1558" s="420"/>
      <c r="AO1558" s="420"/>
      <c r="AP1558" s="420"/>
      <c r="AQ1558" s="420"/>
      <c r="AR1558" s="420"/>
      <c r="AS1558" s="420"/>
      <c r="AT1558" s="420"/>
      <c r="AU1558" s="420"/>
      <c r="AV1558" s="420"/>
      <c r="AW1558" s="420"/>
      <c r="AX1558" s="420"/>
      <c r="AY1558" s="420"/>
      <c r="AZ1558" s="420"/>
      <c r="BA1558" s="420"/>
      <c r="BB1558" s="154"/>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c r="BY1558" s="115"/>
      <c r="BZ1558" s="115"/>
      <c r="CA1558" s="115"/>
      <c r="CB1558" s="115"/>
      <c r="CC1558" s="115"/>
      <c r="CD1558" s="115"/>
      <c r="CE1558" s="115"/>
      <c r="CF1558" s="115"/>
      <c r="CG1558" s="115"/>
      <c r="CH1558" s="115"/>
      <c r="CI1558" s="115"/>
      <c r="CJ1558" s="115"/>
      <c r="CK1558" s="115"/>
      <c r="CL1558" s="115"/>
      <c r="CM1558" s="115"/>
      <c r="CN1558" s="115"/>
      <c r="CO1558" s="115"/>
      <c r="CP1558" s="115"/>
      <c r="CQ1558" s="115"/>
      <c r="CR1558" s="115"/>
      <c r="CS1558" s="115"/>
      <c r="CT1558" s="115"/>
      <c r="CU1558" s="115"/>
      <c r="CV1558" s="115"/>
      <c r="CW1558" s="115"/>
      <c r="CX1558" s="115"/>
      <c r="CY1558" s="115"/>
      <c r="CZ1558" s="115"/>
      <c r="DA1558" s="115"/>
      <c r="DB1558" s="115"/>
      <c r="DC1558" s="115"/>
      <c r="DD1558" s="115"/>
      <c r="DE1558" s="115"/>
      <c r="DF1558" s="115"/>
      <c r="DG1558" s="115"/>
    </row>
    <row r="1559" spans="1:111" ht="15" customHeight="1">
      <c r="B1559" s="55"/>
      <c r="C1559" s="55"/>
      <c r="D1559" s="56"/>
      <c r="E1559" s="56"/>
      <c r="F1559" s="56"/>
      <c r="G1559" s="56"/>
      <c r="H1559" s="56"/>
      <c r="I1559" s="56"/>
      <c r="J1559" s="56"/>
      <c r="K1559" s="56"/>
      <c r="L1559" s="56"/>
      <c r="M1559" s="56"/>
      <c r="N1559" s="56"/>
      <c r="O1559" s="56"/>
      <c r="P1559" s="56"/>
      <c r="Q1559" s="56"/>
      <c r="R1559" s="56"/>
      <c r="S1559" s="56"/>
      <c r="T1559" s="56"/>
      <c r="U1559" s="56"/>
      <c r="V1559" s="56"/>
      <c r="W1559" s="56"/>
      <c r="X1559" s="56"/>
      <c r="Y1559" s="56"/>
      <c r="Z1559" s="56"/>
      <c r="AA1559" s="56"/>
      <c r="AB1559" s="56"/>
      <c r="AC1559" s="56"/>
      <c r="AD1559" s="56"/>
      <c r="AE1559" s="56"/>
      <c r="AF1559" s="56"/>
      <c r="AG1559" s="56"/>
      <c r="AH1559" s="56"/>
      <c r="AI1559" s="56"/>
      <c r="AJ1559" s="56"/>
      <c r="AK1559" s="141"/>
      <c r="AL1559" s="141"/>
      <c r="AM1559" s="141"/>
      <c r="AN1559" s="141"/>
      <c r="AO1559" s="140"/>
      <c r="AP1559" s="140"/>
      <c r="AQ1559" s="140"/>
      <c r="AR1559" s="140"/>
      <c r="AS1559" s="142"/>
      <c r="AT1559" s="142"/>
      <c r="AU1559" s="142"/>
      <c r="AV1559" s="142"/>
      <c r="AW1559" s="140"/>
      <c r="AX1559" s="140"/>
      <c r="AY1559" s="140"/>
      <c r="AZ1559" s="140"/>
      <c r="BA1559" s="140"/>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c r="BY1559" s="115"/>
      <c r="BZ1559" s="115"/>
      <c r="CA1559" s="115"/>
      <c r="CB1559" s="115"/>
      <c r="CC1559" s="115"/>
      <c r="CD1559" s="115"/>
      <c r="CE1559" s="115"/>
      <c r="CF1559" s="115"/>
      <c r="CG1559" s="115"/>
      <c r="CH1559" s="115"/>
      <c r="CI1559" s="115"/>
      <c r="CJ1559" s="115"/>
      <c r="CK1559" s="115"/>
      <c r="CL1559" s="115"/>
      <c r="CM1559" s="115"/>
      <c r="CN1559" s="115"/>
      <c r="CO1559" s="115"/>
      <c r="CP1559" s="115"/>
      <c r="CQ1559" s="115"/>
      <c r="CR1559" s="115"/>
      <c r="CS1559" s="115"/>
      <c r="CT1559" s="115"/>
      <c r="CU1559" s="115"/>
      <c r="CV1559" s="115"/>
      <c r="CW1559" s="115"/>
      <c r="CX1559" s="115"/>
      <c r="CY1559" s="115"/>
      <c r="CZ1559" s="115"/>
      <c r="DA1559" s="115"/>
      <c r="DB1559" s="115"/>
      <c r="DC1559" s="115"/>
      <c r="DD1559" s="115"/>
      <c r="DE1559" s="115"/>
      <c r="DF1559" s="115"/>
      <c r="DG1559" s="115"/>
    </row>
    <row r="1560" spans="1:111" ht="15" customHeight="1">
      <c r="B1560" s="55"/>
      <c r="C1560" s="422" t="str">
        <f>IF($AA$165&gt;=49,"DESPESA 49","")</f>
        <v/>
      </c>
      <c r="D1560" s="422"/>
      <c r="E1560" s="422"/>
      <c r="F1560" s="422"/>
      <c r="G1560" s="422"/>
      <c r="H1560" s="422"/>
      <c r="I1560" s="56"/>
      <c r="J1560" s="56"/>
      <c r="K1560" s="56"/>
      <c r="L1560" s="56"/>
      <c r="M1560" s="56"/>
      <c r="N1560" s="56"/>
      <c r="O1560" s="56"/>
      <c r="P1560" s="56"/>
      <c r="Q1560" s="56"/>
      <c r="R1560" s="56"/>
      <c r="S1560" s="56"/>
      <c r="T1560" s="56"/>
      <c r="U1560" s="56"/>
      <c r="V1560" s="56"/>
      <c r="W1560" s="56"/>
      <c r="X1560" s="56"/>
      <c r="Y1560" s="56"/>
      <c r="Z1560" s="56"/>
      <c r="AA1560" s="56"/>
      <c r="AB1560" s="56"/>
      <c r="AC1560" s="56"/>
      <c r="AD1560" s="56"/>
      <c r="AE1560" s="56"/>
      <c r="AF1560" s="56"/>
      <c r="AG1560" s="56"/>
      <c r="AH1560" s="56"/>
      <c r="AI1560" s="56"/>
      <c r="AJ1560" s="56"/>
      <c r="AK1560" s="141"/>
      <c r="AL1560" s="141"/>
      <c r="AM1560" s="141"/>
      <c r="AN1560" s="141"/>
      <c r="AO1560" s="140"/>
      <c r="AP1560" s="140"/>
      <c r="AQ1560" s="140"/>
      <c r="AR1560" s="140"/>
      <c r="AS1560" s="142"/>
      <c r="AT1560" s="142"/>
      <c r="AU1560" s="142"/>
      <c r="AV1560" s="142"/>
      <c r="AW1560" s="140"/>
      <c r="AX1560" s="140"/>
      <c r="AY1560" s="140"/>
      <c r="AZ1560" s="140"/>
      <c r="BA1560" s="140"/>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c r="BY1560" s="115"/>
      <c r="BZ1560" s="115"/>
      <c r="CA1560" s="115"/>
      <c r="CB1560" s="115"/>
      <c r="CC1560" s="115"/>
      <c r="CD1560" s="115"/>
      <c r="CE1560" s="115"/>
      <c r="CF1560" s="115"/>
      <c r="CG1560" s="115"/>
      <c r="CH1560" s="115"/>
      <c r="CI1560" s="115"/>
      <c r="CJ1560" s="115"/>
      <c r="CK1560" s="115"/>
      <c r="CL1560" s="115"/>
      <c r="CM1560" s="115"/>
      <c r="CN1560" s="115"/>
      <c r="CO1560" s="115"/>
      <c r="CP1560" s="115"/>
      <c r="CQ1560" s="115"/>
      <c r="CR1560" s="115"/>
      <c r="CS1560" s="115"/>
      <c r="CT1560" s="115"/>
      <c r="CU1560" s="115"/>
      <c r="CV1560" s="115"/>
      <c r="CW1560" s="115"/>
      <c r="CX1560" s="115"/>
      <c r="CY1560" s="115"/>
      <c r="CZ1560" s="115"/>
      <c r="DA1560" s="115"/>
      <c r="DB1560" s="115"/>
      <c r="DC1560" s="115"/>
      <c r="DD1560" s="115"/>
      <c r="DE1560" s="115"/>
      <c r="DF1560" s="115"/>
      <c r="DG1560" s="115"/>
    </row>
    <row r="1561" spans="1:111" ht="4.5" customHeight="1">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c r="BY1561" s="115"/>
      <c r="BZ1561" s="115"/>
      <c r="CA1561" s="115"/>
      <c r="CB1561" s="115"/>
      <c r="CC1561" s="115"/>
      <c r="CD1561" s="115"/>
      <c r="CE1561" s="115"/>
      <c r="CF1561" s="115"/>
      <c r="CG1561" s="115"/>
      <c r="CH1561" s="115"/>
      <c r="CI1561" s="115"/>
      <c r="CJ1561" s="115"/>
      <c r="CK1561" s="115"/>
      <c r="CL1561" s="115"/>
      <c r="CM1561" s="115"/>
      <c r="CN1561" s="115"/>
      <c r="CO1561" s="115"/>
      <c r="CP1561" s="115"/>
      <c r="CQ1561" s="115"/>
      <c r="CR1561" s="115"/>
      <c r="CS1561" s="115"/>
      <c r="CT1561" s="115"/>
      <c r="CU1561" s="115"/>
      <c r="CV1561" s="115"/>
      <c r="CW1561" s="115"/>
      <c r="CX1561" s="115"/>
      <c r="CY1561" s="115"/>
      <c r="CZ1561" s="115"/>
      <c r="DA1561" s="115"/>
      <c r="DB1561" s="115"/>
      <c r="DC1561" s="115"/>
      <c r="DD1561" s="115"/>
      <c r="DE1561" s="115"/>
      <c r="DF1561" s="115"/>
      <c r="DG1561" s="115"/>
    </row>
    <row r="1562" spans="1:111" ht="9" customHeight="1">
      <c r="C1562" s="416" t="str">
        <f>IF(C1560="","","Descrição da Despesa:")</f>
        <v/>
      </c>
      <c r="D1562" s="416"/>
      <c r="E1562" s="416"/>
      <c r="F1562" s="416"/>
      <c r="G1562" s="416"/>
      <c r="H1562" s="416"/>
      <c r="I1562" s="60"/>
      <c r="J1562" s="421"/>
      <c r="K1562" s="421"/>
      <c r="L1562" s="421"/>
      <c r="M1562" s="421"/>
      <c r="N1562" s="421"/>
      <c r="O1562" s="421"/>
      <c r="P1562" s="421"/>
      <c r="Q1562" s="421"/>
      <c r="R1562" s="421"/>
      <c r="S1562" s="421"/>
      <c r="T1562" s="421"/>
      <c r="U1562" s="421"/>
      <c r="V1562" s="421"/>
      <c r="W1562" s="421"/>
      <c r="X1562" s="421"/>
      <c r="Y1562" s="421"/>
      <c r="Z1562" s="421"/>
      <c r="AA1562" s="421"/>
      <c r="AB1562" s="421"/>
      <c r="AC1562" s="421"/>
      <c r="AD1562" s="421"/>
      <c r="AE1562" s="421"/>
      <c r="AF1562" s="421"/>
      <c r="AG1562" s="421"/>
      <c r="AH1562" s="421"/>
      <c r="AI1562" s="421"/>
      <c r="AJ1562" s="421"/>
      <c r="AK1562" s="421"/>
      <c r="AL1562" s="421"/>
      <c r="AM1562" s="421"/>
      <c r="AN1562" s="421"/>
      <c r="AO1562" s="421"/>
      <c r="AP1562" s="421"/>
      <c r="AQ1562" s="421"/>
      <c r="AR1562" s="421"/>
      <c r="AS1562" s="421"/>
      <c r="AT1562" s="421"/>
      <c r="AU1562" s="421"/>
      <c r="AV1562" s="421"/>
      <c r="AW1562" s="421"/>
      <c r="AX1562" s="421"/>
      <c r="AY1562" s="421"/>
      <c r="AZ1562" s="421"/>
      <c r="BA1562" s="421"/>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c r="BY1562" s="115"/>
      <c r="BZ1562" s="115"/>
      <c r="CA1562" s="115"/>
      <c r="CB1562" s="115"/>
      <c r="CC1562" s="115"/>
      <c r="CD1562" s="115"/>
      <c r="CE1562" s="115"/>
      <c r="CF1562" s="115"/>
      <c r="CG1562" s="115"/>
      <c r="CH1562" s="115"/>
      <c r="CI1562" s="115"/>
      <c r="CJ1562" s="115"/>
      <c r="CK1562" s="115"/>
      <c r="CL1562" s="115"/>
      <c r="CM1562" s="115"/>
      <c r="CN1562" s="115"/>
      <c r="CO1562" s="115"/>
      <c r="CP1562" s="115"/>
      <c r="CQ1562" s="115"/>
      <c r="CR1562" s="115"/>
      <c r="CS1562" s="115"/>
      <c r="CT1562" s="115"/>
      <c r="CU1562" s="115"/>
      <c r="CV1562" s="115"/>
      <c r="CW1562" s="115"/>
      <c r="CX1562" s="115"/>
      <c r="CY1562" s="115"/>
      <c r="CZ1562" s="115"/>
      <c r="DA1562" s="115"/>
      <c r="DB1562" s="115"/>
      <c r="DC1562" s="115"/>
      <c r="DD1562" s="115"/>
      <c r="DE1562" s="115"/>
      <c r="DF1562" s="115"/>
      <c r="DG1562" s="115"/>
    </row>
    <row r="1563" spans="1:111" ht="9" customHeight="1">
      <c r="C1563" s="416"/>
      <c r="D1563" s="416"/>
      <c r="E1563" s="416"/>
      <c r="F1563" s="416"/>
      <c r="G1563" s="416"/>
      <c r="H1563" s="416"/>
      <c r="I1563" s="60"/>
      <c r="J1563" s="421"/>
      <c r="K1563" s="421"/>
      <c r="L1563" s="421"/>
      <c r="M1563" s="421"/>
      <c r="N1563" s="421"/>
      <c r="O1563" s="421"/>
      <c r="P1563" s="421"/>
      <c r="Q1563" s="421"/>
      <c r="R1563" s="421"/>
      <c r="S1563" s="421"/>
      <c r="T1563" s="421"/>
      <c r="U1563" s="421"/>
      <c r="V1563" s="421"/>
      <c r="W1563" s="421"/>
      <c r="X1563" s="421"/>
      <c r="Y1563" s="421"/>
      <c r="Z1563" s="421"/>
      <c r="AA1563" s="421"/>
      <c r="AB1563" s="421"/>
      <c r="AC1563" s="421"/>
      <c r="AD1563" s="421"/>
      <c r="AE1563" s="421"/>
      <c r="AF1563" s="421"/>
      <c r="AG1563" s="421"/>
      <c r="AH1563" s="421"/>
      <c r="AI1563" s="421"/>
      <c r="AJ1563" s="421"/>
      <c r="AK1563" s="421"/>
      <c r="AL1563" s="421"/>
      <c r="AM1563" s="421"/>
      <c r="AN1563" s="421"/>
      <c r="AO1563" s="421"/>
      <c r="AP1563" s="421"/>
      <c r="AQ1563" s="421"/>
      <c r="AR1563" s="421"/>
      <c r="AS1563" s="421"/>
      <c r="AT1563" s="421"/>
      <c r="AU1563" s="421"/>
      <c r="AV1563" s="421"/>
      <c r="AW1563" s="421"/>
      <c r="AX1563" s="421"/>
      <c r="AY1563" s="421"/>
      <c r="AZ1563" s="421"/>
      <c r="BA1563" s="421"/>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c r="BY1563" s="115"/>
      <c r="BZ1563" s="115"/>
      <c r="CA1563" s="115"/>
      <c r="CB1563" s="115"/>
      <c r="CC1563" s="115"/>
      <c r="CD1563" s="115"/>
      <c r="CE1563" s="115"/>
      <c r="CF1563" s="115"/>
      <c r="CG1563" s="115"/>
      <c r="CH1563" s="115"/>
      <c r="CI1563" s="115"/>
      <c r="CJ1563" s="115"/>
      <c r="CK1563" s="115"/>
      <c r="CL1563" s="115"/>
      <c r="CM1563" s="115"/>
      <c r="CN1563" s="115"/>
      <c r="CO1563" s="115"/>
      <c r="CP1563" s="115"/>
      <c r="CQ1563" s="115"/>
      <c r="CR1563" s="115"/>
      <c r="CS1563" s="115"/>
      <c r="CT1563" s="115"/>
      <c r="CU1563" s="115"/>
      <c r="CV1563" s="115"/>
      <c r="CW1563" s="115"/>
      <c r="CX1563" s="115"/>
      <c r="CY1563" s="115"/>
      <c r="CZ1563" s="115"/>
      <c r="DA1563" s="115"/>
      <c r="DB1563" s="115"/>
      <c r="DC1563" s="115"/>
      <c r="DD1563" s="115"/>
      <c r="DE1563" s="115"/>
      <c r="DF1563" s="115"/>
      <c r="DG1563" s="115"/>
    </row>
    <row r="1564" spans="1:111" ht="9" customHeight="1">
      <c r="C1564" s="416"/>
      <c r="D1564" s="416"/>
      <c r="E1564" s="416"/>
      <c r="F1564" s="416"/>
      <c r="G1564" s="416"/>
      <c r="H1564" s="416"/>
      <c r="I1564" s="60"/>
      <c r="J1564" s="421"/>
      <c r="K1564" s="421"/>
      <c r="L1564" s="421"/>
      <c r="M1564" s="421"/>
      <c r="N1564" s="421"/>
      <c r="O1564" s="421"/>
      <c r="P1564" s="421"/>
      <c r="Q1564" s="421"/>
      <c r="R1564" s="421"/>
      <c r="S1564" s="421"/>
      <c r="T1564" s="421"/>
      <c r="U1564" s="421"/>
      <c r="V1564" s="421"/>
      <c r="W1564" s="421"/>
      <c r="X1564" s="421"/>
      <c r="Y1564" s="421"/>
      <c r="Z1564" s="421"/>
      <c r="AA1564" s="421"/>
      <c r="AB1564" s="421"/>
      <c r="AC1564" s="421"/>
      <c r="AD1564" s="421"/>
      <c r="AE1564" s="421"/>
      <c r="AF1564" s="421"/>
      <c r="AG1564" s="421"/>
      <c r="AH1564" s="421"/>
      <c r="AI1564" s="421"/>
      <c r="AJ1564" s="421"/>
      <c r="AK1564" s="421"/>
      <c r="AL1564" s="421"/>
      <c r="AM1564" s="421"/>
      <c r="AN1564" s="421"/>
      <c r="AO1564" s="421"/>
      <c r="AP1564" s="421"/>
      <c r="AQ1564" s="421"/>
      <c r="AR1564" s="421"/>
      <c r="AS1564" s="421"/>
      <c r="AT1564" s="421"/>
      <c r="AU1564" s="421"/>
      <c r="AV1564" s="421"/>
      <c r="AW1564" s="421"/>
      <c r="AX1564" s="421"/>
      <c r="AY1564" s="421"/>
      <c r="AZ1564" s="421"/>
      <c r="BA1564" s="421"/>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c r="BY1564" s="115"/>
      <c r="BZ1564" s="115"/>
      <c r="CA1564" s="115"/>
      <c r="CB1564" s="115"/>
      <c r="CC1564" s="115"/>
      <c r="CD1564" s="115"/>
      <c r="CE1564" s="115"/>
      <c r="CF1564" s="115"/>
      <c r="CG1564" s="115"/>
      <c r="CH1564" s="115"/>
      <c r="CI1564" s="115"/>
      <c r="CJ1564" s="115"/>
      <c r="CK1564" s="115"/>
      <c r="CL1564" s="115"/>
      <c r="CM1564" s="115"/>
      <c r="CN1564" s="115"/>
      <c r="CO1564" s="115"/>
      <c r="CP1564" s="115"/>
      <c r="CQ1564" s="115"/>
      <c r="CR1564" s="115"/>
      <c r="CS1564" s="115"/>
      <c r="CT1564" s="115"/>
      <c r="CU1564" s="115"/>
      <c r="CV1564" s="115"/>
      <c r="CW1564" s="115"/>
      <c r="CX1564" s="115"/>
      <c r="CY1564" s="115"/>
      <c r="CZ1564" s="115"/>
      <c r="DA1564" s="115"/>
      <c r="DB1564" s="115"/>
      <c r="DC1564" s="115"/>
      <c r="DD1564" s="115"/>
      <c r="DE1564" s="115"/>
      <c r="DF1564" s="115"/>
      <c r="DG1564" s="115"/>
    </row>
    <row r="1565" spans="1:111" ht="4.5" customHeight="1">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c r="BY1565" s="115"/>
      <c r="BZ1565" s="115"/>
      <c r="CA1565" s="115"/>
      <c r="CB1565" s="115"/>
      <c r="CC1565" s="115"/>
      <c r="CD1565" s="115"/>
      <c r="CE1565" s="115"/>
      <c r="CF1565" s="115"/>
      <c r="CG1565" s="115"/>
      <c r="CH1565" s="115"/>
      <c r="CI1565" s="115"/>
      <c r="CJ1565" s="115"/>
      <c r="CK1565" s="115"/>
      <c r="CL1565" s="115"/>
      <c r="CM1565" s="115"/>
      <c r="CN1565" s="115"/>
      <c r="CO1565" s="115"/>
      <c r="CP1565" s="115"/>
      <c r="CQ1565" s="115"/>
      <c r="CR1565" s="115"/>
      <c r="CS1565" s="115"/>
      <c r="CT1565" s="115"/>
      <c r="CU1565" s="115"/>
      <c r="CV1565" s="115"/>
      <c r="CW1565" s="115"/>
      <c r="CX1565" s="115"/>
      <c r="CY1565" s="115"/>
      <c r="CZ1565" s="115"/>
      <c r="DA1565" s="115"/>
      <c r="DB1565" s="115"/>
      <c r="DC1565" s="115"/>
      <c r="DD1565" s="115"/>
      <c r="DE1565" s="115"/>
      <c r="DF1565" s="115"/>
      <c r="DG1565" s="115"/>
    </row>
    <row r="1566" spans="1:111" ht="9" customHeight="1">
      <c r="C1566" s="416" t="str">
        <f>IF(C1560="","","Elemento de Despesa:")</f>
        <v/>
      </c>
      <c r="D1566" s="416"/>
      <c r="E1566" s="416"/>
      <c r="F1566" s="416"/>
      <c r="G1566" s="416"/>
      <c r="H1566" s="416"/>
      <c r="J1566" s="421"/>
      <c r="K1566" s="421"/>
      <c r="L1566" s="421"/>
      <c r="M1566" s="421"/>
      <c r="N1566" s="421"/>
      <c r="O1566" s="421"/>
      <c r="P1566" s="421"/>
      <c r="Q1566" s="421"/>
      <c r="R1566" s="421"/>
      <c r="S1566" s="421"/>
      <c r="T1566" s="421"/>
      <c r="U1566" s="421"/>
      <c r="V1566" s="421"/>
      <c r="W1566" s="421"/>
      <c r="X1566" s="421"/>
      <c r="Y1566" s="421"/>
      <c r="Z1566" s="421"/>
      <c r="AA1566" s="421"/>
      <c r="AB1566" s="421"/>
      <c r="AC1566" s="421"/>
      <c r="AD1566" s="421"/>
      <c r="AE1566" s="421"/>
      <c r="AF1566" s="421"/>
      <c r="AG1566" s="421"/>
      <c r="AH1566" s="421"/>
      <c r="AI1566" s="421"/>
      <c r="AJ1566" s="421"/>
      <c r="AK1566" s="421"/>
      <c r="AL1566" s="421"/>
      <c r="AM1566" s="421"/>
      <c r="AN1566" s="421"/>
      <c r="AO1566" s="421"/>
      <c r="AP1566" s="421"/>
      <c r="AQ1566" s="421"/>
      <c r="AR1566" s="421"/>
      <c r="AS1566" s="421"/>
      <c r="AT1566" s="421"/>
      <c r="AU1566" s="421"/>
      <c r="AV1566" s="421"/>
      <c r="AW1566" s="421"/>
      <c r="AX1566" s="421"/>
      <c r="AY1566" s="421"/>
      <c r="AZ1566" s="421"/>
      <c r="BA1566" s="421"/>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c r="BY1566" s="115"/>
      <c r="BZ1566" s="115"/>
      <c r="CA1566" s="115"/>
      <c r="CB1566" s="115"/>
      <c r="CC1566" s="115"/>
      <c r="CD1566" s="115"/>
      <c r="CE1566" s="115"/>
      <c r="CF1566" s="115"/>
      <c r="CG1566" s="115"/>
      <c r="CH1566" s="115"/>
      <c r="CI1566" s="115"/>
      <c r="CJ1566" s="115"/>
      <c r="CK1566" s="115"/>
      <c r="CL1566" s="115"/>
      <c r="CM1566" s="115"/>
      <c r="CN1566" s="115"/>
      <c r="CO1566" s="115"/>
      <c r="CP1566" s="115"/>
      <c r="CQ1566" s="115"/>
      <c r="CR1566" s="115"/>
      <c r="CS1566" s="115"/>
      <c r="CT1566" s="115"/>
      <c r="CU1566" s="115"/>
      <c r="CV1566" s="115"/>
      <c r="CW1566" s="115"/>
      <c r="CX1566" s="115"/>
      <c r="CY1566" s="115"/>
      <c r="CZ1566" s="115"/>
      <c r="DA1566" s="115"/>
      <c r="DB1566" s="115"/>
      <c r="DC1566" s="115"/>
      <c r="DD1566" s="115"/>
      <c r="DE1566" s="115"/>
      <c r="DF1566" s="115"/>
      <c r="DG1566" s="115"/>
    </row>
    <row r="1567" spans="1:111" ht="9" customHeight="1">
      <c r="C1567" s="416"/>
      <c r="D1567" s="416"/>
      <c r="E1567" s="416"/>
      <c r="F1567" s="416"/>
      <c r="G1567" s="416"/>
      <c r="H1567" s="416"/>
      <c r="J1567" s="421"/>
      <c r="K1567" s="421"/>
      <c r="L1567" s="421"/>
      <c r="M1567" s="421"/>
      <c r="N1567" s="421"/>
      <c r="O1567" s="421"/>
      <c r="P1567" s="421"/>
      <c r="Q1567" s="421"/>
      <c r="R1567" s="421"/>
      <c r="S1567" s="421"/>
      <c r="T1567" s="421"/>
      <c r="U1567" s="421"/>
      <c r="V1567" s="421"/>
      <c r="W1567" s="421"/>
      <c r="X1567" s="421"/>
      <c r="Y1567" s="421"/>
      <c r="Z1567" s="421"/>
      <c r="AA1567" s="421"/>
      <c r="AB1567" s="421"/>
      <c r="AC1567" s="421"/>
      <c r="AD1567" s="421"/>
      <c r="AE1567" s="421"/>
      <c r="AF1567" s="421"/>
      <c r="AG1567" s="421"/>
      <c r="AH1567" s="421"/>
      <c r="AI1567" s="421"/>
      <c r="AJ1567" s="421"/>
      <c r="AK1567" s="421"/>
      <c r="AL1567" s="421"/>
      <c r="AM1567" s="421"/>
      <c r="AN1567" s="421"/>
      <c r="AO1567" s="421"/>
      <c r="AP1567" s="421"/>
      <c r="AQ1567" s="421"/>
      <c r="AR1567" s="421"/>
      <c r="AS1567" s="421"/>
      <c r="AT1567" s="421"/>
      <c r="AU1567" s="421"/>
      <c r="AV1567" s="421"/>
      <c r="AW1567" s="421"/>
      <c r="AX1567" s="421"/>
      <c r="AY1567" s="421"/>
      <c r="AZ1567" s="421"/>
      <c r="BA1567" s="421"/>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c r="BY1567" s="115"/>
      <c r="BZ1567" s="115"/>
      <c r="CA1567" s="115"/>
      <c r="CB1567" s="115"/>
      <c r="CC1567" s="115"/>
      <c r="CD1567" s="115"/>
      <c r="CE1567" s="115"/>
      <c r="CF1567" s="115"/>
      <c r="CG1567" s="115"/>
      <c r="CH1567" s="115"/>
      <c r="CI1567" s="115"/>
      <c r="CJ1567" s="115"/>
      <c r="CK1567" s="115"/>
      <c r="CL1567" s="115"/>
      <c r="CM1567" s="115"/>
      <c r="CN1567" s="115"/>
      <c r="CO1567" s="115"/>
      <c r="CP1567" s="115"/>
      <c r="CQ1567" s="115"/>
      <c r="CR1567" s="115"/>
      <c r="CS1567" s="115"/>
      <c r="CT1567" s="115"/>
      <c r="CU1567" s="115"/>
      <c r="CV1567" s="115"/>
      <c r="CW1567" s="115"/>
      <c r="CX1567" s="115"/>
      <c r="CY1567" s="115"/>
      <c r="CZ1567" s="115"/>
      <c r="DA1567" s="115"/>
      <c r="DB1567" s="115"/>
      <c r="DC1567" s="115"/>
      <c r="DD1567" s="115"/>
      <c r="DE1567" s="115"/>
      <c r="DF1567" s="115"/>
      <c r="DG1567" s="115"/>
    </row>
    <row r="1568" spans="1:111" ht="9" customHeight="1">
      <c r="C1568" s="416"/>
      <c r="D1568" s="416"/>
      <c r="E1568" s="416"/>
      <c r="F1568" s="416"/>
      <c r="G1568" s="416"/>
      <c r="H1568" s="416"/>
      <c r="J1568" s="421"/>
      <c r="K1568" s="421"/>
      <c r="L1568" s="421"/>
      <c r="M1568" s="421"/>
      <c r="N1568" s="421"/>
      <c r="O1568" s="421"/>
      <c r="P1568" s="421"/>
      <c r="Q1568" s="421"/>
      <c r="R1568" s="421"/>
      <c r="S1568" s="421"/>
      <c r="T1568" s="421"/>
      <c r="U1568" s="421"/>
      <c r="V1568" s="421"/>
      <c r="W1568" s="421"/>
      <c r="X1568" s="421"/>
      <c r="Y1568" s="421"/>
      <c r="Z1568" s="421"/>
      <c r="AA1568" s="421"/>
      <c r="AB1568" s="421"/>
      <c r="AC1568" s="421"/>
      <c r="AD1568" s="421"/>
      <c r="AE1568" s="421"/>
      <c r="AF1568" s="421"/>
      <c r="AG1568" s="421"/>
      <c r="AH1568" s="421"/>
      <c r="AI1568" s="421"/>
      <c r="AJ1568" s="421"/>
      <c r="AK1568" s="421"/>
      <c r="AL1568" s="421"/>
      <c r="AM1568" s="421"/>
      <c r="AN1568" s="421"/>
      <c r="AO1568" s="421"/>
      <c r="AP1568" s="421"/>
      <c r="AQ1568" s="421"/>
      <c r="AR1568" s="421"/>
      <c r="AS1568" s="421"/>
      <c r="AT1568" s="421"/>
      <c r="AU1568" s="421"/>
      <c r="AV1568" s="421"/>
      <c r="AW1568" s="421"/>
      <c r="AX1568" s="421"/>
      <c r="AY1568" s="421"/>
      <c r="AZ1568" s="421"/>
      <c r="BA1568" s="421"/>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c r="BY1568" s="115"/>
      <c r="BZ1568" s="115"/>
      <c r="CA1568" s="115"/>
      <c r="CB1568" s="115"/>
      <c r="CC1568" s="115"/>
      <c r="CD1568" s="115"/>
      <c r="CE1568" s="115"/>
      <c r="CF1568" s="115"/>
      <c r="CG1568" s="115"/>
      <c r="CH1568" s="115"/>
      <c r="CI1568" s="115"/>
      <c r="CJ1568" s="115"/>
      <c r="CK1568" s="115"/>
      <c r="CL1568" s="115"/>
      <c r="CM1568" s="115"/>
      <c r="CN1568" s="115"/>
      <c r="CO1568" s="115"/>
      <c r="CP1568" s="115"/>
      <c r="CQ1568" s="115"/>
      <c r="CR1568" s="115"/>
      <c r="CS1568" s="115"/>
      <c r="CT1568" s="115"/>
      <c r="CU1568" s="115"/>
      <c r="CV1568" s="115"/>
      <c r="CW1568" s="115"/>
      <c r="CX1568" s="115"/>
      <c r="CY1568" s="115"/>
      <c r="CZ1568" s="115"/>
      <c r="DA1568" s="115"/>
      <c r="DB1568" s="115"/>
      <c r="DC1568" s="115"/>
      <c r="DD1568" s="115"/>
      <c r="DE1568" s="115"/>
      <c r="DF1568" s="115"/>
      <c r="DG1568" s="115"/>
    </row>
    <row r="1569" spans="1:111" ht="4.5" customHeight="1">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c r="BY1569" s="115"/>
      <c r="BZ1569" s="115"/>
      <c r="CA1569" s="115"/>
      <c r="CB1569" s="115"/>
      <c r="CC1569" s="115"/>
      <c r="CD1569" s="115"/>
      <c r="CE1569" s="115"/>
      <c r="CF1569" s="115"/>
      <c r="CG1569" s="115"/>
      <c r="CH1569" s="115"/>
      <c r="CI1569" s="115"/>
      <c r="CJ1569" s="115"/>
      <c r="CK1569" s="115"/>
      <c r="CL1569" s="115"/>
      <c r="CM1569" s="115"/>
      <c r="CN1569" s="115"/>
      <c r="CO1569" s="115"/>
      <c r="CP1569" s="115"/>
      <c r="CQ1569" s="115"/>
      <c r="CR1569" s="115"/>
      <c r="CS1569" s="115"/>
      <c r="CT1569" s="115"/>
      <c r="CU1569" s="115"/>
      <c r="CV1569" s="115"/>
      <c r="CW1569" s="115"/>
      <c r="CX1569" s="115"/>
      <c r="CY1569" s="115"/>
      <c r="CZ1569" s="115"/>
      <c r="DA1569" s="115"/>
      <c r="DB1569" s="115"/>
      <c r="DC1569" s="115"/>
      <c r="DD1569" s="115"/>
      <c r="DE1569" s="115"/>
      <c r="DF1569" s="115"/>
      <c r="DG1569" s="115"/>
    </row>
    <row r="1570" spans="1:111" ht="9" customHeight="1">
      <c r="A1570" s="61" t="str">
        <f>CONCATENATE(Q1570,AC1570)</f>
        <v/>
      </c>
      <c r="J1570" s="416" t="str">
        <f>IF(C1560="","","Meta Vinculada:")</f>
        <v/>
      </c>
      <c r="K1570" s="416"/>
      <c r="L1570" s="416"/>
      <c r="M1570" s="416"/>
      <c r="N1570" s="416"/>
      <c r="O1570" s="416"/>
      <c r="Q1570" s="417"/>
      <c r="R1570" s="417"/>
      <c r="S1570" s="417"/>
      <c r="T1570" s="417"/>
      <c r="U1570" s="56"/>
      <c r="V1570" s="416" t="str">
        <f>IF(C1560="","","Etapa Vinculada:")</f>
        <v/>
      </c>
      <c r="W1570" s="416"/>
      <c r="X1570" s="416"/>
      <c r="Y1570" s="416"/>
      <c r="Z1570" s="416"/>
      <c r="AA1570" s="416"/>
      <c r="AC1570" s="417"/>
      <c r="AD1570" s="417"/>
      <c r="AE1570" s="417"/>
      <c r="AF1570" s="417"/>
      <c r="AG1570" s="56"/>
      <c r="AH1570" s="56"/>
      <c r="AI1570" s="56"/>
      <c r="AJ1570" s="56"/>
      <c r="AK1570" s="141"/>
      <c r="AL1570" s="141"/>
      <c r="AM1570" s="141"/>
      <c r="AN1570" s="141"/>
      <c r="AO1570" s="140"/>
      <c r="AP1570" s="140"/>
      <c r="AQ1570" s="140"/>
      <c r="AR1570" s="140"/>
      <c r="AS1570" s="142"/>
      <c r="AT1570" s="142"/>
      <c r="AU1570" s="142"/>
      <c r="AV1570" s="142"/>
      <c r="AW1570" s="140"/>
      <c r="AX1570" s="140"/>
      <c r="AY1570" s="140"/>
      <c r="AZ1570" s="140"/>
      <c r="BA1570" s="140"/>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c r="BY1570" s="115"/>
      <c r="BZ1570" s="115"/>
      <c r="CA1570" s="115"/>
      <c r="CB1570" s="115"/>
      <c r="CC1570" s="115"/>
      <c r="CD1570" s="115"/>
      <c r="CE1570" s="115"/>
      <c r="CF1570" s="115"/>
      <c r="CG1570" s="115"/>
      <c r="CH1570" s="115"/>
      <c r="CI1570" s="115"/>
      <c r="CJ1570" s="115"/>
      <c r="CK1570" s="115"/>
      <c r="CL1570" s="115"/>
      <c r="CM1570" s="115"/>
      <c r="CN1570" s="115"/>
      <c r="CO1570" s="115"/>
      <c r="CP1570" s="115"/>
      <c r="CQ1570" s="115"/>
      <c r="CR1570" s="115"/>
      <c r="CS1570" s="115"/>
      <c r="CT1570" s="115"/>
      <c r="CU1570" s="115"/>
      <c r="CV1570" s="115"/>
      <c r="CW1570" s="115"/>
      <c r="CX1570" s="115"/>
      <c r="CY1570" s="115"/>
      <c r="CZ1570" s="115"/>
      <c r="DA1570" s="115"/>
      <c r="DB1570" s="115"/>
      <c r="DC1570" s="115"/>
      <c r="DD1570" s="115"/>
      <c r="DE1570" s="115"/>
      <c r="DF1570" s="115"/>
      <c r="DG1570" s="115"/>
    </row>
    <row r="1571" spans="1:111" ht="9" customHeight="1">
      <c r="B1571" s="55"/>
      <c r="C1571" s="55"/>
      <c r="D1571" s="56"/>
      <c r="E1571" s="56"/>
      <c r="F1571" s="56"/>
      <c r="G1571" s="56"/>
      <c r="H1571" s="56"/>
      <c r="I1571" s="56"/>
      <c r="J1571" s="416"/>
      <c r="K1571" s="416"/>
      <c r="L1571" s="416"/>
      <c r="M1571" s="416"/>
      <c r="N1571" s="416"/>
      <c r="O1571" s="416"/>
      <c r="Q1571" s="417"/>
      <c r="R1571" s="417"/>
      <c r="S1571" s="417"/>
      <c r="T1571" s="417"/>
      <c r="U1571" s="56"/>
      <c r="V1571" s="416"/>
      <c r="W1571" s="416"/>
      <c r="X1571" s="416"/>
      <c r="Y1571" s="416"/>
      <c r="Z1571" s="416"/>
      <c r="AA1571" s="416"/>
      <c r="AC1571" s="417"/>
      <c r="AD1571" s="417"/>
      <c r="AE1571" s="417"/>
      <c r="AF1571" s="417"/>
      <c r="AG1571" s="56"/>
      <c r="AH1571" s="56"/>
      <c r="AI1571" s="56"/>
      <c r="AJ1571" s="56"/>
      <c r="AK1571" s="141"/>
      <c r="AL1571" s="141"/>
      <c r="AM1571" s="141"/>
      <c r="AN1571" s="141"/>
      <c r="AO1571" s="140"/>
      <c r="AP1571" s="140"/>
      <c r="AQ1571" s="140"/>
      <c r="AR1571" s="140"/>
      <c r="AS1571" s="142"/>
      <c r="AT1571" s="142"/>
      <c r="AU1571" s="142"/>
      <c r="AV1571" s="142"/>
      <c r="AW1571" s="140"/>
      <c r="AX1571" s="140"/>
      <c r="AY1571" s="140"/>
      <c r="AZ1571" s="140"/>
      <c r="BA1571" s="140"/>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c r="BY1571" s="115"/>
      <c r="BZ1571" s="115"/>
      <c r="CA1571" s="115"/>
      <c r="CB1571" s="115"/>
      <c r="CC1571" s="115"/>
      <c r="CD1571" s="115"/>
      <c r="CE1571" s="115"/>
      <c r="CF1571" s="115"/>
      <c r="CG1571" s="115"/>
      <c r="CH1571" s="115"/>
      <c r="CI1571" s="115"/>
      <c r="CJ1571" s="115"/>
      <c r="CK1571" s="115"/>
      <c r="CL1571" s="115"/>
      <c r="CM1571" s="115"/>
      <c r="CN1571" s="115"/>
      <c r="CO1571" s="115"/>
      <c r="CP1571" s="115"/>
      <c r="CQ1571" s="115"/>
      <c r="CR1571" s="115"/>
      <c r="CS1571" s="115"/>
      <c r="CT1571" s="115"/>
      <c r="CU1571" s="115"/>
      <c r="CV1571" s="115"/>
      <c r="CW1571" s="115"/>
      <c r="CX1571" s="115"/>
      <c r="CY1571" s="115"/>
      <c r="CZ1571" s="115"/>
      <c r="DA1571" s="115"/>
      <c r="DB1571" s="115"/>
      <c r="DC1571" s="115"/>
      <c r="DD1571" s="115"/>
      <c r="DE1571" s="115"/>
      <c r="DF1571" s="115"/>
      <c r="DG1571" s="115"/>
    </row>
    <row r="1572" spans="1:111" ht="9" customHeight="1">
      <c r="Q1572" s="417"/>
      <c r="R1572" s="417"/>
      <c r="S1572" s="417"/>
      <c r="T1572" s="417"/>
      <c r="AC1572" s="417"/>
      <c r="AD1572" s="417"/>
      <c r="AE1572" s="417"/>
      <c r="AF1572" s="417"/>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c r="BY1572" s="115"/>
      <c r="BZ1572" s="115"/>
      <c r="CA1572" s="115"/>
      <c r="CB1572" s="115"/>
      <c r="CC1572" s="115"/>
      <c r="CD1572" s="115"/>
      <c r="CE1572" s="115"/>
      <c r="CF1572" s="115"/>
      <c r="CG1572" s="115"/>
      <c r="CH1572" s="115"/>
      <c r="CI1572" s="115"/>
      <c r="CJ1572" s="115"/>
      <c r="CK1572" s="115"/>
      <c r="CL1572" s="115"/>
      <c r="CM1572" s="115"/>
      <c r="CN1572" s="115"/>
      <c r="CO1572" s="115"/>
      <c r="CP1572" s="115"/>
      <c r="CQ1572" s="115"/>
      <c r="CR1572" s="115"/>
      <c r="CS1572" s="115"/>
      <c r="CT1572" s="115"/>
      <c r="CU1572" s="115"/>
      <c r="CV1572" s="115"/>
      <c r="CW1572" s="115"/>
      <c r="CX1572" s="115"/>
      <c r="CY1572" s="115"/>
      <c r="CZ1572" s="115"/>
      <c r="DA1572" s="115"/>
      <c r="DB1572" s="115"/>
      <c r="DC1572" s="115"/>
      <c r="DD1572" s="115"/>
      <c r="DE1572" s="115"/>
      <c r="DF1572" s="115"/>
      <c r="DG1572" s="115"/>
    </row>
    <row r="1573" spans="1:111" ht="4.5" customHeight="1">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c r="BY1573" s="115"/>
      <c r="BZ1573" s="115"/>
      <c r="CA1573" s="115"/>
      <c r="CB1573" s="115"/>
      <c r="CC1573" s="115"/>
      <c r="CD1573" s="115"/>
      <c r="CE1573" s="115"/>
      <c r="CF1573" s="115"/>
      <c r="CG1573" s="115"/>
      <c r="CH1573" s="115"/>
      <c r="CI1573" s="115"/>
      <c r="CJ1573" s="115"/>
      <c r="CK1573" s="115"/>
      <c r="CL1573" s="115"/>
      <c r="CM1573" s="115"/>
      <c r="CN1573" s="115"/>
      <c r="CO1573" s="115"/>
      <c r="CP1573" s="115"/>
      <c r="CQ1573" s="115"/>
      <c r="CR1573" s="115"/>
      <c r="CS1573" s="115"/>
      <c r="CT1573" s="115"/>
      <c r="CU1573" s="115"/>
      <c r="CV1573" s="115"/>
      <c r="CW1573" s="115"/>
      <c r="CX1573" s="115"/>
      <c r="CY1573" s="115"/>
      <c r="CZ1573" s="115"/>
      <c r="DA1573" s="115"/>
      <c r="DB1573" s="115"/>
      <c r="DC1573" s="115"/>
      <c r="DD1573" s="115"/>
      <c r="DE1573" s="115"/>
      <c r="DF1573" s="115"/>
      <c r="DG1573" s="115"/>
    </row>
    <row r="1574" spans="1:111" ht="9" customHeight="1">
      <c r="A1574" s="154"/>
      <c r="B1574" s="154"/>
      <c r="C1574" s="154"/>
      <c r="D1574" s="154"/>
      <c r="E1574" s="154"/>
      <c r="F1574" s="154"/>
      <c r="G1574" s="154"/>
      <c r="H1574" s="154"/>
      <c r="I1574" s="154"/>
      <c r="J1574" s="416" t="str">
        <f>IF(C1560="","","Quantidade:")</f>
        <v/>
      </c>
      <c r="K1574" s="416"/>
      <c r="L1574" s="416"/>
      <c r="M1574" s="416"/>
      <c r="N1574" s="416"/>
      <c r="O1574" s="416"/>
      <c r="P1574" s="154"/>
      <c r="Q1574" s="417"/>
      <c r="R1574" s="417"/>
      <c r="S1574" s="417"/>
      <c r="T1574" s="417"/>
      <c r="U1574" s="154"/>
      <c r="V1574" s="416" t="str">
        <f>IF(C1560="","","Unidade:")</f>
        <v/>
      </c>
      <c r="W1574" s="416"/>
      <c r="X1574" s="416"/>
      <c r="Y1574" s="416"/>
      <c r="Z1574" s="416"/>
      <c r="AA1574" s="416"/>
      <c r="AB1574" s="154"/>
      <c r="AC1574" s="418"/>
      <c r="AD1574" s="418"/>
      <c r="AE1574" s="418"/>
      <c r="AF1574" s="418"/>
      <c r="AG1574" s="418"/>
      <c r="AH1574" s="418"/>
      <c r="AI1574" s="418"/>
      <c r="AJ1574" s="418"/>
      <c r="AK1574" s="418"/>
      <c r="AL1574" s="418"/>
      <c r="AM1574" s="418"/>
      <c r="AN1574" s="418"/>
      <c r="AO1574" s="418"/>
      <c r="AP1574" s="418"/>
      <c r="AQ1574" s="418"/>
      <c r="AR1574" s="418"/>
      <c r="AS1574" s="418"/>
      <c r="AT1574" s="418"/>
      <c r="AU1574" s="418"/>
      <c r="AV1574" s="418"/>
      <c r="AW1574" s="418"/>
      <c r="AX1574" s="418"/>
      <c r="AY1574" s="418"/>
      <c r="AZ1574" s="418"/>
      <c r="BA1574" s="418"/>
      <c r="BB1574" s="154"/>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c r="BY1574" s="115"/>
      <c r="BZ1574" s="115"/>
      <c r="CA1574" s="115"/>
      <c r="CB1574" s="115"/>
      <c r="CC1574" s="115"/>
      <c r="CD1574" s="115"/>
      <c r="CE1574" s="115"/>
      <c r="CF1574" s="115"/>
      <c r="CG1574" s="115"/>
      <c r="CH1574" s="115"/>
      <c r="CI1574" s="115"/>
      <c r="CJ1574" s="115"/>
      <c r="CK1574" s="115"/>
      <c r="CL1574" s="115"/>
      <c r="CM1574" s="115"/>
      <c r="CN1574" s="115"/>
      <c r="CO1574" s="115"/>
      <c r="CP1574" s="115"/>
      <c r="CQ1574" s="115"/>
      <c r="CR1574" s="115"/>
      <c r="CS1574" s="115"/>
      <c r="CT1574" s="115"/>
      <c r="CU1574" s="115"/>
      <c r="CV1574" s="115"/>
      <c r="CW1574" s="115"/>
      <c r="CX1574" s="115"/>
      <c r="CY1574" s="115"/>
      <c r="CZ1574" s="115"/>
      <c r="DA1574" s="115"/>
      <c r="DB1574" s="115"/>
      <c r="DC1574" s="115"/>
      <c r="DD1574" s="115"/>
      <c r="DE1574" s="115"/>
      <c r="DF1574" s="115"/>
      <c r="DG1574" s="115"/>
    </row>
    <row r="1575" spans="1:111" ht="9" customHeight="1">
      <c r="A1575" s="154"/>
      <c r="B1575" s="154"/>
      <c r="C1575" s="154"/>
      <c r="D1575" s="154"/>
      <c r="E1575" s="154"/>
      <c r="F1575" s="154"/>
      <c r="G1575" s="154"/>
      <c r="H1575" s="154"/>
      <c r="I1575" s="154"/>
      <c r="J1575" s="416"/>
      <c r="K1575" s="416"/>
      <c r="L1575" s="416"/>
      <c r="M1575" s="416"/>
      <c r="N1575" s="416"/>
      <c r="O1575" s="416"/>
      <c r="P1575" s="154"/>
      <c r="Q1575" s="417"/>
      <c r="R1575" s="417"/>
      <c r="S1575" s="417"/>
      <c r="T1575" s="417"/>
      <c r="U1575" s="154"/>
      <c r="V1575" s="416"/>
      <c r="W1575" s="416"/>
      <c r="X1575" s="416"/>
      <c r="Y1575" s="416"/>
      <c r="Z1575" s="416"/>
      <c r="AA1575" s="416"/>
      <c r="AB1575" s="154"/>
      <c r="AC1575" s="418"/>
      <c r="AD1575" s="418"/>
      <c r="AE1575" s="418"/>
      <c r="AF1575" s="418"/>
      <c r="AG1575" s="418"/>
      <c r="AH1575" s="418"/>
      <c r="AI1575" s="418"/>
      <c r="AJ1575" s="418"/>
      <c r="AK1575" s="418"/>
      <c r="AL1575" s="418"/>
      <c r="AM1575" s="418"/>
      <c r="AN1575" s="418"/>
      <c r="AO1575" s="418"/>
      <c r="AP1575" s="418"/>
      <c r="AQ1575" s="418"/>
      <c r="AR1575" s="418"/>
      <c r="AS1575" s="418"/>
      <c r="AT1575" s="418"/>
      <c r="AU1575" s="418"/>
      <c r="AV1575" s="418"/>
      <c r="AW1575" s="418"/>
      <c r="AX1575" s="418"/>
      <c r="AY1575" s="418"/>
      <c r="AZ1575" s="418"/>
      <c r="BA1575" s="418"/>
      <c r="BB1575" s="154"/>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c r="BY1575" s="115"/>
      <c r="BZ1575" s="115"/>
      <c r="CA1575" s="115"/>
      <c r="CB1575" s="115"/>
      <c r="CC1575" s="115"/>
      <c r="CD1575" s="115"/>
      <c r="CE1575" s="115"/>
      <c r="CF1575" s="115"/>
      <c r="CG1575" s="115"/>
      <c r="CH1575" s="115"/>
      <c r="CI1575" s="115"/>
      <c r="CJ1575" s="115"/>
      <c r="CK1575" s="115"/>
      <c r="CL1575" s="115"/>
      <c r="CM1575" s="115"/>
      <c r="CN1575" s="115"/>
      <c r="CO1575" s="115"/>
      <c r="CP1575" s="115"/>
      <c r="CQ1575" s="115"/>
      <c r="CR1575" s="115"/>
      <c r="CS1575" s="115"/>
      <c r="CT1575" s="115"/>
      <c r="CU1575" s="115"/>
      <c r="CV1575" s="115"/>
      <c r="CW1575" s="115"/>
      <c r="CX1575" s="115"/>
      <c r="CY1575" s="115"/>
      <c r="CZ1575" s="115"/>
      <c r="DA1575" s="115"/>
      <c r="DB1575" s="115"/>
      <c r="DC1575" s="115"/>
      <c r="DD1575" s="115"/>
      <c r="DE1575" s="115"/>
      <c r="DF1575" s="115"/>
      <c r="DG1575" s="115"/>
    </row>
    <row r="1576" spans="1:111" ht="9" customHeight="1">
      <c r="A1576" s="154"/>
      <c r="B1576" s="154"/>
      <c r="C1576" s="154"/>
      <c r="D1576" s="154"/>
      <c r="E1576" s="154"/>
      <c r="F1576" s="154"/>
      <c r="G1576" s="154"/>
      <c r="H1576" s="154"/>
      <c r="I1576" s="154"/>
      <c r="J1576" s="154"/>
      <c r="K1576" s="154"/>
      <c r="L1576" s="154"/>
      <c r="M1576" s="154"/>
      <c r="N1576" s="154"/>
      <c r="O1576" s="154"/>
      <c r="P1576" s="154"/>
      <c r="Q1576" s="417"/>
      <c r="R1576" s="417"/>
      <c r="S1576" s="417"/>
      <c r="T1576" s="417"/>
      <c r="U1576" s="154"/>
      <c r="V1576" s="154"/>
      <c r="W1576" s="154"/>
      <c r="X1576" s="154"/>
      <c r="Y1576" s="154"/>
      <c r="Z1576" s="154"/>
      <c r="AA1576" s="154"/>
      <c r="AB1576" s="154"/>
      <c r="AC1576" s="418"/>
      <c r="AD1576" s="418"/>
      <c r="AE1576" s="418"/>
      <c r="AF1576" s="418"/>
      <c r="AG1576" s="418"/>
      <c r="AH1576" s="418"/>
      <c r="AI1576" s="418"/>
      <c r="AJ1576" s="418"/>
      <c r="AK1576" s="418"/>
      <c r="AL1576" s="418"/>
      <c r="AM1576" s="418"/>
      <c r="AN1576" s="418"/>
      <c r="AO1576" s="418"/>
      <c r="AP1576" s="418"/>
      <c r="AQ1576" s="418"/>
      <c r="AR1576" s="418"/>
      <c r="AS1576" s="418"/>
      <c r="AT1576" s="418"/>
      <c r="AU1576" s="418"/>
      <c r="AV1576" s="418"/>
      <c r="AW1576" s="418"/>
      <c r="AX1576" s="418"/>
      <c r="AY1576" s="418"/>
      <c r="AZ1576" s="418"/>
      <c r="BA1576" s="418"/>
      <c r="BB1576" s="154"/>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c r="BY1576" s="115"/>
      <c r="BZ1576" s="115"/>
      <c r="CA1576" s="115"/>
      <c r="CB1576" s="115"/>
      <c r="CC1576" s="115"/>
      <c r="CD1576" s="115"/>
      <c r="CE1576" s="115"/>
      <c r="CF1576" s="115"/>
      <c r="CG1576" s="115"/>
      <c r="CH1576" s="115"/>
      <c r="CI1576" s="115"/>
      <c r="CJ1576" s="115"/>
      <c r="CK1576" s="115"/>
      <c r="CL1576" s="115"/>
      <c r="CM1576" s="115"/>
      <c r="CN1576" s="115"/>
      <c r="CO1576" s="115"/>
      <c r="CP1576" s="115"/>
      <c r="CQ1576" s="115"/>
      <c r="CR1576" s="115"/>
      <c r="CS1576" s="115"/>
      <c r="CT1576" s="115"/>
      <c r="CU1576" s="115"/>
      <c r="CV1576" s="115"/>
      <c r="CW1576" s="115"/>
      <c r="CX1576" s="115"/>
      <c r="CY1576" s="115"/>
      <c r="CZ1576" s="115"/>
      <c r="DA1576" s="115"/>
      <c r="DB1576" s="115"/>
      <c r="DC1576" s="115"/>
      <c r="DD1576" s="115"/>
      <c r="DE1576" s="115"/>
      <c r="DF1576" s="115"/>
      <c r="DG1576" s="115"/>
    </row>
    <row r="1577" spans="1:111" ht="4.5" customHeight="1">
      <c r="A1577" s="154"/>
      <c r="B1577" s="154"/>
      <c r="C1577" s="154"/>
      <c r="D1577" s="154"/>
      <c r="E1577" s="154"/>
      <c r="F1577" s="154"/>
      <c r="G1577" s="154"/>
      <c r="H1577" s="154"/>
      <c r="I1577" s="154"/>
      <c r="J1577" s="154"/>
      <c r="K1577" s="154"/>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c r="BY1577" s="115"/>
      <c r="BZ1577" s="115"/>
      <c r="CA1577" s="115"/>
      <c r="CB1577" s="115"/>
      <c r="CC1577" s="115"/>
      <c r="CD1577" s="115"/>
      <c r="CE1577" s="115"/>
      <c r="CF1577" s="115"/>
      <c r="CG1577" s="115"/>
      <c r="CH1577" s="115"/>
      <c r="CI1577" s="115"/>
      <c r="CJ1577" s="115"/>
      <c r="CK1577" s="115"/>
      <c r="CL1577" s="115"/>
      <c r="CM1577" s="115"/>
      <c r="CN1577" s="115"/>
      <c r="CO1577" s="115"/>
      <c r="CP1577" s="115"/>
      <c r="CQ1577" s="115"/>
      <c r="CR1577" s="115"/>
      <c r="CS1577" s="115"/>
      <c r="CT1577" s="115"/>
      <c r="CU1577" s="115"/>
      <c r="CV1577" s="115"/>
      <c r="CW1577" s="115"/>
      <c r="CX1577" s="115"/>
      <c r="CY1577" s="115"/>
      <c r="CZ1577" s="115"/>
      <c r="DA1577" s="115"/>
      <c r="DB1577" s="115"/>
      <c r="DC1577" s="115"/>
      <c r="DD1577" s="115"/>
      <c r="DE1577" s="115"/>
      <c r="DF1577" s="115"/>
      <c r="DG1577" s="115"/>
    </row>
    <row r="1578" spans="1:111" ht="9" customHeight="1">
      <c r="A1578" s="154"/>
      <c r="B1578" s="154"/>
      <c r="C1578" s="154"/>
      <c r="D1578" s="154"/>
      <c r="E1578" s="154"/>
      <c r="F1578" s="154"/>
      <c r="G1578" s="154"/>
      <c r="H1578" s="154"/>
      <c r="I1578" s="154"/>
      <c r="J1578" s="416" t="str">
        <f>IF(C1560="","","Valor Unitário (R$):")</f>
        <v/>
      </c>
      <c r="K1578" s="416"/>
      <c r="L1578" s="416"/>
      <c r="M1578" s="416"/>
      <c r="N1578" s="416"/>
      <c r="O1578" s="416"/>
      <c r="P1578" s="154"/>
      <c r="Q1578" s="419"/>
      <c r="R1578" s="419"/>
      <c r="S1578" s="419"/>
      <c r="T1578" s="419"/>
      <c r="U1578" s="419"/>
      <c r="V1578" s="419"/>
      <c r="W1578" s="419"/>
      <c r="X1578" s="419"/>
      <c r="Y1578" s="154"/>
      <c r="Z1578" s="416" t="str">
        <f>IF(C1560="","",IF(J1566="52 Equipamentos e Material Permanente","Tempo de Uso:",""))</f>
        <v/>
      </c>
      <c r="AA1578" s="416"/>
      <c r="AB1578" s="416"/>
      <c r="AC1578" s="416"/>
      <c r="AD1578" s="416"/>
      <c r="AE1578" s="416"/>
      <c r="AF1578" s="154"/>
      <c r="AG1578" s="420"/>
      <c r="AH1578" s="420"/>
      <c r="AI1578" s="420"/>
      <c r="AJ1578" s="420"/>
      <c r="AK1578" s="420"/>
      <c r="AL1578" s="420"/>
      <c r="AM1578" s="420"/>
      <c r="AN1578" s="420"/>
      <c r="AO1578" s="420"/>
      <c r="AP1578" s="420"/>
      <c r="AQ1578" s="420"/>
      <c r="AR1578" s="420"/>
      <c r="AS1578" s="420"/>
      <c r="AT1578" s="420"/>
      <c r="AU1578" s="420"/>
      <c r="AV1578" s="420"/>
      <c r="AW1578" s="420"/>
      <c r="AX1578" s="420"/>
      <c r="AY1578" s="420"/>
      <c r="AZ1578" s="420"/>
      <c r="BA1578" s="420"/>
      <c r="BB1578" s="154"/>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c r="BY1578" s="115"/>
      <c r="BZ1578" s="115"/>
      <c r="CA1578" s="115"/>
      <c r="CB1578" s="115"/>
      <c r="CC1578" s="115"/>
      <c r="CD1578" s="115"/>
      <c r="CE1578" s="115"/>
      <c r="CF1578" s="115"/>
      <c r="CG1578" s="115"/>
      <c r="CH1578" s="115"/>
      <c r="CI1578" s="115"/>
      <c r="CJ1578" s="115"/>
      <c r="CK1578" s="115"/>
      <c r="CL1578" s="115"/>
      <c r="CM1578" s="115"/>
      <c r="CN1578" s="115"/>
      <c r="CO1578" s="115"/>
      <c r="CP1578" s="115"/>
      <c r="CQ1578" s="115"/>
      <c r="CR1578" s="115"/>
      <c r="CS1578" s="115"/>
      <c r="CT1578" s="115"/>
      <c r="CU1578" s="115"/>
      <c r="CV1578" s="115"/>
      <c r="CW1578" s="115"/>
      <c r="CX1578" s="115"/>
      <c r="CY1578" s="115"/>
      <c r="CZ1578" s="115"/>
      <c r="DA1578" s="115"/>
      <c r="DB1578" s="115"/>
      <c r="DC1578" s="115"/>
      <c r="DD1578" s="115"/>
      <c r="DE1578" s="115"/>
      <c r="DF1578" s="115"/>
      <c r="DG1578" s="115"/>
    </row>
    <row r="1579" spans="1:111" ht="9" customHeight="1">
      <c r="A1579" s="154"/>
      <c r="B1579" s="154"/>
      <c r="C1579" s="154"/>
      <c r="D1579" s="154"/>
      <c r="E1579" s="154"/>
      <c r="F1579" s="154"/>
      <c r="G1579" s="154"/>
      <c r="H1579" s="154"/>
      <c r="I1579" s="154"/>
      <c r="J1579" s="416"/>
      <c r="K1579" s="416"/>
      <c r="L1579" s="416"/>
      <c r="M1579" s="416"/>
      <c r="N1579" s="416"/>
      <c r="O1579" s="416"/>
      <c r="P1579" s="154"/>
      <c r="Q1579" s="419"/>
      <c r="R1579" s="419"/>
      <c r="S1579" s="419"/>
      <c r="T1579" s="419"/>
      <c r="U1579" s="419"/>
      <c r="V1579" s="419"/>
      <c r="W1579" s="419"/>
      <c r="X1579" s="419"/>
      <c r="Y1579" s="154"/>
      <c r="Z1579" s="416"/>
      <c r="AA1579" s="416"/>
      <c r="AB1579" s="416"/>
      <c r="AC1579" s="416"/>
      <c r="AD1579" s="416"/>
      <c r="AE1579" s="416"/>
      <c r="AF1579" s="154"/>
      <c r="AG1579" s="420"/>
      <c r="AH1579" s="420"/>
      <c r="AI1579" s="420"/>
      <c r="AJ1579" s="420"/>
      <c r="AK1579" s="420"/>
      <c r="AL1579" s="420"/>
      <c r="AM1579" s="420"/>
      <c r="AN1579" s="420"/>
      <c r="AO1579" s="420"/>
      <c r="AP1579" s="420"/>
      <c r="AQ1579" s="420"/>
      <c r="AR1579" s="420"/>
      <c r="AS1579" s="420"/>
      <c r="AT1579" s="420"/>
      <c r="AU1579" s="420"/>
      <c r="AV1579" s="420"/>
      <c r="AW1579" s="420"/>
      <c r="AX1579" s="420"/>
      <c r="AY1579" s="420"/>
      <c r="AZ1579" s="420"/>
      <c r="BA1579" s="420"/>
      <c r="BB1579" s="154"/>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c r="BY1579" s="115"/>
      <c r="BZ1579" s="115"/>
      <c r="CA1579" s="115"/>
      <c r="CB1579" s="115"/>
      <c r="CC1579" s="115"/>
      <c r="CD1579" s="115"/>
      <c r="CE1579" s="115"/>
      <c r="CF1579" s="115"/>
      <c r="CG1579" s="115"/>
      <c r="CH1579" s="115"/>
      <c r="CI1579" s="115"/>
      <c r="CJ1579" s="115"/>
      <c r="CK1579" s="115"/>
      <c r="CL1579" s="115"/>
      <c r="CM1579" s="115"/>
      <c r="CN1579" s="115"/>
      <c r="CO1579" s="115"/>
      <c r="CP1579" s="115"/>
      <c r="CQ1579" s="115"/>
      <c r="CR1579" s="115"/>
      <c r="CS1579" s="115"/>
      <c r="CT1579" s="115"/>
      <c r="CU1579" s="115"/>
      <c r="CV1579" s="115"/>
      <c r="CW1579" s="115"/>
      <c r="CX1579" s="115"/>
      <c r="CY1579" s="115"/>
      <c r="CZ1579" s="115"/>
      <c r="DA1579" s="115"/>
      <c r="DB1579" s="115"/>
      <c r="DC1579" s="115"/>
      <c r="DD1579" s="115"/>
      <c r="DE1579" s="115"/>
      <c r="DF1579" s="115"/>
      <c r="DG1579" s="115"/>
    </row>
    <row r="1580" spans="1:111" ht="9" customHeight="1">
      <c r="A1580" s="154"/>
      <c r="B1580" s="154"/>
      <c r="C1580" s="154"/>
      <c r="D1580" s="154"/>
      <c r="E1580" s="154"/>
      <c r="F1580" s="154"/>
      <c r="G1580" s="154"/>
      <c r="H1580" s="154"/>
      <c r="I1580" s="154"/>
      <c r="J1580" s="154"/>
      <c r="K1580" s="154"/>
      <c r="L1580" s="154"/>
      <c r="M1580" s="154"/>
      <c r="N1580" s="154"/>
      <c r="O1580" s="154"/>
      <c r="P1580" s="154"/>
      <c r="Q1580" s="419"/>
      <c r="R1580" s="419"/>
      <c r="S1580" s="419"/>
      <c r="T1580" s="419"/>
      <c r="U1580" s="419"/>
      <c r="V1580" s="419"/>
      <c r="W1580" s="419"/>
      <c r="X1580" s="419"/>
      <c r="Y1580" s="154"/>
      <c r="Z1580" s="154"/>
      <c r="AA1580" s="154"/>
      <c r="AB1580" s="154"/>
      <c r="AC1580" s="154"/>
      <c r="AD1580" s="154"/>
      <c r="AE1580" s="154"/>
      <c r="AF1580" s="154"/>
      <c r="AG1580" s="420"/>
      <c r="AH1580" s="420"/>
      <c r="AI1580" s="420"/>
      <c r="AJ1580" s="420"/>
      <c r="AK1580" s="420"/>
      <c r="AL1580" s="420"/>
      <c r="AM1580" s="420"/>
      <c r="AN1580" s="420"/>
      <c r="AO1580" s="420"/>
      <c r="AP1580" s="420"/>
      <c r="AQ1580" s="420"/>
      <c r="AR1580" s="420"/>
      <c r="AS1580" s="420"/>
      <c r="AT1580" s="420"/>
      <c r="AU1580" s="420"/>
      <c r="AV1580" s="420"/>
      <c r="AW1580" s="420"/>
      <c r="AX1580" s="420"/>
      <c r="AY1580" s="420"/>
      <c r="AZ1580" s="420"/>
      <c r="BA1580" s="420"/>
      <c r="BB1580" s="154"/>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c r="BY1580" s="115"/>
      <c r="BZ1580" s="115"/>
      <c r="CA1580" s="115"/>
      <c r="CB1580" s="115"/>
      <c r="CC1580" s="115"/>
      <c r="CD1580" s="115"/>
      <c r="CE1580" s="115"/>
      <c r="CF1580" s="115"/>
      <c r="CG1580" s="115"/>
      <c r="CH1580" s="115"/>
      <c r="CI1580" s="115"/>
      <c r="CJ1580" s="115"/>
      <c r="CK1580" s="115"/>
      <c r="CL1580" s="115"/>
      <c r="CM1580" s="115"/>
      <c r="CN1580" s="115"/>
      <c r="CO1580" s="115"/>
      <c r="CP1580" s="115"/>
      <c r="CQ1580" s="115"/>
      <c r="CR1580" s="115"/>
      <c r="CS1580" s="115"/>
      <c r="CT1580" s="115"/>
      <c r="CU1580" s="115"/>
      <c r="CV1580" s="115"/>
      <c r="CW1580" s="115"/>
      <c r="CX1580" s="115"/>
      <c r="CY1580" s="115"/>
      <c r="CZ1580" s="115"/>
      <c r="DA1580" s="115"/>
      <c r="DB1580" s="115"/>
      <c r="DC1580" s="115"/>
      <c r="DD1580" s="115"/>
      <c r="DE1580" s="115"/>
      <c r="DF1580" s="115"/>
      <c r="DG1580" s="115"/>
    </row>
    <row r="1581" spans="1:111" ht="4.5" customHeight="1">
      <c r="A1581" s="154"/>
      <c r="B1581" s="154"/>
      <c r="C1581" s="154"/>
      <c r="D1581" s="154"/>
      <c r="E1581" s="154"/>
      <c r="F1581" s="154"/>
      <c r="G1581" s="154"/>
      <c r="H1581" s="154"/>
      <c r="I1581" s="154"/>
      <c r="J1581" s="154"/>
      <c r="K1581" s="154"/>
      <c r="L1581" s="154"/>
      <c r="M1581" s="154"/>
      <c r="N1581" s="154"/>
      <c r="O1581" s="154"/>
      <c r="P1581" s="154"/>
      <c r="Q1581" s="154"/>
      <c r="R1581" s="154"/>
      <c r="S1581" s="154"/>
      <c r="T1581" s="154"/>
      <c r="U1581" s="154"/>
      <c r="V1581" s="154"/>
      <c r="W1581" s="154"/>
      <c r="X1581" s="154"/>
      <c r="Y1581" s="154"/>
      <c r="Z1581" s="154"/>
      <c r="AA1581" s="154"/>
      <c r="AB1581" s="154"/>
      <c r="AC1581" s="154"/>
      <c r="AD1581" s="154"/>
      <c r="AE1581" s="154"/>
      <c r="AF1581" s="154"/>
      <c r="AG1581" s="154"/>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c r="BY1581" s="115"/>
      <c r="BZ1581" s="115"/>
      <c r="CA1581" s="115"/>
      <c r="CB1581" s="115"/>
      <c r="CC1581" s="115"/>
      <c r="CD1581" s="115"/>
      <c r="CE1581" s="115"/>
      <c r="CF1581" s="115"/>
      <c r="CG1581" s="115"/>
      <c r="CH1581" s="115"/>
      <c r="CI1581" s="115"/>
      <c r="CJ1581" s="115"/>
      <c r="CK1581" s="115"/>
      <c r="CL1581" s="115"/>
      <c r="CM1581" s="115"/>
      <c r="CN1581" s="115"/>
      <c r="CO1581" s="115"/>
      <c r="CP1581" s="115"/>
      <c r="CQ1581" s="115"/>
      <c r="CR1581" s="115"/>
      <c r="CS1581" s="115"/>
      <c r="CT1581" s="115"/>
      <c r="CU1581" s="115"/>
      <c r="CV1581" s="115"/>
      <c r="CW1581" s="115"/>
      <c r="CX1581" s="115"/>
      <c r="CY1581" s="115"/>
      <c r="CZ1581" s="115"/>
      <c r="DA1581" s="115"/>
      <c r="DB1581" s="115"/>
      <c r="DC1581" s="115"/>
      <c r="DD1581" s="115"/>
      <c r="DE1581" s="115"/>
      <c r="DF1581" s="115"/>
      <c r="DG1581" s="115"/>
    </row>
    <row r="1582" spans="1:111" ht="9" customHeight="1">
      <c r="A1582" s="154"/>
      <c r="B1582" s="154"/>
      <c r="C1582" s="154"/>
      <c r="D1582" s="154"/>
      <c r="E1582" s="154"/>
      <c r="F1582" s="154"/>
      <c r="G1582" s="154"/>
      <c r="H1582" s="154"/>
      <c r="I1582" s="154"/>
      <c r="J1582" s="416" t="str">
        <f>IF(C1560="","","Valor Total (R$):")</f>
        <v/>
      </c>
      <c r="K1582" s="416"/>
      <c r="L1582" s="416"/>
      <c r="M1582" s="416"/>
      <c r="N1582" s="416"/>
      <c r="O1582" s="416"/>
      <c r="P1582" s="154"/>
      <c r="Q1582" s="419" t="str">
        <f>IF(Q1578="","",Q1574*Q1578)</f>
        <v/>
      </c>
      <c r="R1582" s="419"/>
      <c r="S1582" s="419"/>
      <c r="T1582" s="419"/>
      <c r="U1582" s="419"/>
      <c r="V1582" s="419"/>
      <c r="W1582" s="419"/>
      <c r="X1582" s="419"/>
      <c r="Y1582" s="154"/>
      <c r="Z1582" s="416" t="str">
        <f>IF(C1560="","",IF(J1566="52 Equipamentos e Material Permanente","Justificativa e Utilização:",""))</f>
        <v/>
      </c>
      <c r="AA1582" s="416"/>
      <c r="AB1582" s="416"/>
      <c r="AC1582" s="416"/>
      <c r="AD1582" s="416"/>
      <c r="AE1582" s="416"/>
      <c r="AF1582" s="154"/>
      <c r="AG1582" s="420"/>
      <c r="AH1582" s="420"/>
      <c r="AI1582" s="420"/>
      <c r="AJ1582" s="420"/>
      <c r="AK1582" s="420"/>
      <c r="AL1582" s="420"/>
      <c r="AM1582" s="420"/>
      <c r="AN1582" s="420"/>
      <c r="AO1582" s="420"/>
      <c r="AP1582" s="420"/>
      <c r="AQ1582" s="420"/>
      <c r="AR1582" s="420"/>
      <c r="AS1582" s="420"/>
      <c r="AT1582" s="420"/>
      <c r="AU1582" s="420"/>
      <c r="AV1582" s="420"/>
      <c r="AW1582" s="420"/>
      <c r="AX1582" s="420"/>
      <c r="AY1582" s="420"/>
      <c r="AZ1582" s="420"/>
      <c r="BA1582" s="420"/>
      <c r="BB1582" s="154"/>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c r="BY1582" s="115"/>
      <c r="BZ1582" s="115"/>
      <c r="CA1582" s="115"/>
      <c r="CB1582" s="115"/>
      <c r="CC1582" s="115"/>
      <c r="CD1582" s="115"/>
      <c r="CE1582" s="115"/>
      <c r="CF1582" s="115"/>
      <c r="CG1582" s="115"/>
      <c r="CH1582" s="115"/>
      <c r="CI1582" s="115"/>
      <c r="CJ1582" s="115"/>
      <c r="CK1582" s="115"/>
      <c r="CL1582" s="115"/>
      <c r="CM1582" s="115"/>
      <c r="CN1582" s="115"/>
      <c r="CO1582" s="115"/>
      <c r="CP1582" s="115"/>
      <c r="CQ1582" s="115"/>
      <c r="CR1582" s="115"/>
      <c r="CS1582" s="115"/>
      <c r="CT1582" s="115"/>
      <c r="CU1582" s="115"/>
      <c r="CV1582" s="115"/>
      <c r="CW1582" s="115"/>
      <c r="CX1582" s="115"/>
      <c r="CY1582" s="115"/>
      <c r="CZ1582" s="115"/>
      <c r="DA1582" s="115"/>
      <c r="DB1582" s="115"/>
      <c r="DC1582" s="115"/>
      <c r="DD1582" s="115"/>
      <c r="DE1582" s="115"/>
      <c r="DF1582" s="115"/>
      <c r="DG1582" s="115"/>
    </row>
    <row r="1583" spans="1:111" ht="9" customHeight="1">
      <c r="A1583" s="154"/>
      <c r="B1583" s="154"/>
      <c r="C1583" s="154"/>
      <c r="D1583" s="154"/>
      <c r="E1583" s="154"/>
      <c r="F1583" s="154"/>
      <c r="G1583" s="154"/>
      <c r="H1583" s="154"/>
      <c r="I1583" s="154"/>
      <c r="J1583" s="416"/>
      <c r="K1583" s="416"/>
      <c r="L1583" s="416"/>
      <c r="M1583" s="416"/>
      <c r="N1583" s="416"/>
      <c r="O1583" s="416"/>
      <c r="P1583" s="154"/>
      <c r="Q1583" s="419"/>
      <c r="R1583" s="419"/>
      <c r="S1583" s="419"/>
      <c r="T1583" s="419"/>
      <c r="U1583" s="419"/>
      <c r="V1583" s="419"/>
      <c r="W1583" s="419"/>
      <c r="X1583" s="419"/>
      <c r="Y1583" s="154"/>
      <c r="Z1583" s="416"/>
      <c r="AA1583" s="416"/>
      <c r="AB1583" s="416"/>
      <c r="AC1583" s="416"/>
      <c r="AD1583" s="416"/>
      <c r="AE1583" s="416"/>
      <c r="AF1583" s="154"/>
      <c r="AG1583" s="420"/>
      <c r="AH1583" s="420"/>
      <c r="AI1583" s="420"/>
      <c r="AJ1583" s="420"/>
      <c r="AK1583" s="420"/>
      <c r="AL1583" s="420"/>
      <c r="AM1583" s="420"/>
      <c r="AN1583" s="420"/>
      <c r="AO1583" s="420"/>
      <c r="AP1583" s="420"/>
      <c r="AQ1583" s="420"/>
      <c r="AR1583" s="420"/>
      <c r="AS1583" s="420"/>
      <c r="AT1583" s="420"/>
      <c r="AU1583" s="420"/>
      <c r="AV1583" s="420"/>
      <c r="AW1583" s="420"/>
      <c r="AX1583" s="420"/>
      <c r="AY1583" s="420"/>
      <c r="AZ1583" s="420"/>
      <c r="BA1583" s="420"/>
      <c r="BB1583" s="154"/>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c r="BY1583" s="115"/>
      <c r="BZ1583" s="115"/>
      <c r="CA1583" s="115"/>
      <c r="CB1583" s="115"/>
      <c r="CC1583" s="115"/>
      <c r="CD1583" s="115"/>
      <c r="CE1583" s="115"/>
      <c r="CF1583" s="115"/>
      <c r="CG1583" s="115"/>
      <c r="CH1583" s="115"/>
      <c r="CI1583" s="115"/>
      <c r="CJ1583" s="115"/>
      <c r="CK1583" s="115"/>
      <c r="CL1583" s="115"/>
      <c r="CM1583" s="115"/>
      <c r="CN1583" s="115"/>
      <c r="CO1583" s="115"/>
      <c r="CP1583" s="115"/>
      <c r="CQ1583" s="115"/>
      <c r="CR1583" s="115"/>
      <c r="CS1583" s="115"/>
      <c r="CT1583" s="115"/>
      <c r="CU1583" s="115"/>
      <c r="CV1583" s="115"/>
      <c r="CW1583" s="115"/>
      <c r="CX1583" s="115"/>
      <c r="CY1583" s="115"/>
      <c r="CZ1583" s="115"/>
      <c r="DA1583" s="115"/>
      <c r="DB1583" s="115"/>
      <c r="DC1583" s="115"/>
      <c r="DD1583" s="115"/>
      <c r="DE1583" s="115"/>
      <c r="DF1583" s="115"/>
      <c r="DG1583" s="115"/>
    </row>
    <row r="1584" spans="1:111" ht="9" customHeight="1">
      <c r="A1584" s="154"/>
      <c r="B1584" s="154"/>
      <c r="C1584" s="154"/>
      <c r="D1584" s="154"/>
      <c r="E1584" s="154"/>
      <c r="F1584" s="154"/>
      <c r="G1584" s="154"/>
      <c r="H1584" s="154"/>
      <c r="I1584" s="154"/>
      <c r="J1584" s="154"/>
      <c r="K1584" s="154"/>
      <c r="L1584" s="154"/>
      <c r="M1584" s="154"/>
      <c r="N1584" s="154"/>
      <c r="O1584" s="154"/>
      <c r="P1584" s="154"/>
      <c r="Q1584" s="419"/>
      <c r="R1584" s="419"/>
      <c r="S1584" s="419"/>
      <c r="T1584" s="419"/>
      <c r="U1584" s="419"/>
      <c r="V1584" s="419"/>
      <c r="W1584" s="419"/>
      <c r="X1584" s="419"/>
      <c r="Y1584" s="154"/>
      <c r="Z1584" s="154"/>
      <c r="AA1584" s="154"/>
      <c r="AB1584" s="154"/>
      <c r="AC1584" s="154"/>
      <c r="AD1584" s="154"/>
      <c r="AE1584" s="154"/>
      <c r="AF1584" s="154"/>
      <c r="AG1584" s="420"/>
      <c r="AH1584" s="420"/>
      <c r="AI1584" s="420"/>
      <c r="AJ1584" s="420"/>
      <c r="AK1584" s="420"/>
      <c r="AL1584" s="420"/>
      <c r="AM1584" s="420"/>
      <c r="AN1584" s="420"/>
      <c r="AO1584" s="420"/>
      <c r="AP1584" s="420"/>
      <c r="AQ1584" s="420"/>
      <c r="AR1584" s="420"/>
      <c r="AS1584" s="420"/>
      <c r="AT1584" s="420"/>
      <c r="AU1584" s="420"/>
      <c r="AV1584" s="420"/>
      <c r="AW1584" s="420"/>
      <c r="AX1584" s="420"/>
      <c r="AY1584" s="420"/>
      <c r="AZ1584" s="420"/>
      <c r="BA1584" s="420"/>
      <c r="BB1584" s="154"/>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c r="BY1584" s="115"/>
      <c r="BZ1584" s="115"/>
      <c r="CA1584" s="115"/>
      <c r="CB1584" s="115"/>
      <c r="CC1584" s="115"/>
      <c r="CD1584" s="115"/>
      <c r="CE1584" s="115"/>
      <c r="CF1584" s="115"/>
      <c r="CG1584" s="115"/>
      <c r="CH1584" s="115"/>
      <c r="CI1584" s="115"/>
      <c r="CJ1584" s="115"/>
      <c r="CK1584" s="115"/>
      <c r="CL1584" s="115"/>
      <c r="CM1584" s="115"/>
      <c r="CN1584" s="115"/>
      <c r="CO1584" s="115"/>
      <c r="CP1584" s="115"/>
      <c r="CQ1584" s="115"/>
      <c r="CR1584" s="115"/>
      <c r="CS1584" s="115"/>
      <c r="CT1584" s="115"/>
      <c r="CU1584" s="115"/>
      <c r="CV1584" s="115"/>
      <c r="CW1584" s="115"/>
      <c r="CX1584" s="115"/>
      <c r="CY1584" s="115"/>
      <c r="CZ1584" s="115"/>
      <c r="DA1584" s="115"/>
      <c r="DB1584" s="115"/>
      <c r="DC1584" s="115"/>
      <c r="DD1584" s="115"/>
      <c r="DE1584" s="115"/>
      <c r="DF1584" s="115"/>
      <c r="DG1584" s="115"/>
    </row>
    <row r="1585" spans="1:111" ht="9" customHeight="1">
      <c r="A1585" s="154"/>
      <c r="B1585" s="154"/>
      <c r="C1585" s="154"/>
      <c r="D1585" s="154"/>
      <c r="E1585" s="154"/>
      <c r="F1585" s="154"/>
      <c r="G1585" s="154"/>
      <c r="H1585" s="154"/>
      <c r="I1585" s="154"/>
      <c r="J1585" s="154"/>
      <c r="K1585" s="154"/>
      <c r="L1585" s="154"/>
      <c r="M1585" s="154"/>
      <c r="N1585" s="154"/>
      <c r="O1585" s="154"/>
      <c r="P1585" s="154"/>
      <c r="Q1585" s="154"/>
      <c r="R1585" s="154"/>
      <c r="S1585" s="154"/>
      <c r="T1585" s="154"/>
      <c r="U1585" s="154"/>
      <c r="V1585" s="154"/>
      <c r="W1585" s="154"/>
      <c r="X1585" s="154"/>
      <c r="Y1585" s="154"/>
      <c r="Z1585" s="154"/>
      <c r="AA1585" s="154"/>
      <c r="AB1585" s="154"/>
      <c r="AC1585" s="154"/>
      <c r="AD1585" s="154"/>
      <c r="AE1585" s="154"/>
      <c r="AF1585" s="154"/>
      <c r="AG1585" s="420"/>
      <c r="AH1585" s="420"/>
      <c r="AI1585" s="420"/>
      <c r="AJ1585" s="420"/>
      <c r="AK1585" s="420"/>
      <c r="AL1585" s="420"/>
      <c r="AM1585" s="420"/>
      <c r="AN1585" s="420"/>
      <c r="AO1585" s="420"/>
      <c r="AP1585" s="420"/>
      <c r="AQ1585" s="420"/>
      <c r="AR1585" s="420"/>
      <c r="AS1585" s="420"/>
      <c r="AT1585" s="420"/>
      <c r="AU1585" s="420"/>
      <c r="AV1585" s="420"/>
      <c r="AW1585" s="420"/>
      <c r="AX1585" s="420"/>
      <c r="AY1585" s="420"/>
      <c r="AZ1585" s="420"/>
      <c r="BA1585" s="420"/>
      <c r="BB1585" s="154"/>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c r="BY1585" s="115"/>
      <c r="BZ1585" s="115"/>
      <c r="CA1585" s="115"/>
      <c r="CB1585" s="115"/>
      <c r="CC1585" s="115"/>
      <c r="CD1585" s="115"/>
      <c r="CE1585" s="115"/>
      <c r="CF1585" s="115"/>
      <c r="CG1585" s="115"/>
      <c r="CH1585" s="115"/>
      <c r="CI1585" s="115"/>
      <c r="CJ1585" s="115"/>
      <c r="CK1585" s="115"/>
      <c r="CL1585" s="115"/>
      <c r="CM1585" s="115"/>
      <c r="CN1585" s="115"/>
      <c r="CO1585" s="115"/>
      <c r="CP1585" s="115"/>
      <c r="CQ1585" s="115"/>
      <c r="CR1585" s="115"/>
      <c r="CS1585" s="115"/>
      <c r="CT1585" s="115"/>
      <c r="CU1585" s="115"/>
      <c r="CV1585" s="115"/>
      <c r="CW1585" s="115"/>
      <c r="CX1585" s="115"/>
      <c r="CY1585" s="115"/>
      <c r="CZ1585" s="115"/>
      <c r="DA1585" s="115"/>
      <c r="DB1585" s="115"/>
      <c r="DC1585" s="115"/>
      <c r="DD1585" s="115"/>
      <c r="DE1585" s="115"/>
      <c r="DF1585" s="115"/>
      <c r="DG1585" s="115"/>
    </row>
    <row r="1586" spans="1:111" ht="9" customHeight="1">
      <c r="A1586" s="154"/>
      <c r="B1586" s="154"/>
      <c r="C1586" s="154"/>
      <c r="D1586" s="154"/>
      <c r="E1586" s="154"/>
      <c r="F1586" s="154"/>
      <c r="G1586" s="154"/>
      <c r="H1586" s="154"/>
      <c r="I1586" s="154"/>
      <c r="J1586" s="154"/>
      <c r="K1586" s="154"/>
      <c r="L1586" s="154"/>
      <c r="M1586" s="154"/>
      <c r="N1586" s="154"/>
      <c r="O1586" s="154"/>
      <c r="P1586" s="154"/>
      <c r="Q1586" s="154"/>
      <c r="R1586" s="154"/>
      <c r="S1586" s="154"/>
      <c r="T1586" s="154"/>
      <c r="U1586" s="154"/>
      <c r="V1586" s="154"/>
      <c r="W1586" s="154"/>
      <c r="X1586" s="154"/>
      <c r="Y1586" s="154"/>
      <c r="Z1586" s="154"/>
      <c r="AA1586" s="154"/>
      <c r="AB1586" s="154"/>
      <c r="AC1586" s="154"/>
      <c r="AD1586" s="154"/>
      <c r="AE1586" s="154"/>
      <c r="AF1586" s="154"/>
      <c r="AG1586" s="420"/>
      <c r="AH1586" s="420"/>
      <c r="AI1586" s="420"/>
      <c r="AJ1586" s="420"/>
      <c r="AK1586" s="420"/>
      <c r="AL1586" s="420"/>
      <c r="AM1586" s="420"/>
      <c r="AN1586" s="420"/>
      <c r="AO1586" s="420"/>
      <c r="AP1586" s="420"/>
      <c r="AQ1586" s="420"/>
      <c r="AR1586" s="420"/>
      <c r="AS1586" s="420"/>
      <c r="AT1586" s="420"/>
      <c r="AU1586" s="420"/>
      <c r="AV1586" s="420"/>
      <c r="AW1586" s="420"/>
      <c r="AX1586" s="420"/>
      <c r="AY1586" s="420"/>
      <c r="AZ1586" s="420"/>
      <c r="BA1586" s="420"/>
      <c r="BB1586" s="154"/>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c r="BY1586" s="115"/>
      <c r="BZ1586" s="115"/>
      <c r="CA1586" s="115"/>
      <c r="CB1586" s="115"/>
      <c r="CC1586" s="115"/>
      <c r="CD1586" s="115"/>
      <c r="CE1586" s="115"/>
      <c r="CF1586" s="115"/>
      <c r="CG1586" s="115"/>
      <c r="CH1586" s="115"/>
      <c r="CI1586" s="115"/>
      <c r="CJ1586" s="115"/>
      <c r="CK1586" s="115"/>
      <c r="CL1586" s="115"/>
      <c r="CM1586" s="115"/>
      <c r="CN1586" s="115"/>
      <c r="CO1586" s="115"/>
      <c r="CP1586" s="115"/>
      <c r="CQ1586" s="115"/>
      <c r="CR1586" s="115"/>
      <c r="CS1586" s="115"/>
      <c r="CT1586" s="115"/>
      <c r="CU1586" s="115"/>
      <c r="CV1586" s="115"/>
      <c r="CW1586" s="115"/>
      <c r="CX1586" s="115"/>
      <c r="CY1586" s="115"/>
      <c r="CZ1586" s="115"/>
      <c r="DA1586" s="115"/>
      <c r="DB1586" s="115"/>
      <c r="DC1586" s="115"/>
      <c r="DD1586" s="115"/>
      <c r="DE1586" s="115"/>
      <c r="DF1586" s="115"/>
      <c r="DG1586" s="115"/>
    </row>
    <row r="1587" spans="1:111" ht="9" customHeight="1">
      <c r="A1587" s="154"/>
      <c r="B1587" s="154"/>
      <c r="C1587" s="154"/>
      <c r="D1587" s="154"/>
      <c r="E1587" s="154"/>
      <c r="F1587" s="154"/>
      <c r="G1587" s="154"/>
      <c r="H1587" s="154"/>
      <c r="I1587" s="154"/>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420"/>
      <c r="AH1587" s="420"/>
      <c r="AI1587" s="420"/>
      <c r="AJ1587" s="420"/>
      <c r="AK1587" s="420"/>
      <c r="AL1587" s="420"/>
      <c r="AM1587" s="420"/>
      <c r="AN1587" s="420"/>
      <c r="AO1587" s="420"/>
      <c r="AP1587" s="420"/>
      <c r="AQ1587" s="420"/>
      <c r="AR1587" s="420"/>
      <c r="AS1587" s="420"/>
      <c r="AT1587" s="420"/>
      <c r="AU1587" s="420"/>
      <c r="AV1587" s="420"/>
      <c r="AW1587" s="420"/>
      <c r="AX1587" s="420"/>
      <c r="AY1587" s="420"/>
      <c r="AZ1587" s="420"/>
      <c r="BA1587" s="420"/>
      <c r="BB1587" s="154"/>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c r="BY1587" s="115"/>
      <c r="BZ1587" s="115"/>
      <c r="CA1587" s="115"/>
      <c r="CB1587" s="115"/>
      <c r="CC1587" s="115"/>
      <c r="CD1587" s="115"/>
      <c r="CE1587" s="115"/>
      <c r="CF1587" s="115"/>
      <c r="CG1587" s="115"/>
      <c r="CH1587" s="115"/>
      <c r="CI1587" s="115"/>
      <c r="CJ1587" s="115"/>
      <c r="CK1587" s="115"/>
      <c r="CL1587" s="115"/>
      <c r="CM1587" s="115"/>
      <c r="CN1587" s="115"/>
      <c r="CO1587" s="115"/>
      <c r="CP1587" s="115"/>
      <c r="CQ1587" s="115"/>
      <c r="CR1587" s="115"/>
      <c r="CS1587" s="115"/>
      <c r="CT1587" s="115"/>
      <c r="CU1587" s="115"/>
      <c r="CV1587" s="115"/>
      <c r="CW1587" s="115"/>
      <c r="CX1587" s="115"/>
      <c r="CY1587" s="115"/>
      <c r="CZ1587" s="115"/>
      <c r="DA1587" s="115"/>
      <c r="DB1587" s="115"/>
      <c r="DC1587" s="115"/>
      <c r="DD1587" s="115"/>
      <c r="DE1587" s="115"/>
      <c r="DF1587" s="115"/>
      <c r="DG1587" s="115"/>
    </row>
    <row r="1588" spans="1:111" ht="15" customHeight="1">
      <c r="B1588" s="55"/>
      <c r="C1588" s="55"/>
      <c r="D1588" s="56"/>
      <c r="E1588" s="56"/>
      <c r="F1588" s="56"/>
      <c r="G1588" s="56"/>
      <c r="H1588" s="56"/>
      <c r="I1588" s="56"/>
      <c r="J1588" s="56"/>
      <c r="K1588" s="56"/>
      <c r="L1588" s="56"/>
      <c r="M1588" s="56"/>
      <c r="N1588" s="56"/>
      <c r="O1588" s="56"/>
      <c r="P1588" s="56"/>
      <c r="Q1588" s="56"/>
      <c r="R1588" s="56"/>
      <c r="S1588" s="56"/>
      <c r="T1588" s="56"/>
      <c r="U1588" s="56"/>
      <c r="V1588" s="56"/>
      <c r="W1588" s="56"/>
      <c r="X1588" s="56"/>
      <c r="Y1588" s="56"/>
      <c r="Z1588" s="56"/>
      <c r="AA1588" s="56"/>
      <c r="AB1588" s="56"/>
      <c r="AC1588" s="56"/>
      <c r="AD1588" s="56"/>
      <c r="AE1588" s="56"/>
      <c r="AF1588" s="56"/>
      <c r="AG1588" s="56"/>
      <c r="AH1588" s="56"/>
      <c r="AI1588" s="56"/>
      <c r="AJ1588" s="56"/>
      <c r="AK1588" s="141"/>
      <c r="AL1588" s="141"/>
      <c r="AM1588" s="141"/>
      <c r="AN1588" s="141"/>
      <c r="AO1588" s="140"/>
      <c r="AP1588" s="140"/>
      <c r="AQ1588" s="140"/>
      <c r="AR1588" s="140"/>
      <c r="AS1588" s="142"/>
      <c r="AT1588" s="142"/>
      <c r="AU1588" s="142"/>
      <c r="AV1588" s="142"/>
      <c r="AW1588" s="140"/>
      <c r="AX1588" s="140"/>
      <c r="AY1588" s="140"/>
      <c r="AZ1588" s="140"/>
      <c r="BA1588" s="140"/>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c r="BY1588" s="115"/>
      <c r="BZ1588" s="115"/>
      <c r="CA1588" s="115"/>
      <c r="CB1588" s="115"/>
      <c r="CC1588" s="115"/>
      <c r="CD1588" s="115"/>
      <c r="CE1588" s="115"/>
      <c r="CF1588" s="115"/>
      <c r="CG1588" s="115"/>
      <c r="CH1588" s="115"/>
      <c r="CI1588" s="115"/>
      <c r="CJ1588" s="115"/>
      <c r="CK1588" s="115"/>
      <c r="CL1588" s="115"/>
      <c r="CM1588" s="115"/>
      <c r="CN1588" s="115"/>
      <c r="CO1588" s="115"/>
      <c r="CP1588" s="115"/>
      <c r="CQ1588" s="115"/>
      <c r="CR1588" s="115"/>
      <c r="CS1588" s="115"/>
      <c r="CT1588" s="115"/>
      <c r="CU1588" s="115"/>
      <c r="CV1588" s="115"/>
      <c r="CW1588" s="115"/>
      <c r="CX1588" s="115"/>
      <c r="CY1588" s="115"/>
      <c r="CZ1588" s="115"/>
      <c r="DA1588" s="115"/>
      <c r="DB1588" s="115"/>
      <c r="DC1588" s="115"/>
      <c r="DD1588" s="115"/>
      <c r="DE1588" s="115"/>
      <c r="DF1588" s="115"/>
      <c r="DG1588" s="115"/>
    </row>
    <row r="1589" spans="1:111" ht="15" customHeight="1">
      <c r="B1589" s="55"/>
      <c r="C1589" s="422" t="str">
        <f>IF($AA$165&gt;=50,"DESPESA 50","")</f>
        <v/>
      </c>
      <c r="D1589" s="422"/>
      <c r="E1589" s="422"/>
      <c r="F1589" s="422"/>
      <c r="G1589" s="422"/>
      <c r="H1589" s="422"/>
      <c r="I1589" s="56"/>
      <c r="J1589" s="56"/>
      <c r="K1589" s="56"/>
      <c r="L1589" s="56"/>
      <c r="M1589" s="56"/>
      <c r="N1589" s="56"/>
      <c r="O1589" s="56"/>
      <c r="P1589" s="56"/>
      <c r="Q1589" s="56"/>
      <c r="R1589" s="56"/>
      <c r="S1589" s="56"/>
      <c r="T1589" s="56"/>
      <c r="U1589" s="56"/>
      <c r="V1589" s="56"/>
      <c r="W1589" s="56"/>
      <c r="X1589" s="56"/>
      <c r="Y1589" s="56"/>
      <c r="Z1589" s="56"/>
      <c r="AA1589" s="56"/>
      <c r="AB1589" s="56"/>
      <c r="AC1589" s="56"/>
      <c r="AD1589" s="56"/>
      <c r="AE1589" s="56"/>
      <c r="AF1589" s="56"/>
      <c r="AG1589" s="56"/>
      <c r="AH1589" s="56"/>
      <c r="AI1589" s="56"/>
      <c r="AJ1589" s="56"/>
      <c r="AK1589" s="141"/>
      <c r="AL1589" s="141"/>
      <c r="AM1589" s="141"/>
      <c r="AN1589" s="141"/>
      <c r="AO1589" s="140"/>
      <c r="AP1589" s="140"/>
      <c r="AQ1589" s="140"/>
      <c r="AR1589" s="140"/>
      <c r="AS1589" s="142"/>
      <c r="AT1589" s="142"/>
      <c r="AU1589" s="142"/>
      <c r="AV1589" s="142"/>
      <c r="AW1589" s="140"/>
      <c r="AX1589" s="140"/>
      <c r="AY1589" s="140"/>
      <c r="AZ1589" s="140"/>
      <c r="BA1589" s="140"/>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c r="BY1589" s="115"/>
      <c r="BZ1589" s="115"/>
      <c r="CA1589" s="115"/>
      <c r="CB1589" s="115"/>
      <c r="CC1589" s="115"/>
      <c r="CD1589" s="115"/>
      <c r="CE1589" s="115"/>
      <c r="CF1589" s="115"/>
      <c r="CG1589" s="115"/>
      <c r="CH1589" s="115"/>
      <c r="CI1589" s="115"/>
      <c r="CJ1589" s="115"/>
      <c r="CK1589" s="115"/>
      <c r="CL1589" s="115"/>
      <c r="CM1589" s="115"/>
      <c r="CN1589" s="115"/>
      <c r="CO1589" s="115"/>
      <c r="CP1589" s="115"/>
      <c r="CQ1589" s="115"/>
      <c r="CR1589" s="115"/>
      <c r="CS1589" s="115"/>
      <c r="CT1589" s="115"/>
      <c r="CU1589" s="115"/>
      <c r="CV1589" s="115"/>
      <c r="CW1589" s="115"/>
      <c r="CX1589" s="115"/>
      <c r="CY1589" s="115"/>
      <c r="CZ1589" s="115"/>
      <c r="DA1589" s="115"/>
      <c r="DB1589" s="115"/>
      <c r="DC1589" s="115"/>
      <c r="DD1589" s="115"/>
      <c r="DE1589" s="115"/>
      <c r="DF1589" s="115"/>
      <c r="DG1589" s="115"/>
    </row>
    <row r="1590" spans="1:111" ht="4.5" customHeight="1">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c r="BY1590" s="115"/>
      <c r="BZ1590" s="115"/>
      <c r="CA1590" s="115"/>
      <c r="CB1590" s="115"/>
      <c r="CC1590" s="115"/>
      <c r="CD1590" s="115"/>
      <c r="CE1590" s="115"/>
      <c r="CF1590" s="115"/>
      <c r="CG1590" s="115"/>
      <c r="CH1590" s="115"/>
      <c r="CI1590" s="115"/>
      <c r="CJ1590" s="115"/>
      <c r="CK1590" s="115"/>
      <c r="CL1590" s="115"/>
      <c r="CM1590" s="115"/>
      <c r="CN1590" s="115"/>
      <c r="CO1590" s="115"/>
      <c r="CP1590" s="115"/>
      <c r="CQ1590" s="115"/>
      <c r="CR1590" s="115"/>
      <c r="CS1590" s="115"/>
      <c r="CT1590" s="115"/>
      <c r="CU1590" s="115"/>
      <c r="CV1590" s="115"/>
      <c r="CW1590" s="115"/>
      <c r="CX1590" s="115"/>
      <c r="CY1590" s="115"/>
      <c r="CZ1590" s="115"/>
      <c r="DA1590" s="115"/>
      <c r="DB1590" s="115"/>
      <c r="DC1590" s="115"/>
      <c r="DD1590" s="115"/>
      <c r="DE1590" s="115"/>
      <c r="DF1590" s="115"/>
      <c r="DG1590" s="115"/>
    </row>
    <row r="1591" spans="1:111" ht="9" customHeight="1">
      <c r="C1591" s="416" t="str">
        <f>IF(C1589="","","Descrição da Despesa:")</f>
        <v/>
      </c>
      <c r="D1591" s="416"/>
      <c r="E1591" s="416"/>
      <c r="F1591" s="416"/>
      <c r="G1591" s="416"/>
      <c r="H1591" s="416"/>
      <c r="I1591" s="60"/>
      <c r="J1591" s="421"/>
      <c r="K1591" s="421"/>
      <c r="L1591" s="421"/>
      <c r="M1591" s="421"/>
      <c r="N1591" s="421"/>
      <c r="O1591" s="421"/>
      <c r="P1591" s="421"/>
      <c r="Q1591" s="421"/>
      <c r="R1591" s="421"/>
      <c r="S1591" s="421"/>
      <c r="T1591" s="421"/>
      <c r="U1591" s="421"/>
      <c r="V1591" s="421"/>
      <c r="W1591" s="421"/>
      <c r="X1591" s="421"/>
      <c r="Y1591" s="421"/>
      <c r="Z1591" s="421"/>
      <c r="AA1591" s="421"/>
      <c r="AB1591" s="421"/>
      <c r="AC1591" s="421"/>
      <c r="AD1591" s="421"/>
      <c r="AE1591" s="421"/>
      <c r="AF1591" s="421"/>
      <c r="AG1591" s="421"/>
      <c r="AH1591" s="421"/>
      <c r="AI1591" s="421"/>
      <c r="AJ1591" s="421"/>
      <c r="AK1591" s="421"/>
      <c r="AL1591" s="421"/>
      <c r="AM1591" s="421"/>
      <c r="AN1591" s="421"/>
      <c r="AO1591" s="421"/>
      <c r="AP1591" s="421"/>
      <c r="AQ1591" s="421"/>
      <c r="AR1591" s="421"/>
      <c r="AS1591" s="421"/>
      <c r="AT1591" s="421"/>
      <c r="AU1591" s="421"/>
      <c r="AV1591" s="421"/>
      <c r="AW1591" s="421"/>
      <c r="AX1591" s="421"/>
      <c r="AY1591" s="421"/>
      <c r="AZ1591" s="421"/>
      <c r="BA1591" s="421"/>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c r="BY1591" s="115"/>
      <c r="BZ1591" s="115"/>
      <c r="CA1591" s="115"/>
      <c r="CB1591" s="115"/>
      <c r="CC1591" s="115"/>
      <c r="CD1591" s="115"/>
      <c r="CE1591" s="115"/>
      <c r="CF1591" s="115"/>
      <c r="CG1591" s="115"/>
      <c r="CH1591" s="115"/>
      <c r="CI1591" s="115"/>
      <c r="CJ1591" s="115"/>
      <c r="CK1591" s="115"/>
      <c r="CL1591" s="115"/>
      <c r="CM1591" s="115"/>
      <c r="CN1591" s="115"/>
      <c r="CO1591" s="115"/>
      <c r="CP1591" s="115"/>
      <c r="CQ1591" s="115"/>
      <c r="CR1591" s="115"/>
      <c r="CS1591" s="115"/>
      <c r="CT1591" s="115"/>
      <c r="CU1591" s="115"/>
      <c r="CV1591" s="115"/>
      <c r="CW1591" s="115"/>
      <c r="CX1591" s="115"/>
      <c r="CY1591" s="115"/>
      <c r="CZ1591" s="115"/>
      <c r="DA1591" s="115"/>
      <c r="DB1591" s="115"/>
      <c r="DC1591" s="115"/>
      <c r="DD1591" s="115"/>
      <c r="DE1591" s="115"/>
      <c r="DF1591" s="115"/>
      <c r="DG1591" s="115"/>
    </row>
    <row r="1592" spans="1:111" ht="9" customHeight="1">
      <c r="C1592" s="416"/>
      <c r="D1592" s="416"/>
      <c r="E1592" s="416"/>
      <c r="F1592" s="416"/>
      <c r="G1592" s="416"/>
      <c r="H1592" s="416"/>
      <c r="I1592" s="60"/>
      <c r="J1592" s="421"/>
      <c r="K1592" s="421"/>
      <c r="L1592" s="421"/>
      <c r="M1592" s="421"/>
      <c r="N1592" s="421"/>
      <c r="O1592" s="421"/>
      <c r="P1592" s="421"/>
      <c r="Q1592" s="421"/>
      <c r="R1592" s="421"/>
      <c r="S1592" s="421"/>
      <c r="T1592" s="421"/>
      <c r="U1592" s="421"/>
      <c r="V1592" s="421"/>
      <c r="W1592" s="421"/>
      <c r="X1592" s="421"/>
      <c r="Y1592" s="421"/>
      <c r="Z1592" s="421"/>
      <c r="AA1592" s="421"/>
      <c r="AB1592" s="421"/>
      <c r="AC1592" s="421"/>
      <c r="AD1592" s="421"/>
      <c r="AE1592" s="421"/>
      <c r="AF1592" s="421"/>
      <c r="AG1592" s="421"/>
      <c r="AH1592" s="421"/>
      <c r="AI1592" s="421"/>
      <c r="AJ1592" s="421"/>
      <c r="AK1592" s="421"/>
      <c r="AL1592" s="421"/>
      <c r="AM1592" s="421"/>
      <c r="AN1592" s="421"/>
      <c r="AO1592" s="421"/>
      <c r="AP1592" s="421"/>
      <c r="AQ1592" s="421"/>
      <c r="AR1592" s="421"/>
      <c r="AS1592" s="421"/>
      <c r="AT1592" s="421"/>
      <c r="AU1592" s="421"/>
      <c r="AV1592" s="421"/>
      <c r="AW1592" s="421"/>
      <c r="AX1592" s="421"/>
      <c r="AY1592" s="421"/>
      <c r="AZ1592" s="421"/>
      <c r="BA1592" s="421"/>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c r="BY1592" s="115"/>
      <c r="BZ1592" s="115"/>
      <c r="CA1592" s="115"/>
      <c r="CB1592" s="115"/>
      <c r="CC1592" s="115"/>
      <c r="CD1592" s="115"/>
      <c r="CE1592" s="115"/>
      <c r="CF1592" s="115"/>
      <c r="CG1592" s="115"/>
      <c r="CH1592" s="115"/>
      <c r="CI1592" s="115"/>
      <c r="CJ1592" s="115"/>
      <c r="CK1592" s="115"/>
      <c r="CL1592" s="115"/>
      <c r="CM1592" s="115"/>
      <c r="CN1592" s="115"/>
      <c r="CO1592" s="115"/>
      <c r="CP1592" s="115"/>
      <c r="CQ1592" s="115"/>
      <c r="CR1592" s="115"/>
      <c r="CS1592" s="115"/>
      <c r="CT1592" s="115"/>
      <c r="CU1592" s="115"/>
      <c r="CV1592" s="115"/>
      <c r="CW1592" s="115"/>
      <c r="CX1592" s="115"/>
      <c r="CY1592" s="115"/>
      <c r="CZ1592" s="115"/>
      <c r="DA1592" s="115"/>
      <c r="DB1592" s="115"/>
      <c r="DC1592" s="115"/>
      <c r="DD1592" s="115"/>
      <c r="DE1592" s="115"/>
      <c r="DF1592" s="115"/>
      <c r="DG1592" s="115"/>
    </row>
    <row r="1593" spans="1:111" ht="9" customHeight="1">
      <c r="C1593" s="416"/>
      <c r="D1593" s="416"/>
      <c r="E1593" s="416"/>
      <c r="F1593" s="416"/>
      <c r="G1593" s="416"/>
      <c r="H1593" s="416"/>
      <c r="I1593" s="60"/>
      <c r="J1593" s="421"/>
      <c r="K1593" s="421"/>
      <c r="L1593" s="421"/>
      <c r="M1593" s="421"/>
      <c r="N1593" s="421"/>
      <c r="O1593" s="421"/>
      <c r="P1593" s="421"/>
      <c r="Q1593" s="421"/>
      <c r="R1593" s="421"/>
      <c r="S1593" s="421"/>
      <c r="T1593" s="421"/>
      <c r="U1593" s="421"/>
      <c r="V1593" s="421"/>
      <c r="W1593" s="421"/>
      <c r="X1593" s="421"/>
      <c r="Y1593" s="421"/>
      <c r="Z1593" s="421"/>
      <c r="AA1593" s="421"/>
      <c r="AB1593" s="421"/>
      <c r="AC1593" s="421"/>
      <c r="AD1593" s="421"/>
      <c r="AE1593" s="421"/>
      <c r="AF1593" s="421"/>
      <c r="AG1593" s="421"/>
      <c r="AH1593" s="421"/>
      <c r="AI1593" s="421"/>
      <c r="AJ1593" s="421"/>
      <c r="AK1593" s="421"/>
      <c r="AL1593" s="421"/>
      <c r="AM1593" s="421"/>
      <c r="AN1593" s="421"/>
      <c r="AO1593" s="421"/>
      <c r="AP1593" s="421"/>
      <c r="AQ1593" s="421"/>
      <c r="AR1593" s="421"/>
      <c r="AS1593" s="421"/>
      <c r="AT1593" s="421"/>
      <c r="AU1593" s="421"/>
      <c r="AV1593" s="421"/>
      <c r="AW1593" s="421"/>
      <c r="AX1593" s="421"/>
      <c r="AY1593" s="421"/>
      <c r="AZ1593" s="421"/>
      <c r="BA1593" s="421"/>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c r="BY1593" s="115"/>
      <c r="BZ1593" s="115"/>
      <c r="CA1593" s="115"/>
      <c r="CB1593" s="115"/>
      <c r="CC1593" s="115"/>
      <c r="CD1593" s="115"/>
      <c r="CE1593" s="115"/>
      <c r="CF1593" s="115"/>
      <c r="CG1593" s="115"/>
      <c r="CH1593" s="115"/>
      <c r="CI1593" s="115"/>
      <c r="CJ1593" s="115"/>
      <c r="CK1593" s="115"/>
      <c r="CL1593" s="115"/>
      <c r="CM1593" s="115"/>
      <c r="CN1593" s="115"/>
      <c r="CO1593" s="115"/>
      <c r="CP1593" s="115"/>
      <c r="CQ1593" s="115"/>
      <c r="CR1593" s="115"/>
      <c r="CS1593" s="115"/>
      <c r="CT1593" s="115"/>
      <c r="CU1593" s="115"/>
      <c r="CV1593" s="115"/>
      <c r="CW1593" s="115"/>
      <c r="CX1593" s="115"/>
      <c r="CY1593" s="115"/>
      <c r="CZ1593" s="115"/>
      <c r="DA1593" s="115"/>
      <c r="DB1593" s="115"/>
      <c r="DC1593" s="115"/>
      <c r="DD1593" s="115"/>
      <c r="DE1593" s="115"/>
      <c r="DF1593" s="115"/>
      <c r="DG1593" s="115"/>
    </row>
    <row r="1594" spans="1:111" ht="4.5" customHeight="1">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c r="BY1594" s="115"/>
      <c r="BZ1594" s="115"/>
      <c r="CA1594" s="115"/>
      <c r="CB1594" s="115"/>
      <c r="CC1594" s="115"/>
      <c r="CD1594" s="115"/>
      <c r="CE1594" s="115"/>
      <c r="CF1594" s="115"/>
      <c r="CG1594" s="115"/>
      <c r="CH1594" s="115"/>
      <c r="CI1594" s="115"/>
      <c r="CJ1594" s="115"/>
      <c r="CK1594" s="115"/>
      <c r="CL1594" s="115"/>
      <c r="CM1594" s="115"/>
      <c r="CN1594" s="115"/>
      <c r="CO1594" s="115"/>
      <c r="CP1594" s="115"/>
      <c r="CQ1594" s="115"/>
      <c r="CR1594" s="115"/>
      <c r="CS1594" s="115"/>
      <c r="CT1594" s="115"/>
      <c r="CU1594" s="115"/>
      <c r="CV1594" s="115"/>
      <c r="CW1594" s="115"/>
      <c r="CX1594" s="115"/>
      <c r="CY1594" s="115"/>
      <c r="CZ1594" s="115"/>
      <c r="DA1594" s="115"/>
      <c r="DB1594" s="115"/>
      <c r="DC1594" s="115"/>
      <c r="DD1594" s="115"/>
      <c r="DE1594" s="115"/>
      <c r="DF1594" s="115"/>
      <c r="DG1594" s="115"/>
    </row>
    <row r="1595" spans="1:111" ht="9" customHeight="1">
      <c r="C1595" s="416" t="str">
        <f>IF(C1589="","","Elemento de Despesa:")</f>
        <v/>
      </c>
      <c r="D1595" s="416"/>
      <c r="E1595" s="416"/>
      <c r="F1595" s="416"/>
      <c r="G1595" s="416"/>
      <c r="H1595" s="416"/>
      <c r="J1595" s="421"/>
      <c r="K1595" s="421"/>
      <c r="L1595" s="421"/>
      <c r="M1595" s="421"/>
      <c r="N1595" s="421"/>
      <c r="O1595" s="421"/>
      <c r="P1595" s="421"/>
      <c r="Q1595" s="421"/>
      <c r="R1595" s="421"/>
      <c r="S1595" s="421"/>
      <c r="T1595" s="421"/>
      <c r="U1595" s="421"/>
      <c r="V1595" s="421"/>
      <c r="W1595" s="421"/>
      <c r="X1595" s="421"/>
      <c r="Y1595" s="421"/>
      <c r="Z1595" s="421"/>
      <c r="AA1595" s="421"/>
      <c r="AB1595" s="421"/>
      <c r="AC1595" s="421"/>
      <c r="AD1595" s="421"/>
      <c r="AE1595" s="421"/>
      <c r="AF1595" s="421"/>
      <c r="AG1595" s="421"/>
      <c r="AH1595" s="421"/>
      <c r="AI1595" s="421"/>
      <c r="AJ1595" s="421"/>
      <c r="AK1595" s="421"/>
      <c r="AL1595" s="421"/>
      <c r="AM1595" s="421"/>
      <c r="AN1595" s="421"/>
      <c r="AO1595" s="421"/>
      <c r="AP1595" s="421"/>
      <c r="AQ1595" s="421"/>
      <c r="AR1595" s="421"/>
      <c r="AS1595" s="421"/>
      <c r="AT1595" s="421"/>
      <c r="AU1595" s="421"/>
      <c r="AV1595" s="421"/>
      <c r="AW1595" s="421"/>
      <c r="AX1595" s="421"/>
      <c r="AY1595" s="421"/>
      <c r="AZ1595" s="421"/>
      <c r="BA1595" s="421"/>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c r="BY1595" s="115"/>
      <c r="BZ1595" s="115"/>
      <c r="CA1595" s="115"/>
      <c r="CB1595" s="115"/>
      <c r="CC1595" s="115"/>
      <c r="CD1595" s="115"/>
      <c r="CE1595" s="115"/>
      <c r="CF1595" s="115"/>
      <c r="CG1595" s="115"/>
      <c r="CH1595" s="115"/>
      <c r="CI1595" s="115"/>
      <c r="CJ1595" s="115"/>
      <c r="CK1595" s="115"/>
      <c r="CL1595" s="115"/>
      <c r="CM1595" s="115"/>
      <c r="CN1595" s="115"/>
      <c r="CO1595" s="115"/>
      <c r="CP1595" s="115"/>
      <c r="CQ1595" s="115"/>
      <c r="CR1595" s="115"/>
      <c r="CS1595" s="115"/>
      <c r="CT1595" s="115"/>
      <c r="CU1595" s="115"/>
      <c r="CV1595" s="115"/>
      <c r="CW1595" s="115"/>
      <c r="CX1595" s="115"/>
      <c r="CY1595" s="115"/>
      <c r="CZ1595" s="115"/>
      <c r="DA1595" s="115"/>
      <c r="DB1595" s="115"/>
      <c r="DC1595" s="115"/>
      <c r="DD1595" s="115"/>
      <c r="DE1595" s="115"/>
      <c r="DF1595" s="115"/>
      <c r="DG1595" s="115"/>
    </row>
    <row r="1596" spans="1:111" ht="9" customHeight="1">
      <c r="C1596" s="416"/>
      <c r="D1596" s="416"/>
      <c r="E1596" s="416"/>
      <c r="F1596" s="416"/>
      <c r="G1596" s="416"/>
      <c r="H1596" s="416"/>
      <c r="J1596" s="421"/>
      <c r="K1596" s="421"/>
      <c r="L1596" s="421"/>
      <c r="M1596" s="421"/>
      <c r="N1596" s="421"/>
      <c r="O1596" s="421"/>
      <c r="P1596" s="421"/>
      <c r="Q1596" s="421"/>
      <c r="R1596" s="421"/>
      <c r="S1596" s="421"/>
      <c r="T1596" s="421"/>
      <c r="U1596" s="421"/>
      <c r="V1596" s="421"/>
      <c r="W1596" s="421"/>
      <c r="X1596" s="421"/>
      <c r="Y1596" s="421"/>
      <c r="Z1596" s="421"/>
      <c r="AA1596" s="421"/>
      <c r="AB1596" s="421"/>
      <c r="AC1596" s="421"/>
      <c r="AD1596" s="421"/>
      <c r="AE1596" s="421"/>
      <c r="AF1596" s="421"/>
      <c r="AG1596" s="421"/>
      <c r="AH1596" s="421"/>
      <c r="AI1596" s="421"/>
      <c r="AJ1596" s="421"/>
      <c r="AK1596" s="421"/>
      <c r="AL1596" s="421"/>
      <c r="AM1596" s="421"/>
      <c r="AN1596" s="421"/>
      <c r="AO1596" s="421"/>
      <c r="AP1596" s="421"/>
      <c r="AQ1596" s="421"/>
      <c r="AR1596" s="421"/>
      <c r="AS1596" s="421"/>
      <c r="AT1596" s="421"/>
      <c r="AU1596" s="421"/>
      <c r="AV1596" s="421"/>
      <c r="AW1596" s="421"/>
      <c r="AX1596" s="421"/>
      <c r="AY1596" s="421"/>
      <c r="AZ1596" s="421"/>
      <c r="BA1596" s="421"/>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c r="BY1596" s="115"/>
      <c r="BZ1596" s="115"/>
      <c r="CA1596" s="115"/>
      <c r="CB1596" s="115"/>
      <c r="CC1596" s="115"/>
      <c r="CD1596" s="115"/>
      <c r="CE1596" s="115"/>
      <c r="CF1596" s="115"/>
      <c r="CG1596" s="115"/>
      <c r="CH1596" s="115"/>
      <c r="CI1596" s="115"/>
      <c r="CJ1596" s="115"/>
      <c r="CK1596" s="115"/>
      <c r="CL1596" s="115"/>
      <c r="CM1596" s="115"/>
      <c r="CN1596" s="115"/>
      <c r="CO1596" s="115"/>
      <c r="CP1596" s="115"/>
      <c r="CQ1596" s="115"/>
      <c r="CR1596" s="115"/>
      <c r="CS1596" s="115"/>
      <c r="CT1596" s="115"/>
      <c r="CU1596" s="115"/>
      <c r="CV1596" s="115"/>
      <c r="CW1596" s="115"/>
      <c r="CX1596" s="115"/>
      <c r="CY1596" s="115"/>
      <c r="CZ1596" s="115"/>
      <c r="DA1596" s="115"/>
      <c r="DB1596" s="115"/>
      <c r="DC1596" s="115"/>
      <c r="DD1596" s="115"/>
      <c r="DE1596" s="115"/>
      <c r="DF1596" s="115"/>
      <c r="DG1596" s="115"/>
    </row>
    <row r="1597" spans="1:111" ht="9" customHeight="1">
      <c r="C1597" s="416"/>
      <c r="D1597" s="416"/>
      <c r="E1597" s="416"/>
      <c r="F1597" s="416"/>
      <c r="G1597" s="416"/>
      <c r="H1597" s="416"/>
      <c r="J1597" s="421"/>
      <c r="K1597" s="421"/>
      <c r="L1597" s="421"/>
      <c r="M1597" s="421"/>
      <c r="N1597" s="421"/>
      <c r="O1597" s="421"/>
      <c r="P1597" s="421"/>
      <c r="Q1597" s="421"/>
      <c r="R1597" s="421"/>
      <c r="S1597" s="421"/>
      <c r="T1597" s="421"/>
      <c r="U1597" s="421"/>
      <c r="V1597" s="421"/>
      <c r="W1597" s="421"/>
      <c r="X1597" s="421"/>
      <c r="Y1597" s="421"/>
      <c r="Z1597" s="421"/>
      <c r="AA1597" s="421"/>
      <c r="AB1597" s="421"/>
      <c r="AC1597" s="421"/>
      <c r="AD1597" s="421"/>
      <c r="AE1597" s="421"/>
      <c r="AF1597" s="421"/>
      <c r="AG1597" s="421"/>
      <c r="AH1597" s="421"/>
      <c r="AI1597" s="421"/>
      <c r="AJ1597" s="421"/>
      <c r="AK1597" s="421"/>
      <c r="AL1597" s="421"/>
      <c r="AM1597" s="421"/>
      <c r="AN1597" s="421"/>
      <c r="AO1597" s="421"/>
      <c r="AP1597" s="421"/>
      <c r="AQ1597" s="421"/>
      <c r="AR1597" s="421"/>
      <c r="AS1597" s="421"/>
      <c r="AT1597" s="421"/>
      <c r="AU1597" s="421"/>
      <c r="AV1597" s="421"/>
      <c r="AW1597" s="421"/>
      <c r="AX1597" s="421"/>
      <c r="AY1597" s="421"/>
      <c r="AZ1597" s="421"/>
      <c r="BA1597" s="421"/>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c r="BY1597" s="115"/>
      <c r="BZ1597" s="115"/>
      <c r="CA1597" s="115"/>
      <c r="CB1597" s="115"/>
      <c r="CC1597" s="115"/>
      <c r="CD1597" s="115"/>
      <c r="CE1597" s="115"/>
      <c r="CF1597" s="115"/>
      <c r="CG1597" s="115"/>
      <c r="CH1597" s="115"/>
      <c r="CI1597" s="115"/>
      <c r="CJ1597" s="115"/>
      <c r="CK1597" s="115"/>
      <c r="CL1597" s="115"/>
      <c r="CM1597" s="115"/>
      <c r="CN1597" s="115"/>
      <c r="CO1597" s="115"/>
      <c r="CP1597" s="115"/>
      <c r="CQ1597" s="115"/>
      <c r="CR1597" s="115"/>
      <c r="CS1597" s="115"/>
      <c r="CT1597" s="115"/>
      <c r="CU1597" s="115"/>
      <c r="CV1597" s="115"/>
      <c r="CW1597" s="115"/>
      <c r="CX1597" s="115"/>
      <c r="CY1597" s="115"/>
      <c r="CZ1597" s="115"/>
      <c r="DA1597" s="115"/>
      <c r="DB1597" s="115"/>
      <c r="DC1597" s="115"/>
      <c r="DD1597" s="115"/>
      <c r="DE1597" s="115"/>
      <c r="DF1597" s="115"/>
      <c r="DG1597" s="115"/>
    </row>
    <row r="1598" spans="1:111" ht="4.5" customHeight="1">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c r="BY1598" s="115"/>
      <c r="BZ1598" s="115"/>
      <c r="CA1598" s="115"/>
      <c r="CB1598" s="115"/>
      <c r="CC1598" s="115"/>
      <c r="CD1598" s="115"/>
      <c r="CE1598" s="115"/>
      <c r="CF1598" s="115"/>
      <c r="CG1598" s="115"/>
      <c r="CH1598" s="115"/>
      <c r="CI1598" s="115"/>
      <c r="CJ1598" s="115"/>
      <c r="CK1598" s="115"/>
      <c r="CL1598" s="115"/>
      <c r="CM1598" s="115"/>
      <c r="CN1598" s="115"/>
      <c r="CO1598" s="115"/>
      <c r="CP1598" s="115"/>
      <c r="CQ1598" s="115"/>
      <c r="CR1598" s="115"/>
      <c r="CS1598" s="115"/>
      <c r="CT1598" s="115"/>
      <c r="CU1598" s="115"/>
      <c r="CV1598" s="115"/>
      <c r="CW1598" s="115"/>
      <c r="CX1598" s="115"/>
      <c r="CY1598" s="115"/>
      <c r="CZ1598" s="115"/>
      <c r="DA1598" s="115"/>
      <c r="DB1598" s="115"/>
      <c r="DC1598" s="115"/>
      <c r="DD1598" s="115"/>
      <c r="DE1598" s="115"/>
      <c r="DF1598" s="115"/>
      <c r="DG1598" s="115"/>
    </row>
    <row r="1599" spans="1:111" ht="9" customHeight="1">
      <c r="A1599" s="61" t="str">
        <f>CONCATENATE(Q1599,AC1599)</f>
        <v/>
      </c>
      <c r="J1599" s="416" t="str">
        <f>IF(C1589="","","Meta Vinculada:")</f>
        <v/>
      </c>
      <c r="K1599" s="416"/>
      <c r="L1599" s="416"/>
      <c r="M1599" s="416"/>
      <c r="N1599" s="416"/>
      <c r="O1599" s="416"/>
      <c r="Q1599" s="417"/>
      <c r="R1599" s="417"/>
      <c r="S1599" s="417"/>
      <c r="T1599" s="417"/>
      <c r="U1599" s="56"/>
      <c r="V1599" s="416" t="str">
        <f>IF(C1589="","","Etapa Vinculada:")</f>
        <v/>
      </c>
      <c r="W1599" s="416"/>
      <c r="X1599" s="416"/>
      <c r="Y1599" s="416"/>
      <c r="Z1599" s="416"/>
      <c r="AA1599" s="416"/>
      <c r="AC1599" s="417"/>
      <c r="AD1599" s="417"/>
      <c r="AE1599" s="417"/>
      <c r="AF1599" s="417"/>
      <c r="AG1599" s="56"/>
      <c r="AH1599" s="56"/>
      <c r="AI1599" s="56"/>
      <c r="AJ1599" s="56"/>
      <c r="AK1599" s="141"/>
      <c r="AL1599" s="141"/>
      <c r="AM1599" s="141"/>
      <c r="AN1599" s="141"/>
      <c r="AO1599" s="140"/>
      <c r="AP1599" s="140"/>
      <c r="AQ1599" s="140"/>
      <c r="AR1599" s="140"/>
      <c r="AS1599" s="142"/>
      <c r="AT1599" s="142"/>
      <c r="AU1599" s="142"/>
      <c r="AV1599" s="142"/>
      <c r="AW1599" s="140"/>
      <c r="AX1599" s="140"/>
      <c r="AY1599" s="140"/>
      <c r="AZ1599" s="140"/>
      <c r="BA1599" s="140"/>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c r="BY1599" s="115"/>
      <c r="BZ1599" s="115"/>
      <c r="CA1599" s="115"/>
      <c r="CB1599" s="115"/>
      <c r="CC1599" s="115"/>
      <c r="CD1599" s="115"/>
      <c r="CE1599" s="115"/>
      <c r="CF1599" s="115"/>
      <c r="CG1599" s="115"/>
      <c r="CH1599" s="115"/>
      <c r="CI1599" s="115"/>
      <c r="CJ1599" s="115"/>
      <c r="CK1599" s="115"/>
      <c r="CL1599" s="115"/>
      <c r="CM1599" s="115"/>
      <c r="CN1599" s="115"/>
      <c r="CO1599" s="115"/>
      <c r="CP1599" s="115"/>
      <c r="CQ1599" s="115"/>
      <c r="CR1599" s="115"/>
      <c r="CS1599" s="115"/>
      <c r="CT1599" s="115"/>
      <c r="CU1599" s="115"/>
      <c r="CV1599" s="115"/>
      <c r="CW1599" s="115"/>
      <c r="CX1599" s="115"/>
      <c r="CY1599" s="115"/>
      <c r="CZ1599" s="115"/>
      <c r="DA1599" s="115"/>
      <c r="DB1599" s="115"/>
      <c r="DC1599" s="115"/>
      <c r="DD1599" s="115"/>
      <c r="DE1599" s="115"/>
      <c r="DF1599" s="115"/>
      <c r="DG1599" s="115"/>
    </row>
    <row r="1600" spans="1:111" ht="9" customHeight="1">
      <c r="B1600" s="55"/>
      <c r="C1600" s="55"/>
      <c r="D1600" s="56"/>
      <c r="E1600" s="56"/>
      <c r="F1600" s="56"/>
      <c r="G1600" s="56"/>
      <c r="H1600" s="56"/>
      <c r="I1600" s="56"/>
      <c r="J1600" s="416"/>
      <c r="K1600" s="416"/>
      <c r="L1600" s="416"/>
      <c r="M1600" s="416"/>
      <c r="N1600" s="416"/>
      <c r="O1600" s="416"/>
      <c r="Q1600" s="417"/>
      <c r="R1600" s="417"/>
      <c r="S1600" s="417"/>
      <c r="T1600" s="417"/>
      <c r="U1600" s="56"/>
      <c r="V1600" s="416"/>
      <c r="W1600" s="416"/>
      <c r="X1600" s="416"/>
      <c r="Y1600" s="416"/>
      <c r="Z1600" s="416"/>
      <c r="AA1600" s="416"/>
      <c r="AC1600" s="417"/>
      <c r="AD1600" s="417"/>
      <c r="AE1600" s="417"/>
      <c r="AF1600" s="417"/>
      <c r="AG1600" s="56"/>
      <c r="AH1600" s="56"/>
      <c r="AI1600" s="56"/>
      <c r="AJ1600" s="56"/>
      <c r="AK1600" s="141"/>
      <c r="AL1600" s="141"/>
      <c r="AM1600" s="141"/>
      <c r="AN1600" s="141"/>
      <c r="AO1600" s="140"/>
      <c r="AP1600" s="140"/>
      <c r="AQ1600" s="140"/>
      <c r="AR1600" s="140"/>
      <c r="AS1600" s="142"/>
      <c r="AT1600" s="142"/>
      <c r="AU1600" s="142"/>
      <c r="AV1600" s="142"/>
      <c r="AW1600" s="140"/>
      <c r="AX1600" s="140"/>
      <c r="AY1600" s="140"/>
      <c r="AZ1600" s="140"/>
      <c r="BA1600" s="140"/>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c r="BY1600" s="115"/>
      <c r="BZ1600" s="115"/>
      <c r="CA1600" s="115"/>
      <c r="CB1600" s="115"/>
      <c r="CC1600" s="115"/>
      <c r="CD1600" s="115"/>
      <c r="CE1600" s="115"/>
      <c r="CF1600" s="115"/>
      <c r="CG1600" s="115"/>
      <c r="CH1600" s="115"/>
      <c r="CI1600" s="115"/>
      <c r="CJ1600" s="115"/>
      <c r="CK1600" s="115"/>
      <c r="CL1600" s="115"/>
      <c r="CM1600" s="115"/>
      <c r="CN1600" s="115"/>
      <c r="CO1600" s="115"/>
      <c r="CP1600" s="115"/>
      <c r="CQ1600" s="115"/>
      <c r="CR1600" s="115"/>
      <c r="CS1600" s="115"/>
      <c r="CT1600" s="115"/>
      <c r="CU1600" s="115"/>
      <c r="CV1600" s="115"/>
      <c r="CW1600" s="115"/>
      <c r="CX1600" s="115"/>
      <c r="CY1600" s="115"/>
      <c r="CZ1600" s="115"/>
      <c r="DA1600" s="115"/>
      <c r="DB1600" s="115"/>
      <c r="DC1600" s="115"/>
      <c r="DD1600" s="115"/>
      <c r="DE1600" s="115"/>
      <c r="DF1600" s="115"/>
      <c r="DG1600" s="115"/>
    </row>
    <row r="1601" spans="1:111" ht="9" customHeight="1">
      <c r="Q1601" s="417"/>
      <c r="R1601" s="417"/>
      <c r="S1601" s="417"/>
      <c r="T1601" s="417"/>
      <c r="AC1601" s="417"/>
      <c r="AD1601" s="417"/>
      <c r="AE1601" s="417"/>
      <c r="AF1601" s="417"/>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c r="BY1601" s="115"/>
      <c r="BZ1601" s="115"/>
      <c r="CA1601" s="115"/>
      <c r="CB1601" s="115"/>
      <c r="CC1601" s="115"/>
      <c r="CD1601" s="115"/>
      <c r="CE1601" s="115"/>
      <c r="CF1601" s="115"/>
      <c r="CG1601" s="115"/>
      <c r="CH1601" s="115"/>
      <c r="CI1601" s="115"/>
      <c r="CJ1601" s="115"/>
      <c r="CK1601" s="115"/>
      <c r="CL1601" s="115"/>
      <c r="CM1601" s="115"/>
      <c r="CN1601" s="115"/>
      <c r="CO1601" s="115"/>
      <c r="CP1601" s="115"/>
      <c r="CQ1601" s="115"/>
      <c r="CR1601" s="115"/>
      <c r="CS1601" s="115"/>
      <c r="CT1601" s="115"/>
      <c r="CU1601" s="115"/>
      <c r="CV1601" s="115"/>
      <c r="CW1601" s="115"/>
      <c r="CX1601" s="115"/>
      <c r="CY1601" s="115"/>
      <c r="CZ1601" s="115"/>
      <c r="DA1601" s="115"/>
      <c r="DB1601" s="115"/>
      <c r="DC1601" s="115"/>
      <c r="DD1601" s="115"/>
      <c r="DE1601" s="115"/>
      <c r="DF1601" s="115"/>
      <c r="DG1601" s="115"/>
    </row>
    <row r="1602" spans="1:111" ht="4.5" customHeight="1">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c r="BY1602" s="115"/>
      <c r="BZ1602" s="115"/>
      <c r="CA1602" s="115"/>
      <c r="CB1602" s="115"/>
      <c r="CC1602" s="115"/>
      <c r="CD1602" s="115"/>
      <c r="CE1602" s="115"/>
      <c r="CF1602" s="115"/>
      <c r="CG1602" s="115"/>
      <c r="CH1602" s="115"/>
      <c r="CI1602" s="115"/>
      <c r="CJ1602" s="115"/>
      <c r="CK1602" s="115"/>
      <c r="CL1602" s="115"/>
      <c r="CM1602" s="115"/>
      <c r="CN1602" s="115"/>
      <c r="CO1602" s="115"/>
      <c r="CP1602" s="115"/>
      <c r="CQ1602" s="115"/>
      <c r="CR1602" s="115"/>
      <c r="CS1602" s="115"/>
      <c r="CT1602" s="115"/>
      <c r="CU1602" s="115"/>
      <c r="CV1602" s="115"/>
      <c r="CW1602" s="115"/>
      <c r="CX1602" s="115"/>
      <c r="CY1602" s="115"/>
      <c r="CZ1602" s="115"/>
      <c r="DA1602" s="115"/>
      <c r="DB1602" s="115"/>
      <c r="DC1602" s="115"/>
      <c r="DD1602" s="115"/>
      <c r="DE1602" s="115"/>
      <c r="DF1602" s="115"/>
      <c r="DG1602" s="115"/>
    </row>
    <row r="1603" spans="1:111" ht="9" customHeight="1">
      <c r="A1603" s="154"/>
      <c r="B1603" s="154"/>
      <c r="C1603" s="154"/>
      <c r="D1603" s="154"/>
      <c r="E1603" s="154"/>
      <c r="F1603" s="154"/>
      <c r="G1603" s="154"/>
      <c r="H1603" s="154"/>
      <c r="I1603" s="154"/>
      <c r="J1603" s="416" t="str">
        <f>IF(C1589="","","Quantidade:")</f>
        <v/>
      </c>
      <c r="K1603" s="416"/>
      <c r="L1603" s="416"/>
      <c r="M1603" s="416"/>
      <c r="N1603" s="416"/>
      <c r="O1603" s="416"/>
      <c r="P1603" s="154"/>
      <c r="Q1603" s="417"/>
      <c r="R1603" s="417"/>
      <c r="S1603" s="417"/>
      <c r="T1603" s="417"/>
      <c r="U1603" s="154"/>
      <c r="V1603" s="416" t="str">
        <f>IF(C1589="","","Unidade:")</f>
        <v/>
      </c>
      <c r="W1603" s="416"/>
      <c r="X1603" s="416"/>
      <c r="Y1603" s="416"/>
      <c r="Z1603" s="416"/>
      <c r="AA1603" s="416"/>
      <c r="AB1603" s="154"/>
      <c r="AC1603" s="418"/>
      <c r="AD1603" s="418"/>
      <c r="AE1603" s="418"/>
      <c r="AF1603" s="418"/>
      <c r="AG1603" s="418"/>
      <c r="AH1603" s="418"/>
      <c r="AI1603" s="418"/>
      <c r="AJ1603" s="418"/>
      <c r="AK1603" s="418"/>
      <c r="AL1603" s="418"/>
      <c r="AM1603" s="418"/>
      <c r="AN1603" s="418"/>
      <c r="AO1603" s="418"/>
      <c r="AP1603" s="418"/>
      <c r="AQ1603" s="418"/>
      <c r="AR1603" s="418"/>
      <c r="AS1603" s="418"/>
      <c r="AT1603" s="418"/>
      <c r="AU1603" s="418"/>
      <c r="AV1603" s="418"/>
      <c r="AW1603" s="418"/>
      <c r="AX1603" s="418"/>
      <c r="AY1603" s="418"/>
      <c r="AZ1603" s="418"/>
      <c r="BA1603" s="418"/>
      <c r="BB1603" s="154"/>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c r="BY1603" s="115"/>
      <c r="BZ1603" s="115"/>
      <c r="CA1603" s="115"/>
      <c r="CB1603" s="115"/>
      <c r="CC1603" s="115"/>
      <c r="CD1603" s="115"/>
      <c r="CE1603" s="115"/>
      <c r="CF1603" s="115"/>
      <c r="CG1603" s="115"/>
      <c r="CH1603" s="115"/>
      <c r="CI1603" s="115"/>
      <c r="CJ1603" s="115"/>
      <c r="CK1603" s="115"/>
      <c r="CL1603" s="115"/>
      <c r="CM1603" s="115"/>
      <c r="CN1603" s="115"/>
      <c r="CO1603" s="115"/>
      <c r="CP1603" s="115"/>
      <c r="CQ1603" s="115"/>
      <c r="CR1603" s="115"/>
      <c r="CS1603" s="115"/>
      <c r="CT1603" s="115"/>
      <c r="CU1603" s="115"/>
      <c r="CV1603" s="115"/>
      <c r="CW1603" s="115"/>
      <c r="CX1603" s="115"/>
      <c r="CY1603" s="115"/>
      <c r="CZ1603" s="115"/>
      <c r="DA1603" s="115"/>
      <c r="DB1603" s="115"/>
      <c r="DC1603" s="115"/>
      <c r="DD1603" s="115"/>
      <c r="DE1603" s="115"/>
      <c r="DF1603" s="115"/>
      <c r="DG1603" s="115"/>
    </row>
    <row r="1604" spans="1:111" ht="9" customHeight="1">
      <c r="A1604" s="154"/>
      <c r="B1604" s="154"/>
      <c r="C1604" s="154"/>
      <c r="D1604" s="154"/>
      <c r="E1604" s="154"/>
      <c r="F1604" s="154"/>
      <c r="G1604" s="154"/>
      <c r="H1604" s="154"/>
      <c r="I1604" s="154"/>
      <c r="J1604" s="416"/>
      <c r="K1604" s="416"/>
      <c r="L1604" s="416"/>
      <c r="M1604" s="416"/>
      <c r="N1604" s="416"/>
      <c r="O1604" s="416"/>
      <c r="P1604" s="154"/>
      <c r="Q1604" s="417"/>
      <c r="R1604" s="417"/>
      <c r="S1604" s="417"/>
      <c r="T1604" s="417"/>
      <c r="U1604" s="154"/>
      <c r="V1604" s="416"/>
      <c r="W1604" s="416"/>
      <c r="X1604" s="416"/>
      <c r="Y1604" s="416"/>
      <c r="Z1604" s="416"/>
      <c r="AA1604" s="416"/>
      <c r="AB1604" s="154"/>
      <c r="AC1604" s="418"/>
      <c r="AD1604" s="418"/>
      <c r="AE1604" s="418"/>
      <c r="AF1604" s="418"/>
      <c r="AG1604" s="418"/>
      <c r="AH1604" s="418"/>
      <c r="AI1604" s="418"/>
      <c r="AJ1604" s="418"/>
      <c r="AK1604" s="418"/>
      <c r="AL1604" s="418"/>
      <c r="AM1604" s="418"/>
      <c r="AN1604" s="418"/>
      <c r="AO1604" s="418"/>
      <c r="AP1604" s="418"/>
      <c r="AQ1604" s="418"/>
      <c r="AR1604" s="418"/>
      <c r="AS1604" s="418"/>
      <c r="AT1604" s="418"/>
      <c r="AU1604" s="418"/>
      <c r="AV1604" s="418"/>
      <c r="AW1604" s="418"/>
      <c r="AX1604" s="418"/>
      <c r="AY1604" s="418"/>
      <c r="AZ1604" s="418"/>
      <c r="BA1604" s="418"/>
      <c r="BB1604" s="154"/>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c r="BY1604" s="115"/>
      <c r="BZ1604" s="115"/>
      <c r="CA1604" s="115"/>
      <c r="CB1604" s="115"/>
      <c r="CC1604" s="115"/>
      <c r="CD1604" s="115"/>
      <c r="CE1604" s="115"/>
      <c r="CF1604" s="115"/>
      <c r="CG1604" s="115"/>
      <c r="CH1604" s="115"/>
      <c r="CI1604" s="115"/>
      <c r="CJ1604" s="115"/>
      <c r="CK1604" s="115"/>
      <c r="CL1604" s="115"/>
      <c r="CM1604" s="115"/>
      <c r="CN1604" s="115"/>
      <c r="CO1604" s="115"/>
      <c r="CP1604" s="115"/>
      <c r="CQ1604" s="115"/>
      <c r="CR1604" s="115"/>
      <c r="CS1604" s="115"/>
      <c r="CT1604" s="115"/>
      <c r="CU1604" s="115"/>
      <c r="CV1604" s="115"/>
      <c r="CW1604" s="115"/>
      <c r="CX1604" s="115"/>
      <c r="CY1604" s="115"/>
      <c r="CZ1604" s="115"/>
      <c r="DA1604" s="115"/>
      <c r="DB1604" s="115"/>
      <c r="DC1604" s="115"/>
      <c r="DD1604" s="115"/>
      <c r="DE1604" s="115"/>
      <c r="DF1604" s="115"/>
      <c r="DG1604" s="115"/>
    </row>
    <row r="1605" spans="1:111" ht="9" customHeight="1">
      <c r="A1605" s="154"/>
      <c r="B1605" s="154"/>
      <c r="C1605" s="154"/>
      <c r="D1605" s="154"/>
      <c r="E1605" s="154"/>
      <c r="F1605" s="154"/>
      <c r="G1605" s="154"/>
      <c r="H1605" s="154"/>
      <c r="I1605" s="154"/>
      <c r="J1605" s="154"/>
      <c r="K1605" s="154"/>
      <c r="L1605" s="154"/>
      <c r="M1605" s="154"/>
      <c r="N1605" s="154"/>
      <c r="O1605" s="154"/>
      <c r="P1605" s="154"/>
      <c r="Q1605" s="417"/>
      <c r="R1605" s="417"/>
      <c r="S1605" s="417"/>
      <c r="T1605" s="417"/>
      <c r="U1605" s="154"/>
      <c r="V1605" s="154"/>
      <c r="W1605" s="154"/>
      <c r="X1605" s="154"/>
      <c r="Y1605" s="154"/>
      <c r="Z1605" s="154"/>
      <c r="AA1605" s="154"/>
      <c r="AB1605" s="154"/>
      <c r="AC1605" s="418"/>
      <c r="AD1605" s="418"/>
      <c r="AE1605" s="418"/>
      <c r="AF1605" s="418"/>
      <c r="AG1605" s="418"/>
      <c r="AH1605" s="418"/>
      <c r="AI1605" s="418"/>
      <c r="AJ1605" s="418"/>
      <c r="AK1605" s="418"/>
      <c r="AL1605" s="418"/>
      <c r="AM1605" s="418"/>
      <c r="AN1605" s="418"/>
      <c r="AO1605" s="418"/>
      <c r="AP1605" s="418"/>
      <c r="AQ1605" s="418"/>
      <c r="AR1605" s="418"/>
      <c r="AS1605" s="418"/>
      <c r="AT1605" s="418"/>
      <c r="AU1605" s="418"/>
      <c r="AV1605" s="418"/>
      <c r="AW1605" s="418"/>
      <c r="AX1605" s="418"/>
      <c r="AY1605" s="418"/>
      <c r="AZ1605" s="418"/>
      <c r="BA1605" s="418"/>
      <c r="BB1605" s="154"/>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c r="BY1605" s="115"/>
      <c r="BZ1605" s="115"/>
      <c r="CA1605" s="115"/>
      <c r="CB1605" s="115"/>
      <c r="CC1605" s="115"/>
      <c r="CD1605" s="115"/>
      <c r="CE1605" s="115"/>
      <c r="CF1605" s="115"/>
      <c r="CG1605" s="115"/>
      <c r="CH1605" s="115"/>
      <c r="CI1605" s="115"/>
      <c r="CJ1605" s="115"/>
      <c r="CK1605" s="115"/>
      <c r="CL1605" s="115"/>
      <c r="CM1605" s="115"/>
      <c r="CN1605" s="115"/>
      <c r="CO1605" s="115"/>
      <c r="CP1605" s="115"/>
      <c r="CQ1605" s="115"/>
      <c r="CR1605" s="115"/>
      <c r="CS1605" s="115"/>
      <c r="CT1605" s="115"/>
      <c r="CU1605" s="115"/>
      <c r="CV1605" s="115"/>
      <c r="CW1605" s="115"/>
      <c r="CX1605" s="115"/>
      <c r="CY1605" s="115"/>
      <c r="CZ1605" s="115"/>
      <c r="DA1605" s="115"/>
      <c r="DB1605" s="115"/>
      <c r="DC1605" s="115"/>
      <c r="DD1605" s="115"/>
      <c r="DE1605" s="115"/>
      <c r="DF1605" s="115"/>
      <c r="DG1605" s="115"/>
    </row>
    <row r="1606" spans="1:111" ht="4.5" customHeight="1">
      <c r="A1606" s="154"/>
      <c r="B1606" s="154"/>
      <c r="C1606" s="154"/>
      <c r="D1606" s="154"/>
      <c r="E1606" s="154"/>
      <c r="F1606" s="154"/>
      <c r="G1606" s="154"/>
      <c r="H1606" s="154"/>
      <c r="I1606" s="154"/>
      <c r="J1606" s="154"/>
      <c r="K1606" s="154"/>
      <c r="L1606" s="154"/>
      <c r="M1606" s="154"/>
      <c r="N1606" s="154"/>
      <c r="O1606" s="154"/>
      <c r="P1606" s="154"/>
      <c r="Q1606" s="154"/>
      <c r="R1606" s="154"/>
      <c r="S1606" s="154"/>
      <c r="T1606" s="154"/>
      <c r="U1606" s="154"/>
      <c r="V1606" s="154"/>
      <c r="W1606" s="154"/>
      <c r="X1606" s="154"/>
      <c r="Y1606" s="154"/>
      <c r="Z1606" s="154"/>
      <c r="AA1606" s="154"/>
      <c r="AB1606" s="154"/>
      <c r="AC1606" s="154"/>
      <c r="AD1606" s="154"/>
      <c r="AE1606" s="154"/>
      <c r="AF1606" s="154"/>
      <c r="AG1606" s="154"/>
      <c r="AH1606" s="154"/>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c r="BY1606" s="115"/>
      <c r="BZ1606" s="115"/>
      <c r="CA1606" s="115"/>
      <c r="CB1606" s="115"/>
      <c r="CC1606" s="115"/>
      <c r="CD1606" s="115"/>
      <c r="CE1606" s="115"/>
      <c r="CF1606" s="115"/>
      <c r="CG1606" s="115"/>
      <c r="CH1606" s="115"/>
      <c r="CI1606" s="115"/>
      <c r="CJ1606" s="115"/>
      <c r="CK1606" s="115"/>
      <c r="CL1606" s="115"/>
      <c r="CM1606" s="115"/>
      <c r="CN1606" s="115"/>
      <c r="CO1606" s="115"/>
      <c r="CP1606" s="115"/>
      <c r="CQ1606" s="115"/>
      <c r="CR1606" s="115"/>
      <c r="CS1606" s="115"/>
      <c r="CT1606" s="115"/>
      <c r="CU1606" s="115"/>
      <c r="CV1606" s="115"/>
      <c r="CW1606" s="115"/>
      <c r="CX1606" s="115"/>
      <c r="CY1606" s="115"/>
      <c r="CZ1606" s="115"/>
      <c r="DA1606" s="115"/>
      <c r="DB1606" s="115"/>
      <c r="DC1606" s="115"/>
      <c r="DD1606" s="115"/>
      <c r="DE1606" s="115"/>
      <c r="DF1606" s="115"/>
      <c r="DG1606" s="115"/>
    </row>
    <row r="1607" spans="1:111" ht="9" customHeight="1">
      <c r="A1607" s="154"/>
      <c r="B1607" s="154"/>
      <c r="C1607" s="154"/>
      <c r="D1607" s="154"/>
      <c r="E1607" s="154"/>
      <c r="F1607" s="154"/>
      <c r="G1607" s="154"/>
      <c r="H1607" s="154"/>
      <c r="I1607" s="154"/>
      <c r="J1607" s="416" t="str">
        <f>IF(C1589="","","Valor Unitário (R$):")</f>
        <v/>
      </c>
      <c r="K1607" s="416"/>
      <c r="L1607" s="416"/>
      <c r="M1607" s="416"/>
      <c r="N1607" s="416"/>
      <c r="O1607" s="416"/>
      <c r="P1607" s="154"/>
      <c r="Q1607" s="419"/>
      <c r="R1607" s="419"/>
      <c r="S1607" s="419"/>
      <c r="T1607" s="419"/>
      <c r="U1607" s="419"/>
      <c r="V1607" s="419"/>
      <c r="W1607" s="419"/>
      <c r="X1607" s="419"/>
      <c r="Y1607" s="154"/>
      <c r="Z1607" s="416" t="str">
        <f>IF(C1589="","",IF(J1595="52 Equipamentos e Material Permanente","Tempo de Uso:",""))</f>
        <v/>
      </c>
      <c r="AA1607" s="416"/>
      <c r="AB1607" s="416"/>
      <c r="AC1607" s="416"/>
      <c r="AD1607" s="416"/>
      <c r="AE1607" s="416"/>
      <c r="AF1607" s="154"/>
      <c r="AG1607" s="420"/>
      <c r="AH1607" s="420"/>
      <c r="AI1607" s="420"/>
      <c r="AJ1607" s="420"/>
      <c r="AK1607" s="420"/>
      <c r="AL1607" s="420"/>
      <c r="AM1607" s="420"/>
      <c r="AN1607" s="420"/>
      <c r="AO1607" s="420"/>
      <c r="AP1607" s="420"/>
      <c r="AQ1607" s="420"/>
      <c r="AR1607" s="420"/>
      <c r="AS1607" s="420"/>
      <c r="AT1607" s="420"/>
      <c r="AU1607" s="420"/>
      <c r="AV1607" s="420"/>
      <c r="AW1607" s="420"/>
      <c r="AX1607" s="420"/>
      <c r="AY1607" s="420"/>
      <c r="AZ1607" s="420"/>
      <c r="BA1607" s="420"/>
      <c r="BB1607" s="154"/>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c r="BY1607" s="115"/>
      <c r="BZ1607" s="115"/>
      <c r="CA1607" s="115"/>
      <c r="CB1607" s="115"/>
      <c r="CC1607" s="115"/>
      <c r="CD1607" s="115"/>
      <c r="CE1607" s="115"/>
      <c r="CF1607" s="115"/>
      <c r="CG1607" s="115"/>
      <c r="CH1607" s="115"/>
      <c r="CI1607" s="115"/>
      <c r="CJ1607" s="115"/>
      <c r="CK1607" s="115"/>
      <c r="CL1607" s="115"/>
      <c r="CM1607" s="115"/>
      <c r="CN1607" s="115"/>
      <c r="CO1607" s="115"/>
      <c r="CP1607" s="115"/>
      <c r="CQ1607" s="115"/>
      <c r="CR1607" s="115"/>
      <c r="CS1607" s="115"/>
      <c r="CT1607" s="115"/>
      <c r="CU1607" s="115"/>
      <c r="CV1607" s="115"/>
      <c r="CW1607" s="115"/>
      <c r="CX1607" s="115"/>
      <c r="CY1607" s="115"/>
      <c r="CZ1607" s="115"/>
      <c r="DA1607" s="115"/>
      <c r="DB1607" s="115"/>
      <c r="DC1607" s="115"/>
      <c r="DD1607" s="115"/>
      <c r="DE1607" s="115"/>
      <c r="DF1607" s="115"/>
      <c r="DG1607" s="115"/>
    </row>
    <row r="1608" spans="1:111" ht="9" customHeight="1">
      <c r="A1608" s="154"/>
      <c r="B1608" s="154"/>
      <c r="C1608" s="154"/>
      <c r="D1608" s="154"/>
      <c r="E1608" s="154"/>
      <c r="F1608" s="154"/>
      <c r="G1608" s="154"/>
      <c r="H1608" s="154"/>
      <c r="I1608" s="154"/>
      <c r="J1608" s="416"/>
      <c r="K1608" s="416"/>
      <c r="L1608" s="416"/>
      <c r="M1608" s="416"/>
      <c r="N1608" s="416"/>
      <c r="O1608" s="416"/>
      <c r="P1608" s="154"/>
      <c r="Q1608" s="419"/>
      <c r="R1608" s="419"/>
      <c r="S1608" s="419"/>
      <c r="T1608" s="419"/>
      <c r="U1608" s="419"/>
      <c r="V1608" s="419"/>
      <c r="W1608" s="419"/>
      <c r="X1608" s="419"/>
      <c r="Y1608" s="154"/>
      <c r="Z1608" s="416"/>
      <c r="AA1608" s="416"/>
      <c r="AB1608" s="416"/>
      <c r="AC1608" s="416"/>
      <c r="AD1608" s="416"/>
      <c r="AE1608" s="416"/>
      <c r="AF1608" s="154"/>
      <c r="AG1608" s="420"/>
      <c r="AH1608" s="420"/>
      <c r="AI1608" s="420"/>
      <c r="AJ1608" s="420"/>
      <c r="AK1608" s="420"/>
      <c r="AL1608" s="420"/>
      <c r="AM1608" s="420"/>
      <c r="AN1608" s="420"/>
      <c r="AO1608" s="420"/>
      <c r="AP1608" s="420"/>
      <c r="AQ1608" s="420"/>
      <c r="AR1608" s="420"/>
      <c r="AS1608" s="420"/>
      <c r="AT1608" s="420"/>
      <c r="AU1608" s="420"/>
      <c r="AV1608" s="420"/>
      <c r="AW1608" s="420"/>
      <c r="AX1608" s="420"/>
      <c r="AY1608" s="420"/>
      <c r="AZ1608" s="420"/>
      <c r="BA1608" s="420"/>
      <c r="BB1608" s="154"/>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c r="BY1608" s="115"/>
      <c r="BZ1608" s="115"/>
      <c r="CA1608" s="115"/>
      <c r="CB1608" s="115"/>
      <c r="CC1608" s="115"/>
      <c r="CD1608" s="115"/>
      <c r="CE1608" s="115"/>
      <c r="CF1608" s="115"/>
      <c r="CG1608" s="115"/>
      <c r="CH1608" s="115"/>
      <c r="CI1608" s="115"/>
      <c r="CJ1608" s="115"/>
      <c r="CK1608" s="115"/>
      <c r="CL1608" s="115"/>
      <c r="CM1608" s="115"/>
      <c r="CN1608" s="115"/>
      <c r="CO1608" s="115"/>
      <c r="CP1608" s="115"/>
      <c r="CQ1608" s="115"/>
      <c r="CR1608" s="115"/>
      <c r="CS1608" s="115"/>
      <c r="CT1608" s="115"/>
      <c r="CU1608" s="115"/>
      <c r="CV1608" s="115"/>
      <c r="CW1608" s="115"/>
      <c r="CX1608" s="115"/>
      <c r="CY1608" s="115"/>
      <c r="CZ1608" s="115"/>
      <c r="DA1608" s="115"/>
      <c r="DB1608" s="115"/>
      <c r="DC1608" s="115"/>
      <c r="DD1608" s="115"/>
      <c r="DE1608" s="115"/>
      <c r="DF1608" s="115"/>
      <c r="DG1608" s="115"/>
    </row>
    <row r="1609" spans="1:111" ht="9" customHeight="1">
      <c r="A1609" s="154"/>
      <c r="B1609" s="154"/>
      <c r="C1609" s="154"/>
      <c r="D1609" s="154"/>
      <c r="E1609" s="154"/>
      <c r="F1609" s="154"/>
      <c r="G1609" s="154"/>
      <c r="H1609" s="154"/>
      <c r="I1609" s="154"/>
      <c r="J1609" s="154"/>
      <c r="K1609" s="154"/>
      <c r="L1609" s="154"/>
      <c r="M1609" s="154"/>
      <c r="N1609" s="154"/>
      <c r="O1609" s="154"/>
      <c r="P1609" s="154"/>
      <c r="Q1609" s="419"/>
      <c r="R1609" s="419"/>
      <c r="S1609" s="419"/>
      <c r="T1609" s="419"/>
      <c r="U1609" s="419"/>
      <c r="V1609" s="419"/>
      <c r="W1609" s="419"/>
      <c r="X1609" s="419"/>
      <c r="Y1609" s="154"/>
      <c r="Z1609" s="154"/>
      <c r="AA1609" s="154"/>
      <c r="AB1609" s="154"/>
      <c r="AC1609" s="154"/>
      <c r="AD1609" s="154"/>
      <c r="AE1609" s="154"/>
      <c r="AF1609" s="154"/>
      <c r="AG1609" s="420"/>
      <c r="AH1609" s="420"/>
      <c r="AI1609" s="420"/>
      <c r="AJ1609" s="420"/>
      <c r="AK1609" s="420"/>
      <c r="AL1609" s="420"/>
      <c r="AM1609" s="420"/>
      <c r="AN1609" s="420"/>
      <c r="AO1609" s="420"/>
      <c r="AP1609" s="420"/>
      <c r="AQ1609" s="420"/>
      <c r="AR1609" s="420"/>
      <c r="AS1609" s="420"/>
      <c r="AT1609" s="420"/>
      <c r="AU1609" s="420"/>
      <c r="AV1609" s="420"/>
      <c r="AW1609" s="420"/>
      <c r="AX1609" s="420"/>
      <c r="AY1609" s="420"/>
      <c r="AZ1609" s="420"/>
      <c r="BA1609" s="420"/>
      <c r="BB1609" s="154"/>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c r="BY1609" s="115"/>
      <c r="BZ1609" s="115"/>
      <c r="CA1609" s="115"/>
      <c r="CB1609" s="115"/>
      <c r="CC1609" s="115"/>
      <c r="CD1609" s="115"/>
      <c r="CE1609" s="115"/>
      <c r="CF1609" s="115"/>
      <c r="CG1609" s="115"/>
      <c r="CH1609" s="115"/>
      <c r="CI1609" s="115"/>
      <c r="CJ1609" s="115"/>
      <c r="CK1609" s="115"/>
      <c r="CL1609" s="115"/>
      <c r="CM1609" s="115"/>
      <c r="CN1609" s="115"/>
      <c r="CO1609" s="115"/>
      <c r="CP1609" s="115"/>
      <c r="CQ1609" s="115"/>
      <c r="CR1609" s="115"/>
      <c r="CS1609" s="115"/>
      <c r="CT1609" s="115"/>
      <c r="CU1609" s="115"/>
      <c r="CV1609" s="115"/>
      <c r="CW1609" s="115"/>
      <c r="CX1609" s="115"/>
      <c r="CY1609" s="115"/>
      <c r="CZ1609" s="115"/>
      <c r="DA1609" s="115"/>
      <c r="DB1609" s="115"/>
      <c r="DC1609" s="115"/>
      <c r="DD1609" s="115"/>
      <c r="DE1609" s="115"/>
      <c r="DF1609" s="115"/>
      <c r="DG1609" s="115"/>
    </row>
    <row r="1610" spans="1:111" ht="4.5" customHeight="1">
      <c r="A1610" s="154"/>
      <c r="B1610" s="154"/>
      <c r="C1610" s="154"/>
      <c r="D1610" s="154"/>
      <c r="E1610" s="154"/>
      <c r="F1610" s="154"/>
      <c r="G1610" s="154"/>
      <c r="H1610" s="154"/>
      <c r="I1610" s="154"/>
      <c r="J1610" s="154"/>
      <c r="K1610" s="154"/>
      <c r="L1610" s="154"/>
      <c r="M1610" s="154"/>
      <c r="N1610" s="154"/>
      <c r="O1610" s="154"/>
      <c r="P1610" s="154"/>
      <c r="Q1610" s="154"/>
      <c r="R1610" s="154"/>
      <c r="S1610" s="154"/>
      <c r="T1610" s="154"/>
      <c r="U1610" s="154"/>
      <c r="V1610" s="154"/>
      <c r="W1610" s="154"/>
      <c r="X1610" s="154"/>
      <c r="Y1610" s="154"/>
      <c r="Z1610" s="154"/>
      <c r="AA1610" s="154"/>
      <c r="AB1610" s="154"/>
      <c r="AC1610" s="154"/>
      <c r="AD1610" s="154"/>
      <c r="AE1610" s="154"/>
      <c r="AF1610" s="154"/>
      <c r="AG1610" s="154"/>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c r="BY1610" s="115"/>
      <c r="BZ1610" s="115"/>
      <c r="CA1610" s="115"/>
      <c r="CB1610" s="115"/>
      <c r="CC1610" s="115"/>
      <c r="CD1610" s="115"/>
      <c r="CE1610" s="115"/>
      <c r="CF1610" s="115"/>
      <c r="CG1610" s="115"/>
      <c r="CH1610" s="115"/>
      <c r="CI1610" s="115"/>
      <c r="CJ1610" s="115"/>
      <c r="CK1610" s="115"/>
      <c r="CL1610" s="115"/>
      <c r="CM1610" s="115"/>
      <c r="CN1610" s="115"/>
      <c r="CO1610" s="115"/>
      <c r="CP1610" s="115"/>
      <c r="CQ1610" s="115"/>
      <c r="CR1610" s="115"/>
      <c r="CS1610" s="115"/>
      <c r="CT1610" s="115"/>
      <c r="CU1610" s="115"/>
      <c r="CV1610" s="115"/>
      <c r="CW1610" s="115"/>
      <c r="CX1610" s="115"/>
      <c r="CY1610" s="115"/>
      <c r="CZ1610" s="115"/>
      <c r="DA1610" s="115"/>
      <c r="DB1610" s="115"/>
      <c r="DC1610" s="115"/>
      <c r="DD1610" s="115"/>
      <c r="DE1610" s="115"/>
      <c r="DF1610" s="115"/>
      <c r="DG1610" s="115"/>
    </row>
    <row r="1611" spans="1:111" ht="9" customHeight="1">
      <c r="A1611" s="154"/>
      <c r="B1611" s="154"/>
      <c r="C1611" s="154"/>
      <c r="D1611" s="154"/>
      <c r="E1611" s="154"/>
      <c r="F1611" s="154"/>
      <c r="G1611" s="154"/>
      <c r="H1611" s="154"/>
      <c r="I1611" s="154"/>
      <c r="J1611" s="416" t="str">
        <f>IF(C1589="","","Valor Total (R$):")</f>
        <v/>
      </c>
      <c r="K1611" s="416"/>
      <c r="L1611" s="416"/>
      <c r="M1611" s="416"/>
      <c r="N1611" s="416"/>
      <c r="O1611" s="416"/>
      <c r="P1611" s="154"/>
      <c r="Q1611" s="419" t="str">
        <f>IF(Q1607="","",Q1603*Q1607)</f>
        <v/>
      </c>
      <c r="R1611" s="419"/>
      <c r="S1611" s="419"/>
      <c r="T1611" s="419"/>
      <c r="U1611" s="419"/>
      <c r="V1611" s="419"/>
      <c r="W1611" s="419"/>
      <c r="X1611" s="419"/>
      <c r="Y1611" s="154"/>
      <c r="Z1611" s="416" t="str">
        <f>IF(C1589="","",IF(J1595="52 Equipamentos e Material Permanente","Justificativa e Utilização:",""))</f>
        <v/>
      </c>
      <c r="AA1611" s="416"/>
      <c r="AB1611" s="416"/>
      <c r="AC1611" s="416"/>
      <c r="AD1611" s="416"/>
      <c r="AE1611" s="416"/>
      <c r="AF1611" s="154"/>
      <c r="AG1611" s="420"/>
      <c r="AH1611" s="420"/>
      <c r="AI1611" s="420"/>
      <c r="AJ1611" s="420"/>
      <c r="AK1611" s="420"/>
      <c r="AL1611" s="420"/>
      <c r="AM1611" s="420"/>
      <c r="AN1611" s="420"/>
      <c r="AO1611" s="420"/>
      <c r="AP1611" s="420"/>
      <c r="AQ1611" s="420"/>
      <c r="AR1611" s="420"/>
      <c r="AS1611" s="420"/>
      <c r="AT1611" s="420"/>
      <c r="AU1611" s="420"/>
      <c r="AV1611" s="420"/>
      <c r="AW1611" s="420"/>
      <c r="AX1611" s="420"/>
      <c r="AY1611" s="420"/>
      <c r="AZ1611" s="420"/>
      <c r="BA1611" s="420"/>
      <c r="BB1611" s="154"/>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c r="BY1611" s="115"/>
      <c r="BZ1611" s="115"/>
      <c r="CA1611" s="115"/>
      <c r="CB1611" s="115"/>
      <c r="CC1611" s="115"/>
      <c r="CD1611" s="115"/>
      <c r="CE1611" s="115"/>
      <c r="CF1611" s="115"/>
      <c r="CG1611" s="115"/>
      <c r="CH1611" s="115"/>
      <c r="CI1611" s="115"/>
      <c r="CJ1611" s="115"/>
      <c r="CK1611" s="115"/>
      <c r="CL1611" s="115"/>
      <c r="CM1611" s="115"/>
      <c r="CN1611" s="115"/>
      <c r="CO1611" s="115"/>
      <c r="CP1611" s="115"/>
      <c r="CQ1611" s="115"/>
      <c r="CR1611" s="115"/>
      <c r="CS1611" s="115"/>
      <c r="CT1611" s="115"/>
      <c r="CU1611" s="115"/>
      <c r="CV1611" s="115"/>
      <c r="CW1611" s="115"/>
      <c r="CX1611" s="115"/>
      <c r="CY1611" s="115"/>
      <c r="CZ1611" s="115"/>
      <c r="DA1611" s="115"/>
      <c r="DB1611" s="115"/>
      <c r="DC1611" s="115"/>
      <c r="DD1611" s="115"/>
      <c r="DE1611" s="115"/>
      <c r="DF1611" s="115"/>
      <c r="DG1611" s="115"/>
    </row>
    <row r="1612" spans="1:111" ht="9" customHeight="1">
      <c r="A1612" s="154"/>
      <c r="B1612" s="154"/>
      <c r="C1612" s="154"/>
      <c r="D1612" s="154"/>
      <c r="E1612" s="154"/>
      <c r="F1612" s="154"/>
      <c r="G1612" s="154"/>
      <c r="H1612" s="154"/>
      <c r="I1612" s="154"/>
      <c r="J1612" s="416"/>
      <c r="K1612" s="416"/>
      <c r="L1612" s="416"/>
      <c r="M1612" s="416"/>
      <c r="N1612" s="416"/>
      <c r="O1612" s="416"/>
      <c r="P1612" s="154"/>
      <c r="Q1612" s="419"/>
      <c r="R1612" s="419"/>
      <c r="S1612" s="419"/>
      <c r="T1612" s="419"/>
      <c r="U1612" s="419"/>
      <c r="V1612" s="419"/>
      <c r="W1612" s="419"/>
      <c r="X1612" s="419"/>
      <c r="Y1612" s="154"/>
      <c r="Z1612" s="416"/>
      <c r="AA1612" s="416"/>
      <c r="AB1612" s="416"/>
      <c r="AC1612" s="416"/>
      <c r="AD1612" s="416"/>
      <c r="AE1612" s="416"/>
      <c r="AF1612" s="154"/>
      <c r="AG1612" s="420"/>
      <c r="AH1612" s="420"/>
      <c r="AI1612" s="420"/>
      <c r="AJ1612" s="420"/>
      <c r="AK1612" s="420"/>
      <c r="AL1612" s="420"/>
      <c r="AM1612" s="420"/>
      <c r="AN1612" s="420"/>
      <c r="AO1612" s="420"/>
      <c r="AP1612" s="420"/>
      <c r="AQ1612" s="420"/>
      <c r="AR1612" s="420"/>
      <c r="AS1612" s="420"/>
      <c r="AT1612" s="420"/>
      <c r="AU1612" s="420"/>
      <c r="AV1612" s="420"/>
      <c r="AW1612" s="420"/>
      <c r="AX1612" s="420"/>
      <c r="AY1612" s="420"/>
      <c r="AZ1612" s="420"/>
      <c r="BA1612" s="420"/>
      <c r="BB1612" s="154"/>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c r="BY1612" s="115"/>
      <c r="BZ1612" s="115"/>
      <c r="CA1612" s="115"/>
      <c r="CB1612" s="115"/>
      <c r="CC1612" s="115"/>
      <c r="CD1612" s="115"/>
      <c r="CE1612" s="115"/>
      <c r="CF1612" s="115"/>
      <c r="CG1612" s="115"/>
      <c r="CH1612" s="115"/>
      <c r="CI1612" s="115"/>
      <c r="CJ1612" s="115"/>
      <c r="CK1612" s="115"/>
      <c r="CL1612" s="115"/>
      <c r="CM1612" s="115"/>
      <c r="CN1612" s="115"/>
      <c r="CO1612" s="115"/>
      <c r="CP1612" s="115"/>
      <c r="CQ1612" s="115"/>
      <c r="CR1612" s="115"/>
      <c r="CS1612" s="115"/>
      <c r="CT1612" s="115"/>
      <c r="CU1612" s="115"/>
      <c r="CV1612" s="115"/>
      <c r="CW1612" s="115"/>
      <c r="CX1612" s="115"/>
      <c r="CY1612" s="115"/>
      <c r="CZ1612" s="115"/>
      <c r="DA1612" s="115"/>
      <c r="DB1612" s="115"/>
      <c r="DC1612" s="115"/>
      <c r="DD1612" s="115"/>
      <c r="DE1612" s="115"/>
      <c r="DF1612" s="115"/>
      <c r="DG1612" s="115"/>
    </row>
    <row r="1613" spans="1:111" ht="9" customHeight="1">
      <c r="A1613" s="154"/>
      <c r="B1613" s="154"/>
      <c r="C1613" s="154"/>
      <c r="D1613" s="154"/>
      <c r="E1613" s="154"/>
      <c r="F1613" s="154"/>
      <c r="G1613" s="154"/>
      <c r="H1613" s="154"/>
      <c r="I1613" s="154"/>
      <c r="J1613" s="154"/>
      <c r="K1613" s="154"/>
      <c r="L1613" s="154"/>
      <c r="M1613" s="154"/>
      <c r="N1613" s="154"/>
      <c r="O1613" s="154"/>
      <c r="P1613" s="154"/>
      <c r="Q1613" s="419"/>
      <c r="R1613" s="419"/>
      <c r="S1613" s="419"/>
      <c r="T1613" s="419"/>
      <c r="U1613" s="419"/>
      <c r="V1613" s="419"/>
      <c r="W1613" s="419"/>
      <c r="X1613" s="419"/>
      <c r="Y1613" s="154"/>
      <c r="Z1613" s="154"/>
      <c r="AA1613" s="154"/>
      <c r="AB1613" s="154"/>
      <c r="AC1613" s="154"/>
      <c r="AD1613" s="154"/>
      <c r="AE1613" s="154"/>
      <c r="AF1613" s="154"/>
      <c r="AG1613" s="420"/>
      <c r="AH1613" s="420"/>
      <c r="AI1613" s="420"/>
      <c r="AJ1613" s="420"/>
      <c r="AK1613" s="420"/>
      <c r="AL1613" s="420"/>
      <c r="AM1613" s="420"/>
      <c r="AN1613" s="420"/>
      <c r="AO1613" s="420"/>
      <c r="AP1613" s="420"/>
      <c r="AQ1613" s="420"/>
      <c r="AR1613" s="420"/>
      <c r="AS1613" s="420"/>
      <c r="AT1613" s="420"/>
      <c r="AU1613" s="420"/>
      <c r="AV1613" s="420"/>
      <c r="AW1613" s="420"/>
      <c r="AX1613" s="420"/>
      <c r="AY1613" s="420"/>
      <c r="AZ1613" s="420"/>
      <c r="BA1613" s="420"/>
      <c r="BB1613" s="154"/>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c r="BY1613" s="115"/>
      <c r="BZ1613" s="115"/>
      <c r="CA1613" s="115"/>
      <c r="CB1613" s="115"/>
      <c r="CC1613" s="115"/>
      <c r="CD1613" s="115"/>
      <c r="CE1613" s="115"/>
      <c r="CF1613" s="115"/>
      <c r="CG1613" s="115"/>
      <c r="CH1613" s="115"/>
      <c r="CI1613" s="115"/>
      <c r="CJ1613" s="115"/>
      <c r="CK1613" s="115"/>
      <c r="CL1613" s="115"/>
      <c r="CM1613" s="115"/>
      <c r="CN1613" s="115"/>
      <c r="CO1613" s="115"/>
      <c r="CP1613" s="115"/>
      <c r="CQ1613" s="115"/>
      <c r="CR1613" s="115"/>
      <c r="CS1613" s="115"/>
      <c r="CT1613" s="115"/>
      <c r="CU1613" s="115"/>
      <c r="CV1613" s="115"/>
      <c r="CW1613" s="115"/>
      <c r="CX1613" s="115"/>
      <c r="CY1613" s="115"/>
      <c r="CZ1613" s="115"/>
      <c r="DA1613" s="115"/>
      <c r="DB1613" s="115"/>
      <c r="DC1613" s="115"/>
      <c r="DD1613" s="115"/>
      <c r="DE1613" s="115"/>
      <c r="DF1613" s="115"/>
      <c r="DG1613" s="115"/>
    </row>
    <row r="1614" spans="1:111" ht="9" customHeight="1">
      <c r="A1614" s="154"/>
      <c r="B1614" s="154"/>
      <c r="C1614" s="154"/>
      <c r="D1614" s="154"/>
      <c r="E1614" s="154"/>
      <c r="F1614" s="154"/>
      <c r="G1614" s="154"/>
      <c r="H1614" s="154"/>
      <c r="I1614" s="154"/>
      <c r="J1614" s="154"/>
      <c r="K1614" s="154"/>
      <c r="L1614" s="154"/>
      <c r="M1614" s="154"/>
      <c r="N1614" s="154"/>
      <c r="O1614" s="154"/>
      <c r="P1614" s="154"/>
      <c r="Q1614" s="154"/>
      <c r="R1614" s="154"/>
      <c r="S1614" s="154"/>
      <c r="T1614" s="154"/>
      <c r="U1614" s="154"/>
      <c r="V1614" s="154"/>
      <c r="W1614" s="154"/>
      <c r="X1614" s="154"/>
      <c r="Y1614" s="154"/>
      <c r="Z1614" s="154"/>
      <c r="AA1614" s="154"/>
      <c r="AB1614" s="154"/>
      <c r="AC1614" s="154"/>
      <c r="AD1614" s="154"/>
      <c r="AE1614" s="154"/>
      <c r="AF1614" s="154"/>
      <c r="AG1614" s="420"/>
      <c r="AH1614" s="420"/>
      <c r="AI1614" s="420"/>
      <c r="AJ1614" s="420"/>
      <c r="AK1614" s="420"/>
      <c r="AL1614" s="420"/>
      <c r="AM1614" s="420"/>
      <c r="AN1614" s="420"/>
      <c r="AO1614" s="420"/>
      <c r="AP1614" s="420"/>
      <c r="AQ1614" s="420"/>
      <c r="AR1614" s="420"/>
      <c r="AS1614" s="420"/>
      <c r="AT1614" s="420"/>
      <c r="AU1614" s="420"/>
      <c r="AV1614" s="420"/>
      <c r="AW1614" s="420"/>
      <c r="AX1614" s="420"/>
      <c r="AY1614" s="420"/>
      <c r="AZ1614" s="420"/>
      <c r="BA1614" s="420"/>
      <c r="BB1614" s="154"/>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c r="BY1614" s="115"/>
      <c r="BZ1614" s="115"/>
      <c r="CA1614" s="115"/>
      <c r="CB1614" s="115"/>
      <c r="CC1614" s="115"/>
      <c r="CD1614" s="115"/>
      <c r="CE1614" s="115"/>
      <c r="CF1614" s="115"/>
      <c r="CG1614" s="115"/>
      <c r="CH1614" s="115"/>
      <c r="CI1614" s="115"/>
      <c r="CJ1614" s="115"/>
      <c r="CK1614" s="115"/>
      <c r="CL1614" s="115"/>
      <c r="CM1614" s="115"/>
      <c r="CN1614" s="115"/>
      <c r="CO1614" s="115"/>
      <c r="CP1614" s="115"/>
      <c r="CQ1614" s="115"/>
      <c r="CR1614" s="115"/>
      <c r="CS1614" s="115"/>
      <c r="CT1614" s="115"/>
      <c r="CU1614" s="115"/>
      <c r="CV1614" s="115"/>
      <c r="CW1614" s="115"/>
      <c r="CX1614" s="115"/>
      <c r="CY1614" s="115"/>
      <c r="CZ1614" s="115"/>
      <c r="DA1614" s="115"/>
      <c r="DB1614" s="115"/>
      <c r="DC1614" s="115"/>
      <c r="DD1614" s="115"/>
      <c r="DE1614" s="115"/>
      <c r="DF1614" s="115"/>
      <c r="DG1614" s="115"/>
    </row>
    <row r="1615" spans="1:111" ht="9" customHeight="1">
      <c r="A1615" s="154"/>
      <c r="B1615" s="154"/>
      <c r="C1615" s="154"/>
      <c r="D1615" s="154"/>
      <c r="E1615" s="154"/>
      <c r="F1615" s="154"/>
      <c r="G1615" s="154"/>
      <c r="H1615" s="154"/>
      <c r="I1615" s="154"/>
      <c r="J1615" s="154"/>
      <c r="K1615" s="154"/>
      <c r="L1615" s="154"/>
      <c r="M1615" s="154"/>
      <c r="N1615" s="154"/>
      <c r="O1615" s="154"/>
      <c r="P1615" s="154"/>
      <c r="Q1615" s="154"/>
      <c r="R1615" s="154"/>
      <c r="S1615" s="154"/>
      <c r="T1615" s="154"/>
      <c r="U1615" s="154"/>
      <c r="V1615" s="154"/>
      <c r="W1615" s="154"/>
      <c r="X1615" s="154"/>
      <c r="Y1615" s="154"/>
      <c r="Z1615" s="154"/>
      <c r="AA1615" s="154"/>
      <c r="AB1615" s="154"/>
      <c r="AC1615" s="154"/>
      <c r="AD1615" s="154"/>
      <c r="AE1615" s="154"/>
      <c r="AF1615" s="154"/>
      <c r="AG1615" s="420"/>
      <c r="AH1615" s="420"/>
      <c r="AI1615" s="420"/>
      <c r="AJ1615" s="420"/>
      <c r="AK1615" s="420"/>
      <c r="AL1615" s="420"/>
      <c r="AM1615" s="420"/>
      <c r="AN1615" s="420"/>
      <c r="AO1615" s="420"/>
      <c r="AP1615" s="420"/>
      <c r="AQ1615" s="420"/>
      <c r="AR1615" s="420"/>
      <c r="AS1615" s="420"/>
      <c r="AT1615" s="420"/>
      <c r="AU1615" s="420"/>
      <c r="AV1615" s="420"/>
      <c r="AW1615" s="420"/>
      <c r="AX1615" s="420"/>
      <c r="AY1615" s="420"/>
      <c r="AZ1615" s="420"/>
      <c r="BA1615" s="420"/>
      <c r="BB1615" s="154"/>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c r="BY1615" s="115"/>
      <c r="BZ1615" s="115"/>
      <c r="CA1615" s="115"/>
      <c r="CB1615" s="115"/>
      <c r="CC1615" s="115"/>
      <c r="CD1615" s="115"/>
      <c r="CE1615" s="115"/>
      <c r="CF1615" s="115"/>
      <c r="CG1615" s="115"/>
      <c r="CH1615" s="115"/>
      <c r="CI1615" s="115"/>
      <c r="CJ1615" s="115"/>
      <c r="CK1615" s="115"/>
      <c r="CL1615" s="115"/>
      <c r="CM1615" s="115"/>
      <c r="CN1615" s="115"/>
      <c r="CO1615" s="115"/>
      <c r="CP1615" s="115"/>
      <c r="CQ1615" s="115"/>
      <c r="CR1615" s="115"/>
      <c r="CS1615" s="115"/>
      <c r="CT1615" s="115"/>
      <c r="CU1615" s="115"/>
      <c r="CV1615" s="115"/>
      <c r="CW1615" s="115"/>
      <c r="CX1615" s="115"/>
      <c r="CY1615" s="115"/>
      <c r="CZ1615" s="115"/>
      <c r="DA1615" s="115"/>
      <c r="DB1615" s="115"/>
      <c r="DC1615" s="115"/>
      <c r="DD1615" s="115"/>
      <c r="DE1615" s="115"/>
      <c r="DF1615" s="115"/>
      <c r="DG1615" s="115"/>
    </row>
    <row r="1616" spans="1:111" ht="9" customHeight="1">
      <c r="A1616" s="154"/>
      <c r="B1616" s="154"/>
      <c r="C1616" s="154"/>
      <c r="D1616" s="154"/>
      <c r="E1616" s="154"/>
      <c r="F1616" s="154"/>
      <c r="G1616" s="154"/>
      <c r="H1616" s="154"/>
      <c r="I1616" s="154"/>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420"/>
      <c r="AH1616" s="420"/>
      <c r="AI1616" s="420"/>
      <c r="AJ1616" s="420"/>
      <c r="AK1616" s="420"/>
      <c r="AL1616" s="420"/>
      <c r="AM1616" s="420"/>
      <c r="AN1616" s="420"/>
      <c r="AO1616" s="420"/>
      <c r="AP1616" s="420"/>
      <c r="AQ1616" s="420"/>
      <c r="AR1616" s="420"/>
      <c r="AS1616" s="420"/>
      <c r="AT1616" s="420"/>
      <c r="AU1616" s="420"/>
      <c r="AV1616" s="420"/>
      <c r="AW1616" s="420"/>
      <c r="AX1616" s="420"/>
      <c r="AY1616" s="420"/>
      <c r="AZ1616" s="420"/>
      <c r="BA1616" s="420"/>
      <c r="BB1616" s="154"/>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c r="BY1616" s="115"/>
      <c r="BZ1616" s="115"/>
      <c r="CA1616" s="115"/>
      <c r="CB1616" s="115"/>
      <c r="CC1616" s="115"/>
      <c r="CD1616" s="115"/>
      <c r="CE1616" s="115"/>
      <c r="CF1616" s="115"/>
      <c r="CG1616" s="115"/>
      <c r="CH1616" s="115"/>
      <c r="CI1616" s="115"/>
      <c r="CJ1616" s="115"/>
      <c r="CK1616" s="115"/>
      <c r="CL1616" s="115"/>
      <c r="CM1616" s="115"/>
      <c r="CN1616" s="115"/>
      <c r="CO1616" s="115"/>
      <c r="CP1616" s="115"/>
      <c r="CQ1616" s="115"/>
      <c r="CR1616" s="115"/>
      <c r="CS1616" s="115"/>
      <c r="CT1616" s="115"/>
      <c r="CU1616" s="115"/>
      <c r="CV1616" s="115"/>
      <c r="CW1616" s="115"/>
      <c r="CX1616" s="115"/>
      <c r="CY1616" s="115"/>
      <c r="CZ1616" s="115"/>
      <c r="DA1616" s="115"/>
      <c r="DB1616" s="115"/>
      <c r="DC1616" s="115"/>
      <c r="DD1616" s="115"/>
      <c r="DE1616" s="115"/>
      <c r="DF1616" s="115"/>
      <c r="DG1616" s="115"/>
    </row>
    <row r="1617" spans="1:111" ht="15" customHeight="1">
      <c r="B1617" s="55"/>
      <c r="C1617" s="55"/>
      <c r="D1617" s="56"/>
      <c r="E1617" s="56"/>
      <c r="F1617" s="56"/>
      <c r="G1617" s="56"/>
      <c r="H1617" s="56"/>
      <c r="I1617" s="56"/>
      <c r="J1617" s="56"/>
      <c r="K1617" s="56"/>
      <c r="L1617" s="56"/>
      <c r="M1617" s="56"/>
      <c r="N1617" s="56"/>
      <c r="O1617" s="56"/>
      <c r="P1617" s="56"/>
      <c r="Q1617" s="56"/>
      <c r="R1617" s="56"/>
      <c r="S1617" s="56"/>
      <c r="T1617" s="56"/>
      <c r="U1617" s="56"/>
      <c r="V1617" s="56"/>
      <c r="W1617" s="56"/>
      <c r="X1617" s="56"/>
      <c r="Y1617" s="56"/>
      <c r="Z1617" s="56"/>
      <c r="AA1617" s="56"/>
      <c r="AB1617" s="56"/>
      <c r="AC1617" s="56"/>
      <c r="AD1617" s="56"/>
      <c r="AE1617" s="56"/>
      <c r="AF1617" s="56"/>
      <c r="AG1617" s="56"/>
      <c r="AH1617" s="56"/>
      <c r="AI1617" s="56"/>
      <c r="AJ1617" s="56"/>
      <c r="AK1617" s="141"/>
      <c r="AL1617" s="141"/>
      <c r="AM1617" s="141"/>
      <c r="AN1617" s="141"/>
      <c r="AO1617" s="140"/>
      <c r="AP1617" s="140"/>
      <c r="AQ1617" s="140"/>
      <c r="AR1617" s="140"/>
      <c r="AS1617" s="142"/>
      <c r="AT1617" s="142"/>
      <c r="AU1617" s="142"/>
      <c r="AV1617" s="142"/>
      <c r="AW1617" s="140"/>
      <c r="AX1617" s="140"/>
      <c r="AY1617" s="140"/>
      <c r="AZ1617" s="140"/>
      <c r="BA1617" s="140"/>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c r="BY1617" s="115"/>
      <c r="BZ1617" s="115"/>
      <c r="CA1617" s="115"/>
      <c r="CB1617" s="115"/>
      <c r="CC1617" s="115"/>
      <c r="CD1617" s="115"/>
      <c r="CE1617" s="115"/>
      <c r="CF1617" s="115"/>
      <c r="CG1617" s="115"/>
      <c r="CH1617" s="115"/>
      <c r="CI1617" s="115"/>
      <c r="CJ1617" s="115"/>
      <c r="CK1617" s="115"/>
      <c r="CL1617" s="115"/>
      <c r="CM1617" s="115"/>
      <c r="CN1617" s="115"/>
      <c r="CO1617" s="115"/>
      <c r="CP1617" s="115"/>
      <c r="CQ1617" s="115"/>
      <c r="CR1617" s="115"/>
      <c r="CS1617" s="115"/>
      <c r="CT1617" s="115"/>
      <c r="CU1617" s="115"/>
      <c r="CV1617" s="115"/>
      <c r="CW1617" s="115"/>
      <c r="CX1617" s="115"/>
      <c r="CY1617" s="115"/>
      <c r="CZ1617" s="115"/>
      <c r="DA1617" s="115"/>
      <c r="DB1617" s="115"/>
      <c r="DC1617" s="115"/>
      <c r="DD1617" s="115"/>
      <c r="DE1617" s="115"/>
      <c r="DF1617" s="115"/>
      <c r="DG1617" s="115"/>
    </row>
    <row r="1618" spans="1:111" ht="15" hidden="1" customHeight="1">
      <c r="B1618" s="55"/>
      <c r="C1618" s="55"/>
      <c r="D1618" s="56"/>
      <c r="E1618" s="56"/>
      <c r="F1618" s="56"/>
      <c r="G1618" s="56"/>
      <c r="H1618" s="56"/>
      <c r="I1618" s="56"/>
      <c r="J1618" s="56"/>
      <c r="K1618" s="56"/>
      <c r="L1618" s="56"/>
      <c r="M1618" s="56"/>
      <c r="N1618" s="56"/>
      <c r="O1618" s="56"/>
      <c r="P1618" s="56"/>
      <c r="Q1618" s="56"/>
      <c r="R1618" s="56"/>
      <c r="S1618" s="56"/>
      <c r="T1618" s="56"/>
      <c r="U1618" s="56"/>
      <c r="V1618" s="56"/>
      <c r="W1618" s="56"/>
      <c r="X1618" s="56"/>
      <c r="Y1618" s="56"/>
      <c r="Z1618" s="56"/>
      <c r="AA1618" s="56"/>
      <c r="AB1618" s="56"/>
      <c r="AC1618" s="56"/>
      <c r="AD1618" s="56"/>
      <c r="AE1618" s="56"/>
      <c r="AF1618" s="56"/>
      <c r="AG1618" s="56"/>
      <c r="AH1618" s="56"/>
      <c r="AI1618" s="56"/>
      <c r="AJ1618" s="56"/>
      <c r="AK1618" s="141"/>
      <c r="AL1618" s="141"/>
      <c r="AM1618" s="141"/>
      <c r="AN1618" s="141"/>
      <c r="AO1618" s="140"/>
      <c r="AP1618" s="140"/>
      <c r="AQ1618" s="140"/>
      <c r="AR1618" s="140"/>
      <c r="AS1618" s="142"/>
      <c r="AT1618" s="142"/>
      <c r="AU1618" s="142"/>
      <c r="AV1618" s="142"/>
      <c r="AW1618" s="140"/>
      <c r="AX1618" s="140"/>
      <c r="AY1618" s="140"/>
      <c r="AZ1618" s="140"/>
      <c r="BA1618" s="140"/>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c r="BY1618" s="115"/>
      <c r="BZ1618" s="115"/>
      <c r="CA1618" s="115"/>
      <c r="CB1618" s="115"/>
      <c r="CC1618" s="115"/>
      <c r="CD1618" s="115"/>
      <c r="CE1618" s="115"/>
      <c r="CF1618" s="115"/>
      <c r="CG1618" s="115"/>
      <c r="CH1618" s="115"/>
      <c r="CI1618" s="115"/>
      <c r="CJ1618" s="115"/>
      <c r="CK1618" s="115"/>
      <c r="CL1618" s="115"/>
      <c r="CM1618" s="115"/>
      <c r="CN1618" s="115"/>
      <c r="CO1618" s="115"/>
      <c r="CP1618" s="115"/>
      <c r="CQ1618" s="115"/>
      <c r="CR1618" s="115"/>
      <c r="CS1618" s="115"/>
      <c r="CT1618" s="115"/>
      <c r="CU1618" s="115"/>
      <c r="CV1618" s="115"/>
      <c r="CW1618" s="115"/>
      <c r="CX1618" s="115"/>
      <c r="CY1618" s="115"/>
      <c r="CZ1618" s="115"/>
      <c r="DA1618" s="115"/>
      <c r="DB1618" s="115"/>
      <c r="DC1618" s="115"/>
      <c r="DD1618" s="115"/>
      <c r="DE1618" s="115"/>
      <c r="DF1618" s="115"/>
      <c r="DG1618" s="115"/>
    </row>
    <row r="1619" spans="1:111" s="22" customFormat="1" hidden="1">
      <c r="A1619" s="61"/>
    </row>
    <row r="1620" spans="1:111" s="22" customFormat="1" hidden="1">
      <c r="A1620" s="61"/>
    </row>
    <row r="1621" spans="1:111" s="22" customFormat="1" hidden="1">
      <c r="A1621" s="61"/>
      <c r="D1621" s="157">
        <v>1</v>
      </c>
      <c r="E1621" s="157">
        <v>2</v>
      </c>
      <c r="F1621" s="157">
        <v>3</v>
      </c>
      <c r="G1621" s="157">
        <v>4</v>
      </c>
      <c r="H1621" s="157">
        <v>5</v>
      </c>
      <c r="I1621" s="157">
        <v>6</v>
      </c>
      <c r="J1621" s="157">
        <v>7</v>
      </c>
      <c r="K1621" s="157">
        <v>8</v>
      </c>
      <c r="L1621" s="157">
        <v>9</v>
      </c>
      <c r="M1621" s="157">
        <v>10</v>
      </c>
      <c r="N1621" s="157">
        <v>11</v>
      </c>
      <c r="O1621" s="157">
        <v>12</v>
      </c>
      <c r="P1621" s="157">
        <v>13</v>
      </c>
      <c r="Q1621" s="157">
        <v>14</v>
      </c>
      <c r="R1621" s="157">
        <v>15</v>
      </c>
      <c r="S1621" s="157">
        <v>16</v>
      </c>
      <c r="T1621" s="157">
        <v>17</v>
      </c>
      <c r="U1621" s="157">
        <v>18</v>
      </c>
      <c r="V1621" s="157">
        <v>19</v>
      </c>
      <c r="W1621" s="157">
        <v>20</v>
      </c>
      <c r="X1621" s="157">
        <v>21</v>
      </c>
      <c r="Y1621" s="157">
        <v>22</v>
      </c>
      <c r="Z1621" s="157">
        <v>23</v>
      </c>
      <c r="AA1621" s="157">
        <v>24</v>
      </c>
      <c r="AB1621" s="157">
        <v>25</v>
      </c>
      <c r="AC1621" s="157">
        <v>26</v>
      </c>
      <c r="AD1621" s="157">
        <v>27</v>
      </c>
      <c r="AE1621" s="157">
        <v>28</v>
      </c>
      <c r="AF1621" s="157">
        <v>29</v>
      </c>
      <c r="AG1621" s="157">
        <v>30</v>
      </c>
      <c r="AH1621" s="157">
        <v>31</v>
      </c>
      <c r="AI1621" s="157">
        <v>32</v>
      </c>
      <c r="AJ1621" s="157">
        <v>33</v>
      </c>
      <c r="AK1621" s="157">
        <v>34</v>
      </c>
      <c r="AL1621" s="157">
        <v>35</v>
      </c>
      <c r="AM1621" s="157">
        <v>36</v>
      </c>
      <c r="AN1621" s="157">
        <v>37</v>
      </c>
      <c r="AO1621" s="157">
        <v>38</v>
      </c>
      <c r="AP1621" s="157">
        <v>39</v>
      </c>
      <c r="AQ1621" s="157">
        <v>40</v>
      </c>
      <c r="AR1621" s="157">
        <v>41</v>
      </c>
      <c r="AS1621" s="157">
        <v>42</v>
      </c>
      <c r="AT1621" s="157">
        <v>43</v>
      </c>
      <c r="AU1621" s="157">
        <v>44</v>
      </c>
      <c r="AV1621" s="157">
        <v>45</v>
      </c>
      <c r="AW1621" s="157">
        <v>46</v>
      </c>
      <c r="AX1621" s="157">
        <v>47</v>
      </c>
      <c r="AY1621" s="157">
        <v>48</v>
      </c>
      <c r="AZ1621" s="157">
        <v>49</v>
      </c>
      <c r="BA1621" s="157">
        <v>50</v>
      </c>
    </row>
    <row r="1622" spans="1:111" s="22" customFormat="1" hidden="1">
      <c r="A1622" s="61"/>
      <c r="C1622" s="157" t="s">
        <v>179</v>
      </c>
      <c r="D1622" s="157" t="str">
        <f>IF($J$174=$C1622,$Q$190,"")</f>
        <v/>
      </c>
      <c r="E1622" s="157" t="str">
        <f>IF($J$203=$C1622,$Q$219,"")</f>
        <v/>
      </c>
      <c r="F1622" s="157" t="str">
        <f>IF($J$232=$C1622,$Q$248,"")</f>
        <v/>
      </c>
      <c r="G1622" s="157" t="str">
        <f>IF($J$261=$C1622,$Q$277,"")</f>
        <v/>
      </c>
      <c r="H1622" s="157" t="str">
        <f>IF($J$290=$C1622,$Q$306,"")</f>
        <v/>
      </c>
      <c r="I1622" s="157" t="str">
        <f>IF($J$319=$C1622,$Q$335,"")</f>
        <v/>
      </c>
      <c r="J1622" s="157" t="str">
        <f>IF($J$348=$C1622,$Q$364,"")</f>
        <v/>
      </c>
      <c r="K1622" s="157" t="str">
        <f>IF($J$377=$C1622,$Q$393,"")</f>
        <v/>
      </c>
      <c r="L1622" s="157" t="str">
        <f>IF($J$406=$C1622,$Q$422,"")</f>
        <v/>
      </c>
      <c r="M1622" s="157" t="str">
        <f>IF($J$435=$C1622,$Q$451,"")</f>
        <v/>
      </c>
      <c r="N1622" s="157" t="str">
        <f>IF($J$464=$C1622,$Q$480,"")</f>
        <v/>
      </c>
      <c r="O1622" s="157" t="str">
        <f>IF($J$493=$C1622,$Q$509,"")</f>
        <v/>
      </c>
      <c r="P1622" s="157" t="str">
        <f>IF($J$522=$C1622,$Q$538,"")</f>
        <v/>
      </c>
      <c r="Q1622" s="157" t="str">
        <f>IF($J$551=$C1622,$Q$567,"")</f>
        <v/>
      </c>
      <c r="R1622" s="157" t="str">
        <f>IF($J$580=$C1622,$Q$596,"")</f>
        <v/>
      </c>
      <c r="S1622" s="157" t="str">
        <f>IF($J$609=$C1622,$Q$625,"")</f>
        <v/>
      </c>
      <c r="T1622" s="157" t="str">
        <f>IF($J$638=$C1622,$Q$654,"")</f>
        <v/>
      </c>
      <c r="U1622" s="157" t="str">
        <f>IF($J$667=$C1622,$Q$683,"")</f>
        <v/>
      </c>
      <c r="V1622" s="157" t="str">
        <f>IF($J$696=$C1622,$Q$712,"")</f>
        <v/>
      </c>
      <c r="W1622" s="157" t="str">
        <f>IF($J$725=$C1622,$Q$741,"")</f>
        <v/>
      </c>
      <c r="X1622" s="157" t="str">
        <f>IF($J$754=$C1622,$Q$770,"")</f>
        <v/>
      </c>
      <c r="Y1622" s="157" t="str">
        <f>IF($J$783=$C1622,$Q$799,"")</f>
        <v/>
      </c>
      <c r="Z1622" s="157" t="str">
        <f>IF($J$812=$C1622,$Q$828,"")</f>
        <v/>
      </c>
      <c r="AA1622" s="157" t="str">
        <f>IF($J$841=$C1622,$Q$857,"")</f>
        <v/>
      </c>
      <c r="AB1622" s="157" t="str">
        <f>IF($J$870=$C1622,$Q$886,"")</f>
        <v/>
      </c>
      <c r="AC1622" s="157" t="str">
        <f>IF($J$899=$C1622,$Q$915,"")</f>
        <v/>
      </c>
      <c r="AD1622" s="157" t="str">
        <f>IF($J$928=$C1622,$Q$944,"")</f>
        <v/>
      </c>
      <c r="AE1622" s="157" t="str">
        <f>IF($J$957=$C1622,$Q$973,"")</f>
        <v/>
      </c>
      <c r="AF1622" s="157" t="str">
        <f>IF($J$986=$C1622,$Q$1002,"")</f>
        <v/>
      </c>
      <c r="AG1622" s="157" t="str">
        <f>IF($J$1015=$C1622,$Q$1031,"")</f>
        <v/>
      </c>
      <c r="AH1622" s="157" t="str">
        <f>IF($J$1044=$C1622,$Q$1060,"")</f>
        <v/>
      </c>
      <c r="AI1622" s="157" t="str">
        <f>IF($J$1073=$C1622,$Q$1089,"")</f>
        <v/>
      </c>
      <c r="AJ1622" s="157" t="str">
        <f>IF($J$1102=$C1622,$Q$1118,"")</f>
        <v/>
      </c>
      <c r="AK1622" s="157" t="str">
        <f>IF($J$1131=$C1622,$Q$1147,"")</f>
        <v/>
      </c>
      <c r="AL1622" s="157" t="str">
        <f>IF($J$1160=$C1622,$Q$1176,"")</f>
        <v/>
      </c>
      <c r="AM1622" s="157" t="str">
        <f>IF($J$1189=$C1622,$Q$1205,"")</f>
        <v/>
      </c>
      <c r="AN1622" s="157" t="str">
        <f>IF($J$1218=$C1622,$Q$1234,"")</f>
        <v/>
      </c>
      <c r="AO1622" s="157" t="str">
        <f>IF($J$1247=$C1622,$Q$1263,"")</f>
        <v/>
      </c>
      <c r="AP1622" s="157" t="str">
        <f>IF($J$1276=$C1622,$Q$1292,"")</f>
        <v/>
      </c>
      <c r="AQ1622" s="157" t="str">
        <f>IF($J$1305=$C1622,$Q$1321,"")</f>
        <v/>
      </c>
      <c r="AR1622" s="157" t="str">
        <f>IF($J$1334=$C1622,$Q$1350,"")</f>
        <v/>
      </c>
      <c r="AS1622" s="157" t="str">
        <f>IF($J$1363=$C1622,$Q$1379,"")</f>
        <v/>
      </c>
      <c r="AT1622" s="157" t="str">
        <f>IF($J$1392=$C1622,$Q$1408,"")</f>
        <v/>
      </c>
      <c r="AU1622" s="157" t="str">
        <f>IF($J$1421=$C1622,$Q$1437,"")</f>
        <v/>
      </c>
      <c r="AV1622" s="157" t="str">
        <f>IF($J$1450=$C1622,$Q$1466,"")</f>
        <v/>
      </c>
      <c r="AW1622" s="157" t="str">
        <f>IF($J$1479=$C1622,$Q$1495,"")</f>
        <v/>
      </c>
      <c r="AX1622" s="157" t="str">
        <f>IF($J$1508=$C1622,$Q$1524,"")</f>
        <v/>
      </c>
      <c r="AY1622" s="157" t="str">
        <f>IF($J$1537=$C1622,$Q$1553,"")</f>
        <v/>
      </c>
      <c r="AZ1622" s="157" t="str">
        <f>IF($J$1566=$C1622,$Q$1582,"")</f>
        <v/>
      </c>
      <c r="BA1622" s="157" t="str">
        <f>IF($J$1595=$C1622,$Q$1611,"")</f>
        <v/>
      </c>
      <c r="BB1622" s="160">
        <f>SUM(D1622:BA1622)</f>
        <v>0</v>
      </c>
    </row>
    <row r="1623" spans="1:111" s="22" customFormat="1" hidden="1">
      <c r="A1623" s="61"/>
      <c r="C1623" s="157" t="s">
        <v>180</v>
      </c>
      <c r="D1623" s="157" t="str">
        <f t="shared" ref="D1623:D1686" si="7">IF($J$174=$C1623,$Q$190,"")</f>
        <v/>
      </c>
      <c r="E1623" s="157" t="str">
        <f t="shared" ref="E1623:E1686" si="8">IF($J$203=$C1623,$Q$219,"")</f>
        <v/>
      </c>
      <c r="F1623" s="157" t="str">
        <f>IF($J$232=$C1623,$Q$248,"")</f>
        <v/>
      </c>
      <c r="G1623" s="157" t="str">
        <f>IF($J$261=$C1623,$Q$277,"")</f>
        <v/>
      </c>
      <c r="H1623" s="157" t="str">
        <f>IF($J$290=$C1623,$Q$306,"")</f>
        <v/>
      </c>
      <c r="I1623" s="157" t="str">
        <f>IF($J$319=$C1623,$Q$335,"")</f>
        <v/>
      </c>
      <c r="J1623" s="157" t="str">
        <f>IF($J$348=$C1623,$Q$364,"")</f>
        <v/>
      </c>
      <c r="K1623" s="157" t="str">
        <f>IF($J$377=$C1623,$Q$393,"")</f>
        <v/>
      </c>
      <c r="L1623" s="157" t="str">
        <f>IF($J$406=$C1623,$Q$422,"")</f>
        <v/>
      </c>
      <c r="M1623" s="157" t="str">
        <f>IF($J$435=$C1623,$Q$451,"")</f>
        <v/>
      </c>
      <c r="N1623" s="157" t="str">
        <f>IF($J$464=$C1623,$Q$480,"")</f>
        <v/>
      </c>
      <c r="O1623" s="157" t="str">
        <f>IF($J$493=$C1623,$Q$509,"")</f>
        <v/>
      </c>
      <c r="P1623" s="157" t="str">
        <f t="shared" ref="P1623:P1686" si="9">IF($J$522=$C1623,$Q$538,"")</f>
        <v/>
      </c>
      <c r="Q1623" s="157" t="str">
        <f t="shared" ref="Q1623:Q1686" si="10">IF($J$551=$C1623,$Q$567,"")</f>
        <v/>
      </c>
      <c r="R1623" s="157" t="str">
        <f t="shared" ref="R1623:R1686" si="11">IF($J$580=$C1623,$Q$596,"")</f>
        <v/>
      </c>
      <c r="S1623" s="157" t="str">
        <f t="shared" ref="S1623:S1686" si="12">IF($J$609=$C1623,$Q$625,"")</f>
        <v/>
      </c>
      <c r="T1623" s="157" t="str">
        <f t="shared" ref="T1623:T1686" si="13">IF($J$638=$C1623,$Q$654,"")</f>
        <v/>
      </c>
      <c r="U1623" s="157" t="str">
        <f t="shared" ref="U1623:U1686" si="14">IF($J$667=$C1623,$Q$683,"")</f>
        <v/>
      </c>
      <c r="V1623" s="157" t="str">
        <f t="shared" ref="V1623:V1686" si="15">IF($J$696=$C1623,$Q$712,"")</f>
        <v/>
      </c>
      <c r="W1623" s="157" t="str">
        <f t="shared" ref="W1623:W1686" si="16">IF($J$725=$C1623,$Q$741,"")</f>
        <v/>
      </c>
      <c r="X1623" s="157" t="str">
        <f t="shared" ref="X1623:X1686" si="17">IF($J$754=$C1623,$Q$770,"")</f>
        <v/>
      </c>
      <c r="Y1623" s="157" t="str">
        <f t="shared" ref="Y1623:Y1686" si="18">IF($J$783=$C1623,$Q$799,"")</f>
        <v/>
      </c>
      <c r="Z1623" s="157" t="str">
        <f t="shared" ref="Z1623:Z1686" si="19">IF($J$812=$C1623,$Q$828,"")</f>
        <v/>
      </c>
      <c r="AA1623" s="157" t="str">
        <f t="shared" ref="AA1623:AA1686" si="20">IF($J$841=$C1623,$Q$857,"")</f>
        <v/>
      </c>
      <c r="AB1623" s="157" t="str">
        <f t="shared" ref="AB1623:AB1686" si="21">IF($J$870=$C1623,$Q$886,"")</f>
        <v/>
      </c>
      <c r="AC1623" s="157" t="str">
        <f t="shared" ref="AC1623:AC1686" si="22">IF($J$899=$C1623,$Q$915,"")</f>
        <v/>
      </c>
      <c r="AD1623" s="157" t="str">
        <f t="shared" ref="AD1623:AD1686" si="23">IF($J$928=$C1623,$Q$944,"")</f>
        <v/>
      </c>
      <c r="AE1623" s="157" t="str">
        <f t="shared" ref="AE1623:AE1686" si="24">IF($J$957=$C1623,$Q$973,"")</f>
        <v/>
      </c>
      <c r="AF1623" s="157" t="str">
        <f t="shared" ref="AF1623:AF1686" si="25">IF($J$986=$C1623,$Q$1002,"")</f>
        <v/>
      </c>
      <c r="AG1623" s="157" t="str">
        <f t="shared" ref="AG1623:AG1686" si="26">IF($J$1015=$C1623,$Q$1031,"")</f>
        <v/>
      </c>
      <c r="AH1623" s="157" t="str">
        <f t="shared" ref="AH1623:AH1686" si="27">IF($J$1044=$C1623,$Q$1060,"")</f>
        <v/>
      </c>
      <c r="AI1623" s="157" t="str">
        <f t="shared" ref="AI1623:AI1686" si="28">IF($J$1073=$C1623,$Q$1089,"")</f>
        <v/>
      </c>
      <c r="AJ1623" s="157" t="str">
        <f t="shared" ref="AJ1623:AJ1686" si="29">IF($J$1102=$C1623,$Q$1118,"")</f>
        <v/>
      </c>
      <c r="AK1623" s="157" t="str">
        <f t="shared" ref="AK1623:AK1686" si="30">IF($J$1131=$C1623,$Q$1147,"")</f>
        <v/>
      </c>
      <c r="AL1623" s="157" t="str">
        <f t="shared" ref="AL1623:AL1686" si="31">IF($J$1160=$C1623,$Q$1176,"")</f>
        <v/>
      </c>
      <c r="AM1623" s="157" t="str">
        <f t="shared" ref="AM1623:AM1686" si="32">IF($J$1189=$C1623,$Q$1205,"")</f>
        <v/>
      </c>
      <c r="AN1623" s="157" t="str">
        <f t="shared" ref="AN1623:AN1686" si="33">IF($J$1218=$C1623,$Q$1234,"")</f>
        <v/>
      </c>
      <c r="AO1623" s="157" t="str">
        <f t="shared" ref="AO1623:AO1686" si="34">IF($J$1247=$C1623,$Q$1263,"")</f>
        <v/>
      </c>
      <c r="AP1623" s="157" t="str">
        <f t="shared" ref="AP1623:AP1686" si="35">IF($J$1276=$C1623,$Q$1292,"")</f>
        <v/>
      </c>
      <c r="AQ1623" s="157" t="str">
        <f t="shared" ref="AQ1623:AQ1686" si="36">IF($J$1305=$C1623,$Q$1321,"")</f>
        <v/>
      </c>
      <c r="AR1623" s="157" t="str">
        <f t="shared" ref="AR1623:AR1686" si="37">IF($J$1334=$C1623,$Q$1350,"")</f>
        <v/>
      </c>
      <c r="AS1623" s="157" t="str">
        <f t="shared" ref="AS1623:AS1686" si="38">IF($J$1363=$C1623,$Q$1379,"")</f>
        <v/>
      </c>
      <c r="AT1623" s="157" t="str">
        <f t="shared" ref="AT1623:AT1686" si="39">IF($J$1392=$C1623,$Q$1408,"")</f>
        <v/>
      </c>
      <c r="AU1623" s="157" t="str">
        <f t="shared" ref="AU1623:AU1686" si="40">IF($J$1421=$C1623,$Q$1437,"")</f>
        <v/>
      </c>
      <c r="AV1623" s="157" t="str">
        <f t="shared" ref="AV1623:AV1686" si="41">IF($J$1450=$C1623,$Q$1466,"")</f>
        <v/>
      </c>
      <c r="AW1623" s="157" t="str">
        <f t="shared" ref="AW1623:AW1686" si="42">IF($J$1479=$C1623,$Q$1495,"")</f>
        <v/>
      </c>
      <c r="AX1623" s="157" t="str">
        <f t="shared" ref="AX1623:AX1686" si="43">IF($J$1508=$C1623,$Q$1524,"")</f>
        <v/>
      </c>
      <c r="AY1623" s="157" t="str">
        <f t="shared" ref="AY1623:AY1686" si="44">IF($J$1537=$C1623,$Q$1553,"")</f>
        <v/>
      </c>
      <c r="AZ1623" s="157" t="str">
        <f t="shared" ref="AZ1623:AZ1686" si="45">IF($J$1566=$C1623,$Q$1582,"")</f>
        <v/>
      </c>
      <c r="BA1623" s="157" t="str">
        <f t="shared" ref="BA1623:BA1686" si="46">IF($J$1595=$C1623,$Q$1611,"")</f>
        <v/>
      </c>
      <c r="BB1623" s="160">
        <f t="shared" ref="BB1623:BB1686" si="47">SUM(D1623:BA1623)</f>
        <v>0</v>
      </c>
    </row>
    <row r="1624" spans="1:111" s="22" customFormat="1" hidden="1">
      <c r="A1624" s="61"/>
      <c r="C1624" s="157" t="s">
        <v>181</v>
      </c>
      <c r="D1624" s="157" t="str">
        <f t="shared" si="7"/>
        <v/>
      </c>
      <c r="E1624" s="157" t="str">
        <f>IF($J$203=$C1624,$Q$219,"")</f>
        <v/>
      </c>
      <c r="F1624" s="157" t="str">
        <f>IF($J$232=$C1624,$Q$248,"")</f>
        <v/>
      </c>
      <c r="G1624" s="157" t="str">
        <f>IF($J$261=$C1624,$Q$277,"")</f>
        <v/>
      </c>
      <c r="H1624" s="157" t="str">
        <f>IF($J$290=$C1624,$Q$306,"")</f>
        <v/>
      </c>
      <c r="I1624" s="157" t="str">
        <f>IF($J$319=$C1624,$Q$335,"")</f>
        <v/>
      </c>
      <c r="J1624" s="157" t="str">
        <f>IF($J$348=$C1624,$Q$364,"")</f>
        <v/>
      </c>
      <c r="K1624" s="157" t="str">
        <f>IF($J$377=$C1624,$Q$393,"")</f>
        <v/>
      </c>
      <c r="L1624" s="157" t="str">
        <f>IF($J$406=$C1624,$Q$422,"")</f>
        <v/>
      </c>
      <c r="M1624" s="157" t="str">
        <f>IF($J$435=$C1624,$Q$451,"")</f>
        <v/>
      </c>
      <c r="N1624" s="157" t="str">
        <f>IF($J$464=$C1624,$Q$480,"")</f>
        <v/>
      </c>
      <c r="O1624" s="157" t="str">
        <f>IF($J$493=$C1624,$Q$509,"")</f>
        <v/>
      </c>
      <c r="P1624" s="157" t="str">
        <f t="shared" si="9"/>
        <v/>
      </c>
      <c r="Q1624" s="157" t="str">
        <f t="shared" si="10"/>
        <v/>
      </c>
      <c r="R1624" s="157" t="str">
        <f t="shared" si="11"/>
        <v/>
      </c>
      <c r="S1624" s="157" t="str">
        <f t="shared" si="12"/>
        <v/>
      </c>
      <c r="T1624" s="157" t="str">
        <f t="shared" si="13"/>
        <v/>
      </c>
      <c r="U1624" s="157" t="str">
        <f t="shared" si="14"/>
        <v/>
      </c>
      <c r="V1624" s="157" t="str">
        <f t="shared" si="15"/>
        <v/>
      </c>
      <c r="W1624" s="157" t="str">
        <f t="shared" si="16"/>
        <v/>
      </c>
      <c r="X1624" s="157" t="str">
        <f t="shared" si="17"/>
        <v/>
      </c>
      <c r="Y1624" s="157" t="str">
        <f t="shared" si="18"/>
        <v/>
      </c>
      <c r="Z1624" s="157" t="str">
        <f t="shared" si="19"/>
        <v/>
      </c>
      <c r="AA1624" s="157" t="str">
        <f t="shared" si="20"/>
        <v/>
      </c>
      <c r="AB1624" s="157" t="str">
        <f t="shared" si="21"/>
        <v/>
      </c>
      <c r="AC1624" s="157" t="str">
        <f t="shared" si="22"/>
        <v/>
      </c>
      <c r="AD1624" s="157" t="str">
        <f t="shared" si="23"/>
        <v/>
      </c>
      <c r="AE1624" s="157" t="str">
        <f t="shared" si="24"/>
        <v/>
      </c>
      <c r="AF1624" s="157" t="str">
        <f t="shared" si="25"/>
        <v/>
      </c>
      <c r="AG1624" s="157" t="str">
        <f t="shared" si="26"/>
        <v/>
      </c>
      <c r="AH1624" s="157" t="str">
        <f t="shared" si="27"/>
        <v/>
      </c>
      <c r="AI1624" s="157" t="str">
        <f t="shared" si="28"/>
        <v/>
      </c>
      <c r="AJ1624" s="157" t="str">
        <f t="shared" si="29"/>
        <v/>
      </c>
      <c r="AK1624" s="157" t="str">
        <f t="shared" si="30"/>
        <v/>
      </c>
      <c r="AL1624" s="157" t="str">
        <f t="shared" si="31"/>
        <v/>
      </c>
      <c r="AM1624" s="157" t="str">
        <f t="shared" si="32"/>
        <v/>
      </c>
      <c r="AN1624" s="157" t="str">
        <f t="shared" si="33"/>
        <v/>
      </c>
      <c r="AO1624" s="157" t="str">
        <f t="shared" si="34"/>
        <v/>
      </c>
      <c r="AP1624" s="157" t="str">
        <f t="shared" si="35"/>
        <v/>
      </c>
      <c r="AQ1624" s="157" t="str">
        <f t="shared" si="36"/>
        <v/>
      </c>
      <c r="AR1624" s="157" t="str">
        <f t="shared" si="37"/>
        <v/>
      </c>
      <c r="AS1624" s="157" t="str">
        <f t="shared" si="38"/>
        <v/>
      </c>
      <c r="AT1624" s="157" t="str">
        <f t="shared" si="39"/>
        <v/>
      </c>
      <c r="AU1624" s="157" t="str">
        <f t="shared" si="40"/>
        <v/>
      </c>
      <c r="AV1624" s="157" t="str">
        <f t="shared" si="41"/>
        <v/>
      </c>
      <c r="AW1624" s="157" t="str">
        <f t="shared" si="42"/>
        <v/>
      </c>
      <c r="AX1624" s="157" t="str">
        <f t="shared" si="43"/>
        <v/>
      </c>
      <c r="AY1624" s="157" t="str">
        <f t="shared" si="44"/>
        <v/>
      </c>
      <c r="AZ1624" s="157" t="str">
        <f t="shared" si="45"/>
        <v/>
      </c>
      <c r="BA1624" s="157" t="str">
        <f t="shared" si="46"/>
        <v/>
      </c>
      <c r="BB1624" s="160">
        <f t="shared" si="47"/>
        <v>0</v>
      </c>
    </row>
    <row r="1625" spans="1:111" s="22" customFormat="1" hidden="1">
      <c r="A1625" s="61"/>
      <c r="C1625" s="157" t="s">
        <v>182</v>
      </c>
      <c r="D1625" s="157" t="str">
        <f t="shared" si="7"/>
        <v/>
      </c>
      <c r="E1625" s="157" t="str">
        <f t="shared" si="8"/>
        <v/>
      </c>
      <c r="F1625" s="157" t="str">
        <f t="shared" ref="F1625:F1688" si="48">IF($J$232=$C1625,$Q$248,"")</f>
        <v/>
      </c>
      <c r="G1625" s="157" t="str">
        <f t="shared" ref="G1625:G1688" si="49">IF($J$261=$C1625,$Q$277,"")</f>
        <v/>
      </c>
      <c r="H1625" s="157" t="str">
        <f t="shared" ref="H1625:H1688" si="50">IF($J$290=$C1625,$Q$306,"")</f>
        <v/>
      </c>
      <c r="I1625" s="157" t="str">
        <f t="shared" ref="I1625:I1688" si="51">IF($J$319=$C1625,$Q$335,"")</f>
        <v/>
      </c>
      <c r="J1625" s="157" t="str">
        <f t="shared" ref="J1625:J1688" si="52">IF($J$348=$C1625,$Q$364,"")</f>
        <v/>
      </c>
      <c r="K1625" s="157" t="str">
        <f t="shared" ref="K1625:K1688" si="53">IF($J$377=$C1625,$Q$393,"")</f>
        <v/>
      </c>
      <c r="L1625" s="157" t="str">
        <f t="shared" ref="L1625:L1688" si="54">IF($J$406=$C1625,$Q$422,"")</f>
        <v/>
      </c>
      <c r="M1625" s="157" t="str">
        <f t="shared" ref="M1625:M1688" si="55">IF($J$435=$C1625,$Q$451,"")</f>
        <v/>
      </c>
      <c r="N1625" s="157" t="str">
        <f t="shared" ref="N1625:N1688" si="56">IF($J$464=$C1625,$Q$480,"")</f>
        <v/>
      </c>
      <c r="O1625" s="157" t="str">
        <f t="shared" ref="O1625:O1688" si="57">IF($J$493=$C1625,$Q$509,"")</f>
        <v/>
      </c>
      <c r="P1625" s="157" t="str">
        <f t="shared" si="9"/>
        <v/>
      </c>
      <c r="Q1625" s="157" t="str">
        <f t="shared" si="10"/>
        <v/>
      </c>
      <c r="R1625" s="157" t="str">
        <f t="shared" si="11"/>
        <v/>
      </c>
      <c r="S1625" s="157" t="str">
        <f t="shared" si="12"/>
        <v/>
      </c>
      <c r="T1625" s="157" t="str">
        <f t="shared" si="13"/>
        <v/>
      </c>
      <c r="U1625" s="157" t="str">
        <f t="shared" si="14"/>
        <v/>
      </c>
      <c r="V1625" s="157" t="str">
        <f t="shared" si="15"/>
        <v/>
      </c>
      <c r="W1625" s="157" t="str">
        <f t="shared" si="16"/>
        <v/>
      </c>
      <c r="X1625" s="157" t="str">
        <f t="shared" si="17"/>
        <v/>
      </c>
      <c r="Y1625" s="157" t="str">
        <f t="shared" si="18"/>
        <v/>
      </c>
      <c r="Z1625" s="157" t="str">
        <f t="shared" si="19"/>
        <v/>
      </c>
      <c r="AA1625" s="157" t="str">
        <f t="shared" si="20"/>
        <v/>
      </c>
      <c r="AB1625" s="157" t="str">
        <f t="shared" si="21"/>
        <v/>
      </c>
      <c r="AC1625" s="157" t="str">
        <f t="shared" si="22"/>
        <v/>
      </c>
      <c r="AD1625" s="157" t="str">
        <f t="shared" si="23"/>
        <v/>
      </c>
      <c r="AE1625" s="157" t="str">
        <f t="shared" si="24"/>
        <v/>
      </c>
      <c r="AF1625" s="157" t="str">
        <f t="shared" si="25"/>
        <v/>
      </c>
      <c r="AG1625" s="157" t="str">
        <f t="shared" si="26"/>
        <v/>
      </c>
      <c r="AH1625" s="157" t="str">
        <f t="shared" si="27"/>
        <v/>
      </c>
      <c r="AI1625" s="157" t="str">
        <f t="shared" si="28"/>
        <v/>
      </c>
      <c r="AJ1625" s="157" t="str">
        <f t="shared" si="29"/>
        <v/>
      </c>
      <c r="AK1625" s="157" t="str">
        <f t="shared" si="30"/>
        <v/>
      </c>
      <c r="AL1625" s="157" t="str">
        <f t="shared" si="31"/>
        <v/>
      </c>
      <c r="AM1625" s="157" t="str">
        <f t="shared" si="32"/>
        <v/>
      </c>
      <c r="AN1625" s="157" t="str">
        <f t="shared" si="33"/>
        <v/>
      </c>
      <c r="AO1625" s="157" t="str">
        <f t="shared" si="34"/>
        <v/>
      </c>
      <c r="AP1625" s="157" t="str">
        <f t="shared" si="35"/>
        <v/>
      </c>
      <c r="AQ1625" s="157" t="str">
        <f t="shared" si="36"/>
        <v/>
      </c>
      <c r="AR1625" s="157" t="str">
        <f t="shared" si="37"/>
        <v/>
      </c>
      <c r="AS1625" s="157" t="str">
        <f t="shared" si="38"/>
        <v/>
      </c>
      <c r="AT1625" s="157" t="str">
        <f t="shared" si="39"/>
        <v/>
      </c>
      <c r="AU1625" s="157" t="str">
        <f t="shared" si="40"/>
        <v/>
      </c>
      <c r="AV1625" s="157" t="str">
        <f t="shared" si="41"/>
        <v/>
      </c>
      <c r="AW1625" s="157" t="str">
        <f t="shared" si="42"/>
        <v/>
      </c>
      <c r="AX1625" s="157" t="str">
        <f t="shared" si="43"/>
        <v/>
      </c>
      <c r="AY1625" s="157" t="str">
        <f t="shared" si="44"/>
        <v/>
      </c>
      <c r="AZ1625" s="157" t="str">
        <f t="shared" si="45"/>
        <v/>
      </c>
      <c r="BA1625" s="157" t="str">
        <f t="shared" si="46"/>
        <v/>
      </c>
      <c r="BB1625" s="160">
        <f t="shared" si="47"/>
        <v>0</v>
      </c>
    </row>
    <row r="1626" spans="1:111" s="22" customFormat="1" hidden="1">
      <c r="A1626" s="61"/>
      <c r="C1626" s="157" t="s">
        <v>183</v>
      </c>
      <c r="D1626" s="157" t="str">
        <f t="shared" si="7"/>
        <v/>
      </c>
      <c r="E1626" s="157" t="str">
        <f t="shared" si="8"/>
        <v/>
      </c>
      <c r="F1626" s="157" t="str">
        <f t="shared" si="48"/>
        <v/>
      </c>
      <c r="G1626" s="157" t="str">
        <f t="shared" si="49"/>
        <v/>
      </c>
      <c r="H1626" s="157" t="str">
        <f t="shared" si="50"/>
        <v/>
      </c>
      <c r="I1626" s="157" t="str">
        <f t="shared" si="51"/>
        <v/>
      </c>
      <c r="J1626" s="157" t="str">
        <f t="shared" si="52"/>
        <v/>
      </c>
      <c r="K1626" s="157" t="str">
        <f t="shared" si="53"/>
        <v/>
      </c>
      <c r="L1626" s="157" t="str">
        <f t="shared" si="54"/>
        <v/>
      </c>
      <c r="M1626" s="157" t="str">
        <f t="shared" si="55"/>
        <v/>
      </c>
      <c r="N1626" s="157" t="str">
        <f t="shared" si="56"/>
        <v/>
      </c>
      <c r="O1626" s="157" t="str">
        <f t="shared" si="57"/>
        <v/>
      </c>
      <c r="P1626" s="157" t="str">
        <f t="shared" si="9"/>
        <v/>
      </c>
      <c r="Q1626" s="157" t="str">
        <f t="shared" si="10"/>
        <v/>
      </c>
      <c r="R1626" s="157" t="str">
        <f t="shared" si="11"/>
        <v/>
      </c>
      <c r="S1626" s="157" t="str">
        <f t="shared" si="12"/>
        <v/>
      </c>
      <c r="T1626" s="157" t="str">
        <f t="shared" si="13"/>
        <v/>
      </c>
      <c r="U1626" s="157" t="str">
        <f t="shared" si="14"/>
        <v/>
      </c>
      <c r="V1626" s="157" t="str">
        <f t="shared" si="15"/>
        <v/>
      </c>
      <c r="W1626" s="157" t="str">
        <f t="shared" si="16"/>
        <v/>
      </c>
      <c r="X1626" s="157" t="str">
        <f t="shared" si="17"/>
        <v/>
      </c>
      <c r="Y1626" s="157" t="str">
        <f t="shared" si="18"/>
        <v/>
      </c>
      <c r="Z1626" s="157" t="str">
        <f t="shared" si="19"/>
        <v/>
      </c>
      <c r="AA1626" s="157" t="str">
        <f t="shared" si="20"/>
        <v/>
      </c>
      <c r="AB1626" s="157" t="str">
        <f t="shared" si="21"/>
        <v/>
      </c>
      <c r="AC1626" s="157" t="str">
        <f t="shared" si="22"/>
        <v/>
      </c>
      <c r="AD1626" s="157" t="str">
        <f t="shared" si="23"/>
        <v/>
      </c>
      <c r="AE1626" s="157" t="str">
        <f t="shared" si="24"/>
        <v/>
      </c>
      <c r="AF1626" s="157" t="str">
        <f t="shared" si="25"/>
        <v/>
      </c>
      <c r="AG1626" s="157" t="str">
        <f t="shared" si="26"/>
        <v/>
      </c>
      <c r="AH1626" s="157" t="str">
        <f t="shared" si="27"/>
        <v/>
      </c>
      <c r="AI1626" s="157" t="str">
        <f t="shared" si="28"/>
        <v/>
      </c>
      <c r="AJ1626" s="157" t="str">
        <f t="shared" si="29"/>
        <v/>
      </c>
      <c r="AK1626" s="157" t="str">
        <f t="shared" si="30"/>
        <v/>
      </c>
      <c r="AL1626" s="157" t="str">
        <f t="shared" si="31"/>
        <v/>
      </c>
      <c r="AM1626" s="157" t="str">
        <f t="shared" si="32"/>
        <v/>
      </c>
      <c r="AN1626" s="157" t="str">
        <f t="shared" si="33"/>
        <v/>
      </c>
      <c r="AO1626" s="157" t="str">
        <f t="shared" si="34"/>
        <v/>
      </c>
      <c r="AP1626" s="157" t="str">
        <f t="shared" si="35"/>
        <v/>
      </c>
      <c r="AQ1626" s="157" t="str">
        <f t="shared" si="36"/>
        <v/>
      </c>
      <c r="AR1626" s="157" t="str">
        <f t="shared" si="37"/>
        <v/>
      </c>
      <c r="AS1626" s="157" t="str">
        <f t="shared" si="38"/>
        <v/>
      </c>
      <c r="AT1626" s="157" t="str">
        <f t="shared" si="39"/>
        <v/>
      </c>
      <c r="AU1626" s="157" t="str">
        <f t="shared" si="40"/>
        <v/>
      </c>
      <c r="AV1626" s="157" t="str">
        <f t="shared" si="41"/>
        <v/>
      </c>
      <c r="AW1626" s="157" t="str">
        <f t="shared" si="42"/>
        <v/>
      </c>
      <c r="AX1626" s="157" t="str">
        <f t="shared" si="43"/>
        <v/>
      </c>
      <c r="AY1626" s="157" t="str">
        <f t="shared" si="44"/>
        <v/>
      </c>
      <c r="AZ1626" s="157" t="str">
        <f t="shared" si="45"/>
        <v/>
      </c>
      <c r="BA1626" s="157" t="str">
        <f t="shared" si="46"/>
        <v/>
      </c>
      <c r="BB1626" s="160">
        <f t="shared" si="47"/>
        <v>0</v>
      </c>
    </row>
    <row r="1627" spans="1:111" s="22" customFormat="1" hidden="1">
      <c r="A1627" s="61"/>
      <c r="C1627" s="157" t="s">
        <v>184</v>
      </c>
      <c r="D1627" s="157" t="str">
        <f t="shared" si="7"/>
        <v/>
      </c>
      <c r="E1627" s="157" t="str">
        <f t="shared" si="8"/>
        <v/>
      </c>
      <c r="F1627" s="157" t="str">
        <f t="shared" si="48"/>
        <v/>
      </c>
      <c r="G1627" s="157" t="str">
        <f t="shared" si="49"/>
        <v/>
      </c>
      <c r="H1627" s="157" t="str">
        <f t="shared" si="50"/>
        <v/>
      </c>
      <c r="I1627" s="157" t="str">
        <f t="shared" si="51"/>
        <v/>
      </c>
      <c r="J1627" s="157" t="str">
        <f t="shared" si="52"/>
        <v/>
      </c>
      <c r="K1627" s="157" t="str">
        <f t="shared" si="53"/>
        <v/>
      </c>
      <c r="L1627" s="157" t="str">
        <f t="shared" si="54"/>
        <v/>
      </c>
      <c r="M1627" s="157" t="str">
        <f t="shared" si="55"/>
        <v/>
      </c>
      <c r="N1627" s="157" t="str">
        <f t="shared" si="56"/>
        <v/>
      </c>
      <c r="O1627" s="157" t="str">
        <f t="shared" si="57"/>
        <v/>
      </c>
      <c r="P1627" s="157" t="str">
        <f t="shared" si="9"/>
        <v/>
      </c>
      <c r="Q1627" s="157" t="str">
        <f t="shared" si="10"/>
        <v/>
      </c>
      <c r="R1627" s="157" t="str">
        <f t="shared" si="11"/>
        <v/>
      </c>
      <c r="S1627" s="157" t="str">
        <f t="shared" si="12"/>
        <v/>
      </c>
      <c r="T1627" s="157" t="str">
        <f t="shared" si="13"/>
        <v/>
      </c>
      <c r="U1627" s="157" t="str">
        <f t="shared" si="14"/>
        <v/>
      </c>
      <c r="V1627" s="157" t="str">
        <f t="shared" si="15"/>
        <v/>
      </c>
      <c r="W1627" s="157" t="str">
        <f t="shared" si="16"/>
        <v/>
      </c>
      <c r="X1627" s="157" t="str">
        <f t="shared" si="17"/>
        <v/>
      </c>
      <c r="Y1627" s="157" t="str">
        <f t="shared" si="18"/>
        <v/>
      </c>
      <c r="Z1627" s="157" t="str">
        <f t="shared" si="19"/>
        <v/>
      </c>
      <c r="AA1627" s="157" t="str">
        <f t="shared" si="20"/>
        <v/>
      </c>
      <c r="AB1627" s="157" t="str">
        <f t="shared" si="21"/>
        <v/>
      </c>
      <c r="AC1627" s="157" t="str">
        <f t="shared" si="22"/>
        <v/>
      </c>
      <c r="AD1627" s="157" t="str">
        <f t="shared" si="23"/>
        <v/>
      </c>
      <c r="AE1627" s="157" t="str">
        <f t="shared" si="24"/>
        <v/>
      </c>
      <c r="AF1627" s="157" t="str">
        <f t="shared" si="25"/>
        <v/>
      </c>
      <c r="AG1627" s="157" t="str">
        <f t="shared" si="26"/>
        <v/>
      </c>
      <c r="AH1627" s="157" t="str">
        <f t="shared" si="27"/>
        <v/>
      </c>
      <c r="AI1627" s="157" t="str">
        <f t="shared" si="28"/>
        <v/>
      </c>
      <c r="AJ1627" s="157" t="str">
        <f t="shared" si="29"/>
        <v/>
      </c>
      <c r="AK1627" s="157" t="str">
        <f t="shared" si="30"/>
        <v/>
      </c>
      <c r="AL1627" s="157" t="str">
        <f t="shared" si="31"/>
        <v/>
      </c>
      <c r="AM1627" s="157" t="str">
        <f t="shared" si="32"/>
        <v/>
      </c>
      <c r="AN1627" s="157" t="str">
        <f t="shared" si="33"/>
        <v/>
      </c>
      <c r="AO1627" s="157" t="str">
        <f t="shared" si="34"/>
        <v/>
      </c>
      <c r="AP1627" s="157" t="str">
        <f t="shared" si="35"/>
        <v/>
      </c>
      <c r="AQ1627" s="157" t="str">
        <f t="shared" si="36"/>
        <v/>
      </c>
      <c r="AR1627" s="157" t="str">
        <f t="shared" si="37"/>
        <v/>
      </c>
      <c r="AS1627" s="157" t="str">
        <f t="shared" si="38"/>
        <v/>
      </c>
      <c r="AT1627" s="157" t="str">
        <f t="shared" si="39"/>
        <v/>
      </c>
      <c r="AU1627" s="157" t="str">
        <f t="shared" si="40"/>
        <v/>
      </c>
      <c r="AV1627" s="157" t="str">
        <f t="shared" si="41"/>
        <v/>
      </c>
      <c r="AW1627" s="157" t="str">
        <f t="shared" si="42"/>
        <v/>
      </c>
      <c r="AX1627" s="157" t="str">
        <f t="shared" si="43"/>
        <v/>
      </c>
      <c r="AY1627" s="157" t="str">
        <f t="shared" si="44"/>
        <v/>
      </c>
      <c r="AZ1627" s="157" t="str">
        <f t="shared" si="45"/>
        <v/>
      </c>
      <c r="BA1627" s="157" t="str">
        <f t="shared" si="46"/>
        <v/>
      </c>
      <c r="BB1627" s="160">
        <f t="shared" si="47"/>
        <v>0</v>
      </c>
    </row>
    <row r="1628" spans="1:111" s="22" customFormat="1" hidden="1">
      <c r="A1628" s="61"/>
      <c r="C1628" s="157" t="s">
        <v>185</v>
      </c>
      <c r="D1628" s="157" t="str">
        <f t="shared" si="7"/>
        <v/>
      </c>
      <c r="E1628" s="157" t="str">
        <f t="shared" si="8"/>
        <v/>
      </c>
      <c r="F1628" s="157" t="str">
        <f t="shared" si="48"/>
        <v/>
      </c>
      <c r="G1628" s="157" t="str">
        <f t="shared" si="49"/>
        <v/>
      </c>
      <c r="H1628" s="157" t="str">
        <f t="shared" si="50"/>
        <v/>
      </c>
      <c r="I1628" s="157" t="str">
        <f t="shared" si="51"/>
        <v/>
      </c>
      <c r="J1628" s="157" t="str">
        <f t="shared" si="52"/>
        <v/>
      </c>
      <c r="K1628" s="157" t="str">
        <f t="shared" si="53"/>
        <v/>
      </c>
      <c r="L1628" s="157" t="str">
        <f t="shared" si="54"/>
        <v/>
      </c>
      <c r="M1628" s="157" t="str">
        <f t="shared" si="55"/>
        <v/>
      </c>
      <c r="N1628" s="157" t="str">
        <f t="shared" si="56"/>
        <v/>
      </c>
      <c r="O1628" s="157" t="str">
        <f t="shared" si="57"/>
        <v/>
      </c>
      <c r="P1628" s="157" t="str">
        <f t="shared" si="9"/>
        <v/>
      </c>
      <c r="Q1628" s="157" t="str">
        <f t="shared" si="10"/>
        <v/>
      </c>
      <c r="R1628" s="157" t="str">
        <f t="shared" si="11"/>
        <v/>
      </c>
      <c r="S1628" s="157" t="str">
        <f t="shared" si="12"/>
        <v/>
      </c>
      <c r="T1628" s="157" t="str">
        <f t="shared" si="13"/>
        <v/>
      </c>
      <c r="U1628" s="157" t="str">
        <f t="shared" si="14"/>
        <v/>
      </c>
      <c r="V1628" s="157" t="str">
        <f t="shared" si="15"/>
        <v/>
      </c>
      <c r="W1628" s="157" t="str">
        <f t="shared" si="16"/>
        <v/>
      </c>
      <c r="X1628" s="157" t="str">
        <f t="shared" si="17"/>
        <v/>
      </c>
      <c r="Y1628" s="157" t="str">
        <f t="shared" si="18"/>
        <v/>
      </c>
      <c r="Z1628" s="157" t="str">
        <f t="shared" si="19"/>
        <v/>
      </c>
      <c r="AA1628" s="157" t="str">
        <f t="shared" si="20"/>
        <v/>
      </c>
      <c r="AB1628" s="157" t="str">
        <f t="shared" si="21"/>
        <v/>
      </c>
      <c r="AC1628" s="157" t="str">
        <f t="shared" si="22"/>
        <v/>
      </c>
      <c r="AD1628" s="157" t="str">
        <f t="shared" si="23"/>
        <v/>
      </c>
      <c r="AE1628" s="157" t="str">
        <f t="shared" si="24"/>
        <v/>
      </c>
      <c r="AF1628" s="157" t="str">
        <f t="shared" si="25"/>
        <v/>
      </c>
      <c r="AG1628" s="157" t="str">
        <f t="shared" si="26"/>
        <v/>
      </c>
      <c r="AH1628" s="157" t="str">
        <f t="shared" si="27"/>
        <v/>
      </c>
      <c r="AI1628" s="157" t="str">
        <f t="shared" si="28"/>
        <v/>
      </c>
      <c r="AJ1628" s="157" t="str">
        <f t="shared" si="29"/>
        <v/>
      </c>
      <c r="AK1628" s="157" t="str">
        <f t="shared" si="30"/>
        <v/>
      </c>
      <c r="AL1628" s="157" t="str">
        <f t="shared" si="31"/>
        <v/>
      </c>
      <c r="AM1628" s="157" t="str">
        <f t="shared" si="32"/>
        <v/>
      </c>
      <c r="AN1628" s="157" t="str">
        <f t="shared" si="33"/>
        <v/>
      </c>
      <c r="AO1628" s="157" t="str">
        <f t="shared" si="34"/>
        <v/>
      </c>
      <c r="AP1628" s="157" t="str">
        <f t="shared" si="35"/>
        <v/>
      </c>
      <c r="AQ1628" s="157" t="str">
        <f t="shared" si="36"/>
        <v/>
      </c>
      <c r="AR1628" s="157" t="str">
        <f t="shared" si="37"/>
        <v/>
      </c>
      <c r="AS1628" s="157" t="str">
        <f t="shared" si="38"/>
        <v/>
      </c>
      <c r="AT1628" s="157" t="str">
        <f t="shared" si="39"/>
        <v/>
      </c>
      <c r="AU1628" s="157" t="str">
        <f t="shared" si="40"/>
        <v/>
      </c>
      <c r="AV1628" s="157" t="str">
        <f t="shared" si="41"/>
        <v/>
      </c>
      <c r="AW1628" s="157" t="str">
        <f t="shared" si="42"/>
        <v/>
      </c>
      <c r="AX1628" s="157" t="str">
        <f t="shared" si="43"/>
        <v/>
      </c>
      <c r="AY1628" s="157" t="str">
        <f t="shared" si="44"/>
        <v/>
      </c>
      <c r="AZ1628" s="157" t="str">
        <f t="shared" si="45"/>
        <v/>
      </c>
      <c r="BA1628" s="157" t="str">
        <f t="shared" si="46"/>
        <v/>
      </c>
      <c r="BB1628" s="160">
        <f t="shared" si="47"/>
        <v>0</v>
      </c>
    </row>
    <row r="1629" spans="1:111" s="22" customFormat="1" hidden="1">
      <c r="A1629" s="61"/>
      <c r="C1629" s="157" t="s">
        <v>186</v>
      </c>
      <c r="D1629" s="157" t="str">
        <f t="shared" si="7"/>
        <v/>
      </c>
      <c r="E1629" s="157" t="str">
        <f t="shared" si="8"/>
        <v/>
      </c>
      <c r="F1629" s="157" t="str">
        <f t="shared" si="48"/>
        <v/>
      </c>
      <c r="G1629" s="157" t="str">
        <f t="shared" si="49"/>
        <v/>
      </c>
      <c r="H1629" s="157" t="str">
        <f t="shared" si="50"/>
        <v/>
      </c>
      <c r="I1629" s="157" t="str">
        <f t="shared" si="51"/>
        <v/>
      </c>
      <c r="J1629" s="157" t="str">
        <f t="shared" si="52"/>
        <v/>
      </c>
      <c r="K1629" s="157" t="str">
        <f t="shared" si="53"/>
        <v/>
      </c>
      <c r="L1629" s="157" t="str">
        <f t="shared" si="54"/>
        <v/>
      </c>
      <c r="M1629" s="157" t="str">
        <f t="shared" si="55"/>
        <v/>
      </c>
      <c r="N1629" s="157" t="str">
        <f t="shared" si="56"/>
        <v/>
      </c>
      <c r="O1629" s="157" t="str">
        <f t="shared" si="57"/>
        <v/>
      </c>
      <c r="P1629" s="157" t="str">
        <f t="shared" si="9"/>
        <v/>
      </c>
      <c r="Q1629" s="157" t="str">
        <f t="shared" si="10"/>
        <v/>
      </c>
      <c r="R1629" s="157" t="str">
        <f t="shared" si="11"/>
        <v/>
      </c>
      <c r="S1629" s="157" t="str">
        <f t="shared" si="12"/>
        <v/>
      </c>
      <c r="T1629" s="157" t="str">
        <f t="shared" si="13"/>
        <v/>
      </c>
      <c r="U1629" s="157" t="str">
        <f t="shared" si="14"/>
        <v/>
      </c>
      <c r="V1629" s="157" t="str">
        <f t="shared" si="15"/>
        <v/>
      </c>
      <c r="W1629" s="157" t="str">
        <f t="shared" si="16"/>
        <v/>
      </c>
      <c r="X1629" s="157" t="str">
        <f t="shared" si="17"/>
        <v/>
      </c>
      <c r="Y1629" s="157" t="str">
        <f t="shared" si="18"/>
        <v/>
      </c>
      <c r="Z1629" s="157" t="str">
        <f t="shared" si="19"/>
        <v/>
      </c>
      <c r="AA1629" s="157" t="str">
        <f t="shared" si="20"/>
        <v/>
      </c>
      <c r="AB1629" s="157" t="str">
        <f t="shared" si="21"/>
        <v/>
      </c>
      <c r="AC1629" s="157" t="str">
        <f t="shared" si="22"/>
        <v/>
      </c>
      <c r="AD1629" s="157" t="str">
        <f t="shared" si="23"/>
        <v/>
      </c>
      <c r="AE1629" s="157" t="str">
        <f t="shared" si="24"/>
        <v/>
      </c>
      <c r="AF1629" s="157" t="str">
        <f t="shared" si="25"/>
        <v/>
      </c>
      <c r="AG1629" s="157" t="str">
        <f t="shared" si="26"/>
        <v/>
      </c>
      <c r="AH1629" s="157" t="str">
        <f t="shared" si="27"/>
        <v/>
      </c>
      <c r="AI1629" s="157" t="str">
        <f t="shared" si="28"/>
        <v/>
      </c>
      <c r="AJ1629" s="157" t="str">
        <f t="shared" si="29"/>
        <v/>
      </c>
      <c r="AK1629" s="157" t="str">
        <f t="shared" si="30"/>
        <v/>
      </c>
      <c r="AL1629" s="157" t="str">
        <f t="shared" si="31"/>
        <v/>
      </c>
      <c r="AM1629" s="157" t="str">
        <f t="shared" si="32"/>
        <v/>
      </c>
      <c r="AN1629" s="157" t="str">
        <f t="shared" si="33"/>
        <v/>
      </c>
      <c r="AO1629" s="157" t="str">
        <f t="shared" si="34"/>
        <v/>
      </c>
      <c r="AP1629" s="157" t="str">
        <f t="shared" si="35"/>
        <v/>
      </c>
      <c r="AQ1629" s="157" t="str">
        <f t="shared" si="36"/>
        <v/>
      </c>
      <c r="AR1629" s="157" t="str">
        <f t="shared" si="37"/>
        <v/>
      </c>
      <c r="AS1629" s="157" t="str">
        <f t="shared" si="38"/>
        <v/>
      </c>
      <c r="AT1629" s="157" t="str">
        <f t="shared" si="39"/>
        <v/>
      </c>
      <c r="AU1629" s="157" t="str">
        <f t="shared" si="40"/>
        <v/>
      </c>
      <c r="AV1629" s="157" t="str">
        <f t="shared" si="41"/>
        <v/>
      </c>
      <c r="AW1629" s="157" t="str">
        <f t="shared" si="42"/>
        <v/>
      </c>
      <c r="AX1629" s="157" t="str">
        <f t="shared" si="43"/>
        <v/>
      </c>
      <c r="AY1629" s="157" t="str">
        <f t="shared" si="44"/>
        <v/>
      </c>
      <c r="AZ1629" s="157" t="str">
        <f t="shared" si="45"/>
        <v/>
      </c>
      <c r="BA1629" s="157" t="str">
        <f t="shared" si="46"/>
        <v/>
      </c>
      <c r="BB1629" s="160">
        <f t="shared" si="47"/>
        <v>0</v>
      </c>
    </row>
    <row r="1630" spans="1:111" s="22" customFormat="1" hidden="1">
      <c r="A1630" s="61"/>
      <c r="C1630" s="157" t="s">
        <v>187</v>
      </c>
      <c r="D1630" s="157" t="str">
        <f t="shared" si="7"/>
        <v/>
      </c>
      <c r="E1630" s="157" t="str">
        <f t="shared" si="8"/>
        <v/>
      </c>
      <c r="F1630" s="157" t="str">
        <f t="shared" si="48"/>
        <v/>
      </c>
      <c r="G1630" s="157" t="str">
        <f t="shared" si="49"/>
        <v/>
      </c>
      <c r="H1630" s="157" t="str">
        <f t="shared" si="50"/>
        <v/>
      </c>
      <c r="I1630" s="157" t="str">
        <f t="shared" si="51"/>
        <v/>
      </c>
      <c r="J1630" s="157" t="str">
        <f t="shared" si="52"/>
        <v/>
      </c>
      <c r="K1630" s="157" t="str">
        <f t="shared" si="53"/>
        <v/>
      </c>
      <c r="L1630" s="157" t="str">
        <f t="shared" si="54"/>
        <v/>
      </c>
      <c r="M1630" s="157" t="str">
        <f t="shared" si="55"/>
        <v/>
      </c>
      <c r="N1630" s="157" t="str">
        <f t="shared" si="56"/>
        <v/>
      </c>
      <c r="O1630" s="157" t="str">
        <f t="shared" si="57"/>
        <v/>
      </c>
      <c r="P1630" s="157" t="str">
        <f t="shared" si="9"/>
        <v/>
      </c>
      <c r="Q1630" s="157" t="str">
        <f t="shared" si="10"/>
        <v/>
      </c>
      <c r="R1630" s="157" t="str">
        <f t="shared" si="11"/>
        <v/>
      </c>
      <c r="S1630" s="157" t="str">
        <f t="shared" si="12"/>
        <v/>
      </c>
      <c r="T1630" s="157" t="str">
        <f t="shared" si="13"/>
        <v/>
      </c>
      <c r="U1630" s="157" t="str">
        <f t="shared" si="14"/>
        <v/>
      </c>
      <c r="V1630" s="157" t="str">
        <f t="shared" si="15"/>
        <v/>
      </c>
      <c r="W1630" s="157" t="str">
        <f t="shared" si="16"/>
        <v/>
      </c>
      <c r="X1630" s="157" t="str">
        <f t="shared" si="17"/>
        <v/>
      </c>
      <c r="Y1630" s="157" t="str">
        <f t="shared" si="18"/>
        <v/>
      </c>
      <c r="Z1630" s="157" t="str">
        <f t="shared" si="19"/>
        <v/>
      </c>
      <c r="AA1630" s="157" t="str">
        <f t="shared" si="20"/>
        <v/>
      </c>
      <c r="AB1630" s="157" t="str">
        <f t="shared" si="21"/>
        <v/>
      </c>
      <c r="AC1630" s="157" t="str">
        <f t="shared" si="22"/>
        <v/>
      </c>
      <c r="AD1630" s="157" t="str">
        <f t="shared" si="23"/>
        <v/>
      </c>
      <c r="AE1630" s="157" t="str">
        <f t="shared" si="24"/>
        <v/>
      </c>
      <c r="AF1630" s="157" t="str">
        <f t="shared" si="25"/>
        <v/>
      </c>
      <c r="AG1630" s="157" t="str">
        <f t="shared" si="26"/>
        <v/>
      </c>
      <c r="AH1630" s="157" t="str">
        <f t="shared" si="27"/>
        <v/>
      </c>
      <c r="AI1630" s="157" t="str">
        <f t="shared" si="28"/>
        <v/>
      </c>
      <c r="AJ1630" s="157" t="str">
        <f t="shared" si="29"/>
        <v/>
      </c>
      <c r="AK1630" s="157" t="str">
        <f t="shared" si="30"/>
        <v/>
      </c>
      <c r="AL1630" s="157" t="str">
        <f t="shared" si="31"/>
        <v/>
      </c>
      <c r="AM1630" s="157" t="str">
        <f t="shared" si="32"/>
        <v/>
      </c>
      <c r="AN1630" s="157" t="str">
        <f t="shared" si="33"/>
        <v/>
      </c>
      <c r="AO1630" s="157" t="str">
        <f t="shared" si="34"/>
        <v/>
      </c>
      <c r="AP1630" s="157" t="str">
        <f t="shared" si="35"/>
        <v/>
      </c>
      <c r="AQ1630" s="157" t="str">
        <f t="shared" si="36"/>
        <v/>
      </c>
      <c r="AR1630" s="157" t="str">
        <f t="shared" si="37"/>
        <v/>
      </c>
      <c r="AS1630" s="157" t="str">
        <f t="shared" si="38"/>
        <v/>
      </c>
      <c r="AT1630" s="157" t="str">
        <f t="shared" si="39"/>
        <v/>
      </c>
      <c r="AU1630" s="157" t="str">
        <f t="shared" si="40"/>
        <v/>
      </c>
      <c r="AV1630" s="157" t="str">
        <f t="shared" si="41"/>
        <v/>
      </c>
      <c r="AW1630" s="157" t="str">
        <f t="shared" si="42"/>
        <v/>
      </c>
      <c r="AX1630" s="157" t="str">
        <f t="shared" si="43"/>
        <v/>
      </c>
      <c r="AY1630" s="157" t="str">
        <f t="shared" si="44"/>
        <v/>
      </c>
      <c r="AZ1630" s="157" t="str">
        <f t="shared" si="45"/>
        <v/>
      </c>
      <c r="BA1630" s="157" t="str">
        <f t="shared" si="46"/>
        <v/>
      </c>
      <c r="BB1630" s="160">
        <f t="shared" si="47"/>
        <v>0</v>
      </c>
    </row>
    <row r="1631" spans="1:111" s="22" customFormat="1" hidden="1">
      <c r="A1631" s="61"/>
      <c r="C1631" s="157" t="s">
        <v>188</v>
      </c>
      <c r="D1631" s="157" t="str">
        <f t="shared" si="7"/>
        <v/>
      </c>
      <c r="E1631" s="157" t="str">
        <f t="shared" si="8"/>
        <v/>
      </c>
      <c r="F1631" s="157" t="str">
        <f t="shared" si="48"/>
        <v/>
      </c>
      <c r="G1631" s="157" t="str">
        <f t="shared" si="49"/>
        <v/>
      </c>
      <c r="H1631" s="157" t="str">
        <f t="shared" si="50"/>
        <v/>
      </c>
      <c r="I1631" s="157" t="str">
        <f t="shared" si="51"/>
        <v/>
      </c>
      <c r="J1631" s="157" t="str">
        <f t="shared" si="52"/>
        <v/>
      </c>
      <c r="K1631" s="157" t="str">
        <f t="shared" si="53"/>
        <v/>
      </c>
      <c r="L1631" s="157" t="str">
        <f t="shared" si="54"/>
        <v/>
      </c>
      <c r="M1631" s="157" t="str">
        <f t="shared" si="55"/>
        <v/>
      </c>
      <c r="N1631" s="157" t="str">
        <f t="shared" si="56"/>
        <v/>
      </c>
      <c r="O1631" s="157" t="str">
        <f t="shared" si="57"/>
        <v/>
      </c>
      <c r="P1631" s="157" t="str">
        <f t="shared" si="9"/>
        <v/>
      </c>
      <c r="Q1631" s="157" t="str">
        <f t="shared" si="10"/>
        <v/>
      </c>
      <c r="R1631" s="157" t="str">
        <f t="shared" si="11"/>
        <v/>
      </c>
      <c r="S1631" s="157" t="str">
        <f t="shared" si="12"/>
        <v/>
      </c>
      <c r="T1631" s="157" t="str">
        <f t="shared" si="13"/>
        <v/>
      </c>
      <c r="U1631" s="157" t="str">
        <f t="shared" si="14"/>
        <v/>
      </c>
      <c r="V1631" s="157" t="str">
        <f t="shared" si="15"/>
        <v/>
      </c>
      <c r="W1631" s="157" t="str">
        <f t="shared" si="16"/>
        <v/>
      </c>
      <c r="X1631" s="157" t="str">
        <f t="shared" si="17"/>
        <v/>
      </c>
      <c r="Y1631" s="157" t="str">
        <f t="shared" si="18"/>
        <v/>
      </c>
      <c r="Z1631" s="157" t="str">
        <f t="shared" si="19"/>
        <v/>
      </c>
      <c r="AA1631" s="157" t="str">
        <f t="shared" si="20"/>
        <v/>
      </c>
      <c r="AB1631" s="157" t="str">
        <f t="shared" si="21"/>
        <v/>
      </c>
      <c r="AC1631" s="157" t="str">
        <f t="shared" si="22"/>
        <v/>
      </c>
      <c r="AD1631" s="157" t="str">
        <f t="shared" si="23"/>
        <v/>
      </c>
      <c r="AE1631" s="157" t="str">
        <f t="shared" si="24"/>
        <v/>
      </c>
      <c r="AF1631" s="157" t="str">
        <f t="shared" si="25"/>
        <v/>
      </c>
      <c r="AG1631" s="157" t="str">
        <f t="shared" si="26"/>
        <v/>
      </c>
      <c r="AH1631" s="157" t="str">
        <f t="shared" si="27"/>
        <v/>
      </c>
      <c r="AI1631" s="157" t="str">
        <f t="shared" si="28"/>
        <v/>
      </c>
      <c r="AJ1631" s="157" t="str">
        <f t="shared" si="29"/>
        <v/>
      </c>
      <c r="AK1631" s="157" t="str">
        <f t="shared" si="30"/>
        <v/>
      </c>
      <c r="AL1631" s="157" t="str">
        <f t="shared" si="31"/>
        <v/>
      </c>
      <c r="AM1631" s="157" t="str">
        <f t="shared" si="32"/>
        <v/>
      </c>
      <c r="AN1631" s="157" t="str">
        <f t="shared" si="33"/>
        <v/>
      </c>
      <c r="AO1631" s="157" t="str">
        <f t="shared" si="34"/>
        <v/>
      </c>
      <c r="AP1631" s="157" t="str">
        <f t="shared" si="35"/>
        <v/>
      </c>
      <c r="AQ1631" s="157" t="str">
        <f t="shared" si="36"/>
        <v/>
      </c>
      <c r="AR1631" s="157" t="str">
        <f t="shared" si="37"/>
        <v/>
      </c>
      <c r="AS1631" s="157" t="str">
        <f t="shared" si="38"/>
        <v/>
      </c>
      <c r="AT1631" s="157" t="str">
        <f t="shared" si="39"/>
        <v/>
      </c>
      <c r="AU1631" s="157" t="str">
        <f t="shared" si="40"/>
        <v/>
      </c>
      <c r="AV1631" s="157" t="str">
        <f t="shared" si="41"/>
        <v/>
      </c>
      <c r="AW1631" s="157" t="str">
        <f t="shared" si="42"/>
        <v/>
      </c>
      <c r="AX1631" s="157" t="str">
        <f t="shared" si="43"/>
        <v/>
      </c>
      <c r="AY1631" s="157" t="str">
        <f t="shared" si="44"/>
        <v/>
      </c>
      <c r="AZ1631" s="157" t="str">
        <f t="shared" si="45"/>
        <v/>
      </c>
      <c r="BA1631" s="157" t="str">
        <f t="shared" si="46"/>
        <v/>
      </c>
      <c r="BB1631" s="160">
        <f t="shared" si="47"/>
        <v>0</v>
      </c>
    </row>
    <row r="1632" spans="1:111" s="22" customFormat="1" hidden="1">
      <c r="A1632" s="61"/>
      <c r="C1632" s="158" t="s">
        <v>189</v>
      </c>
      <c r="D1632" s="157" t="str">
        <f t="shared" si="7"/>
        <v/>
      </c>
      <c r="E1632" s="157" t="str">
        <f t="shared" si="8"/>
        <v/>
      </c>
      <c r="F1632" s="157" t="str">
        <f t="shared" si="48"/>
        <v/>
      </c>
      <c r="G1632" s="157" t="str">
        <f t="shared" si="49"/>
        <v/>
      </c>
      <c r="H1632" s="157" t="str">
        <f t="shared" si="50"/>
        <v/>
      </c>
      <c r="I1632" s="157" t="str">
        <f t="shared" si="51"/>
        <v/>
      </c>
      <c r="J1632" s="157" t="str">
        <f t="shared" si="52"/>
        <v/>
      </c>
      <c r="K1632" s="157" t="str">
        <f t="shared" si="53"/>
        <v/>
      </c>
      <c r="L1632" s="157" t="str">
        <f t="shared" si="54"/>
        <v/>
      </c>
      <c r="M1632" s="157" t="str">
        <f t="shared" si="55"/>
        <v/>
      </c>
      <c r="N1632" s="157" t="str">
        <f t="shared" si="56"/>
        <v/>
      </c>
      <c r="O1632" s="157" t="str">
        <f t="shared" si="57"/>
        <v/>
      </c>
      <c r="P1632" s="157" t="str">
        <f t="shared" si="9"/>
        <v/>
      </c>
      <c r="Q1632" s="157" t="str">
        <f t="shared" si="10"/>
        <v/>
      </c>
      <c r="R1632" s="157" t="str">
        <f t="shared" si="11"/>
        <v/>
      </c>
      <c r="S1632" s="157" t="str">
        <f t="shared" si="12"/>
        <v/>
      </c>
      <c r="T1632" s="157" t="str">
        <f t="shared" si="13"/>
        <v/>
      </c>
      <c r="U1632" s="157" t="str">
        <f t="shared" si="14"/>
        <v/>
      </c>
      <c r="V1632" s="157" t="str">
        <f t="shared" si="15"/>
        <v/>
      </c>
      <c r="W1632" s="157" t="str">
        <f t="shared" si="16"/>
        <v/>
      </c>
      <c r="X1632" s="157" t="str">
        <f t="shared" si="17"/>
        <v/>
      </c>
      <c r="Y1632" s="157" t="str">
        <f t="shared" si="18"/>
        <v/>
      </c>
      <c r="Z1632" s="157" t="str">
        <f t="shared" si="19"/>
        <v/>
      </c>
      <c r="AA1632" s="157" t="str">
        <f t="shared" si="20"/>
        <v/>
      </c>
      <c r="AB1632" s="157" t="str">
        <f t="shared" si="21"/>
        <v/>
      </c>
      <c r="AC1632" s="157" t="str">
        <f t="shared" si="22"/>
        <v/>
      </c>
      <c r="AD1632" s="157" t="str">
        <f t="shared" si="23"/>
        <v/>
      </c>
      <c r="AE1632" s="157" t="str">
        <f t="shared" si="24"/>
        <v/>
      </c>
      <c r="AF1632" s="157" t="str">
        <f t="shared" si="25"/>
        <v/>
      </c>
      <c r="AG1632" s="157" t="str">
        <f t="shared" si="26"/>
        <v/>
      </c>
      <c r="AH1632" s="157" t="str">
        <f t="shared" si="27"/>
        <v/>
      </c>
      <c r="AI1632" s="157" t="str">
        <f t="shared" si="28"/>
        <v/>
      </c>
      <c r="AJ1632" s="157" t="str">
        <f t="shared" si="29"/>
        <v/>
      </c>
      <c r="AK1632" s="157" t="str">
        <f t="shared" si="30"/>
        <v/>
      </c>
      <c r="AL1632" s="157" t="str">
        <f t="shared" si="31"/>
        <v/>
      </c>
      <c r="AM1632" s="157" t="str">
        <f t="shared" si="32"/>
        <v/>
      </c>
      <c r="AN1632" s="157" t="str">
        <f t="shared" si="33"/>
        <v/>
      </c>
      <c r="AO1632" s="157" t="str">
        <f t="shared" si="34"/>
        <v/>
      </c>
      <c r="AP1632" s="157" t="str">
        <f t="shared" si="35"/>
        <v/>
      </c>
      <c r="AQ1632" s="157" t="str">
        <f t="shared" si="36"/>
        <v/>
      </c>
      <c r="AR1632" s="157" t="str">
        <f t="shared" si="37"/>
        <v/>
      </c>
      <c r="AS1632" s="157" t="str">
        <f t="shared" si="38"/>
        <v/>
      </c>
      <c r="AT1632" s="157" t="str">
        <f t="shared" si="39"/>
        <v/>
      </c>
      <c r="AU1632" s="157" t="str">
        <f t="shared" si="40"/>
        <v/>
      </c>
      <c r="AV1632" s="157" t="str">
        <f t="shared" si="41"/>
        <v/>
      </c>
      <c r="AW1632" s="157" t="str">
        <f t="shared" si="42"/>
        <v/>
      </c>
      <c r="AX1632" s="157" t="str">
        <f t="shared" si="43"/>
        <v/>
      </c>
      <c r="AY1632" s="157" t="str">
        <f t="shared" si="44"/>
        <v/>
      </c>
      <c r="AZ1632" s="157" t="str">
        <f t="shared" si="45"/>
        <v/>
      </c>
      <c r="BA1632" s="157" t="str">
        <f t="shared" si="46"/>
        <v/>
      </c>
      <c r="BB1632" s="160">
        <f t="shared" si="47"/>
        <v>0</v>
      </c>
    </row>
    <row r="1633" spans="1:54" s="22" customFormat="1" hidden="1">
      <c r="A1633" s="61"/>
      <c r="C1633" s="158" t="s">
        <v>190</v>
      </c>
      <c r="D1633" s="157" t="str">
        <f t="shared" si="7"/>
        <v/>
      </c>
      <c r="E1633" s="157" t="str">
        <f t="shared" si="8"/>
        <v/>
      </c>
      <c r="F1633" s="157" t="str">
        <f t="shared" si="48"/>
        <v/>
      </c>
      <c r="G1633" s="157" t="str">
        <f t="shared" si="49"/>
        <v/>
      </c>
      <c r="H1633" s="157" t="str">
        <f t="shared" si="50"/>
        <v/>
      </c>
      <c r="I1633" s="157" t="str">
        <f t="shared" si="51"/>
        <v/>
      </c>
      <c r="J1633" s="157" t="str">
        <f t="shared" si="52"/>
        <v/>
      </c>
      <c r="K1633" s="157" t="str">
        <f t="shared" si="53"/>
        <v/>
      </c>
      <c r="L1633" s="157" t="str">
        <f t="shared" si="54"/>
        <v/>
      </c>
      <c r="M1633" s="157" t="str">
        <f t="shared" si="55"/>
        <v/>
      </c>
      <c r="N1633" s="157" t="str">
        <f t="shared" si="56"/>
        <v/>
      </c>
      <c r="O1633" s="157" t="str">
        <f t="shared" si="57"/>
        <v/>
      </c>
      <c r="P1633" s="157" t="str">
        <f t="shared" si="9"/>
        <v/>
      </c>
      <c r="Q1633" s="157" t="str">
        <f t="shared" si="10"/>
        <v/>
      </c>
      <c r="R1633" s="157" t="str">
        <f t="shared" si="11"/>
        <v/>
      </c>
      <c r="S1633" s="157" t="str">
        <f t="shared" si="12"/>
        <v/>
      </c>
      <c r="T1633" s="157" t="str">
        <f t="shared" si="13"/>
        <v/>
      </c>
      <c r="U1633" s="157" t="str">
        <f t="shared" si="14"/>
        <v/>
      </c>
      <c r="V1633" s="157" t="str">
        <f t="shared" si="15"/>
        <v/>
      </c>
      <c r="W1633" s="157" t="str">
        <f t="shared" si="16"/>
        <v/>
      </c>
      <c r="X1633" s="157" t="str">
        <f t="shared" si="17"/>
        <v/>
      </c>
      <c r="Y1633" s="157" t="str">
        <f t="shared" si="18"/>
        <v/>
      </c>
      <c r="Z1633" s="157" t="str">
        <f t="shared" si="19"/>
        <v/>
      </c>
      <c r="AA1633" s="157" t="str">
        <f t="shared" si="20"/>
        <v/>
      </c>
      <c r="AB1633" s="157" t="str">
        <f t="shared" si="21"/>
        <v/>
      </c>
      <c r="AC1633" s="157" t="str">
        <f t="shared" si="22"/>
        <v/>
      </c>
      <c r="AD1633" s="157" t="str">
        <f t="shared" si="23"/>
        <v/>
      </c>
      <c r="AE1633" s="157" t="str">
        <f t="shared" si="24"/>
        <v/>
      </c>
      <c r="AF1633" s="157" t="str">
        <f t="shared" si="25"/>
        <v/>
      </c>
      <c r="AG1633" s="157" t="str">
        <f t="shared" si="26"/>
        <v/>
      </c>
      <c r="AH1633" s="157" t="str">
        <f t="shared" si="27"/>
        <v/>
      </c>
      <c r="AI1633" s="157" t="str">
        <f t="shared" si="28"/>
        <v/>
      </c>
      <c r="AJ1633" s="157" t="str">
        <f t="shared" si="29"/>
        <v/>
      </c>
      <c r="AK1633" s="157" t="str">
        <f t="shared" si="30"/>
        <v/>
      </c>
      <c r="AL1633" s="157" t="str">
        <f t="shared" si="31"/>
        <v/>
      </c>
      <c r="AM1633" s="157" t="str">
        <f t="shared" si="32"/>
        <v/>
      </c>
      <c r="AN1633" s="157" t="str">
        <f t="shared" si="33"/>
        <v/>
      </c>
      <c r="AO1633" s="157" t="str">
        <f t="shared" si="34"/>
        <v/>
      </c>
      <c r="AP1633" s="157" t="str">
        <f t="shared" si="35"/>
        <v/>
      </c>
      <c r="AQ1633" s="157" t="str">
        <f t="shared" si="36"/>
        <v/>
      </c>
      <c r="AR1633" s="157" t="str">
        <f t="shared" si="37"/>
        <v/>
      </c>
      <c r="AS1633" s="157" t="str">
        <f t="shared" si="38"/>
        <v/>
      </c>
      <c r="AT1633" s="157" t="str">
        <f t="shared" si="39"/>
        <v/>
      </c>
      <c r="AU1633" s="157" t="str">
        <f t="shared" si="40"/>
        <v/>
      </c>
      <c r="AV1633" s="157" t="str">
        <f t="shared" si="41"/>
        <v/>
      </c>
      <c r="AW1633" s="157" t="str">
        <f t="shared" si="42"/>
        <v/>
      </c>
      <c r="AX1633" s="157" t="str">
        <f t="shared" si="43"/>
        <v/>
      </c>
      <c r="AY1633" s="157" t="str">
        <f t="shared" si="44"/>
        <v/>
      </c>
      <c r="AZ1633" s="157" t="str">
        <f t="shared" si="45"/>
        <v/>
      </c>
      <c r="BA1633" s="157" t="str">
        <f t="shared" si="46"/>
        <v/>
      </c>
      <c r="BB1633" s="160">
        <f t="shared" si="47"/>
        <v>0</v>
      </c>
    </row>
    <row r="1634" spans="1:54" s="22" customFormat="1" hidden="1">
      <c r="A1634" s="61"/>
      <c r="C1634" s="158" t="s">
        <v>191</v>
      </c>
      <c r="D1634" s="157" t="str">
        <f t="shared" si="7"/>
        <v/>
      </c>
      <c r="E1634" s="157" t="str">
        <f t="shared" si="8"/>
        <v/>
      </c>
      <c r="F1634" s="157" t="str">
        <f t="shared" si="48"/>
        <v/>
      </c>
      <c r="G1634" s="157" t="str">
        <f t="shared" si="49"/>
        <v/>
      </c>
      <c r="H1634" s="157" t="str">
        <f t="shared" si="50"/>
        <v/>
      </c>
      <c r="I1634" s="157" t="str">
        <f t="shared" si="51"/>
        <v/>
      </c>
      <c r="J1634" s="157" t="str">
        <f t="shared" si="52"/>
        <v/>
      </c>
      <c r="K1634" s="157" t="str">
        <f t="shared" si="53"/>
        <v/>
      </c>
      <c r="L1634" s="157" t="str">
        <f t="shared" si="54"/>
        <v/>
      </c>
      <c r="M1634" s="157" t="str">
        <f t="shared" si="55"/>
        <v/>
      </c>
      <c r="N1634" s="157" t="str">
        <f t="shared" si="56"/>
        <v/>
      </c>
      <c r="O1634" s="157" t="str">
        <f t="shared" si="57"/>
        <v/>
      </c>
      <c r="P1634" s="157" t="str">
        <f t="shared" si="9"/>
        <v/>
      </c>
      <c r="Q1634" s="157" t="str">
        <f t="shared" si="10"/>
        <v/>
      </c>
      <c r="R1634" s="157" t="str">
        <f t="shared" si="11"/>
        <v/>
      </c>
      <c r="S1634" s="157" t="str">
        <f t="shared" si="12"/>
        <v/>
      </c>
      <c r="T1634" s="157" t="str">
        <f t="shared" si="13"/>
        <v/>
      </c>
      <c r="U1634" s="157" t="str">
        <f t="shared" si="14"/>
        <v/>
      </c>
      <c r="V1634" s="157" t="str">
        <f t="shared" si="15"/>
        <v/>
      </c>
      <c r="W1634" s="157" t="str">
        <f t="shared" si="16"/>
        <v/>
      </c>
      <c r="X1634" s="157" t="str">
        <f t="shared" si="17"/>
        <v/>
      </c>
      <c r="Y1634" s="157" t="str">
        <f t="shared" si="18"/>
        <v/>
      </c>
      <c r="Z1634" s="157" t="str">
        <f t="shared" si="19"/>
        <v/>
      </c>
      <c r="AA1634" s="157" t="str">
        <f t="shared" si="20"/>
        <v/>
      </c>
      <c r="AB1634" s="157" t="str">
        <f t="shared" si="21"/>
        <v/>
      </c>
      <c r="AC1634" s="157" t="str">
        <f t="shared" si="22"/>
        <v/>
      </c>
      <c r="AD1634" s="157" t="str">
        <f t="shared" si="23"/>
        <v/>
      </c>
      <c r="AE1634" s="157" t="str">
        <f t="shared" si="24"/>
        <v/>
      </c>
      <c r="AF1634" s="157" t="str">
        <f t="shared" si="25"/>
        <v/>
      </c>
      <c r="AG1634" s="157" t="str">
        <f t="shared" si="26"/>
        <v/>
      </c>
      <c r="AH1634" s="157" t="str">
        <f t="shared" si="27"/>
        <v/>
      </c>
      <c r="AI1634" s="157" t="str">
        <f t="shared" si="28"/>
        <v/>
      </c>
      <c r="AJ1634" s="157" t="str">
        <f t="shared" si="29"/>
        <v/>
      </c>
      <c r="AK1634" s="157" t="str">
        <f t="shared" si="30"/>
        <v/>
      </c>
      <c r="AL1634" s="157" t="str">
        <f t="shared" si="31"/>
        <v/>
      </c>
      <c r="AM1634" s="157" t="str">
        <f t="shared" si="32"/>
        <v/>
      </c>
      <c r="AN1634" s="157" t="str">
        <f t="shared" si="33"/>
        <v/>
      </c>
      <c r="AO1634" s="157" t="str">
        <f t="shared" si="34"/>
        <v/>
      </c>
      <c r="AP1634" s="157" t="str">
        <f t="shared" si="35"/>
        <v/>
      </c>
      <c r="AQ1634" s="157" t="str">
        <f t="shared" si="36"/>
        <v/>
      </c>
      <c r="AR1634" s="157" t="str">
        <f t="shared" si="37"/>
        <v/>
      </c>
      <c r="AS1634" s="157" t="str">
        <f t="shared" si="38"/>
        <v/>
      </c>
      <c r="AT1634" s="157" t="str">
        <f t="shared" si="39"/>
        <v/>
      </c>
      <c r="AU1634" s="157" t="str">
        <f t="shared" si="40"/>
        <v/>
      </c>
      <c r="AV1634" s="157" t="str">
        <f t="shared" si="41"/>
        <v/>
      </c>
      <c r="AW1634" s="157" t="str">
        <f t="shared" si="42"/>
        <v/>
      </c>
      <c r="AX1634" s="157" t="str">
        <f t="shared" si="43"/>
        <v/>
      </c>
      <c r="AY1634" s="157" t="str">
        <f t="shared" si="44"/>
        <v/>
      </c>
      <c r="AZ1634" s="157" t="str">
        <f t="shared" si="45"/>
        <v/>
      </c>
      <c r="BA1634" s="157" t="str">
        <f t="shared" si="46"/>
        <v/>
      </c>
      <c r="BB1634" s="160">
        <f t="shared" si="47"/>
        <v>0</v>
      </c>
    </row>
    <row r="1635" spans="1:54" s="22" customFormat="1" hidden="1">
      <c r="A1635" s="61"/>
      <c r="C1635" s="157" t="s">
        <v>192</v>
      </c>
      <c r="D1635" s="157" t="str">
        <f t="shared" si="7"/>
        <v/>
      </c>
      <c r="E1635" s="157" t="str">
        <f t="shared" si="8"/>
        <v/>
      </c>
      <c r="F1635" s="157" t="str">
        <f t="shared" si="48"/>
        <v/>
      </c>
      <c r="G1635" s="157" t="str">
        <f t="shared" si="49"/>
        <v/>
      </c>
      <c r="H1635" s="157" t="str">
        <f t="shared" si="50"/>
        <v/>
      </c>
      <c r="I1635" s="157" t="str">
        <f t="shared" si="51"/>
        <v/>
      </c>
      <c r="J1635" s="157" t="str">
        <f t="shared" si="52"/>
        <v/>
      </c>
      <c r="K1635" s="157" t="str">
        <f t="shared" si="53"/>
        <v/>
      </c>
      <c r="L1635" s="157" t="str">
        <f t="shared" si="54"/>
        <v/>
      </c>
      <c r="M1635" s="157" t="str">
        <f t="shared" si="55"/>
        <v/>
      </c>
      <c r="N1635" s="157" t="str">
        <f t="shared" si="56"/>
        <v/>
      </c>
      <c r="O1635" s="157" t="str">
        <f t="shared" si="57"/>
        <v/>
      </c>
      <c r="P1635" s="157" t="str">
        <f t="shared" si="9"/>
        <v/>
      </c>
      <c r="Q1635" s="157" t="str">
        <f t="shared" si="10"/>
        <v/>
      </c>
      <c r="R1635" s="157" t="str">
        <f t="shared" si="11"/>
        <v/>
      </c>
      <c r="S1635" s="157" t="str">
        <f t="shared" si="12"/>
        <v/>
      </c>
      <c r="T1635" s="157" t="str">
        <f t="shared" si="13"/>
        <v/>
      </c>
      <c r="U1635" s="157" t="str">
        <f t="shared" si="14"/>
        <v/>
      </c>
      <c r="V1635" s="157" t="str">
        <f t="shared" si="15"/>
        <v/>
      </c>
      <c r="W1635" s="157" t="str">
        <f t="shared" si="16"/>
        <v/>
      </c>
      <c r="X1635" s="157" t="str">
        <f t="shared" si="17"/>
        <v/>
      </c>
      <c r="Y1635" s="157" t="str">
        <f t="shared" si="18"/>
        <v/>
      </c>
      <c r="Z1635" s="157" t="str">
        <f t="shared" si="19"/>
        <v/>
      </c>
      <c r="AA1635" s="157" t="str">
        <f t="shared" si="20"/>
        <v/>
      </c>
      <c r="AB1635" s="157" t="str">
        <f t="shared" si="21"/>
        <v/>
      </c>
      <c r="AC1635" s="157" t="str">
        <f t="shared" si="22"/>
        <v/>
      </c>
      <c r="AD1635" s="157" t="str">
        <f t="shared" si="23"/>
        <v/>
      </c>
      <c r="AE1635" s="157" t="str">
        <f t="shared" si="24"/>
        <v/>
      </c>
      <c r="AF1635" s="157" t="str">
        <f t="shared" si="25"/>
        <v/>
      </c>
      <c r="AG1635" s="157" t="str">
        <f t="shared" si="26"/>
        <v/>
      </c>
      <c r="AH1635" s="157" t="str">
        <f t="shared" si="27"/>
        <v/>
      </c>
      <c r="AI1635" s="157" t="str">
        <f t="shared" si="28"/>
        <v/>
      </c>
      <c r="AJ1635" s="157" t="str">
        <f t="shared" si="29"/>
        <v/>
      </c>
      <c r="AK1635" s="157" t="str">
        <f t="shared" si="30"/>
        <v/>
      </c>
      <c r="AL1635" s="157" t="str">
        <f t="shared" si="31"/>
        <v/>
      </c>
      <c r="AM1635" s="157" t="str">
        <f t="shared" si="32"/>
        <v/>
      </c>
      <c r="AN1635" s="157" t="str">
        <f t="shared" si="33"/>
        <v/>
      </c>
      <c r="AO1635" s="157" t="str">
        <f t="shared" si="34"/>
        <v/>
      </c>
      <c r="AP1635" s="157" t="str">
        <f t="shared" si="35"/>
        <v/>
      </c>
      <c r="AQ1635" s="157" t="str">
        <f t="shared" si="36"/>
        <v/>
      </c>
      <c r="AR1635" s="157" t="str">
        <f t="shared" si="37"/>
        <v/>
      </c>
      <c r="AS1635" s="157" t="str">
        <f t="shared" si="38"/>
        <v/>
      </c>
      <c r="AT1635" s="157" t="str">
        <f t="shared" si="39"/>
        <v/>
      </c>
      <c r="AU1635" s="157" t="str">
        <f t="shared" si="40"/>
        <v/>
      </c>
      <c r="AV1635" s="157" t="str">
        <f t="shared" si="41"/>
        <v/>
      </c>
      <c r="AW1635" s="157" t="str">
        <f t="shared" si="42"/>
        <v/>
      </c>
      <c r="AX1635" s="157" t="str">
        <f t="shared" si="43"/>
        <v/>
      </c>
      <c r="AY1635" s="157" t="str">
        <f t="shared" si="44"/>
        <v/>
      </c>
      <c r="AZ1635" s="157" t="str">
        <f t="shared" si="45"/>
        <v/>
      </c>
      <c r="BA1635" s="157" t="str">
        <f t="shared" si="46"/>
        <v/>
      </c>
      <c r="BB1635" s="160">
        <f t="shared" si="47"/>
        <v>0</v>
      </c>
    </row>
    <row r="1636" spans="1:54" s="22" customFormat="1" hidden="1">
      <c r="A1636" s="61"/>
      <c r="C1636" s="157" t="s">
        <v>193</v>
      </c>
      <c r="D1636" s="157" t="str">
        <f t="shared" si="7"/>
        <v/>
      </c>
      <c r="E1636" s="157" t="str">
        <f t="shared" si="8"/>
        <v/>
      </c>
      <c r="F1636" s="157" t="str">
        <f t="shared" si="48"/>
        <v/>
      </c>
      <c r="G1636" s="157" t="str">
        <f t="shared" si="49"/>
        <v/>
      </c>
      <c r="H1636" s="157" t="str">
        <f t="shared" si="50"/>
        <v/>
      </c>
      <c r="I1636" s="157" t="str">
        <f t="shared" si="51"/>
        <v/>
      </c>
      <c r="J1636" s="157" t="str">
        <f t="shared" si="52"/>
        <v/>
      </c>
      <c r="K1636" s="157" t="str">
        <f t="shared" si="53"/>
        <v/>
      </c>
      <c r="L1636" s="157" t="str">
        <f t="shared" si="54"/>
        <v/>
      </c>
      <c r="M1636" s="157" t="str">
        <f t="shared" si="55"/>
        <v/>
      </c>
      <c r="N1636" s="157" t="str">
        <f t="shared" si="56"/>
        <v/>
      </c>
      <c r="O1636" s="157" t="str">
        <f t="shared" si="57"/>
        <v/>
      </c>
      <c r="P1636" s="157" t="str">
        <f t="shared" si="9"/>
        <v/>
      </c>
      <c r="Q1636" s="157" t="str">
        <f t="shared" si="10"/>
        <v/>
      </c>
      <c r="R1636" s="157" t="str">
        <f t="shared" si="11"/>
        <v/>
      </c>
      <c r="S1636" s="157" t="str">
        <f t="shared" si="12"/>
        <v/>
      </c>
      <c r="T1636" s="157" t="str">
        <f t="shared" si="13"/>
        <v/>
      </c>
      <c r="U1636" s="157" t="str">
        <f t="shared" si="14"/>
        <v/>
      </c>
      <c r="V1636" s="157" t="str">
        <f t="shared" si="15"/>
        <v/>
      </c>
      <c r="W1636" s="157" t="str">
        <f t="shared" si="16"/>
        <v/>
      </c>
      <c r="X1636" s="157" t="str">
        <f t="shared" si="17"/>
        <v/>
      </c>
      <c r="Y1636" s="157" t="str">
        <f t="shared" si="18"/>
        <v/>
      </c>
      <c r="Z1636" s="157" t="str">
        <f t="shared" si="19"/>
        <v/>
      </c>
      <c r="AA1636" s="157" t="str">
        <f t="shared" si="20"/>
        <v/>
      </c>
      <c r="AB1636" s="157" t="str">
        <f t="shared" si="21"/>
        <v/>
      </c>
      <c r="AC1636" s="157" t="str">
        <f t="shared" si="22"/>
        <v/>
      </c>
      <c r="AD1636" s="157" t="str">
        <f t="shared" si="23"/>
        <v/>
      </c>
      <c r="AE1636" s="157" t="str">
        <f t="shared" si="24"/>
        <v/>
      </c>
      <c r="AF1636" s="157" t="str">
        <f t="shared" si="25"/>
        <v/>
      </c>
      <c r="AG1636" s="157" t="str">
        <f t="shared" si="26"/>
        <v/>
      </c>
      <c r="AH1636" s="157" t="str">
        <f t="shared" si="27"/>
        <v/>
      </c>
      <c r="AI1636" s="157" t="str">
        <f t="shared" si="28"/>
        <v/>
      </c>
      <c r="AJ1636" s="157" t="str">
        <f t="shared" si="29"/>
        <v/>
      </c>
      <c r="AK1636" s="157" t="str">
        <f t="shared" si="30"/>
        <v/>
      </c>
      <c r="AL1636" s="157" t="str">
        <f t="shared" si="31"/>
        <v/>
      </c>
      <c r="AM1636" s="157" t="str">
        <f t="shared" si="32"/>
        <v/>
      </c>
      <c r="AN1636" s="157" t="str">
        <f t="shared" si="33"/>
        <v/>
      </c>
      <c r="AO1636" s="157" t="str">
        <f t="shared" si="34"/>
        <v/>
      </c>
      <c r="AP1636" s="157" t="str">
        <f t="shared" si="35"/>
        <v/>
      </c>
      <c r="AQ1636" s="157" t="str">
        <f t="shared" si="36"/>
        <v/>
      </c>
      <c r="AR1636" s="157" t="str">
        <f t="shared" si="37"/>
        <v/>
      </c>
      <c r="AS1636" s="157" t="str">
        <f t="shared" si="38"/>
        <v/>
      </c>
      <c r="AT1636" s="157" t="str">
        <f t="shared" si="39"/>
        <v/>
      </c>
      <c r="AU1636" s="157" t="str">
        <f t="shared" si="40"/>
        <v/>
      </c>
      <c r="AV1636" s="157" t="str">
        <f t="shared" si="41"/>
        <v/>
      </c>
      <c r="AW1636" s="157" t="str">
        <f t="shared" si="42"/>
        <v/>
      </c>
      <c r="AX1636" s="157" t="str">
        <f t="shared" si="43"/>
        <v/>
      </c>
      <c r="AY1636" s="157" t="str">
        <f t="shared" si="44"/>
        <v/>
      </c>
      <c r="AZ1636" s="157" t="str">
        <f t="shared" si="45"/>
        <v/>
      </c>
      <c r="BA1636" s="157" t="str">
        <f t="shared" si="46"/>
        <v/>
      </c>
      <c r="BB1636" s="160">
        <f t="shared" si="47"/>
        <v>0</v>
      </c>
    </row>
    <row r="1637" spans="1:54" s="22" customFormat="1" hidden="1">
      <c r="A1637" s="61"/>
      <c r="C1637" s="158" t="s">
        <v>194</v>
      </c>
      <c r="D1637" s="157" t="str">
        <f t="shared" si="7"/>
        <v/>
      </c>
      <c r="E1637" s="157" t="str">
        <f t="shared" si="8"/>
        <v/>
      </c>
      <c r="F1637" s="157" t="str">
        <f t="shared" si="48"/>
        <v/>
      </c>
      <c r="G1637" s="157" t="str">
        <f t="shared" si="49"/>
        <v/>
      </c>
      <c r="H1637" s="157" t="str">
        <f t="shared" si="50"/>
        <v/>
      </c>
      <c r="I1637" s="157" t="str">
        <f t="shared" si="51"/>
        <v/>
      </c>
      <c r="J1637" s="157" t="str">
        <f t="shared" si="52"/>
        <v/>
      </c>
      <c r="K1637" s="157" t="str">
        <f t="shared" si="53"/>
        <v/>
      </c>
      <c r="L1637" s="157" t="str">
        <f t="shared" si="54"/>
        <v/>
      </c>
      <c r="M1637" s="157" t="str">
        <f t="shared" si="55"/>
        <v/>
      </c>
      <c r="N1637" s="157" t="str">
        <f t="shared" si="56"/>
        <v/>
      </c>
      <c r="O1637" s="157" t="str">
        <f t="shared" si="57"/>
        <v/>
      </c>
      <c r="P1637" s="157" t="str">
        <f t="shared" si="9"/>
        <v/>
      </c>
      <c r="Q1637" s="157" t="str">
        <f t="shared" si="10"/>
        <v/>
      </c>
      <c r="R1637" s="157" t="str">
        <f t="shared" si="11"/>
        <v/>
      </c>
      <c r="S1637" s="157" t="str">
        <f t="shared" si="12"/>
        <v/>
      </c>
      <c r="T1637" s="157" t="str">
        <f t="shared" si="13"/>
        <v/>
      </c>
      <c r="U1637" s="157" t="str">
        <f t="shared" si="14"/>
        <v/>
      </c>
      <c r="V1637" s="157" t="str">
        <f t="shared" si="15"/>
        <v/>
      </c>
      <c r="W1637" s="157" t="str">
        <f t="shared" si="16"/>
        <v/>
      </c>
      <c r="X1637" s="157" t="str">
        <f t="shared" si="17"/>
        <v/>
      </c>
      <c r="Y1637" s="157" t="str">
        <f t="shared" si="18"/>
        <v/>
      </c>
      <c r="Z1637" s="157" t="str">
        <f t="shared" si="19"/>
        <v/>
      </c>
      <c r="AA1637" s="157" t="str">
        <f t="shared" si="20"/>
        <v/>
      </c>
      <c r="AB1637" s="157" t="str">
        <f t="shared" si="21"/>
        <v/>
      </c>
      <c r="AC1637" s="157" t="str">
        <f t="shared" si="22"/>
        <v/>
      </c>
      <c r="AD1637" s="157" t="str">
        <f t="shared" si="23"/>
        <v/>
      </c>
      <c r="AE1637" s="157" t="str">
        <f t="shared" si="24"/>
        <v/>
      </c>
      <c r="AF1637" s="157" t="str">
        <f t="shared" si="25"/>
        <v/>
      </c>
      <c r="AG1637" s="157" t="str">
        <f t="shared" si="26"/>
        <v/>
      </c>
      <c r="AH1637" s="157" t="str">
        <f t="shared" si="27"/>
        <v/>
      </c>
      <c r="AI1637" s="157" t="str">
        <f t="shared" si="28"/>
        <v/>
      </c>
      <c r="AJ1637" s="157" t="str">
        <f t="shared" si="29"/>
        <v/>
      </c>
      <c r="AK1637" s="157" t="str">
        <f t="shared" si="30"/>
        <v/>
      </c>
      <c r="AL1637" s="157" t="str">
        <f t="shared" si="31"/>
        <v/>
      </c>
      <c r="AM1637" s="157" t="str">
        <f t="shared" si="32"/>
        <v/>
      </c>
      <c r="AN1637" s="157" t="str">
        <f t="shared" si="33"/>
        <v/>
      </c>
      <c r="AO1637" s="157" t="str">
        <f t="shared" si="34"/>
        <v/>
      </c>
      <c r="AP1637" s="157" t="str">
        <f t="shared" si="35"/>
        <v/>
      </c>
      <c r="AQ1637" s="157" t="str">
        <f t="shared" si="36"/>
        <v/>
      </c>
      <c r="AR1637" s="157" t="str">
        <f t="shared" si="37"/>
        <v/>
      </c>
      <c r="AS1637" s="157" t="str">
        <f t="shared" si="38"/>
        <v/>
      </c>
      <c r="AT1637" s="157" t="str">
        <f t="shared" si="39"/>
        <v/>
      </c>
      <c r="AU1637" s="157" t="str">
        <f t="shared" si="40"/>
        <v/>
      </c>
      <c r="AV1637" s="157" t="str">
        <f t="shared" si="41"/>
        <v/>
      </c>
      <c r="AW1637" s="157" t="str">
        <f t="shared" si="42"/>
        <v/>
      </c>
      <c r="AX1637" s="157" t="str">
        <f t="shared" si="43"/>
        <v/>
      </c>
      <c r="AY1637" s="157" t="str">
        <f t="shared" si="44"/>
        <v/>
      </c>
      <c r="AZ1637" s="157" t="str">
        <f t="shared" si="45"/>
        <v/>
      </c>
      <c r="BA1637" s="157" t="str">
        <f t="shared" si="46"/>
        <v/>
      </c>
      <c r="BB1637" s="160">
        <f t="shared" si="47"/>
        <v>0</v>
      </c>
    </row>
    <row r="1638" spans="1:54" s="22" customFormat="1" hidden="1">
      <c r="A1638" s="61"/>
      <c r="C1638" s="157" t="s">
        <v>195</v>
      </c>
      <c r="D1638" s="157" t="str">
        <f t="shared" si="7"/>
        <v/>
      </c>
      <c r="E1638" s="157" t="str">
        <f t="shared" si="8"/>
        <v/>
      </c>
      <c r="F1638" s="157" t="str">
        <f t="shared" si="48"/>
        <v/>
      </c>
      <c r="G1638" s="157" t="str">
        <f t="shared" si="49"/>
        <v/>
      </c>
      <c r="H1638" s="157" t="str">
        <f t="shared" si="50"/>
        <v/>
      </c>
      <c r="I1638" s="157" t="str">
        <f t="shared" si="51"/>
        <v/>
      </c>
      <c r="J1638" s="157" t="str">
        <f t="shared" si="52"/>
        <v/>
      </c>
      <c r="K1638" s="157" t="str">
        <f t="shared" si="53"/>
        <v/>
      </c>
      <c r="L1638" s="157" t="str">
        <f t="shared" si="54"/>
        <v/>
      </c>
      <c r="M1638" s="157" t="str">
        <f t="shared" si="55"/>
        <v/>
      </c>
      <c r="N1638" s="157" t="str">
        <f t="shared" si="56"/>
        <v/>
      </c>
      <c r="O1638" s="157" t="str">
        <f t="shared" si="57"/>
        <v/>
      </c>
      <c r="P1638" s="157" t="str">
        <f t="shared" si="9"/>
        <v/>
      </c>
      <c r="Q1638" s="157" t="str">
        <f t="shared" si="10"/>
        <v/>
      </c>
      <c r="R1638" s="157" t="str">
        <f t="shared" si="11"/>
        <v/>
      </c>
      <c r="S1638" s="157" t="str">
        <f t="shared" si="12"/>
        <v/>
      </c>
      <c r="T1638" s="157" t="str">
        <f t="shared" si="13"/>
        <v/>
      </c>
      <c r="U1638" s="157" t="str">
        <f t="shared" si="14"/>
        <v/>
      </c>
      <c r="V1638" s="157" t="str">
        <f t="shared" si="15"/>
        <v/>
      </c>
      <c r="W1638" s="157" t="str">
        <f t="shared" si="16"/>
        <v/>
      </c>
      <c r="X1638" s="157" t="str">
        <f t="shared" si="17"/>
        <v/>
      </c>
      <c r="Y1638" s="157" t="str">
        <f t="shared" si="18"/>
        <v/>
      </c>
      <c r="Z1638" s="157" t="str">
        <f t="shared" si="19"/>
        <v/>
      </c>
      <c r="AA1638" s="157" t="str">
        <f t="shared" si="20"/>
        <v/>
      </c>
      <c r="AB1638" s="157" t="str">
        <f t="shared" si="21"/>
        <v/>
      </c>
      <c r="AC1638" s="157" t="str">
        <f t="shared" si="22"/>
        <v/>
      </c>
      <c r="AD1638" s="157" t="str">
        <f t="shared" si="23"/>
        <v/>
      </c>
      <c r="AE1638" s="157" t="str">
        <f t="shared" si="24"/>
        <v/>
      </c>
      <c r="AF1638" s="157" t="str">
        <f t="shared" si="25"/>
        <v/>
      </c>
      <c r="AG1638" s="157" t="str">
        <f t="shared" si="26"/>
        <v/>
      </c>
      <c r="AH1638" s="157" t="str">
        <f t="shared" si="27"/>
        <v/>
      </c>
      <c r="AI1638" s="157" t="str">
        <f t="shared" si="28"/>
        <v/>
      </c>
      <c r="AJ1638" s="157" t="str">
        <f t="shared" si="29"/>
        <v/>
      </c>
      <c r="AK1638" s="157" t="str">
        <f t="shared" si="30"/>
        <v/>
      </c>
      <c r="AL1638" s="157" t="str">
        <f t="shared" si="31"/>
        <v/>
      </c>
      <c r="AM1638" s="157" t="str">
        <f t="shared" si="32"/>
        <v/>
      </c>
      <c r="AN1638" s="157" t="str">
        <f t="shared" si="33"/>
        <v/>
      </c>
      <c r="AO1638" s="157" t="str">
        <f t="shared" si="34"/>
        <v/>
      </c>
      <c r="AP1638" s="157" t="str">
        <f t="shared" si="35"/>
        <v/>
      </c>
      <c r="AQ1638" s="157" t="str">
        <f t="shared" si="36"/>
        <v/>
      </c>
      <c r="AR1638" s="157" t="str">
        <f t="shared" si="37"/>
        <v/>
      </c>
      <c r="AS1638" s="157" t="str">
        <f t="shared" si="38"/>
        <v/>
      </c>
      <c r="AT1638" s="157" t="str">
        <f t="shared" si="39"/>
        <v/>
      </c>
      <c r="AU1638" s="157" t="str">
        <f t="shared" si="40"/>
        <v/>
      </c>
      <c r="AV1638" s="157" t="str">
        <f t="shared" si="41"/>
        <v/>
      </c>
      <c r="AW1638" s="157" t="str">
        <f t="shared" si="42"/>
        <v/>
      </c>
      <c r="AX1638" s="157" t="str">
        <f t="shared" si="43"/>
        <v/>
      </c>
      <c r="AY1638" s="157" t="str">
        <f t="shared" si="44"/>
        <v/>
      </c>
      <c r="AZ1638" s="157" t="str">
        <f t="shared" si="45"/>
        <v/>
      </c>
      <c r="BA1638" s="157" t="str">
        <f t="shared" si="46"/>
        <v/>
      </c>
      <c r="BB1638" s="160">
        <f t="shared" si="47"/>
        <v>0</v>
      </c>
    </row>
    <row r="1639" spans="1:54" s="22" customFormat="1" hidden="1">
      <c r="A1639" s="61"/>
      <c r="C1639" s="158" t="s">
        <v>196</v>
      </c>
      <c r="D1639" s="157" t="str">
        <f t="shared" si="7"/>
        <v/>
      </c>
      <c r="E1639" s="157" t="str">
        <f t="shared" si="8"/>
        <v/>
      </c>
      <c r="F1639" s="157" t="str">
        <f t="shared" si="48"/>
        <v/>
      </c>
      <c r="G1639" s="157" t="str">
        <f t="shared" si="49"/>
        <v/>
      </c>
      <c r="H1639" s="157" t="str">
        <f t="shared" si="50"/>
        <v/>
      </c>
      <c r="I1639" s="157" t="str">
        <f t="shared" si="51"/>
        <v/>
      </c>
      <c r="J1639" s="157" t="str">
        <f t="shared" si="52"/>
        <v/>
      </c>
      <c r="K1639" s="157" t="str">
        <f t="shared" si="53"/>
        <v/>
      </c>
      <c r="L1639" s="157" t="str">
        <f t="shared" si="54"/>
        <v/>
      </c>
      <c r="M1639" s="157" t="str">
        <f t="shared" si="55"/>
        <v/>
      </c>
      <c r="N1639" s="157" t="str">
        <f t="shared" si="56"/>
        <v/>
      </c>
      <c r="O1639" s="157" t="str">
        <f t="shared" si="57"/>
        <v/>
      </c>
      <c r="P1639" s="157" t="str">
        <f t="shared" si="9"/>
        <v/>
      </c>
      <c r="Q1639" s="157" t="str">
        <f t="shared" si="10"/>
        <v/>
      </c>
      <c r="R1639" s="157" t="str">
        <f t="shared" si="11"/>
        <v/>
      </c>
      <c r="S1639" s="157" t="str">
        <f t="shared" si="12"/>
        <v/>
      </c>
      <c r="T1639" s="157" t="str">
        <f t="shared" si="13"/>
        <v/>
      </c>
      <c r="U1639" s="157" t="str">
        <f t="shared" si="14"/>
        <v/>
      </c>
      <c r="V1639" s="157" t="str">
        <f t="shared" si="15"/>
        <v/>
      </c>
      <c r="W1639" s="157" t="str">
        <f t="shared" si="16"/>
        <v/>
      </c>
      <c r="X1639" s="157" t="str">
        <f t="shared" si="17"/>
        <v/>
      </c>
      <c r="Y1639" s="157" t="str">
        <f t="shared" si="18"/>
        <v/>
      </c>
      <c r="Z1639" s="157" t="str">
        <f t="shared" si="19"/>
        <v/>
      </c>
      <c r="AA1639" s="157" t="str">
        <f t="shared" si="20"/>
        <v/>
      </c>
      <c r="AB1639" s="157" t="str">
        <f t="shared" si="21"/>
        <v/>
      </c>
      <c r="AC1639" s="157" t="str">
        <f t="shared" si="22"/>
        <v/>
      </c>
      <c r="AD1639" s="157" t="str">
        <f t="shared" si="23"/>
        <v/>
      </c>
      <c r="AE1639" s="157" t="str">
        <f t="shared" si="24"/>
        <v/>
      </c>
      <c r="AF1639" s="157" t="str">
        <f t="shared" si="25"/>
        <v/>
      </c>
      <c r="AG1639" s="157" t="str">
        <f t="shared" si="26"/>
        <v/>
      </c>
      <c r="AH1639" s="157" t="str">
        <f t="shared" si="27"/>
        <v/>
      </c>
      <c r="AI1639" s="157" t="str">
        <f t="shared" si="28"/>
        <v/>
      </c>
      <c r="AJ1639" s="157" t="str">
        <f t="shared" si="29"/>
        <v/>
      </c>
      <c r="AK1639" s="157" t="str">
        <f t="shared" si="30"/>
        <v/>
      </c>
      <c r="AL1639" s="157" t="str">
        <f t="shared" si="31"/>
        <v/>
      </c>
      <c r="AM1639" s="157" t="str">
        <f t="shared" si="32"/>
        <v/>
      </c>
      <c r="AN1639" s="157" t="str">
        <f t="shared" si="33"/>
        <v/>
      </c>
      <c r="AO1639" s="157" t="str">
        <f t="shared" si="34"/>
        <v/>
      </c>
      <c r="AP1639" s="157" t="str">
        <f t="shared" si="35"/>
        <v/>
      </c>
      <c r="AQ1639" s="157" t="str">
        <f t="shared" si="36"/>
        <v/>
      </c>
      <c r="AR1639" s="157" t="str">
        <f t="shared" si="37"/>
        <v/>
      </c>
      <c r="AS1639" s="157" t="str">
        <f t="shared" si="38"/>
        <v/>
      </c>
      <c r="AT1639" s="157" t="str">
        <f t="shared" si="39"/>
        <v/>
      </c>
      <c r="AU1639" s="157" t="str">
        <f t="shared" si="40"/>
        <v/>
      </c>
      <c r="AV1639" s="157" t="str">
        <f t="shared" si="41"/>
        <v/>
      </c>
      <c r="AW1639" s="157" t="str">
        <f t="shared" si="42"/>
        <v/>
      </c>
      <c r="AX1639" s="157" t="str">
        <f t="shared" si="43"/>
        <v/>
      </c>
      <c r="AY1639" s="157" t="str">
        <f t="shared" si="44"/>
        <v/>
      </c>
      <c r="AZ1639" s="157" t="str">
        <f t="shared" si="45"/>
        <v/>
      </c>
      <c r="BA1639" s="157" t="str">
        <f t="shared" si="46"/>
        <v/>
      </c>
      <c r="BB1639" s="160">
        <f t="shared" si="47"/>
        <v>0</v>
      </c>
    </row>
    <row r="1640" spans="1:54" s="22" customFormat="1" hidden="1">
      <c r="A1640" s="61"/>
      <c r="C1640" s="157" t="s">
        <v>197</v>
      </c>
      <c r="D1640" s="157" t="str">
        <f t="shared" si="7"/>
        <v/>
      </c>
      <c r="E1640" s="157" t="str">
        <f t="shared" si="8"/>
        <v/>
      </c>
      <c r="F1640" s="157" t="str">
        <f t="shared" si="48"/>
        <v/>
      </c>
      <c r="G1640" s="157" t="str">
        <f t="shared" si="49"/>
        <v/>
      </c>
      <c r="H1640" s="157" t="str">
        <f t="shared" si="50"/>
        <v/>
      </c>
      <c r="I1640" s="157" t="str">
        <f t="shared" si="51"/>
        <v/>
      </c>
      <c r="J1640" s="157" t="str">
        <f t="shared" si="52"/>
        <v/>
      </c>
      <c r="K1640" s="157" t="str">
        <f t="shared" si="53"/>
        <v/>
      </c>
      <c r="L1640" s="157" t="str">
        <f t="shared" si="54"/>
        <v/>
      </c>
      <c r="M1640" s="157" t="str">
        <f t="shared" si="55"/>
        <v/>
      </c>
      <c r="N1640" s="157" t="str">
        <f t="shared" si="56"/>
        <v/>
      </c>
      <c r="O1640" s="157" t="str">
        <f t="shared" si="57"/>
        <v/>
      </c>
      <c r="P1640" s="157" t="str">
        <f t="shared" si="9"/>
        <v/>
      </c>
      <c r="Q1640" s="157" t="str">
        <f t="shared" si="10"/>
        <v/>
      </c>
      <c r="R1640" s="157" t="str">
        <f t="shared" si="11"/>
        <v/>
      </c>
      <c r="S1640" s="157" t="str">
        <f t="shared" si="12"/>
        <v/>
      </c>
      <c r="T1640" s="157" t="str">
        <f t="shared" si="13"/>
        <v/>
      </c>
      <c r="U1640" s="157" t="str">
        <f t="shared" si="14"/>
        <v/>
      </c>
      <c r="V1640" s="157" t="str">
        <f t="shared" si="15"/>
        <v/>
      </c>
      <c r="W1640" s="157" t="str">
        <f t="shared" si="16"/>
        <v/>
      </c>
      <c r="X1640" s="157" t="str">
        <f t="shared" si="17"/>
        <v/>
      </c>
      <c r="Y1640" s="157" t="str">
        <f t="shared" si="18"/>
        <v/>
      </c>
      <c r="Z1640" s="157" t="str">
        <f t="shared" si="19"/>
        <v/>
      </c>
      <c r="AA1640" s="157" t="str">
        <f t="shared" si="20"/>
        <v/>
      </c>
      <c r="AB1640" s="157" t="str">
        <f t="shared" si="21"/>
        <v/>
      </c>
      <c r="AC1640" s="157" t="str">
        <f t="shared" si="22"/>
        <v/>
      </c>
      <c r="AD1640" s="157" t="str">
        <f t="shared" si="23"/>
        <v/>
      </c>
      <c r="AE1640" s="157" t="str">
        <f t="shared" si="24"/>
        <v/>
      </c>
      <c r="AF1640" s="157" t="str">
        <f t="shared" si="25"/>
        <v/>
      </c>
      <c r="AG1640" s="157" t="str">
        <f t="shared" si="26"/>
        <v/>
      </c>
      <c r="AH1640" s="157" t="str">
        <f t="shared" si="27"/>
        <v/>
      </c>
      <c r="AI1640" s="157" t="str">
        <f t="shared" si="28"/>
        <v/>
      </c>
      <c r="AJ1640" s="157" t="str">
        <f t="shared" si="29"/>
        <v/>
      </c>
      <c r="AK1640" s="157" t="str">
        <f t="shared" si="30"/>
        <v/>
      </c>
      <c r="AL1640" s="157" t="str">
        <f t="shared" si="31"/>
        <v/>
      </c>
      <c r="AM1640" s="157" t="str">
        <f t="shared" si="32"/>
        <v/>
      </c>
      <c r="AN1640" s="157" t="str">
        <f t="shared" si="33"/>
        <v/>
      </c>
      <c r="AO1640" s="157" t="str">
        <f t="shared" si="34"/>
        <v/>
      </c>
      <c r="AP1640" s="157" t="str">
        <f t="shared" si="35"/>
        <v/>
      </c>
      <c r="AQ1640" s="157" t="str">
        <f t="shared" si="36"/>
        <v/>
      </c>
      <c r="AR1640" s="157" t="str">
        <f t="shared" si="37"/>
        <v/>
      </c>
      <c r="AS1640" s="157" t="str">
        <f t="shared" si="38"/>
        <v/>
      </c>
      <c r="AT1640" s="157" t="str">
        <f t="shared" si="39"/>
        <v/>
      </c>
      <c r="AU1640" s="157" t="str">
        <f t="shared" si="40"/>
        <v/>
      </c>
      <c r="AV1640" s="157" t="str">
        <f t="shared" si="41"/>
        <v/>
      </c>
      <c r="AW1640" s="157" t="str">
        <f t="shared" si="42"/>
        <v/>
      </c>
      <c r="AX1640" s="157" t="str">
        <f t="shared" si="43"/>
        <v/>
      </c>
      <c r="AY1640" s="157" t="str">
        <f t="shared" si="44"/>
        <v/>
      </c>
      <c r="AZ1640" s="157" t="str">
        <f t="shared" si="45"/>
        <v/>
      </c>
      <c r="BA1640" s="157" t="str">
        <f t="shared" si="46"/>
        <v/>
      </c>
      <c r="BB1640" s="160">
        <f t="shared" si="47"/>
        <v>0</v>
      </c>
    </row>
    <row r="1641" spans="1:54" s="22" customFormat="1" hidden="1">
      <c r="A1641" s="61"/>
      <c r="C1641" s="157" t="s">
        <v>198</v>
      </c>
      <c r="D1641" s="157" t="str">
        <f t="shared" si="7"/>
        <v/>
      </c>
      <c r="E1641" s="157" t="str">
        <f t="shared" si="8"/>
        <v/>
      </c>
      <c r="F1641" s="157" t="str">
        <f t="shared" si="48"/>
        <v/>
      </c>
      <c r="G1641" s="157" t="str">
        <f t="shared" si="49"/>
        <v/>
      </c>
      <c r="H1641" s="157" t="str">
        <f t="shared" si="50"/>
        <v/>
      </c>
      <c r="I1641" s="157" t="str">
        <f t="shared" si="51"/>
        <v/>
      </c>
      <c r="J1641" s="157" t="str">
        <f t="shared" si="52"/>
        <v/>
      </c>
      <c r="K1641" s="157" t="str">
        <f t="shared" si="53"/>
        <v/>
      </c>
      <c r="L1641" s="157" t="str">
        <f t="shared" si="54"/>
        <v/>
      </c>
      <c r="M1641" s="157" t="str">
        <f t="shared" si="55"/>
        <v/>
      </c>
      <c r="N1641" s="157" t="str">
        <f t="shared" si="56"/>
        <v/>
      </c>
      <c r="O1641" s="157" t="str">
        <f t="shared" si="57"/>
        <v/>
      </c>
      <c r="P1641" s="157" t="str">
        <f t="shared" si="9"/>
        <v/>
      </c>
      <c r="Q1641" s="157" t="str">
        <f t="shared" si="10"/>
        <v/>
      </c>
      <c r="R1641" s="157" t="str">
        <f t="shared" si="11"/>
        <v/>
      </c>
      <c r="S1641" s="157" t="str">
        <f t="shared" si="12"/>
        <v/>
      </c>
      <c r="T1641" s="157" t="str">
        <f t="shared" si="13"/>
        <v/>
      </c>
      <c r="U1641" s="157" t="str">
        <f t="shared" si="14"/>
        <v/>
      </c>
      <c r="V1641" s="157" t="str">
        <f t="shared" si="15"/>
        <v/>
      </c>
      <c r="W1641" s="157" t="str">
        <f t="shared" si="16"/>
        <v/>
      </c>
      <c r="X1641" s="157" t="str">
        <f t="shared" si="17"/>
        <v/>
      </c>
      <c r="Y1641" s="157" t="str">
        <f t="shared" si="18"/>
        <v/>
      </c>
      <c r="Z1641" s="157" t="str">
        <f t="shared" si="19"/>
        <v/>
      </c>
      <c r="AA1641" s="157" t="str">
        <f t="shared" si="20"/>
        <v/>
      </c>
      <c r="AB1641" s="157" t="str">
        <f t="shared" si="21"/>
        <v/>
      </c>
      <c r="AC1641" s="157" t="str">
        <f t="shared" si="22"/>
        <v/>
      </c>
      <c r="AD1641" s="157" t="str">
        <f t="shared" si="23"/>
        <v/>
      </c>
      <c r="AE1641" s="157" t="str">
        <f t="shared" si="24"/>
        <v/>
      </c>
      <c r="AF1641" s="157" t="str">
        <f t="shared" si="25"/>
        <v/>
      </c>
      <c r="AG1641" s="157" t="str">
        <f t="shared" si="26"/>
        <v/>
      </c>
      <c r="AH1641" s="157" t="str">
        <f t="shared" si="27"/>
        <v/>
      </c>
      <c r="AI1641" s="157" t="str">
        <f t="shared" si="28"/>
        <v/>
      </c>
      <c r="AJ1641" s="157" t="str">
        <f t="shared" si="29"/>
        <v/>
      </c>
      <c r="AK1641" s="157" t="str">
        <f t="shared" si="30"/>
        <v/>
      </c>
      <c r="AL1641" s="157" t="str">
        <f t="shared" si="31"/>
        <v/>
      </c>
      <c r="AM1641" s="157" t="str">
        <f t="shared" si="32"/>
        <v/>
      </c>
      <c r="AN1641" s="157" t="str">
        <f t="shared" si="33"/>
        <v/>
      </c>
      <c r="AO1641" s="157" t="str">
        <f t="shared" si="34"/>
        <v/>
      </c>
      <c r="AP1641" s="157" t="str">
        <f t="shared" si="35"/>
        <v/>
      </c>
      <c r="AQ1641" s="157" t="str">
        <f t="shared" si="36"/>
        <v/>
      </c>
      <c r="AR1641" s="157" t="str">
        <f t="shared" si="37"/>
        <v/>
      </c>
      <c r="AS1641" s="157" t="str">
        <f t="shared" si="38"/>
        <v/>
      </c>
      <c r="AT1641" s="157" t="str">
        <f t="shared" si="39"/>
        <v/>
      </c>
      <c r="AU1641" s="157" t="str">
        <f t="shared" si="40"/>
        <v/>
      </c>
      <c r="AV1641" s="157" t="str">
        <f t="shared" si="41"/>
        <v/>
      </c>
      <c r="AW1641" s="157" t="str">
        <f t="shared" si="42"/>
        <v/>
      </c>
      <c r="AX1641" s="157" t="str">
        <f t="shared" si="43"/>
        <v/>
      </c>
      <c r="AY1641" s="157" t="str">
        <f t="shared" si="44"/>
        <v/>
      </c>
      <c r="AZ1641" s="157" t="str">
        <f t="shared" si="45"/>
        <v/>
      </c>
      <c r="BA1641" s="157" t="str">
        <f t="shared" si="46"/>
        <v/>
      </c>
      <c r="BB1641" s="160">
        <f t="shared" si="47"/>
        <v>0</v>
      </c>
    </row>
    <row r="1642" spans="1:54" s="22" customFormat="1" hidden="1">
      <c r="A1642" s="61"/>
      <c r="C1642" s="157" t="s">
        <v>199</v>
      </c>
      <c r="D1642" s="157" t="str">
        <f t="shared" si="7"/>
        <v/>
      </c>
      <c r="E1642" s="157" t="str">
        <f t="shared" si="8"/>
        <v/>
      </c>
      <c r="F1642" s="157" t="str">
        <f t="shared" si="48"/>
        <v/>
      </c>
      <c r="G1642" s="157" t="str">
        <f t="shared" si="49"/>
        <v/>
      </c>
      <c r="H1642" s="157" t="str">
        <f t="shared" si="50"/>
        <v/>
      </c>
      <c r="I1642" s="157" t="str">
        <f t="shared" si="51"/>
        <v/>
      </c>
      <c r="J1642" s="157" t="str">
        <f t="shared" si="52"/>
        <v/>
      </c>
      <c r="K1642" s="157" t="str">
        <f t="shared" si="53"/>
        <v/>
      </c>
      <c r="L1642" s="157" t="str">
        <f t="shared" si="54"/>
        <v/>
      </c>
      <c r="M1642" s="157" t="str">
        <f t="shared" si="55"/>
        <v/>
      </c>
      <c r="N1642" s="157" t="str">
        <f t="shared" si="56"/>
        <v/>
      </c>
      <c r="O1642" s="157" t="str">
        <f t="shared" si="57"/>
        <v/>
      </c>
      <c r="P1642" s="157" t="str">
        <f t="shared" si="9"/>
        <v/>
      </c>
      <c r="Q1642" s="157" t="str">
        <f t="shared" si="10"/>
        <v/>
      </c>
      <c r="R1642" s="157" t="str">
        <f t="shared" si="11"/>
        <v/>
      </c>
      <c r="S1642" s="157" t="str">
        <f t="shared" si="12"/>
        <v/>
      </c>
      <c r="T1642" s="157" t="str">
        <f t="shared" si="13"/>
        <v/>
      </c>
      <c r="U1642" s="157" t="str">
        <f t="shared" si="14"/>
        <v/>
      </c>
      <c r="V1642" s="157" t="str">
        <f t="shared" si="15"/>
        <v/>
      </c>
      <c r="W1642" s="157" t="str">
        <f t="shared" si="16"/>
        <v/>
      </c>
      <c r="X1642" s="157" t="str">
        <f t="shared" si="17"/>
        <v/>
      </c>
      <c r="Y1642" s="157" t="str">
        <f t="shared" si="18"/>
        <v/>
      </c>
      <c r="Z1642" s="157" t="str">
        <f t="shared" si="19"/>
        <v/>
      </c>
      <c r="AA1642" s="157" t="str">
        <f t="shared" si="20"/>
        <v/>
      </c>
      <c r="AB1642" s="157" t="str">
        <f t="shared" si="21"/>
        <v/>
      </c>
      <c r="AC1642" s="157" t="str">
        <f t="shared" si="22"/>
        <v/>
      </c>
      <c r="AD1642" s="157" t="str">
        <f t="shared" si="23"/>
        <v/>
      </c>
      <c r="AE1642" s="157" t="str">
        <f t="shared" si="24"/>
        <v/>
      </c>
      <c r="AF1642" s="157" t="str">
        <f t="shared" si="25"/>
        <v/>
      </c>
      <c r="AG1642" s="157" t="str">
        <f t="shared" si="26"/>
        <v/>
      </c>
      <c r="AH1642" s="157" t="str">
        <f t="shared" si="27"/>
        <v/>
      </c>
      <c r="AI1642" s="157" t="str">
        <f t="shared" si="28"/>
        <v/>
      </c>
      <c r="AJ1642" s="157" t="str">
        <f t="shared" si="29"/>
        <v/>
      </c>
      <c r="AK1642" s="157" t="str">
        <f t="shared" si="30"/>
        <v/>
      </c>
      <c r="AL1642" s="157" t="str">
        <f t="shared" si="31"/>
        <v/>
      </c>
      <c r="AM1642" s="157" t="str">
        <f t="shared" si="32"/>
        <v/>
      </c>
      <c r="AN1642" s="157" t="str">
        <f t="shared" si="33"/>
        <v/>
      </c>
      <c r="AO1642" s="157" t="str">
        <f t="shared" si="34"/>
        <v/>
      </c>
      <c r="AP1642" s="157" t="str">
        <f t="shared" si="35"/>
        <v/>
      </c>
      <c r="AQ1642" s="157" t="str">
        <f t="shared" si="36"/>
        <v/>
      </c>
      <c r="AR1642" s="157" t="str">
        <f t="shared" si="37"/>
        <v/>
      </c>
      <c r="AS1642" s="157" t="str">
        <f t="shared" si="38"/>
        <v/>
      </c>
      <c r="AT1642" s="157" t="str">
        <f t="shared" si="39"/>
        <v/>
      </c>
      <c r="AU1642" s="157" t="str">
        <f t="shared" si="40"/>
        <v/>
      </c>
      <c r="AV1642" s="157" t="str">
        <f t="shared" si="41"/>
        <v/>
      </c>
      <c r="AW1642" s="157" t="str">
        <f t="shared" si="42"/>
        <v/>
      </c>
      <c r="AX1642" s="157" t="str">
        <f t="shared" si="43"/>
        <v/>
      </c>
      <c r="AY1642" s="157" t="str">
        <f t="shared" si="44"/>
        <v/>
      </c>
      <c r="AZ1642" s="157" t="str">
        <f t="shared" si="45"/>
        <v/>
      </c>
      <c r="BA1642" s="157" t="str">
        <f t="shared" si="46"/>
        <v/>
      </c>
      <c r="BB1642" s="160">
        <f t="shared" si="47"/>
        <v>0</v>
      </c>
    </row>
    <row r="1643" spans="1:54" s="22" customFormat="1" hidden="1">
      <c r="A1643" s="61"/>
      <c r="C1643" s="157" t="s">
        <v>200</v>
      </c>
      <c r="D1643" s="157" t="str">
        <f t="shared" si="7"/>
        <v/>
      </c>
      <c r="E1643" s="157" t="str">
        <f t="shared" si="8"/>
        <v/>
      </c>
      <c r="F1643" s="157" t="str">
        <f t="shared" si="48"/>
        <v/>
      </c>
      <c r="G1643" s="157" t="str">
        <f t="shared" si="49"/>
        <v/>
      </c>
      <c r="H1643" s="157" t="str">
        <f t="shared" si="50"/>
        <v/>
      </c>
      <c r="I1643" s="157" t="str">
        <f t="shared" si="51"/>
        <v/>
      </c>
      <c r="J1643" s="157" t="str">
        <f t="shared" si="52"/>
        <v/>
      </c>
      <c r="K1643" s="157" t="str">
        <f t="shared" si="53"/>
        <v/>
      </c>
      <c r="L1643" s="157" t="str">
        <f t="shared" si="54"/>
        <v/>
      </c>
      <c r="M1643" s="157" t="str">
        <f t="shared" si="55"/>
        <v/>
      </c>
      <c r="N1643" s="157" t="str">
        <f t="shared" si="56"/>
        <v/>
      </c>
      <c r="O1643" s="157" t="str">
        <f t="shared" si="57"/>
        <v/>
      </c>
      <c r="P1643" s="157" t="str">
        <f t="shared" si="9"/>
        <v/>
      </c>
      <c r="Q1643" s="157" t="str">
        <f t="shared" si="10"/>
        <v/>
      </c>
      <c r="R1643" s="157" t="str">
        <f t="shared" si="11"/>
        <v/>
      </c>
      <c r="S1643" s="157" t="str">
        <f t="shared" si="12"/>
        <v/>
      </c>
      <c r="T1643" s="157" t="str">
        <f t="shared" si="13"/>
        <v/>
      </c>
      <c r="U1643" s="157" t="str">
        <f t="shared" si="14"/>
        <v/>
      </c>
      <c r="V1643" s="157" t="str">
        <f t="shared" si="15"/>
        <v/>
      </c>
      <c r="W1643" s="157" t="str">
        <f t="shared" si="16"/>
        <v/>
      </c>
      <c r="X1643" s="157" t="str">
        <f t="shared" si="17"/>
        <v/>
      </c>
      <c r="Y1643" s="157" t="str">
        <f t="shared" si="18"/>
        <v/>
      </c>
      <c r="Z1643" s="157" t="str">
        <f t="shared" si="19"/>
        <v/>
      </c>
      <c r="AA1643" s="157" t="str">
        <f t="shared" si="20"/>
        <v/>
      </c>
      <c r="AB1643" s="157" t="str">
        <f t="shared" si="21"/>
        <v/>
      </c>
      <c r="AC1643" s="157" t="str">
        <f t="shared" si="22"/>
        <v/>
      </c>
      <c r="AD1643" s="157" t="str">
        <f t="shared" si="23"/>
        <v/>
      </c>
      <c r="AE1643" s="157" t="str">
        <f t="shared" si="24"/>
        <v/>
      </c>
      <c r="AF1643" s="157" t="str">
        <f t="shared" si="25"/>
        <v/>
      </c>
      <c r="AG1643" s="157" t="str">
        <f t="shared" si="26"/>
        <v/>
      </c>
      <c r="AH1643" s="157" t="str">
        <f t="shared" si="27"/>
        <v/>
      </c>
      <c r="AI1643" s="157" t="str">
        <f t="shared" si="28"/>
        <v/>
      </c>
      <c r="AJ1643" s="157" t="str">
        <f t="shared" si="29"/>
        <v/>
      </c>
      <c r="AK1643" s="157" t="str">
        <f t="shared" si="30"/>
        <v/>
      </c>
      <c r="AL1643" s="157" t="str">
        <f t="shared" si="31"/>
        <v/>
      </c>
      <c r="AM1643" s="157" t="str">
        <f t="shared" si="32"/>
        <v/>
      </c>
      <c r="AN1643" s="157" t="str">
        <f t="shared" si="33"/>
        <v/>
      </c>
      <c r="AO1643" s="157" t="str">
        <f t="shared" si="34"/>
        <v/>
      </c>
      <c r="AP1643" s="157" t="str">
        <f t="shared" si="35"/>
        <v/>
      </c>
      <c r="AQ1643" s="157" t="str">
        <f t="shared" si="36"/>
        <v/>
      </c>
      <c r="AR1643" s="157" t="str">
        <f t="shared" si="37"/>
        <v/>
      </c>
      <c r="AS1643" s="157" t="str">
        <f t="shared" si="38"/>
        <v/>
      </c>
      <c r="AT1643" s="157" t="str">
        <f t="shared" si="39"/>
        <v/>
      </c>
      <c r="AU1643" s="157" t="str">
        <f t="shared" si="40"/>
        <v/>
      </c>
      <c r="AV1643" s="157" t="str">
        <f t="shared" si="41"/>
        <v/>
      </c>
      <c r="AW1643" s="157" t="str">
        <f t="shared" si="42"/>
        <v/>
      </c>
      <c r="AX1643" s="157" t="str">
        <f t="shared" si="43"/>
        <v/>
      </c>
      <c r="AY1643" s="157" t="str">
        <f t="shared" si="44"/>
        <v/>
      </c>
      <c r="AZ1643" s="157" t="str">
        <f t="shared" si="45"/>
        <v/>
      </c>
      <c r="BA1643" s="157" t="str">
        <f t="shared" si="46"/>
        <v/>
      </c>
      <c r="BB1643" s="160">
        <f t="shared" si="47"/>
        <v>0</v>
      </c>
    </row>
    <row r="1644" spans="1:54" s="22" customFormat="1" hidden="1">
      <c r="A1644" s="61"/>
      <c r="C1644" s="157" t="s">
        <v>201</v>
      </c>
      <c r="D1644" s="157" t="str">
        <f t="shared" si="7"/>
        <v/>
      </c>
      <c r="E1644" s="157" t="str">
        <f t="shared" si="8"/>
        <v/>
      </c>
      <c r="F1644" s="157" t="str">
        <f t="shared" si="48"/>
        <v/>
      </c>
      <c r="G1644" s="157" t="str">
        <f t="shared" si="49"/>
        <v/>
      </c>
      <c r="H1644" s="157" t="str">
        <f t="shared" si="50"/>
        <v/>
      </c>
      <c r="I1644" s="157" t="str">
        <f t="shared" si="51"/>
        <v/>
      </c>
      <c r="J1644" s="157" t="str">
        <f t="shared" si="52"/>
        <v/>
      </c>
      <c r="K1644" s="157" t="str">
        <f t="shared" si="53"/>
        <v/>
      </c>
      <c r="L1644" s="157" t="str">
        <f t="shared" si="54"/>
        <v/>
      </c>
      <c r="M1644" s="157" t="str">
        <f t="shared" si="55"/>
        <v/>
      </c>
      <c r="N1644" s="157" t="str">
        <f t="shared" si="56"/>
        <v/>
      </c>
      <c r="O1644" s="157" t="str">
        <f t="shared" si="57"/>
        <v/>
      </c>
      <c r="P1644" s="157" t="str">
        <f t="shared" si="9"/>
        <v/>
      </c>
      <c r="Q1644" s="157" t="str">
        <f t="shared" si="10"/>
        <v/>
      </c>
      <c r="R1644" s="157" t="str">
        <f t="shared" si="11"/>
        <v/>
      </c>
      <c r="S1644" s="157" t="str">
        <f t="shared" si="12"/>
        <v/>
      </c>
      <c r="T1644" s="157" t="str">
        <f t="shared" si="13"/>
        <v/>
      </c>
      <c r="U1644" s="157" t="str">
        <f t="shared" si="14"/>
        <v/>
      </c>
      <c r="V1644" s="157" t="str">
        <f t="shared" si="15"/>
        <v/>
      </c>
      <c r="W1644" s="157" t="str">
        <f t="shared" si="16"/>
        <v/>
      </c>
      <c r="X1644" s="157" t="str">
        <f t="shared" si="17"/>
        <v/>
      </c>
      <c r="Y1644" s="157" t="str">
        <f t="shared" si="18"/>
        <v/>
      </c>
      <c r="Z1644" s="157" t="str">
        <f t="shared" si="19"/>
        <v/>
      </c>
      <c r="AA1644" s="157" t="str">
        <f t="shared" si="20"/>
        <v/>
      </c>
      <c r="AB1644" s="157" t="str">
        <f t="shared" si="21"/>
        <v/>
      </c>
      <c r="AC1644" s="157" t="str">
        <f t="shared" si="22"/>
        <v/>
      </c>
      <c r="AD1644" s="157" t="str">
        <f t="shared" si="23"/>
        <v/>
      </c>
      <c r="AE1644" s="157" t="str">
        <f t="shared" si="24"/>
        <v/>
      </c>
      <c r="AF1644" s="157" t="str">
        <f t="shared" si="25"/>
        <v/>
      </c>
      <c r="AG1644" s="157" t="str">
        <f t="shared" si="26"/>
        <v/>
      </c>
      <c r="AH1644" s="157" t="str">
        <f t="shared" si="27"/>
        <v/>
      </c>
      <c r="AI1644" s="157" t="str">
        <f t="shared" si="28"/>
        <v/>
      </c>
      <c r="AJ1644" s="157" t="str">
        <f t="shared" si="29"/>
        <v/>
      </c>
      <c r="AK1644" s="157" t="str">
        <f t="shared" si="30"/>
        <v/>
      </c>
      <c r="AL1644" s="157" t="str">
        <f t="shared" si="31"/>
        <v/>
      </c>
      <c r="AM1644" s="157" t="str">
        <f t="shared" si="32"/>
        <v/>
      </c>
      <c r="AN1644" s="157" t="str">
        <f t="shared" si="33"/>
        <v/>
      </c>
      <c r="AO1644" s="157" t="str">
        <f t="shared" si="34"/>
        <v/>
      </c>
      <c r="AP1644" s="157" t="str">
        <f t="shared" si="35"/>
        <v/>
      </c>
      <c r="AQ1644" s="157" t="str">
        <f t="shared" si="36"/>
        <v/>
      </c>
      <c r="AR1644" s="157" t="str">
        <f t="shared" si="37"/>
        <v/>
      </c>
      <c r="AS1644" s="157" t="str">
        <f t="shared" si="38"/>
        <v/>
      </c>
      <c r="AT1644" s="157" t="str">
        <f t="shared" si="39"/>
        <v/>
      </c>
      <c r="AU1644" s="157" t="str">
        <f t="shared" si="40"/>
        <v/>
      </c>
      <c r="AV1644" s="157" t="str">
        <f t="shared" si="41"/>
        <v/>
      </c>
      <c r="AW1644" s="157" t="str">
        <f t="shared" si="42"/>
        <v/>
      </c>
      <c r="AX1644" s="157" t="str">
        <f t="shared" si="43"/>
        <v/>
      </c>
      <c r="AY1644" s="157" t="str">
        <f t="shared" si="44"/>
        <v/>
      </c>
      <c r="AZ1644" s="157" t="str">
        <f t="shared" si="45"/>
        <v/>
      </c>
      <c r="BA1644" s="157" t="str">
        <f t="shared" si="46"/>
        <v/>
      </c>
      <c r="BB1644" s="160">
        <f t="shared" si="47"/>
        <v>0</v>
      </c>
    </row>
    <row r="1645" spans="1:54" s="22" customFormat="1" hidden="1">
      <c r="A1645" s="61"/>
      <c r="C1645" s="157" t="s">
        <v>202</v>
      </c>
      <c r="D1645" s="157" t="str">
        <f t="shared" si="7"/>
        <v/>
      </c>
      <c r="E1645" s="157" t="str">
        <f t="shared" si="8"/>
        <v/>
      </c>
      <c r="F1645" s="157" t="str">
        <f t="shared" si="48"/>
        <v/>
      </c>
      <c r="G1645" s="157" t="str">
        <f t="shared" si="49"/>
        <v/>
      </c>
      <c r="H1645" s="157" t="str">
        <f t="shared" si="50"/>
        <v/>
      </c>
      <c r="I1645" s="157" t="str">
        <f t="shared" si="51"/>
        <v/>
      </c>
      <c r="J1645" s="157" t="str">
        <f t="shared" si="52"/>
        <v/>
      </c>
      <c r="K1645" s="157" t="str">
        <f t="shared" si="53"/>
        <v/>
      </c>
      <c r="L1645" s="157" t="str">
        <f t="shared" si="54"/>
        <v/>
      </c>
      <c r="M1645" s="157" t="str">
        <f t="shared" si="55"/>
        <v/>
      </c>
      <c r="N1645" s="157" t="str">
        <f t="shared" si="56"/>
        <v/>
      </c>
      <c r="O1645" s="157" t="str">
        <f t="shared" si="57"/>
        <v/>
      </c>
      <c r="P1645" s="157" t="str">
        <f t="shared" si="9"/>
        <v/>
      </c>
      <c r="Q1645" s="157" t="str">
        <f t="shared" si="10"/>
        <v/>
      </c>
      <c r="R1645" s="157" t="str">
        <f t="shared" si="11"/>
        <v/>
      </c>
      <c r="S1645" s="157" t="str">
        <f t="shared" si="12"/>
        <v/>
      </c>
      <c r="T1645" s="157" t="str">
        <f t="shared" si="13"/>
        <v/>
      </c>
      <c r="U1645" s="157" t="str">
        <f t="shared" si="14"/>
        <v/>
      </c>
      <c r="V1645" s="157" t="str">
        <f t="shared" si="15"/>
        <v/>
      </c>
      <c r="W1645" s="157" t="str">
        <f t="shared" si="16"/>
        <v/>
      </c>
      <c r="X1645" s="157" t="str">
        <f t="shared" si="17"/>
        <v/>
      </c>
      <c r="Y1645" s="157" t="str">
        <f t="shared" si="18"/>
        <v/>
      </c>
      <c r="Z1645" s="157" t="str">
        <f t="shared" si="19"/>
        <v/>
      </c>
      <c r="AA1645" s="157" t="str">
        <f t="shared" si="20"/>
        <v/>
      </c>
      <c r="AB1645" s="157" t="str">
        <f t="shared" si="21"/>
        <v/>
      </c>
      <c r="AC1645" s="157" t="str">
        <f t="shared" si="22"/>
        <v/>
      </c>
      <c r="AD1645" s="157" t="str">
        <f t="shared" si="23"/>
        <v/>
      </c>
      <c r="AE1645" s="157" t="str">
        <f t="shared" si="24"/>
        <v/>
      </c>
      <c r="AF1645" s="157" t="str">
        <f t="shared" si="25"/>
        <v/>
      </c>
      <c r="AG1645" s="157" t="str">
        <f t="shared" si="26"/>
        <v/>
      </c>
      <c r="AH1645" s="157" t="str">
        <f t="shared" si="27"/>
        <v/>
      </c>
      <c r="AI1645" s="157" t="str">
        <f t="shared" si="28"/>
        <v/>
      </c>
      <c r="AJ1645" s="157" t="str">
        <f t="shared" si="29"/>
        <v/>
      </c>
      <c r="AK1645" s="157" t="str">
        <f t="shared" si="30"/>
        <v/>
      </c>
      <c r="AL1645" s="157" t="str">
        <f t="shared" si="31"/>
        <v/>
      </c>
      <c r="AM1645" s="157" t="str">
        <f t="shared" si="32"/>
        <v/>
      </c>
      <c r="AN1645" s="157" t="str">
        <f t="shared" si="33"/>
        <v/>
      </c>
      <c r="AO1645" s="157" t="str">
        <f t="shared" si="34"/>
        <v/>
      </c>
      <c r="AP1645" s="157" t="str">
        <f t="shared" si="35"/>
        <v/>
      </c>
      <c r="AQ1645" s="157" t="str">
        <f t="shared" si="36"/>
        <v/>
      </c>
      <c r="AR1645" s="157" t="str">
        <f t="shared" si="37"/>
        <v/>
      </c>
      <c r="AS1645" s="157" t="str">
        <f t="shared" si="38"/>
        <v/>
      </c>
      <c r="AT1645" s="157" t="str">
        <f t="shared" si="39"/>
        <v/>
      </c>
      <c r="AU1645" s="157" t="str">
        <f t="shared" si="40"/>
        <v/>
      </c>
      <c r="AV1645" s="157" t="str">
        <f t="shared" si="41"/>
        <v/>
      </c>
      <c r="AW1645" s="157" t="str">
        <f t="shared" si="42"/>
        <v/>
      </c>
      <c r="AX1645" s="157" t="str">
        <f t="shared" si="43"/>
        <v/>
      </c>
      <c r="AY1645" s="157" t="str">
        <f t="shared" si="44"/>
        <v/>
      </c>
      <c r="AZ1645" s="157" t="str">
        <f t="shared" si="45"/>
        <v/>
      </c>
      <c r="BA1645" s="157" t="str">
        <f t="shared" si="46"/>
        <v/>
      </c>
      <c r="BB1645" s="160">
        <f t="shared" si="47"/>
        <v>0</v>
      </c>
    </row>
    <row r="1646" spans="1:54" s="22" customFormat="1" hidden="1">
      <c r="A1646" s="61"/>
      <c r="C1646" s="157" t="s">
        <v>203</v>
      </c>
      <c r="D1646" s="157" t="str">
        <f t="shared" si="7"/>
        <v/>
      </c>
      <c r="E1646" s="157" t="str">
        <f t="shared" si="8"/>
        <v/>
      </c>
      <c r="F1646" s="157" t="str">
        <f t="shared" si="48"/>
        <v/>
      </c>
      <c r="G1646" s="157" t="str">
        <f t="shared" si="49"/>
        <v/>
      </c>
      <c r="H1646" s="157" t="str">
        <f t="shared" si="50"/>
        <v/>
      </c>
      <c r="I1646" s="157" t="str">
        <f t="shared" si="51"/>
        <v/>
      </c>
      <c r="J1646" s="157" t="str">
        <f t="shared" si="52"/>
        <v/>
      </c>
      <c r="K1646" s="157" t="str">
        <f t="shared" si="53"/>
        <v/>
      </c>
      <c r="L1646" s="157" t="str">
        <f t="shared" si="54"/>
        <v/>
      </c>
      <c r="M1646" s="157" t="str">
        <f t="shared" si="55"/>
        <v/>
      </c>
      <c r="N1646" s="157" t="str">
        <f t="shared" si="56"/>
        <v/>
      </c>
      <c r="O1646" s="157" t="str">
        <f t="shared" si="57"/>
        <v/>
      </c>
      <c r="P1646" s="157" t="str">
        <f t="shared" si="9"/>
        <v/>
      </c>
      <c r="Q1646" s="157" t="str">
        <f t="shared" si="10"/>
        <v/>
      </c>
      <c r="R1646" s="157" t="str">
        <f t="shared" si="11"/>
        <v/>
      </c>
      <c r="S1646" s="157" t="str">
        <f t="shared" si="12"/>
        <v/>
      </c>
      <c r="T1646" s="157" t="str">
        <f t="shared" si="13"/>
        <v/>
      </c>
      <c r="U1646" s="157" t="str">
        <f t="shared" si="14"/>
        <v/>
      </c>
      <c r="V1646" s="157" t="str">
        <f t="shared" si="15"/>
        <v/>
      </c>
      <c r="W1646" s="157" t="str">
        <f t="shared" si="16"/>
        <v/>
      </c>
      <c r="X1646" s="157" t="str">
        <f t="shared" si="17"/>
        <v/>
      </c>
      <c r="Y1646" s="157" t="str">
        <f t="shared" si="18"/>
        <v/>
      </c>
      <c r="Z1646" s="157" t="str">
        <f t="shared" si="19"/>
        <v/>
      </c>
      <c r="AA1646" s="157" t="str">
        <f t="shared" si="20"/>
        <v/>
      </c>
      <c r="AB1646" s="157" t="str">
        <f t="shared" si="21"/>
        <v/>
      </c>
      <c r="AC1646" s="157" t="str">
        <f t="shared" si="22"/>
        <v/>
      </c>
      <c r="AD1646" s="157" t="str">
        <f t="shared" si="23"/>
        <v/>
      </c>
      <c r="AE1646" s="157" t="str">
        <f t="shared" si="24"/>
        <v/>
      </c>
      <c r="AF1646" s="157" t="str">
        <f t="shared" si="25"/>
        <v/>
      </c>
      <c r="AG1646" s="157" t="str">
        <f t="shared" si="26"/>
        <v/>
      </c>
      <c r="AH1646" s="157" t="str">
        <f t="shared" si="27"/>
        <v/>
      </c>
      <c r="AI1646" s="157" t="str">
        <f t="shared" si="28"/>
        <v/>
      </c>
      <c r="AJ1646" s="157" t="str">
        <f t="shared" si="29"/>
        <v/>
      </c>
      <c r="AK1646" s="157" t="str">
        <f t="shared" si="30"/>
        <v/>
      </c>
      <c r="AL1646" s="157" t="str">
        <f t="shared" si="31"/>
        <v/>
      </c>
      <c r="AM1646" s="157" t="str">
        <f t="shared" si="32"/>
        <v/>
      </c>
      <c r="AN1646" s="157" t="str">
        <f t="shared" si="33"/>
        <v/>
      </c>
      <c r="AO1646" s="157" t="str">
        <f t="shared" si="34"/>
        <v/>
      </c>
      <c r="AP1646" s="157" t="str">
        <f t="shared" si="35"/>
        <v/>
      </c>
      <c r="AQ1646" s="157" t="str">
        <f t="shared" si="36"/>
        <v/>
      </c>
      <c r="AR1646" s="157" t="str">
        <f t="shared" si="37"/>
        <v/>
      </c>
      <c r="AS1646" s="157" t="str">
        <f t="shared" si="38"/>
        <v/>
      </c>
      <c r="AT1646" s="157" t="str">
        <f t="shared" si="39"/>
        <v/>
      </c>
      <c r="AU1646" s="157" t="str">
        <f t="shared" si="40"/>
        <v/>
      </c>
      <c r="AV1646" s="157" t="str">
        <f t="shared" si="41"/>
        <v/>
      </c>
      <c r="AW1646" s="157" t="str">
        <f t="shared" si="42"/>
        <v/>
      </c>
      <c r="AX1646" s="157" t="str">
        <f t="shared" si="43"/>
        <v/>
      </c>
      <c r="AY1646" s="157" t="str">
        <f t="shared" si="44"/>
        <v/>
      </c>
      <c r="AZ1646" s="157" t="str">
        <f t="shared" si="45"/>
        <v/>
      </c>
      <c r="BA1646" s="157" t="str">
        <f t="shared" si="46"/>
        <v/>
      </c>
      <c r="BB1646" s="160">
        <f t="shared" si="47"/>
        <v>0</v>
      </c>
    </row>
    <row r="1647" spans="1:54" s="22" customFormat="1" hidden="1">
      <c r="A1647" s="61"/>
      <c r="C1647" s="157" t="s">
        <v>204</v>
      </c>
      <c r="D1647" s="157" t="str">
        <f t="shared" si="7"/>
        <v/>
      </c>
      <c r="E1647" s="157" t="str">
        <f t="shared" si="8"/>
        <v/>
      </c>
      <c r="F1647" s="157" t="str">
        <f t="shared" si="48"/>
        <v/>
      </c>
      <c r="G1647" s="157" t="str">
        <f t="shared" si="49"/>
        <v/>
      </c>
      <c r="H1647" s="157" t="str">
        <f t="shared" si="50"/>
        <v/>
      </c>
      <c r="I1647" s="157" t="str">
        <f t="shared" si="51"/>
        <v/>
      </c>
      <c r="J1647" s="157" t="str">
        <f t="shared" si="52"/>
        <v/>
      </c>
      <c r="K1647" s="157" t="str">
        <f t="shared" si="53"/>
        <v/>
      </c>
      <c r="L1647" s="157" t="str">
        <f t="shared" si="54"/>
        <v/>
      </c>
      <c r="M1647" s="157" t="str">
        <f t="shared" si="55"/>
        <v/>
      </c>
      <c r="N1647" s="157" t="str">
        <f t="shared" si="56"/>
        <v/>
      </c>
      <c r="O1647" s="157" t="str">
        <f t="shared" si="57"/>
        <v/>
      </c>
      <c r="P1647" s="157" t="str">
        <f t="shared" si="9"/>
        <v/>
      </c>
      <c r="Q1647" s="157" t="str">
        <f t="shared" si="10"/>
        <v/>
      </c>
      <c r="R1647" s="157" t="str">
        <f t="shared" si="11"/>
        <v/>
      </c>
      <c r="S1647" s="157" t="str">
        <f t="shared" si="12"/>
        <v/>
      </c>
      <c r="T1647" s="157" t="str">
        <f t="shared" si="13"/>
        <v/>
      </c>
      <c r="U1647" s="157" t="str">
        <f t="shared" si="14"/>
        <v/>
      </c>
      <c r="V1647" s="157" t="str">
        <f t="shared" si="15"/>
        <v/>
      </c>
      <c r="W1647" s="157" t="str">
        <f t="shared" si="16"/>
        <v/>
      </c>
      <c r="X1647" s="157" t="str">
        <f t="shared" si="17"/>
        <v/>
      </c>
      <c r="Y1647" s="157" t="str">
        <f t="shared" si="18"/>
        <v/>
      </c>
      <c r="Z1647" s="157" t="str">
        <f t="shared" si="19"/>
        <v/>
      </c>
      <c r="AA1647" s="157" t="str">
        <f t="shared" si="20"/>
        <v/>
      </c>
      <c r="AB1647" s="157" t="str">
        <f t="shared" si="21"/>
        <v/>
      </c>
      <c r="AC1647" s="157" t="str">
        <f t="shared" si="22"/>
        <v/>
      </c>
      <c r="AD1647" s="157" t="str">
        <f t="shared" si="23"/>
        <v/>
      </c>
      <c r="AE1647" s="157" t="str">
        <f t="shared" si="24"/>
        <v/>
      </c>
      <c r="AF1647" s="157" t="str">
        <f t="shared" si="25"/>
        <v/>
      </c>
      <c r="AG1647" s="157" t="str">
        <f t="shared" si="26"/>
        <v/>
      </c>
      <c r="AH1647" s="157" t="str">
        <f t="shared" si="27"/>
        <v/>
      </c>
      <c r="AI1647" s="157" t="str">
        <f t="shared" si="28"/>
        <v/>
      </c>
      <c r="AJ1647" s="157" t="str">
        <f t="shared" si="29"/>
        <v/>
      </c>
      <c r="AK1647" s="157" t="str">
        <f t="shared" si="30"/>
        <v/>
      </c>
      <c r="AL1647" s="157" t="str">
        <f t="shared" si="31"/>
        <v/>
      </c>
      <c r="AM1647" s="157" t="str">
        <f t="shared" si="32"/>
        <v/>
      </c>
      <c r="AN1647" s="157" t="str">
        <f t="shared" si="33"/>
        <v/>
      </c>
      <c r="AO1647" s="157" t="str">
        <f t="shared" si="34"/>
        <v/>
      </c>
      <c r="AP1647" s="157" t="str">
        <f t="shared" si="35"/>
        <v/>
      </c>
      <c r="AQ1647" s="157" t="str">
        <f t="shared" si="36"/>
        <v/>
      </c>
      <c r="AR1647" s="157" t="str">
        <f t="shared" si="37"/>
        <v/>
      </c>
      <c r="AS1647" s="157" t="str">
        <f t="shared" si="38"/>
        <v/>
      </c>
      <c r="AT1647" s="157" t="str">
        <f t="shared" si="39"/>
        <v/>
      </c>
      <c r="AU1647" s="157" t="str">
        <f t="shared" si="40"/>
        <v/>
      </c>
      <c r="AV1647" s="157" t="str">
        <f t="shared" si="41"/>
        <v/>
      </c>
      <c r="AW1647" s="157" t="str">
        <f t="shared" si="42"/>
        <v/>
      </c>
      <c r="AX1647" s="157" t="str">
        <f t="shared" si="43"/>
        <v/>
      </c>
      <c r="AY1647" s="157" t="str">
        <f t="shared" si="44"/>
        <v/>
      </c>
      <c r="AZ1647" s="157" t="str">
        <f t="shared" si="45"/>
        <v/>
      </c>
      <c r="BA1647" s="157" t="str">
        <f t="shared" si="46"/>
        <v/>
      </c>
      <c r="BB1647" s="160">
        <f t="shared" si="47"/>
        <v>0</v>
      </c>
    </row>
    <row r="1648" spans="1:54" s="22" customFormat="1" hidden="1">
      <c r="A1648" s="61"/>
      <c r="C1648" s="157" t="s">
        <v>205</v>
      </c>
      <c r="D1648" s="157" t="str">
        <f t="shared" si="7"/>
        <v/>
      </c>
      <c r="E1648" s="157" t="str">
        <f t="shared" si="8"/>
        <v/>
      </c>
      <c r="F1648" s="157" t="str">
        <f t="shared" si="48"/>
        <v/>
      </c>
      <c r="G1648" s="157" t="str">
        <f t="shared" si="49"/>
        <v/>
      </c>
      <c r="H1648" s="157" t="str">
        <f t="shared" si="50"/>
        <v/>
      </c>
      <c r="I1648" s="157" t="str">
        <f t="shared" si="51"/>
        <v/>
      </c>
      <c r="J1648" s="157" t="str">
        <f t="shared" si="52"/>
        <v/>
      </c>
      <c r="K1648" s="157" t="str">
        <f t="shared" si="53"/>
        <v/>
      </c>
      <c r="L1648" s="157" t="str">
        <f t="shared" si="54"/>
        <v/>
      </c>
      <c r="M1648" s="157" t="str">
        <f t="shared" si="55"/>
        <v/>
      </c>
      <c r="N1648" s="157" t="str">
        <f t="shared" si="56"/>
        <v/>
      </c>
      <c r="O1648" s="157" t="str">
        <f t="shared" si="57"/>
        <v/>
      </c>
      <c r="P1648" s="157" t="str">
        <f t="shared" si="9"/>
        <v/>
      </c>
      <c r="Q1648" s="157" t="str">
        <f t="shared" si="10"/>
        <v/>
      </c>
      <c r="R1648" s="157" t="str">
        <f t="shared" si="11"/>
        <v/>
      </c>
      <c r="S1648" s="157" t="str">
        <f t="shared" si="12"/>
        <v/>
      </c>
      <c r="T1648" s="157" t="str">
        <f t="shared" si="13"/>
        <v/>
      </c>
      <c r="U1648" s="157" t="str">
        <f t="shared" si="14"/>
        <v/>
      </c>
      <c r="V1648" s="157" t="str">
        <f t="shared" si="15"/>
        <v/>
      </c>
      <c r="W1648" s="157" t="str">
        <f t="shared" si="16"/>
        <v/>
      </c>
      <c r="X1648" s="157" t="str">
        <f t="shared" si="17"/>
        <v/>
      </c>
      <c r="Y1648" s="157" t="str">
        <f t="shared" si="18"/>
        <v/>
      </c>
      <c r="Z1648" s="157" t="str">
        <f t="shared" si="19"/>
        <v/>
      </c>
      <c r="AA1648" s="157" t="str">
        <f t="shared" si="20"/>
        <v/>
      </c>
      <c r="AB1648" s="157" t="str">
        <f t="shared" si="21"/>
        <v/>
      </c>
      <c r="AC1648" s="157" t="str">
        <f t="shared" si="22"/>
        <v/>
      </c>
      <c r="AD1648" s="157" t="str">
        <f t="shared" si="23"/>
        <v/>
      </c>
      <c r="AE1648" s="157" t="str">
        <f t="shared" si="24"/>
        <v/>
      </c>
      <c r="AF1648" s="157" t="str">
        <f t="shared" si="25"/>
        <v/>
      </c>
      <c r="AG1648" s="157" t="str">
        <f t="shared" si="26"/>
        <v/>
      </c>
      <c r="AH1648" s="157" t="str">
        <f t="shared" si="27"/>
        <v/>
      </c>
      <c r="AI1648" s="157" t="str">
        <f t="shared" si="28"/>
        <v/>
      </c>
      <c r="AJ1648" s="157" t="str">
        <f t="shared" si="29"/>
        <v/>
      </c>
      <c r="AK1648" s="157" t="str">
        <f t="shared" si="30"/>
        <v/>
      </c>
      <c r="AL1648" s="157" t="str">
        <f t="shared" si="31"/>
        <v/>
      </c>
      <c r="AM1648" s="157" t="str">
        <f t="shared" si="32"/>
        <v/>
      </c>
      <c r="AN1648" s="157" t="str">
        <f t="shared" si="33"/>
        <v/>
      </c>
      <c r="AO1648" s="157" t="str">
        <f t="shared" si="34"/>
        <v/>
      </c>
      <c r="AP1648" s="157" t="str">
        <f t="shared" si="35"/>
        <v/>
      </c>
      <c r="AQ1648" s="157" t="str">
        <f t="shared" si="36"/>
        <v/>
      </c>
      <c r="AR1648" s="157" t="str">
        <f t="shared" si="37"/>
        <v/>
      </c>
      <c r="AS1648" s="157" t="str">
        <f t="shared" si="38"/>
        <v/>
      </c>
      <c r="AT1648" s="157" t="str">
        <f t="shared" si="39"/>
        <v/>
      </c>
      <c r="AU1648" s="157" t="str">
        <f t="shared" si="40"/>
        <v/>
      </c>
      <c r="AV1648" s="157" t="str">
        <f t="shared" si="41"/>
        <v/>
      </c>
      <c r="AW1648" s="157" t="str">
        <f t="shared" si="42"/>
        <v/>
      </c>
      <c r="AX1648" s="157" t="str">
        <f t="shared" si="43"/>
        <v/>
      </c>
      <c r="AY1648" s="157" t="str">
        <f t="shared" si="44"/>
        <v/>
      </c>
      <c r="AZ1648" s="157" t="str">
        <f t="shared" si="45"/>
        <v/>
      </c>
      <c r="BA1648" s="157" t="str">
        <f t="shared" si="46"/>
        <v/>
      </c>
      <c r="BB1648" s="160">
        <f t="shared" si="47"/>
        <v>0</v>
      </c>
    </row>
    <row r="1649" spans="1:54" s="22" customFormat="1" hidden="1">
      <c r="A1649" s="61"/>
      <c r="C1649" s="158" t="s">
        <v>206</v>
      </c>
      <c r="D1649" s="157" t="str">
        <f t="shared" si="7"/>
        <v/>
      </c>
      <c r="E1649" s="157" t="str">
        <f t="shared" si="8"/>
        <v/>
      </c>
      <c r="F1649" s="157" t="str">
        <f t="shared" si="48"/>
        <v/>
      </c>
      <c r="G1649" s="157" t="str">
        <f t="shared" si="49"/>
        <v/>
      </c>
      <c r="H1649" s="157" t="str">
        <f t="shared" si="50"/>
        <v/>
      </c>
      <c r="I1649" s="157" t="str">
        <f t="shared" si="51"/>
        <v/>
      </c>
      <c r="J1649" s="157" t="str">
        <f t="shared" si="52"/>
        <v/>
      </c>
      <c r="K1649" s="157" t="str">
        <f t="shared" si="53"/>
        <v/>
      </c>
      <c r="L1649" s="157" t="str">
        <f t="shared" si="54"/>
        <v/>
      </c>
      <c r="M1649" s="157" t="str">
        <f t="shared" si="55"/>
        <v/>
      </c>
      <c r="N1649" s="157" t="str">
        <f t="shared" si="56"/>
        <v/>
      </c>
      <c r="O1649" s="157" t="str">
        <f t="shared" si="57"/>
        <v/>
      </c>
      <c r="P1649" s="157" t="str">
        <f t="shared" si="9"/>
        <v/>
      </c>
      <c r="Q1649" s="157" t="str">
        <f t="shared" si="10"/>
        <v/>
      </c>
      <c r="R1649" s="157" t="str">
        <f t="shared" si="11"/>
        <v/>
      </c>
      <c r="S1649" s="157" t="str">
        <f t="shared" si="12"/>
        <v/>
      </c>
      <c r="T1649" s="157" t="str">
        <f t="shared" si="13"/>
        <v/>
      </c>
      <c r="U1649" s="157" t="str">
        <f t="shared" si="14"/>
        <v/>
      </c>
      <c r="V1649" s="157" t="str">
        <f t="shared" si="15"/>
        <v/>
      </c>
      <c r="W1649" s="157" t="str">
        <f t="shared" si="16"/>
        <v/>
      </c>
      <c r="X1649" s="157" t="str">
        <f t="shared" si="17"/>
        <v/>
      </c>
      <c r="Y1649" s="157" t="str">
        <f t="shared" si="18"/>
        <v/>
      </c>
      <c r="Z1649" s="157" t="str">
        <f t="shared" si="19"/>
        <v/>
      </c>
      <c r="AA1649" s="157" t="str">
        <f t="shared" si="20"/>
        <v/>
      </c>
      <c r="AB1649" s="157" t="str">
        <f t="shared" si="21"/>
        <v/>
      </c>
      <c r="AC1649" s="157" t="str">
        <f t="shared" si="22"/>
        <v/>
      </c>
      <c r="AD1649" s="157" t="str">
        <f t="shared" si="23"/>
        <v/>
      </c>
      <c r="AE1649" s="157" t="str">
        <f t="shared" si="24"/>
        <v/>
      </c>
      <c r="AF1649" s="157" t="str">
        <f t="shared" si="25"/>
        <v/>
      </c>
      <c r="AG1649" s="157" t="str">
        <f t="shared" si="26"/>
        <v/>
      </c>
      <c r="AH1649" s="157" t="str">
        <f t="shared" si="27"/>
        <v/>
      </c>
      <c r="AI1649" s="157" t="str">
        <f t="shared" si="28"/>
        <v/>
      </c>
      <c r="AJ1649" s="157" t="str">
        <f t="shared" si="29"/>
        <v/>
      </c>
      <c r="AK1649" s="157" t="str">
        <f t="shared" si="30"/>
        <v/>
      </c>
      <c r="AL1649" s="157" t="str">
        <f t="shared" si="31"/>
        <v/>
      </c>
      <c r="AM1649" s="157" t="str">
        <f t="shared" si="32"/>
        <v/>
      </c>
      <c r="AN1649" s="157" t="str">
        <f t="shared" si="33"/>
        <v/>
      </c>
      <c r="AO1649" s="157" t="str">
        <f t="shared" si="34"/>
        <v/>
      </c>
      <c r="AP1649" s="157" t="str">
        <f t="shared" si="35"/>
        <v/>
      </c>
      <c r="AQ1649" s="157" t="str">
        <f t="shared" si="36"/>
        <v/>
      </c>
      <c r="AR1649" s="157" t="str">
        <f t="shared" si="37"/>
        <v/>
      </c>
      <c r="AS1649" s="157" t="str">
        <f t="shared" si="38"/>
        <v/>
      </c>
      <c r="AT1649" s="157" t="str">
        <f t="shared" si="39"/>
        <v/>
      </c>
      <c r="AU1649" s="157" t="str">
        <f t="shared" si="40"/>
        <v/>
      </c>
      <c r="AV1649" s="157" t="str">
        <f t="shared" si="41"/>
        <v/>
      </c>
      <c r="AW1649" s="157" t="str">
        <f t="shared" si="42"/>
        <v/>
      </c>
      <c r="AX1649" s="157" t="str">
        <f t="shared" si="43"/>
        <v/>
      </c>
      <c r="AY1649" s="157" t="str">
        <f t="shared" si="44"/>
        <v/>
      </c>
      <c r="AZ1649" s="157" t="str">
        <f t="shared" si="45"/>
        <v/>
      </c>
      <c r="BA1649" s="157" t="str">
        <f t="shared" si="46"/>
        <v/>
      </c>
      <c r="BB1649" s="160">
        <f t="shared" si="47"/>
        <v>0</v>
      </c>
    </row>
    <row r="1650" spans="1:54" s="22" customFormat="1" hidden="1">
      <c r="A1650" s="61"/>
      <c r="C1650" s="158" t="s">
        <v>207</v>
      </c>
      <c r="D1650" s="157" t="str">
        <f t="shared" si="7"/>
        <v/>
      </c>
      <c r="E1650" s="157" t="str">
        <f t="shared" si="8"/>
        <v/>
      </c>
      <c r="F1650" s="157" t="str">
        <f t="shared" si="48"/>
        <v/>
      </c>
      <c r="G1650" s="157" t="str">
        <f t="shared" si="49"/>
        <v/>
      </c>
      <c r="H1650" s="157" t="str">
        <f t="shared" si="50"/>
        <v/>
      </c>
      <c r="I1650" s="157" t="str">
        <f t="shared" si="51"/>
        <v/>
      </c>
      <c r="J1650" s="157" t="str">
        <f t="shared" si="52"/>
        <v/>
      </c>
      <c r="K1650" s="157" t="str">
        <f t="shared" si="53"/>
        <v/>
      </c>
      <c r="L1650" s="157" t="str">
        <f t="shared" si="54"/>
        <v/>
      </c>
      <c r="M1650" s="157" t="str">
        <f t="shared" si="55"/>
        <v/>
      </c>
      <c r="N1650" s="157" t="str">
        <f t="shared" si="56"/>
        <v/>
      </c>
      <c r="O1650" s="157" t="str">
        <f t="shared" si="57"/>
        <v/>
      </c>
      <c r="P1650" s="157" t="str">
        <f t="shared" si="9"/>
        <v/>
      </c>
      <c r="Q1650" s="157" t="str">
        <f t="shared" si="10"/>
        <v/>
      </c>
      <c r="R1650" s="157" t="str">
        <f t="shared" si="11"/>
        <v/>
      </c>
      <c r="S1650" s="157" t="str">
        <f t="shared" si="12"/>
        <v/>
      </c>
      <c r="T1650" s="157" t="str">
        <f t="shared" si="13"/>
        <v/>
      </c>
      <c r="U1650" s="157" t="str">
        <f t="shared" si="14"/>
        <v/>
      </c>
      <c r="V1650" s="157" t="str">
        <f t="shared" si="15"/>
        <v/>
      </c>
      <c r="W1650" s="157" t="str">
        <f t="shared" si="16"/>
        <v/>
      </c>
      <c r="X1650" s="157" t="str">
        <f t="shared" si="17"/>
        <v/>
      </c>
      <c r="Y1650" s="157" t="str">
        <f t="shared" si="18"/>
        <v/>
      </c>
      <c r="Z1650" s="157" t="str">
        <f t="shared" si="19"/>
        <v/>
      </c>
      <c r="AA1650" s="157" t="str">
        <f t="shared" si="20"/>
        <v/>
      </c>
      <c r="AB1650" s="157" t="str">
        <f t="shared" si="21"/>
        <v/>
      </c>
      <c r="AC1650" s="157" t="str">
        <f t="shared" si="22"/>
        <v/>
      </c>
      <c r="AD1650" s="157" t="str">
        <f t="shared" si="23"/>
        <v/>
      </c>
      <c r="AE1650" s="157" t="str">
        <f t="shared" si="24"/>
        <v/>
      </c>
      <c r="AF1650" s="157" t="str">
        <f t="shared" si="25"/>
        <v/>
      </c>
      <c r="AG1650" s="157" t="str">
        <f t="shared" si="26"/>
        <v/>
      </c>
      <c r="AH1650" s="157" t="str">
        <f t="shared" si="27"/>
        <v/>
      </c>
      <c r="AI1650" s="157" t="str">
        <f t="shared" si="28"/>
        <v/>
      </c>
      <c r="AJ1650" s="157" t="str">
        <f t="shared" si="29"/>
        <v/>
      </c>
      <c r="AK1650" s="157" t="str">
        <f t="shared" si="30"/>
        <v/>
      </c>
      <c r="AL1650" s="157" t="str">
        <f t="shared" si="31"/>
        <v/>
      </c>
      <c r="AM1650" s="157" t="str">
        <f t="shared" si="32"/>
        <v/>
      </c>
      <c r="AN1650" s="157" t="str">
        <f t="shared" si="33"/>
        <v/>
      </c>
      <c r="AO1650" s="157" t="str">
        <f t="shared" si="34"/>
        <v/>
      </c>
      <c r="AP1650" s="157" t="str">
        <f t="shared" si="35"/>
        <v/>
      </c>
      <c r="AQ1650" s="157" t="str">
        <f t="shared" si="36"/>
        <v/>
      </c>
      <c r="AR1650" s="157" t="str">
        <f t="shared" si="37"/>
        <v/>
      </c>
      <c r="AS1650" s="157" t="str">
        <f t="shared" si="38"/>
        <v/>
      </c>
      <c r="AT1650" s="157" t="str">
        <f t="shared" si="39"/>
        <v/>
      </c>
      <c r="AU1650" s="157" t="str">
        <f t="shared" si="40"/>
        <v/>
      </c>
      <c r="AV1650" s="157" t="str">
        <f t="shared" si="41"/>
        <v/>
      </c>
      <c r="AW1650" s="157" t="str">
        <f t="shared" si="42"/>
        <v/>
      </c>
      <c r="AX1650" s="157" t="str">
        <f t="shared" si="43"/>
        <v/>
      </c>
      <c r="AY1650" s="157" t="str">
        <f t="shared" si="44"/>
        <v/>
      </c>
      <c r="AZ1650" s="157" t="str">
        <f t="shared" si="45"/>
        <v/>
      </c>
      <c r="BA1650" s="157" t="str">
        <f t="shared" si="46"/>
        <v/>
      </c>
      <c r="BB1650" s="160">
        <f t="shared" si="47"/>
        <v>0</v>
      </c>
    </row>
    <row r="1651" spans="1:54" s="22" customFormat="1" hidden="1">
      <c r="A1651" s="61"/>
      <c r="C1651" s="158" t="s">
        <v>208</v>
      </c>
      <c r="D1651" s="157" t="str">
        <f t="shared" si="7"/>
        <v/>
      </c>
      <c r="E1651" s="157" t="str">
        <f t="shared" si="8"/>
        <v/>
      </c>
      <c r="F1651" s="157" t="str">
        <f t="shared" si="48"/>
        <v/>
      </c>
      <c r="G1651" s="157" t="str">
        <f t="shared" si="49"/>
        <v/>
      </c>
      <c r="H1651" s="157" t="str">
        <f t="shared" si="50"/>
        <v/>
      </c>
      <c r="I1651" s="157" t="str">
        <f t="shared" si="51"/>
        <v/>
      </c>
      <c r="J1651" s="157" t="str">
        <f t="shared" si="52"/>
        <v/>
      </c>
      <c r="K1651" s="157" t="str">
        <f t="shared" si="53"/>
        <v/>
      </c>
      <c r="L1651" s="157" t="str">
        <f t="shared" si="54"/>
        <v/>
      </c>
      <c r="M1651" s="157" t="str">
        <f t="shared" si="55"/>
        <v/>
      </c>
      <c r="N1651" s="157" t="str">
        <f t="shared" si="56"/>
        <v/>
      </c>
      <c r="O1651" s="157" t="str">
        <f t="shared" si="57"/>
        <v/>
      </c>
      <c r="P1651" s="157" t="str">
        <f t="shared" si="9"/>
        <v/>
      </c>
      <c r="Q1651" s="157" t="str">
        <f t="shared" si="10"/>
        <v/>
      </c>
      <c r="R1651" s="157" t="str">
        <f t="shared" si="11"/>
        <v/>
      </c>
      <c r="S1651" s="157" t="str">
        <f t="shared" si="12"/>
        <v/>
      </c>
      <c r="T1651" s="157" t="str">
        <f t="shared" si="13"/>
        <v/>
      </c>
      <c r="U1651" s="157" t="str">
        <f t="shared" si="14"/>
        <v/>
      </c>
      <c r="V1651" s="157">
        <f t="shared" si="15"/>
        <v>25935</v>
      </c>
      <c r="W1651" s="157" t="str">
        <f t="shared" si="16"/>
        <v/>
      </c>
      <c r="X1651" s="157" t="str">
        <f t="shared" si="17"/>
        <v/>
      </c>
      <c r="Y1651" s="157" t="str">
        <f t="shared" si="18"/>
        <v/>
      </c>
      <c r="Z1651" s="157" t="str">
        <f t="shared" si="19"/>
        <v/>
      </c>
      <c r="AA1651" s="157" t="str">
        <f t="shared" si="20"/>
        <v/>
      </c>
      <c r="AB1651" s="157" t="str">
        <f t="shared" si="21"/>
        <v/>
      </c>
      <c r="AC1651" s="157" t="str">
        <f t="shared" si="22"/>
        <v/>
      </c>
      <c r="AD1651" s="157" t="str">
        <f t="shared" si="23"/>
        <v/>
      </c>
      <c r="AE1651" s="157" t="str">
        <f t="shared" si="24"/>
        <v/>
      </c>
      <c r="AF1651" s="157" t="str">
        <f t="shared" si="25"/>
        <v/>
      </c>
      <c r="AG1651" s="157" t="str">
        <f t="shared" si="26"/>
        <v/>
      </c>
      <c r="AH1651" s="157" t="str">
        <f t="shared" si="27"/>
        <v/>
      </c>
      <c r="AI1651" s="157" t="str">
        <f t="shared" si="28"/>
        <v/>
      </c>
      <c r="AJ1651" s="157" t="str">
        <f t="shared" si="29"/>
        <v/>
      </c>
      <c r="AK1651" s="157" t="str">
        <f t="shared" si="30"/>
        <v/>
      </c>
      <c r="AL1651" s="157" t="str">
        <f t="shared" si="31"/>
        <v/>
      </c>
      <c r="AM1651" s="157" t="str">
        <f t="shared" si="32"/>
        <v/>
      </c>
      <c r="AN1651" s="157" t="str">
        <f t="shared" si="33"/>
        <v/>
      </c>
      <c r="AO1651" s="157" t="str">
        <f t="shared" si="34"/>
        <v/>
      </c>
      <c r="AP1651" s="157" t="str">
        <f t="shared" si="35"/>
        <v/>
      </c>
      <c r="AQ1651" s="157" t="str">
        <f t="shared" si="36"/>
        <v/>
      </c>
      <c r="AR1651" s="157" t="str">
        <f t="shared" si="37"/>
        <v/>
      </c>
      <c r="AS1651" s="157" t="str">
        <f t="shared" si="38"/>
        <v/>
      </c>
      <c r="AT1651" s="157" t="str">
        <f t="shared" si="39"/>
        <v/>
      </c>
      <c r="AU1651" s="157" t="str">
        <f t="shared" si="40"/>
        <v/>
      </c>
      <c r="AV1651" s="157" t="str">
        <f t="shared" si="41"/>
        <v/>
      </c>
      <c r="AW1651" s="157" t="str">
        <f t="shared" si="42"/>
        <v/>
      </c>
      <c r="AX1651" s="157" t="str">
        <f t="shared" si="43"/>
        <v/>
      </c>
      <c r="AY1651" s="157" t="str">
        <f t="shared" si="44"/>
        <v/>
      </c>
      <c r="AZ1651" s="157" t="str">
        <f t="shared" si="45"/>
        <v/>
      </c>
      <c r="BA1651" s="157" t="str">
        <f t="shared" si="46"/>
        <v/>
      </c>
      <c r="BB1651" s="160">
        <f t="shared" si="47"/>
        <v>25935</v>
      </c>
    </row>
    <row r="1652" spans="1:54" s="22" customFormat="1" hidden="1">
      <c r="A1652" s="61"/>
      <c r="C1652" s="158" t="s">
        <v>209</v>
      </c>
      <c r="D1652" s="157" t="str">
        <f t="shared" si="7"/>
        <v/>
      </c>
      <c r="E1652" s="157" t="str">
        <f t="shared" si="8"/>
        <v/>
      </c>
      <c r="F1652" s="157" t="str">
        <f t="shared" si="48"/>
        <v/>
      </c>
      <c r="G1652" s="157" t="str">
        <f t="shared" si="49"/>
        <v/>
      </c>
      <c r="H1652" s="157" t="str">
        <f t="shared" si="50"/>
        <v/>
      </c>
      <c r="I1652" s="157" t="str">
        <f t="shared" si="51"/>
        <v/>
      </c>
      <c r="J1652" s="157" t="str">
        <f t="shared" si="52"/>
        <v/>
      </c>
      <c r="K1652" s="157" t="str">
        <f t="shared" si="53"/>
        <v/>
      </c>
      <c r="L1652" s="157" t="str">
        <f t="shared" si="54"/>
        <v/>
      </c>
      <c r="M1652" s="157" t="str">
        <f t="shared" si="55"/>
        <v/>
      </c>
      <c r="N1652" s="157" t="str">
        <f t="shared" si="56"/>
        <v/>
      </c>
      <c r="O1652" s="157" t="str">
        <f t="shared" si="57"/>
        <v/>
      </c>
      <c r="P1652" s="157" t="str">
        <f t="shared" si="9"/>
        <v/>
      </c>
      <c r="Q1652" s="157" t="str">
        <f t="shared" si="10"/>
        <v/>
      </c>
      <c r="R1652" s="157" t="str">
        <f t="shared" si="11"/>
        <v/>
      </c>
      <c r="S1652" s="157" t="str">
        <f t="shared" si="12"/>
        <v/>
      </c>
      <c r="T1652" s="157" t="str">
        <f t="shared" si="13"/>
        <v/>
      </c>
      <c r="U1652" s="157" t="str">
        <f t="shared" si="14"/>
        <v/>
      </c>
      <c r="V1652" s="157" t="str">
        <f t="shared" si="15"/>
        <v/>
      </c>
      <c r="W1652" s="157" t="str">
        <f t="shared" si="16"/>
        <v/>
      </c>
      <c r="X1652" s="157" t="str">
        <f t="shared" si="17"/>
        <v/>
      </c>
      <c r="Y1652" s="157" t="str">
        <f t="shared" si="18"/>
        <v/>
      </c>
      <c r="Z1652" s="157" t="str">
        <f t="shared" si="19"/>
        <v/>
      </c>
      <c r="AA1652" s="157" t="str">
        <f t="shared" si="20"/>
        <v/>
      </c>
      <c r="AB1652" s="157" t="str">
        <f t="shared" si="21"/>
        <v/>
      </c>
      <c r="AC1652" s="157" t="str">
        <f t="shared" si="22"/>
        <v/>
      </c>
      <c r="AD1652" s="157" t="str">
        <f t="shared" si="23"/>
        <v/>
      </c>
      <c r="AE1652" s="157" t="str">
        <f t="shared" si="24"/>
        <v/>
      </c>
      <c r="AF1652" s="157" t="str">
        <f t="shared" si="25"/>
        <v/>
      </c>
      <c r="AG1652" s="157" t="str">
        <f t="shared" si="26"/>
        <v/>
      </c>
      <c r="AH1652" s="157" t="str">
        <f t="shared" si="27"/>
        <v/>
      </c>
      <c r="AI1652" s="157" t="str">
        <f t="shared" si="28"/>
        <v/>
      </c>
      <c r="AJ1652" s="157" t="str">
        <f t="shared" si="29"/>
        <v/>
      </c>
      <c r="AK1652" s="157" t="str">
        <f t="shared" si="30"/>
        <v/>
      </c>
      <c r="AL1652" s="157" t="str">
        <f t="shared" si="31"/>
        <v/>
      </c>
      <c r="AM1652" s="157" t="str">
        <f t="shared" si="32"/>
        <v/>
      </c>
      <c r="AN1652" s="157" t="str">
        <f t="shared" si="33"/>
        <v/>
      </c>
      <c r="AO1652" s="157" t="str">
        <f t="shared" si="34"/>
        <v/>
      </c>
      <c r="AP1652" s="157" t="str">
        <f t="shared" si="35"/>
        <v/>
      </c>
      <c r="AQ1652" s="157" t="str">
        <f t="shared" si="36"/>
        <v/>
      </c>
      <c r="AR1652" s="157" t="str">
        <f t="shared" si="37"/>
        <v/>
      </c>
      <c r="AS1652" s="157" t="str">
        <f t="shared" si="38"/>
        <v/>
      </c>
      <c r="AT1652" s="157" t="str">
        <f t="shared" si="39"/>
        <v/>
      </c>
      <c r="AU1652" s="157" t="str">
        <f t="shared" si="40"/>
        <v/>
      </c>
      <c r="AV1652" s="157" t="str">
        <f t="shared" si="41"/>
        <v/>
      </c>
      <c r="AW1652" s="157" t="str">
        <f t="shared" si="42"/>
        <v/>
      </c>
      <c r="AX1652" s="157" t="str">
        <f t="shared" si="43"/>
        <v/>
      </c>
      <c r="AY1652" s="157" t="str">
        <f t="shared" si="44"/>
        <v/>
      </c>
      <c r="AZ1652" s="157" t="str">
        <f t="shared" si="45"/>
        <v/>
      </c>
      <c r="BA1652" s="157" t="str">
        <f t="shared" si="46"/>
        <v/>
      </c>
      <c r="BB1652" s="160">
        <f t="shared" si="47"/>
        <v>0</v>
      </c>
    </row>
    <row r="1653" spans="1:54" s="22" customFormat="1" hidden="1">
      <c r="A1653" s="61"/>
      <c r="C1653" s="157" t="s">
        <v>210</v>
      </c>
      <c r="D1653" s="157" t="str">
        <f t="shared" si="7"/>
        <v/>
      </c>
      <c r="E1653" s="157" t="str">
        <f t="shared" si="8"/>
        <v/>
      </c>
      <c r="F1653" s="157" t="str">
        <f t="shared" si="48"/>
        <v/>
      </c>
      <c r="G1653" s="157" t="str">
        <f t="shared" si="49"/>
        <v/>
      </c>
      <c r="H1653" s="157" t="str">
        <f t="shared" si="50"/>
        <v/>
      </c>
      <c r="I1653" s="157" t="str">
        <f t="shared" si="51"/>
        <v/>
      </c>
      <c r="J1653" s="157" t="str">
        <f t="shared" si="52"/>
        <v/>
      </c>
      <c r="K1653" s="157" t="str">
        <f t="shared" si="53"/>
        <v/>
      </c>
      <c r="L1653" s="157" t="str">
        <f t="shared" si="54"/>
        <v/>
      </c>
      <c r="M1653" s="157" t="str">
        <f t="shared" si="55"/>
        <v/>
      </c>
      <c r="N1653" s="157" t="str">
        <f t="shared" si="56"/>
        <v/>
      </c>
      <c r="O1653" s="157" t="str">
        <f t="shared" si="57"/>
        <v/>
      </c>
      <c r="P1653" s="157" t="str">
        <f t="shared" si="9"/>
        <v/>
      </c>
      <c r="Q1653" s="157" t="str">
        <f t="shared" si="10"/>
        <v/>
      </c>
      <c r="R1653" s="157" t="str">
        <f t="shared" si="11"/>
        <v/>
      </c>
      <c r="S1653" s="157" t="str">
        <f t="shared" si="12"/>
        <v/>
      </c>
      <c r="T1653" s="157" t="str">
        <f t="shared" si="13"/>
        <v/>
      </c>
      <c r="U1653" s="157" t="str">
        <f t="shared" si="14"/>
        <v/>
      </c>
      <c r="V1653" s="157" t="str">
        <f t="shared" si="15"/>
        <v/>
      </c>
      <c r="W1653" s="157" t="str">
        <f t="shared" si="16"/>
        <v/>
      </c>
      <c r="X1653" s="157" t="str">
        <f t="shared" si="17"/>
        <v/>
      </c>
      <c r="Y1653" s="157" t="str">
        <f t="shared" si="18"/>
        <v/>
      </c>
      <c r="Z1653" s="157" t="str">
        <f t="shared" si="19"/>
        <v/>
      </c>
      <c r="AA1653" s="157" t="str">
        <f t="shared" si="20"/>
        <v/>
      </c>
      <c r="AB1653" s="157" t="str">
        <f t="shared" si="21"/>
        <v/>
      </c>
      <c r="AC1653" s="157" t="str">
        <f t="shared" si="22"/>
        <v/>
      </c>
      <c r="AD1653" s="157" t="str">
        <f t="shared" si="23"/>
        <v/>
      </c>
      <c r="AE1653" s="157" t="str">
        <f t="shared" si="24"/>
        <v/>
      </c>
      <c r="AF1653" s="157" t="str">
        <f t="shared" si="25"/>
        <v/>
      </c>
      <c r="AG1653" s="157" t="str">
        <f t="shared" si="26"/>
        <v/>
      </c>
      <c r="AH1653" s="157" t="str">
        <f t="shared" si="27"/>
        <v/>
      </c>
      <c r="AI1653" s="157" t="str">
        <f t="shared" si="28"/>
        <v/>
      </c>
      <c r="AJ1653" s="157" t="str">
        <f t="shared" si="29"/>
        <v/>
      </c>
      <c r="AK1653" s="157" t="str">
        <f t="shared" si="30"/>
        <v/>
      </c>
      <c r="AL1653" s="157" t="str">
        <f t="shared" si="31"/>
        <v/>
      </c>
      <c r="AM1653" s="157" t="str">
        <f t="shared" si="32"/>
        <v/>
      </c>
      <c r="AN1653" s="157" t="str">
        <f t="shared" si="33"/>
        <v/>
      </c>
      <c r="AO1653" s="157" t="str">
        <f t="shared" si="34"/>
        <v/>
      </c>
      <c r="AP1653" s="157" t="str">
        <f t="shared" si="35"/>
        <v/>
      </c>
      <c r="AQ1653" s="157" t="str">
        <f t="shared" si="36"/>
        <v/>
      </c>
      <c r="AR1653" s="157" t="str">
        <f t="shared" si="37"/>
        <v/>
      </c>
      <c r="AS1653" s="157" t="str">
        <f t="shared" si="38"/>
        <v/>
      </c>
      <c r="AT1653" s="157" t="str">
        <f t="shared" si="39"/>
        <v/>
      </c>
      <c r="AU1653" s="157" t="str">
        <f t="shared" si="40"/>
        <v/>
      </c>
      <c r="AV1653" s="157" t="str">
        <f t="shared" si="41"/>
        <v/>
      </c>
      <c r="AW1653" s="157" t="str">
        <f t="shared" si="42"/>
        <v/>
      </c>
      <c r="AX1653" s="157" t="str">
        <f t="shared" si="43"/>
        <v/>
      </c>
      <c r="AY1653" s="157" t="str">
        <f t="shared" si="44"/>
        <v/>
      </c>
      <c r="AZ1653" s="157" t="str">
        <f t="shared" si="45"/>
        <v/>
      </c>
      <c r="BA1653" s="157" t="str">
        <f t="shared" si="46"/>
        <v/>
      </c>
      <c r="BB1653" s="160">
        <f t="shared" si="47"/>
        <v>0</v>
      </c>
    </row>
    <row r="1654" spans="1:54" s="22" customFormat="1" hidden="1">
      <c r="A1654" s="61"/>
      <c r="C1654" s="158" t="s">
        <v>211</v>
      </c>
      <c r="D1654" s="157" t="str">
        <f t="shared" si="7"/>
        <v/>
      </c>
      <c r="E1654" s="157" t="str">
        <f t="shared" si="8"/>
        <v/>
      </c>
      <c r="F1654" s="157" t="str">
        <f t="shared" si="48"/>
        <v/>
      </c>
      <c r="G1654" s="157" t="str">
        <f t="shared" si="49"/>
        <v/>
      </c>
      <c r="H1654" s="157" t="str">
        <f t="shared" si="50"/>
        <v/>
      </c>
      <c r="I1654" s="157" t="str">
        <f t="shared" si="51"/>
        <v/>
      </c>
      <c r="J1654" s="157" t="str">
        <f t="shared" si="52"/>
        <v/>
      </c>
      <c r="K1654" s="157" t="str">
        <f t="shared" si="53"/>
        <v/>
      </c>
      <c r="L1654" s="157" t="str">
        <f t="shared" si="54"/>
        <v/>
      </c>
      <c r="M1654" s="157" t="str">
        <f t="shared" si="55"/>
        <v/>
      </c>
      <c r="N1654" s="157" t="str">
        <f t="shared" si="56"/>
        <v/>
      </c>
      <c r="O1654" s="157" t="str">
        <f t="shared" si="57"/>
        <v/>
      </c>
      <c r="P1654" s="157" t="str">
        <f t="shared" si="9"/>
        <v/>
      </c>
      <c r="Q1654" s="157" t="str">
        <f t="shared" si="10"/>
        <v/>
      </c>
      <c r="R1654" s="157" t="str">
        <f t="shared" si="11"/>
        <v/>
      </c>
      <c r="S1654" s="157" t="str">
        <f t="shared" si="12"/>
        <v/>
      </c>
      <c r="T1654" s="157" t="str">
        <f t="shared" si="13"/>
        <v/>
      </c>
      <c r="U1654" s="157" t="str">
        <f t="shared" si="14"/>
        <v/>
      </c>
      <c r="V1654" s="157" t="str">
        <f t="shared" si="15"/>
        <v/>
      </c>
      <c r="W1654" s="157" t="str">
        <f t="shared" si="16"/>
        <v/>
      </c>
      <c r="X1654" s="157" t="str">
        <f t="shared" si="17"/>
        <v/>
      </c>
      <c r="Y1654" s="157" t="str">
        <f t="shared" si="18"/>
        <v/>
      </c>
      <c r="Z1654" s="157" t="str">
        <f t="shared" si="19"/>
        <v/>
      </c>
      <c r="AA1654" s="157" t="str">
        <f t="shared" si="20"/>
        <v/>
      </c>
      <c r="AB1654" s="157" t="str">
        <f t="shared" si="21"/>
        <v/>
      </c>
      <c r="AC1654" s="157" t="str">
        <f t="shared" si="22"/>
        <v/>
      </c>
      <c r="AD1654" s="157" t="str">
        <f t="shared" si="23"/>
        <v/>
      </c>
      <c r="AE1654" s="157" t="str">
        <f t="shared" si="24"/>
        <v/>
      </c>
      <c r="AF1654" s="157" t="str">
        <f t="shared" si="25"/>
        <v/>
      </c>
      <c r="AG1654" s="157" t="str">
        <f t="shared" si="26"/>
        <v/>
      </c>
      <c r="AH1654" s="157" t="str">
        <f t="shared" si="27"/>
        <v/>
      </c>
      <c r="AI1654" s="157" t="str">
        <f t="shared" si="28"/>
        <v/>
      </c>
      <c r="AJ1654" s="157" t="str">
        <f t="shared" si="29"/>
        <v/>
      </c>
      <c r="AK1654" s="157" t="str">
        <f t="shared" si="30"/>
        <v/>
      </c>
      <c r="AL1654" s="157" t="str">
        <f t="shared" si="31"/>
        <v/>
      </c>
      <c r="AM1654" s="157" t="str">
        <f t="shared" si="32"/>
        <v/>
      </c>
      <c r="AN1654" s="157" t="str">
        <f t="shared" si="33"/>
        <v/>
      </c>
      <c r="AO1654" s="157" t="str">
        <f t="shared" si="34"/>
        <v/>
      </c>
      <c r="AP1654" s="157" t="str">
        <f t="shared" si="35"/>
        <v/>
      </c>
      <c r="AQ1654" s="157" t="str">
        <f t="shared" si="36"/>
        <v/>
      </c>
      <c r="AR1654" s="157" t="str">
        <f t="shared" si="37"/>
        <v/>
      </c>
      <c r="AS1654" s="157" t="str">
        <f t="shared" si="38"/>
        <v/>
      </c>
      <c r="AT1654" s="157" t="str">
        <f t="shared" si="39"/>
        <v/>
      </c>
      <c r="AU1654" s="157" t="str">
        <f t="shared" si="40"/>
        <v/>
      </c>
      <c r="AV1654" s="157" t="str">
        <f t="shared" si="41"/>
        <v/>
      </c>
      <c r="AW1654" s="157" t="str">
        <f t="shared" si="42"/>
        <v/>
      </c>
      <c r="AX1654" s="157" t="str">
        <f t="shared" si="43"/>
        <v/>
      </c>
      <c r="AY1654" s="157" t="str">
        <f t="shared" si="44"/>
        <v/>
      </c>
      <c r="AZ1654" s="157" t="str">
        <f t="shared" si="45"/>
        <v/>
      </c>
      <c r="BA1654" s="157" t="str">
        <f t="shared" si="46"/>
        <v/>
      </c>
      <c r="BB1654" s="160">
        <f t="shared" si="47"/>
        <v>0</v>
      </c>
    </row>
    <row r="1655" spans="1:54" s="22" customFormat="1" hidden="1">
      <c r="A1655" s="61"/>
      <c r="C1655" s="158" t="s">
        <v>212</v>
      </c>
      <c r="D1655" s="157" t="str">
        <f t="shared" si="7"/>
        <v/>
      </c>
      <c r="E1655" s="157" t="str">
        <f t="shared" si="8"/>
        <v/>
      </c>
      <c r="F1655" s="157" t="str">
        <f t="shared" si="48"/>
        <v/>
      </c>
      <c r="G1655" s="157" t="str">
        <f t="shared" si="49"/>
        <v/>
      </c>
      <c r="H1655" s="157" t="str">
        <f t="shared" si="50"/>
        <v/>
      </c>
      <c r="I1655" s="157" t="str">
        <f t="shared" si="51"/>
        <v/>
      </c>
      <c r="J1655" s="157" t="str">
        <f t="shared" si="52"/>
        <v/>
      </c>
      <c r="K1655" s="157" t="str">
        <f t="shared" si="53"/>
        <v/>
      </c>
      <c r="L1655" s="157" t="str">
        <f t="shared" si="54"/>
        <v/>
      </c>
      <c r="M1655" s="157" t="str">
        <f t="shared" si="55"/>
        <v/>
      </c>
      <c r="N1655" s="157" t="str">
        <f t="shared" si="56"/>
        <v/>
      </c>
      <c r="O1655" s="157" t="str">
        <f t="shared" si="57"/>
        <v/>
      </c>
      <c r="P1655" s="157" t="str">
        <f t="shared" si="9"/>
        <v/>
      </c>
      <c r="Q1655" s="157" t="str">
        <f t="shared" si="10"/>
        <v/>
      </c>
      <c r="R1655" s="157" t="str">
        <f t="shared" si="11"/>
        <v/>
      </c>
      <c r="S1655" s="157" t="str">
        <f t="shared" si="12"/>
        <v/>
      </c>
      <c r="T1655" s="157" t="str">
        <f t="shared" si="13"/>
        <v/>
      </c>
      <c r="U1655" s="157" t="str">
        <f t="shared" si="14"/>
        <v/>
      </c>
      <c r="V1655" s="157" t="str">
        <f t="shared" si="15"/>
        <v/>
      </c>
      <c r="W1655" s="157" t="str">
        <f t="shared" si="16"/>
        <v/>
      </c>
      <c r="X1655" s="157" t="str">
        <f t="shared" si="17"/>
        <v/>
      </c>
      <c r="Y1655" s="157" t="str">
        <f t="shared" si="18"/>
        <v/>
      </c>
      <c r="Z1655" s="157" t="str">
        <f t="shared" si="19"/>
        <v/>
      </c>
      <c r="AA1655" s="157" t="str">
        <f t="shared" si="20"/>
        <v/>
      </c>
      <c r="AB1655" s="157" t="str">
        <f t="shared" si="21"/>
        <v/>
      </c>
      <c r="AC1655" s="157" t="str">
        <f t="shared" si="22"/>
        <v/>
      </c>
      <c r="AD1655" s="157" t="str">
        <f t="shared" si="23"/>
        <v/>
      </c>
      <c r="AE1655" s="157" t="str">
        <f t="shared" si="24"/>
        <v/>
      </c>
      <c r="AF1655" s="157" t="str">
        <f t="shared" si="25"/>
        <v/>
      </c>
      <c r="AG1655" s="157" t="str">
        <f t="shared" si="26"/>
        <v/>
      </c>
      <c r="AH1655" s="157" t="str">
        <f t="shared" si="27"/>
        <v/>
      </c>
      <c r="AI1655" s="157" t="str">
        <f t="shared" si="28"/>
        <v/>
      </c>
      <c r="AJ1655" s="157" t="str">
        <f t="shared" si="29"/>
        <v/>
      </c>
      <c r="AK1655" s="157" t="str">
        <f t="shared" si="30"/>
        <v/>
      </c>
      <c r="AL1655" s="157" t="str">
        <f t="shared" si="31"/>
        <v/>
      </c>
      <c r="AM1655" s="157" t="str">
        <f t="shared" si="32"/>
        <v/>
      </c>
      <c r="AN1655" s="157" t="str">
        <f t="shared" si="33"/>
        <v/>
      </c>
      <c r="AO1655" s="157" t="str">
        <f t="shared" si="34"/>
        <v/>
      </c>
      <c r="AP1655" s="157" t="str">
        <f t="shared" si="35"/>
        <v/>
      </c>
      <c r="AQ1655" s="157" t="str">
        <f t="shared" si="36"/>
        <v/>
      </c>
      <c r="AR1655" s="157" t="str">
        <f t="shared" si="37"/>
        <v/>
      </c>
      <c r="AS1655" s="157" t="str">
        <f t="shared" si="38"/>
        <v/>
      </c>
      <c r="AT1655" s="157" t="str">
        <f t="shared" si="39"/>
        <v/>
      </c>
      <c r="AU1655" s="157" t="str">
        <f t="shared" si="40"/>
        <v/>
      </c>
      <c r="AV1655" s="157" t="str">
        <f t="shared" si="41"/>
        <v/>
      </c>
      <c r="AW1655" s="157" t="str">
        <f t="shared" si="42"/>
        <v/>
      </c>
      <c r="AX1655" s="157" t="str">
        <f t="shared" si="43"/>
        <v/>
      </c>
      <c r="AY1655" s="157" t="str">
        <f t="shared" si="44"/>
        <v/>
      </c>
      <c r="AZ1655" s="157" t="str">
        <f t="shared" si="45"/>
        <v/>
      </c>
      <c r="BA1655" s="157" t="str">
        <f t="shared" si="46"/>
        <v/>
      </c>
      <c r="BB1655" s="160">
        <f t="shared" si="47"/>
        <v>0</v>
      </c>
    </row>
    <row r="1656" spans="1:54" s="22" customFormat="1" hidden="1">
      <c r="A1656" s="61"/>
      <c r="C1656" s="157" t="s">
        <v>213</v>
      </c>
      <c r="D1656" s="157" t="str">
        <f t="shared" si="7"/>
        <v/>
      </c>
      <c r="E1656" s="157" t="str">
        <f t="shared" si="8"/>
        <v/>
      </c>
      <c r="F1656" s="157" t="str">
        <f t="shared" si="48"/>
        <v/>
      </c>
      <c r="G1656" s="157" t="str">
        <f t="shared" si="49"/>
        <v/>
      </c>
      <c r="H1656" s="157" t="str">
        <f t="shared" si="50"/>
        <v/>
      </c>
      <c r="I1656" s="157" t="str">
        <f t="shared" si="51"/>
        <v/>
      </c>
      <c r="J1656" s="157" t="str">
        <f t="shared" si="52"/>
        <v/>
      </c>
      <c r="K1656" s="157" t="str">
        <f t="shared" si="53"/>
        <v/>
      </c>
      <c r="L1656" s="157" t="str">
        <f t="shared" si="54"/>
        <v/>
      </c>
      <c r="M1656" s="157" t="str">
        <f t="shared" si="55"/>
        <v/>
      </c>
      <c r="N1656" s="157" t="str">
        <f t="shared" si="56"/>
        <v/>
      </c>
      <c r="O1656" s="157" t="str">
        <f t="shared" si="57"/>
        <v/>
      </c>
      <c r="P1656" s="157" t="str">
        <f t="shared" si="9"/>
        <v/>
      </c>
      <c r="Q1656" s="157" t="str">
        <f t="shared" si="10"/>
        <v/>
      </c>
      <c r="R1656" s="157" t="str">
        <f t="shared" si="11"/>
        <v/>
      </c>
      <c r="S1656" s="157" t="str">
        <f t="shared" si="12"/>
        <v/>
      </c>
      <c r="T1656" s="157" t="str">
        <f t="shared" si="13"/>
        <v/>
      </c>
      <c r="U1656" s="157" t="str">
        <f t="shared" si="14"/>
        <v/>
      </c>
      <c r="V1656" s="157" t="str">
        <f t="shared" si="15"/>
        <v/>
      </c>
      <c r="W1656" s="157" t="str">
        <f t="shared" si="16"/>
        <v/>
      </c>
      <c r="X1656" s="157" t="str">
        <f t="shared" si="17"/>
        <v/>
      </c>
      <c r="Y1656" s="157" t="str">
        <f t="shared" si="18"/>
        <v/>
      </c>
      <c r="Z1656" s="157" t="str">
        <f t="shared" si="19"/>
        <v/>
      </c>
      <c r="AA1656" s="157" t="str">
        <f t="shared" si="20"/>
        <v/>
      </c>
      <c r="AB1656" s="157" t="str">
        <f t="shared" si="21"/>
        <v/>
      </c>
      <c r="AC1656" s="157" t="str">
        <f t="shared" si="22"/>
        <v/>
      </c>
      <c r="AD1656" s="157" t="str">
        <f t="shared" si="23"/>
        <v/>
      </c>
      <c r="AE1656" s="157" t="str">
        <f t="shared" si="24"/>
        <v/>
      </c>
      <c r="AF1656" s="157" t="str">
        <f t="shared" si="25"/>
        <v/>
      </c>
      <c r="AG1656" s="157" t="str">
        <f t="shared" si="26"/>
        <v/>
      </c>
      <c r="AH1656" s="157" t="str">
        <f t="shared" si="27"/>
        <v/>
      </c>
      <c r="AI1656" s="157" t="str">
        <f t="shared" si="28"/>
        <v/>
      </c>
      <c r="AJ1656" s="157" t="str">
        <f t="shared" si="29"/>
        <v/>
      </c>
      <c r="AK1656" s="157" t="str">
        <f t="shared" si="30"/>
        <v/>
      </c>
      <c r="AL1656" s="157" t="str">
        <f t="shared" si="31"/>
        <v/>
      </c>
      <c r="AM1656" s="157" t="str">
        <f t="shared" si="32"/>
        <v/>
      </c>
      <c r="AN1656" s="157" t="str">
        <f t="shared" si="33"/>
        <v/>
      </c>
      <c r="AO1656" s="157" t="str">
        <f t="shared" si="34"/>
        <v/>
      </c>
      <c r="AP1656" s="157" t="str">
        <f t="shared" si="35"/>
        <v/>
      </c>
      <c r="AQ1656" s="157" t="str">
        <f t="shared" si="36"/>
        <v/>
      </c>
      <c r="AR1656" s="157" t="str">
        <f t="shared" si="37"/>
        <v/>
      </c>
      <c r="AS1656" s="157" t="str">
        <f t="shared" si="38"/>
        <v/>
      </c>
      <c r="AT1656" s="157" t="str">
        <f t="shared" si="39"/>
        <v/>
      </c>
      <c r="AU1656" s="157" t="str">
        <f t="shared" si="40"/>
        <v/>
      </c>
      <c r="AV1656" s="157" t="str">
        <f t="shared" si="41"/>
        <v/>
      </c>
      <c r="AW1656" s="157" t="str">
        <f t="shared" si="42"/>
        <v/>
      </c>
      <c r="AX1656" s="157" t="str">
        <f t="shared" si="43"/>
        <v/>
      </c>
      <c r="AY1656" s="157" t="str">
        <f t="shared" si="44"/>
        <v/>
      </c>
      <c r="AZ1656" s="157" t="str">
        <f t="shared" si="45"/>
        <v/>
      </c>
      <c r="BA1656" s="157" t="str">
        <f t="shared" si="46"/>
        <v/>
      </c>
      <c r="BB1656" s="160">
        <f t="shared" si="47"/>
        <v>0</v>
      </c>
    </row>
    <row r="1657" spans="1:54" s="22" customFormat="1" hidden="1">
      <c r="A1657" s="61"/>
      <c r="C1657" s="157" t="s">
        <v>214</v>
      </c>
      <c r="D1657" s="157" t="str">
        <f t="shared" si="7"/>
        <v/>
      </c>
      <c r="E1657" s="157" t="str">
        <f t="shared" si="8"/>
        <v/>
      </c>
      <c r="F1657" s="157" t="str">
        <f t="shared" si="48"/>
        <v/>
      </c>
      <c r="G1657" s="157" t="str">
        <f t="shared" si="49"/>
        <v/>
      </c>
      <c r="H1657" s="157" t="str">
        <f t="shared" si="50"/>
        <v/>
      </c>
      <c r="I1657" s="157" t="str">
        <f t="shared" si="51"/>
        <v/>
      </c>
      <c r="J1657" s="157" t="str">
        <f t="shared" si="52"/>
        <v/>
      </c>
      <c r="K1657" s="157" t="str">
        <f t="shared" si="53"/>
        <v/>
      </c>
      <c r="L1657" s="157" t="str">
        <f t="shared" si="54"/>
        <v/>
      </c>
      <c r="M1657" s="157" t="str">
        <f t="shared" si="55"/>
        <v/>
      </c>
      <c r="N1657" s="157" t="str">
        <f t="shared" si="56"/>
        <v/>
      </c>
      <c r="O1657" s="157" t="str">
        <f t="shared" si="57"/>
        <v/>
      </c>
      <c r="P1657" s="157" t="str">
        <f t="shared" si="9"/>
        <v/>
      </c>
      <c r="Q1657" s="157" t="str">
        <f t="shared" si="10"/>
        <v/>
      </c>
      <c r="R1657" s="157" t="str">
        <f t="shared" si="11"/>
        <v/>
      </c>
      <c r="S1657" s="157" t="str">
        <f t="shared" si="12"/>
        <v/>
      </c>
      <c r="T1657" s="157" t="str">
        <f t="shared" si="13"/>
        <v/>
      </c>
      <c r="U1657" s="157" t="str">
        <f t="shared" si="14"/>
        <v/>
      </c>
      <c r="V1657" s="157" t="str">
        <f t="shared" si="15"/>
        <v/>
      </c>
      <c r="W1657" s="157" t="str">
        <f t="shared" si="16"/>
        <v/>
      </c>
      <c r="X1657" s="157" t="str">
        <f t="shared" si="17"/>
        <v/>
      </c>
      <c r="Y1657" s="157" t="str">
        <f t="shared" si="18"/>
        <v/>
      </c>
      <c r="Z1657" s="157" t="str">
        <f t="shared" si="19"/>
        <v/>
      </c>
      <c r="AA1657" s="157" t="str">
        <f t="shared" si="20"/>
        <v/>
      </c>
      <c r="AB1657" s="157" t="str">
        <f t="shared" si="21"/>
        <v/>
      </c>
      <c r="AC1657" s="157" t="str">
        <f t="shared" si="22"/>
        <v/>
      </c>
      <c r="AD1657" s="157" t="str">
        <f t="shared" si="23"/>
        <v/>
      </c>
      <c r="AE1657" s="157" t="str">
        <f t="shared" si="24"/>
        <v/>
      </c>
      <c r="AF1657" s="157" t="str">
        <f t="shared" si="25"/>
        <v/>
      </c>
      <c r="AG1657" s="157" t="str">
        <f t="shared" si="26"/>
        <v/>
      </c>
      <c r="AH1657" s="157" t="str">
        <f t="shared" si="27"/>
        <v/>
      </c>
      <c r="AI1657" s="157" t="str">
        <f t="shared" si="28"/>
        <v/>
      </c>
      <c r="AJ1657" s="157" t="str">
        <f t="shared" si="29"/>
        <v/>
      </c>
      <c r="AK1657" s="157" t="str">
        <f t="shared" si="30"/>
        <v/>
      </c>
      <c r="AL1657" s="157" t="str">
        <f t="shared" si="31"/>
        <v/>
      </c>
      <c r="AM1657" s="157" t="str">
        <f t="shared" si="32"/>
        <v/>
      </c>
      <c r="AN1657" s="157" t="str">
        <f t="shared" si="33"/>
        <v/>
      </c>
      <c r="AO1657" s="157" t="str">
        <f t="shared" si="34"/>
        <v/>
      </c>
      <c r="AP1657" s="157" t="str">
        <f t="shared" si="35"/>
        <v/>
      </c>
      <c r="AQ1657" s="157" t="str">
        <f t="shared" si="36"/>
        <v/>
      </c>
      <c r="AR1657" s="157" t="str">
        <f t="shared" si="37"/>
        <v/>
      </c>
      <c r="AS1657" s="157" t="str">
        <f t="shared" si="38"/>
        <v/>
      </c>
      <c r="AT1657" s="157" t="str">
        <f t="shared" si="39"/>
        <v/>
      </c>
      <c r="AU1657" s="157" t="str">
        <f t="shared" si="40"/>
        <v/>
      </c>
      <c r="AV1657" s="157" t="str">
        <f t="shared" si="41"/>
        <v/>
      </c>
      <c r="AW1657" s="157" t="str">
        <f t="shared" si="42"/>
        <v/>
      </c>
      <c r="AX1657" s="157" t="str">
        <f t="shared" si="43"/>
        <v/>
      </c>
      <c r="AY1657" s="157" t="str">
        <f t="shared" si="44"/>
        <v/>
      </c>
      <c r="AZ1657" s="157" t="str">
        <f t="shared" si="45"/>
        <v/>
      </c>
      <c r="BA1657" s="157" t="str">
        <f t="shared" si="46"/>
        <v/>
      </c>
      <c r="BB1657" s="160">
        <f t="shared" si="47"/>
        <v>0</v>
      </c>
    </row>
    <row r="1658" spans="1:54" s="22" customFormat="1" hidden="1">
      <c r="A1658" s="61"/>
      <c r="C1658" s="158" t="s">
        <v>215</v>
      </c>
      <c r="D1658" s="157" t="str">
        <f t="shared" si="7"/>
        <v/>
      </c>
      <c r="E1658" s="157" t="str">
        <f t="shared" si="8"/>
        <v/>
      </c>
      <c r="F1658" s="157" t="str">
        <f t="shared" si="48"/>
        <v/>
      </c>
      <c r="G1658" s="157" t="str">
        <f t="shared" si="49"/>
        <v/>
      </c>
      <c r="H1658" s="157" t="str">
        <f t="shared" si="50"/>
        <v/>
      </c>
      <c r="I1658" s="157" t="str">
        <f t="shared" si="51"/>
        <v/>
      </c>
      <c r="J1658" s="157" t="str">
        <f t="shared" si="52"/>
        <v/>
      </c>
      <c r="K1658" s="157" t="str">
        <f t="shared" si="53"/>
        <v/>
      </c>
      <c r="L1658" s="157" t="str">
        <f t="shared" si="54"/>
        <v/>
      </c>
      <c r="M1658" s="157">
        <f t="shared" si="55"/>
        <v>129555</v>
      </c>
      <c r="N1658" s="157" t="str">
        <f t="shared" si="56"/>
        <v/>
      </c>
      <c r="O1658" s="157" t="str">
        <f t="shared" si="57"/>
        <v/>
      </c>
      <c r="P1658" s="157" t="str">
        <f t="shared" si="9"/>
        <v/>
      </c>
      <c r="Q1658" s="157" t="str">
        <f t="shared" si="10"/>
        <v/>
      </c>
      <c r="R1658" s="157" t="str">
        <f t="shared" si="11"/>
        <v/>
      </c>
      <c r="S1658" s="157" t="str">
        <f t="shared" si="12"/>
        <v/>
      </c>
      <c r="T1658" s="157">
        <f t="shared" si="13"/>
        <v>86370</v>
      </c>
      <c r="U1658" s="157" t="str">
        <f t="shared" si="14"/>
        <v/>
      </c>
      <c r="V1658" s="157" t="str">
        <f t="shared" si="15"/>
        <v/>
      </c>
      <c r="W1658" s="157" t="str">
        <f t="shared" si="16"/>
        <v/>
      </c>
      <c r="X1658" s="157" t="str">
        <f t="shared" si="17"/>
        <v/>
      </c>
      <c r="Y1658" s="157" t="str">
        <f t="shared" si="18"/>
        <v/>
      </c>
      <c r="Z1658" s="157" t="str">
        <f t="shared" si="19"/>
        <v/>
      </c>
      <c r="AA1658" s="157" t="str">
        <f t="shared" si="20"/>
        <v/>
      </c>
      <c r="AB1658" s="157" t="str">
        <f t="shared" si="21"/>
        <v/>
      </c>
      <c r="AC1658" s="157" t="str">
        <f t="shared" si="22"/>
        <v/>
      </c>
      <c r="AD1658" s="157" t="str">
        <f t="shared" si="23"/>
        <v/>
      </c>
      <c r="AE1658" s="157" t="str">
        <f t="shared" si="24"/>
        <v/>
      </c>
      <c r="AF1658" s="157" t="str">
        <f t="shared" si="25"/>
        <v/>
      </c>
      <c r="AG1658" s="157" t="str">
        <f t="shared" si="26"/>
        <v/>
      </c>
      <c r="AH1658" s="157" t="str">
        <f t="shared" si="27"/>
        <v/>
      </c>
      <c r="AI1658" s="157" t="str">
        <f t="shared" si="28"/>
        <v/>
      </c>
      <c r="AJ1658" s="157" t="str">
        <f t="shared" si="29"/>
        <v/>
      </c>
      <c r="AK1658" s="157" t="str">
        <f t="shared" si="30"/>
        <v/>
      </c>
      <c r="AL1658" s="157" t="str">
        <f t="shared" si="31"/>
        <v/>
      </c>
      <c r="AM1658" s="157" t="str">
        <f t="shared" si="32"/>
        <v/>
      </c>
      <c r="AN1658" s="157" t="str">
        <f t="shared" si="33"/>
        <v/>
      </c>
      <c r="AO1658" s="157" t="str">
        <f t="shared" si="34"/>
        <v/>
      </c>
      <c r="AP1658" s="157" t="str">
        <f t="shared" si="35"/>
        <v/>
      </c>
      <c r="AQ1658" s="157" t="str">
        <f t="shared" si="36"/>
        <v/>
      </c>
      <c r="AR1658" s="157" t="str">
        <f t="shared" si="37"/>
        <v/>
      </c>
      <c r="AS1658" s="157" t="str">
        <f t="shared" si="38"/>
        <v/>
      </c>
      <c r="AT1658" s="157" t="str">
        <f t="shared" si="39"/>
        <v/>
      </c>
      <c r="AU1658" s="157" t="str">
        <f t="shared" si="40"/>
        <v/>
      </c>
      <c r="AV1658" s="157" t="str">
        <f t="shared" si="41"/>
        <v/>
      </c>
      <c r="AW1658" s="157" t="str">
        <f t="shared" si="42"/>
        <v/>
      </c>
      <c r="AX1658" s="157" t="str">
        <f t="shared" si="43"/>
        <v/>
      </c>
      <c r="AY1658" s="157" t="str">
        <f t="shared" si="44"/>
        <v/>
      </c>
      <c r="AZ1658" s="157" t="str">
        <f t="shared" si="45"/>
        <v/>
      </c>
      <c r="BA1658" s="157" t="str">
        <f t="shared" si="46"/>
        <v/>
      </c>
      <c r="BB1658" s="160">
        <f t="shared" si="47"/>
        <v>215925</v>
      </c>
    </row>
    <row r="1659" spans="1:54" s="22" customFormat="1" hidden="1">
      <c r="A1659" s="61"/>
      <c r="C1659" s="158" t="s">
        <v>216</v>
      </c>
      <c r="D1659" s="157">
        <f t="shared" si="7"/>
        <v>112340</v>
      </c>
      <c r="E1659" s="157">
        <f t="shared" si="8"/>
        <v>337020</v>
      </c>
      <c r="F1659" s="157">
        <f t="shared" si="48"/>
        <v>36990</v>
      </c>
      <c r="G1659" s="157">
        <f t="shared" si="49"/>
        <v>330170</v>
      </c>
      <c r="H1659" s="157">
        <f t="shared" si="50"/>
        <v>127410</v>
      </c>
      <c r="I1659" s="157">
        <f t="shared" si="51"/>
        <v>518939.99999999994</v>
      </c>
      <c r="J1659" s="157">
        <f t="shared" si="52"/>
        <v>99325</v>
      </c>
      <c r="K1659" s="157" t="str">
        <f t="shared" si="53"/>
        <v/>
      </c>
      <c r="L1659" s="157">
        <f t="shared" si="54"/>
        <v>584027.52</v>
      </c>
      <c r="M1659" s="157" t="str">
        <f t="shared" si="55"/>
        <v/>
      </c>
      <c r="N1659" s="157" t="str">
        <f t="shared" si="56"/>
        <v/>
      </c>
      <c r="O1659" s="157" t="str">
        <f t="shared" si="57"/>
        <v/>
      </c>
      <c r="P1659" s="157" t="str">
        <f t="shared" si="9"/>
        <v/>
      </c>
      <c r="Q1659" s="157" t="str">
        <f t="shared" si="10"/>
        <v/>
      </c>
      <c r="R1659" s="157" t="str">
        <f t="shared" si="11"/>
        <v/>
      </c>
      <c r="S1659" s="157" t="str">
        <f t="shared" si="12"/>
        <v/>
      </c>
      <c r="T1659" s="157" t="str">
        <f t="shared" si="13"/>
        <v/>
      </c>
      <c r="U1659" s="157">
        <f t="shared" si="14"/>
        <v>22750</v>
      </c>
      <c r="V1659" s="157" t="str">
        <f t="shared" si="15"/>
        <v/>
      </c>
      <c r="W1659" s="157" t="str">
        <f t="shared" si="16"/>
        <v/>
      </c>
      <c r="X1659" s="157" t="str">
        <f t="shared" si="17"/>
        <v/>
      </c>
      <c r="Y1659" s="157" t="str">
        <f t="shared" si="18"/>
        <v/>
      </c>
      <c r="Z1659" s="157" t="str">
        <f t="shared" si="19"/>
        <v/>
      </c>
      <c r="AA1659" s="157" t="str">
        <f t="shared" si="20"/>
        <v/>
      </c>
      <c r="AB1659" s="157" t="str">
        <f t="shared" si="21"/>
        <v/>
      </c>
      <c r="AC1659" s="157" t="str">
        <f t="shared" si="22"/>
        <v/>
      </c>
      <c r="AD1659" s="157" t="str">
        <f t="shared" si="23"/>
        <v/>
      </c>
      <c r="AE1659" s="157" t="str">
        <f t="shared" si="24"/>
        <v/>
      </c>
      <c r="AF1659" s="157" t="str">
        <f t="shared" si="25"/>
        <v/>
      </c>
      <c r="AG1659" s="157" t="str">
        <f t="shared" si="26"/>
        <v/>
      </c>
      <c r="AH1659" s="157" t="str">
        <f t="shared" si="27"/>
        <v/>
      </c>
      <c r="AI1659" s="157" t="str">
        <f t="shared" si="28"/>
        <v/>
      </c>
      <c r="AJ1659" s="157" t="str">
        <f t="shared" si="29"/>
        <v/>
      </c>
      <c r="AK1659" s="157" t="str">
        <f t="shared" si="30"/>
        <v/>
      </c>
      <c r="AL1659" s="157" t="str">
        <f t="shared" si="31"/>
        <v/>
      </c>
      <c r="AM1659" s="157" t="str">
        <f t="shared" si="32"/>
        <v/>
      </c>
      <c r="AN1659" s="157" t="str">
        <f t="shared" si="33"/>
        <v/>
      </c>
      <c r="AO1659" s="157" t="str">
        <f t="shared" si="34"/>
        <v/>
      </c>
      <c r="AP1659" s="157" t="str">
        <f t="shared" si="35"/>
        <v/>
      </c>
      <c r="AQ1659" s="157" t="str">
        <f t="shared" si="36"/>
        <v/>
      </c>
      <c r="AR1659" s="157" t="str">
        <f t="shared" si="37"/>
        <v/>
      </c>
      <c r="AS1659" s="157" t="str">
        <f t="shared" si="38"/>
        <v/>
      </c>
      <c r="AT1659" s="157" t="str">
        <f t="shared" si="39"/>
        <v/>
      </c>
      <c r="AU1659" s="157" t="str">
        <f t="shared" si="40"/>
        <v/>
      </c>
      <c r="AV1659" s="157" t="str">
        <f t="shared" si="41"/>
        <v/>
      </c>
      <c r="AW1659" s="157" t="str">
        <f t="shared" si="42"/>
        <v/>
      </c>
      <c r="AX1659" s="157" t="str">
        <f t="shared" si="43"/>
        <v/>
      </c>
      <c r="AY1659" s="157" t="str">
        <f t="shared" si="44"/>
        <v/>
      </c>
      <c r="AZ1659" s="157" t="str">
        <f t="shared" si="45"/>
        <v/>
      </c>
      <c r="BA1659" s="157" t="str">
        <f t="shared" si="46"/>
        <v/>
      </c>
      <c r="BB1659" s="160">
        <f t="shared" si="47"/>
        <v>2168972.52</v>
      </c>
    </row>
    <row r="1660" spans="1:54" s="22" customFormat="1" hidden="1">
      <c r="A1660" s="61"/>
      <c r="C1660" s="157" t="s">
        <v>217</v>
      </c>
      <c r="D1660" s="157" t="str">
        <f t="shared" si="7"/>
        <v/>
      </c>
      <c r="E1660" s="157" t="str">
        <f t="shared" si="8"/>
        <v/>
      </c>
      <c r="F1660" s="157" t="str">
        <f t="shared" si="48"/>
        <v/>
      </c>
      <c r="G1660" s="157" t="str">
        <f t="shared" si="49"/>
        <v/>
      </c>
      <c r="H1660" s="157" t="str">
        <f t="shared" si="50"/>
        <v/>
      </c>
      <c r="I1660" s="157" t="str">
        <f t="shared" si="51"/>
        <v/>
      </c>
      <c r="J1660" s="157" t="str">
        <f t="shared" si="52"/>
        <v/>
      </c>
      <c r="K1660" s="157" t="str">
        <f t="shared" si="53"/>
        <v/>
      </c>
      <c r="L1660" s="157" t="str">
        <f t="shared" si="54"/>
        <v/>
      </c>
      <c r="M1660" s="157" t="str">
        <f t="shared" si="55"/>
        <v/>
      </c>
      <c r="N1660" s="157" t="str">
        <f t="shared" si="56"/>
        <v/>
      </c>
      <c r="O1660" s="157" t="str">
        <f t="shared" si="57"/>
        <v/>
      </c>
      <c r="P1660" s="157" t="str">
        <f t="shared" si="9"/>
        <v/>
      </c>
      <c r="Q1660" s="157" t="str">
        <f t="shared" si="10"/>
        <v/>
      </c>
      <c r="R1660" s="157" t="str">
        <f t="shared" si="11"/>
        <v/>
      </c>
      <c r="S1660" s="157" t="str">
        <f t="shared" si="12"/>
        <v/>
      </c>
      <c r="T1660" s="157" t="str">
        <f t="shared" si="13"/>
        <v/>
      </c>
      <c r="U1660" s="157" t="str">
        <f t="shared" si="14"/>
        <v/>
      </c>
      <c r="V1660" s="157" t="str">
        <f t="shared" si="15"/>
        <v/>
      </c>
      <c r="W1660" s="157" t="str">
        <f t="shared" si="16"/>
        <v/>
      </c>
      <c r="X1660" s="157" t="str">
        <f t="shared" si="17"/>
        <v/>
      </c>
      <c r="Y1660" s="157" t="str">
        <f t="shared" si="18"/>
        <v/>
      </c>
      <c r="Z1660" s="157" t="str">
        <f t="shared" si="19"/>
        <v/>
      </c>
      <c r="AA1660" s="157" t="str">
        <f t="shared" si="20"/>
        <v/>
      </c>
      <c r="AB1660" s="157" t="str">
        <f t="shared" si="21"/>
        <v/>
      </c>
      <c r="AC1660" s="157" t="str">
        <f t="shared" si="22"/>
        <v/>
      </c>
      <c r="AD1660" s="157" t="str">
        <f t="shared" si="23"/>
        <v/>
      </c>
      <c r="AE1660" s="157" t="str">
        <f t="shared" si="24"/>
        <v/>
      </c>
      <c r="AF1660" s="157" t="str">
        <f t="shared" si="25"/>
        <v/>
      </c>
      <c r="AG1660" s="157" t="str">
        <f t="shared" si="26"/>
        <v/>
      </c>
      <c r="AH1660" s="157" t="str">
        <f t="shared" si="27"/>
        <v/>
      </c>
      <c r="AI1660" s="157" t="str">
        <f t="shared" si="28"/>
        <v/>
      </c>
      <c r="AJ1660" s="157" t="str">
        <f t="shared" si="29"/>
        <v/>
      </c>
      <c r="AK1660" s="157" t="str">
        <f t="shared" si="30"/>
        <v/>
      </c>
      <c r="AL1660" s="157" t="str">
        <f t="shared" si="31"/>
        <v/>
      </c>
      <c r="AM1660" s="157" t="str">
        <f t="shared" si="32"/>
        <v/>
      </c>
      <c r="AN1660" s="157" t="str">
        <f t="shared" si="33"/>
        <v/>
      </c>
      <c r="AO1660" s="157" t="str">
        <f t="shared" si="34"/>
        <v/>
      </c>
      <c r="AP1660" s="157" t="str">
        <f t="shared" si="35"/>
        <v/>
      </c>
      <c r="AQ1660" s="157" t="str">
        <f t="shared" si="36"/>
        <v/>
      </c>
      <c r="AR1660" s="157" t="str">
        <f t="shared" si="37"/>
        <v/>
      </c>
      <c r="AS1660" s="157" t="str">
        <f t="shared" si="38"/>
        <v/>
      </c>
      <c r="AT1660" s="157" t="str">
        <f t="shared" si="39"/>
        <v/>
      </c>
      <c r="AU1660" s="157" t="str">
        <f t="shared" si="40"/>
        <v/>
      </c>
      <c r="AV1660" s="157" t="str">
        <f t="shared" si="41"/>
        <v/>
      </c>
      <c r="AW1660" s="157" t="str">
        <f t="shared" si="42"/>
        <v/>
      </c>
      <c r="AX1660" s="157" t="str">
        <f t="shared" si="43"/>
        <v/>
      </c>
      <c r="AY1660" s="157" t="str">
        <f t="shared" si="44"/>
        <v/>
      </c>
      <c r="AZ1660" s="157" t="str">
        <f t="shared" si="45"/>
        <v/>
      </c>
      <c r="BA1660" s="157" t="str">
        <f t="shared" si="46"/>
        <v/>
      </c>
      <c r="BB1660" s="160">
        <f t="shared" si="47"/>
        <v>0</v>
      </c>
    </row>
    <row r="1661" spans="1:54" s="22" customFormat="1" hidden="1">
      <c r="A1661" s="61"/>
      <c r="C1661" s="157" t="s">
        <v>218</v>
      </c>
      <c r="D1661" s="157" t="str">
        <f t="shared" si="7"/>
        <v/>
      </c>
      <c r="E1661" s="157" t="str">
        <f t="shared" si="8"/>
        <v/>
      </c>
      <c r="F1661" s="157" t="str">
        <f t="shared" si="48"/>
        <v/>
      </c>
      <c r="G1661" s="157" t="str">
        <f t="shared" si="49"/>
        <v/>
      </c>
      <c r="H1661" s="157" t="str">
        <f t="shared" si="50"/>
        <v/>
      </c>
      <c r="I1661" s="157" t="str">
        <f t="shared" si="51"/>
        <v/>
      </c>
      <c r="J1661" s="157" t="str">
        <f t="shared" si="52"/>
        <v/>
      </c>
      <c r="K1661" s="157" t="str">
        <f t="shared" si="53"/>
        <v/>
      </c>
      <c r="L1661" s="157" t="str">
        <f t="shared" si="54"/>
        <v/>
      </c>
      <c r="M1661" s="157" t="str">
        <f t="shared" si="55"/>
        <v/>
      </c>
      <c r="N1661" s="157" t="str">
        <f t="shared" si="56"/>
        <v/>
      </c>
      <c r="O1661" s="157" t="str">
        <f t="shared" si="57"/>
        <v/>
      </c>
      <c r="P1661" s="157" t="str">
        <f t="shared" si="9"/>
        <v/>
      </c>
      <c r="Q1661" s="157" t="str">
        <f t="shared" si="10"/>
        <v/>
      </c>
      <c r="R1661" s="157" t="str">
        <f t="shared" si="11"/>
        <v/>
      </c>
      <c r="S1661" s="157" t="str">
        <f t="shared" si="12"/>
        <v/>
      </c>
      <c r="T1661" s="157" t="str">
        <f t="shared" si="13"/>
        <v/>
      </c>
      <c r="U1661" s="157" t="str">
        <f t="shared" si="14"/>
        <v/>
      </c>
      <c r="V1661" s="157" t="str">
        <f t="shared" si="15"/>
        <v/>
      </c>
      <c r="W1661" s="157" t="str">
        <f t="shared" si="16"/>
        <v/>
      </c>
      <c r="X1661" s="157" t="str">
        <f t="shared" si="17"/>
        <v/>
      </c>
      <c r="Y1661" s="157" t="str">
        <f t="shared" si="18"/>
        <v/>
      </c>
      <c r="Z1661" s="157" t="str">
        <f t="shared" si="19"/>
        <v/>
      </c>
      <c r="AA1661" s="157" t="str">
        <f t="shared" si="20"/>
        <v/>
      </c>
      <c r="AB1661" s="157" t="str">
        <f t="shared" si="21"/>
        <v/>
      </c>
      <c r="AC1661" s="157" t="str">
        <f t="shared" si="22"/>
        <v/>
      </c>
      <c r="AD1661" s="157" t="str">
        <f t="shared" si="23"/>
        <v/>
      </c>
      <c r="AE1661" s="157" t="str">
        <f t="shared" si="24"/>
        <v/>
      </c>
      <c r="AF1661" s="157" t="str">
        <f t="shared" si="25"/>
        <v/>
      </c>
      <c r="AG1661" s="157" t="str">
        <f t="shared" si="26"/>
        <v/>
      </c>
      <c r="AH1661" s="157" t="str">
        <f t="shared" si="27"/>
        <v/>
      </c>
      <c r="AI1661" s="157" t="str">
        <f t="shared" si="28"/>
        <v/>
      </c>
      <c r="AJ1661" s="157" t="str">
        <f t="shared" si="29"/>
        <v/>
      </c>
      <c r="AK1661" s="157" t="str">
        <f t="shared" si="30"/>
        <v/>
      </c>
      <c r="AL1661" s="157" t="str">
        <f t="shared" si="31"/>
        <v/>
      </c>
      <c r="AM1661" s="157" t="str">
        <f t="shared" si="32"/>
        <v/>
      </c>
      <c r="AN1661" s="157" t="str">
        <f t="shared" si="33"/>
        <v/>
      </c>
      <c r="AO1661" s="157" t="str">
        <f t="shared" si="34"/>
        <v/>
      </c>
      <c r="AP1661" s="157" t="str">
        <f t="shared" si="35"/>
        <v/>
      </c>
      <c r="AQ1661" s="157" t="str">
        <f t="shared" si="36"/>
        <v/>
      </c>
      <c r="AR1661" s="157" t="str">
        <f t="shared" si="37"/>
        <v/>
      </c>
      <c r="AS1661" s="157" t="str">
        <f t="shared" si="38"/>
        <v/>
      </c>
      <c r="AT1661" s="157" t="str">
        <f t="shared" si="39"/>
        <v/>
      </c>
      <c r="AU1661" s="157" t="str">
        <f t="shared" si="40"/>
        <v/>
      </c>
      <c r="AV1661" s="157" t="str">
        <f t="shared" si="41"/>
        <v/>
      </c>
      <c r="AW1661" s="157" t="str">
        <f t="shared" si="42"/>
        <v/>
      </c>
      <c r="AX1661" s="157" t="str">
        <f t="shared" si="43"/>
        <v/>
      </c>
      <c r="AY1661" s="157" t="str">
        <f t="shared" si="44"/>
        <v/>
      </c>
      <c r="AZ1661" s="157" t="str">
        <f t="shared" si="45"/>
        <v/>
      </c>
      <c r="BA1661" s="157" t="str">
        <f t="shared" si="46"/>
        <v/>
      </c>
      <c r="BB1661" s="160">
        <f t="shared" si="47"/>
        <v>0</v>
      </c>
    </row>
    <row r="1662" spans="1:54" s="22" customFormat="1" hidden="1">
      <c r="A1662" s="61"/>
      <c r="C1662" s="157" t="s">
        <v>219</v>
      </c>
      <c r="D1662" s="157" t="str">
        <f t="shared" si="7"/>
        <v/>
      </c>
      <c r="E1662" s="157" t="str">
        <f t="shared" si="8"/>
        <v/>
      </c>
      <c r="F1662" s="157" t="str">
        <f t="shared" si="48"/>
        <v/>
      </c>
      <c r="G1662" s="157" t="str">
        <f t="shared" si="49"/>
        <v/>
      </c>
      <c r="H1662" s="157" t="str">
        <f t="shared" si="50"/>
        <v/>
      </c>
      <c r="I1662" s="157" t="str">
        <f t="shared" si="51"/>
        <v/>
      </c>
      <c r="J1662" s="157" t="str">
        <f t="shared" si="52"/>
        <v/>
      </c>
      <c r="K1662" s="157" t="str">
        <f t="shared" si="53"/>
        <v/>
      </c>
      <c r="L1662" s="157" t="str">
        <f t="shared" si="54"/>
        <v/>
      </c>
      <c r="M1662" s="157" t="str">
        <f t="shared" si="55"/>
        <v/>
      </c>
      <c r="N1662" s="157" t="str">
        <f t="shared" si="56"/>
        <v/>
      </c>
      <c r="O1662" s="157" t="str">
        <f t="shared" si="57"/>
        <v/>
      </c>
      <c r="P1662" s="157" t="str">
        <f t="shared" si="9"/>
        <v/>
      </c>
      <c r="Q1662" s="157" t="str">
        <f t="shared" si="10"/>
        <v/>
      </c>
      <c r="R1662" s="157" t="str">
        <f t="shared" si="11"/>
        <v/>
      </c>
      <c r="S1662" s="157" t="str">
        <f t="shared" si="12"/>
        <v/>
      </c>
      <c r="T1662" s="157" t="str">
        <f t="shared" si="13"/>
        <v/>
      </c>
      <c r="U1662" s="157" t="str">
        <f t="shared" si="14"/>
        <v/>
      </c>
      <c r="V1662" s="157" t="str">
        <f t="shared" si="15"/>
        <v/>
      </c>
      <c r="W1662" s="157" t="str">
        <f t="shared" si="16"/>
        <v/>
      </c>
      <c r="X1662" s="157" t="str">
        <f t="shared" si="17"/>
        <v/>
      </c>
      <c r="Y1662" s="157" t="str">
        <f t="shared" si="18"/>
        <v/>
      </c>
      <c r="Z1662" s="157" t="str">
        <f t="shared" si="19"/>
        <v/>
      </c>
      <c r="AA1662" s="157" t="str">
        <f t="shared" si="20"/>
        <v/>
      </c>
      <c r="AB1662" s="157" t="str">
        <f t="shared" si="21"/>
        <v/>
      </c>
      <c r="AC1662" s="157" t="str">
        <f t="shared" si="22"/>
        <v/>
      </c>
      <c r="AD1662" s="157" t="str">
        <f t="shared" si="23"/>
        <v/>
      </c>
      <c r="AE1662" s="157" t="str">
        <f t="shared" si="24"/>
        <v/>
      </c>
      <c r="AF1662" s="157" t="str">
        <f t="shared" si="25"/>
        <v/>
      </c>
      <c r="AG1662" s="157" t="str">
        <f t="shared" si="26"/>
        <v/>
      </c>
      <c r="AH1662" s="157" t="str">
        <f t="shared" si="27"/>
        <v/>
      </c>
      <c r="AI1662" s="157" t="str">
        <f t="shared" si="28"/>
        <v/>
      </c>
      <c r="AJ1662" s="157" t="str">
        <f t="shared" si="29"/>
        <v/>
      </c>
      <c r="AK1662" s="157" t="str">
        <f t="shared" si="30"/>
        <v/>
      </c>
      <c r="AL1662" s="157" t="str">
        <f t="shared" si="31"/>
        <v/>
      </c>
      <c r="AM1662" s="157" t="str">
        <f t="shared" si="32"/>
        <v/>
      </c>
      <c r="AN1662" s="157" t="str">
        <f t="shared" si="33"/>
        <v/>
      </c>
      <c r="AO1662" s="157" t="str">
        <f t="shared" si="34"/>
        <v/>
      </c>
      <c r="AP1662" s="157" t="str">
        <f t="shared" si="35"/>
        <v/>
      </c>
      <c r="AQ1662" s="157" t="str">
        <f t="shared" si="36"/>
        <v/>
      </c>
      <c r="AR1662" s="157" t="str">
        <f t="shared" si="37"/>
        <v/>
      </c>
      <c r="AS1662" s="157" t="str">
        <f t="shared" si="38"/>
        <v/>
      </c>
      <c r="AT1662" s="157" t="str">
        <f t="shared" si="39"/>
        <v/>
      </c>
      <c r="AU1662" s="157" t="str">
        <f t="shared" si="40"/>
        <v/>
      </c>
      <c r="AV1662" s="157" t="str">
        <f t="shared" si="41"/>
        <v/>
      </c>
      <c r="AW1662" s="157" t="str">
        <f t="shared" si="42"/>
        <v/>
      </c>
      <c r="AX1662" s="157" t="str">
        <f t="shared" si="43"/>
        <v/>
      </c>
      <c r="AY1662" s="157" t="str">
        <f t="shared" si="44"/>
        <v/>
      </c>
      <c r="AZ1662" s="157" t="str">
        <f t="shared" si="45"/>
        <v/>
      </c>
      <c r="BA1662" s="157" t="str">
        <f t="shared" si="46"/>
        <v/>
      </c>
      <c r="BB1662" s="160">
        <f t="shared" si="47"/>
        <v>0</v>
      </c>
    </row>
    <row r="1663" spans="1:54" s="22" customFormat="1" hidden="1">
      <c r="A1663" s="61"/>
      <c r="C1663" s="157" t="s">
        <v>220</v>
      </c>
      <c r="D1663" s="157" t="str">
        <f t="shared" si="7"/>
        <v/>
      </c>
      <c r="E1663" s="157" t="str">
        <f t="shared" si="8"/>
        <v/>
      </c>
      <c r="F1663" s="157" t="str">
        <f t="shared" si="48"/>
        <v/>
      </c>
      <c r="G1663" s="157" t="str">
        <f t="shared" si="49"/>
        <v/>
      </c>
      <c r="H1663" s="157" t="str">
        <f t="shared" si="50"/>
        <v/>
      </c>
      <c r="I1663" s="157" t="str">
        <f t="shared" si="51"/>
        <v/>
      </c>
      <c r="J1663" s="157" t="str">
        <f t="shared" si="52"/>
        <v/>
      </c>
      <c r="K1663" s="157" t="str">
        <f t="shared" si="53"/>
        <v/>
      </c>
      <c r="L1663" s="157" t="str">
        <f t="shared" si="54"/>
        <v/>
      </c>
      <c r="M1663" s="157" t="str">
        <f t="shared" si="55"/>
        <v/>
      </c>
      <c r="N1663" s="157" t="str">
        <f t="shared" si="56"/>
        <v/>
      </c>
      <c r="O1663" s="157" t="str">
        <f t="shared" si="57"/>
        <v/>
      </c>
      <c r="P1663" s="157" t="str">
        <f t="shared" si="9"/>
        <v/>
      </c>
      <c r="Q1663" s="157" t="str">
        <f t="shared" si="10"/>
        <v/>
      </c>
      <c r="R1663" s="157" t="str">
        <f t="shared" si="11"/>
        <v/>
      </c>
      <c r="S1663" s="157" t="str">
        <f t="shared" si="12"/>
        <v/>
      </c>
      <c r="T1663" s="157" t="str">
        <f t="shared" si="13"/>
        <v/>
      </c>
      <c r="U1663" s="157" t="str">
        <f t="shared" si="14"/>
        <v/>
      </c>
      <c r="V1663" s="157" t="str">
        <f t="shared" si="15"/>
        <v/>
      </c>
      <c r="W1663" s="157" t="str">
        <f t="shared" si="16"/>
        <v/>
      </c>
      <c r="X1663" s="157" t="str">
        <f t="shared" si="17"/>
        <v/>
      </c>
      <c r="Y1663" s="157" t="str">
        <f t="shared" si="18"/>
        <v/>
      </c>
      <c r="Z1663" s="157" t="str">
        <f t="shared" si="19"/>
        <v/>
      </c>
      <c r="AA1663" s="157" t="str">
        <f t="shared" si="20"/>
        <v/>
      </c>
      <c r="AB1663" s="157" t="str">
        <f t="shared" si="21"/>
        <v/>
      </c>
      <c r="AC1663" s="157" t="str">
        <f t="shared" si="22"/>
        <v/>
      </c>
      <c r="AD1663" s="157" t="str">
        <f t="shared" si="23"/>
        <v/>
      </c>
      <c r="AE1663" s="157" t="str">
        <f t="shared" si="24"/>
        <v/>
      </c>
      <c r="AF1663" s="157" t="str">
        <f t="shared" si="25"/>
        <v/>
      </c>
      <c r="AG1663" s="157" t="str">
        <f t="shared" si="26"/>
        <v/>
      </c>
      <c r="AH1663" s="157" t="str">
        <f t="shared" si="27"/>
        <v/>
      </c>
      <c r="AI1663" s="157" t="str">
        <f t="shared" si="28"/>
        <v/>
      </c>
      <c r="AJ1663" s="157" t="str">
        <f t="shared" si="29"/>
        <v/>
      </c>
      <c r="AK1663" s="157" t="str">
        <f t="shared" si="30"/>
        <v/>
      </c>
      <c r="AL1663" s="157" t="str">
        <f t="shared" si="31"/>
        <v/>
      </c>
      <c r="AM1663" s="157" t="str">
        <f t="shared" si="32"/>
        <v/>
      </c>
      <c r="AN1663" s="157" t="str">
        <f t="shared" si="33"/>
        <v/>
      </c>
      <c r="AO1663" s="157" t="str">
        <f t="shared" si="34"/>
        <v/>
      </c>
      <c r="AP1663" s="157" t="str">
        <f t="shared" si="35"/>
        <v/>
      </c>
      <c r="AQ1663" s="157" t="str">
        <f t="shared" si="36"/>
        <v/>
      </c>
      <c r="AR1663" s="157" t="str">
        <f t="shared" si="37"/>
        <v/>
      </c>
      <c r="AS1663" s="157" t="str">
        <f t="shared" si="38"/>
        <v/>
      </c>
      <c r="AT1663" s="157" t="str">
        <f t="shared" si="39"/>
        <v/>
      </c>
      <c r="AU1663" s="157" t="str">
        <f t="shared" si="40"/>
        <v/>
      </c>
      <c r="AV1663" s="157" t="str">
        <f t="shared" si="41"/>
        <v/>
      </c>
      <c r="AW1663" s="157" t="str">
        <f t="shared" si="42"/>
        <v/>
      </c>
      <c r="AX1663" s="157" t="str">
        <f t="shared" si="43"/>
        <v/>
      </c>
      <c r="AY1663" s="157" t="str">
        <f t="shared" si="44"/>
        <v/>
      </c>
      <c r="AZ1663" s="157" t="str">
        <f t="shared" si="45"/>
        <v/>
      </c>
      <c r="BA1663" s="157" t="str">
        <f t="shared" si="46"/>
        <v/>
      </c>
      <c r="BB1663" s="160">
        <f t="shared" si="47"/>
        <v>0</v>
      </c>
    </row>
    <row r="1664" spans="1:54" s="22" customFormat="1" hidden="1">
      <c r="A1664" s="61"/>
      <c r="C1664" s="157" t="s">
        <v>221</v>
      </c>
      <c r="D1664" s="157" t="str">
        <f t="shared" si="7"/>
        <v/>
      </c>
      <c r="E1664" s="157" t="str">
        <f t="shared" si="8"/>
        <v/>
      </c>
      <c r="F1664" s="157" t="str">
        <f t="shared" si="48"/>
        <v/>
      </c>
      <c r="G1664" s="157" t="str">
        <f t="shared" si="49"/>
        <v/>
      </c>
      <c r="H1664" s="157" t="str">
        <f t="shared" si="50"/>
        <v/>
      </c>
      <c r="I1664" s="157" t="str">
        <f t="shared" si="51"/>
        <v/>
      </c>
      <c r="J1664" s="157" t="str">
        <f t="shared" si="52"/>
        <v/>
      </c>
      <c r="K1664" s="157" t="str">
        <f t="shared" si="53"/>
        <v/>
      </c>
      <c r="L1664" s="157" t="str">
        <f t="shared" si="54"/>
        <v/>
      </c>
      <c r="M1664" s="157" t="str">
        <f t="shared" si="55"/>
        <v/>
      </c>
      <c r="N1664" s="157" t="str">
        <f t="shared" si="56"/>
        <v/>
      </c>
      <c r="O1664" s="157" t="str">
        <f t="shared" si="57"/>
        <v/>
      </c>
      <c r="P1664" s="157" t="str">
        <f t="shared" si="9"/>
        <v/>
      </c>
      <c r="Q1664" s="157" t="str">
        <f t="shared" si="10"/>
        <v/>
      </c>
      <c r="R1664" s="157" t="str">
        <f t="shared" si="11"/>
        <v/>
      </c>
      <c r="S1664" s="157" t="str">
        <f t="shared" si="12"/>
        <v/>
      </c>
      <c r="T1664" s="157" t="str">
        <f t="shared" si="13"/>
        <v/>
      </c>
      <c r="U1664" s="157" t="str">
        <f t="shared" si="14"/>
        <v/>
      </c>
      <c r="V1664" s="157" t="str">
        <f t="shared" si="15"/>
        <v/>
      </c>
      <c r="W1664" s="157" t="str">
        <f t="shared" si="16"/>
        <v/>
      </c>
      <c r="X1664" s="157" t="str">
        <f t="shared" si="17"/>
        <v/>
      </c>
      <c r="Y1664" s="157" t="str">
        <f t="shared" si="18"/>
        <v/>
      </c>
      <c r="Z1664" s="157" t="str">
        <f t="shared" si="19"/>
        <v/>
      </c>
      <c r="AA1664" s="157" t="str">
        <f t="shared" si="20"/>
        <v/>
      </c>
      <c r="AB1664" s="157" t="str">
        <f t="shared" si="21"/>
        <v/>
      </c>
      <c r="AC1664" s="157" t="str">
        <f t="shared" si="22"/>
        <v/>
      </c>
      <c r="AD1664" s="157" t="str">
        <f t="shared" si="23"/>
        <v/>
      </c>
      <c r="AE1664" s="157" t="str">
        <f t="shared" si="24"/>
        <v/>
      </c>
      <c r="AF1664" s="157" t="str">
        <f t="shared" si="25"/>
        <v/>
      </c>
      <c r="AG1664" s="157" t="str">
        <f t="shared" si="26"/>
        <v/>
      </c>
      <c r="AH1664" s="157" t="str">
        <f t="shared" si="27"/>
        <v/>
      </c>
      <c r="AI1664" s="157" t="str">
        <f t="shared" si="28"/>
        <v/>
      </c>
      <c r="AJ1664" s="157" t="str">
        <f t="shared" si="29"/>
        <v/>
      </c>
      <c r="AK1664" s="157" t="str">
        <f t="shared" si="30"/>
        <v/>
      </c>
      <c r="AL1664" s="157" t="str">
        <f t="shared" si="31"/>
        <v/>
      </c>
      <c r="AM1664" s="157" t="str">
        <f t="shared" si="32"/>
        <v/>
      </c>
      <c r="AN1664" s="157" t="str">
        <f t="shared" si="33"/>
        <v/>
      </c>
      <c r="AO1664" s="157" t="str">
        <f t="shared" si="34"/>
        <v/>
      </c>
      <c r="AP1664" s="157" t="str">
        <f t="shared" si="35"/>
        <v/>
      </c>
      <c r="AQ1664" s="157" t="str">
        <f t="shared" si="36"/>
        <v/>
      </c>
      <c r="AR1664" s="157" t="str">
        <f t="shared" si="37"/>
        <v/>
      </c>
      <c r="AS1664" s="157" t="str">
        <f t="shared" si="38"/>
        <v/>
      </c>
      <c r="AT1664" s="157" t="str">
        <f t="shared" si="39"/>
        <v/>
      </c>
      <c r="AU1664" s="157" t="str">
        <f t="shared" si="40"/>
        <v/>
      </c>
      <c r="AV1664" s="157" t="str">
        <f t="shared" si="41"/>
        <v/>
      </c>
      <c r="AW1664" s="157" t="str">
        <f t="shared" si="42"/>
        <v/>
      </c>
      <c r="AX1664" s="157" t="str">
        <f t="shared" si="43"/>
        <v/>
      </c>
      <c r="AY1664" s="157" t="str">
        <f t="shared" si="44"/>
        <v/>
      </c>
      <c r="AZ1664" s="157" t="str">
        <f t="shared" si="45"/>
        <v/>
      </c>
      <c r="BA1664" s="157" t="str">
        <f t="shared" si="46"/>
        <v/>
      </c>
      <c r="BB1664" s="160">
        <f t="shared" si="47"/>
        <v>0</v>
      </c>
    </row>
    <row r="1665" spans="1:54" s="22" customFormat="1" hidden="1">
      <c r="A1665" s="61"/>
      <c r="C1665" s="158" t="s">
        <v>222</v>
      </c>
      <c r="D1665" s="157" t="str">
        <f t="shared" si="7"/>
        <v/>
      </c>
      <c r="E1665" s="157" t="str">
        <f t="shared" si="8"/>
        <v/>
      </c>
      <c r="F1665" s="157" t="str">
        <f t="shared" si="48"/>
        <v/>
      </c>
      <c r="G1665" s="157" t="str">
        <f t="shared" si="49"/>
        <v/>
      </c>
      <c r="H1665" s="157" t="str">
        <f t="shared" si="50"/>
        <v/>
      </c>
      <c r="I1665" s="157" t="str">
        <f t="shared" si="51"/>
        <v/>
      </c>
      <c r="J1665" s="157" t="str">
        <f t="shared" si="52"/>
        <v/>
      </c>
      <c r="K1665" s="157" t="str">
        <f t="shared" si="53"/>
        <v/>
      </c>
      <c r="L1665" s="157" t="str">
        <f t="shared" si="54"/>
        <v/>
      </c>
      <c r="M1665" s="157" t="str">
        <f t="shared" si="55"/>
        <v/>
      </c>
      <c r="N1665" s="157" t="str">
        <f t="shared" si="56"/>
        <v/>
      </c>
      <c r="O1665" s="157" t="str">
        <f t="shared" si="57"/>
        <v/>
      </c>
      <c r="P1665" s="157" t="str">
        <f t="shared" si="9"/>
        <v/>
      </c>
      <c r="Q1665" s="157" t="str">
        <f t="shared" si="10"/>
        <v/>
      </c>
      <c r="R1665" s="157" t="str">
        <f t="shared" si="11"/>
        <v/>
      </c>
      <c r="S1665" s="157" t="str">
        <f t="shared" si="12"/>
        <v/>
      </c>
      <c r="T1665" s="157" t="str">
        <f t="shared" si="13"/>
        <v/>
      </c>
      <c r="U1665" s="157" t="str">
        <f t="shared" si="14"/>
        <v/>
      </c>
      <c r="V1665" s="157" t="str">
        <f t="shared" si="15"/>
        <v/>
      </c>
      <c r="W1665" s="157" t="str">
        <f t="shared" si="16"/>
        <v/>
      </c>
      <c r="X1665" s="157" t="str">
        <f t="shared" si="17"/>
        <v/>
      </c>
      <c r="Y1665" s="157" t="str">
        <f t="shared" si="18"/>
        <v/>
      </c>
      <c r="Z1665" s="157" t="str">
        <f t="shared" si="19"/>
        <v/>
      </c>
      <c r="AA1665" s="157" t="str">
        <f t="shared" si="20"/>
        <v/>
      </c>
      <c r="AB1665" s="157" t="str">
        <f t="shared" si="21"/>
        <v/>
      </c>
      <c r="AC1665" s="157" t="str">
        <f t="shared" si="22"/>
        <v/>
      </c>
      <c r="AD1665" s="157" t="str">
        <f t="shared" si="23"/>
        <v/>
      </c>
      <c r="AE1665" s="157" t="str">
        <f t="shared" si="24"/>
        <v/>
      </c>
      <c r="AF1665" s="157" t="str">
        <f t="shared" si="25"/>
        <v/>
      </c>
      <c r="AG1665" s="157" t="str">
        <f t="shared" si="26"/>
        <v/>
      </c>
      <c r="AH1665" s="157" t="str">
        <f t="shared" si="27"/>
        <v/>
      </c>
      <c r="AI1665" s="157" t="str">
        <f t="shared" si="28"/>
        <v/>
      </c>
      <c r="AJ1665" s="157" t="str">
        <f t="shared" si="29"/>
        <v/>
      </c>
      <c r="AK1665" s="157" t="str">
        <f t="shared" si="30"/>
        <v/>
      </c>
      <c r="AL1665" s="157" t="str">
        <f t="shared" si="31"/>
        <v/>
      </c>
      <c r="AM1665" s="157" t="str">
        <f t="shared" si="32"/>
        <v/>
      </c>
      <c r="AN1665" s="157" t="str">
        <f t="shared" si="33"/>
        <v/>
      </c>
      <c r="AO1665" s="157" t="str">
        <f t="shared" si="34"/>
        <v/>
      </c>
      <c r="AP1665" s="157" t="str">
        <f t="shared" si="35"/>
        <v/>
      </c>
      <c r="AQ1665" s="157" t="str">
        <f t="shared" si="36"/>
        <v/>
      </c>
      <c r="AR1665" s="157" t="str">
        <f t="shared" si="37"/>
        <v/>
      </c>
      <c r="AS1665" s="157" t="str">
        <f t="shared" si="38"/>
        <v/>
      </c>
      <c r="AT1665" s="157" t="str">
        <f t="shared" si="39"/>
        <v/>
      </c>
      <c r="AU1665" s="157" t="str">
        <f t="shared" si="40"/>
        <v/>
      </c>
      <c r="AV1665" s="157" t="str">
        <f t="shared" si="41"/>
        <v/>
      </c>
      <c r="AW1665" s="157" t="str">
        <f t="shared" si="42"/>
        <v/>
      </c>
      <c r="AX1665" s="157" t="str">
        <f t="shared" si="43"/>
        <v/>
      </c>
      <c r="AY1665" s="157" t="str">
        <f t="shared" si="44"/>
        <v/>
      </c>
      <c r="AZ1665" s="157" t="str">
        <f t="shared" si="45"/>
        <v/>
      </c>
      <c r="BA1665" s="157" t="str">
        <f t="shared" si="46"/>
        <v/>
      </c>
      <c r="BB1665" s="160">
        <f t="shared" si="47"/>
        <v>0</v>
      </c>
    </row>
    <row r="1666" spans="1:54" s="22" customFormat="1" hidden="1">
      <c r="A1666" s="61"/>
      <c r="C1666" s="157" t="s">
        <v>223</v>
      </c>
      <c r="D1666" s="157" t="str">
        <f t="shared" si="7"/>
        <v/>
      </c>
      <c r="E1666" s="157" t="str">
        <f t="shared" si="8"/>
        <v/>
      </c>
      <c r="F1666" s="157" t="str">
        <f t="shared" si="48"/>
        <v/>
      </c>
      <c r="G1666" s="157" t="str">
        <f t="shared" si="49"/>
        <v/>
      </c>
      <c r="H1666" s="157" t="str">
        <f t="shared" si="50"/>
        <v/>
      </c>
      <c r="I1666" s="157" t="str">
        <f t="shared" si="51"/>
        <v/>
      </c>
      <c r="J1666" s="157" t="str">
        <f t="shared" si="52"/>
        <v/>
      </c>
      <c r="K1666" s="157" t="str">
        <f t="shared" si="53"/>
        <v/>
      </c>
      <c r="L1666" s="157" t="str">
        <f t="shared" si="54"/>
        <v/>
      </c>
      <c r="M1666" s="157" t="str">
        <f t="shared" si="55"/>
        <v/>
      </c>
      <c r="N1666" s="157" t="str">
        <f t="shared" si="56"/>
        <v/>
      </c>
      <c r="O1666" s="157" t="str">
        <f t="shared" si="57"/>
        <v/>
      </c>
      <c r="P1666" s="157" t="str">
        <f t="shared" si="9"/>
        <v/>
      </c>
      <c r="Q1666" s="157" t="str">
        <f t="shared" si="10"/>
        <v/>
      </c>
      <c r="R1666" s="157" t="str">
        <f t="shared" si="11"/>
        <v/>
      </c>
      <c r="S1666" s="157" t="str">
        <f t="shared" si="12"/>
        <v/>
      </c>
      <c r="T1666" s="157" t="str">
        <f t="shared" si="13"/>
        <v/>
      </c>
      <c r="U1666" s="157" t="str">
        <f t="shared" si="14"/>
        <v/>
      </c>
      <c r="V1666" s="157" t="str">
        <f t="shared" si="15"/>
        <v/>
      </c>
      <c r="W1666" s="157" t="str">
        <f t="shared" si="16"/>
        <v/>
      </c>
      <c r="X1666" s="157" t="str">
        <f t="shared" si="17"/>
        <v/>
      </c>
      <c r="Y1666" s="157" t="str">
        <f t="shared" si="18"/>
        <v/>
      </c>
      <c r="Z1666" s="157" t="str">
        <f t="shared" si="19"/>
        <v/>
      </c>
      <c r="AA1666" s="157" t="str">
        <f t="shared" si="20"/>
        <v/>
      </c>
      <c r="AB1666" s="157" t="str">
        <f t="shared" si="21"/>
        <v/>
      </c>
      <c r="AC1666" s="157" t="str">
        <f t="shared" si="22"/>
        <v/>
      </c>
      <c r="AD1666" s="157" t="str">
        <f t="shared" si="23"/>
        <v/>
      </c>
      <c r="AE1666" s="157" t="str">
        <f t="shared" si="24"/>
        <v/>
      </c>
      <c r="AF1666" s="157" t="str">
        <f t="shared" si="25"/>
        <v/>
      </c>
      <c r="AG1666" s="157" t="str">
        <f t="shared" si="26"/>
        <v/>
      </c>
      <c r="AH1666" s="157" t="str">
        <f t="shared" si="27"/>
        <v/>
      </c>
      <c r="AI1666" s="157" t="str">
        <f t="shared" si="28"/>
        <v/>
      </c>
      <c r="AJ1666" s="157" t="str">
        <f t="shared" si="29"/>
        <v/>
      </c>
      <c r="AK1666" s="157" t="str">
        <f t="shared" si="30"/>
        <v/>
      </c>
      <c r="AL1666" s="157" t="str">
        <f t="shared" si="31"/>
        <v/>
      </c>
      <c r="AM1666" s="157" t="str">
        <f t="shared" si="32"/>
        <v/>
      </c>
      <c r="AN1666" s="157" t="str">
        <f t="shared" si="33"/>
        <v/>
      </c>
      <c r="AO1666" s="157" t="str">
        <f t="shared" si="34"/>
        <v/>
      </c>
      <c r="AP1666" s="157" t="str">
        <f t="shared" si="35"/>
        <v/>
      </c>
      <c r="AQ1666" s="157" t="str">
        <f t="shared" si="36"/>
        <v/>
      </c>
      <c r="AR1666" s="157" t="str">
        <f t="shared" si="37"/>
        <v/>
      </c>
      <c r="AS1666" s="157" t="str">
        <f t="shared" si="38"/>
        <v/>
      </c>
      <c r="AT1666" s="157" t="str">
        <f t="shared" si="39"/>
        <v/>
      </c>
      <c r="AU1666" s="157" t="str">
        <f t="shared" si="40"/>
        <v/>
      </c>
      <c r="AV1666" s="157" t="str">
        <f t="shared" si="41"/>
        <v/>
      </c>
      <c r="AW1666" s="157" t="str">
        <f t="shared" si="42"/>
        <v/>
      </c>
      <c r="AX1666" s="157" t="str">
        <f t="shared" si="43"/>
        <v/>
      </c>
      <c r="AY1666" s="157" t="str">
        <f t="shared" si="44"/>
        <v/>
      </c>
      <c r="AZ1666" s="157" t="str">
        <f t="shared" si="45"/>
        <v/>
      </c>
      <c r="BA1666" s="157" t="str">
        <f t="shared" si="46"/>
        <v/>
      </c>
      <c r="BB1666" s="160">
        <f t="shared" si="47"/>
        <v>0</v>
      </c>
    </row>
    <row r="1667" spans="1:54" s="22" customFormat="1" hidden="1">
      <c r="A1667" s="61"/>
      <c r="C1667" s="157" t="s">
        <v>224</v>
      </c>
      <c r="D1667" s="157" t="str">
        <f t="shared" si="7"/>
        <v/>
      </c>
      <c r="E1667" s="157" t="str">
        <f t="shared" si="8"/>
        <v/>
      </c>
      <c r="F1667" s="157" t="str">
        <f t="shared" si="48"/>
        <v/>
      </c>
      <c r="G1667" s="157" t="str">
        <f t="shared" si="49"/>
        <v/>
      </c>
      <c r="H1667" s="157" t="str">
        <f t="shared" si="50"/>
        <v/>
      </c>
      <c r="I1667" s="157" t="str">
        <f t="shared" si="51"/>
        <v/>
      </c>
      <c r="J1667" s="157" t="str">
        <f t="shared" si="52"/>
        <v/>
      </c>
      <c r="K1667" s="157" t="str">
        <f t="shared" si="53"/>
        <v/>
      </c>
      <c r="L1667" s="157" t="str">
        <f t="shared" si="54"/>
        <v/>
      </c>
      <c r="M1667" s="157" t="str">
        <f t="shared" si="55"/>
        <v/>
      </c>
      <c r="N1667" s="157" t="str">
        <f t="shared" si="56"/>
        <v/>
      </c>
      <c r="O1667" s="157" t="str">
        <f t="shared" si="57"/>
        <v/>
      </c>
      <c r="P1667" s="157" t="str">
        <f t="shared" si="9"/>
        <v/>
      </c>
      <c r="Q1667" s="157" t="str">
        <f t="shared" si="10"/>
        <v/>
      </c>
      <c r="R1667" s="157" t="str">
        <f t="shared" si="11"/>
        <v/>
      </c>
      <c r="S1667" s="157" t="str">
        <f t="shared" si="12"/>
        <v/>
      </c>
      <c r="T1667" s="157" t="str">
        <f t="shared" si="13"/>
        <v/>
      </c>
      <c r="U1667" s="157" t="str">
        <f t="shared" si="14"/>
        <v/>
      </c>
      <c r="V1667" s="157" t="str">
        <f t="shared" si="15"/>
        <v/>
      </c>
      <c r="W1667" s="157" t="str">
        <f t="shared" si="16"/>
        <v/>
      </c>
      <c r="X1667" s="157" t="str">
        <f t="shared" si="17"/>
        <v/>
      </c>
      <c r="Y1667" s="157" t="str">
        <f t="shared" si="18"/>
        <v/>
      </c>
      <c r="Z1667" s="157" t="str">
        <f t="shared" si="19"/>
        <v/>
      </c>
      <c r="AA1667" s="157" t="str">
        <f t="shared" si="20"/>
        <v/>
      </c>
      <c r="AB1667" s="157" t="str">
        <f t="shared" si="21"/>
        <v/>
      </c>
      <c r="AC1667" s="157" t="str">
        <f t="shared" si="22"/>
        <v/>
      </c>
      <c r="AD1667" s="157" t="str">
        <f t="shared" si="23"/>
        <v/>
      </c>
      <c r="AE1667" s="157" t="str">
        <f t="shared" si="24"/>
        <v/>
      </c>
      <c r="AF1667" s="157" t="str">
        <f t="shared" si="25"/>
        <v/>
      </c>
      <c r="AG1667" s="157" t="str">
        <f t="shared" si="26"/>
        <v/>
      </c>
      <c r="AH1667" s="157" t="str">
        <f t="shared" si="27"/>
        <v/>
      </c>
      <c r="AI1667" s="157" t="str">
        <f t="shared" si="28"/>
        <v/>
      </c>
      <c r="AJ1667" s="157" t="str">
        <f t="shared" si="29"/>
        <v/>
      </c>
      <c r="AK1667" s="157" t="str">
        <f t="shared" si="30"/>
        <v/>
      </c>
      <c r="AL1667" s="157" t="str">
        <f t="shared" si="31"/>
        <v/>
      </c>
      <c r="AM1667" s="157" t="str">
        <f t="shared" si="32"/>
        <v/>
      </c>
      <c r="AN1667" s="157" t="str">
        <f t="shared" si="33"/>
        <v/>
      </c>
      <c r="AO1667" s="157" t="str">
        <f t="shared" si="34"/>
        <v/>
      </c>
      <c r="AP1667" s="157" t="str">
        <f t="shared" si="35"/>
        <v/>
      </c>
      <c r="AQ1667" s="157" t="str">
        <f t="shared" si="36"/>
        <v/>
      </c>
      <c r="AR1667" s="157" t="str">
        <f t="shared" si="37"/>
        <v/>
      </c>
      <c r="AS1667" s="157" t="str">
        <f t="shared" si="38"/>
        <v/>
      </c>
      <c r="AT1667" s="157" t="str">
        <f t="shared" si="39"/>
        <v/>
      </c>
      <c r="AU1667" s="157" t="str">
        <f t="shared" si="40"/>
        <v/>
      </c>
      <c r="AV1667" s="157" t="str">
        <f t="shared" si="41"/>
        <v/>
      </c>
      <c r="AW1667" s="157" t="str">
        <f t="shared" si="42"/>
        <v/>
      </c>
      <c r="AX1667" s="157" t="str">
        <f t="shared" si="43"/>
        <v/>
      </c>
      <c r="AY1667" s="157" t="str">
        <f t="shared" si="44"/>
        <v/>
      </c>
      <c r="AZ1667" s="157" t="str">
        <f t="shared" si="45"/>
        <v/>
      </c>
      <c r="BA1667" s="157" t="str">
        <f t="shared" si="46"/>
        <v/>
      </c>
      <c r="BB1667" s="160">
        <f t="shared" si="47"/>
        <v>0</v>
      </c>
    </row>
    <row r="1668" spans="1:54" s="22" customFormat="1" hidden="1">
      <c r="A1668" s="61"/>
      <c r="C1668" s="158" t="s">
        <v>225</v>
      </c>
      <c r="D1668" s="157" t="str">
        <f t="shared" si="7"/>
        <v/>
      </c>
      <c r="E1668" s="157" t="str">
        <f t="shared" si="8"/>
        <v/>
      </c>
      <c r="F1668" s="157" t="str">
        <f t="shared" si="48"/>
        <v/>
      </c>
      <c r="G1668" s="157" t="str">
        <f t="shared" si="49"/>
        <v/>
      </c>
      <c r="H1668" s="157" t="str">
        <f t="shared" si="50"/>
        <v/>
      </c>
      <c r="I1668" s="157" t="str">
        <f t="shared" si="51"/>
        <v/>
      </c>
      <c r="J1668" s="157" t="str">
        <f t="shared" si="52"/>
        <v/>
      </c>
      <c r="K1668" s="157" t="str">
        <f t="shared" si="53"/>
        <v/>
      </c>
      <c r="L1668" s="157" t="str">
        <f t="shared" si="54"/>
        <v/>
      </c>
      <c r="M1668" s="157" t="str">
        <f t="shared" si="55"/>
        <v/>
      </c>
      <c r="N1668" s="157" t="str">
        <f t="shared" si="56"/>
        <v/>
      </c>
      <c r="O1668" s="157" t="str">
        <f t="shared" si="57"/>
        <v/>
      </c>
      <c r="P1668" s="157" t="str">
        <f t="shared" si="9"/>
        <v/>
      </c>
      <c r="Q1668" s="157" t="str">
        <f t="shared" si="10"/>
        <v/>
      </c>
      <c r="R1668" s="157" t="str">
        <f t="shared" si="11"/>
        <v/>
      </c>
      <c r="S1668" s="157" t="str">
        <f t="shared" si="12"/>
        <v/>
      </c>
      <c r="T1668" s="157" t="str">
        <f t="shared" si="13"/>
        <v/>
      </c>
      <c r="U1668" s="157" t="str">
        <f t="shared" si="14"/>
        <v/>
      </c>
      <c r="V1668" s="157" t="str">
        <f t="shared" si="15"/>
        <v/>
      </c>
      <c r="W1668" s="157" t="str">
        <f t="shared" si="16"/>
        <v/>
      </c>
      <c r="X1668" s="157" t="str">
        <f t="shared" si="17"/>
        <v/>
      </c>
      <c r="Y1668" s="157" t="str">
        <f t="shared" si="18"/>
        <v/>
      </c>
      <c r="Z1668" s="157" t="str">
        <f t="shared" si="19"/>
        <v/>
      </c>
      <c r="AA1668" s="157" t="str">
        <f t="shared" si="20"/>
        <v/>
      </c>
      <c r="AB1668" s="157" t="str">
        <f t="shared" si="21"/>
        <v/>
      </c>
      <c r="AC1668" s="157" t="str">
        <f t="shared" si="22"/>
        <v/>
      </c>
      <c r="AD1668" s="157" t="str">
        <f t="shared" si="23"/>
        <v/>
      </c>
      <c r="AE1668" s="157" t="str">
        <f t="shared" si="24"/>
        <v/>
      </c>
      <c r="AF1668" s="157" t="str">
        <f t="shared" si="25"/>
        <v/>
      </c>
      <c r="AG1668" s="157" t="str">
        <f t="shared" si="26"/>
        <v/>
      </c>
      <c r="AH1668" s="157" t="str">
        <f t="shared" si="27"/>
        <v/>
      </c>
      <c r="AI1668" s="157" t="str">
        <f t="shared" si="28"/>
        <v/>
      </c>
      <c r="AJ1668" s="157" t="str">
        <f t="shared" si="29"/>
        <v/>
      </c>
      <c r="AK1668" s="157" t="str">
        <f t="shared" si="30"/>
        <v/>
      </c>
      <c r="AL1668" s="157" t="str">
        <f t="shared" si="31"/>
        <v/>
      </c>
      <c r="AM1668" s="157" t="str">
        <f t="shared" si="32"/>
        <v/>
      </c>
      <c r="AN1668" s="157" t="str">
        <f t="shared" si="33"/>
        <v/>
      </c>
      <c r="AO1668" s="157" t="str">
        <f t="shared" si="34"/>
        <v/>
      </c>
      <c r="AP1668" s="157" t="str">
        <f t="shared" si="35"/>
        <v/>
      </c>
      <c r="AQ1668" s="157" t="str">
        <f t="shared" si="36"/>
        <v/>
      </c>
      <c r="AR1668" s="157" t="str">
        <f t="shared" si="37"/>
        <v/>
      </c>
      <c r="AS1668" s="157" t="str">
        <f t="shared" si="38"/>
        <v/>
      </c>
      <c r="AT1668" s="157" t="str">
        <f t="shared" si="39"/>
        <v/>
      </c>
      <c r="AU1668" s="157" t="str">
        <f t="shared" si="40"/>
        <v/>
      </c>
      <c r="AV1668" s="157" t="str">
        <f t="shared" si="41"/>
        <v/>
      </c>
      <c r="AW1668" s="157" t="str">
        <f t="shared" si="42"/>
        <v/>
      </c>
      <c r="AX1668" s="157" t="str">
        <f t="shared" si="43"/>
        <v/>
      </c>
      <c r="AY1668" s="157" t="str">
        <f t="shared" si="44"/>
        <v/>
      </c>
      <c r="AZ1668" s="157" t="str">
        <f t="shared" si="45"/>
        <v/>
      </c>
      <c r="BA1668" s="157" t="str">
        <f t="shared" si="46"/>
        <v/>
      </c>
      <c r="BB1668" s="160">
        <f t="shared" si="47"/>
        <v>0</v>
      </c>
    </row>
    <row r="1669" spans="1:54" s="22" customFormat="1" hidden="1">
      <c r="A1669" s="61"/>
      <c r="C1669" s="158" t="s">
        <v>226</v>
      </c>
      <c r="D1669" s="157" t="str">
        <f t="shared" si="7"/>
        <v/>
      </c>
      <c r="E1669" s="157" t="str">
        <f t="shared" si="8"/>
        <v/>
      </c>
      <c r="F1669" s="157" t="str">
        <f t="shared" si="48"/>
        <v/>
      </c>
      <c r="G1669" s="157" t="str">
        <f t="shared" si="49"/>
        <v/>
      </c>
      <c r="H1669" s="157" t="str">
        <f t="shared" si="50"/>
        <v/>
      </c>
      <c r="I1669" s="157" t="str">
        <f t="shared" si="51"/>
        <v/>
      </c>
      <c r="J1669" s="157" t="str">
        <f t="shared" si="52"/>
        <v/>
      </c>
      <c r="K1669" s="157" t="str">
        <f t="shared" si="53"/>
        <v/>
      </c>
      <c r="L1669" s="157" t="str">
        <f t="shared" si="54"/>
        <v/>
      </c>
      <c r="M1669" s="157" t="str">
        <f t="shared" si="55"/>
        <v/>
      </c>
      <c r="N1669" s="157">
        <f t="shared" si="56"/>
        <v>75503</v>
      </c>
      <c r="O1669" s="157">
        <f t="shared" si="57"/>
        <v>1969.89</v>
      </c>
      <c r="P1669" s="157">
        <f t="shared" si="9"/>
        <v>3411.68</v>
      </c>
      <c r="Q1669" s="157">
        <f t="shared" si="10"/>
        <v>25842.25</v>
      </c>
      <c r="R1669" s="157">
        <f t="shared" si="11"/>
        <v>16791.400000000001</v>
      </c>
      <c r="S1669" s="157">
        <f t="shared" si="12"/>
        <v>6297.4</v>
      </c>
      <c r="T1669" s="157" t="str">
        <f t="shared" si="13"/>
        <v/>
      </c>
      <c r="U1669" s="157" t="str">
        <f t="shared" si="14"/>
        <v/>
      </c>
      <c r="V1669" s="157" t="str">
        <f t="shared" si="15"/>
        <v/>
      </c>
      <c r="W1669" s="157" t="str">
        <f t="shared" si="16"/>
        <v/>
      </c>
      <c r="X1669" s="157" t="str">
        <f t="shared" si="17"/>
        <v/>
      </c>
      <c r="Y1669" s="157" t="str">
        <f t="shared" si="18"/>
        <v/>
      </c>
      <c r="Z1669" s="157" t="str">
        <f t="shared" si="19"/>
        <v/>
      </c>
      <c r="AA1669" s="157" t="str">
        <f t="shared" si="20"/>
        <v/>
      </c>
      <c r="AB1669" s="157" t="str">
        <f t="shared" si="21"/>
        <v/>
      </c>
      <c r="AC1669" s="157" t="str">
        <f t="shared" si="22"/>
        <v/>
      </c>
      <c r="AD1669" s="157" t="str">
        <f t="shared" si="23"/>
        <v/>
      </c>
      <c r="AE1669" s="157" t="str">
        <f t="shared" si="24"/>
        <v/>
      </c>
      <c r="AF1669" s="157" t="str">
        <f t="shared" si="25"/>
        <v/>
      </c>
      <c r="AG1669" s="157" t="str">
        <f t="shared" si="26"/>
        <v/>
      </c>
      <c r="AH1669" s="157" t="str">
        <f t="shared" si="27"/>
        <v/>
      </c>
      <c r="AI1669" s="157" t="str">
        <f t="shared" si="28"/>
        <v/>
      </c>
      <c r="AJ1669" s="157" t="str">
        <f t="shared" si="29"/>
        <v/>
      </c>
      <c r="AK1669" s="157" t="str">
        <f t="shared" si="30"/>
        <v/>
      </c>
      <c r="AL1669" s="157" t="str">
        <f t="shared" si="31"/>
        <v/>
      </c>
      <c r="AM1669" s="157" t="str">
        <f t="shared" si="32"/>
        <v/>
      </c>
      <c r="AN1669" s="157" t="str">
        <f t="shared" si="33"/>
        <v/>
      </c>
      <c r="AO1669" s="157" t="str">
        <f t="shared" si="34"/>
        <v/>
      </c>
      <c r="AP1669" s="157" t="str">
        <f t="shared" si="35"/>
        <v/>
      </c>
      <c r="AQ1669" s="157" t="str">
        <f t="shared" si="36"/>
        <v/>
      </c>
      <c r="AR1669" s="157" t="str">
        <f t="shared" si="37"/>
        <v/>
      </c>
      <c r="AS1669" s="157" t="str">
        <f t="shared" si="38"/>
        <v/>
      </c>
      <c r="AT1669" s="157" t="str">
        <f t="shared" si="39"/>
        <v/>
      </c>
      <c r="AU1669" s="157" t="str">
        <f t="shared" si="40"/>
        <v/>
      </c>
      <c r="AV1669" s="157" t="str">
        <f t="shared" si="41"/>
        <v/>
      </c>
      <c r="AW1669" s="157" t="str">
        <f t="shared" si="42"/>
        <v/>
      </c>
      <c r="AX1669" s="157" t="str">
        <f t="shared" si="43"/>
        <v/>
      </c>
      <c r="AY1669" s="157" t="str">
        <f t="shared" si="44"/>
        <v/>
      </c>
      <c r="AZ1669" s="157" t="str">
        <f t="shared" si="45"/>
        <v/>
      </c>
      <c r="BA1669" s="157" t="str">
        <f t="shared" si="46"/>
        <v/>
      </c>
      <c r="BB1669" s="160">
        <f t="shared" si="47"/>
        <v>129815.62</v>
      </c>
    </row>
    <row r="1670" spans="1:54" s="22" customFormat="1" hidden="1">
      <c r="A1670" s="61"/>
      <c r="C1670" s="157" t="s">
        <v>227</v>
      </c>
      <c r="D1670" s="157" t="str">
        <f t="shared" si="7"/>
        <v/>
      </c>
      <c r="E1670" s="157" t="str">
        <f t="shared" si="8"/>
        <v/>
      </c>
      <c r="F1670" s="157" t="str">
        <f t="shared" si="48"/>
        <v/>
      </c>
      <c r="G1670" s="157" t="str">
        <f t="shared" si="49"/>
        <v/>
      </c>
      <c r="H1670" s="157" t="str">
        <f t="shared" si="50"/>
        <v/>
      </c>
      <c r="I1670" s="157" t="str">
        <f t="shared" si="51"/>
        <v/>
      </c>
      <c r="J1670" s="157" t="str">
        <f t="shared" si="52"/>
        <v/>
      </c>
      <c r="K1670" s="157" t="str">
        <f t="shared" si="53"/>
        <v/>
      </c>
      <c r="L1670" s="157" t="str">
        <f t="shared" si="54"/>
        <v/>
      </c>
      <c r="M1670" s="157" t="str">
        <f t="shared" si="55"/>
        <v/>
      </c>
      <c r="N1670" s="157" t="str">
        <f t="shared" si="56"/>
        <v/>
      </c>
      <c r="O1670" s="157" t="str">
        <f t="shared" si="57"/>
        <v/>
      </c>
      <c r="P1670" s="157" t="str">
        <f t="shared" si="9"/>
        <v/>
      </c>
      <c r="Q1670" s="157" t="str">
        <f t="shared" si="10"/>
        <v/>
      </c>
      <c r="R1670" s="157" t="str">
        <f t="shared" si="11"/>
        <v/>
      </c>
      <c r="S1670" s="157" t="str">
        <f t="shared" si="12"/>
        <v/>
      </c>
      <c r="T1670" s="157" t="str">
        <f t="shared" si="13"/>
        <v/>
      </c>
      <c r="U1670" s="157" t="str">
        <f t="shared" si="14"/>
        <v/>
      </c>
      <c r="V1670" s="157" t="str">
        <f t="shared" si="15"/>
        <v/>
      </c>
      <c r="W1670" s="157" t="str">
        <f t="shared" si="16"/>
        <v/>
      </c>
      <c r="X1670" s="157" t="str">
        <f t="shared" si="17"/>
        <v/>
      </c>
      <c r="Y1670" s="157" t="str">
        <f t="shared" si="18"/>
        <v/>
      </c>
      <c r="Z1670" s="157" t="str">
        <f t="shared" si="19"/>
        <v/>
      </c>
      <c r="AA1670" s="157" t="str">
        <f t="shared" si="20"/>
        <v/>
      </c>
      <c r="AB1670" s="157" t="str">
        <f t="shared" si="21"/>
        <v/>
      </c>
      <c r="AC1670" s="157" t="str">
        <f t="shared" si="22"/>
        <v/>
      </c>
      <c r="AD1670" s="157" t="str">
        <f t="shared" si="23"/>
        <v/>
      </c>
      <c r="AE1670" s="157" t="str">
        <f t="shared" si="24"/>
        <v/>
      </c>
      <c r="AF1670" s="157" t="str">
        <f t="shared" si="25"/>
        <v/>
      </c>
      <c r="AG1670" s="157" t="str">
        <f t="shared" si="26"/>
        <v/>
      </c>
      <c r="AH1670" s="157" t="str">
        <f t="shared" si="27"/>
        <v/>
      </c>
      <c r="AI1670" s="157" t="str">
        <f t="shared" si="28"/>
        <v/>
      </c>
      <c r="AJ1670" s="157" t="str">
        <f t="shared" si="29"/>
        <v/>
      </c>
      <c r="AK1670" s="157" t="str">
        <f t="shared" si="30"/>
        <v/>
      </c>
      <c r="AL1670" s="157" t="str">
        <f t="shared" si="31"/>
        <v/>
      </c>
      <c r="AM1670" s="157" t="str">
        <f t="shared" si="32"/>
        <v/>
      </c>
      <c r="AN1670" s="157" t="str">
        <f t="shared" si="33"/>
        <v/>
      </c>
      <c r="AO1670" s="157" t="str">
        <f t="shared" si="34"/>
        <v/>
      </c>
      <c r="AP1670" s="157" t="str">
        <f t="shared" si="35"/>
        <v/>
      </c>
      <c r="AQ1670" s="157" t="str">
        <f t="shared" si="36"/>
        <v/>
      </c>
      <c r="AR1670" s="157" t="str">
        <f t="shared" si="37"/>
        <v/>
      </c>
      <c r="AS1670" s="157" t="str">
        <f t="shared" si="38"/>
        <v/>
      </c>
      <c r="AT1670" s="157" t="str">
        <f t="shared" si="39"/>
        <v/>
      </c>
      <c r="AU1670" s="157" t="str">
        <f t="shared" si="40"/>
        <v/>
      </c>
      <c r="AV1670" s="157" t="str">
        <f t="shared" si="41"/>
        <v/>
      </c>
      <c r="AW1670" s="157" t="str">
        <f t="shared" si="42"/>
        <v/>
      </c>
      <c r="AX1670" s="157" t="str">
        <f t="shared" si="43"/>
        <v/>
      </c>
      <c r="AY1670" s="157" t="str">
        <f t="shared" si="44"/>
        <v/>
      </c>
      <c r="AZ1670" s="157" t="str">
        <f t="shared" si="45"/>
        <v/>
      </c>
      <c r="BA1670" s="157" t="str">
        <f t="shared" si="46"/>
        <v/>
      </c>
      <c r="BB1670" s="160">
        <f t="shared" si="47"/>
        <v>0</v>
      </c>
    </row>
    <row r="1671" spans="1:54" s="22" customFormat="1" hidden="1">
      <c r="A1671" s="61"/>
      <c r="C1671" s="157" t="s">
        <v>228</v>
      </c>
      <c r="D1671" s="157" t="str">
        <f t="shared" si="7"/>
        <v/>
      </c>
      <c r="E1671" s="157" t="str">
        <f t="shared" si="8"/>
        <v/>
      </c>
      <c r="F1671" s="157" t="str">
        <f t="shared" si="48"/>
        <v/>
      </c>
      <c r="G1671" s="157" t="str">
        <f t="shared" si="49"/>
        <v/>
      </c>
      <c r="H1671" s="157" t="str">
        <f t="shared" si="50"/>
        <v/>
      </c>
      <c r="I1671" s="157" t="str">
        <f t="shared" si="51"/>
        <v/>
      </c>
      <c r="J1671" s="157" t="str">
        <f t="shared" si="52"/>
        <v/>
      </c>
      <c r="K1671" s="157" t="str">
        <f t="shared" si="53"/>
        <v/>
      </c>
      <c r="L1671" s="157" t="str">
        <f t="shared" si="54"/>
        <v/>
      </c>
      <c r="M1671" s="157" t="str">
        <f t="shared" si="55"/>
        <v/>
      </c>
      <c r="N1671" s="157" t="str">
        <f t="shared" si="56"/>
        <v/>
      </c>
      <c r="O1671" s="157" t="str">
        <f t="shared" si="57"/>
        <v/>
      </c>
      <c r="P1671" s="157" t="str">
        <f t="shared" si="9"/>
        <v/>
      </c>
      <c r="Q1671" s="157" t="str">
        <f t="shared" si="10"/>
        <v/>
      </c>
      <c r="R1671" s="157" t="str">
        <f t="shared" si="11"/>
        <v/>
      </c>
      <c r="S1671" s="157" t="str">
        <f t="shared" si="12"/>
        <v/>
      </c>
      <c r="T1671" s="157" t="str">
        <f t="shared" si="13"/>
        <v/>
      </c>
      <c r="U1671" s="157" t="str">
        <f t="shared" si="14"/>
        <v/>
      </c>
      <c r="V1671" s="157" t="str">
        <f t="shared" si="15"/>
        <v/>
      </c>
      <c r="W1671" s="157" t="str">
        <f t="shared" si="16"/>
        <v/>
      </c>
      <c r="X1671" s="157" t="str">
        <f t="shared" si="17"/>
        <v/>
      </c>
      <c r="Y1671" s="157" t="str">
        <f t="shared" si="18"/>
        <v/>
      </c>
      <c r="Z1671" s="157" t="str">
        <f t="shared" si="19"/>
        <v/>
      </c>
      <c r="AA1671" s="157" t="str">
        <f t="shared" si="20"/>
        <v/>
      </c>
      <c r="AB1671" s="157" t="str">
        <f t="shared" si="21"/>
        <v/>
      </c>
      <c r="AC1671" s="157" t="str">
        <f t="shared" si="22"/>
        <v/>
      </c>
      <c r="AD1671" s="157" t="str">
        <f t="shared" si="23"/>
        <v/>
      </c>
      <c r="AE1671" s="157" t="str">
        <f t="shared" si="24"/>
        <v/>
      </c>
      <c r="AF1671" s="157" t="str">
        <f t="shared" si="25"/>
        <v/>
      </c>
      <c r="AG1671" s="157" t="str">
        <f t="shared" si="26"/>
        <v/>
      </c>
      <c r="AH1671" s="157" t="str">
        <f t="shared" si="27"/>
        <v/>
      </c>
      <c r="AI1671" s="157" t="str">
        <f t="shared" si="28"/>
        <v/>
      </c>
      <c r="AJ1671" s="157" t="str">
        <f t="shared" si="29"/>
        <v/>
      </c>
      <c r="AK1671" s="157" t="str">
        <f t="shared" si="30"/>
        <v/>
      </c>
      <c r="AL1671" s="157" t="str">
        <f t="shared" si="31"/>
        <v/>
      </c>
      <c r="AM1671" s="157" t="str">
        <f t="shared" si="32"/>
        <v/>
      </c>
      <c r="AN1671" s="157" t="str">
        <f t="shared" si="33"/>
        <v/>
      </c>
      <c r="AO1671" s="157" t="str">
        <f t="shared" si="34"/>
        <v/>
      </c>
      <c r="AP1671" s="157" t="str">
        <f t="shared" si="35"/>
        <v/>
      </c>
      <c r="AQ1671" s="157" t="str">
        <f t="shared" si="36"/>
        <v/>
      </c>
      <c r="AR1671" s="157" t="str">
        <f t="shared" si="37"/>
        <v/>
      </c>
      <c r="AS1671" s="157" t="str">
        <f t="shared" si="38"/>
        <v/>
      </c>
      <c r="AT1671" s="157" t="str">
        <f t="shared" si="39"/>
        <v/>
      </c>
      <c r="AU1671" s="157" t="str">
        <f t="shared" si="40"/>
        <v/>
      </c>
      <c r="AV1671" s="157" t="str">
        <f t="shared" si="41"/>
        <v/>
      </c>
      <c r="AW1671" s="157" t="str">
        <f t="shared" si="42"/>
        <v/>
      </c>
      <c r="AX1671" s="157" t="str">
        <f t="shared" si="43"/>
        <v/>
      </c>
      <c r="AY1671" s="157" t="str">
        <f t="shared" si="44"/>
        <v/>
      </c>
      <c r="AZ1671" s="157" t="str">
        <f t="shared" si="45"/>
        <v/>
      </c>
      <c r="BA1671" s="157" t="str">
        <f t="shared" si="46"/>
        <v/>
      </c>
      <c r="BB1671" s="160">
        <f t="shared" si="47"/>
        <v>0</v>
      </c>
    </row>
    <row r="1672" spans="1:54" s="22" customFormat="1" hidden="1">
      <c r="A1672" s="61"/>
      <c r="C1672" s="157" t="s">
        <v>229</v>
      </c>
      <c r="D1672" s="157" t="str">
        <f t="shared" si="7"/>
        <v/>
      </c>
      <c r="E1672" s="157" t="str">
        <f t="shared" si="8"/>
        <v/>
      </c>
      <c r="F1672" s="157" t="str">
        <f t="shared" si="48"/>
        <v/>
      </c>
      <c r="G1672" s="157" t="str">
        <f t="shared" si="49"/>
        <v/>
      </c>
      <c r="H1672" s="157" t="str">
        <f t="shared" si="50"/>
        <v/>
      </c>
      <c r="I1672" s="157" t="str">
        <f t="shared" si="51"/>
        <v/>
      </c>
      <c r="J1672" s="157" t="str">
        <f t="shared" si="52"/>
        <v/>
      </c>
      <c r="K1672" s="157" t="str">
        <f t="shared" si="53"/>
        <v/>
      </c>
      <c r="L1672" s="157" t="str">
        <f t="shared" si="54"/>
        <v/>
      </c>
      <c r="M1672" s="157" t="str">
        <f t="shared" si="55"/>
        <v/>
      </c>
      <c r="N1672" s="157" t="str">
        <f t="shared" si="56"/>
        <v/>
      </c>
      <c r="O1672" s="157" t="str">
        <f t="shared" si="57"/>
        <v/>
      </c>
      <c r="P1672" s="157" t="str">
        <f t="shared" si="9"/>
        <v/>
      </c>
      <c r="Q1672" s="157" t="str">
        <f t="shared" si="10"/>
        <v/>
      </c>
      <c r="R1672" s="157" t="str">
        <f t="shared" si="11"/>
        <v/>
      </c>
      <c r="S1672" s="157" t="str">
        <f t="shared" si="12"/>
        <v/>
      </c>
      <c r="T1672" s="157" t="str">
        <f t="shared" si="13"/>
        <v/>
      </c>
      <c r="U1672" s="157" t="str">
        <f t="shared" si="14"/>
        <v/>
      </c>
      <c r="V1672" s="157" t="str">
        <f t="shared" si="15"/>
        <v/>
      </c>
      <c r="W1672" s="157" t="str">
        <f t="shared" si="16"/>
        <v/>
      </c>
      <c r="X1672" s="157" t="str">
        <f t="shared" si="17"/>
        <v/>
      </c>
      <c r="Y1672" s="157" t="str">
        <f t="shared" si="18"/>
        <v/>
      </c>
      <c r="Z1672" s="157" t="str">
        <f t="shared" si="19"/>
        <v/>
      </c>
      <c r="AA1672" s="157" t="str">
        <f t="shared" si="20"/>
        <v/>
      </c>
      <c r="AB1672" s="157" t="str">
        <f t="shared" si="21"/>
        <v/>
      </c>
      <c r="AC1672" s="157" t="str">
        <f t="shared" si="22"/>
        <v/>
      </c>
      <c r="AD1672" s="157" t="str">
        <f t="shared" si="23"/>
        <v/>
      </c>
      <c r="AE1672" s="157" t="str">
        <f t="shared" si="24"/>
        <v/>
      </c>
      <c r="AF1672" s="157" t="str">
        <f t="shared" si="25"/>
        <v/>
      </c>
      <c r="AG1672" s="157" t="str">
        <f t="shared" si="26"/>
        <v/>
      </c>
      <c r="AH1672" s="157" t="str">
        <f t="shared" si="27"/>
        <v/>
      </c>
      <c r="AI1672" s="157" t="str">
        <f t="shared" si="28"/>
        <v/>
      </c>
      <c r="AJ1672" s="157" t="str">
        <f t="shared" si="29"/>
        <v/>
      </c>
      <c r="AK1672" s="157" t="str">
        <f t="shared" si="30"/>
        <v/>
      </c>
      <c r="AL1672" s="157" t="str">
        <f t="shared" si="31"/>
        <v/>
      </c>
      <c r="AM1672" s="157" t="str">
        <f t="shared" si="32"/>
        <v/>
      </c>
      <c r="AN1672" s="157" t="str">
        <f t="shared" si="33"/>
        <v/>
      </c>
      <c r="AO1672" s="157" t="str">
        <f t="shared" si="34"/>
        <v/>
      </c>
      <c r="AP1672" s="157" t="str">
        <f t="shared" si="35"/>
        <v/>
      </c>
      <c r="AQ1672" s="157" t="str">
        <f t="shared" si="36"/>
        <v/>
      </c>
      <c r="AR1672" s="157" t="str">
        <f t="shared" si="37"/>
        <v/>
      </c>
      <c r="AS1672" s="157" t="str">
        <f t="shared" si="38"/>
        <v/>
      </c>
      <c r="AT1672" s="157" t="str">
        <f t="shared" si="39"/>
        <v/>
      </c>
      <c r="AU1672" s="157" t="str">
        <f t="shared" si="40"/>
        <v/>
      </c>
      <c r="AV1672" s="157" t="str">
        <f t="shared" si="41"/>
        <v/>
      </c>
      <c r="AW1672" s="157" t="str">
        <f t="shared" si="42"/>
        <v/>
      </c>
      <c r="AX1672" s="157" t="str">
        <f t="shared" si="43"/>
        <v/>
      </c>
      <c r="AY1672" s="157" t="str">
        <f t="shared" si="44"/>
        <v/>
      </c>
      <c r="AZ1672" s="157" t="str">
        <f t="shared" si="45"/>
        <v/>
      </c>
      <c r="BA1672" s="157" t="str">
        <f t="shared" si="46"/>
        <v/>
      </c>
      <c r="BB1672" s="160">
        <f t="shared" si="47"/>
        <v>0</v>
      </c>
    </row>
    <row r="1673" spans="1:54" s="22" customFormat="1" hidden="1">
      <c r="A1673" s="61"/>
      <c r="C1673" s="157" t="s">
        <v>230</v>
      </c>
      <c r="D1673" s="157" t="str">
        <f t="shared" si="7"/>
        <v/>
      </c>
      <c r="E1673" s="157" t="str">
        <f t="shared" si="8"/>
        <v/>
      </c>
      <c r="F1673" s="157" t="str">
        <f t="shared" si="48"/>
        <v/>
      </c>
      <c r="G1673" s="157" t="str">
        <f t="shared" si="49"/>
        <v/>
      </c>
      <c r="H1673" s="157" t="str">
        <f t="shared" si="50"/>
        <v/>
      </c>
      <c r="I1673" s="157" t="str">
        <f t="shared" si="51"/>
        <v/>
      </c>
      <c r="J1673" s="157" t="str">
        <f t="shared" si="52"/>
        <v/>
      </c>
      <c r="K1673" s="157" t="str">
        <f t="shared" si="53"/>
        <v/>
      </c>
      <c r="L1673" s="157" t="str">
        <f t="shared" si="54"/>
        <v/>
      </c>
      <c r="M1673" s="157" t="str">
        <f t="shared" si="55"/>
        <v/>
      </c>
      <c r="N1673" s="157" t="str">
        <f t="shared" si="56"/>
        <v/>
      </c>
      <c r="O1673" s="157" t="str">
        <f t="shared" si="57"/>
        <v/>
      </c>
      <c r="P1673" s="157" t="str">
        <f t="shared" si="9"/>
        <v/>
      </c>
      <c r="Q1673" s="157" t="str">
        <f t="shared" si="10"/>
        <v/>
      </c>
      <c r="R1673" s="157" t="str">
        <f t="shared" si="11"/>
        <v/>
      </c>
      <c r="S1673" s="157" t="str">
        <f t="shared" si="12"/>
        <v/>
      </c>
      <c r="T1673" s="157" t="str">
        <f t="shared" si="13"/>
        <v/>
      </c>
      <c r="U1673" s="157" t="str">
        <f t="shared" si="14"/>
        <v/>
      </c>
      <c r="V1673" s="157" t="str">
        <f t="shared" si="15"/>
        <v/>
      </c>
      <c r="W1673" s="157" t="str">
        <f t="shared" si="16"/>
        <v/>
      </c>
      <c r="X1673" s="157" t="str">
        <f t="shared" si="17"/>
        <v/>
      </c>
      <c r="Y1673" s="157" t="str">
        <f t="shared" si="18"/>
        <v/>
      </c>
      <c r="Z1673" s="157" t="str">
        <f t="shared" si="19"/>
        <v/>
      </c>
      <c r="AA1673" s="157" t="str">
        <f t="shared" si="20"/>
        <v/>
      </c>
      <c r="AB1673" s="157" t="str">
        <f t="shared" si="21"/>
        <v/>
      </c>
      <c r="AC1673" s="157" t="str">
        <f t="shared" si="22"/>
        <v/>
      </c>
      <c r="AD1673" s="157" t="str">
        <f t="shared" si="23"/>
        <v/>
      </c>
      <c r="AE1673" s="157" t="str">
        <f t="shared" si="24"/>
        <v/>
      </c>
      <c r="AF1673" s="157" t="str">
        <f t="shared" si="25"/>
        <v/>
      </c>
      <c r="AG1673" s="157" t="str">
        <f t="shared" si="26"/>
        <v/>
      </c>
      <c r="AH1673" s="157" t="str">
        <f t="shared" si="27"/>
        <v/>
      </c>
      <c r="AI1673" s="157" t="str">
        <f t="shared" si="28"/>
        <v/>
      </c>
      <c r="AJ1673" s="157" t="str">
        <f t="shared" si="29"/>
        <v/>
      </c>
      <c r="AK1673" s="157" t="str">
        <f t="shared" si="30"/>
        <v/>
      </c>
      <c r="AL1673" s="157" t="str">
        <f t="shared" si="31"/>
        <v/>
      </c>
      <c r="AM1673" s="157" t="str">
        <f t="shared" si="32"/>
        <v/>
      </c>
      <c r="AN1673" s="157" t="str">
        <f t="shared" si="33"/>
        <v/>
      </c>
      <c r="AO1673" s="157" t="str">
        <f t="shared" si="34"/>
        <v/>
      </c>
      <c r="AP1673" s="157" t="str">
        <f t="shared" si="35"/>
        <v/>
      </c>
      <c r="AQ1673" s="157" t="str">
        <f t="shared" si="36"/>
        <v/>
      </c>
      <c r="AR1673" s="157" t="str">
        <f t="shared" si="37"/>
        <v/>
      </c>
      <c r="AS1673" s="157" t="str">
        <f t="shared" si="38"/>
        <v/>
      </c>
      <c r="AT1673" s="157" t="str">
        <f t="shared" si="39"/>
        <v/>
      </c>
      <c r="AU1673" s="157" t="str">
        <f t="shared" si="40"/>
        <v/>
      </c>
      <c r="AV1673" s="157" t="str">
        <f t="shared" si="41"/>
        <v/>
      </c>
      <c r="AW1673" s="157" t="str">
        <f t="shared" si="42"/>
        <v/>
      </c>
      <c r="AX1673" s="157" t="str">
        <f t="shared" si="43"/>
        <v/>
      </c>
      <c r="AY1673" s="157" t="str">
        <f t="shared" si="44"/>
        <v/>
      </c>
      <c r="AZ1673" s="157" t="str">
        <f t="shared" si="45"/>
        <v/>
      </c>
      <c r="BA1673" s="157" t="str">
        <f t="shared" si="46"/>
        <v/>
      </c>
      <c r="BB1673" s="160">
        <f t="shared" si="47"/>
        <v>0</v>
      </c>
    </row>
    <row r="1674" spans="1:54" s="22" customFormat="1" hidden="1">
      <c r="A1674" s="61"/>
      <c r="C1674" s="157" t="s">
        <v>231</v>
      </c>
      <c r="D1674" s="157" t="str">
        <f t="shared" si="7"/>
        <v/>
      </c>
      <c r="E1674" s="157" t="str">
        <f t="shared" si="8"/>
        <v/>
      </c>
      <c r="F1674" s="157" t="str">
        <f t="shared" si="48"/>
        <v/>
      </c>
      <c r="G1674" s="157" t="str">
        <f t="shared" si="49"/>
        <v/>
      </c>
      <c r="H1674" s="157" t="str">
        <f t="shared" si="50"/>
        <v/>
      </c>
      <c r="I1674" s="157" t="str">
        <f t="shared" si="51"/>
        <v/>
      </c>
      <c r="J1674" s="157" t="str">
        <f t="shared" si="52"/>
        <v/>
      </c>
      <c r="K1674" s="157" t="str">
        <f t="shared" si="53"/>
        <v/>
      </c>
      <c r="L1674" s="157" t="str">
        <f t="shared" si="54"/>
        <v/>
      </c>
      <c r="M1674" s="157" t="str">
        <f t="shared" si="55"/>
        <v/>
      </c>
      <c r="N1674" s="157" t="str">
        <f t="shared" si="56"/>
        <v/>
      </c>
      <c r="O1674" s="157" t="str">
        <f t="shared" si="57"/>
        <v/>
      </c>
      <c r="P1674" s="157" t="str">
        <f t="shared" si="9"/>
        <v/>
      </c>
      <c r="Q1674" s="157" t="str">
        <f t="shared" si="10"/>
        <v/>
      </c>
      <c r="R1674" s="157" t="str">
        <f t="shared" si="11"/>
        <v/>
      </c>
      <c r="S1674" s="157" t="str">
        <f t="shared" si="12"/>
        <v/>
      </c>
      <c r="T1674" s="157" t="str">
        <f t="shared" si="13"/>
        <v/>
      </c>
      <c r="U1674" s="157" t="str">
        <f t="shared" si="14"/>
        <v/>
      </c>
      <c r="V1674" s="157" t="str">
        <f t="shared" si="15"/>
        <v/>
      </c>
      <c r="W1674" s="157" t="str">
        <f t="shared" si="16"/>
        <v/>
      </c>
      <c r="X1674" s="157" t="str">
        <f t="shared" si="17"/>
        <v/>
      </c>
      <c r="Y1674" s="157" t="str">
        <f t="shared" si="18"/>
        <v/>
      </c>
      <c r="Z1674" s="157" t="str">
        <f t="shared" si="19"/>
        <v/>
      </c>
      <c r="AA1674" s="157" t="str">
        <f t="shared" si="20"/>
        <v/>
      </c>
      <c r="AB1674" s="157" t="str">
        <f t="shared" si="21"/>
        <v/>
      </c>
      <c r="AC1674" s="157" t="str">
        <f t="shared" si="22"/>
        <v/>
      </c>
      <c r="AD1674" s="157" t="str">
        <f t="shared" si="23"/>
        <v/>
      </c>
      <c r="AE1674" s="157" t="str">
        <f t="shared" si="24"/>
        <v/>
      </c>
      <c r="AF1674" s="157" t="str">
        <f t="shared" si="25"/>
        <v/>
      </c>
      <c r="AG1674" s="157" t="str">
        <f t="shared" si="26"/>
        <v/>
      </c>
      <c r="AH1674" s="157" t="str">
        <f t="shared" si="27"/>
        <v/>
      </c>
      <c r="AI1674" s="157" t="str">
        <f t="shared" si="28"/>
        <v/>
      </c>
      <c r="AJ1674" s="157" t="str">
        <f t="shared" si="29"/>
        <v/>
      </c>
      <c r="AK1674" s="157" t="str">
        <f t="shared" si="30"/>
        <v/>
      </c>
      <c r="AL1674" s="157" t="str">
        <f t="shared" si="31"/>
        <v/>
      </c>
      <c r="AM1674" s="157" t="str">
        <f t="shared" si="32"/>
        <v/>
      </c>
      <c r="AN1674" s="157" t="str">
        <f t="shared" si="33"/>
        <v/>
      </c>
      <c r="AO1674" s="157" t="str">
        <f t="shared" si="34"/>
        <v/>
      </c>
      <c r="AP1674" s="157" t="str">
        <f t="shared" si="35"/>
        <v/>
      </c>
      <c r="AQ1674" s="157" t="str">
        <f t="shared" si="36"/>
        <v/>
      </c>
      <c r="AR1674" s="157" t="str">
        <f t="shared" si="37"/>
        <v/>
      </c>
      <c r="AS1674" s="157" t="str">
        <f t="shared" si="38"/>
        <v/>
      </c>
      <c r="AT1674" s="157" t="str">
        <f t="shared" si="39"/>
        <v/>
      </c>
      <c r="AU1674" s="157" t="str">
        <f t="shared" si="40"/>
        <v/>
      </c>
      <c r="AV1674" s="157" t="str">
        <f t="shared" si="41"/>
        <v/>
      </c>
      <c r="AW1674" s="157" t="str">
        <f t="shared" si="42"/>
        <v/>
      </c>
      <c r="AX1674" s="157" t="str">
        <f t="shared" si="43"/>
        <v/>
      </c>
      <c r="AY1674" s="157" t="str">
        <f t="shared" si="44"/>
        <v/>
      </c>
      <c r="AZ1674" s="157" t="str">
        <f t="shared" si="45"/>
        <v/>
      </c>
      <c r="BA1674" s="157" t="str">
        <f t="shared" si="46"/>
        <v/>
      </c>
      <c r="BB1674" s="160">
        <f t="shared" si="47"/>
        <v>0</v>
      </c>
    </row>
    <row r="1675" spans="1:54" s="22" customFormat="1" hidden="1">
      <c r="A1675" s="61"/>
      <c r="C1675" s="157" t="s">
        <v>232</v>
      </c>
      <c r="D1675" s="157" t="str">
        <f t="shared" si="7"/>
        <v/>
      </c>
      <c r="E1675" s="157" t="str">
        <f t="shared" si="8"/>
        <v/>
      </c>
      <c r="F1675" s="157" t="str">
        <f t="shared" si="48"/>
        <v/>
      </c>
      <c r="G1675" s="157" t="str">
        <f t="shared" si="49"/>
        <v/>
      </c>
      <c r="H1675" s="157" t="str">
        <f t="shared" si="50"/>
        <v/>
      </c>
      <c r="I1675" s="157" t="str">
        <f t="shared" si="51"/>
        <v/>
      </c>
      <c r="J1675" s="157" t="str">
        <f t="shared" si="52"/>
        <v/>
      </c>
      <c r="K1675" s="157" t="str">
        <f t="shared" si="53"/>
        <v/>
      </c>
      <c r="L1675" s="157" t="str">
        <f t="shared" si="54"/>
        <v/>
      </c>
      <c r="M1675" s="157" t="str">
        <f t="shared" si="55"/>
        <v/>
      </c>
      <c r="N1675" s="157" t="str">
        <f t="shared" si="56"/>
        <v/>
      </c>
      <c r="O1675" s="157" t="str">
        <f t="shared" si="57"/>
        <v/>
      </c>
      <c r="P1675" s="157" t="str">
        <f t="shared" si="9"/>
        <v/>
      </c>
      <c r="Q1675" s="157" t="str">
        <f t="shared" si="10"/>
        <v/>
      </c>
      <c r="R1675" s="157" t="str">
        <f t="shared" si="11"/>
        <v/>
      </c>
      <c r="S1675" s="157" t="str">
        <f t="shared" si="12"/>
        <v/>
      </c>
      <c r="T1675" s="157" t="str">
        <f t="shared" si="13"/>
        <v/>
      </c>
      <c r="U1675" s="157" t="str">
        <f t="shared" si="14"/>
        <v/>
      </c>
      <c r="V1675" s="157" t="str">
        <f t="shared" si="15"/>
        <v/>
      </c>
      <c r="W1675" s="157" t="str">
        <f t="shared" si="16"/>
        <v/>
      </c>
      <c r="X1675" s="157" t="str">
        <f t="shared" si="17"/>
        <v/>
      </c>
      <c r="Y1675" s="157" t="str">
        <f t="shared" si="18"/>
        <v/>
      </c>
      <c r="Z1675" s="157" t="str">
        <f t="shared" si="19"/>
        <v/>
      </c>
      <c r="AA1675" s="157" t="str">
        <f t="shared" si="20"/>
        <v/>
      </c>
      <c r="AB1675" s="157" t="str">
        <f t="shared" si="21"/>
        <v/>
      </c>
      <c r="AC1675" s="157" t="str">
        <f t="shared" si="22"/>
        <v/>
      </c>
      <c r="AD1675" s="157" t="str">
        <f t="shared" si="23"/>
        <v/>
      </c>
      <c r="AE1675" s="157" t="str">
        <f t="shared" si="24"/>
        <v/>
      </c>
      <c r="AF1675" s="157" t="str">
        <f t="shared" si="25"/>
        <v/>
      </c>
      <c r="AG1675" s="157" t="str">
        <f t="shared" si="26"/>
        <v/>
      </c>
      <c r="AH1675" s="157" t="str">
        <f t="shared" si="27"/>
        <v/>
      </c>
      <c r="AI1675" s="157" t="str">
        <f t="shared" si="28"/>
        <v/>
      </c>
      <c r="AJ1675" s="157" t="str">
        <f t="shared" si="29"/>
        <v/>
      </c>
      <c r="AK1675" s="157" t="str">
        <f t="shared" si="30"/>
        <v/>
      </c>
      <c r="AL1675" s="157" t="str">
        <f t="shared" si="31"/>
        <v/>
      </c>
      <c r="AM1675" s="157" t="str">
        <f t="shared" si="32"/>
        <v/>
      </c>
      <c r="AN1675" s="157" t="str">
        <f t="shared" si="33"/>
        <v/>
      </c>
      <c r="AO1675" s="157" t="str">
        <f t="shared" si="34"/>
        <v/>
      </c>
      <c r="AP1675" s="157" t="str">
        <f t="shared" si="35"/>
        <v/>
      </c>
      <c r="AQ1675" s="157" t="str">
        <f t="shared" si="36"/>
        <v/>
      </c>
      <c r="AR1675" s="157" t="str">
        <f t="shared" si="37"/>
        <v/>
      </c>
      <c r="AS1675" s="157" t="str">
        <f t="shared" si="38"/>
        <v/>
      </c>
      <c r="AT1675" s="157" t="str">
        <f t="shared" si="39"/>
        <v/>
      </c>
      <c r="AU1675" s="157" t="str">
        <f t="shared" si="40"/>
        <v/>
      </c>
      <c r="AV1675" s="157" t="str">
        <f t="shared" si="41"/>
        <v/>
      </c>
      <c r="AW1675" s="157" t="str">
        <f t="shared" si="42"/>
        <v/>
      </c>
      <c r="AX1675" s="157" t="str">
        <f t="shared" si="43"/>
        <v/>
      </c>
      <c r="AY1675" s="157" t="str">
        <f t="shared" si="44"/>
        <v/>
      </c>
      <c r="AZ1675" s="157" t="str">
        <f t="shared" si="45"/>
        <v/>
      </c>
      <c r="BA1675" s="157" t="str">
        <f t="shared" si="46"/>
        <v/>
      </c>
      <c r="BB1675" s="160">
        <f t="shared" si="47"/>
        <v>0</v>
      </c>
    </row>
    <row r="1676" spans="1:54" s="22" customFormat="1" hidden="1">
      <c r="A1676" s="61"/>
      <c r="C1676" s="157" t="s">
        <v>233</v>
      </c>
      <c r="D1676" s="157" t="str">
        <f t="shared" si="7"/>
        <v/>
      </c>
      <c r="E1676" s="157" t="str">
        <f t="shared" si="8"/>
        <v/>
      </c>
      <c r="F1676" s="157" t="str">
        <f t="shared" si="48"/>
        <v/>
      </c>
      <c r="G1676" s="157" t="str">
        <f t="shared" si="49"/>
        <v/>
      </c>
      <c r="H1676" s="157" t="str">
        <f t="shared" si="50"/>
        <v/>
      </c>
      <c r="I1676" s="157" t="str">
        <f t="shared" si="51"/>
        <v/>
      </c>
      <c r="J1676" s="157" t="str">
        <f t="shared" si="52"/>
        <v/>
      </c>
      <c r="K1676" s="157" t="str">
        <f t="shared" si="53"/>
        <v/>
      </c>
      <c r="L1676" s="157" t="str">
        <f t="shared" si="54"/>
        <v/>
      </c>
      <c r="M1676" s="157" t="str">
        <f t="shared" si="55"/>
        <v/>
      </c>
      <c r="N1676" s="157" t="str">
        <f t="shared" si="56"/>
        <v/>
      </c>
      <c r="O1676" s="157" t="str">
        <f t="shared" si="57"/>
        <v/>
      </c>
      <c r="P1676" s="157" t="str">
        <f t="shared" si="9"/>
        <v/>
      </c>
      <c r="Q1676" s="157" t="str">
        <f t="shared" si="10"/>
        <v/>
      </c>
      <c r="R1676" s="157" t="str">
        <f t="shared" si="11"/>
        <v/>
      </c>
      <c r="S1676" s="157" t="str">
        <f t="shared" si="12"/>
        <v/>
      </c>
      <c r="T1676" s="157" t="str">
        <f t="shared" si="13"/>
        <v/>
      </c>
      <c r="U1676" s="157" t="str">
        <f t="shared" si="14"/>
        <v/>
      </c>
      <c r="V1676" s="157" t="str">
        <f t="shared" si="15"/>
        <v/>
      </c>
      <c r="W1676" s="157" t="str">
        <f t="shared" si="16"/>
        <v/>
      </c>
      <c r="X1676" s="157" t="str">
        <f t="shared" si="17"/>
        <v/>
      </c>
      <c r="Y1676" s="157" t="str">
        <f t="shared" si="18"/>
        <v/>
      </c>
      <c r="Z1676" s="157" t="str">
        <f t="shared" si="19"/>
        <v/>
      </c>
      <c r="AA1676" s="157" t="str">
        <f t="shared" si="20"/>
        <v/>
      </c>
      <c r="AB1676" s="157" t="str">
        <f t="shared" si="21"/>
        <v/>
      </c>
      <c r="AC1676" s="157" t="str">
        <f t="shared" si="22"/>
        <v/>
      </c>
      <c r="AD1676" s="157" t="str">
        <f t="shared" si="23"/>
        <v/>
      </c>
      <c r="AE1676" s="157" t="str">
        <f t="shared" si="24"/>
        <v/>
      </c>
      <c r="AF1676" s="157" t="str">
        <f t="shared" si="25"/>
        <v/>
      </c>
      <c r="AG1676" s="157" t="str">
        <f t="shared" si="26"/>
        <v/>
      </c>
      <c r="AH1676" s="157" t="str">
        <f t="shared" si="27"/>
        <v/>
      </c>
      <c r="AI1676" s="157" t="str">
        <f t="shared" si="28"/>
        <v/>
      </c>
      <c r="AJ1676" s="157" t="str">
        <f t="shared" si="29"/>
        <v/>
      </c>
      <c r="AK1676" s="157" t="str">
        <f t="shared" si="30"/>
        <v/>
      </c>
      <c r="AL1676" s="157" t="str">
        <f t="shared" si="31"/>
        <v/>
      </c>
      <c r="AM1676" s="157" t="str">
        <f t="shared" si="32"/>
        <v/>
      </c>
      <c r="AN1676" s="157" t="str">
        <f t="shared" si="33"/>
        <v/>
      </c>
      <c r="AO1676" s="157" t="str">
        <f t="shared" si="34"/>
        <v/>
      </c>
      <c r="AP1676" s="157" t="str">
        <f t="shared" si="35"/>
        <v/>
      </c>
      <c r="AQ1676" s="157" t="str">
        <f t="shared" si="36"/>
        <v/>
      </c>
      <c r="AR1676" s="157" t="str">
        <f t="shared" si="37"/>
        <v/>
      </c>
      <c r="AS1676" s="157" t="str">
        <f t="shared" si="38"/>
        <v/>
      </c>
      <c r="AT1676" s="157" t="str">
        <f t="shared" si="39"/>
        <v/>
      </c>
      <c r="AU1676" s="157" t="str">
        <f t="shared" si="40"/>
        <v/>
      </c>
      <c r="AV1676" s="157" t="str">
        <f t="shared" si="41"/>
        <v/>
      </c>
      <c r="AW1676" s="157" t="str">
        <f t="shared" si="42"/>
        <v/>
      </c>
      <c r="AX1676" s="157" t="str">
        <f t="shared" si="43"/>
        <v/>
      </c>
      <c r="AY1676" s="157" t="str">
        <f t="shared" si="44"/>
        <v/>
      </c>
      <c r="AZ1676" s="157" t="str">
        <f t="shared" si="45"/>
        <v/>
      </c>
      <c r="BA1676" s="157" t="str">
        <f t="shared" si="46"/>
        <v/>
      </c>
      <c r="BB1676" s="160">
        <f t="shared" si="47"/>
        <v>0</v>
      </c>
    </row>
    <row r="1677" spans="1:54" s="22" customFormat="1" hidden="1">
      <c r="A1677" s="61"/>
      <c r="C1677" s="157" t="s">
        <v>234</v>
      </c>
      <c r="D1677" s="157" t="str">
        <f t="shared" si="7"/>
        <v/>
      </c>
      <c r="E1677" s="157" t="str">
        <f t="shared" si="8"/>
        <v/>
      </c>
      <c r="F1677" s="157" t="str">
        <f t="shared" si="48"/>
        <v/>
      </c>
      <c r="G1677" s="157" t="str">
        <f t="shared" si="49"/>
        <v/>
      </c>
      <c r="H1677" s="157" t="str">
        <f t="shared" si="50"/>
        <v/>
      </c>
      <c r="I1677" s="157" t="str">
        <f t="shared" si="51"/>
        <v/>
      </c>
      <c r="J1677" s="157" t="str">
        <f t="shared" si="52"/>
        <v/>
      </c>
      <c r="K1677" s="157" t="str">
        <f t="shared" si="53"/>
        <v/>
      </c>
      <c r="L1677" s="157" t="str">
        <f t="shared" si="54"/>
        <v/>
      </c>
      <c r="M1677" s="157" t="str">
        <f t="shared" si="55"/>
        <v/>
      </c>
      <c r="N1677" s="157" t="str">
        <f t="shared" si="56"/>
        <v/>
      </c>
      <c r="O1677" s="157" t="str">
        <f t="shared" si="57"/>
        <v/>
      </c>
      <c r="P1677" s="157" t="str">
        <f t="shared" si="9"/>
        <v/>
      </c>
      <c r="Q1677" s="157" t="str">
        <f t="shared" si="10"/>
        <v/>
      </c>
      <c r="R1677" s="157" t="str">
        <f t="shared" si="11"/>
        <v/>
      </c>
      <c r="S1677" s="157" t="str">
        <f t="shared" si="12"/>
        <v/>
      </c>
      <c r="T1677" s="157" t="str">
        <f t="shared" si="13"/>
        <v/>
      </c>
      <c r="U1677" s="157" t="str">
        <f t="shared" si="14"/>
        <v/>
      </c>
      <c r="V1677" s="157" t="str">
        <f t="shared" si="15"/>
        <v/>
      </c>
      <c r="W1677" s="157" t="str">
        <f t="shared" si="16"/>
        <v/>
      </c>
      <c r="X1677" s="157" t="str">
        <f t="shared" si="17"/>
        <v/>
      </c>
      <c r="Y1677" s="157" t="str">
        <f t="shared" si="18"/>
        <v/>
      </c>
      <c r="Z1677" s="157" t="str">
        <f t="shared" si="19"/>
        <v/>
      </c>
      <c r="AA1677" s="157" t="str">
        <f t="shared" si="20"/>
        <v/>
      </c>
      <c r="AB1677" s="157" t="str">
        <f t="shared" si="21"/>
        <v/>
      </c>
      <c r="AC1677" s="157" t="str">
        <f t="shared" si="22"/>
        <v/>
      </c>
      <c r="AD1677" s="157" t="str">
        <f t="shared" si="23"/>
        <v/>
      </c>
      <c r="AE1677" s="157" t="str">
        <f t="shared" si="24"/>
        <v/>
      </c>
      <c r="AF1677" s="157" t="str">
        <f t="shared" si="25"/>
        <v/>
      </c>
      <c r="AG1677" s="157" t="str">
        <f t="shared" si="26"/>
        <v/>
      </c>
      <c r="AH1677" s="157" t="str">
        <f t="shared" si="27"/>
        <v/>
      </c>
      <c r="AI1677" s="157" t="str">
        <f t="shared" si="28"/>
        <v/>
      </c>
      <c r="AJ1677" s="157" t="str">
        <f t="shared" si="29"/>
        <v/>
      </c>
      <c r="AK1677" s="157" t="str">
        <f t="shared" si="30"/>
        <v/>
      </c>
      <c r="AL1677" s="157" t="str">
        <f t="shared" si="31"/>
        <v/>
      </c>
      <c r="AM1677" s="157" t="str">
        <f t="shared" si="32"/>
        <v/>
      </c>
      <c r="AN1677" s="157" t="str">
        <f t="shared" si="33"/>
        <v/>
      </c>
      <c r="AO1677" s="157" t="str">
        <f t="shared" si="34"/>
        <v/>
      </c>
      <c r="AP1677" s="157" t="str">
        <f t="shared" si="35"/>
        <v/>
      </c>
      <c r="AQ1677" s="157" t="str">
        <f t="shared" si="36"/>
        <v/>
      </c>
      <c r="AR1677" s="157" t="str">
        <f t="shared" si="37"/>
        <v/>
      </c>
      <c r="AS1677" s="157" t="str">
        <f t="shared" si="38"/>
        <v/>
      </c>
      <c r="AT1677" s="157" t="str">
        <f t="shared" si="39"/>
        <v/>
      </c>
      <c r="AU1677" s="157" t="str">
        <f t="shared" si="40"/>
        <v/>
      </c>
      <c r="AV1677" s="157" t="str">
        <f t="shared" si="41"/>
        <v/>
      </c>
      <c r="AW1677" s="157" t="str">
        <f t="shared" si="42"/>
        <v/>
      </c>
      <c r="AX1677" s="157" t="str">
        <f t="shared" si="43"/>
        <v/>
      </c>
      <c r="AY1677" s="157" t="str">
        <f t="shared" si="44"/>
        <v/>
      </c>
      <c r="AZ1677" s="157" t="str">
        <f t="shared" si="45"/>
        <v/>
      </c>
      <c r="BA1677" s="157" t="str">
        <f t="shared" si="46"/>
        <v/>
      </c>
      <c r="BB1677" s="160">
        <f t="shared" si="47"/>
        <v>0</v>
      </c>
    </row>
    <row r="1678" spans="1:54" s="22" customFormat="1" hidden="1">
      <c r="A1678" s="61"/>
      <c r="C1678" s="157" t="s">
        <v>235</v>
      </c>
      <c r="D1678" s="157" t="str">
        <f t="shared" si="7"/>
        <v/>
      </c>
      <c r="E1678" s="157" t="str">
        <f t="shared" si="8"/>
        <v/>
      </c>
      <c r="F1678" s="157" t="str">
        <f t="shared" si="48"/>
        <v/>
      </c>
      <c r="G1678" s="157" t="str">
        <f t="shared" si="49"/>
        <v/>
      </c>
      <c r="H1678" s="157" t="str">
        <f t="shared" si="50"/>
        <v/>
      </c>
      <c r="I1678" s="157" t="str">
        <f t="shared" si="51"/>
        <v/>
      </c>
      <c r="J1678" s="157" t="str">
        <f t="shared" si="52"/>
        <v/>
      </c>
      <c r="K1678" s="157" t="str">
        <f t="shared" si="53"/>
        <v/>
      </c>
      <c r="L1678" s="157" t="str">
        <f t="shared" si="54"/>
        <v/>
      </c>
      <c r="M1678" s="157" t="str">
        <f t="shared" si="55"/>
        <v/>
      </c>
      <c r="N1678" s="157" t="str">
        <f t="shared" si="56"/>
        <v/>
      </c>
      <c r="O1678" s="157" t="str">
        <f t="shared" si="57"/>
        <v/>
      </c>
      <c r="P1678" s="157" t="str">
        <f t="shared" si="9"/>
        <v/>
      </c>
      <c r="Q1678" s="157" t="str">
        <f t="shared" si="10"/>
        <v/>
      </c>
      <c r="R1678" s="157" t="str">
        <f t="shared" si="11"/>
        <v/>
      </c>
      <c r="S1678" s="157" t="str">
        <f t="shared" si="12"/>
        <v/>
      </c>
      <c r="T1678" s="157" t="str">
        <f t="shared" si="13"/>
        <v/>
      </c>
      <c r="U1678" s="157" t="str">
        <f t="shared" si="14"/>
        <v/>
      </c>
      <c r="V1678" s="157" t="str">
        <f t="shared" si="15"/>
        <v/>
      </c>
      <c r="W1678" s="157" t="str">
        <f t="shared" si="16"/>
        <v/>
      </c>
      <c r="X1678" s="157" t="str">
        <f t="shared" si="17"/>
        <v/>
      </c>
      <c r="Y1678" s="157" t="str">
        <f t="shared" si="18"/>
        <v/>
      </c>
      <c r="Z1678" s="157" t="str">
        <f t="shared" si="19"/>
        <v/>
      </c>
      <c r="AA1678" s="157" t="str">
        <f t="shared" si="20"/>
        <v/>
      </c>
      <c r="AB1678" s="157" t="str">
        <f t="shared" si="21"/>
        <v/>
      </c>
      <c r="AC1678" s="157" t="str">
        <f t="shared" si="22"/>
        <v/>
      </c>
      <c r="AD1678" s="157" t="str">
        <f t="shared" si="23"/>
        <v/>
      </c>
      <c r="AE1678" s="157" t="str">
        <f t="shared" si="24"/>
        <v/>
      </c>
      <c r="AF1678" s="157" t="str">
        <f t="shared" si="25"/>
        <v/>
      </c>
      <c r="AG1678" s="157" t="str">
        <f t="shared" si="26"/>
        <v/>
      </c>
      <c r="AH1678" s="157" t="str">
        <f t="shared" si="27"/>
        <v/>
      </c>
      <c r="AI1678" s="157" t="str">
        <f t="shared" si="28"/>
        <v/>
      </c>
      <c r="AJ1678" s="157" t="str">
        <f t="shared" si="29"/>
        <v/>
      </c>
      <c r="AK1678" s="157" t="str">
        <f t="shared" si="30"/>
        <v/>
      </c>
      <c r="AL1678" s="157" t="str">
        <f t="shared" si="31"/>
        <v/>
      </c>
      <c r="AM1678" s="157" t="str">
        <f t="shared" si="32"/>
        <v/>
      </c>
      <c r="AN1678" s="157" t="str">
        <f t="shared" si="33"/>
        <v/>
      </c>
      <c r="AO1678" s="157" t="str">
        <f t="shared" si="34"/>
        <v/>
      </c>
      <c r="AP1678" s="157" t="str">
        <f t="shared" si="35"/>
        <v/>
      </c>
      <c r="AQ1678" s="157" t="str">
        <f t="shared" si="36"/>
        <v/>
      </c>
      <c r="AR1678" s="157" t="str">
        <f t="shared" si="37"/>
        <v/>
      </c>
      <c r="AS1678" s="157" t="str">
        <f t="shared" si="38"/>
        <v/>
      </c>
      <c r="AT1678" s="157" t="str">
        <f t="shared" si="39"/>
        <v/>
      </c>
      <c r="AU1678" s="157" t="str">
        <f t="shared" si="40"/>
        <v/>
      </c>
      <c r="AV1678" s="157" t="str">
        <f t="shared" si="41"/>
        <v/>
      </c>
      <c r="AW1678" s="157" t="str">
        <f t="shared" si="42"/>
        <v/>
      </c>
      <c r="AX1678" s="157" t="str">
        <f t="shared" si="43"/>
        <v/>
      </c>
      <c r="AY1678" s="157" t="str">
        <f t="shared" si="44"/>
        <v/>
      </c>
      <c r="AZ1678" s="157" t="str">
        <f t="shared" si="45"/>
        <v/>
      </c>
      <c r="BA1678" s="157" t="str">
        <f t="shared" si="46"/>
        <v/>
      </c>
      <c r="BB1678" s="160">
        <f t="shared" si="47"/>
        <v>0</v>
      </c>
    </row>
    <row r="1679" spans="1:54" s="22" customFormat="1" hidden="1">
      <c r="A1679" s="61"/>
      <c r="C1679" s="157" t="s">
        <v>236</v>
      </c>
      <c r="D1679" s="157" t="str">
        <f t="shared" si="7"/>
        <v/>
      </c>
      <c r="E1679" s="157" t="str">
        <f t="shared" si="8"/>
        <v/>
      </c>
      <c r="F1679" s="157" t="str">
        <f t="shared" si="48"/>
        <v/>
      </c>
      <c r="G1679" s="157" t="str">
        <f t="shared" si="49"/>
        <v/>
      </c>
      <c r="H1679" s="157" t="str">
        <f t="shared" si="50"/>
        <v/>
      </c>
      <c r="I1679" s="157" t="str">
        <f t="shared" si="51"/>
        <v/>
      </c>
      <c r="J1679" s="157" t="str">
        <f t="shared" si="52"/>
        <v/>
      </c>
      <c r="K1679" s="157" t="str">
        <f t="shared" si="53"/>
        <v/>
      </c>
      <c r="L1679" s="157" t="str">
        <f t="shared" si="54"/>
        <v/>
      </c>
      <c r="M1679" s="157" t="str">
        <f t="shared" si="55"/>
        <v/>
      </c>
      <c r="N1679" s="157" t="str">
        <f t="shared" si="56"/>
        <v/>
      </c>
      <c r="O1679" s="157" t="str">
        <f t="shared" si="57"/>
        <v/>
      </c>
      <c r="P1679" s="157" t="str">
        <f t="shared" si="9"/>
        <v/>
      </c>
      <c r="Q1679" s="157" t="str">
        <f t="shared" si="10"/>
        <v/>
      </c>
      <c r="R1679" s="157" t="str">
        <f t="shared" si="11"/>
        <v/>
      </c>
      <c r="S1679" s="157" t="str">
        <f t="shared" si="12"/>
        <v/>
      </c>
      <c r="T1679" s="157" t="str">
        <f t="shared" si="13"/>
        <v/>
      </c>
      <c r="U1679" s="157" t="str">
        <f t="shared" si="14"/>
        <v/>
      </c>
      <c r="V1679" s="157" t="str">
        <f t="shared" si="15"/>
        <v/>
      </c>
      <c r="W1679" s="157" t="str">
        <f t="shared" si="16"/>
        <v/>
      </c>
      <c r="X1679" s="157" t="str">
        <f t="shared" si="17"/>
        <v/>
      </c>
      <c r="Y1679" s="157" t="str">
        <f t="shared" si="18"/>
        <v/>
      </c>
      <c r="Z1679" s="157" t="str">
        <f t="shared" si="19"/>
        <v/>
      </c>
      <c r="AA1679" s="157" t="str">
        <f t="shared" si="20"/>
        <v/>
      </c>
      <c r="AB1679" s="157" t="str">
        <f t="shared" si="21"/>
        <v/>
      </c>
      <c r="AC1679" s="157" t="str">
        <f t="shared" si="22"/>
        <v/>
      </c>
      <c r="AD1679" s="157" t="str">
        <f t="shared" si="23"/>
        <v/>
      </c>
      <c r="AE1679" s="157" t="str">
        <f t="shared" si="24"/>
        <v/>
      </c>
      <c r="AF1679" s="157" t="str">
        <f t="shared" si="25"/>
        <v/>
      </c>
      <c r="AG1679" s="157" t="str">
        <f t="shared" si="26"/>
        <v/>
      </c>
      <c r="AH1679" s="157" t="str">
        <f t="shared" si="27"/>
        <v/>
      </c>
      <c r="AI1679" s="157" t="str">
        <f t="shared" si="28"/>
        <v/>
      </c>
      <c r="AJ1679" s="157" t="str">
        <f t="shared" si="29"/>
        <v/>
      </c>
      <c r="AK1679" s="157" t="str">
        <f t="shared" si="30"/>
        <v/>
      </c>
      <c r="AL1679" s="157" t="str">
        <f t="shared" si="31"/>
        <v/>
      </c>
      <c r="AM1679" s="157" t="str">
        <f t="shared" si="32"/>
        <v/>
      </c>
      <c r="AN1679" s="157" t="str">
        <f t="shared" si="33"/>
        <v/>
      </c>
      <c r="AO1679" s="157" t="str">
        <f t="shared" si="34"/>
        <v/>
      </c>
      <c r="AP1679" s="157" t="str">
        <f t="shared" si="35"/>
        <v/>
      </c>
      <c r="AQ1679" s="157" t="str">
        <f t="shared" si="36"/>
        <v/>
      </c>
      <c r="AR1679" s="157" t="str">
        <f t="shared" si="37"/>
        <v/>
      </c>
      <c r="AS1679" s="157" t="str">
        <f t="shared" si="38"/>
        <v/>
      </c>
      <c r="AT1679" s="157" t="str">
        <f t="shared" si="39"/>
        <v/>
      </c>
      <c r="AU1679" s="157" t="str">
        <f t="shared" si="40"/>
        <v/>
      </c>
      <c r="AV1679" s="157" t="str">
        <f t="shared" si="41"/>
        <v/>
      </c>
      <c r="AW1679" s="157" t="str">
        <f t="shared" si="42"/>
        <v/>
      </c>
      <c r="AX1679" s="157" t="str">
        <f t="shared" si="43"/>
        <v/>
      </c>
      <c r="AY1679" s="157" t="str">
        <f t="shared" si="44"/>
        <v/>
      </c>
      <c r="AZ1679" s="157" t="str">
        <f t="shared" si="45"/>
        <v/>
      </c>
      <c r="BA1679" s="157" t="str">
        <f t="shared" si="46"/>
        <v/>
      </c>
      <c r="BB1679" s="160">
        <f t="shared" si="47"/>
        <v>0</v>
      </c>
    </row>
    <row r="1680" spans="1:54" s="22" customFormat="1" hidden="1">
      <c r="A1680" s="61"/>
      <c r="C1680" s="157" t="s">
        <v>237</v>
      </c>
      <c r="D1680" s="157" t="str">
        <f t="shared" si="7"/>
        <v/>
      </c>
      <c r="E1680" s="157" t="str">
        <f t="shared" si="8"/>
        <v/>
      </c>
      <c r="F1680" s="157" t="str">
        <f t="shared" si="48"/>
        <v/>
      </c>
      <c r="G1680" s="157" t="str">
        <f t="shared" si="49"/>
        <v/>
      </c>
      <c r="H1680" s="157" t="str">
        <f t="shared" si="50"/>
        <v/>
      </c>
      <c r="I1680" s="157" t="str">
        <f t="shared" si="51"/>
        <v/>
      </c>
      <c r="J1680" s="157" t="str">
        <f t="shared" si="52"/>
        <v/>
      </c>
      <c r="K1680" s="157" t="str">
        <f t="shared" si="53"/>
        <v/>
      </c>
      <c r="L1680" s="157" t="str">
        <f t="shared" si="54"/>
        <v/>
      </c>
      <c r="M1680" s="157" t="str">
        <f t="shared" si="55"/>
        <v/>
      </c>
      <c r="N1680" s="157" t="str">
        <f t="shared" si="56"/>
        <v/>
      </c>
      <c r="O1680" s="157" t="str">
        <f t="shared" si="57"/>
        <v/>
      </c>
      <c r="P1680" s="157" t="str">
        <f t="shared" si="9"/>
        <v/>
      </c>
      <c r="Q1680" s="157" t="str">
        <f t="shared" si="10"/>
        <v/>
      </c>
      <c r="R1680" s="157" t="str">
        <f t="shared" si="11"/>
        <v/>
      </c>
      <c r="S1680" s="157" t="str">
        <f t="shared" si="12"/>
        <v/>
      </c>
      <c r="T1680" s="157" t="str">
        <f t="shared" si="13"/>
        <v/>
      </c>
      <c r="U1680" s="157" t="str">
        <f t="shared" si="14"/>
        <v/>
      </c>
      <c r="V1680" s="157" t="str">
        <f t="shared" si="15"/>
        <v/>
      </c>
      <c r="W1680" s="157" t="str">
        <f t="shared" si="16"/>
        <v/>
      </c>
      <c r="X1680" s="157" t="str">
        <f t="shared" si="17"/>
        <v/>
      </c>
      <c r="Y1680" s="157" t="str">
        <f t="shared" si="18"/>
        <v/>
      </c>
      <c r="Z1680" s="157" t="str">
        <f t="shared" si="19"/>
        <v/>
      </c>
      <c r="AA1680" s="157" t="str">
        <f t="shared" si="20"/>
        <v/>
      </c>
      <c r="AB1680" s="157" t="str">
        <f t="shared" si="21"/>
        <v/>
      </c>
      <c r="AC1680" s="157" t="str">
        <f t="shared" si="22"/>
        <v/>
      </c>
      <c r="AD1680" s="157" t="str">
        <f t="shared" si="23"/>
        <v/>
      </c>
      <c r="AE1680" s="157" t="str">
        <f t="shared" si="24"/>
        <v/>
      </c>
      <c r="AF1680" s="157" t="str">
        <f t="shared" si="25"/>
        <v/>
      </c>
      <c r="AG1680" s="157" t="str">
        <f t="shared" si="26"/>
        <v/>
      </c>
      <c r="AH1680" s="157" t="str">
        <f t="shared" si="27"/>
        <v/>
      </c>
      <c r="AI1680" s="157" t="str">
        <f t="shared" si="28"/>
        <v/>
      </c>
      <c r="AJ1680" s="157" t="str">
        <f t="shared" si="29"/>
        <v/>
      </c>
      <c r="AK1680" s="157" t="str">
        <f t="shared" si="30"/>
        <v/>
      </c>
      <c r="AL1680" s="157" t="str">
        <f t="shared" si="31"/>
        <v/>
      </c>
      <c r="AM1680" s="157" t="str">
        <f t="shared" si="32"/>
        <v/>
      </c>
      <c r="AN1680" s="157" t="str">
        <f t="shared" si="33"/>
        <v/>
      </c>
      <c r="AO1680" s="157" t="str">
        <f t="shared" si="34"/>
        <v/>
      </c>
      <c r="AP1680" s="157" t="str">
        <f t="shared" si="35"/>
        <v/>
      </c>
      <c r="AQ1680" s="157" t="str">
        <f t="shared" si="36"/>
        <v/>
      </c>
      <c r="AR1680" s="157" t="str">
        <f t="shared" si="37"/>
        <v/>
      </c>
      <c r="AS1680" s="157" t="str">
        <f t="shared" si="38"/>
        <v/>
      </c>
      <c r="AT1680" s="157" t="str">
        <f t="shared" si="39"/>
        <v/>
      </c>
      <c r="AU1680" s="157" t="str">
        <f t="shared" si="40"/>
        <v/>
      </c>
      <c r="AV1680" s="157" t="str">
        <f t="shared" si="41"/>
        <v/>
      </c>
      <c r="AW1680" s="157" t="str">
        <f t="shared" si="42"/>
        <v/>
      </c>
      <c r="AX1680" s="157" t="str">
        <f t="shared" si="43"/>
        <v/>
      </c>
      <c r="AY1680" s="157" t="str">
        <f t="shared" si="44"/>
        <v/>
      </c>
      <c r="AZ1680" s="157" t="str">
        <f t="shared" si="45"/>
        <v/>
      </c>
      <c r="BA1680" s="157" t="str">
        <f t="shared" si="46"/>
        <v/>
      </c>
      <c r="BB1680" s="160">
        <f t="shared" si="47"/>
        <v>0</v>
      </c>
    </row>
    <row r="1681" spans="1:54" s="22" customFormat="1" hidden="1">
      <c r="A1681" s="61"/>
      <c r="C1681" s="157" t="s">
        <v>238</v>
      </c>
      <c r="D1681" s="157" t="str">
        <f t="shared" si="7"/>
        <v/>
      </c>
      <c r="E1681" s="157" t="str">
        <f t="shared" si="8"/>
        <v/>
      </c>
      <c r="F1681" s="157" t="str">
        <f t="shared" si="48"/>
        <v/>
      </c>
      <c r="G1681" s="157" t="str">
        <f t="shared" si="49"/>
        <v/>
      </c>
      <c r="H1681" s="157" t="str">
        <f t="shared" si="50"/>
        <v/>
      </c>
      <c r="I1681" s="157" t="str">
        <f t="shared" si="51"/>
        <v/>
      </c>
      <c r="J1681" s="157" t="str">
        <f t="shared" si="52"/>
        <v/>
      </c>
      <c r="K1681" s="157" t="str">
        <f t="shared" si="53"/>
        <v/>
      </c>
      <c r="L1681" s="157" t="str">
        <f t="shared" si="54"/>
        <v/>
      </c>
      <c r="M1681" s="157" t="str">
        <f t="shared" si="55"/>
        <v/>
      </c>
      <c r="N1681" s="157" t="str">
        <f t="shared" si="56"/>
        <v/>
      </c>
      <c r="O1681" s="157" t="str">
        <f t="shared" si="57"/>
        <v/>
      </c>
      <c r="P1681" s="157" t="str">
        <f t="shared" si="9"/>
        <v/>
      </c>
      <c r="Q1681" s="157" t="str">
        <f t="shared" si="10"/>
        <v/>
      </c>
      <c r="R1681" s="157" t="str">
        <f t="shared" si="11"/>
        <v/>
      </c>
      <c r="S1681" s="157" t="str">
        <f t="shared" si="12"/>
        <v/>
      </c>
      <c r="T1681" s="157" t="str">
        <f t="shared" si="13"/>
        <v/>
      </c>
      <c r="U1681" s="157" t="str">
        <f t="shared" si="14"/>
        <v/>
      </c>
      <c r="V1681" s="157" t="str">
        <f t="shared" si="15"/>
        <v/>
      </c>
      <c r="W1681" s="157" t="str">
        <f t="shared" si="16"/>
        <v/>
      </c>
      <c r="X1681" s="157" t="str">
        <f t="shared" si="17"/>
        <v/>
      </c>
      <c r="Y1681" s="157" t="str">
        <f t="shared" si="18"/>
        <v/>
      </c>
      <c r="Z1681" s="157" t="str">
        <f t="shared" si="19"/>
        <v/>
      </c>
      <c r="AA1681" s="157" t="str">
        <f t="shared" si="20"/>
        <v/>
      </c>
      <c r="AB1681" s="157" t="str">
        <f t="shared" si="21"/>
        <v/>
      </c>
      <c r="AC1681" s="157" t="str">
        <f t="shared" si="22"/>
        <v/>
      </c>
      <c r="AD1681" s="157" t="str">
        <f t="shared" si="23"/>
        <v/>
      </c>
      <c r="AE1681" s="157" t="str">
        <f t="shared" si="24"/>
        <v/>
      </c>
      <c r="AF1681" s="157" t="str">
        <f t="shared" si="25"/>
        <v/>
      </c>
      <c r="AG1681" s="157" t="str">
        <f t="shared" si="26"/>
        <v/>
      </c>
      <c r="AH1681" s="157" t="str">
        <f t="shared" si="27"/>
        <v/>
      </c>
      <c r="AI1681" s="157" t="str">
        <f t="shared" si="28"/>
        <v/>
      </c>
      <c r="AJ1681" s="157" t="str">
        <f t="shared" si="29"/>
        <v/>
      </c>
      <c r="AK1681" s="157" t="str">
        <f t="shared" si="30"/>
        <v/>
      </c>
      <c r="AL1681" s="157" t="str">
        <f t="shared" si="31"/>
        <v/>
      </c>
      <c r="AM1681" s="157" t="str">
        <f t="shared" si="32"/>
        <v/>
      </c>
      <c r="AN1681" s="157" t="str">
        <f t="shared" si="33"/>
        <v/>
      </c>
      <c r="AO1681" s="157" t="str">
        <f t="shared" si="34"/>
        <v/>
      </c>
      <c r="AP1681" s="157" t="str">
        <f t="shared" si="35"/>
        <v/>
      </c>
      <c r="AQ1681" s="157" t="str">
        <f t="shared" si="36"/>
        <v/>
      </c>
      <c r="AR1681" s="157" t="str">
        <f t="shared" si="37"/>
        <v/>
      </c>
      <c r="AS1681" s="157" t="str">
        <f t="shared" si="38"/>
        <v/>
      </c>
      <c r="AT1681" s="157" t="str">
        <f t="shared" si="39"/>
        <v/>
      </c>
      <c r="AU1681" s="157" t="str">
        <f t="shared" si="40"/>
        <v/>
      </c>
      <c r="AV1681" s="157" t="str">
        <f t="shared" si="41"/>
        <v/>
      </c>
      <c r="AW1681" s="157" t="str">
        <f t="shared" si="42"/>
        <v/>
      </c>
      <c r="AX1681" s="157" t="str">
        <f t="shared" si="43"/>
        <v/>
      </c>
      <c r="AY1681" s="157" t="str">
        <f t="shared" si="44"/>
        <v/>
      </c>
      <c r="AZ1681" s="157" t="str">
        <f t="shared" si="45"/>
        <v/>
      </c>
      <c r="BA1681" s="157" t="str">
        <f t="shared" si="46"/>
        <v/>
      </c>
      <c r="BB1681" s="160">
        <f t="shared" si="47"/>
        <v>0</v>
      </c>
    </row>
    <row r="1682" spans="1:54" s="22" customFormat="1" hidden="1">
      <c r="A1682" s="61"/>
      <c r="C1682" s="157" t="s">
        <v>239</v>
      </c>
      <c r="D1682" s="157" t="str">
        <f t="shared" si="7"/>
        <v/>
      </c>
      <c r="E1682" s="157" t="str">
        <f t="shared" si="8"/>
        <v/>
      </c>
      <c r="F1682" s="157" t="str">
        <f t="shared" si="48"/>
        <v/>
      </c>
      <c r="G1682" s="157" t="str">
        <f t="shared" si="49"/>
        <v/>
      </c>
      <c r="H1682" s="157" t="str">
        <f t="shared" si="50"/>
        <v/>
      </c>
      <c r="I1682" s="157" t="str">
        <f t="shared" si="51"/>
        <v/>
      </c>
      <c r="J1682" s="157" t="str">
        <f t="shared" si="52"/>
        <v/>
      </c>
      <c r="K1682" s="157" t="str">
        <f t="shared" si="53"/>
        <v/>
      </c>
      <c r="L1682" s="157" t="str">
        <f t="shared" si="54"/>
        <v/>
      </c>
      <c r="M1682" s="157" t="str">
        <f t="shared" si="55"/>
        <v/>
      </c>
      <c r="N1682" s="157" t="str">
        <f t="shared" si="56"/>
        <v/>
      </c>
      <c r="O1682" s="157" t="str">
        <f t="shared" si="57"/>
        <v/>
      </c>
      <c r="P1682" s="157" t="str">
        <f t="shared" si="9"/>
        <v/>
      </c>
      <c r="Q1682" s="157" t="str">
        <f t="shared" si="10"/>
        <v/>
      </c>
      <c r="R1682" s="157" t="str">
        <f t="shared" si="11"/>
        <v/>
      </c>
      <c r="S1682" s="157" t="str">
        <f t="shared" si="12"/>
        <v/>
      </c>
      <c r="T1682" s="157" t="str">
        <f t="shared" si="13"/>
        <v/>
      </c>
      <c r="U1682" s="157" t="str">
        <f t="shared" si="14"/>
        <v/>
      </c>
      <c r="V1682" s="157" t="str">
        <f t="shared" si="15"/>
        <v/>
      </c>
      <c r="W1682" s="157" t="str">
        <f t="shared" si="16"/>
        <v/>
      </c>
      <c r="X1682" s="157" t="str">
        <f t="shared" si="17"/>
        <v/>
      </c>
      <c r="Y1682" s="157" t="str">
        <f t="shared" si="18"/>
        <v/>
      </c>
      <c r="Z1682" s="157" t="str">
        <f t="shared" si="19"/>
        <v/>
      </c>
      <c r="AA1682" s="157" t="str">
        <f t="shared" si="20"/>
        <v/>
      </c>
      <c r="AB1682" s="157" t="str">
        <f t="shared" si="21"/>
        <v/>
      </c>
      <c r="AC1682" s="157" t="str">
        <f t="shared" si="22"/>
        <v/>
      </c>
      <c r="AD1682" s="157" t="str">
        <f t="shared" si="23"/>
        <v/>
      </c>
      <c r="AE1682" s="157" t="str">
        <f t="shared" si="24"/>
        <v/>
      </c>
      <c r="AF1682" s="157" t="str">
        <f t="shared" si="25"/>
        <v/>
      </c>
      <c r="AG1682" s="157" t="str">
        <f t="shared" si="26"/>
        <v/>
      </c>
      <c r="AH1682" s="157" t="str">
        <f t="shared" si="27"/>
        <v/>
      </c>
      <c r="AI1682" s="157" t="str">
        <f t="shared" si="28"/>
        <v/>
      </c>
      <c r="AJ1682" s="157" t="str">
        <f t="shared" si="29"/>
        <v/>
      </c>
      <c r="AK1682" s="157" t="str">
        <f t="shared" si="30"/>
        <v/>
      </c>
      <c r="AL1682" s="157" t="str">
        <f t="shared" si="31"/>
        <v/>
      </c>
      <c r="AM1682" s="157" t="str">
        <f t="shared" si="32"/>
        <v/>
      </c>
      <c r="AN1682" s="157" t="str">
        <f t="shared" si="33"/>
        <v/>
      </c>
      <c r="AO1682" s="157" t="str">
        <f t="shared" si="34"/>
        <v/>
      </c>
      <c r="AP1682" s="157" t="str">
        <f t="shared" si="35"/>
        <v/>
      </c>
      <c r="AQ1682" s="157" t="str">
        <f t="shared" si="36"/>
        <v/>
      </c>
      <c r="AR1682" s="157" t="str">
        <f t="shared" si="37"/>
        <v/>
      </c>
      <c r="AS1682" s="157" t="str">
        <f t="shared" si="38"/>
        <v/>
      </c>
      <c r="AT1682" s="157" t="str">
        <f t="shared" si="39"/>
        <v/>
      </c>
      <c r="AU1682" s="157" t="str">
        <f t="shared" si="40"/>
        <v/>
      </c>
      <c r="AV1682" s="157" t="str">
        <f t="shared" si="41"/>
        <v/>
      </c>
      <c r="AW1682" s="157" t="str">
        <f t="shared" si="42"/>
        <v/>
      </c>
      <c r="AX1682" s="157" t="str">
        <f t="shared" si="43"/>
        <v/>
      </c>
      <c r="AY1682" s="157" t="str">
        <f t="shared" si="44"/>
        <v/>
      </c>
      <c r="AZ1682" s="157" t="str">
        <f t="shared" si="45"/>
        <v/>
      </c>
      <c r="BA1682" s="157" t="str">
        <f t="shared" si="46"/>
        <v/>
      </c>
      <c r="BB1682" s="160">
        <f t="shared" si="47"/>
        <v>0</v>
      </c>
    </row>
    <row r="1683" spans="1:54" s="22" customFormat="1" hidden="1">
      <c r="A1683" s="61"/>
      <c r="C1683" s="157" t="s">
        <v>240</v>
      </c>
      <c r="D1683" s="157" t="str">
        <f t="shared" si="7"/>
        <v/>
      </c>
      <c r="E1683" s="157" t="str">
        <f t="shared" si="8"/>
        <v/>
      </c>
      <c r="F1683" s="157" t="str">
        <f t="shared" si="48"/>
        <v/>
      </c>
      <c r="G1683" s="157" t="str">
        <f t="shared" si="49"/>
        <v/>
      </c>
      <c r="H1683" s="157" t="str">
        <f t="shared" si="50"/>
        <v/>
      </c>
      <c r="I1683" s="157" t="str">
        <f t="shared" si="51"/>
        <v/>
      </c>
      <c r="J1683" s="157" t="str">
        <f t="shared" si="52"/>
        <v/>
      </c>
      <c r="K1683" s="157" t="str">
        <f t="shared" si="53"/>
        <v/>
      </c>
      <c r="L1683" s="157" t="str">
        <f t="shared" si="54"/>
        <v/>
      </c>
      <c r="M1683" s="157" t="str">
        <f t="shared" si="55"/>
        <v/>
      </c>
      <c r="N1683" s="157" t="str">
        <f t="shared" si="56"/>
        <v/>
      </c>
      <c r="O1683" s="157" t="str">
        <f t="shared" si="57"/>
        <v/>
      </c>
      <c r="P1683" s="157" t="str">
        <f t="shared" si="9"/>
        <v/>
      </c>
      <c r="Q1683" s="157" t="str">
        <f t="shared" si="10"/>
        <v/>
      </c>
      <c r="R1683" s="157" t="str">
        <f t="shared" si="11"/>
        <v/>
      </c>
      <c r="S1683" s="157" t="str">
        <f t="shared" si="12"/>
        <v/>
      </c>
      <c r="T1683" s="157" t="str">
        <f t="shared" si="13"/>
        <v/>
      </c>
      <c r="U1683" s="157" t="str">
        <f t="shared" si="14"/>
        <v/>
      </c>
      <c r="V1683" s="157" t="str">
        <f t="shared" si="15"/>
        <v/>
      </c>
      <c r="W1683" s="157" t="str">
        <f t="shared" si="16"/>
        <v/>
      </c>
      <c r="X1683" s="157" t="str">
        <f t="shared" si="17"/>
        <v/>
      </c>
      <c r="Y1683" s="157" t="str">
        <f t="shared" si="18"/>
        <v/>
      </c>
      <c r="Z1683" s="157" t="str">
        <f t="shared" si="19"/>
        <v/>
      </c>
      <c r="AA1683" s="157" t="str">
        <f t="shared" si="20"/>
        <v/>
      </c>
      <c r="AB1683" s="157" t="str">
        <f t="shared" si="21"/>
        <v/>
      </c>
      <c r="AC1683" s="157" t="str">
        <f t="shared" si="22"/>
        <v/>
      </c>
      <c r="AD1683" s="157" t="str">
        <f t="shared" si="23"/>
        <v/>
      </c>
      <c r="AE1683" s="157" t="str">
        <f t="shared" si="24"/>
        <v/>
      </c>
      <c r="AF1683" s="157" t="str">
        <f t="shared" si="25"/>
        <v/>
      </c>
      <c r="AG1683" s="157" t="str">
        <f t="shared" si="26"/>
        <v/>
      </c>
      <c r="AH1683" s="157" t="str">
        <f t="shared" si="27"/>
        <v/>
      </c>
      <c r="AI1683" s="157" t="str">
        <f t="shared" si="28"/>
        <v/>
      </c>
      <c r="AJ1683" s="157" t="str">
        <f t="shared" si="29"/>
        <v/>
      </c>
      <c r="AK1683" s="157" t="str">
        <f t="shared" si="30"/>
        <v/>
      </c>
      <c r="AL1683" s="157" t="str">
        <f t="shared" si="31"/>
        <v/>
      </c>
      <c r="AM1683" s="157" t="str">
        <f t="shared" si="32"/>
        <v/>
      </c>
      <c r="AN1683" s="157" t="str">
        <f t="shared" si="33"/>
        <v/>
      </c>
      <c r="AO1683" s="157" t="str">
        <f t="shared" si="34"/>
        <v/>
      </c>
      <c r="AP1683" s="157" t="str">
        <f t="shared" si="35"/>
        <v/>
      </c>
      <c r="AQ1683" s="157" t="str">
        <f t="shared" si="36"/>
        <v/>
      </c>
      <c r="AR1683" s="157" t="str">
        <f t="shared" si="37"/>
        <v/>
      </c>
      <c r="AS1683" s="157" t="str">
        <f t="shared" si="38"/>
        <v/>
      </c>
      <c r="AT1683" s="157" t="str">
        <f t="shared" si="39"/>
        <v/>
      </c>
      <c r="AU1683" s="157" t="str">
        <f t="shared" si="40"/>
        <v/>
      </c>
      <c r="AV1683" s="157" t="str">
        <f t="shared" si="41"/>
        <v/>
      </c>
      <c r="AW1683" s="157" t="str">
        <f t="shared" si="42"/>
        <v/>
      </c>
      <c r="AX1683" s="157" t="str">
        <f t="shared" si="43"/>
        <v/>
      </c>
      <c r="AY1683" s="157" t="str">
        <f t="shared" si="44"/>
        <v/>
      </c>
      <c r="AZ1683" s="157" t="str">
        <f t="shared" si="45"/>
        <v/>
      </c>
      <c r="BA1683" s="157" t="str">
        <f t="shared" si="46"/>
        <v/>
      </c>
      <c r="BB1683" s="160">
        <f t="shared" si="47"/>
        <v>0</v>
      </c>
    </row>
    <row r="1684" spans="1:54" s="22" customFormat="1" hidden="1">
      <c r="A1684" s="61"/>
      <c r="C1684" s="157" t="s">
        <v>241</v>
      </c>
      <c r="D1684" s="157" t="str">
        <f t="shared" si="7"/>
        <v/>
      </c>
      <c r="E1684" s="157" t="str">
        <f t="shared" si="8"/>
        <v/>
      </c>
      <c r="F1684" s="157" t="str">
        <f t="shared" si="48"/>
        <v/>
      </c>
      <c r="G1684" s="157" t="str">
        <f t="shared" si="49"/>
        <v/>
      </c>
      <c r="H1684" s="157" t="str">
        <f t="shared" si="50"/>
        <v/>
      </c>
      <c r="I1684" s="157" t="str">
        <f t="shared" si="51"/>
        <v/>
      </c>
      <c r="J1684" s="157" t="str">
        <f t="shared" si="52"/>
        <v/>
      </c>
      <c r="K1684" s="157" t="str">
        <f t="shared" si="53"/>
        <v/>
      </c>
      <c r="L1684" s="157" t="str">
        <f t="shared" si="54"/>
        <v/>
      </c>
      <c r="M1684" s="157" t="str">
        <f t="shared" si="55"/>
        <v/>
      </c>
      <c r="N1684" s="157" t="str">
        <f t="shared" si="56"/>
        <v/>
      </c>
      <c r="O1684" s="157" t="str">
        <f t="shared" si="57"/>
        <v/>
      </c>
      <c r="P1684" s="157" t="str">
        <f t="shared" si="9"/>
        <v/>
      </c>
      <c r="Q1684" s="157" t="str">
        <f t="shared" si="10"/>
        <v/>
      </c>
      <c r="R1684" s="157" t="str">
        <f t="shared" si="11"/>
        <v/>
      </c>
      <c r="S1684" s="157" t="str">
        <f t="shared" si="12"/>
        <v/>
      </c>
      <c r="T1684" s="157" t="str">
        <f t="shared" si="13"/>
        <v/>
      </c>
      <c r="U1684" s="157" t="str">
        <f t="shared" si="14"/>
        <v/>
      </c>
      <c r="V1684" s="157" t="str">
        <f t="shared" si="15"/>
        <v/>
      </c>
      <c r="W1684" s="157" t="str">
        <f t="shared" si="16"/>
        <v/>
      </c>
      <c r="X1684" s="157" t="str">
        <f t="shared" si="17"/>
        <v/>
      </c>
      <c r="Y1684" s="157" t="str">
        <f t="shared" si="18"/>
        <v/>
      </c>
      <c r="Z1684" s="157" t="str">
        <f t="shared" si="19"/>
        <v/>
      </c>
      <c r="AA1684" s="157" t="str">
        <f t="shared" si="20"/>
        <v/>
      </c>
      <c r="AB1684" s="157" t="str">
        <f t="shared" si="21"/>
        <v/>
      </c>
      <c r="AC1684" s="157" t="str">
        <f t="shared" si="22"/>
        <v/>
      </c>
      <c r="AD1684" s="157" t="str">
        <f t="shared" si="23"/>
        <v/>
      </c>
      <c r="AE1684" s="157" t="str">
        <f t="shared" si="24"/>
        <v/>
      </c>
      <c r="AF1684" s="157" t="str">
        <f t="shared" si="25"/>
        <v/>
      </c>
      <c r="AG1684" s="157" t="str">
        <f t="shared" si="26"/>
        <v/>
      </c>
      <c r="AH1684" s="157" t="str">
        <f t="shared" si="27"/>
        <v/>
      </c>
      <c r="AI1684" s="157" t="str">
        <f t="shared" si="28"/>
        <v/>
      </c>
      <c r="AJ1684" s="157" t="str">
        <f t="shared" si="29"/>
        <v/>
      </c>
      <c r="AK1684" s="157" t="str">
        <f t="shared" si="30"/>
        <v/>
      </c>
      <c r="AL1684" s="157" t="str">
        <f t="shared" si="31"/>
        <v/>
      </c>
      <c r="AM1684" s="157" t="str">
        <f t="shared" si="32"/>
        <v/>
      </c>
      <c r="AN1684" s="157" t="str">
        <f t="shared" si="33"/>
        <v/>
      </c>
      <c r="AO1684" s="157" t="str">
        <f t="shared" si="34"/>
        <v/>
      </c>
      <c r="AP1684" s="157" t="str">
        <f t="shared" si="35"/>
        <v/>
      </c>
      <c r="AQ1684" s="157" t="str">
        <f t="shared" si="36"/>
        <v/>
      </c>
      <c r="AR1684" s="157" t="str">
        <f t="shared" si="37"/>
        <v/>
      </c>
      <c r="AS1684" s="157" t="str">
        <f t="shared" si="38"/>
        <v/>
      </c>
      <c r="AT1684" s="157" t="str">
        <f t="shared" si="39"/>
        <v/>
      </c>
      <c r="AU1684" s="157" t="str">
        <f t="shared" si="40"/>
        <v/>
      </c>
      <c r="AV1684" s="157" t="str">
        <f t="shared" si="41"/>
        <v/>
      </c>
      <c r="AW1684" s="157" t="str">
        <f t="shared" si="42"/>
        <v/>
      </c>
      <c r="AX1684" s="157" t="str">
        <f t="shared" si="43"/>
        <v/>
      </c>
      <c r="AY1684" s="157" t="str">
        <f t="shared" si="44"/>
        <v/>
      </c>
      <c r="AZ1684" s="157" t="str">
        <f t="shared" si="45"/>
        <v/>
      </c>
      <c r="BA1684" s="157" t="str">
        <f t="shared" si="46"/>
        <v/>
      </c>
      <c r="BB1684" s="160">
        <f t="shared" si="47"/>
        <v>0</v>
      </c>
    </row>
    <row r="1685" spans="1:54" s="22" customFormat="1" hidden="1">
      <c r="A1685" s="61"/>
      <c r="C1685" s="157" t="s">
        <v>242</v>
      </c>
      <c r="D1685" s="157" t="str">
        <f t="shared" si="7"/>
        <v/>
      </c>
      <c r="E1685" s="157" t="str">
        <f t="shared" si="8"/>
        <v/>
      </c>
      <c r="F1685" s="157" t="str">
        <f t="shared" si="48"/>
        <v/>
      </c>
      <c r="G1685" s="157" t="str">
        <f t="shared" si="49"/>
        <v/>
      </c>
      <c r="H1685" s="157" t="str">
        <f t="shared" si="50"/>
        <v/>
      </c>
      <c r="I1685" s="157" t="str">
        <f t="shared" si="51"/>
        <v/>
      </c>
      <c r="J1685" s="157" t="str">
        <f t="shared" si="52"/>
        <v/>
      </c>
      <c r="K1685" s="157" t="str">
        <f t="shared" si="53"/>
        <v/>
      </c>
      <c r="L1685" s="157" t="str">
        <f t="shared" si="54"/>
        <v/>
      </c>
      <c r="M1685" s="157" t="str">
        <f t="shared" si="55"/>
        <v/>
      </c>
      <c r="N1685" s="157" t="str">
        <f t="shared" si="56"/>
        <v/>
      </c>
      <c r="O1685" s="157" t="str">
        <f t="shared" si="57"/>
        <v/>
      </c>
      <c r="P1685" s="157" t="str">
        <f t="shared" si="9"/>
        <v/>
      </c>
      <c r="Q1685" s="157" t="str">
        <f t="shared" si="10"/>
        <v/>
      </c>
      <c r="R1685" s="157" t="str">
        <f t="shared" si="11"/>
        <v/>
      </c>
      <c r="S1685" s="157" t="str">
        <f t="shared" si="12"/>
        <v/>
      </c>
      <c r="T1685" s="157" t="str">
        <f t="shared" si="13"/>
        <v/>
      </c>
      <c r="U1685" s="157" t="str">
        <f t="shared" si="14"/>
        <v/>
      </c>
      <c r="V1685" s="157" t="str">
        <f t="shared" si="15"/>
        <v/>
      </c>
      <c r="W1685" s="157" t="str">
        <f t="shared" si="16"/>
        <v/>
      </c>
      <c r="X1685" s="157" t="str">
        <f t="shared" si="17"/>
        <v/>
      </c>
      <c r="Y1685" s="157" t="str">
        <f t="shared" si="18"/>
        <v/>
      </c>
      <c r="Z1685" s="157" t="str">
        <f t="shared" si="19"/>
        <v/>
      </c>
      <c r="AA1685" s="157" t="str">
        <f t="shared" si="20"/>
        <v/>
      </c>
      <c r="AB1685" s="157" t="str">
        <f t="shared" si="21"/>
        <v/>
      </c>
      <c r="AC1685" s="157" t="str">
        <f t="shared" si="22"/>
        <v/>
      </c>
      <c r="AD1685" s="157" t="str">
        <f t="shared" si="23"/>
        <v/>
      </c>
      <c r="AE1685" s="157" t="str">
        <f t="shared" si="24"/>
        <v/>
      </c>
      <c r="AF1685" s="157" t="str">
        <f t="shared" si="25"/>
        <v/>
      </c>
      <c r="AG1685" s="157" t="str">
        <f t="shared" si="26"/>
        <v/>
      </c>
      <c r="AH1685" s="157" t="str">
        <f t="shared" si="27"/>
        <v/>
      </c>
      <c r="AI1685" s="157" t="str">
        <f t="shared" si="28"/>
        <v/>
      </c>
      <c r="AJ1685" s="157" t="str">
        <f t="shared" si="29"/>
        <v/>
      </c>
      <c r="AK1685" s="157" t="str">
        <f t="shared" si="30"/>
        <v/>
      </c>
      <c r="AL1685" s="157" t="str">
        <f t="shared" si="31"/>
        <v/>
      </c>
      <c r="AM1685" s="157" t="str">
        <f t="shared" si="32"/>
        <v/>
      </c>
      <c r="AN1685" s="157" t="str">
        <f t="shared" si="33"/>
        <v/>
      </c>
      <c r="AO1685" s="157" t="str">
        <f t="shared" si="34"/>
        <v/>
      </c>
      <c r="AP1685" s="157" t="str">
        <f t="shared" si="35"/>
        <v/>
      </c>
      <c r="AQ1685" s="157" t="str">
        <f t="shared" si="36"/>
        <v/>
      </c>
      <c r="AR1685" s="157" t="str">
        <f t="shared" si="37"/>
        <v/>
      </c>
      <c r="AS1685" s="157" t="str">
        <f t="shared" si="38"/>
        <v/>
      </c>
      <c r="AT1685" s="157" t="str">
        <f t="shared" si="39"/>
        <v/>
      </c>
      <c r="AU1685" s="157" t="str">
        <f t="shared" si="40"/>
        <v/>
      </c>
      <c r="AV1685" s="157" t="str">
        <f t="shared" si="41"/>
        <v/>
      </c>
      <c r="AW1685" s="157" t="str">
        <f t="shared" si="42"/>
        <v/>
      </c>
      <c r="AX1685" s="157" t="str">
        <f t="shared" si="43"/>
        <v/>
      </c>
      <c r="AY1685" s="157" t="str">
        <f t="shared" si="44"/>
        <v/>
      </c>
      <c r="AZ1685" s="157" t="str">
        <f t="shared" si="45"/>
        <v/>
      </c>
      <c r="BA1685" s="157" t="str">
        <f t="shared" si="46"/>
        <v/>
      </c>
      <c r="BB1685" s="160">
        <f t="shared" si="47"/>
        <v>0</v>
      </c>
    </row>
    <row r="1686" spans="1:54" s="22" customFormat="1" hidden="1">
      <c r="A1686" s="61"/>
      <c r="C1686" s="157" t="s">
        <v>243</v>
      </c>
      <c r="D1686" s="157" t="str">
        <f t="shared" si="7"/>
        <v/>
      </c>
      <c r="E1686" s="157" t="str">
        <f t="shared" si="8"/>
        <v/>
      </c>
      <c r="F1686" s="157" t="str">
        <f t="shared" si="48"/>
        <v/>
      </c>
      <c r="G1686" s="157" t="str">
        <f t="shared" si="49"/>
        <v/>
      </c>
      <c r="H1686" s="157" t="str">
        <f t="shared" si="50"/>
        <v/>
      </c>
      <c r="I1686" s="157" t="str">
        <f t="shared" si="51"/>
        <v/>
      </c>
      <c r="J1686" s="157" t="str">
        <f t="shared" si="52"/>
        <v/>
      </c>
      <c r="K1686" s="157" t="str">
        <f t="shared" si="53"/>
        <v/>
      </c>
      <c r="L1686" s="157" t="str">
        <f t="shared" si="54"/>
        <v/>
      </c>
      <c r="M1686" s="157" t="str">
        <f t="shared" si="55"/>
        <v/>
      </c>
      <c r="N1686" s="157" t="str">
        <f t="shared" si="56"/>
        <v/>
      </c>
      <c r="O1686" s="157" t="str">
        <f t="shared" si="57"/>
        <v/>
      </c>
      <c r="P1686" s="157" t="str">
        <f t="shared" si="9"/>
        <v/>
      </c>
      <c r="Q1686" s="157" t="str">
        <f t="shared" si="10"/>
        <v/>
      </c>
      <c r="R1686" s="157" t="str">
        <f t="shared" si="11"/>
        <v/>
      </c>
      <c r="S1686" s="157" t="str">
        <f t="shared" si="12"/>
        <v/>
      </c>
      <c r="T1686" s="157" t="str">
        <f t="shared" si="13"/>
        <v/>
      </c>
      <c r="U1686" s="157" t="str">
        <f t="shared" si="14"/>
        <v/>
      </c>
      <c r="V1686" s="157" t="str">
        <f t="shared" si="15"/>
        <v/>
      </c>
      <c r="W1686" s="157" t="str">
        <f t="shared" si="16"/>
        <v/>
      </c>
      <c r="X1686" s="157" t="str">
        <f t="shared" si="17"/>
        <v/>
      </c>
      <c r="Y1686" s="157" t="str">
        <f t="shared" si="18"/>
        <v/>
      </c>
      <c r="Z1686" s="157" t="str">
        <f t="shared" si="19"/>
        <v/>
      </c>
      <c r="AA1686" s="157" t="str">
        <f t="shared" si="20"/>
        <v/>
      </c>
      <c r="AB1686" s="157" t="str">
        <f t="shared" si="21"/>
        <v/>
      </c>
      <c r="AC1686" s="157" t="str">
        <f t="shared" si="22"/>
        <v/>
      </c>
      <c r="AD1686" s="157" t="str">
        <f t="shared" si="23"/>
        <v/>
      </c>
      <c r="AE1686" s="157" t="str">
        <f t="shared" si="24"/>
        <v/>
      </c>
      <c r="AF1686" s="157" t="str">
        <f t="shared" si="25"/>
        <v/>
      </c>
      <c r="AG1686" s="157" t="str">
        <f t="shared" si="26"/>
        <v/>
      </c>
      <c r="AH1686" s="157" t="str">
        <f t="shared" si="27"/>
        <v/>
      </c>
      <c r="AI1686" s="157" t="str">
        <f t="shared" si="28"/>
        <v/>
      </c>
      <c r="AJ1686" s="157" t="str">
        <f t="shared" si="29"/>
        <v/>
      </c>
      <c r="AK1686" s="157" t="str">
        <f t="shared" si="30"/>
        <v/>
      </c>
      <c r="AL1686" s="157" t="str">
        <f t="shared" si="31"/>
        <v/>
      </c>
      <c r="AM1686" s="157" t="str">
        <f t="shared" si="32"/>
        <v/>
      </c>
      <c r="AN1686" s="157" t="str">
        <f t="shared" si="33"/>
        <v/>
      </c>
      <c r="AO1686" s="157" t="str">
        <f t="shared" si="34"/>
        <v/>
      </c>
      <c r="AP1686" s="157" t="str">
        <f t="shared" si="35"/>
        <v/>
      </c>
      <c r="AQ1686" s="157" t="str">
        <f t="shared" si="36"/>
        <v/>
      </c>
      <c r="AR1686" s="157" t="str">
        <f t="shared" si="37"/>
        <v/>
      </c>
      <c r="AS1686" s="157" t="str">
        <f t="shared" si="38"/>
        <v/>
      </c>
      <c r="AT1686" s="157" t="str">
        <f t="shared" si="39"/>
        <v/>
      </c>
      <c r="AU1686" s="157" t="str">
        <f t="shared" si="40"/>
        <v/>
      </c>
      <c r="AV1686" s="157" t="str">
        <f t="shared" si="41"/>
        <v/>
      </c>
      <c r="AW1686" s="157" t="str">
        <f t="shared" si="42"/>
        <v/>
      </c>
      <c r="AX1686" s="157" t="str">
        <f t="shared" si="43"/>
        <v/>
      </c>
      <c r="AY1686" s="157" t="str">
        <f t="shared" si="44"/>
        <v/>
      </c>
      <c r="AZ1686" s="157" t="str">
        <f t="shared" si="45"/>
        <v/>
      </c>
      <c r="BA1686" s="157" t="str">
        <f t="shared" si="46"/>
        <v/>
      </c>
      <c r="BB1686" s="160">
        <f t="shared" si="47"/>
        <v>0</v>
      </c>
    </row>
    <row r="1687" spans="1:54" s="22" customFormat="1" hidden="1">
      <c r="A1687" s="61"/>
      <c r="C1687" s="157" t="s">
        <v>244</v>
      </c>
      <c r="D1687" s="157" t="str">
        <f t="shared" ref="D1687:D1704" si="58">IF($J$174=$C1687,$Q$190,"")</f>
        <v/>
      </c>
      <c r="E1687" s="157" t="str">
        <f t="shared" ref="E1687:E1704" si="59">IF($J$203=$C1687,$Q$219,"")</f>
        <v/>
      </c>
      <c r="F1687" s="157" t="str">
        <f t="shared" si="48"/>
        <v/>
      </c>
      <c r="G1687" s="157" t="str">
        <f t="shared" si="49"/>
        <v/>
      </c>
      <c r="H1687" s="157" t="str">
        <f t="shared" si="50"/>
        <v/>
      </c>
      <c r="I1687" s="157" t="str">
        <f t="shared" si="51"/>
        <v/>
      </c>
      <c r="J1687" s="157" t="str">
        <f t="shared" si="52"/>
        <v/>
      </c>
      <c r="K1687" s="157" t="str">
        <f t="shared" si="53"/>
        <v/>
      </c>
      <c r="L1687" s="157" t="str">
        <f t="shared" si="54"/>
        <v/>
      </c>
      <c r="M1687" s="157" t="str">
        <f t="shared" si="55"/>
        <v/>
      </c>
      <c r="N1687" s="157" t="str">
        <f t="shared" si="56"/>
        <v/>
      </c>
      <c r="O1687" s="157" t="str">
        <f t="shared" si="57"/>
        <v/>
      </c>
      <c r="P1687" s="157" t="str">
        <f t="shared" ref="P1687:P1704" si="60">IF($J$522=$C1687,$Q$538,"")</f>
        <v/>
      </c>
      <c r="Q1687" s="157" t="str">
        <f t="shared" ref="Q1687:Q1704" si="61">IF($J$551=$C1687,$Q$567,"")</f>
        <v/>
      </c>
      <c r="R1687" s="157" t="str">
        <f t="shared" ref="R1687:R1704" si="62">IF($J$580=$C1687,$Q$596,"")</f>
        <v/>
      </c>
      <c r="S1687" s="157" t="str">
        <f t="shared" ref="S1687:S1704" si="63">IF($J$609=$C1687,$Q$625,"")</f>
        <v/>
      </c>
      <c r="T1687" s="157" t="str">
        <f t="shared" ref="T1687:T1704" si="64">IF($J$638=$C1687,$Q$654,"")</f>
        <v/>
      </c>
      <c r="U1687" s="157" t="str">
        <f t="shared" ref="U1687:U1704" si="65">IF($J$667=$C1687,$Q$683,"")</f>
        <v/>
      </c>
      <c r="V1687" s="157" t="str">
        <f t="shared" ref="V1687:V1704" si="66">IF($J$696=$C1687,$Q$712,"")</f>
        <v/>
      </c>
      <c r="W1687" s="157" t="str">
        <f t="shared" ref="W1687:W1704" si="67">IF($J$725=$C1687,$Q$741,"")</f>
        <v/>
      </c>
      <c r="X1687" s="157" t="str">
        <f t="shared" ref="X1687:X1704" si="68">IF($J$754=$C1687,$Q$770,"")</f>
        <v/>
      </c>
      <c r="Y1687" s="157" t="str">
        <f t="shared" ref="Y1687:Y1704" si="69">IF($J$783=$C1687,$Q$799,"")</f>
        <v/>
      </c>
      <c r="Z1687" s="157" t="str">
        <f t="shared" ref="Z1687:Z1704" si="70">IF($J$812=$C1687,$Q$828,"")</f>
        <v/>
      </c>
      <c r="AA1687" s="157" t="str">
        <f t="shared" ref="AA1687:AA1704" si="71">IF($J$841=$C1687,$Q$857,"")</f>
        <v/>
      </c>
      <c r="AB1687" s="157" t="str">
        <f t="shared" ref="AB1687:AB1704" si="72">IF($J$870=$C1687,$Q$886,"")</f>
        <v/>
      </c>
      <c r="AC1687" s="157" t="str">
        <f t="shared" ref="AC1687:AC1704" si="73">IF($J$899=$C1687,$Q$915,"")</f>
        <v/>
      </c>
      <c r="AD1687" s="157" t="str">
        <f t="shared" ref="AD1687:AD1704" si="74">IF($J$928=$C1687,$Q$944,"")</f>
        <v/>
      </c>
      <c r="AE1687" s="157" t="str">
        <f t="shared" ref="AE1687:AE1704" si="75">IF($J$957=$C1687,$Q$973,"")</f>
        <v/>
      </c>
      <c r="AF1687" s="157" t="str">
        <f t="shared" ref="AF1687:AF1704" si="76">IF($J$986=$C1687,$Q$1002,"")</f>
        <v/>
      </c>
      <c r="AG1687" s="157" t="str">
        <f t="shared" ref="AG1687:AG1704" si="77">IF($J$1015=$C1687,$Q$1031,"")</f>
        <v/>
      </c>
      <c r="AH1687" s="157" t="str">
        <f t="shared" ref="AH1687:AH1704" si="78">IF($J$1044=$C1687,$Q$1060,"")</f>
        <v/>
      </c>
      <c r="AI1687" s="157" t="str">
        <f t="shared" ref="AI1687:AI1704" si="79">IF($J$1073=$C1687,$Q$1089,"")</f>
        <v/>
      </c>
      <c r="AJ1687" s="157" t="str">
        <f t="shared" ref="AJ1687:AJ1704" si="80">IF($J$1102=$C1687,$Q$1118,"")</f>
        <v/>
      </c>
      <c r="AK1687" s="157" t="str">
        <f t="shared" ref="AK1687:AK1704" si="81">IF($J$1131=$C1687,$Q$1147,"")</f>
        <v/>
      </c>
      <c r="AL1687" s="157" t="str">
        <f t="shared" ref="AL1687:AL1704" si="82">IF($J$1160=$C1687,$Q$1176,"")</f>
        <v/>
      </c>
      <c r="AM1687" s="157" t="str">
        <f t="shared" ref="AM1687:AM1704" si="83">IF($J$1189=$C1687,$Q$1205,"")</f>
        <v/>
      </c>
      <c r="AN1687" s="157" t="str">
        <f t="shared" ref="AN1687:AN1704" si="84">IF($J$1218=$C1687,$Q$1234,"")</f>
        <v/>
      </c>
      <c r="AO1687" s="157" t="str">
        <f t="shared" ref="AO1687:AO1704" si="85">IF($J$1247=$C1687,$Q$1263,"")</f>
        <v/>
      </c>
      <c r="AP1687" s="157" t="str">
        <f t="shared" ref="AP1687:AP1704" si="86">IF($J$1276=$C1687,$Q$1292,"")</f>
        <v/>
      </c>
      <c r="AQ1687" s="157" t="str">
        <f t="shared" ref="AQ1687:AQ1704" si="87">IF($J$1305=$C1687,$Q$1321,"")</f>
        <v/>
      </c>
      <c r="AR1687" s="157" t="str">
        <f t="shared" ref="AR1687:AR1704" si="88">IF($J$1334=$C1687,$Q$1350,"")</f>
        <v/>
      </c>
      <c r="AS1687" s="157" t="str">
        <f t="shared" ref="AS1687:AS1704" si="89">IF($J$1363=$C1687,$Q$1379,"")</f>
        <v/>
      </c>
      <c r="AT1687" s="157" t="str">
        <f t="shared" ref="AT1687:AT1704" si="90">IF($J$1392=$C1687,$Q$1408,"")</f>
        <v/>
      </c>
      <c r="AU1687" s="157" t="str">
        <f t="shared" ref="AU1687:AU1704" si="91">IF($J$1421=$C1687,$Q$1437,"")</f>
        <v/>
      </c>
      <c r="AV1687" s="157" t="str">
        <f t="shared" ref="AV1687:AV1704" si="92">IF($J$1450=$C1687,$Q$1466,"")</f>
        <v/>
      </c>
      <c r="AW1687" s="157" t="str">
        <f t="shared" ref="AW1687:AW1704" si="93">IF($J$1479=$C1687,$Q$1495,"")</f>
        <v/>
      </c>
      <c r="AX1687" s="157" t="str">
        <f t="shared" ref="AX1687:AX1704" si="94">IF($J$1508=$C1687,$Q$1524,"")</f>
        <v/>
      </c>
      <c r="AY1687" s="157" t="str">
        <f t="shared" ref="AY1687:AY1704" si="95">IF($J$1537=$C1687,$Q$1553,"")</f>
        <v/>
      </c>
      <c r="AZ1687" s="157" t="str">
        <f t="shared" ref="AZ1687:AZ1704" si="96">IF($J$1566=$C1687,$Q$1582,"")</f>
        <v/>
      </c>
      <c r="BA1687" s="157" t="str">
        <f t="shared" ref="BA1687:BA1704" si="97">IF($J$1595=$C1687,$Q$1611,"")</f>
        <v/>
      </c>
      <c r="BB1687" s="160">
        <f t="shared" ref="BB1687:BB1704" si="98">SUM(D1687:BA1687)</f>
        <v>0</v>
      </c>
    </row>
    <row r="1688" spans="1:54" s="22" customFormat="1" hidden="1">
      <c r="A1688" s="61"/>
      <c r="C1688" s="157" t="s">
        <v>245</v>
      </c>
      <c r="D1688" s="157" t="str">
        <f t="shared" si="58"/>
        <v/>
      </c>
      <c r="E1688" s="157" t="str">
        <f t="shared" si="59"/>
        <v/>
      </c>
      <c r="F1688" s="157" t="str">
        <f t="shared" si="48"/>
        <v/>
      </c>
      <c r="G1688" s="157" t="str">
        <f t="shared" si="49"/>
        <v/>
      </c>
      <c r="H1688" s="157" t="str">
        <f t="shared" si="50"/>
        <v/>
      </c>
      <c r="I1688" s="157" t="str">
        <f t="shared" si="51"/>
        <v/>
      </c>
      <c r="J1688" s="157" t="str">
        <f t="shared" si="52"/>
        <v/>
      </c>
      <c r="K1688" s="157" t="str">
        <f t="shared" si="53"/>
        <v/>
      </c>
      <c r="L1688" s="157" t="str">
        <f t="shared" si="54"/>
        <v/>
      </c>
      <c r="M1688" s="157" t="str">
        <f t="shared" si="55"/>
        <v/>
      </c>
      <c r="N1688" s="157" t="str">
        <f t="shared" si="56"/>
        <v/>
      </c>
      <c r="O1688" s="157" t="str">
        <f t="shared" si="57"/>
        <v/>
      </c>
      <c r="P1688" s="157" t="str">
        <f t="shared" si="60"/>
        <v/>
      </c>
      <c r="Q1688" s="157" t="str">
        <f t="shared" si="61"/>
        <v/>
      </c>
      <c r="R1688" s="157" t="str">
        <f t="shared" si="62"/>
        <v/>
      </c>
      <c r="S1688" s="157" t="str">
        <f t="shared" si="63"/>
        <v/>
      </c>
      <c r="T1688" s="157" t="str">
        <f t="shared" si="64"/>
        <v/>
      </c>
      <c r="U1688" s="157" t="str">
        <f t="shared" si="65"/>
        <v/>
      </c>
      <c r="V1688" s="157" t="str">
        <f t="shared" si="66"/>
        <v/>
      </c>
      <c r="W1688" s="157" t="str">
        <f t="shared" si="67"/>
        <v/>
      </c>
      <c r="X1688" s="157" t="str">
        <f t="shared" si="68"/>
        <v/>
      </c>
      <c r="Y1688" s="157" t="str">
        <f t="shared" si="69"/>
        <v/>
      </c>
      <c r="Z1688" s="157" t="str">
        <f t="shared" si="70"/>
        <v/>
      </c>
      <c r="AA1688" s="157" t="str">
        <f t="shared" si="71"/>
        <v/>
      </c>
      <c r="AB1688" s="157" t="str">
        <f t="shared" si="72"/>
        <v/>
      </c>
      <c r="AC1688" s="157" t="str">
        <f t="shared" si="73"/>
        <v/>
      </c>
      <c r="AD1688" s="157" t="str">
        <f t="shared" si="74"/>
        <v/>
      </c>
      <c r="AE1688" s="157" t="str">
        <f t="shared" si="75"/>
        <v/>
      </c>
      <c r="AF1688" s="157" t="str">
        <f t="shared" si="76"/>
        <v/>
      </c>
      <c r="AG1688" s="157" t="str">
        <f t="shared" si="77"/>
        <v/>
      </c>
      <c r="AH1688" s="157" t="str">
        <f t="shared" si="78"/>
        <v/>
      </c>
      <c r="AI1688" s="157" t="str">
        <f t="shared" si="79"/>
        <v/>
      </c>
      <c r="AJ1688" s="157" t="str">
        <f t="shared" si="80"/>
        <v/>
      </c>
      <c r="AK1688" s="157" t="str">
        <f t="shared" si="81"/>
        <v/>
      </c>
      <c r="AL1688" s="157" t="str">
        <f t="shared" si="82"/>
        <v/>
      </c>
      <c r="AM1688" s="157" t="str">
        <f t="shared" si="83"/>
        <v/>
      </c>
      <c r="AN1688" s="157" t="str">
        <f t="shared" si="84"/>
        <v/>
      </c>
      <c r="AO1688" s="157" t="str">
        <f t="shared" si="85"/>
        <v/>
      </c>
      <c r="AP1688" s="157" t="str">
        <f t="shared" si="86"/>
        <v/>
      </c>
      <c r="AQ1688" s="157" t="str">
        <f t="shared" si="87"/>
        <v/>
      </c>
      <c r="AR1688" s="157" t="str">
        <f t="shared" si="88"/>
        <v/>
      </c>
      <c r="AS1688" s="157" t="str">
        <f t="shared" si="89"/>
        <v/>
      </c>
      <c r="AT1688" s="157" t="str">
        <f t="shared" si="90"/>
        <v/>
      </c>
      <c r="AU1688" s="157" t="str">
        <f t="shared" si="91"/>
        <v/>
      </c>
      <c r="AV1688" s="157" t="str">
        <f t="shared" si="92"/>
        <v/>
      </c>
      <c r="AW1688" s="157" t="str">
        <f t="shared" si="93"/>
        <v/>
      </c>
      <c r="AX1688" s="157" t="str">
        <f t="shared" si="94"/>
        <v/>
      </c>
      <c r="AY1688" s="157" t="str">
        <f t="shared" si="95"/>
        <v/>
      </c>
      <c r="AZ1688" s="157" t="str">
        <f t="shared" si="96"/>
        <v/>
      </c>
      <c r="BA1688" s="157" t="str">
        <f t="shared" si="97"/>
        <v/>
      </c>
      <c r="BB1688" s="160">
        <f t="shared" si="98"/>
        <v>0</v>
      </c>
    </row>
    <row r="1689" spans="1:54" s="22" customFormat="1" hidden="1">
      <c r="A1689" s="61"/>
      <c r="C1689" s="157" t="s">
        <v>246</v>
      </c>
      <c r="D1689" s="157" t="str">
        <f t="shared" si="58"/>
        <v/>
      </c>
      <c r="E1689" s="157" t="str">
        <f t="shared" si="59"/>
        <v/>
      </c>
      <c r="F1689" s="157" t="str">
        <f t="shared" ref="F1689:F1704" si="99">IF($J$232=$C1689,$Q$248,"")</f>
        <v/>
      </c>
      <c r="G1689" s="157" t="str">
        <f t="shared" ref="G1689:G1704" si="100">IF($J$261=$C1689,$Q$277,"")</f>
        <v/>
      </c>
      <c r="H1689" s="157" t="str">
        <f t="shared" ref="H1689:H1704" si="101">IF($J$290=$C1689,$Q$306,"")</f>
        <v/>
      </c>
      <c r="I1689" s="157" t="str">
        <f t="shared" ref="I1689:I1704" si="102">IF($J$319=$C1689,$Q$335,"")</f>
        <v/>
      </c>
      <c r="J1689" s="157" t="str">
        <f t="shared" ref="J1689:J1704" si="103">IF($J$348=$C1689,$Q$364,"")</f>
        <v/>
      </c>
      <c r="K1689" s="157" t="str">
        <f t="shared" ref="K1689:K1704" si="104">IF($J$377=$C1689,$Q$393,"")</f>
        <v/>
      </c>
      <c r="L1689" s="157" t="str">
        <f t="shared" ref="L1689:L1704" si="105">IF($J$406=$C1689,$Q$422,"")</f>
        <v/>
      </c>
      <c r="M1689" s="157" t="str">
        <f t="shared" ref="M1689:M1704" si="106">IF($J$435=$C1689,$Q$451,"")</f>
        <v/>
      </c>
      <c r="N1689" s="157" t="str">
        <f t="shared" ref="N1689:N1704" si="107">IF($J$464=$C1689,$Q$480,"")</f>
        <v/>
      </c>
      <c r="O1689" s="157" t="str">
        <f t="shared" ref="O1689:O1704" si="108">IF($J$493=$C1689,$Q$509,"")</f>
        <v/>
      </c>
      <c r="P1689" s="157" t="str">
        <f t="shared" si="60"/>
        <v/>
      </c>
      <c r="Q1689" s="157" t="str">
        <f t="shared" si="61"/>
        <v/>
      </c>
      <c r="R1689" s="157" t="str">
        <f t="shared" si="62"/>
        <v/>
      </c>
      <c r="S1689" s="157" t="str">
        <f t="shared" si="63"/>
        <v/>
      </c>
      <c r="T1689" s="157" t="str">
        <f t="shared" si="64"/>
        <v/>
      </c>
      <c r="U1689" s="157" t="str">
        <f t="shared" si="65"/>
        <v/>
      </c>
      <c r="V1689" s="157" t="str">
        <f t="shared" si="66"/>
        <v/>
      </c>
      <c r="W1689" s="157" t="str">
        <f t="shared" si="67"/>
        <v/>
      </c>
      <c r="X1689" s="157" t="str">
        <f t="shared" si="68"/>
        <v/>
      </c>
      <c r="Y1689" s="157" t="str">
        <f t="shared" si="69"/>
        <v/>
      </c>
      <c r="Z1689" s="157" t="str">
        <f t="shared" si="70"/>
        <v/>
      </c>
      <c r="AA1689" s="157" t="str">
        <f t="shared" si="71"/>
        <v/>
      </c>
      <c r="AB1689" s="157" t="str">
        <f t="shared" si="72"/>
        <v/>
      </c>
      <c r="AC1689" s="157" t="str">
        <f t="shared" si="73"/>
        <v/>
      </c>
      <c r="AD1689" s="157" t="str">
        <f t="shared" si="74"/>
        <v/>
      </c>
      <c r="AE1689" s="157" t="str">
        <f t="shared" si="75"/>
        <v/>
      </c>
      <c r="AF1689" s="157" t="str">
        <f t="shared" si="76"/>
        <v/>
      </c>
      <c r="AG1689" s="157" t="str">
        <f t="shared" si="77"/>
        <v/>
      </c>
      <c r="AH1689" s="157" t="str">
        <f t="shared" si="78"/>
        <v/>
      </c>
      <c r="AI1689" s="157" t="str">
        <f t="shared" si="79"/>
        <v/>
      </c>
      <c r="AJ1689" s="157" t="str">
        <f t="shared" si="80"/>
        <v/>
      </c>
      <c r="AK1689" s="157" t="str">
        <f t="shared" si="81"/>
        <v/>
      </c>
      <c r="AL1689" s="157" t="str">
        <f t="shared" si="82"/>
        <v/>
      </c>
      <c r="AM1689" s="157" t="str">
        <f t="shared" si="83"/>
        <v/>
      </c>
      <c r="AN1689" s="157" t="str">
        <f t="shared" si="84"/>
        <v/>
      </c>
      <c r="AO1689" s="157" t="str">
        <f t="shared" si="85"/>
        <v/>
      </c>
      <c r="AP1689" s="157" t="str">
        <f t="shared" si="86"/>
        <v/>
      </c>
      <c r="AQ1689" s="157" t="str">
        <f t="shared" si="87"/>
        <v/>
      </c>
      <c r="AR1689" s="157" t="str">
        <f t="shared" si="88"/>
        <v/>
      </c>
      <c r="AS1689" s="157" t="str">
        <f t="shared" si="89"/>
        <v/>
      </c>
      <c r="AT1689" s="157" t="str">
        <f t="shared" si="90"/>
        <v/>
      </c>
      <c r="AU1689" s="157" t="str">
        <f t="shared" si="91"/>
        <v/>
      </c>
      <c r="AV1689" s="157" t="str">
        <f t="shared" si="92"/>
        <v/>
      </c>
      <c r="AW1689" s="157" t="str">
        <f t="shared" si="93"/>
        <v/>
      </c>
      <c r="AX1689" s="157" t="str">
        <f t="shared" si="94"/>
        <v/>
      </c>
      <c r="AY1689" s="157" t="str">
        <f t="shared" si="95"/>
        <v/>
      </c>
      <c r="AZ1689" s="157" t="str">
        <f t="shared" si="96"/>
        <v/>
      </c>
      <c r="BA1689" s="157" t="str">
        <f t="shared" si="97"/>
        <v/>
      </c>
      <c r="BB1689" s="160">
        <f t="shared" si="98"/>
        <v>0</v>
      </c>
    </row>
    <row r="1690" spans="1:54" s="22" customFormat="1" hidden="1">
      <c r="A1690" s="61"/>
      <c r="C1690" s="157" t="s">
        <v>247</v>
      </c>
      <c r="D1690" s="157" t="str">
        <f t="shared" si="58"/>
        <v/>
      </c>
      <c r="E1690" s="157" t="str">
        <f t="shared" si="59"/>
        <v/>
      </c>
      <c r="F1690" s="157" t="str">
        <f t="shared" si="99"/>
        <v/>
      </c>
      <c r="G1690" s="157" t="str">
        <f t="shared" si="100"/>
        <v/>
      </c>
      <c r="H1690" s="157" t="str">
        <f t="shared" si="101"/>
        <v/>
      </c>
      <c r="I1690" s="157" t="str">
        <f t="shared" si="102"/>
        <v/>
      </c>
      <c r="J1690" s="157" t="str">
        <f t="shared" si="103"/>
        <v/>
      </c>
      <c r="K1690" s="157" t="str">
        <f t="shared" si="104"/>
        <v/>
      </c>
      <c r="L1690" s="157" t="str">
        <f t="shared" si="105"/>
        <v/>
      </c>
      <c r="M1690" s="157" t="str">
        <f t="shared" si="106"/>
        <v/>
      </c>
      <c r="N1690" s="157" t="str">
        <f t="shared" si="107"/>
        <v/>
      </c>
      <c r="O1690" s="157" t="str">
        <f t="shared" si="108"/>
        <v/>
      </c>
      <c r="P1690" s="157" t="str">
        <f t="shared" si="60"/>
        <v/>
      </c>
      <c r="Q1690" s="157" t="str">
        <f t="shared" si="61"/>
        <v/>
      </c>
      <c r="R1690" s="157" t="str">
        <f t="shared" si="62"/>
        <v/>
      </c>
      <c r="S1690" s="157" t="str">
        <f t="shared" si="63"/>
        <v/>
      </c>
      <c r="T1690" s="157" t="str">
        <f t="shared" si="64"/>
        <v/>
      </c>
      <c r="U1690" s="157" t="str">
        <f t="shared" si="65"/>
        <v/>
      </c>
      <c r="V1690" s="157" t="str">
        <f t="shared" si="66"/>
        <v/>
      </c>
      <c r="W1690" s="157" t="str">
        <f t="shared" si="67"/>
        <v/>
      </c>
      <c r="X1690" s="157" t="str">
        <f t="shared" si="68"/>
        <v/>
      </c>
      <c r="Y1690" s="157" t="str">
        <f t="shared" si="69"/>
        <v/>
      </c>
      <c r="Z1690" s="157" t="str">
        <f t="shared" si="70"/>
        <v/>
      </c>
      <c r="AA1690" s="157" t="str">
        <f t="shared" si="71"/>
        <v/>
      </c>
      <c r="AB1690" s="157" t="str">
        <f t="shared" si="72"/>
        <v/>
      </c>
      <c r="AC1690" s="157" t="str">
        <f t="shared" si="73"/>
        <v/>
      </c>
      <c r="AD1690" s="157" t="str">
        <f t="shared" si="74"/>
        <v/>
      </c>
      <c r="AE1690" s="157" t="str">
        <f t="shared" si="75"/>
        <v/>
      </c>
      <c r="AF1690" s="157" t="str">
        <f t="shared" si="76"/>
        <v/>
      </c>
      <c r="AG1690" s="157" t="str">
        <f t="shared" si="77"/>
        <v/>
      </c>
      <c r="AH1690" s="157" t="str">
        <f t="shared" si="78"/>
        <v/>
      </c>
      <c r="AI1690" s="157" t="str">
        <f t="shared" si="79"/>
        <v/>
      </c>
      <c r="AJ1690" s="157" t="str">
        <f t="shared" si="80"/>
        <v/>
      </c>
      <c r="AK1690" s="157" t="str">
        <f t="shared" si="81"/>
        <v/>
      </c>
      <c r="AL1690" s="157" t="str">
        <f t="shared" si="82"/>
        <v/>
      </c>
      <c r="AM1690" s="157" t="str">
        <f t="shared" si="83"/>
        <v/>
      </c>
      <c r="AN1690" s="157" t="str">
        <f t="shared" si="84"/>
        <v/>
      </c>
      <c r="AO1690" s="157" t="str">
        <f t="shared" si="85"/>
        <v/>
      </c>
      <c r="AP1690" s="157" t="str">
        <f t="shared" si="86"/>
        <v/>
      </c>
      <c r="AQ1690" s="157" t="str">
        <f t="shared" si="87"/>
        <v/>
      </c>
      <c r="AR1690" s="157" t="str">
        <f t="shared" si="88"/>
        <v/>
      </c>
      <c r="AS1690" s="157" t="str">
        <f t="shared" si="89"/>
        <v/>
      </c>
      <c r="AT1690" s="157" t="str">
        <f t="shared" si="90"/>
        <v/>
      </c>
      <c r="AU1690" s="157" t="str">
        <f t="shared" si="91"/>
        <v/>
      </c>
      <c r="AV1690" s="157" t="str">
        <f t="shared" si="92"/>
        <v/>
      </c>
      <c r="AW1690" s="157" t="str">
        <f t="shared" si="93"/>
        <v/>
      </c>
      <c r="AX1690" s="157" t="str">
        <f t="shared" si="94"/>
        <v/>
      </c>
      <c r="AY1690" s="157" t="str">
        <f t="shared" si="95"/>
        <v/>
      </c>
      <c r="AZ1690" s="157" t="str">
        <f t="shared" si="96"/>
        <v/>
      </c>
      <c r="BA1690" s="157" t="str">
        <f t="shared" si="97"/>
        <v/>
      </c>
      <c r="BB1690" s="160">
        <f t="shared" si="98"/>
        <v>0</v>
      </c>
    </row>
    <row r="1691" spans="1:54" s="22" customFormat="1" hidden="1">
      <c r="A1691" s="61"/>
      <c r="C1691" s="157" t="s">
        <v>248</v>
      </c>
      <c r="D1691" s="157" t="str">
        <f t="shared" si="58"/>
        <v/>
      </c>
      <c r="E1691" s="157" t="str">
        <f t="shared" si="59"/>
        <v/>
      </c>
      <c r="F1691" s="157" t="str">
        <f t="shared" si="99"/>
        <v/>
      </c>
      <c r="G1691" s="157" t="str">
        <f t="shared" si="100"/>
        <v/>
      </c>
      <c r="H1691" s="157" t="str">
        <f t="shared" si="101"/>
        <v/>
      </c>
      <c r="I1691" s="157" t="str">
        <f t="shared" si="102"/>
        <v/>
      </c>
      <c r="J1691" s="157" t="str">
        <f t="shared" si="103"/>
        <v/>
      </c>
      <c r="K1691" s="157" t="str">
        <f t="shared" si="104"/>
        <v/>
      </c>
      <c r="L1691" s="157" t="str">
        <f t="shared" si="105"/>
        <v/>
      </c>
      <c r="M1691" s="157" t="str">
        <f t="shared" si="106"/>
        <v/>
      </c>
      <c r="N1691" s="157" t="str">
        <f t="shared" si="107"/>
        <v/>
      </c>
      <c r="O1691" s="157" t="str">
        <f t="shared" si="108"/>
        <v/>
      </c>
      <c r="P1691" s="157" t="str">
        <f t="shared" si="60"/>
        <v/>
      </c>
      <c r="Q1691" s="157" t="str">
        <f t="shared" si="61"/>
        <v/>
      </c>
      <c r="R1691" s="157" t="str">
        <f t="shared" si="62"/>
        <v/>
      </c>
      <c r="S1691" s="157" t="str">
        <f t="shared" si="63"/>
        <v/>
      </c>
      <c r="T1691" s="157" t="str">
        <f t="shared" si="64"/>
        <v/>
      </c>
      <c r="U1691" s="157" t="str">
        <f t="shared" si="65"/>
        <v/>
      </c>
      <c r="V1691" s="157" t="str">
        <f t="shared" si="66"/>
        <v/>
      </c>
      <c r="W1691" s="157" t="str">
        <f t="shared" si="67"/>
        <v/>
      </c>
      <c r="X1691" s="157" t="str">
        <f t="shared" si="68"/>
        <v/>
      </c>
      <c r="Y1691" s="157" t="str">
        <f t="shared" si="69"/>
        <v/>
      </c>
      <c r="Z1691" s="157" t="str">
        <f t="shared" si="70"/>
        <v/>
      </c>
      <c r="AA1691" s="157" t="str">
        <f t="shared" si="71"/>
        <v/>
      </c>
      <c r="AB1691" s="157" t="str">
        <f t="shared" si="72"/>
        <v/>
      </c>
      <c r="AC1691" s="157" t="str">
        <f t="shared" si="73"/>
        <v/>
      </c>
      <c r="AD1691" s="157" t="str">
        <f t="shared" si="74"/>
        <v/>
      </c>
      <c r="AE1691" s="157" t="str">
        <f t="shared" si="75"/>
        <v/>
      </c>
      <c r="AF1691" s="157" t="str">
        <f t="shared" si="76"/>
        <v/>
      </c>
      <c r="AG1691" s="157" t="str">
        <f t="shared" si="77"/>
        <v/>
      </c>
      <c r="AH1691" s="157" t="str">
        <f t="shared" si="78"/>
        <v/>
      </c>
      <c r="AI1691" s="157" t="str">
        <f t="shared" si="79"/>
        <v/>
      </c>
      <c r="AJ1691" s="157" t="str">
        <f t="shared" si="80"/>
        <v/>
      </c>
      <c r="AK1691" s="157" t="str">
        <f t="shared" si="81"/>
        <v/>
      </c>
      <c r="AL1691" s="157" t="str">
        <f t="shared" si="82"/>
        <v/>
      </c>
      <c r="AM1691" s="157" t="str">
        <f t="shared" si="83"/>
        <v/>
      </c>
      <c r="AN1691" s="157" t="str">
        <f t="shared" si="84"/>
        <v/>
      </c>
      <c r="AO1691" s="157" t="str">
        <f t="shared" si="85"/>
        <v/>
      </c>
      <c r="AP1691" s="157" t="str">
        <f t="shared" si="86"/>
        <v/>
      </c>
      <c r="AQ1691" s="157" t="str">
        <f t="shared" si="87"/>
        <v/>
      </c>
      <c r="AR1691" s="157" t="str">
        <f t="shared" si="88"/>
        <v/>
      </c>
      <c r="AS1691" s="157" t="str">
        <f t="shared" si="89"/>
        <v/>
      </c>
      <c r="AT1691" s="157" t="str">
        <f t="shared" si="90"/>
        <v/>
      </c>
      <c r="AU1691" s="157" t="str">
        <f t="shared" si="91"/>
        <v/>
      </c>
      <c r="AV1691" s="157" t="str">
        <f t="shared" si="92"/>
        <v/>
      </c>
      <c r="AW1691" s="157" t="str">
        <f t="shared" si="93"/>
        <v/>
      </c>
      <c r="AX1691" s="157" t="str">
        <f t="shared" si="94"/>
        <v/>
      </c>
      <c r="AY1691" s="157" t="str">
        <f t="shared" si="95"/>
        <v/>
      </c>
      <c r="AZ1691" s="157" t="str">
        <f t="shared" si="96"/>
        <v/>
      </c>
      <c r="BA1691" s="157" t="str">
        <f t="shared" si="97"/>
        <v/>
      </c>
      <c r="BB1691" s="160">
        <f t="shared" si="98"/>
        <v>0</v>
      </c>
    </row>
    <row r="1692" spans="1:54" s="22" customFormat="1" hidden="1">
      <c r="A1692" s="61"/>
      <c r="C1692" s="157" t="s">
        <v>249</v>
      </c>
      <c r="D1692" s="157" t="str">
        <f t="shared" si="58"/>
        <v/>
      </c>
      <c r="E1692" s="157" t="str">
        <f t="shared" si="59"/>
        <v/>
      </c>
      <c r="F1692" s="157" t="str">
        <f t="shared" si="99"/>
        <v/>
      </c>
      <c r="G1692" s="157" t="str">
        <f t="shared" si="100"/>
        <v/>
      </c>
      <c r="H1692" s="157" t="str">
        <f t="shared" si="101"/>
        <v/>
      </c>
      <c r="I1692" s="157" t="str">
        <f t="shared" si="102"/>
        <v/>
      </c>
      <c r="J1692" s="157" t="str">
        <f t="shared" si="103"/>
        <v/>
      </c>
      <c r="K1692" s="157" t="str">
        <f t="shared" si="104"/>
        <v/>
      </c>
      <c r="L1692" s="157" t="str">
        <f t="shared" si="105"/>
        <v/>
      </c>
      <c r="M1692" s="157" t="str">
        <f t="shared" si="106"/>
        <v/>
      </c>
      <c r="N1692" s="157" t="str">
        <f t="shared" si="107"/>
        <v/>
      </c>
      <c r="O1692" s="157" t="str">
        <f t="shared" si="108"/>
        <v/>
      </c>
      <c r="P1692" s="157" t="str">
        <f t="shared" si="60"/>
        <v/>
      </c>
      <c r="Q1692" s="157" t="str">
        <f t="shared" si="61"/>
        <v/>
      </c>
      <c r="R1692" s="157" t="str">
        <f t="shared" si="62"/>
        <v/>
      </c>
      <c r="S1692" s="157" t="str">
        <f t="shared" si="63"/>
        <v/>
      </c>
      <c r="T1692" s="157" t="str">
        <f t="shared" si="64"/>
        <v/>
      </c>
      <c r="U1692" s="157" t="str">
        <f t="shared" si="65"/>
        <v/>
      </c>
      <c r="V1692" s="157" t="str">
        <f t="shared" si="66"/>
        <v/>
      </c>
      <c r="W1692" s="157" t="str">
        <f t="shared" si="67"/>
        <v/>
      </c>
      <c r="X1692" s="157" t="str">
        <f t="shared" si="68"/>
        <v/>
      </c>
      <c r="Y1692" s="157" t="str">
        <f t="shared" si="69"/>
        <v/>
      </c>
      <c r="Z1692" s="157" t="str">
        <f t="shared" si="70"/>
        <v/>
      </c>
      <c r="AA1692" s="157" t="str">
        <f t="shared" si="71"/>
        <v/>
      </c>
      <c r="AB1692" s="157" t="str">
        <f t="shared" si="72"/>
        <v/>
      </c>
      <c r="AC1692" s="157" t="str">
        <f t="shared" si="73"/>
        <v/>
      </c>
      <c r="AD1692" s="157" t="str">
        <f t="shared" si="74"/>
        <v/>
      </c>
      <c r="AE1692" s="157" t="str">
        <f t="shared" si="75"/>
        <v/>
      </c>
      <c r="AF1692" s="157" t="str">
        <f t="shared" si="76"/>
        <v/>
      </c>
      <c r="AG1692" s="157" t="str">
        <f t="shared" si="77"/>
        <v/>
      </c>
      <c r="AH1692" s="157" t="str">
        <f t="shared" si="78"/>
        <v/>
      </c>
      <c r="AI1692" s="157" t="str">
        <f t="shared" si="79"/>
        <v/>
      </c>
      <c r="AJ1692" s="157" t="str">
        <f t="shared" si="80"/>
        <v/>
      </c>
      <c r="AK1692" s="157" t="str">
        <f t="shared" si="81"/>
        <v/>
      </c>
      <c r="AL1692" s="157" t="str">
        <f t="shared" si="82"/>
        <v/>
      </c>
      <c r="AM1692" s="157" t="str">
        <f t="shared" si="83"/>
        <v/>
      </c>
      <c r="AN1692" s="157" t="str">
        <f t="shared" si="84"/>
        <v/>
      </c>
      <c r="AO1692" s="157" t="str">
        <f t="shared" si="85"/>
        <v/>
      </c>
      <c r="AP1692" s="157" t="str">
        <f t="shared" si="86"/>
        <v/>
      </c>
      <c r="AQ1692" s="157" t="str">
        <f t="shared" si="87"/>
        <v/>
      </c>
      <c r="AR1692" s="157" t="str">
        <f t="shared" si="88"/>
        <v/>
      </c>
      <c r="AS1692" s="157" t="str">
        <f t="shared" si="89"/>
        <v/>
      </c>
      <c r="AT1692" s="157" t="str">
        <f t="shared" si="90"/>
        <v/>
      </c>
      <c r="AU1692" s="157" t="str">
        <f t="shared" si="91"/>
        <v/>
      </c>
      <c r="AV1692" s="157" t="str">
        <f t="shared" si="92"/>
        <v/>
      </c>
      <c r="AW1692" s="157" t="str">
        <f t="shared" si="93"/>
        <v/>
      </c>
      <c r="AX1692" s="157" t="str">
        <f t="shared" si="94"/>
        <v/>
      </c>
      <c r="AY1692" s="157" t="str">
        <f t="shared" si="95"/>
        <v/>
      </c>
      <c r="AZ1692" s="157" t="str">
        <f t="shared" si="96"/>
        <v/>
      </c>
      <c r="BA1692" s="157" t="str">
        <f t="shared" si="97"/>
        <v/>
      </c>
      <c r="BB1692" s="160">
        <f t="shared" si="98"/>
        <v>0</v>
      </c>
    </row>
    <row r="1693" spans="1:54" s="22" customFormat="1" hidden="1">
      <c r="A1693" s="61"/>
      <c r="C1693" s="157" t="s">
        <v>250</v>
      </c>
      <c r="D1693" s="157" t="str">
        <f t="shared" si="58"/>
        <v/>
      </c>
      <c r="E1693" s="157" t="str">
        <f t="shared" si="59"/>
        <v/>
      </c>
      <c r="F1693" s="157" t="str">
        <f t="shared" si="99"/>
        <v/>
      </c>
      <c r="G1693" s="157" t="str">
        <f t="shared" si="100"/>
        <v/>
      </c>
      <c r="H1693" s="157" t="str">
        <f t="shared" si="101"/>
        <v/>
      </c>
      <c r="I1693" s="157" t="str">
        <f t="shared" si="102"/>
        <v/>
      </c>
      <c r="J1693" s="157" t="str">
        <f t="shared" si="103"/>
        <v/>
      </c>
      <c r="K1693" s="157" t="str">
        <f t="shared" si="104"/>
        <v/>
      </c>
      <c r="L1693" s="157" t="str">
        <f t="shared" si="105"/>
        <v/>
      </c>
      <c r="M1693" s="157" t="str">
        <f t="shared" si="106"/>
        <v/>
      </c>
      <c r="N1693" s="157" t="str">
        <f t="shared" si="107"/>
        <v/>
      </c>
      <c r="O1693" s="157" t="str">
        <f t="shared" si="108"/>
        <v/>
      </c>
      <c r="P1693" s="157" t="str">
        <f t="shared" si="60"/>
        <v/>
      </c>
      <c r="Q1693" s="157" t="str">
        <f t="shared" si="61"/>
        <v/>
      </c>
      <c r="R1693" s="157" t="str">
        <f t="shared" si="62"/>
        <v/>
      </c>
      <c r="S1693" s="157" t="str">
        <f t="shared" si="63"/>
        <v/>
      </c>
      <c r="T1693" s="157" t="str">
        <f t="shared" si="64"/>
        <v/>
      </c>
      <c r="U1693" s="157" t="str">
        <f t="shared" si="65"/>
        <v/>
      </c>
      <c r="V1693" s="157" t="str">
        <f t="shared" si="66"/>
        <v/>
      </c>
      <c r="W1693" s="157" t="str">
        <f t="shared" si="67"/>
        <v/>
      </c>
      <c r="X1693" s="157" t="str">
        <f t="shared" si="68"/>
        <v/>
      </c>
      <c r="Y1693" s="157" t="str">
        <f t="shared" si="69"/>
        <v/>
      </c>
      <c r="Z1693" s="157" t="str">
        <f t="shared" si="70"/>
        <v/>
      </c>
      <c r="AA1693" s="157" t="str">
        <f t="shared" si="71"/>
        <v/>
      </c>
      <c r="AB1693" s="157" t="str">
        <f t="shared" si="72"/>
        <v/>
      </c>
      <c r="AC1693" s="157" t="str">
        <f t="shared" si="73"/>
        <v/>
      </c>
      <c r="AD1693" s="157" t="str">
        <f t="shared" si="74"/>
        <v/>
      </c>
      <c r="AE1693" s="157" t="str">
        <f t="shared" si="75"/>
        <v/>
      </c>
      <c r="AF1693" s="157" t="str">
        <f t="shared" si="76"/>
        <v/>
      </c>
      <c r="AG1693" s="157" t="str">
        <f t="shared" si="77"/>
        <v/>
      </c>
      <c r="AH1693" s="157" t="str">
        <f t="shared" si="78"/>
        <v/>
      </c>
      <c r="AI1693" s="157" t="str">
        <f t="shared" si="79"/>
        <v/>
      </c>
      <c r="AJ1693" s="157" t="str">
        <f t="shared" si="80"/>
        <v/>
      </c>
      <c r="AK1693" s="157" t="str">
        <f t="shared" si="81"/>
        <v/>
      </c>
      <c r="AL1693" s="157" t="str">
        <f t="shared" si="82"/>
        <v/>
      </c>
      <c r="AM1693" s="157" t="str">
        <f t="shared" si="83"/>
        <v/>
      </c>
      <c r="AN1693" s="157" t="str">
        <f t="shared" si="84"/>
        <v/>
      </c>
      <c r="AO1693" s="157" t="str">
        <f t="shared" si="85"/>
        <v/>
      </c>
      <c r="AP1693" s="157" t="str">
        <f t="shared" si="86"/>
        <v/>
      </c>
      <c r="AQ1693" s="157" t="str">
        <f t="shared" si="87"/>
        <v/>
      </c>
      <c r="AR1693" s="157" t="str">
        <f t="shared" si="88"/>
        <v/>
      </c>
      <c r="AS1693" s="157" t="str">
        <f t="shared" si="89"/>
        <v/>
      </c>
      <c r="AT1693" s="157" t="str">
        <f t="shared" si="90"/>
        <v/>
      </c>
      <c r="AU1693" s="157" t="str">
        <f t="shared" si="91"/>
        <v/>
      </c>
      <c r="AV1693" s="157" t="str">
        <f t="shared" si="92"/>
        <v/>
      </c>
      <c r="AW1693" s="157" t="str">
        <f t="shared" si="93"/>
        <v/>
      </c>
      <c r="AX1693" s="157" t="str">
        <f t="shared" si="94"/>
        <v/>
      </c>
      <c r="AY1693" s="157" t="str">
        <f t="shared" si="95"/>
        <v/>
      </c>
      <c r="AZ1693" s="157" t="str">
        <f t="shared" si="96"/>
        <v/>
      </c>
      <c r="BA1693" s="157" t="str">
        <f t="shared" si="97"/>
        <v/>
      </c>
      <c r="BB1693" s="160">
        <f t="shared" si="98"/>
        <v>0</v>
      </c>
    </row>
    <row r="1694" spans="1:54" s="22" customFormat="1" hidden="1">
      <c r="A1694" s="61"/>
      <c r="C1694" s="157" t="s">
        <v>251</v>
      </c>
      <c r="D1694" s="157" t="str">
        <f t="shared" si="58"/>
        <v/>
      </c>
      <c r="E1694" s="157" t="str">
        <f t="shared" si="59"/>
        <v/>
      </c>
      <c r="F1694" s="157" t="str">
        <f t="shared" si="99"/>
        <v/>
      </c>
      <c r="G1694" s="157" t="str">
        <f t="shared" si="100"/>
        <v/>
      </c>
      <c r="H1694" s="157" t="str">
        <f t="shared" si="101"/>
        <v/>
      </c>
      <c r="I1694" s="157" t="str">
        <f t="shared" si="102"/>
        <v/>
      </c>
      <c r="J1694" s="157" t="str">
        <f t="shared" si="103"/>
        <v/>
      </c>
      <c r="K1694" s="157" t="str">
        <f t="shared" si="104"/>
        <v/>
      </c>
      <c r="L1694" s="157" t="str">
        <f t="shared" si="105"/>
        <v/>
      </c>
      <c r="M1694" s="157" t="str">
        <f t="shared" si="106"/>
        <v/>
      </c>
      <c r="N1694" s="157" t="str">
        <f t="shared" si="107"/>
        <v/>
      </c>
      <c r="O1694" s="157" t="str">
        <f t="shared" si="108"/>
        <v/>
      </c>
      <c r="P1694" s="157" t="str">
        <f t="shared" si="60"/>
        <v/>
      </c>
      <c r="Q1694" s="157" t="str">
        <f t="shared" si="61"/>
        <v/>
      </c>
      <c r="R1694" s="157" t="str">
        <f t="shared" si="62"/>
        <v/>
      </c>
      <c r="S1694" s="157" t="str">
        <f t="shared" si="63"/>
        <v/>
      </c>
      <c r="T1694" s="157" t="str">
        <f t="shared" si="64"/>
        <v/>
      </c>
      <c r="U1694" s="157" t="str">
        <f t="shared" si="65"/>
        <v/>
      </c>
      <c r="V1694" s="157" t="str">
        <f t="shared" si="66"/>
        <v/>
      </c>
      <c r="W1694" s="157" t="str">
        <f t="shared" si="67"/>
        <v/>
      </c>
      <c r="X1694" s="157" t="str">
        <f t="shared" si="68"/>
        <v/>
      </c>
      <c r="Y1694" s="157" t="str">
        <f t="shared" si="69"/>
        <v/>
      </c>
      <c r="Z1694" s="157" t="str">
        <f t="shared" si="70"/>
        <v/>
      </c>
      <c r="AA1694" s="157" t="str">
        <f t="shared" si="71"/>
        <v/>
      </c>
      <c r="AB1694" s="157" t="str">
        <f t="shared" si="72"/>
        <v/>
      </c>
      <c r="AC1694" s="157" t="str">
        <f t="shared" si="73"/>
        <v/>
      </c>
      <c r="AD1694" s="157" t="str">
        <f t="shared" si="74"/>
        <v/>
      </c>
      <c r="AE1694" s="157" t="str">
        <f t="shared" si="75"/>
        <v/>
      </c>
      <c r="AF1694" s="157" t="str">
        <f t="shared" si="76"/>
        <v/>
      </c>
      <c r="AG1694" s="157" t="str">
        <f t="shared" si="77"/>
        <v/>
      </c>
      <c r="AH1694" s="157" t="str">
        <f t="shared" si="78"/>
        <v/>
      </c>
      <c r="AI1694" s="157" t="str">
        <f t="shared" si="79"/>
        <v/>
      </c>
      <c r="AJ1694" s="157" t="str">
        <f t="shared" si="80"/>
        <v/>
      </c>
      <c r="AK1694" s="157" t="str">
        <f t="shared" si="81"/>
        <v/>
      </c>
      <c r="AL1694" s="157" t="str">
        <f t="shared" si="82"/>
        <v/>
      </c>
      <c r="AM1694" s="157" t="str">
        <f t="shared" si="83"/>
        <v/>
      </c>
      <c r="AN1694" s="157" t="str">
        <f t="shared" si="84"/>
        <v/>
      </c>
      <c r="AO1694" s="157" t="str">
        <f t="shared" si="85"/>
        <v/>
      </c>
      <c r="AP1694" s="157" t="str">
        <f t="shared" si="86"/>
        <v/>
      </c>
      <c r="AQ1694" s="157" t="str">
        <f t="shared" si="87"/>
        <v/>
      </c>
      <c r="AR1694" s="157" t="str">
        <f t="shared" si="88"/>
        <v/>
      </c>
      <c r="AS1694" s="157" t="str">
        <f t="shared" si="89"/>
        <v/>
      </c>
      <c r="AT1694" s="157" t="str">
        <f t="shared" si="90"/>
        <v/>
      </c>
      <c r="AU1694" s="157" t="str">
        <f t="shared" si="91"/>
        <v/>
      </c>
      <c r="AV1694" s="157" t="str">
        <f t="shared" si="92"/>
        <v/>
      </c>
      <c r="AW1694" s="157" t="str">
        <f t="shared" si="93"/>
        <v/>
      </c>
      <c r="AX1694" s="157" t="str">
        <f t="shared" si="94"/>
        <v/>
      </c>
      <c r="AY1694" s="157" t="str">
        <f t="shared" si="95"/>
        <v/>
      </c>
      <c r="AZ1694" s="157" t="str">
        <f t="shared" si="96"/>
        <v/>
      </c>
      <c r="BA1694" s="157" t="str">
        <f t="shared" si="97"/>
        <v/>
      </c>
      <c r="BB1694" s="160">
        <f t="shared" si="98"/>
        <v>0</v>
      </c>
    </row>
    <row r="1695" spans="1:54" s="22" customFormat="1" hidden="1">
      <c r="A1695" s="61"/>
      <c r="C1695" s="157" t="s">
        <v>252</v>
      </c>
      <c r="D1695" s="157" t="str">
        <f t="shared" si="58"/>
        <v/>
      </c>
      <c r="E1695" s="157" t="str">
        <f t="shared" si="59"/>
        <v/>
      </c>
      <c r="F1695" s="157" t="str">
        <f t="shared" si="99"/>
        <v/>
      </c>
      <c r="G1695" s="157" t="str">
        <f t="shared" si="100"/>
        <v/>
      </c>
      <c r="H1695" s="157" t="str">
        <f t="shared" si="101"/>
        <v/>
      </c>
      <c r="I1695" s="157" t="str">
        <f t="shared" si="102"/>
        <v/>
      </c>
      <c r="J1695" s="157" t="str">
        <f t="shared" si="103"/>
        <v/>
      </c>
      <c r="K1695" s="157" t="str">
        <f t="shared" si="104"/>
        <v/>
      </c>
      <c r="L1695" s="157" t="str">
        <f t="shared" si="105"/>
        <v/>
      </c>
      <c r="M1695" s="157" t="str">
        <f t="shared" si="106"/>
        <v/>
      </c>
      <c r="N1695" s="157" t="str">
        <f t="shared" si="107"/>
        <v/>
      </c>
      <c r="O1695" s="157" t="str">
        <f t="shared" si="108"/>
        <v/>
      </c>
      <c r="P1695" s="157" t="str">
        <f t="shared" si="60"/>
        <v/>
      </c>
      <c r="Q1695" s="157" t="str">
        <f t="shared" si="61"/>
        <v/>
      </c>
      <c r="R1695" s="157" t="str">
        <f t="shared" si="62"/>
        <v/>
      </c>
      <c r="S1695" s="157" t="str">
        <f t="shared" si="63"/>
        <v/>
      </c>
      <c r="T1695" s="157" t="str">
        <f t="shared" si="64"/>
        <v/>
      </c>
      <c r="U1695" s="157" t="str">
        <f t="shared" si="65"/>
        <v/>
      </c>
      <c r="V1695" s="157" t="str">
        <f t="shared" si="66"/>
        <v/>
      </c>
      <c r="W1695" s="157" t="str">
        <f t="shared" si="67"/>
        <v/>
      </c>
      <c r="X1695" s="157" t="str">
        <f t="shared" si="68"/>
        <v/>
      </c>
      <c r="Y1695" s="157" t="str">
        <f t="shared" si="69"/>
        <v/>
      </c>
      <c r="Z1695" s="157" t="str">
        <f t="shared" si="70"/>
        <v/>
      </c>
      <c r="AA1695" s="157" t="str">
        <f t="shared" si="71"/>
        <v/>
      </c>
      <c r="AB1695" s="157" t="str">
        <f t="shared" si="72"/>
        <v/>
      </c>
      <c r="AC1695" s="157" t="str">
        <f t="shared" si="73"/>
        <v/>
      </c>
      <c r="AD1695" s="157" t="str">
        <f t="shared" si="74"/>
        <v/>
      </c>
      <c r="AE1695" s="157" t="str">
        <f t="shared" si="75"/>
        <v/>
      </c>
      <c r="AF1695" s="157" t="str">
        <f t="shared" si="76"/>
        <v/>
      </c>
      <c r="AG1695" s="157" t="str">
        <f t="shared" si="77"/>
        <v/>
      </c>
      <c r="AH1695" s="157" t="str">
        <f t="shared" si="78"/>
        <v/>
      </c>
      <c r="AI1695" s="157" t="str">
        <f t="shared" si="79"/>
        <v/>
      </c>
      <c r="AJ1695" s="157" t="str">
        <f t="shared" si="80"/>
        <v/>
      </c>
      <c r="AK1695" s="157" t="str">
        <f t="shared" si="81"/>
        <v/>
      </c>
      <c r="AL1695" s="157" t="str">
        <f t="shared" si="82"/>
        <v/>
      </c>
      <c r="AM1695" s="157" t="str">
        <f t="shared" si="83"/>
        <v/>
      </c>
      <c r="AN1695" s="157" t="str">
        <f t="shared" si="84"/>
        <v/>
      </c>
      <c r="AO1695" s="157" t="str">
        <f t="shared" si="85"/>
        <v/>
      </c>
      <c r="AP1695" s="157" t="str">
        <f t="shared" si="86"/>
        <v/>
      </c>
      <c r="AQ1695" s="157" t="str">
        <f t="shared" si="87"/>
        <v/>
      </c>
      <c r="AR1695" s="157" t="str">
        <f t="shared" si="88"/>
        <v/>
      </c>
      <c r="AS1695" s="157" t="str">
        <f t="shared" si="89"/>
        <v/>
      </c>
      <c r="AT1695" s="157" t="str">
        <f t="shared" si="90"/>
        <v/>
      </c>
      <c r="AU1695" s="157" t="str">
        <f t="shared" si="91"/>
        <v/>
      </c>
      <c r="AV1695" s="157" t="str">
        <f t="shared" si="92"/>
        <v/>
      </c>
      <c r="AW1695" s="157" t="str">
        <f t="shared" si="93"/>
        <v/>
      </c>
      <c r="AX1695" s="157" t="str">
        <f t="shared" si="94"/>
        <v/>
      </c>
      <c r="AY1695" s="157" t="str">
        <f t="shared" si="95"/>
        <v/>
      </c>
      <c r="AZ1695" s="157" t="str">
        <f t="shared" si="96"/>
        <v/>
      </c>
      <c r="BA1695" s="157" t="str">
        <f t="shared" si="97"/>
        <v/>
      </c>
      <c r="BB1695" s="160">
        <f t="shared" si="98"/>
        <v>0</v>
      </c>
    </row>
    <row r="1696" spans="1:54" s="22" customFormat="1" hidden="1">
      <c r="A1696" s="61"/>
      <c r="C1696" s="157" t="s">
        <v>253</v>
      </c>
      <c r="D1696" s="157" t="str">
        <f t="shared" si="58"/>
        <v/>
      </c>
      <c r="E1696" s="157" t="str">
        <f t="shared" si="59"/>
        <v/>
      </c>
      <c r="F1696" s="157" t="str">
        <f t="shared" si="99"/>
        <v/>
      </c>
      <c r="G1696" s="157" t="str">
        <f t="shared" si="100"/>
        <v/>
      </c>
      <c r="H1696" s="157" t="str">
        <f t="shared" si="101"/>
        <v/>
      </c>
      <c r="I1696" s="157" t="str">
        <f t="shared" si="102"/>
        <v/>
      </c>
      <c r="J1696" s="157" t="str">
        <f t="shared" si="103"/>
        <v/>
      </c>
      <c r="K1696" s="157" t="str">
        <f t="shared" si="104"/>
        <v/>
      </c>
      <c r="L1696" s="157" t="str">
        <f t="shared" si="105"/>
        <v/>
      </c>
      <c r="M1696" s="157" t="str">
        <f t="shared" si="106"/>
        <v/>
      </c>
      <c r="N1696" s="157" t="str">
        <f t="shared" si="107"/>
        <v/>
      </c>
      <c r="O1696" s="157" t="str">
        <f t="shared" si="108"/>
        <v/>
      </c>
      <c r="P1696" s="157" t="str">
        <f t="shared" si="60"/>
        <v/>
      </c>
      <c r="Q1696" s="157" t="str">
        <f t="shared" si="61"/>
        <v/>
      </c>
      <c r="R1696" s="157" t="str">
        <f t="shared" si="62"/>
        <v/>
      </c>
      <c r="S1696" s="157" t="str">
        <f t="shared" si="63"/>
        <v/>
      </c>
      <c r="T1696" s="157" t="str">
        <f t="shared" si="64"/>
        <v/>
      </c>
      <c r="U1696" s="157" t="str">
        <f t="shared" si="65"/>
        <v/>
      </c>
      <c r="V1696" s="157" t="str">
        <f t="shared" si="66"/>
        <v/>
      </c>
      <c r="W1696" s="157" t="str">
        <f t="shared" si="67"/>
        <v/>
      </c>
      <c r="X1696" s="157" t="str">
        <f t="shared" si="68"/>
        <v/>
      </c>
      <c r="Y1696" s="157" t="str">
        <f t="shared" si="69"/>
        <v/>
      </c>
      <c r="Z1696" s="157" t="str">
        <f t="shared" si="70"/>
        <v/>
      </c>
      <c r="AA1696" s="157" t="str">
        <f t="shared" si="71"/>
        <v/>
      </c>
      <c r="AB1696" s="157" t="str">
        <f t="shared" si="72"/>
        <v/>
      </c>
      <c r="AC1696" s="157" t="str">
        <f t="shared" si="73"/>
        <v/>
      </c>
      <c r="AD1696" s="157" t="str">
        <f t="shared" si="74"/>
        <v/>
      </c>
      <c r="AE1696" s="157" t="str">
        <f t="shared" si="75"/>
        <v/>
      </c>
      <c r="AF1696" s="157" t="str">
        <f t="shared" si="76"/>
        <v/>
      </c>
      <c r="AG1696" s="157" t="str">
        <f t="shared" si="77"/>
        <v/>
      </c>
      <c r="AH1696" s="157" t="str">
        <f t="shared" si="78"/>
        <v/>
      </c>
      <c r="AI1696" s="157" t="str">
        <f t="shared" si="79"/>
        <v/>
      </c>
      <c r="AJ1696" s="157" t="str">
        <f t="shared" si="80"/>
        <v/>
      </c>
      <c r="AK1696" s="157" t="str">
        <f t="shared" si="81"/>
        <v/>
      </c>
      <c r="AL1696" s="157" t="str">
        <f t="shared" si="82"/>
        <v/>
      </c>
      <c r="AM1696" s="157" t="str">
        <f t="shared" si="83"/>
        <v/>
      </c>
      <c r="AN1696" s="157" t="str">
        <f t="shared" si="84"/>
        <v/>
      </c>
      <c r="AO1696" s="157" t="str">
        <f t="shared" si="85"/>
        <v/>
      </c>
      <c r="AP1696" s="157" t="str">
        <f t="shared" si="86"/>
        <v/>
      </c>
      <c r="AQ1696" s="157" t="str">
        <f t="shared" si="87"/>
        <v/>
      </c>
      <c r="AR1696" s="157" t="str">
        <f t="shared" si="88"/>
        <v/>
      </c>
      <c r="AS1696" s="157" t="str">
        <f t="shared" si="89"/>
        <v/>
      </c>
      <c r="AT1696" s="157" t="str">
        <f t="shared" si="90"/>
        <v/>
      </c>
      <c r="AU1696" s="157" t="str">
        <f t="shared" si="91"/>
        <v/>
      </c>
      <c r="AV1696" s="157" t="str">
        <f t="shared" si="92"/>
        <v/>
      </c>
      <c r="AW1696" s="157" t="str">
        <f t="shared" si="93"/>
        <v/>
      </c>
      <c r="AX1696" s="157" t="str">
        <f t="shared" si="94"/>
        <v/>
      </c>
      <c r="AY1696" s="157" t="str">
        <f t="shared" si="95"/>
        <v/>
      </c>
      <c r="AZ1696" s="157" t="str">
        <f t="shared" si="96"/>
        <v/>
      </c>
      <c r="BA1696" s="157" t="str">
        <f t="shared" si="97"/>
        <v/>
      </c>
      <c r="BB1696" s="160">
        <f t="shared" si="98"/>
        <v>0</v>
      </c>
    </row>
    <row r="1697" spans="1:68" s="22" customFormat="1" hidden="1">
      <c r="A1697" s="61"/>
      <c r="C1697" s="157" t="s">
        <v>254</v>
      </c>
      <c r="D1697" s="157" t="str">
        <f t="shared" si="58"/>
        <v/>
      </c>
      <c r="E1697" s="157" t="str">
        <f t="shared" si="59"/>
        <v/>
      </c>
      <c r="F1697" s="157" t="str">
        <f t="shared" si="99"/>
        <v/>
      </c>
      <c r="G1697" s="157" t="str">
        <f t="shared" si="100"/>
        <v/>
      </c>
      <c r="H1697" s="157" t="str">
        <f t="shared" si="101"/>
        <v/>
      </c>
      <c r="I1697" s="157" t="str">
        <f t="shared" si="102"/>
        <v/>
      </c>
      <c r="J1697" s="157" t="str">
        <f t="shared" si="103"/>
        <v/>
      </c>
      <c r="K1697" s="157" t="str">
        <f t="shared" si="104"/>
        <v/>
      </c>
      <c r="L1697" s="157" t="str">
        <f t="shared" si="105"/>
        <v/>
      </c>
      <c r="M1697" s="157" t="str">
        <f t="shared" si="106"/>
        <v/>
      </c>
      <c r="N1697" s="157" t="str">
        <f t="shared" si="107"/>
        <v/>
      </c>
      <c r="O1697" s="157" t="str">
        <f t="shared" si="108"/>
        <v/>
      </c>
      <c r="P1697" s="157" t="str">
        <f t="shared" si="60"/>
        <v/>
      </c>
      <c r="Q1697" s="157" t="str">
        <f t="shared" si="61"/>
        <v/>
      </c>
      <c r="R1697" s="157" t="str">
        <f t="shared" si="62"/>
        <v/>
      </c>
      <c r="S1697" s="157" t="str">
        <f t="shared" si="63"/>
        <v/>
      </c>
      <c r="T1697" s="157" t="str">
        <f t="shared" si="64"/>
        <v/>
      </c>
      <c r="U1697" s="157" t="str">
        <f t="shared" si="65"/>
        <v/>
      </c>
      <c r="V1697" s="157" t="str">
        <f t="shared" si="66"/>
        <v/>
      </c>
      <c r="W1697" s="157" t="str">
        <f t="shared" si="67"/>
        <v/>
      </c>
      <c r="X1697" s="157" t="str">
        <f t="shared" si="68"/>
        <v/>
      </c>
      <c r="Y1697" s="157" t="str">
        <f t="shared" si="69"/>
        <v/>
      </c>
      <c r="Z1697" s="157" t="str">
        <f t="shared" si="70"/>
        <v/>
      </c>
      <c r="AA1697" s="157" t="str">
        <f t="shared" si="71"/>
        <v/>
      </c>
      <c r="AB1697" s="157" t="str">
        <f t="shared" si="72"/>
        <v/>
      </c>
      <c r="AC1697" s="157" t="str">
        <f t="shared" si="73"/>
        <v/>
      </c>
      <c r="AD1697" s="157" t="str">
        <f t="shared" si="74"/>
        <v/>
      </c>
      <c r="AE1697" s="157" t="str">
        <f t="shared" si="75"/>
        <v/>
      </c>
      <c r="AF1697" s="157" t="str">
        <f t="shared" si="76"/>
        <v/>
      </c>
      <c r="AG1697" s="157" t="str">
        <f t="shared" si="77"/>
        <v/>
      </c>
      <c r="AH1697" s="157" t="str">
        <f t="shared" si="78"/>
        <v/>
      </c>
      <c r="AI1697" s="157" t="str">
        <f t="shared" si="79"/>
        <v/>
      </c>
      <c r="AJ1697" s="157" t="str">
        <f t="shared" si="80"/>
        <v/>
      </c>
      <c r="AK1697" s="157" t="str">
        <f t="shared" si="81"/>
        <v/>
      </c>
      <c r="AL1697" s="157" t="str">
        <f t="shared" si="82"/>
        <v/>
      </c>
      <c r="AM1697" s="157" t="str">
        <f t="shared" si="83"/>
        <v/>
      </c>
      <c r="AN1697" s="157" t="str">
        <f t="shared" si="84"/>
        <v/>
      </c>
      <c r="AO1697" s="157" t="str">
        <f t="shared" si="85"/>
        <v/>
      </c>
      <c r="AP1697" s="157" t="str">
        <f t="shared" si="86"/>
        <v/>
      </c>
      <c r="AQ1697" s="157" t="str">
        <f t="shared" si="87"/>
        <v/>
      </c>
      <c r="AR1697" s="157" t="str">
        <f t="shared" si="88"/>
        <v/>
      </c>
      <c r="AS1697" s="157" t="str">
        <f t="shared" si="89"/>
        <v/>
      </c>
      <c r="AT1697" s="157" t="str">
        <f t="shared" si="90"/>
        <v/>
      </c>
      <c r="AU1697" s="157" t="str">
        <f t="shared" si="91"/>
        <v/>
      </c>
      <c r="AV1697" s="157" t="str">
        <f t="shared" si="92"/>
        <v/>
      </c>
      <c r="AW1697" s="157" t="str">
        <f t="shared" si="93"/>
        <v/>
      </c>
      <c r="AX1697" s="157" t="str">
        <f t="shared" si="94"/>
        <v/>
      </c>
      <c r="AY1697" s="157" t="str">
        <f t="shared" si="95"/>
        <v/>
      </c>
      <c r="AZ1697" s="157" t="str">
        <f t="shared" si="96"/>
        <v/>
      </c>
      <c r="BA1697" s="157" t="str">
        <f t="shared" si="97"/>
        <v/>
      </c>
      <c r="BB1697" s="160">
        <f t="shared" si="98"/>
        <v>0</v>
      </c>
    </row>
    <row r="1698" spans="1:68" s="22" customFormat="1" hidden="1">
      <c r="A1698" s="61"/>
      <c r="C1698" s="157" t="s">
        <v>255</v>
      </c>
      <c r="D1698" s="157" t="str">
        <f t="shared" si="58"/>
        <v/>
      </c>
      <c r="E1698" s="157" t="str">
        <f t="shared" si="59"/>
        <v/>
      </c>
      <c r="F1698" s="157" t="str">
        <f t="shared" si="99"/>
        <v/>
      </c>
      <c r="G1698" s="157" t="str">
        <f t="shared" si="100"/>
        <v/>
      </c>
      <c r="H1698" s="157" t="str">
        <f t="shared" si="101"/>
        <v/>
      </c>
      <c r="I1698" s="157" t="str">
        <f t="shared" si="102"/>
        <v/>
      </c>
      <c r="J1698" s="157" t="str">
        <f t="shared" si="103"/>
        <v/>
      </c>
      <c r="K1698" s="157" t="str">
        <f t="shared" si="104"/>
        <v/>
      </c>
      <c r="L1698" s="157" t="str">
        <f t="shared" si="105"/>
        <v/>
      </c>
      <c r="M1698" s="157" t="str">
        <f t="shared" si="106"/>
        <v/>
      </c>
      <c r="N1698" s="157" t="str">
        <f t="shared" si="107"/>
        <v/>
      </c>
      <c r="O1698" s="157" t="str">
        <f t="shared" si="108"/>
        <v/>
      </c>
      <c r="P1698" s="157" t="str">
        <f t="shared" si="60"/>
        <v/>
      </c>
      <c r="Q1698" s="157" t="str">
        <f t="shared" si="61"/>
        <v/>
      </c>
      <c r="R1698" s="157" t="str">
        <f t="shared" si="62"/>
        <v/>
      </c>
      <c r="S1698" s="157" t="str">
        <f t="shared" si="63"/>
        <v/>
      </c>
      <c r="T1698" s="157" t="str">
        <f t="shared" si="64"/>
        <v/>
      </c>
      <c r="U1698" s="157" t="str">
        <f t="shared" si="65"/>
        <v/>
      </c>
      <c r="V1698" s="157" t="str">
        <f t="shared" si="66"/>
        <v/>
      </c>
      <c r="W1698" s="157" t="str">
        <f t="shared" si="67"/>
        <v/>
      </c>
      <c r="X1698" s="157" t="str">
        <f t="shared" si="68"/>
        <v/>
      </c>
      <c r="Y1698" s="157" t="str">
        <f t="shared" si="69"/>
        <v/>
      </c>
      <c r="Z1698" s="157" t="str">
        <f t="shared" si="70"/>
        <v/>
      </c>
      <c r="AA1698" s="157" t="str">
        <f t="shared" si="71"/>
        <v/>
      </c>
      <c r="AB1698" s="157" t="str">
        <f t="shared" si="72"/>
        <v/>
      </c>
      <c r="AC1698" s="157" t="str">
        <f t="shared" si="73"/>
        <v/>
      </c>
      <c r="AD1698" s="157" t="str">
        <f t="shared" si="74"/>
        <v/>
      </c>
      <c r="AE1698" s="157" t="str">
        <f t="shared" si="75"/>
        <v/>
      </c>
      <c r="AF1698" s="157" t="str">
        <f t="shared" si="76"/>
        <v/>
      </c>
      <c r="AG1698" s="157" t="str">
        <f t="shared" si="77"/>
        <v/>
      </c>
      <c r="AH1698" s="157" t="str">
        <f t="shared" si="78"/>
        <v/>
      </c>
      <c r="AI1698" s="157" t="str">
        <f t="shared" si="79"/>
        <v/>
      </c>
      <c r="AJ1698" s="157" t="str">
        <f t="shared" si="80"/>
        <v/>
      </c>
      <c r="AK1698" s="157" t="str">
        <f t="shared" si="81"/>
        <v/>
      </c>
      <c r="AL1698" s="157" t="str">
        <f t="shared" si="82"/>
        <v/>
      </c>
      <c r="AM1698" s="157" t="str">
        <f t="shared" si="83"/>
        <v/>
      </c>
      <c r="AN1698" s="157" t="str">
        <f t="shared" si="84"/>
        <v/>
      </c>
      <c r="AO1698" s="157" t="str">
        <f t="shared" si="85"/>
        <v/>
      </c>
      <c r="AP1698" s="157" t="str">
        <f t="shared" si="86"/>
        <v/>
      </c>
      <c r="AQ1698" s="157" t="str">
        <f t="shared" si="87"/>
        <v/>
      </c>
      <c r="AR1698" s="157" t="str">
        <f t="shared" si="88"/>
        <v/>
      </c>
      <c r="AS1698" s="157" t="str">
        <f t="shared" si="89"/>
        <v/>
      </c>
      <c r="AT1698" s="157" t="str">
        <f t="shared" si="90"/>
        <v/>
      </c>
      <c r="AU1698" s="157" t="str">
        <f t="shared" si="91"/>
        <v/>
      </c>
      <c r="AV1698" s="157" t="str">
        <f t="shared" si="92"/>
        <v/>
      </c>
      <c r="AW1698" s="157" t="str">
        <f t="shared" si="93"/>
        <v/>
      </c>
      <c r="AX1698" s="157" t="str">
        <f t="shared" si="94"/>
        <v/>
      </c>
      <c r="AY1698" s="157" t="str">
        <f t="shared" si="95"/>
        <v/>
      </c>
      <c r="AZ1698" s="157" t="str">
        <f t="shared" si="96"/>
        <v/>
      </c>
      <c r="BA1698" s="157" t="str">
        <f t="shared" si="97"/>
        <v/>
      </c>
      <c r="BB1698" s="160">
        <f t="shared" si="98"/>
        <v>0</v>
      </c>
    </row>
    <row r="1699" spans="1:68" s="22" customFormat="1" hidden="1">
      <c r="A1699" s="61"/>
      <c r="C1699" s="157" t="s">
        <v>256</v>
      </c>
      <c r="D1699" s="157" t="str">
        <f t="shared" si="58"/>
        <v/>
      </c>
      <c r="E1699" s="157" t="str">
        <f t="shared" si="59"/>
        <v/>
      </c>
      <c r="F1699" s="157" t="str">
        <f t="shared" si="99"/>
        <v/>
      </c>
      <c r="G1699" s="157" t="str">
        <f t="shared" si="100"/>
        <v/>
      </c>
      <c r="H1699" s="157" t="str">
        <f t="shared" si="101"/>
        <v/>
      </c>
      <c r="I1699" s="157" t="str">
        <f t="shared" si="102"/>
        <v/>
      </c>
      <c r="J1699" s="157" t="str">
        <f t="shared" si="103"/>
        <v/>
      </c>
      <c r="K1699" s="157" t="str">
        <f t="shared" si="104"/>
        <v/>
      </c>
      <c r="L1699" s="157" t="str">
        <f t="shared" si="105"/>
        <v/>
      </c>
      <c r="M1699" s="157" t="str">
        <f t="shared" si="106"/>
        <v/>
      </c>
      <c r="N1699" s="157" t="str">
        <f t="shared" si="107"/>
        <v/>
      </c>
      <c r="O1699" s="157" t="str">
        <f t="shared" si="108"/>
        <v/>
      </c>
      <c r="P1699" s="157" t="str">
        <f t="shared" si="60"/>
        <v/>
      </c>
      <c r="Q1699" s="157" t="str">
        <f t="shared" si="61"/>
        <v/>
      </c>
      <c r="R1699" s="157" t="str">
        <f t="shared" si="62"/>
        <v/>
      </c>
      <c r="S1699" s="157" t="str">
        <f t="shared" si="63"/>
        <v/>
      </c>
      <c r="T1699" s="157" t="str">
        <f t="shared" si="64"/>
        <v/>
      </c>
      <c r="U1699" s="157" t="str">
        <f t="shared" si="65"/>
        <v/>
      </c>
      <c r="V1699" s="157" t="str">
        <f t="shared" si="66"/>
        <v/>
      </c>
      <c r="W1699" s="157" t="str">
        <f t="shared" si="67"/>
        <v/>
      </c>
      <c r="X1699" s="157" t="str">
        <f t="shared" si="68"/>
        <v/>
      </c>
      <c r="Y1699" s="157" t="str">
        <f t="shared" si="69"/>
        <v/>
      </c>
      <c r="Z1699" s="157" t="str">
        <f t="shared" si="70"/>
        <v/>
      </c>
      <c r="AA1699" s="157" t="str">
        <f t="shared" si="71"/>
        <v/>
      </c>
      <c r="AB1699" s="157" t="str">
        <f t="shared" si="72"/>
        <v/>
      </c>
      <c r="AC1699" s="157" t="str">
        <f t="shared" si="73"/>
        <v/>
      </c>
      <c r="AD1699" s="157" t="str">
        <f t="shared" si="74"/>
        <v/>
      </c>
      <c r="AE1699" s="157" t="str">
        <f t="shared" si="75"/>
        <v/>
      </c>
      <c r="AF1699" s="157" t="str">
        <f t="shared" si="76"/>
        <v/>
      </c>
      <c r="AG1699" s="157" t="str">
        <f t="shared" si="77"/>
        <v/>
      </c>
      <c r="AH1699" s="157" t="str">
        <f t="shared" si="78"/>
        <v/>
      </c>
      <c r="AI1699" s="157" t="str">
        <f t="shared" si="79"/>
        <v/>
      </c>
      <c r="AJ1699" s="157" t="str">
        <f t="shared" si="80"/>
        <v/>
      </c>
      <c r="AK1699" s="157" t="str">
        <f t="shared" si="81"/>
        <v/>
      </c>
      <c r="AL1699" s="157" t="str">
        <f t="shared" si="82"/>
        <v/>
      </c>
      <c r="AM1699" s="157" t="str">
        <f t="shared" si="83"/>
        <v/>
      </c>
      <c r="AN1699" s="157" t="str">
        <f t="shared" si="84"/>
        <v/>
      </c>
      <c r="AO1699" s="157" t="str">
        <f t="shared" si="85"/>
        <v/>
      </c>
      <c r="AP1699" s="157" t="str">
        <f t="shared" si="86"/>
        <v/>
      </c>
      <c r="AQ1699" s="157" t="str">
        <f t="shared" si="87"/>
        <v/>
      </c>
      <c r="AR1699" s="157" t="str">
        <f t="shared" si="88"/>
        <v/>
      </c>
      <c r="AS1699" s="157" t="str">
        <f t="shared" si="89"/>
        <v/>
      </c>
      <c r="AT1699" s="157" t="str">
        <f t="shared" si="90"/>
        <v/>
      </c>
      <c r="AU1699" s="157" t="str">
        <f t="shared" si="91"/>
        <v/>
      </c>
      <c r="AV1699" s="157" t="str">
        <f t="shared" si="92"/>
        <v/>
      </c>
      <c r="AW1699" s="157" t="str">
        <f t="shared" si="93"/>
        <v/>
      </c>
      <c r="AX1699" s="157" t="str">
        <f t="shared" si="94"/>
        <v/>
      </c>
      <c r="AY1699" s="157" t="str">
        <f t="shared" si="95"/>
        <v/>
      </c>
      <c r="AZ1699" s="157" t="str">
        <f t="shared" si="96"/>
        <v/>
      </c>
      <c r="BA1699" s="157" t="str">
        <f t="shared" si="97"/>
        <v/>
      </c>
      <c r="BB1699" s="160">
        <f t="shared" si="98"/>
        <v>0</v>
      </c>
    </row>
    <row r="1700" spans="1:68" s="22" customFormat="1" hidden="1">
      <c r="A1700" s="61"/>
      <c r="C1700" s="157" t="s">
        <v>257</v>
      </c>
      <c r="D1700" s="157" t="str">
        <f t="shared" si="58"/>
        <v/>
      </c>
      <c r="E1700" s="157" t="str">
        <f t="shared" si="59"/>
        <v/>
      </c>
      <c r="F1700" s="157" t="str">
        <f t="shared" si="99"/>
        <v/>
      </c>
      <c r="G1700" s="157" t="str">
        <f t="shared" si="100"/>
        <v/>
      </c>
      <c r="H1700" s="157" t="str">
        <f t="shared" si="101"/>
        <v/>
      </c>
      <c r="I1700" s="157" t="str">
        <f t="shared" si="102"/>
        <v/>
      </c>
      <c r="J1700" s="157" t="str">
        <f t="shared" si="103"/>
        <v/>
      </c>
      <c r="K1700" s="157" t="str">
        <f t="shared" si="104"/>
        <v/>
      </c>
      <c r="L1700" s="157" t="str">
        <f t="shared" si="105"/>
        <v/>
      </c>
      <c r="M1700" s="157" t="str">
        <f t="shared" si="106"/>
        <v/>
      </c>
      <c r="N1700" s="157" t="str">
        <f t="shared" si="107"/>
        <v/>
      </c>
      <c r="O1700" s="157" t="str">
        <f t="shared" si="108"/>
        <v/>
      </c>
      <c r="P1700" s="157" t="str">
        <f t="shared" si="60"/>
        <v/>
      </c>
      <c r="Q1700" s="157" t="str">
        <f t="shared" si="61"/>
        <v/>
      </c>
      <c r="R1700" s="157" t="str">
        <f t="shared" si="62"/>
        <v/>
      </c>
      <c r="S1700" s="157" t="str">
        <f t="shared" si="63"/>
        <v/>
      </c>
      <c r="T1700" s="157" t="str">
        <f t="shared" si="64"/>
        <v/>
      </c>
      <c r="U1700" s="157" t="str">
        <f t="shared" si="65"/>
        <v/>
      </c>
      <c r="V1700" s="157" t="str">
        <f t="shared" si="66"/>
        <v/>
      </c>
      <c r="W1700" s="157" t="str">
        <f t="shared" si="67"/>
        <v/>
      </c>
      <c r="X1700" s="157" t="str">
        <f t="shared" si="68"/>
        <v/>
      </c>
      <c r="Y1700" s="157" t="str">
        <f t="shared" si="69"/>
        <v/>
      </c>
      <c r="Z1700" s="157" t="str">
        <f t="shared" si="70"/>
        <v/>
      </c>
      <c r="AA1700" s="157" t="str">
        <f t="shared" si="71"/>
        <v/>
      </c>
      <c r="AB1700" s="157" t="str">
        <f t="shared" si="72"/>
        <v/>
      </c>
      <c r="AC1700" s="157" t="str">
        <f t="shared" si="73"/>
        <v/>
      </c>
      <c r="AD1700" s="157" t="str">
        <f t="shared" si="74"/>
        <v/>
      </c>
      <c r="AE1700" s="157" t="str">
        <f t="shared" si="75"/>
        <v/>
      </c>
      <c r="AF1700" s="157" t="str">
        <f t="shared" si="76"/>
        <v/>
      </c>
      <c r="AG1700" s="157" t="str">
        <f t="shared" si="77"/>
        <v/>
      </c>
      <c r="AH1700" s="157" t="str">
        <f t="shared" si="78"/>
        <v/>
      </c>
      <c r="AI1700" s="157" t="str">
        <f t="shared" si="79"/>
        <v/>
      </c>
      <c r="AJ1700" s="157" t="str">
        <f t="shared" si="80"/>
        <v/>
      </c>
      <c r="AK1700" s="157" t="str">
        <f t="shared" si="81"/>
        <v/>
      </c>
      <c r="AL1700" s="157" t="str">
        <f t="shared" si="82"/>
        <v/>
      </c>
      <c r="AM1700" s="157" t="str">
        <f t="shared" si="83"/>
        <v/>
      </c>
      <c r="AN1700" s="157" t="str">
        <f t="shared" si="84"/>
        <v/>
      </c>
      <c r="AO1700" s="157" t="str">
        <f t="shared" si="85"/>
        <v/>
      </c>
      <c r="AP1700" s="157" t="str">
        <f t="shared" si="86"/>
        <v/>
      </c>
      <c r="AQ1700" s="157" t="str">
        <f t="shared" si="87"/>
        <v/>
      </c>
      <c r="AR1700" s="157" t="str">
        <f t="shared" si="88"/>
        <v/>
      </c>
      <c r="AS1700" s="157" t="str">
        <f t="shared" si="89"/>
        <v/>
      </c>
      <c r="AT1700" s="157" t="str">
        <f t="shared" si="90"/>
        <v/>
      </c>
      <c r="AU1700" s="157" t="str">
        <f t="shared" si="91"/>
        <v/>
      </c>
      <c r="AV1700" s="157" t="str">
        <f t="shared" si="92"/>
        <v/>
      </c>
      <c r="AW1700" s="157" t="str">
        <f t="shared" si="93"/>
        <v/>
      </c>
      <c r="AX1700" s="157" t="str">
        <f t="shared" si="94"/>
        <v/>
      </c>
      <c r="AY1700" s="157" t="str">
        <f t="shared" si="95"/>
        <v/>
      </c>
      <c r="AZ1700" s="157" t="str">
        <f t="shared" si="96"/>
        <v/>
      </c>
      <c r="BA1700" s="157" t="str">
        <f t="shared" si="97"/>
        <v/>
      </c>
      <c r="BB1700" s="160">
        <f t="shared" si="98"/>
        <v>0</v>
      </c>
    </row>
    <row r="1701" spans="1:68" s="22" customFormat="1" hidden="1">
      <c r="A1701" s="61"/>
      <c r="C1701" s="157" t="s">
        <v>258</v>
      </c>
      <c r="D1701" s="157" t="str">
        <f t="shared" si="58"/>
        <v/>
      </c>
      <c r="E1701" s="157" t="str">
        <f t="shared" si="59"/>
        <v/>
      </c>
      <c r="F1701" s="157" t="str">
        <f t="shared" si="99"/>
        <v/>
      </c>
      <c r="G1701" s="157" t="str">
        <f t="shared" si="100"/>
        <v/>
      </c>
      <c r="H1701" s="157" t="str">
        <f t="shared" si="101"/>
        <v/>
      </c>
      <c r="I1701" s="157" t="str">
        <f t="shared" si="102"/>
        <v/>
      </c>
      <c r="J1701" s="157" t="str">
        <f t="shared" si="103"/>
        <v/>
      </c>
      <c r="K1701" s="157" t="str">
        <f t="shared" si="104"/>
        <v/>
      </c>
      <c r="L1701" s="157" t="str">
        <f t="shared" si="105"/>
        <v/>
      </c>
      <c r="M1701" s="157" t="str">
        <f t="shared" si="106"/>
        <v/>
      </c>
      <c r="N1701" s="157" t="str">
        <f t="shared" si="107"/>
        <v/>
      </c>
      <c r="O1701" s="157" t="str">
        <f t="shared" si="108"/>
        <v/>
      </c>
      <c r="P1701" s="157" t="str">
        <f t="shared" si="60"/>
        <v/>
      </c>
      <c r="Q1701" s="157" t="str">
        <f t="shared" si="61"/>
        <v/>
      </c>
      <c r="R1701" s="157" t="str">
        <f t="shared" si="62"/>
        <v/>
      </c>
      <c r="S1701" s="157" t="str">
        <f t="shared" si="63"/>
        <v/>
      </c>
      <c r="T1701" s="157" t="str">
        <f t="shared" si="64"/>
        <v/>
      </c>
      <c r="U1701" s="157" t="str">
        <f t="shared" si="65"/>
        <v/>
      </c>
      <c r="V1701" s="157" t="str">
        <f t="shared" si="66"/>
        <v/>
      </c>
      <c r="W1701" s="157" t="str">
        <f t="shared" si="67"/>
        <v/>
      </c>
      <c r="X1701" s="157" t="str">
        <f t="shared" si="68"/>
        <v/>
      </c>
      <c r="Y1701" s="157" t="str">
        <f t="shared" si="69"/>
        <v/>
      </c>
      <c r="Z1701" s="157" t="str">
        <f t="shared" si="70"/>
        <v/>
      </c>
      <c r="AA1701" s="157" t="str">
        <f t="shared" si="71"/>
        <v/>
      </c>
      <c r="AB1701" s="157" t="str">
        <f t="shared" si="72"/>
        <v/>
      </c>
      <c r="AC1701" s="157" t="str">
        <f t="shared" si="73"/>
        <v/>
      </c>
      <c r="AD1701" s="157" t="str">
        <f t="shared" si="74"/>
        <v/>
      </c>
      <c r="AE1701" s="157" t="str">
        <f t="shared" si="75"/>
        <v/>
      </c>
      <c r="AF1701" s="157" t="str">
        <f t="shared" si="76"/>
        <v/>
      </c>
      <c r="AG1701" s="157" t="str">
        <f t="shared" si="77"/>
        <v/>
      </c>
      <c r="AH1701" s="157" t="str">
        <f t="shared" si="78"/>
        <v/>
      </c>
      <c r="AI1701" s="157" t="str">
        <f t="shared" si="79"/>
        <v/>
      </c>
      <c r="AJ1701" s="157" t="str">
        <f t="shared" si="80"/>
        <v/>
      </c>
      <c r="AK1701" s="157" t="str">
        <f t="shared" si="81"/>
        <v/>
      </c>
      <c r="AL1701" s="157" t="str">
        <f t="shared" si="82"/>
        <v/>
      </c>
      <c r="AM1701" s="157" t="str">
        <f t="shared" si="83"/>
        <v/>
      </c>
      <c r="AN1701" s="157" t="str">
        <f t="shared" si="84"/>
        <v/>
      </c>
      <c r="AO1701" s="157" t="str">
        <f t="shared" si="85"/>
        <v/>
      </c>
      <c r="AP1701" s="157" t="str">
        <f t="shared" si="86"/>
        <v/>
      </c>
      <c r="AQ1701" s="157" t="str">
        <f t="shared" si="87"/>
        <v/>
      </c>
      <c r="AR1701" s="157" t="str">
        <f t="shared" si="88"/>
        <v/>
      </c>
      <c r="AS1701" s="157" t="str">
        <f t="shared" si="89"/>
        <v/>
      </c>
      <c r="AT1701" s="157" t="str">
        <f t="shared" si="90"/>
        <v/>
      </c>
      <c r="AU1701" s="157" t="str">
        <f t="shared" si="91"/>
        <v/>
      </c>
      <c r="AV1701" s="157" t="str">
        <f t="shared" si="92"/>
        <v/>
      </c>
      <c r="AW1701" s="157" t="str">
        <f t="shared" si="93"/>
        <v/>
      </c>
      <c r="AX1701" s="157" t="str">
        <f t="shared" si="94"/>
        <v/>
      </c>
      <c r="AY1701" s="157" t="str">
        <f t="shared" si="95"/>
        <v/>
      </c>
      <c r="AZ1701" s="157" t="str">
        <f t="shared" si="96"/>
        <v/>
      </c>
      <c r="BA1701" s="157" t="str">
        <f t="shared" si="97"/>
        <v/>
      </c>
      <c r="BB1701" s="160">
        <f t="shared" si="98"/>
        <v>0</v>
      </c>
    </row>
    <row r="1702" spans="1:68" s="22" customFormat="1" hidden="1">
      <c r="A1702" s="61"/>
      <c r="C1702" s="157" t="s">
        <v>259</v>
      </c>
      <c r="D1702" s="157" t="str">
        <f t="shared" si="58"/>
        <v/>
      </c>
      <c r="E1702" s="157" t="str">
        <f t="shared" si="59"/>
        <v/>
      </c>
      <c r="F1702" s="157" t="str">
        <f t="shared" si="99"/>
        <v/>
      </c>
      <c r="G1702" s="157" t="str">
        <f t="shared" si="100"/>
        <v/>
      </c>
      <c r="H1702" s="157" t="str">
        <f t="shared" si="101"/>
        <v/>
      </c>
      <c r="I1702" s="157" t="str">
        <f t="shared" si="102"/>
        <v/>
      </c>
      <c r="J1702" s="157" t="str">
        <f t="shared" si="103"/>
        <v/>
      </c>
      <c r="K1702" s="157" t="str">
        <f t="shared" si="104"/>
        <v/>
      </c>
      <c r="L1702" s="157" t="str">
        <f t="shared" si="105"/>
        <v/>
      </c>
      <c r="M1702" s="157" t="str">
        <f t="shared" si="106"/>
        <v/>
      </c>
      <c r="N1702" s="157" t="str">
        <f t="shared" si="107"/>
        <v/>
      </c>
      <c r="O1702" s="157" t="str">
        <f t="shared" si="108"/>
        <v/>
      </c>
      <c r="P1702" s="157" t="str">
        <f t="shared" si="60"/>
        <v/>
      </c>
      <c r="Q1702" s="157" t="str">
        <f t="shared" si="61"/>
        <v/>
      </c>
      <c r="R1702" s="157" t="str">
        <f t="shared" si="62"/>
        <v/>
      </c>
      <c r="S1702" s="157" t="str">
        <f t="shared" si="63"/>
        <v/>
      </c>
      <c r="T1702" s="157" t="str">
        <f t="shared" si="64"/>
        <v/>
      </c>
      <c r="U1702" s="157" t="str">
        <f t="shared" si="65"/>
        <v/>
      </c>
      <c r="V1702" s="157" t="str">
        <f t="shared" si="66"/>
        <v/>
      </c>
      <c r="W1702" s="157" t="str">
        <f t="shared" si="67"/>
        <v/>
      </c>
      <c r="X1702" s="157" t="str">
        <f t="shared" si="68"/>
        <v/>
      </c>
      <c r="Y1702" s="157" t="str">
        <f t="shared" si="69"/>
        <v/>
      </c>
      <c r="Z1702" s="157" t="str">
        <f t="shared" si="70"/>
        <v/>
      </c>
      <c r="AA1702" s="157" t="str">
        <f t="shared" si="71"/>
        <v/>
      </c>
      <c r="AB1702" s="157" t="str">
        <f t="shared" si="72"/>
        <v/>
      </c>
      <c r="AC1702" s="157" t="str">
        <f t="shared" si="73"/>
        <v/>
      </c>
      <c r="AD1702" s="157" t="str">
        <f t="shared" si="74"/>
        <v/>
      </c>
      <c r="AE1702" s="157" t="str">
        <f t="shared" si="75"/>
        <v/>
      </c>
      <c r="AF1702" s="157" t="str">
        <f t="shared" si="76"/>
        <v/>
      </c>
      <c r="AG1702" s="157" t="str">
        <f t="shared" si="77"/>
        <v/>
      </c>
      <c r="AH1702" s="157" t="str">
        <f t="shared" si="78"/>
        <v/>
      </c>
      <c r="AI1702" s="157" t="str">
        <f t="shared" si="79"/>
        <v/>
      </c>
      <c r="AJ1702" s="157" t="str">
        <f t="shared" si="80"/>
        <v/>
      </c>
      <c r="AK1702" s="157" t="str">
        <f t="shared" si="81"/>
        <v/>
      </c>
      <c r="AL1702" s="157" t="str">
        <f t="shared" si="82"/>
        <v/>
      </c>
      <c r="AM1702" s="157" t="str">
        <f t="shared" si="83"/>
        <v/>
      </c>
      <c r="AN1702" s="157" t="str">
        <f t="shared" si="84"/>
        <v/>
      </c>
      <c r="AO1702" s="157" t="str">
        <f t="shared" si="85"/>
        <v/>
      </c>
      <c r="AP1702" s="157" t="str">
        <f t="shared" si="86"/>
        <v/>
      </c>
      <c r="AQ1702" s="157" t="str">
        <f t="shared" si="87"/>
        <v/>
      </c>
      <c r="AR1702" s="157" t="str">
        <f t="shared" si="88"/>
        <v/>
      </c>
      <c r="AS1702" s="157" t="str">
        <f t="shared" si="89"/>
        <v/>
      </c>
      <c r="AT1702" s="157" t="str">
        <f t="shared" si="90"/>
        <v/>
      </c>
      <c r="AU1702" s="157" t="str">
        <f t="shared" si="91"/>
        <v/>
      </c>
      <c r="AV1702" s="157" t="str">
        <f t="shared" si="92"/>
        <v/>
      </c>
      <c r="AW1702" s="157" t="str">
        <f t="shared" si="93"/>
        <v/>
      </c>
      <c r="AX1702" s="157" t="str">
        <f t="shared" si="94"/>
        <v/>
      </c>
      <c r="AY1702" s="157" t="str">
        <f t="shared" si="95"/>
        <v/>
      </c>
      <c r="AZ1702" s="157" t="str">
        <f t="shared" si="96"/>
        <v/>
      </c>
      <c r="BA1702" s="157" t="str">
        <f t="shared" si="97"/>
        <v/>
      </c>
      <c r="BB1702" s="160">
        <f t="shared" si="98"/>
        <v>0</v>
      </c>
    </row>
    <row r="1703" spans="1:68" s="22" customFormat="1" hidden="1">
      <c r="A1703" s="61"/>
      <c r="C1703" s="157" t="s">
        <v>260</v>
      </c>
      <c r="D1703" s="157" t="str">
        <f t="shared" si="58"/>
        <v/>
      </c>
      <c r="E1703" s="157" t="str">
        <f t="shared" si="59"/>
        <v/>
      </c>
      <c r="F1703" s="157" t="str">
        <f t="shared" si="99"/>
        <v/>
      </c>
      <c r="G1703" s="157" t="str">
        <f t="shared" si="100"/>
        <v/>
      </c>
      <c r="H1703" s="157" t="str">
        <f t="shared" si="101"/>
        <v/>
      </c>
      <c r="I1703" s="157" t="str">
        <f t="shared" si="102"/>
        <v/>
      </c>
      <c r="J1703" s="157" t="str">
        <f t="shared" si="103"/>
        <v/>
      </c>
      <c r="K1703" s="157" t="str">
        <f t="shared" si="104"/>
        <v/>
      </c>
      <c r="L1703" s="157" t="str">
        <f t="shared" si="105"/>
        <v/>
      </c>
      <c r="M1703" s="157" t="str">
        <f t="shared" si="106"/>
        <v/>
      </c>
      <c r="N1703" s="157" t="str">
        <f t="shared" si="107"/>
        <v/>
      </c>
      <c r="O1703" s="157" t="str">
        <f t="shared" si="108"/>
        <v/>
      </c>
      <c r="P1703" s="157" t="str">
        <f t="shared" si="60"/>
        <v/>
      </c>
      <c r="Q1703" s="157" t="str">
        <f t="shared" si="61"/>
        <v/>
      </c>
      <c r="R1703" s="157" t="str">
        <f t="shared" si="62"/>
        <v/>
      </c>
      <c r="S1703" s="157" t="str">
        <f t="shared" si="63"/>
        <v/>
      </c>
      <c r="T1703" s="157" t="str">
        <f t="shared" si="64"/>
        <v/>
      </c>
      <c r="U1703" s="157" t="str">
        <f t="shared" si="65"/>
        <v/>
      </c>
      <c r="V1703" s="157" t="str">
        <f t="shared" si="66"/>
        <v/>
      </c>
      <c r="W1703" s="157" t="str">
        <f t="shared" si="67"/>
        <v/>
      </c>
      <c r="X1703" s="157" t="str">
        <f t="shared" si="68"/>
        <v/>
      </c>
      <c r="Y1703" s="157" t="str">
        <f t="shared" si="69"/>
        <v/>
      </c>
      <c r="Z1703" s="157" t="str">
        <f t="shared" si="70"/>
        <v/>
      </c>
      <c r="AA1703" s="157" t="str">
        <f t="shared" si="71"/>
        <v/>
      </c>
      <c r="AB1703" s="157" t="str">
        <f t="shared" si="72"/>
        <v/>
      </c>
      <c r="AC1703" s="157" t="str">
        <f t="shared" si="73"/>
        <v/>
      </c>
      <c r="AD1703" s="157" t="str">
        <f t="shared" si="74"/>
        <v/>
      </c>
      <c r="AE1703" s="157" t="str">
        <f t="shared" si="75"/>
        <v/>
      </c>
      <c r="AF1703" s="157" t="str">
        <f t="shared" si="76"/>
        <v/>
      </c>
      <c r="AG1703" s="157" t="str">
        <f t="shared" si="77"/>
        <v/>
      </c>
      <c r="AH1703" s="157" t="str">
        <f t="shared" si="78"/>
        <v/>
      </c>
      <c r="AI1703" s="157" t="str">
        <f t="shared" si="79"/>
        <v/>
      </c>
      <c r="AJ1703" s="157" t="str">
        <f t="shared" si="80"/>
        <v/>
      </c>
      <c r="AK1703" s="157" t="str">
        <f t="shared" si="81"/>
        <v/>
      </c>
      <c r="AL1703" s="157" t="str">
        <f t="shared" si="82"/>
        <v/>
      </c>
      <c r="AM1703" s="157" t="str">
        <f t="shared" si="83"/>
        <v/>
      </c>
      <c r="AN1703" s="157" t="str">
        <f t="shared" si="84"/>
        <v/>
      </c>
      <c r="AO1703" s="157" t="str">
        <f t="shared" si="85"/>
        <v/>
      </c>
      <c r="AP1703" s="157" t="str">
        <f t="shared" si="86"/>
        <v/>
      </c>
      <c r="AQ1703" s="157" t="str">
        <f t="shared" si="87"/>
        <v/>
      </c>
      <c r="AR1703" s="157" t="str">
        <f t="shared" si="88"/>
        <v/>
      </c>
      <c r="AS1703" s="157" t="str">
        <f t="shared" si="89"/>
        <v/>
      </c>
      <c r="AT1703" s="157" t="str">
        <f t="shared" si="90"/>
        <v/>
      </c>
      <c r="AU1703" s="157" t="str">
        <f t="shared" si="91"/>
        <v/>
      </c>
      <c r="AV1703" s="157" t="str">
        <f t="shared" si="92"/>
        <v/>
      </c>
      <c r="AW1703" s="157" t="str">
        <f t="shared" si="93"/>
        <v/>
      </c>
      <c r="AX1703" s="157" t="str">
        <f t="shared" si="94"/>
        <v/>
      </c>
      <c r="AY1703" s="157" t="str">
        <f t="shared" si="95"/>
        <v/>
      </c>
      <c r="AZ1703" s="157" t="str">
        <f t="shared" si="96"/>
        <v/>
      </c>
      <c r="BA1703" s="157" t="str">
        <f t="shared" si="97"/>
        <v/>
      </c>
      <c r="BB1703" s="160">
        <f t="shared" si="98"/>
        <v>0</v>
      </c>
    </row>
    <row r="1704" spans="1:68" s="22" customFormat="1" hidden="1">
      <c r="A1704" s="61"/>
      <c r="C1704" s="157" t="s">
        <v>261</v>
      </c>
      <c r="D1704" s="157" t="str">
        <f t="shared" si="58"/>
        <v/>
      </c>
      <c r="E1704" s="157" t="str">
        <f t="shared" si="59"/>
        <v/>
      </c>
      <c r="F1704" s="157" t="str">
        <f t="shared" si="99"/>
        <v/>
      </c>
      <c r="G1704" s="157" t="str">
        <f t="shared" si="100"/>
        <v/>
      </c>
      <c r="H1704" s="157" t="str">
        <f t="shared" si="101"/>
        <v/>
      </c>
      <c r="I1704" s="157" t="str">
        <f t="shared" si="102"/>
        <v/>
      </c>
      <c r="J1704" s="157" t="str">
        <f t="shared" si="103"/>
        <v/>
      </c>
      <c r="K1704" s="157" t="str">
        <f t="shared" si="104"/>
        <v/>
      </c>
      <c r="L1704" s="157" t="str">
        <f t="shared" si="105"/>
        <v/>
      </c>
      <c r="M1704" s="157" t="str">
        <f t="shared" si="106"/>
        <v/>
      </c>
      <c r="N1704" s="157" t="str">
        <f t="shared" si="107"/>
        <v/>
      </c>
      <c r="O1704" s="157" t="str">
        <f t="shared" si="108"/>
        <v/>
      </c>
      <c r="P1704" s="157" t="str">
        <f t="shared" si="60"/>
        <v/>
      </c>
      <c r="Q1704" s="157" t="str">
        <f t="shared" si="61"/>
        <v/>
      </c>
      <c r="R1704" s="157" t="str">
        <f t="shared" si="62"/>
        <v/>
      </c>
      <c r="S1704" s="157" t="str">
        <f t="shared" si="63"/>
        <v/>
      </c>
      <c r="T1704" s="157" t="str">
        <f t="shared" si="64"/>
        <v/>
      </c>
      <c r="U1704" s="157" t="str">
        <f t="shared" si="65"/>
        <v/>
      </c>
      <c r="V1704" s="157" t="str">
        <f t="shared" si="66"/>
        <v/>
      </c>
      <c r="W1704" s="157" t="str">
        <f t="shared" si="67"/>
        <v/>
      </c>
      <c r="X1704" s="157" t="str">
        <f t="shared" si="68"/>
        <v/>
      </c>
      <c r="Y1704" s="157" t="str">
        <f t="shared" si="69"/>
        <v/>
      </c>
      <c r="Z1704" s="157" t="str">
        <f t="shared" si="70"/>
        <v/>
      </c>
      <c r="AA1704" s="157" t="str">
        <f t="shared" si="71"/>
        <v/>
      </c>
      <c r="AB1704" s="157" t="str">
        <f t="shared" si="72"/>
        <v/>
      </c>
      <c r="AC1704" s="157" t="str">
        <f t="shared" si="73"/>
        <v/>
      </c>
      <c r="AD1704" s="157" t="str">
        <f t="shared" si="74"/>
        <v/>
      </c>
      <c r="AE1704" s="157" t="str">
        <f t="shared" si="75"/>
        <v/>
      </c>
      <c r="AF1704" s="157" t="str">
        <f t="shared" si="76"/>
        <v/>
      </c>
      <c r="AG1704" s="157" t="str">
        <f t="shared" si="77"/>
        <v/>
      </c>
      <c r="AH1704" s="157" t="str">
        <f t="shared" si="78"/>
        <v/>
      </c>
      <c r="AI1704" s="157" t="str">
        <f t="shared" si="79"/>
        <v/>
      </c>
      <c r="AJ1704" s="157" t="str">
        <f t="shared" si="80"/>
        <v/>
      </c>
      <c r="AK1704" s="157" t="str">
        <f t="shared" si="81"/>
        <v/>
      </c>
      <c r="AL1704" s="157" t="str">
        <f t="shared" si="82"/>
        <v/>
      </c>
      <c r="AM1704" s="157" t="str">
        <f t="shared" si="83"/>
        <v/>
      </c>
      <c r="AN1704" s="157" t="str">
        <f t="shared" si="84"/>
        <v/>
      </c>
      <c r="AO1704" s="157" t="str">
        <f t="shared" si="85"/>
        <v/>
      </c>
      <c r="AP1704" s="157" t="str">
        <f t="shared" si="86"/>
        <v/>
      </c>
      <c r="AQ1704" s="157" t="str">
        <f t="shared" si="87"/>
        <v/>
      </c>
      <c r="AR1704" s="157" t="str">
        <f t="shared" si="88"/>
        <v/>
      </c>
      <c r="AS1704" s="157" t="str">
        <f t="shared" si="89"/>
        <v/>
      </c>
      <c r="AT1704" s="157" t="str">
        <f t="shared" si="90"/>
        <v/>
      </c>
      <c r="AU1704" s="157" t="str">
        <f t="shared" si="91"/>
        <v/>
      </c>
      <c r="AV1704" s="157" t="str">
        <f t="shared" si="92"/>
        <v/>
      </c>
      <c r="AW1704" s="157" t="str">
        <f t="shared" si="93"/>
        <v/>
      </c>
      <c r="AX1704" s="157" t="str">
        <f t="shared" si="94"/>
        <v/>
      </c>
      <c r="AY1704" s="157" t="str">
        <f t="shared" si="95"/>
        <v/>
      </c>
      <c r="AZ1704" s="157" t="str">
        <f t="shared" si="96"/>
        <v/>
      </c>
      <c r="BA1704" s="157" t="str">
        <f t="shared" si="97"/>
        <v/>
      </c>
      <c r="BB1704" s="160">
        <f t="shared" si="98"/>
        <v>0</v>
      </c>
    </row>
    <row r="1705" spans="1:68" s="22" customFormat="1" hidden="1">
      <c r="A1705" s="61"/>
      <c r="C1705" s="156"/>
      <c r="D1705" s="156"/>
      <c r="E1705" s="156"/>
      <c r="F1705" s="156"/>
      <c r="G1705" s="156"/>
      <c r="H1705" s="156"/>
      <c r="I1705" s="156"/>
      <c r="J1705" s="156"/>
      <c r="K1705" s="156"/>
      <c r="L1705" s="156"/>
      <c r="M1705" s="156"/>
      <c r="N1705" s="156"/>
      <c r="O1705" s="156"/>
      <c r="P1705" s="156"/>
      <c r="Q1705" s="156"/>
      <c r="R1705" s="156"/>
      <c r="S1705" s="156"/>
      <c r="T1705" s="156"/>
      <c r="U1705" s="156"/>
      <c r="V1705" s="156"/>
      <c r="W1705" s="156"/>
      <c r="X1705" s="156"/>
      <c r="Y1705" s="156"/>
      <c r="Z1705" s="156"/>
      <c r="AA1705" s="156"/>
      <c r="AB1705" s="49"/>
      <c r="AC1705" s="49"/>
      <c r="AD1705" s="49"/>
      <c r="AE1705" s="49"/>
      <c r="AF1705" s="49"/>
      <c r="AG1705" s="49"/>
      <c r="AH1705" s="49"/>
      <c r="AI1705" s="49"/>
      <c r="AJ1705" s="49"/>
      <c r="AK1705" s="49"/>
      <c r="AL1705" s="49"/>
      <c r="AM1705" s="49"/>
      <c r="AN1705" s="49"/>
      <c r="AO1705" s="49"/>
      <c r="AP1705" s="49"/>
      <c r="AQ1705" s="49"/>
      <c r="AR1705" s="49"/>
      <c r="AS1705" s="49"/>
      <c r="AT1705" s="49"/>
      <c r="AU1705" s="49"/>
      <c r="AV1705" s="49"/>
      <c r="AW1705" s="49"/>
      <c r="AX1705" s="49"/>
      <c r="AY1705" s="49"/>
      <c r="AZ1705" s="49"/>
      <c r="BA1705" s="49"/>
    </row>
    <row r="1706" spans="1:68" s="22" customFormat="1" hidden="1">
      <c r="A1706" s="61"/>
    </row>
    <row r="1707" spans="1:68" s="22" customFormat="1" hidden="1">
      <c r="A1707" s="61"/>
    </row>
    <row r="1708" spans="1:68" s="22" customFormat="1" hidden="1">
      <c r="A1708" s="61"/>
      <c r="E1708" s="168">
        <v>1</v>
      </c>
      <c r="F1708" s="168">
        <v>2</v>
      </c>
      <c r="G1708" s="168">
        <v>3</v>
      </c>
      <c r="H1708" s="168">
        <v>4</v>
      </c>
      <c r="I1708" s="168">
        <v>5</v>
      </c>
      <c r="J1708" s="168">
        <v>6</v>
      </c>
      <c r="K1708" s="168">
        <v>7</v>
      </c>
      <c r="L1708" s="168">
        <v>8</v>
      </c>
      <c r="M1708" s="168">
        <v>9</v>
      </c>
      <c r="N1708" s="168">
        <v>10</v>
      </c>
      <c r="O1708" s="168">
        <v>11</v>
      </c>
      <c r="P1708" s="168">
        <v>12</v>
      </c>
      <c r="Q1708" s="168">
        <v>13</v>
      </c>
      <c r="R1708" s="168">
        <v>14</v>
      </c>
      <c r="S1708" s="168">
        <v>15</v>
      </c>
      <c r="T1708" s="168">
        <v>16</v>
      </c>
      <c r="U1708" s="168">
        <v>17</v>
      </c>
      <c r="V1708" s="168">
        <v>18</v>
      </c>
      <c r="W1708" s="168">
        <v>19</v>
      </c>
      <c r="X1708" s="168">
        <v>20</v>
      </c>
      <c r="Y1708" s="168">
        <v>21</v>
      </c>
      <c r="Z1708" s="168">
        <v>22</v>
      </c>
      <c r="AA1708" s="168">
        <v>23</v>
      </c>
      <c r="AB1708" s="168">
        <v>24</v>
      </c>
      <c r="AC1708" s="168">
        <v>25</v>
      </c>
      <c r="AD1708" s="168">
        <v>26</v>
      </c>
      <c r="AE1708" s="168">
        <v>27</v>
      </c>
      <c r="AF1708" s="168">
        <v>28</v>
      </c>
      <c r="AG1708" s="168">
        <v>29</v>
      </c>
      <c r="AH1708" s="168">
        <v>30</v>
      </c>
      <c r="AI1708" s="168">
        <v>31</v>
      </c>
      <c r="AJ1708" s="168">
        <v>32</v>
      </c>
      <c r="AK1708" s="168">
        <v>33</v>
      </c>
      <c r="AL1708" s="168">
        <v>34</v>
      </c>
      <c r="AM1708" s="168">
        <v>35</v>
      </c>
      <c r="AN1708" s="168">
        <v>36</v>
      </c>
      <c r="AO1708" s="168">
        <v>37</v>
      </c>
      <c r="AP1708" s="168">
        <v>38</v>
      </c>
      <c r="AQ1708" s="168">
        <v>39</v>
      </c>
      <c r="AR1708" s="168">
        <v>40</v>
      </c>
      <c r="AS1708" s="168">
        <v>41</v>
      </c>
      <c r="AT1708" s="168">
        <v>42</v>
      </c>
      <c r="AU1708" s="168">
        <v>43</v>
      </c>
      <c r="AV1708" s="168">
        <v>44</v>
      </c>
      <c r="AW1708" s="168">
        <v>45</v>
      </c>
      <c r="AX1708" s="168">
        <v>46</v>
      </c>
      <c r="AY1708" s="168">
        <v>47</v>
      </c>
      <c r="AZ1708" s="168">
        <v>48</v>
      </c>
      <c r="BA1708" s="168">
        <v>49</v>
      </c>
      <c r="BB1708" s="168">
        <v>50</v>
      </c>
    </row>
    <row r="1709" spans="1:68" s="22" customFormat="1" hidden="1">
      <c r="A1709" s="61"/>
      <c r="E1709" s="168" t="str">
        <f>$A$178</f>
        <v>11</v>
      </c>
      <c r="F1709" s="168" t="str">
        <f>$A$207</f>
        <v>12</v>
      </c>
      <c r="G1709" s="168" t="str">
        <f>$A$236</f>
        <v>13</v>
      </c>
      <c r="H1709" s="168" t="str">
        <f>$A$265</f>
        <v>14</v>
      </c>
      <c r="I1709" s="168" t="str">
        <f>$A$294</f>
        <v>15</v>
      </c>
      <c r="J1709" s="168" t="str">
        <f>$A$323</f>
        <v>21</v>
      </c>
      <c r="K1709" s="168" t="str">
        <f>$A$352</f>
        <v>22</v>
      </c>
      <c r="L1709" s="168" t="str">
        <f>$A$381</f>
        <v/>
      </c>
      <c r="M1709" s="168" t="str">
        <f>$A$410</f>
        <v>32</v>
      </c>
      <c r="N1709" s="168" t="str">
        <f>$A$439</f>
        <v>41</v>
      </c>
      <c r="O1709" s="168" t="str">
        <f>$A$468</f>
        <v>42</v>
      </c>
      <c r="P1709" s="168" t="str">
        <f>$A$497</f>
        <v>43</v>
      </c>
      <c r="Q1709" s="168" t="str">
        <f>$A$526</f>
        <v>43</v>
      </c>
      <c r="R1709" s="168" t="str">
        <f>$A$555</f>
        <v>43</v>
      </c>
      <c r="S1709" s="168" t="str">
        <f>$A$584</f>
        <v>43</v>
      </c>
      <c r="T1709" s="168" t="str">
        <f>$A$613</f>
        <v>43</v>
      </c>
      <c r="U1709" s="168" t="str">
        <f>$A$642</f>
        <v>51</v>
      </c>
      <c r="V1709" s="168" t="str">
        <f>$A$671</f>
        <v>52</v>
      </c>
      <c r="W1709" s="168" t="str">
        <f>$A$700</f>
        <v>52</v>
      </c>
      <c r="X1709" s="168" t="str">
        <f>$A$729</f>
        <v/>
      </c>
      <c r="Y1709" s="168" t="str">
        <f>$A$758</f>
        <v/>
      </c>
      <c r="Z1709" s="168" t="str">
        <f>$A$787</f>
        <v/>
      </c>
      <c r="AA1709" s="168" t="str">
        <f>$A$816</f>
        <v/>
      </c>
      <c r="AB1709" s="168" t="str">
        <f>$A$845</f>
        <v/>
      </c>
      <c r="AC1709" s="168" t="str">
        <f>$A$874</f>
        <v/>
      </c>
      <c r="AD1709" s="168" t="str">
        <f>$A$903</f>
        <v/>
      </c>
      <c r="AE1709" s="168" t="str">
        <f>$A$932</f>
        <v/>
      </c>
      <c r="AF1709" s="168" t="str">
        <f>$A$961</f>
        <v/>
      </c>
      <c r="AG1709" s="168" t="str">
        <f>$A$990</f>
        <v/>
      </c>
      <c r="AH1709" s="168" t="str">
        <f>$A$1019</f>
        <v/>
      </c>
      <c r="AI1709" s="168" t="str">
        <f>$A$1048</f>
        <v/>
      </c>
      <c r="AJ1709" s="168" t="str">
        <f>$A$1077</f>
        <v/>
      </c>
      <c r="AK1709" s="168" t="str">
        <f>$A$1106</f>
        <v/>
      </c>
      <c r="AL1709" s="168" t="str">
        <f>$A$1135</f>
        <v/>
      </c>
      <c r="AM1709" s="168" t="str">
        <f>$A$1164</f>
        <v/>
      </c>
      <c r="AN1709" s="168" t="str">
        <f>$A$1193</f>
        <v/>
      </c>
      <c r="AO1709" s="168" t="str">
        <f>$A$1222</f>
        <v/>
      </c>
      <c r="AP1709" s="168" t="str">
        <f>$A$1251</f>
        <v/>
      </c>
      <c r="AQ1709" s="168" t="str">
        <f>$A$1280</f>
        <v/>
      </c>
      <c r="AR1709" s="168" t="str">
        <f>$A$1309</f>
        <v/>
      </c>
      <c r="AS1709" s="168" t="str">
        <f>$A$1338</f>
        <v/>
      </c>
      <c r="AT1709" s="168" t="str">
        <f>$A$1367</f>
        <v/>
      </c>
      <c r="AU1709" s="168" t="str">
        <f>$A$1396</f>
        <v/>
      </c>
      <c r="AV1709" s="168" t="str">
        <f>$A$1425</f>
        <v/>
      </c>
      <c r="AW1709" s="168" t="str">
        <f>$A$1454</f>
        <v/>
      </c>
      <c r="AX1709" s="168" t="str">
        <f>$A$1483</f>
        <v/>
      </c>
      <c r="AY1709" s="168" t="str">
        <f>$A$1512</f>
        <v/>
      </c>
      <c r="AZ1709" s="168" t="str">
        <f>$A$1541</f>
        <v/>
      </c>
      <c r="BA1709" s="168" t="str">
        <f>$A$1570</f>
        <v/>
      </c>
      <c r="BB1709" s="168" t="str">
        <f>$A$1599</f>
        <v/>
      </c>
    </row>
    <row r="1710" spans="1:68" s="22" customFormat="1" hidden="1">
      <c r="A1710" s="61"/>
      <c r="E1710" s="170">
        <f>$Q$190</f>
        <v>112340</v>
      </c>
      <c r="F1710" s="170">
        <f>$Q$219</f>
        <v>337020</v>
      </c>
      <c r="G1710" s="170">
        <f>$Q$248</f>
        <v>36990</v>
      </c>
      <c r="H1710" s="170">
        <f>$Q$277</f>
        <v>330170</v>
      </c>
      <c r="I1710" s="170">
        <f>$Q$306</f>
        <v>127410</v>
      </c>
      <c r="J1710" s="170">
        <f>$Q$335</f>
        <v>518939.99999999994</v>
      </c>
      <c r="K1710" s="170">
        <f>$Q$364</f>
        <v>99325</v>
      </c>
      <c r="L1710" s="170">
        <f>$Q$393</f>
        <v>0</v>
      </c>
      <c r="M1710" s="170">
        <f>$Q$422</f>
        <v>584027.52</v>
      </c>
      <c r="N1710" s="170">
        <f>$Q$451</f>
        <v>129555</v>
      </c>
      <c r="O1710" s="170">
        <f>$Q$480</f>
        <v>75503</v>
      </c>
      <c r="P1710" s="170">
        <f>$Q$509</f>
        <v>1969.89</v>
      </c>
      <c r="Q1710" s="170">
        <f>$Q$538</f>
        <v>3411.68</v>
      </c>
      <c r="R1710" s="170">
        <f>$Q$567</f>
        <v>25842.25</v>
      </c>
      <c r="S1710" s="170">
        <f>$Q$596</f>
        <v>16791.400000000001</v>
      </c>
      <c r="T1710" s="170">
        <f>$Q$625</f>
        <v>6297.4</v>
      </c>
      <c r="U1710" s="170">
        <f>$Q$654</f>
        <v>86370</v>
      </c>
      <c r="V1710" s="170">
        <f>$Q$683</f>
        <v>22750</v>
      </c>
      <c r="W1710" s="170">
        <f>$Q$712</f>
        <v>25935</v>
      </c>
      <c r="X1710" s="170" t="str">
        <f>$Q$741</f>
        <v/>
      </c>
      <c r="Y1710" s="170" t="str">
        <f>$Q$770</f>
        <v/>
      </c>
      <c r="Z1710" s="170" t="str">
        <f>$Q$799</f>
        <v/>
      </c>
      <c r="AA1710" s="170" t="str">
        <f>$Q$828</f>
        <v/>
      </c>
      <c r="AB1710" s="170" t="str">
        <f>$Q$857</f>
        <v/>
      </c>
      <c r="AC1710" s="170" t="str">
        <f>$Q$886</f>
        <v/>
      </c>
      <c r="AD1710" s="170" t="str">
        <f>$Q$915</f>
        <v/>
      </c>
      <c r="AE1710" s="170" t="str">
        <f>$Q$944</f>
        <v/>
      </c>
      <c r="AF1710" s="170" t="str">
        <f>$Q$973</f>
        <v/>
      </c>
      <c r="AG1710" s="170" t="str">
        <f>$Q$1002</f>
        <v/>
      </c>
      <c r="AH1710" s="170" t="str">
        <f>$Q$1031</f>
        <v/>
      </c>
      <c r="AI1710" s="170" t="str">
        <f>$Q$1060</f>
        <v/>
      </c>
      <c r="AJ1710" s="170" t="str">
        <f>$Q$1089</f>
        <v/>
      </c>
      <c r="AK1710" s="170" t="str">
        <f>$Q$1118</f>
        <v/>
      </c>
      <c r="AL1710" s="170" t="str">
        <f>$Q$1147</f>
        <v/>
      </c>
      <c r="AM1710" s="170" t="str">
        <f>$Q$1176</f>
        <v/>
      </c>
      <c r="AN1710" s="170" t="str">
        <f>$Q$1205</f>
        <v/>
      </c>
      <c r="AO1710" s="170" t="str">
        <f>$Q$1234</f>
        <v/>
      </c>
      <c r="AP1710" s="170" t="str">
        <f>$Q$1263</f>
        <v/>
      </c>
      <c r="AQ1710" s="170" t="str">
        <f>$Q$1292</f>
        <v/>
      </c>
      <c r="AR1710" s="170" t="str">
        <f>$Q$1321</f>
        <v/>
      </c>
      <c r="AS1710" s="170" t="str">
        <f>$Q$1350</f>
        <v/>
      </c>
      <c r="AT1710" s="170" t="str">
        <f>$Q$1379</f>
        <v/>
      </c>
      <c r="AU1710" s="170" t="str">
        <f>$Q$1408</f>
        <v/>
      </c>
      <c r="AV1710" s="170" t="str">
        <f>$Q$1437</f>
        <v/>
      </c>
      <c r="AW1710" s="170" t="str">
        <f>$Q$1466</f>
        <v/>
      </c>
      <c r="AX1710" s="170" t="str">
        <f>$Q$1495</f>
        <v/>
      </c>
      <c r="AY1710" s="170" t="str">
        <f>$Q$1524</f>
        <v/>
      </c>
      <c r="AZ1710" s="170" t="str">
        <f>$Q$1553</f>
        <v/>
      </c>
      <c r="BA1710" s="170" t="str">
        <f>$Q$1582</f>
        <v/>
      </c>
      <c r="BB1710" s="170" t="str">
        <f>$Q$1611</f>
        <v/>
      </c>
      <c r="BD1710" s="480"/>
      <c r="BE1710" s="480"/>
      <c r="BF1710" s="480"/>
      <c r="BG1710" s="480"/>
      <c r="BH1710" s="480"/>
      <c r="BI1710" s="480"/>
      <c r="BJ1710" s="480"/>
      <c r="BL1710" s="171"/>
      <c r="BP1710" s="171"/>
    </row>
    <row r="1711" spans="1:68" s="22" customFormat="1" hidden="1">
      <c r="A1711" s="61"/>
      <c r="B1711" s="169">
        <v>1</v>
      </c>
      <c r="C1711" s="169">
        <v>1</v>
      </c>
      <c r="D1711" s="169" t="str">
        <f t="shared" ref="D1711:D1718" si="109">CONCATENATE(B1711,C1711)</f>
        <v>11</v>
      </c>
      <c r="E1711" s="172">
        <f t="shared" ref="E1711:E1735" si="110">IF($D1711=E$1709,E$1710,"")</f>
        <v>112340</v>
      </c>
      <c r="F1711" s="172" t="str">
        <f t="shared" ref="F1711:BB1716" si="111">IF($D1711=F$1709,F$1710,"")</f>
        <v/>
      </c>
      <c r="G1711" s="172" t="str">
        <f t="shared" si="111"/>
        <v/>
      </c>
      <c r="H1711" s="172" t="str">
        <f t="shared" si="111"/>
        <v/>
      </c>
      <c r="I1711" s="172" t="str">
        <f t="shared" si="111"/>
        <v/>
      </c>
      <c r="J1711" s="172" t="str">
        <f t="shared" si="111"/>
        <v/>
      </c>
      <c r="K1711" s="172" t="str">
        <f t="shared" si="111"/>
        <v/>
      </c>
      <c r="L1711" s="172" t="str">
        <f t="shared" si="111"/>
        <v/>
      </c>
      <c r="M1711" s="172" t="str">
        <f t="shared" si="111"/>
        <v/>
      </c>
      <c r="N1711" s="172" t="str">
        <f t="shared" si="111"/>
        <v/>
      </c>
      <c r="O1711" s="172" t="str">
        <f t="shared" si="111"/>
        <v/>
      </c>
      <c r="P1711" s="172" t="str">
        <f t="shared" si="111"/>
        <v/>
      </c>
      <c r="Q1711" s="172" t="str">
        <f t="shared" si="111"/>
        <v/>
      </c>
      <c r="R1711" s="172" t="str">
        <f t="shared" si="111"/>
        <v/>
      </c>
      <c r="S1711" s="172" t="str">
        <f t="shared" si="111"/>
        <v/>
      </c>
      <c r="T1711" s="172" t="str">
        <f t="shared" si="111"/>
        <v/>
      </c>
      <c r="U1711" s="172" t="str">
        <f t="shared" si="111"/>
        <v/>
      </c>
      <c r="V1711" s="172" t="str">
        <f t="shared" si="111"/>
        <v/>
      </c>
      <c r="W1711" s="172" t="str">
        <f t="shared" si="111"/>
        <v/>
      </c>
      <c r="X1711" s="172" t="str">
        <f t="shared" si="111"/>
        <v/>
      </c>
      <c r="Y1711" s="172" t="str">
        <f t="shared" si="111"/>
        <v/>
      </c>
      <c r="Z1711" s="172" t="str">
        <f t="shared" si="111"/>
        <v/>
      </c>
      <c r="AA1711" s="172" t="str">
        <f t="shared" si="111"/>
        <v/>
      </c>
      <c r="AB1711" s="172" t="str">
        <f t="shared" si="111"/>
        <v/>
      </c>
      <c r="AC1711" s="172" t="str">
        <f t="shared" si="111"/>
        <v/>
      </c>
      <c r="AD1711" s="172" t="str">
        <f t="shared" si="111"/>
        <v/>
      </c>
      <c r="AE1711" s="172" t="str">
        <f t="shared" si="111"/>
        <v/>
      </c>
      <c r="AF1711" s="172" t="str">
        <f t="shared" si="111"/>
        <v/>
      </c>
      <c r="AG1711" s="172" t="str">
        <f t="shared" si="111"/>
        <v/>
      </c>
      <c r="AH1711" s="172" t="str">
        <f t="shared" si="111"/>
        <v/>
      </c>
      <c r="AI1711" s="172" t="str">
        <f t="shared" si="111"/>
        <v/>
      </c>
      <c r="AJ1711" s="172" t="str">
        <f t="shared" si="111"/>
        <v/>
      </c>
      <c r="AK1711" s="172" t="str">
        <f t="shared" si="111"/>
        <v/>
      </c>
      <c r="AL1711" s="172" t="str">
        <f t="shared" si="111"/>
        <v/>
      </c>
      <c r="AM1711" s="172" t="str">
        <f t="shared" si="111"/>
        <v/>
      </c>
      <c r="AN1711" s="172" t="str">
        <f t="shared" si="111"/>
        <v/>
      </c>
      <c r="AO1711" s="172" t="str">
        <f t="shared" si="111"/>
        <v/>
      </c>
      <c r="AP1711" s="172" t="str">
        <f t="shared" si="111"/>
        <v/>
      </c>
      <c r="AQ1711" s="172" t="str">
        <f t="shared" si="111"/>
        <v/>
      </c>
      <c r="AR1711" s="172" t="str">
        <f t="shared" si="111"/>
        <v/>
      </c>
      <c r="AS1711" s="172" t="str">
        <f t="shared" si="111"/>
        <v/>
      </c>
      <c r="AT1711" s="172" t="str">
        <f t="shared" si="111"/>
        <v/>
      </c>
      <c r="AU1711" s="172" t="str">
        <f t="shared" si="111"/>
        <v/>
      </c>
      <c r="AV1711" s="172" t="str">
        <f t="shared" si="111"/>
        <v/>
      </c>
      <c r="AW1711" s="172" t="str">
        <f t="shared" si="111"/>
        <v/>
      </c>
      <c r="AX1711" s="172" t="str">
        <f t="shared" si="111"/>
        <v/>
      </c>
      <c r="AY1711" s="172" t="str">
        <f t="shared" si="111"/>
        <v/>
      </c>
      <c r="AZ1711" s="172" t="str">
        <f t="shared" si="111"/>
        <v/>
      </c>
      <c r="BA1711" s="172" t="str">
        <f t="shared" si="111"/>
        <v/>
      </c>
      <c r="BB1711" s="172" t="str">
        <f t="shared" si="111"/>
        <v/>
      </c>
      <c r="BD1711" s="159">
        <f t="shared" ref="BD1711:BD1735" si="112">SUM(E1711:BB1711)</f>
        <v>112340</v>
      </c>
      <c r="BL1711" s="171"/>
      <c r="BP1711" s="171"/>
    </row>
    <row r="1712" spans="1:68" s="22" customFormat="1" hidden="1">
      <c r="A1712" s="61"/>
      <c r="B1712" s="169">
        <v>1</v>
      </c>
      <c r="C1712" s="169">
        <v>2</v>
      </c>
      <c r="D1712" s="169" t="str">
        <f t="shared" si="109"/>
        <v>12</v>
      </c>
      <c r="E1712" s="172" t="str">
        <f t="shared" si="110"/>
        <v/>
      </c>
      <c r="F1712" s="172">
        <f t="shared" si="111"/>
        <v>337020</v>
      </c>
      <c r="G1712" s="172" t="str">
        <f t="shared" si="111"/>
        <v/>
      </c>
      <c r="H1712" s="172" t="str">
        <f t="shared" si="111"/>
        <v/>
      </c>
      <c r="I1712" s="172" t="str">
        <f t="shared" si="111"/>
        <v/>
      </c>
      <c r="J1712" s="172" t="str">
        <f t="shared" si="111"/>
        <v/>
      </c>
      <c r="K1712" s="172" t="str">
        <f t="shared" si="111"/>
        <v/>
      </c>
      <c r="L1712" s="172" t="str">
        <f t="shared" si="111"/>
        <v/>
      </c>
      <c r="M1712" s="172" t="str">
        <f t="shared" si="111"/>
        <v/>
      </c>
      <c r="N1712" s="172" t="str">
        <f t="shared" si="111"/>
        <v/>
      </c>
      <c r="O1712" s="172" t="str">
        <f t="shared" si="111"/>
        <v/>
      </c>
      <c r="P1712" s="172" t="str">
        <f t="shared" si="111"/>
        <v/>
      </c>
      <c r="Q1712" s="172" t="str">
        <f t="shared" si="111"/>
        <v/>
      </c>
      <c r="R1712" s="172" t="str">
        <f t="shared" si="111"/>
        <v/>
      </c>
      <c r="S1712" s="172" t="str">
        <f t="shared" si="111"/>
        <v/>
      </c>
      <c r="T1712" s="172" t="str">
        <f t="shared" si="111"/>
        <v/>
      </c>
      <c r="U1712" s="172" t="str">
        <f t="shared" si="111"/>
        <v/>
      </c>
      <c r="V1712" s="172" t="str">
        <f t="shared" si="111"/>
        <v/>
      </c>
      <c r="W1712" s="172" t="str">
        <f t="shared" si="111"/>
        <v/>
      </c>
      <c r="X1712" s="172" t="str">
        <f t="shared" si="111"/>
        <v/>
      </c>
      <c r="Y1712" s="172" t="str">
        <f t="shared" si="111"/>
        <v/>
      </c>
      <c r="Z1712" s="172" t="str">
        <f t="shared" si="111"/>
        <v/>
      </c>
      <c r="AA1712" s="172" t="str">
        <f t="shared" si="111"/>
        <v/>
      </c>
      <c r="AB1712" s="172" t="str">
        <f t="shared" si="111"/>
        <v/>
      </c>
      <c r="AC1712" s="172" t="str">
        <f t="shared" si="111"/>
        <v/>
      </c>
      <c r="AD1712" s="172" t="str">
        <f t="shared" si="111"/>
        <v/>
      </c>
      <c r="AE1712" s="172" t="str">
        <f t="shared" si="111"/>
        <v/>
      </c>
      <c r="AF1712" s="172" t="str">
        <f t="shared" si="111"/>
        <v/>
      </c>
      <c r="AG1712" s="172" t="str">
        <f t="shared" si="111"/>
        <v/>
      </c>
      <c r="AH1712" s="172" t="str">
        <f t="shared" si="111"/>
        <v/>
      </c>
      <c r="AI1712" s="172" t="str">
        <f t="shared" si="111"/>
        <v/>
      </c>
      <c r="AJ1712" s="172" t="str">
        <f t="shared" si="111"/>
        <v/>
      </c>
      <c r="AK1712" s="172" t="str">
        <f t="shared" si="111"/>
        <v/>
      </c>
      <c r="AL1712" s="172" t="str">
        <f t="shared" si="111"/>
        <v/>
      </c>
      <c r="AM1712" s="172" t="str">
        <f t="shared" si="111"/>
        <v/>
      </c>
      <c r="AN1712" s="172" t="str">
        <f t="shared" si="111"/>
        <v/>
      </c>
      <c r="AO1712" s="172" t="str">
        <f t="shared" si="111"/>
        <v/>
      </c>
      <c r="AP1712" s="172" t="str">
        <f t="shared" si="111"/>
        <v/>
      </c>
      <c r="AQ1712" s="172" t="str">
        <f t="shared" si="111"/>
        <v/>
      </c>
      <c r="AR1712" s="172" t="str">
        <f t="shared" si="111"/>
        <v/>
      </c>
      <c r="AS1712" s="172" t="str">
        <f t="shared" si="111"/>
        <v/>
      </c>
      <c r="AT1712" s="172" t="str">
        <f t="shared" si="111"/>
        <v/>
      </c>
      <c r="AU1712" s="172" t="str">
        <f t="shared" si="111"/>
        <v/>
      </c>
      <c r="AV1712" s="172" t="str">
        <f t="shared" si="111"/>
        <v/>
      </c>
      <c r="AW1712" s="172" t="str">
        <f t="shared" si="111"/>
        <v/>
      </c>
      <c r="AX1712" s="172" t="str">
        <f t="shared" si="111"/>
        <v/>
      </c>
      <c r="AY1712" s="172" t="str">
        <f t="shared" si="111"/>
        <v/>
      </c>
      <c r="AZ1712" s="172" t="str">
        <f t="shared" si="111"/>
        <v/>
      </c>
      <c r="BA1712" s="172" t="str">
        <f t="shared" si="111"/>
        <v/>
      </c>
      <c r="BB1712" s="172" t="str">
        <f t="shared" si="111"/>
        <v/>
      </c>
      <c r="BD1712" s="159">
        <f t="shared" si="112"/>
        <v>337020</v>
      </c>
      <c r="BL1712" s="171"/>
      <c r="BP1712" s="171"/>
    </row>
    <row r="1713" spans="1:68" s="22" customFormat="1" hidden="1">
      <c r="A1713" s="61"/>
      <c r="B1713" s="169">
        <v>1</v>
      </c>
      <c r="C1713" s="169">
        <v>3</v>
      </c>
      <c r="D1713" s="169" t="str">
        <f t="shared" si="109"/>
        <v>13</v>
      </c>
      <c r="E1713" s="172" t="str">
        <f t="shared" si="110"/>
        <v/>
      </c>
      <c r="F1713" s="172" t="str">
        <f t="shared" si="111"/>
        <v/>
      </c>
      <c r="G1713" s="172">
        <f t="shared" si="111"/>
        <v>36990</v>
      </c>
      <c r="H1713" s="172" t="str">
        <f t="shared" si="111"/>
        <v/>
      </c>
      <c r="I1713" s="172" t="str">
        <f t="shared" si="111"/>
        <v/>
      </c>
      <c r="J1713" s="172" t="str">
        <f t="shared" si="111"/>
        <v/>
      </c>
      <c r="K1713" s="172" t="str">
        <f t="shared" si="111"/>
        <v/>
      </c>
      <c r="L1713" s="172" t="str">
        <f t="shared" si="111"/>
        <v/>
      </c>
      <c r="M1713" s="172" t="str">
        <f t="shared" si="111"/>
        <v/>
      </c>
      <c r="N1713" s="172" t="str">
        <f t="shared" si="111"/>
        <v/>
      </c>
      <c r="O1713" s="172" t="str">
        <f t="shared" si="111"/>
        <v/>
      </c>
      <c r="P1713" s="172" t="str">
        <f t="shared" si="111"/>
        <v/>
      </c>
      <c r="Q1713" s="172" t="str">
        <f t="shared" si="111"/>
        <v/>
      </c>
      <c r="R1713" s="172" t="str">
        <f t="shared" si="111"/>
        <v/>
      </c>
      <c r="S1713" s="172" t="str">
        <f t="shared" si="111"/>
        <v/>
      </c>
      <c r="T1713" s="172" t="str">
        <f t="shared" si="111"/>
        <v/>
      </c>
      <c r="U1713" s="172" t="str">
        <f t="shared" si="111"/>
        <v/>
      </c>
      <c r="V1713" s="172" t="str">
        <f t="shared" si="111"/>
        <v/>
      </c>
      <c r="W1713" s="172" t="str">
        <f t="shared" si="111"/>
        <v/>
      </c>
      <c r="X1713" s="172" t="str">
        <f t="shared" si="111"/>
        <v/>
      </c>
      <c r="Y1713" s="172" t="str">
        <f t="shared" si="111"/>
        <v/>
      </c>
      <c r="Z1713" s="172" t="str">
        <f t="shared" si="111"/>
        <v/>
      </c>
      <c r="AA1713" s="172" t="str">
        <f t="shared" si="111"/>
        <v/>
      </c>
      <c r="AB1713" s="172" t="str">
        <f t="shared" si="111"/>
        <v/>
      </c>
      <c r="AC1713" s="172" t="str">
        <f t="shared" si="111"/>
        <v/>
      </c>
      <c r="AD1713" s="172" t="str">
        <f t="shared" si="111"/>
        <v/>
      </c>
      <c r="AE1713" s="172" t="str">
        <f t="shared" si="111"/>
        <v/>
      </c>
      <c r="AF1713" s="172" t="str">
        <f t="shared" si="111"/>
        <v/>
      </c>
      <c r="AG1713" s="172" t="str">
        <f t="shared" si="111"/>
        <v/>
      </c>
      <c r="AH1713" s="172" t="str">
        <f t="shared" si="111"/>
        <v/>
      </c>
      <c r="AI1713" s="172" t="str">
        <f t="shared" si="111"/>
        <v/>
      </c>
      <c r="AJ1713" s="172" t="str">
        <f t="shared" si="111"/>
        <v/>
      </c>
      <c r="AK1713" s="172" t="str">
        <f t="shared" si="111"/>
        <v/>
      </c>
      <c r="AL1713" s="172" t="str">
        <f t="shared" si="111"/>
        <v/>
      </c>
      <c r="AM1713" s="172" t="str">
        <f t="shared" si="111"/>
        <v/>
      </c>
      <c r="AN1713" s="172" t="str">
        <f t="shared" si="111"/>
        <v/>
      </c>
      <c r="AO1713" s="172" t="str">
        <f t="shared" si="111"/>
        <v/>
      </c>
      <c r="AP1713" s="172" t="str">
        <f t="shared" si="111"/>
        <v/>
      </c>
      <c r="AQ1713" s="172" t="str">
        <f t="shared" si="111"/>
        <v/>
      </c>
      <c r="AR1713" s="172" t="str">
        <f t="shared" si="111"/>
        <v/>
      </c>
      <c r="AS1713" s="172" t="str">
        <f t="shared" si="111"/>
        <v/>
      </c>
      <c r="AT1713" s="172" t="str">
        <f t="shared" si="111"/>
        <v/>
      </c>
      <c r="AU1713" s="172" t="str">
        <f t="shared" si="111"/>
        <v/>
      </c>
      <c r="AV1713" s="172" t="str">
        <f t="shared" si="111"/>
        <v/>
      </c>
      <c r="AW1713" s="172" t="str">
        <f t="shared" si="111"/>
        <v/>
      </c>
      <c r="AX1713" s="172" t="str">
        <f t="shared" si="111"/>
        <v/>
      </c>
      <c r="AY1713" s="172" t="str">
        <f t="shared" si="111"/>
        <v/>
      </c>
      <c r="AZ1713" s="172" t="str">
        <f t="shared" si="111"/>
        <v/>
      </c>
      <c r="BA1713" s="172" t="str">
        <f t="shared" si="111"/>
        <v/>
      </c>
      <c r="BB1713" s="172" t="str">
        <f t="shared" si="111"/>
        <v/>
      </c>
      <c r="BD1713" s="159">
        <f t="shared" si="112"/>
        <v>36990</v>
      </c>
      <c r="BL1713" s="171"/>
      <c r="BP1713" s="171"/>
    </row>
    <row r="1714" spans="1:68" s="22" customFormat="1" hidden="1">
      <c r="A1714" s="61"/>
      <c r="B1714" s="169">
        <v>1</v>
      </c>
      <c r="C1714" s="169">
        <v>4</v>
      </c>
      <c r="D1714" s="169" t="str">
        <f t="shared" si="109"/>
        <v>14</v>
      </c>
      <c r="E1714" s="172" t="str">
        <f t="shared" si="110"/>
        <v/>
      </c>
      <c r="F1714" s="172" t="str">
        <f t="shared" si="111"/>
        <v/>
      </c>
      <c r="G1714" s="172" t="str">
        <f t="shared" si="111"/>
        <v/>
      </c>
      <c r="H1714" s="172">
        <f t="shared" si="111"/>
        <v>330170</v>
      </c>
      <c r="I1714" s="172" t="str">
        <f t="shared" si="111"/>
        <v/>
      </c>
      <c r="J1714" s="172" t="str">
        <f t="shared" si="111"/>
        <v/>
      </c>
      <c r="K1714" s="172" t="str">
        <f t="shared" si="111"/>
        <v/>
      </c>
      <c r="L1714" s="172" t="str">
        <f t="shared" si="111"/>
        <v/>
      </c>
      <c r="M1714" s="172" t="str">
        <f t="shared" si="111"/>
        <v/>
      </c>
      <c r="N1714" s="172" t="str">
        <f t="shared" si="111"/>
        <v/>
      </c>
      <c r="O1714" s="172" t="str">
        <f t="shared" si="111"/>
        <v/>
      </c>
      <c r="P1714" s="172" t="str">
        <f t="shared" si="111"/>
        <v/>
      </c>
      <c r="Q1714" s="172" t="str">
        <f t="shared" si="111"/>
        <v/>
      </c>
      <c r="R1714" s="172" t="str">
        <f t="shared" si="111"/>
        <v/>
      </c>
      <c r="S1714" s="172" t="str">
        <f t="shared" si="111"/>
        <v/>
      </c>
      <c r="T1714" s="172" t="str">
        <f t="shared" si="111"/>
        <v/>
      </c>
      <c r="U1714" s="172" t="str">
        <f t="shared" si="111"/>
        <v/>
      </c>
      <c r="V1714" s="172" t="str">
        <f t="shared" si="111"/>
        <v/>
      </c>
      <c r="W1714" s="172" t="str">
        <f t="shared" si="111"/>
        <v/>
      </c>
      <c r="X1714" s="172" t="str">
        <f t="shared" si="111"/>
        <v/>
      </c>
      <c r="Y1714" s="172" t="str">
        <f t="shared" si="111"/>
        <v/>
      </c>
      <c r="Z1714" s="172" t="str">
        <f t="shared" si="111"/>
        <v/>
      </c>
      <c r="AA1714" s="172" t="str">
        <f t="shared" si="111"/>
        <v/>
      </c>
      <c r="AB1714" s="172" t="str">
        <f t="shared" si="111"/>
        <v/>
      </c>
      <c r="AC1714" s="172" t="str">
        <f t="shared" si="111"/>
        <v/>
      </c>
      <c r="AD1714" s="172" t="str">
        <f t="shared" si="111"/>
        <v/>
      </c>
      <c r="AE1714" s="172" t="str">
        <f t="shared" si="111"/>
        <v/>
      </c>
      <c r="AF1714" s="172" t="str">
        <f t="shared" si="111"/>
        <v/>
      </c>
      <c r="AG1714" s="172" t="str">
        <f t="shared" si="111"/>
        <v/>
      </c>
      <c r="AH1714" s="172" t="str">
        <f t="shared" si="111"/>
        <v/>
      </c>
      <c r="AI1714" s="172" t="str">
        <f t="shared" si="111"/>
        <v/>
      </c>
      <c r="AJ1714" s="172" t="str">
        <f t="shared" si="111"/>
        <v/>
      </c>
      <c r="AK1714" s="172" t="str">
        <f t="shared" si="111"/>
        <v/>
      </c>
      <c r="AL1714" s="172" t="str">
        <f t="shared" si="111"/>
        <v/>
      </c>
      <c r="AM1714" s="172" t="str">
        <f t="shared" si="111"/>
        <v/>
      </c>
      <c r="AN1714" s="172" t="str">
        <f t="shared" si="111"/>
        <v/>
      </c>
      <c r="AO1714" s="172" t="str">
        <f t="shared" si="111"/>
        <v/>
      </c>
      <c r="AP1714" s="172" t="str">
        <f t="shared" si="111"/>
        <v/>
      </c>
      <c r="AQ1714" s="172" t="str">
        <f t="shared" si="111"/>
        <v/>
      </c>
      <c r="AR1714" s="172" t="str">
        <f t="shared" si="111"/>
        <v/>
      </c>
      <c r="AS1714" s="172" t="str">
        <f t="shared" si="111"/>
        <v/>
      </c>
      <c r="AT1714" s="172" t="str">
        <f t="shared" si="111"/>
        <v/>
      </c>
      <c r="AU1714" s="172" t="str">
        <f t="shared" si="111"/>
        <v/>
      </c>
      <c r="AV1714" s="172" t="str">
        <f t="shared" si="111"/>
        <v/>
      </c>
      <c r="AW1714" s="172" t="str">
        <f t="shared" si="111"/>
        <v/>
      </c>
      <c r="AX1714" s="172" t="str">
        <f t="shared" si="111"/>
        <v/>
      </c>
      <c r="AY1714" s="172" t="str">
        <f t="shared" si="111"/>
        <v/>
      </c>
      <c r="AZ1714" s="172" t="str">
        <f t="shared" si="111"/>
        <v/>
      </c>
      <c r="BA1714" s="172" t="str">
        <f t="shared" si="111"/>
        <v/>
      </c>
      <c r="BB1714" s="172" t="str">
        <f t="shared" si="111"/>
        <v/>
      </c>
      <c r="BD1714" s="159">
        <f t="shared" si="112"/>
        <v>330170</v>
      </c>
      <c r="BL1714" s="171"/>
      <c r="BP1714" s="171"/>
    </row>
    <row r="1715" spans="1:68" s="22" customFormat="1" hidden="1">
      <c r="A1715" s="61"/>
      <c r="B1715" s="169">
        <v>1</v>
      </c>
      <c r="C1715" s="169">
        <v>5</v>
      </c>
      <c r="D1715" s="169" t="str">
        <f t="shared" si="109"/>
        <v>15</v>
      </c>
      <c r="E1715" s="172" t="str">
        <f t="shared" si="110"/>
        <v/>
      </c>
      <c r="F1715" s="172" t="str">
        <f t="shared" si="111"/>
        <v/>
      </c>
      <c r="G1715" s="172" t="str">
        <f t="shared" si="111"/>
        <v/>
      </c>
      <c r="H1715" s="172" t="str">
        <f t="shared" si="111"/>
        <v/>
      </c>
      <c r="I1715" s="172">
        <f t="shared" si="111"/>
        <v>127410</v>
      </c>
      <c r="J1715" s="172" t="str">
        <f t="shared" si="111"/>
        <v/>
      </c>
      <c r="K1715" s="172" t="str">
        <f t="shared" si="111"/>
        <v/>
      </c>
      <c r="L1715" s="172" t="str">
        <f t="shared" si="111"/>
        <v/>
      </c>
      <c r="M1715" s="172" t="str">
        <f t="shared" si="111"/>
        <v/>
      </c>
      <c r="N1715" s="172" t="str">
        <f t="shared" si="111"/>
        <v/>
      </c>
      <c r="O1715" s="172" t="str">
        <f t="shared" si="111"/>
        <v/>
      </c>
      <c r="P1715" s="172" t="str">
        <f t="shared" si="111"/>
        <v/>
      </c>
      <c r="Q1715" s="172" t="str">
        <f t="shared" si="111"/>
        <v/>
      </c>
      <c r="R1715" s="172" t="str">
        <f t="shared" si="111"/>
        <v/>
      </c>
      <c r="S1715" s="172" t="str">
        <f t="shared" si="111"/>
        <v/>
      </c>
      <c r="T1715" s="172" t="str">
        <f t="shared" si="111"/>
        <v/>
      </c>
      <c r="U1715" s="172" t="str">
        <f t="shared" si="111"/>
        <v/>
      </c>
      <c r="V1715" s="172" t="str">
        <f t="shared" si="111"/>
        <v/>
      </c>
      <c r="W1715" s="172" t="str">
        <f t="shared" si="111"/>
        <v/>
      </c>
      <c r="X1715" s="172" t="str">
        <f t="shared" si="111"/>
        <v/>
      </c>
      <c r="Y1715" s="172" t="str">
        <f t="shared" si="111"/>
        <v/>
      </c>
      <c r="Z1715" s="172" t="str">
        <f t="shared" si="111"/>
        <v/>
      </c>
      <c r="AA1715" s="172" t="str">
        <f t="shared" si="111"/>
        <v/>
      </c>
      <c r="AB1715" s="172" t="str">
        <f t="shared" si="111"/>
        <v/>
      </c>
      <c r="AC1715" s="172" t="str">
        <f t="shared" si="111"/>
        <v/>
      </c>
      <c r="AD1715" s="172" t="str">
        <f t="shared" si="111"/>
        <v/>
      </c>
      <c r="AE1715" s="172" t="str">
        <f t="shared" si="111"/>
        <v/>
      </c>
      <c r="AF1715" s="172" t="str">
        <f t="shared" si="111"/>
        <v/>
      </c>
      <c r="AG1715" s="172" t="str">
        <f t="shared" si="111"/>
        <v/>
      </c>
      <c r="AH1715" s="172" t="str">
        <f t="shared" si="111"/>
        <v/>
      </c>
      <c r="AI1715" s="172" t="str">
        <f t="shared" si="111"/>
        <v/>
      </c>
      <c r="AJ1715" s="172" t="str">
        <f t="shared" si="111"/>
        <v/>
      </c>
      <c r="AK1715" s="172" t="str">
        <f t="shared" si="111"/>
        <v/>
      </c>
      <c r="AL1715" s="172" t="str">
        <f t="shared" si="111"/>
        <v/>
      </c>
      <c r="AM1715" s="172" t="str">
        <f t="shared" si="111"/>
        <v/>
      </c>
      <c r="AN1715" s="172" t="str">
        <f t="shared" si="111"/>
        <v/>
      </c>
      <c r="AO1715" s="172" t="str">
        <f t="shared" si="111"/>
        <v/>
      </c>
      <c r="AP1715" s="172" t="str">
        <f t="shared" si="111"/>
        <v/>
      </c>
      <c r="AQ1715" s="172" t="str">
        <f t="shared" si="111"/>
        <v/>
      </c>
      <c r="AR1715" s="172" t="str">
        <f t="shared" si="111"/>
        <v/>
      </c>
      <c r="AS1715" s="172" t="str">
        <f t="shared" si="111"/>
        <v/>
      </c>
      <c r="AT1715" s="172" t="str">
        <f t="shared" si="111"/>
        <v/>
      </c>
      <c r="AU1715" s="172" t="str">
        <f t="shared" si="111"/>
        <v/>
      </c>
      <c r="AV1715" s="172" t="str">
        <f t="shared" si="111"/>
        <v/>
      </c>
      <c r="AW1715" s="172" t="str">
        <f t="shared" si="111"/>
        <v/>
      </c>
      <c r="AX1715" s="172" t="str">
        <f t="shared" si="111"/>
        <v/>
      </c>
      <c r="AY1715" s="172" t="str">
        <f t="shared" si="111"/>
        <v/>
      </c>
      <c r="AZ1715" s="172" t="str">
        <f t="shared" si="111"/>
        <v/>
      </c>
      <c r="BA1715" s="172" t="str">
        <f t="shared" si="111"/>
        <v/>
      </c>
      <c r="BB1715" s="172" t="str">
        <f t="shared" si="111"/>
        <v/>
      </c>
      <c r="BD1715" s="159">
        <f t="shared" si="112"/>
        <v>127410</v>
      </c>
      <c r="BL1715" s="171"/>
      <c r="BP1715" s="171"/>
    </row>
    <row r="1716" spans="1:68" s="22" customFormat="1" hidden="1">
      <c r="A1716" s="61"/>
      <c r="B1716" s="169">
        <v>2</v>
      </c>
      <c r="C1716" s="169">
        <v>1</v>
      </c>
      <c r="D1716" s="169" t="str">
        <f t="shared" si="109"/>
        <v>21</v>
      </c>
      <c r="E1716" s="172" t="str">
        <f t="shared" si="110"/>
        <v/>
      </c>
      <c r="F1716" s="172" t="str">
        <f t="shared" si="111"/>
        <v/>
      </c>
      <c r="G1716" s="172" t="str">
        <f t="shared" si="111"/>
        <v/>
      </c>
      <c r="H1716" s="172" t="str">
        <f t="shared" si="111"/>
        <v/>
      </c>
      <c r="I1716" s="172" t="str">
        <f t="shared" si="111"/>
        <v/>
      </c>
      <c r="J1716" s="172">
        <f t="shared" si="111"/>
        <v>518939.99999999994</v>
      </c>
      <c r="K1716" s="172" t="str">
        <f t="shared" si="111"/>
        <v/>
      </c>
      <c r="L1716" s="172" t="str">
        <f t="shared" si="111"/>
        <v/>
      </c>
      <c r="M1716" s="172" t="str">
        <f t="shared" si="111"/>
        <v/>
      </c>
      <c r="N1716" s="172" t="str">
        <f t="shared" si="111"/>
        <v/>
      </c>
      <c r="O1716" s="172" t="str">
        <f t="shared" si="111"/>
        <v/>
      </c>
      <c r="P1716" s="172" t="str">
        <f t="shared" ref="P1716:BB1716" si="113">IF($D1716=P$1709,P$1710,"")</f>
        <v/>
      </c>
      <c r="Q1716" s="172" t="str">
        <f t="shared" si="113"/>
        <v/>
      </c>
      <c r="R1716" s="172" t="str">
        <f t="shared" si="113"/>
        <v/>
      </c>
      <c r="S1716" s="172" t="str">
        <f t="shared" si="113"/>
        <v/>
      </c>
      <c r="T1716" s="172" t="str">
        <f t="shared" si="113"/>
        <v/>
      </c>
      <c r="U1716" s="172" t="str">
        <f t="shared" si="113"/>
        <v/>
      </c>
      <c r="V1716" s="172" t="str">
        <f t="shared" si="113"/>
        <v/>
      </c>
      <c r="W1716" s="172" t="str">
        <f t="shared" si="113"/>
        <v/>
      </c>
      <c r="X1716" s="172" t="str">
        <f t="shared" si="113"/>
        <v/>
      </c>
      <c r="Y1716" s="172" t="str">
        <f t="shared" si="113"/>
        <v/>
      </c>
      <c r="Z1716" s="172" t="str">
        <f t="shared" si="113"/>
        <v/>
      </c>
      <c r="AA1716" s="172" t="str">
        <f t="shared" si="113"/>
        <v/>
      </c>
      <c r="AB1716" s="172" t="str">
        <f t="shared" si="113"/>
        <v/>
      </c>
      <c r="AC1716" s="172" t="str">
        <f t="shared" si="113"/>
        <v/>
      </c>
      <c r="AD1716" s="172" t="str">
        <f t="shared" si="113"/>
        <v/>
      </c>
      <c r="AE1716" s="172" t="str">
        <f t="shared" si="113"/>
        <v/>
      </c>
      <c r="AF1716" s="172" t="str">
        <f t="shared" si="113"/>
        <v/>
      </c>
      <c r="AG1716" s="172" t="str">
        <f t="shared" si="113"/>
        <v/>
      </c>
      <c r="AH1716" s="172" t="str">
        <f t="shared" si="113"/>
        <v/>
      </c>
      <c r="AI1716" s="172" t="str">
        <f t="shared" si="113"/>
        <v/>
      </c>
      <c r="AJ1716" s="172" t="str">
        <f t="shared" si="113"/>
        <v/>
      </c>
      <c r="AK1716" s="172" t="str">
        <f t="shared" si="113"/>
        <v/>
      </c>
      <c r="AL1716" s="172" t="str">
        <f t="shared" si="113"/>
        <v/>
      </c>
      <c r="AM1716" s="172" t="str">
        <f t="shared" si="113"/>
        <v/>
      </c>
      <c r="AN1716" s="172" t="str">
        <f t="shared" si="113"/>
        <v/>
      </c>
      <c r="AO1716" s="172" t="str">
        <f t="shared" si="113"/>
        <v/>
      </c>
      <c r="AP1716" s="172" t="str">
        <f t="shared" si="113"/>
        <v/>
      </c>
      <c r="AQ1716" s="172" t="str">
        <f t="shared" si="113"/>
        <v/>
      </c>
      <c r="AR1716" s="172" t="str">
        <f t="shared" si="113"/>
        <v/>
      </c>
      <c r="AS1716" s="172" t="str">
        <f t="shared" si="113"/>
        <v/>
      </c>
      <c r="AT1716" s="172" t="str">
        <f t="shared" si="113"/>
        <v/>
      </c>
      <c r="AU1716" s="172" t="str">
        <f t="shared" si="113"/>
        <v/>
      </c>
      <c r="AV1716" s="172" t="str">
        <f t="shared" si="113"/>
        <v/>
      </c>
      <c r="AW1716" s="172" t="str">
        <f t="shared" si="113"/>
        <v/>
      </c>
      <c r="AX1716" s="172" t="str">
        <f t="shared" si="113"/>
        <v/>
      </c>
      <c r="AY1716" s="172" t="str">
        <f t="shared" si="113"/>
        <v/>
      </c>
      <c r="AZ1716" s="172" t="str">
        <f t="shared" si="113"/>
        <v/>
      </c>
      <c r="BA1716" s="172" t="str">
        <f t="shared" si="113"/>
        <v/>
      </c>
      <c r="BB1716" s="172" t="str">
        <f t="shared" si="113"/>
        <v/>
      </c>
      <c r="BD1716" s="159">
        <f t="shared" si="112"/>
        <v>518939.99999999994</v>
      </c>
      <c r="BL1716" s="171"/>
      <c r="BP1716" s="171"/>
    </row>
    <row r="1717" spans="1:68" s="22" customFormat="1" hidden="1">
      <c r="A1717" s="61"/>
      <c r="B1717" s="169">
        <v>2</v>
      </c>
      <c r="C1717" s="169">
        <v>2</v>
      </c>
      <c r="D1717" s="169" t="str">
        <f t="shared" si="109"/>
        <v>22</v>
      </c>
      <c r="E1717" s="172" t="str">
        <f t="shared" si="110"/>
        <v/>
      </c>
      <c r="F1717" s="172" t="str">
        <f t="shared" ref="F1717:BB1722" si="114">IF($D1717=F$1709,F$1710,"")</f>
        <v/>
      </c>
      <c r="G1717" s="172" t="str">
        <f t="shared" si="114"/>
        <v/>
      </c>
      <c r="H1717" s="172" t="str">
        <f t="shared" si="114"/>
        <v/>
      </c>
      <c r="I1717" s="172" t="str">
        <f t="shared" si="114"/>
        <v/>
      </c>
      <c r="J1717" s="172" t="str">
        <f t="shared" si="114"/>
        <v/>
      </c>
      <c r="K1717" s="172">
        <f t="shared" si="114"/>
        <v>99325</v>
      </c>
      <c r="L1717" s="172" t="str">
        <f t="shared" si="114"/>
        <v/>
      </c>
      <c r="M1717" s="172" t="str">
        <f t="shared" si="114"/>
        <v/>
      </c>
      <c r="N1717" s="172" t="str">
        <f t="shared" si="114"/>
        <v/>
      </c>
      <c r="O1717" s="172" t="str">
        <f t="shared" si="114"/>
        <v/>
      </c>
      <c r="P1717" s="172" t="str">
        <f t="shared" si="114"/>
        <v/>
      </c>
      <c r="Q1717" s="172" t="str">
        <f t="shared" si="114"/>
        <v/>
      </c>
      <c r="R1717" s="172" t="str">
        <f t="shared" si="114"/>
        <v/>
      </c>
      <c r="S1717" s="172" t="str">
        <f t="shared" si="114"/>
        <v/>
      </c>
      <c r="T1717" s="172" t="str">
        <f t="shared" si="114"/>
        <v/>
      </c>
      <c r="U1717" s="172" t="str">
        <f t="shared" si="114"/>
        <v/>
      </c>
      <c r="V1717" s="172" t="str">
        <f t="shared" si="114"/>
        <v/>
      </c>
      <c r="W1717" s="172" t="str">
        <f t="shared" si="114"/>
        <v/>
      </c>
      <c r="X1717" s="172" t="str">
        <f t="shared" si="114"/>
        <v/>
      </c>
      <c r="Y1717" s="172" t="str">
        <f t="shared" si="114"/>
        <v/>
      </c>
      <c r="Z1717" s="172" t="str">
        <f t="shared" si="114"/>
        <v/>
      </c>
      <c r="AA1717" s="172" t="str">
        <f t="shared" si="114"/>
        <v/>
      </c>
      <c r="AB1717" s="172" t="str">
        <f t="shared" si="114"/>
        <v/>
      </c>
      <c r="AC1717" s="172" t="str">
        <f t="shared" si="114"/>
        <v/>
      </c>
      <c r="AD1717" s="172" t="str">
        <f t="shared" si="114"/>
        <v/>
      </c>
      <c r="AE1717" s="172" t="str">
        <f t="shared" si="114"/>
        <v/>
      </c>
      <c r="AF1717" s="172" t="str">
        <f t="shared" si="114"/>
        <v/>
      </c>
      <c r="AG1717" s="172" t="str">
        <f t="shared" si="114"/>
        <v/>
      </c>
      <c r="AH1717" s="172" t="str">
        <f t="shared" si="114"/>
        <v/>
      </c>
      <c r="AI1717" s="172" t="str">
        <f t="shared" si="114"/>
        <v/>
      </c>
      <c r="AJ1717" s="172" t="str">
        <f t="shared" si="114"/>
        <v/>
      </c>
      <c r="AK1717" s="172" t="str">
        <f t="shared" si="114"/>
        <v/>
      </c>
      <c r="AL1717" s="172" t="str">
        <f t="shared" si="114"/>
        <v/>
      </c>
      <c r="AM1717" s="172" t="str">
        <f t="shared" si="114"/>
        <v/>
      </c>
      <c r="AN1717" s="172" t="str">
        <f t="shared" si="114"/>
        <v/>
      </c>
      <c r="AO1717" s="172" t="str">
        <f t="shared" si="114"/>
        <v/>
      </c>
      <c r="AP1717" s="172" t="str">
        <f t="shared" si="114"/>
        <v/>
      </c>
      <c r="AQ1717" s="172" t="str">
        <f t="shared" si="114"/>
        <v/>
      </c>
      <c r="AR1717" s="172" t="str">
        <f t="shared" si="114"/>
        <v/>
      </c>
      <c r="AS1717" s="172" t="str">
        <f t="shared" si="114"/>
        <v/>
      </c>
      <c r="AT1717" s="172" t="str">
        <f t="shared" si="114"/>
        <v/>
      </c>
      <c r="AU1717" s="172" t="str">
        <f t="shared" si="114"/>
        <v/>
      </c>
      <c r="AV1717" s="172" t="str">
        <f t="shared" si="114"/>
        <v/>
      </c>
      <c r="AW1717" s="172" t="str">
        <f t="shared" si="114"/>
        <v/>
      </c>
      <c r="AX1717" s="172" t="str">
        <f t="shared" si="114"/>
        <v/>
      </c>
      <c r="AY1717" s="172" t="str">
        <f t="shared" si="114"/>
        <v/>
      </c>
      <c r="AZ1717" s="172" t="str">
        <f t="shared" si="114"/>
        <v/>
      </c>
      <c r="BA1717" s="172" t="str">
        <f t="shared" si="114"/>
        <v/>
      </c>
      <c r="BB1717" s="172" t="str">
        <f t="shared" si="114"/>
        <v/>
      </c>
      <c r="BD1717" s="159">
        <f t="shared" si="112"/>
        <v>99325</v>
      </c>
      <c r="BL1717" s="171"/>
      <c r="BP1717" s="171"/>
    </row>
    <row r="1718" spans="1:68" s="22" customFormat="1" hidden="1">
      <c r="A1718" s="61"/>
      <c r="B1718" s="169">
        <v>2</v>
      </c>
      <c r="C1718" s="169">
        <v>3</v>
      </c>
      <c r="D1718" s="169" t="str">
        <f t="shared" si="109"/>
        <v>23</v>
      </c>
      <c r="E1718" s="172" t="str">
        <f t="shared" si="110"/>
        <v/>
      </c>
      <c r="F1718" s="172" t="str">
        <f t="shared" si="114"/>
        <v/>
      </c>
      <c r="G1718" s="172" t="str">
        <f t="shared" si="114"/>
        <v/>
      </c>
      <c r="H1718" s="172" t="str">
        <f t="shared" si="114"/>
        <v/>
      </c>
      <c r="I1718" s="172" t="str">
        <f t="shared" si="114"/>
        <v/>
      </c>
      <c r="J1718" s="172" t="str">
        <f t="shared" si="114"/>
        <v/>
      </c>
      <c r="K1718" s="172" t="str">
        <f t="shared" si="114"/>
        <v/>
      </c>
      <c r="L1718" s="172" t="str">
        <f t="shared" si="114"/>
        <v/>
      </c>
      <c r="M1718" s="172" t="str">
        <f t="shared" si="114"/>
        <v/>
      </c>
      <c r="N1718" s="172" t="str">
        <f t="shared" si="114"/>
        <v/>
      </c>
      <c r="O1718" s="172" t="str">
        <f t="shared" si="114"/>
        <v/>
      </c>
      <c r="P1718" s="172" t="str">
        <f t="shared" si="114"/>
        <v/>
      </c>
      <c r="Q1718" s="172" t="str">
        <f t="shared" si="114"/>
        <v/>
      </c>
      <c r="R1718" s="172" t="str">
        <f t="shared" si="114"/>
        <v/>
      </c>
      <c r="S1718" s="172" t="str">
        <f t="shared" si="114"/>
        <v/>
      </c>
      <c r="T1718" s="172" t="str">
        <f t="shared" si="114"/>
        <v/>
      </c>
      <c r="U1718" s="172" t="str">
        <f t="shared" si="114"/>
        <v/>
      </c>
      <c r="V1718" s="172" t="str">
        <f t="shared" si="114"/>
        <v/>
      </c>
      <c r="W1718" s="172" t="str">
        <f t="shared" si="114"/>
        <v/>
      </c>
      <c r="X1718" s="172" t="str">
        <f t="shared" si="114"/>
        <v/>
      </c>
      <c r="Y1718" s="172" t="str">
        <f t="shared" si="114"/>
        <v/>
      </c>
      <c r="Z1718" s="172" t="str">
        <f t="shared" si="114"/>
        <v/>
      </c>
      <c r="AA1718" s="172" t="str">
        <f t="shared" si="114"/>
        <v/>
      </c>
      <c r="AB1718" s="172" t="str">
        <f t="shared" si="114"/>
        <v/>
      </c>
      <c r="AC1718" s="172" t="str">
        <f t="shared" si="114"/>
        <v/>
      </c>
      <c r="AD1718" s="172" t="str">
        <f t="shared" si="114"/>
        <v/>
      </c>
      <c r="AE1718" s="172" t="str">
        <f t="shared" si="114"/>
        <v/>
      </c>
      <c r="AF1718" s="172" t="str">
        <f t="shared" si="114"/>
        <v/>
      </c>
      <c r="AG1718" s="172" t="str">
        <f t="shared" si="114"/>
        <v/>
      </c>
      <c r="AH1718" s="172" t="str">
        <f t="shared" si="114"/>
        <v/>
      </c>
      <c r="AI1718" s="172" t="str">
        <f t="shared" si="114"/>
        <v/>
      </c>
      <c r="AJ1718" s="172" t="str">
        <f t="shared" si="114"/>
        <v/>
      </c>
      <c r="AK1718" s="172" t="str">
        <f t="shared" si="114"/>
        <v/>
      </c>
      <c r="AL1718" s="172" t="str">
        <f t="shared" si="114"/>
        <v/>
      </c>
      <c r="AM1718" s="172" t="str">
        <f t="shared" si="114"/>
        <v/>
      </c>
      <c r="AN1718" s="172" t="str">
        <f t="shared" si="114"/>
        <v/>
      </c>
      <c r="AO1718" s="172" t="str">
        <f t="shared" si="114"/>
        <v/>
      </c>
      <c r="AP1718" s="172" t="str">
        <f t="shared" si="114"/>
        <v/>
      </c>
      <c r="AQ1718" s="172" t="str">
        <f t="shared" si="114"/>
        <v/>
      </c>
      <c r="AR1718" s="172" t="str">
        <f t="shared" si="114"/>
        <v/>
      </c>
      <c r="AS1718" s="172" t="str">
        <f t="shared" si="114"/>
        <v/>
      </c>
      <c r="AT1718" s="172" t="str">
        <f t="shared" si="114"/>
        <v/>
      </c>
      <c r="AU1718" s="172" t="str">
        <f t="shared" si="114"/>
        <v/>
      </c>
      <c r="AV1718" s="172" t="str">
        <f t="shared" si="114"/>
        <v/>
      </c>
      <c r="AW1718" s="172" t="str">
        <f t="shared" si="114"/>
        <v/>
      </c>
      <c r="AX1718" s="172" t="str">
        <f t="shared" si="114"/>
        <v/>
      </c>
      <c r="AY1718" s="172" t="str">
        <f t="shared" si="114"/>
        <v/>
      </c>
      <c r="AZ1718" s="172" t="str">
        <f t="shared" si="114"/>
        <v/>
      </c>
      <c r="BA1718" s="172" t="str">
        <f t="shared" si="114"/>
        <v/>
      </c>
      <c r="BB1718" s="172" t="str">
        <f t="shared" si="114"/>
        <v/>
      </c>
      <c r="BD1718" s="159">
        <f t="shared" si="112"/>
        <v>0</v>
      </c>
      <c r="BL1718" s="171"/>
      <c r="BP1718" s="171"/>
    </row>
    <row r="1719" spans="1:68" s="22" customFormat="1" hidden="1">
      <c r="A1719" s="61"/>
      <c r="B1719" s="169">
        <v>2</v>
      </c>
      <c r="C1719" s="169">
        <v>4</v>
      </c>
      <c r="D1719" s="169" t="str">
        <f t="shared" ref="D1719:D1735" si="115">CONCATENATE(B1719,C1719)</f>
        <v>24</v>
      </c>
      <c r="E1719" s="172" t="str">
        <f t="shared" si="110"/>
        <v/>
      </c>
      <c r="F1719" s="172" t="str">
        <f t="shared" si="114"/>
        <v/>
      </c>
      <c r="G1719" s="172" t="str">
        <f t="shared" si="114"/>
        <v/>
      </c>
      <c r="H1719" s="172" t="str">
        <f t="shared" si="114"/>
        <v/>
      </c>
      <c r="I1719" s="172" t="str">
        <f t="shared" si="114"/>
        <v/>
      </c>
      <c r="J1719" s="172" t="str">
        <f t="shared" si="114"/>
        <v/>
      </c>
      <c r="K1719" s="172" t="str">
        <f t="shared" si="114"/>
        <v/>
      </c>
      <c r="L1719" s="172" t="str">
        <f t="shared" si="114"/>
        <v/>
      </c>
      <c r="M1719" s="172" t="str">
        <f t="shared" si="114"/>
        <v/>
      </c>
      <c r="N1719" s="172" t="str">
        <f t="shared" si="114"/>
        <v/>
      </c>
      <c r="O1719" s="172" t="str">
        <f t="shared" si="114"/>
        <v/>
      </c>
      <c r="P1719" s="172" t="str">
        <f t="shared" si="114"/>
        <v/>
      </c>
      <c r="Q1719" s="172" t="str">
        <f t="shared" si="114"/>
        <v/>
      </c>
      <c r="R1719" s="172" t="str">
        <f t="shared" si="114"/>
        <v/>
      </c>
      <c r="S1719" s="172" t="str">
        <f t="shared" si="114"/>
        <v/>
      </c>
      <c r="T1719" s="172" t="str">
        <f t="shared" si="114"/>
        <v/>
      </c>
      <c r="U1719" s="172" t="str">
        <f t="shared" si="114"/>
        <v/>
      </c>
      <c r="V1719" s="172" t="str">
        <f t="shared" si="114"/>
        <v/>
      </c>
      <c r="W1719" s="172" t="str">
        <f t="shared" si="114"/>
        <v/>
      </c>
      <c r="X1719" s="172" t="str">
        <f t="shared" si="114"/>
        <v/>
      </c>
      <c r="Y1719" s="172" t="str">
        <f t="shared" si="114"/>
        <v/>
      </c>
      <c r="Z1719" s="172" t="str">
        <f t="shared" si="114"/>
        <v/>
      </c>
      <c r="AA1719" s="172" t="str">
        <f t="shared" si="114"/>
        <v/>
      </c>
      <c r="AB1719" s="172" t="str">
        <f t="shared" si="114"/>
        <v/>
      </c>
      <c r="AC1719" s="172" t="str">
        <f t="shared" si="114"/>
        <v/>
      </c>
      <c r="AD1719" s="172" t="str">
        <f t="shared" si="114"/>
        <v/>
      </c>
      <c r="AE1719" s="172" t="str">
        <f t="shared" si="114"/>
        <v/>
      </c>
      <c r="AF1719" s="172" t="str">
        <f t="shared" si="114"/>
        <v/>
      </c>
      <c r="AG1719" s="172" t="str">
        <f t="shared" si="114"/>
        <v/>
      </c>
      <c r="AH1719" s="172" t="str">
        <f t="shared" si="114"/>
        <v/>
      </c>
      <c r="AI1719" s="172" t="str">
        <f t="shared" si="114"/>
        <v/>
      </c>
      <c r="AJ1719" s="172" t="str">
        <f t="shared" si="114"/>
        <v/>
      </c>
      <c r="AK1719" s="172" t="str">
        <f t="shared" si="114"/>
        <v/>
      </c>
      <c r="AL1719" s="172" t="str">
        <f t="shared" si="114"/>
        <v/>
      </c>
      <c r="AM1719" s="172" t="str">
        <f t="shared" si="114"/>
        <v/>
      </c>
      <c r="AN1719" s="172" t="str">
        <f t="shared" si="114"/>
        <v/>
      </c>
      <c r="AO1719" s="172" t="str">
        <f t="shared" si="114"/>
        <v/>
      </c>
      <c r="AP1719" s="172" t="str">
        <f t="shared" si="114"/>
        <v/>
      </c>
      <c r="AQ1719" s="172" t="str">
        <f t="shared" si="114"/>
        <v/>
      </c>
      <c r="AR1719" s="172" t="str">
        <f t="shared" si="114"/>
        <v/>
      </c>
      <c r="AS1719" s="172" t="str">
        <f t="shared" si="114"/>
        <v/>
      </c>
      <c r="AT1719" s="172" t="str">
        <f t="shared" si="114"/>
        <v/>
      </c>
      <c r="AU1719" s="172" t="str">
        <f t="shared" si="114"/>
        <v/>
      </c>
      <c r="AV1719" s="172" t="str">
        <f t="shared" si="114"/>
        <v/>
      </c>
      <c r="AW1719" s="172" t="str">
        <f t="shared" si="114"/>
        <v/>
      </c>
      <c r="AX1719" s="172" t="str">
        <f t="shared" si="114"/>
        <v/>
      </c>
      <c r="AY1719" s="172" t="str">
        <f t="shared" si="114"/>
        <v/>
      </c>
      <c r="AZ1719" s="172" t="str">
        <f t="shared" si="114"/>
        <v/>
      </c>
      <c r="BA1719" s="172" t="str">
        <f t="shared" si="114"/>
        <v/>
      </c>
      <c r="BB1719" s="172" t="str">
        <f t="shared" si="114"/>
        <v/>
      </c>
      <c r="BD1719" s="159">
        <f t="shared" si="112"/>
        <v>0</v>
      </c>
      <c r="BL1719" s="171"/>
      <c r="BP1719" s="171"/>
    </row>
    <row r="1720" spans="1:68" s="22" customFormat="1" hidden="1">
      <c r="A1720" s="61"/>
      <c r="B1720" s="169">
        <v>2</v>
      </c>
      <c r="C1720" s="169">
        <v>5</v>
      </c>
      <c r="D1720" s="169" t="str">
        <f t="shared" si="115"/>
        <v>25</v>
      </c>
      <c r="E1720" s="172" t="str">
        <f t="shared" si="110"/>
        <v/>
      </c>
      <c r="F1720" s="172" t="str">
        <f t="shared" si="114"/>
        <v/>
      </c>
      <c r="G1720" s="172" t="str">
        <f t="shared" si="114"/>
        <v/>
      </c>
      <c r="H1720" s="172" t="str">
        <f t="shared" si="114"/>
        <v/>
      </c>
      <c r="I1720" s="172" t="str">
        <f t="shared" si="114"/>
        <v/>
      </c>
      <c r="J1720" s="172" t="str">
        <f t="shared" si="114"/>
        <v/>
      </c>
      <c r="K1720" s="172" t="str">
        <f t="shared" si="114"/>
        <v/>
      </c>
      <c r="L1720" s="172" t="str">
        <f t="shared" si="114"/>
        <v/>
      </c>
      <c r="M1720" s="172" t="str">
        <f t="shared" si="114"/>
        <v/>
      </c>
      <c r="N1720" s="172" t="str">
        <f t="shared" si="114"/>
        <v/>
      </c>
      <c r="O1720" s="172" t="str">
        <f t="shared" si="114"/>
        <v/>
      </c>
      <c r="P1720" s="172" t="str">
        <f t="shared" si="114"/>
        <v/>
      </c>
      <c r="Q1720" s="172" t="str">
        <f t="shared" si="114"/>
        <v/>
      </c>
      <c r="R1720" s="172" t="str">
        <f t="shared" si="114"/>
        <v/>
      </c>
      <c r="S1720" s="172" t="str">
        <f t="shared" si="114"/>
        <v/>
      </c>
      <c r="T1720" s="172" t="str">
        <f t="shared" si="114"/>
        <v/>
      </c>
      <c r="U1720" s="172" t="str">
        <f t="shared" si="114"/>
        <v/>
      </c>
      <c r="V1720" s="172" t="str">
        <f t="shared" si="114"/>
        <v/>
      </c>
      <c r="W1720" s="172" t="str">
        <f t="shared" si="114"/>
        <v/>
      </c>
      <c r="X1720" s="172" t="str">
        <f t="shared" si="114"/>
        <v/>
      </c>
      <c r="Y1720" s="172" t="str">
        <f t="shared" si="114"/>
        <v/>
      </c>
      <c r="Z1720" s="172" t="str">
        <f t="shared" si="114"/>
        <v/>
      </c>
      <c r="AA1720" s="172" t="str">
        <f t="shared" si="114"/>
        <v/>
      </c>
      <c r="AB1720" s="172" t="str">
        <f t="shared" si="114"/>
        <v/>
      </c>
      <c r="AC1720" s="172" t="str">
        <f t="shared" si="114"/>
        <v/>
      </c>
      <c r="AD1720" s="172" t="str">
        <f t="shared" si="114"/>
        <v/>
      </c>
      <c r="AE1720" s="172" t="str">
        <f t="shared" si="114"/>
        <v/>
      </c>
      <c r="AF1720" s="172" t="str">
        <f t="shared" si="114"/>
        <v/>
      </c>
      <c r="AG1720" s="172" t="str">
        <f t="shared" si="114"/>
        <v/>
      </c>
      <c r="AH1720" s="172" t="str">
        <f t="shared" si="114"/>
        <v/>
      </c>
      <c r="AI1720" s="172" t="str">
        <f t="shared" si="114"/>
        <v/>
      </c>
      <c r="AJ1720" s="172" t="str">
        <f t="shared" si="114"/>
        <v/>
      </c>
      <c r="AK1720" s="172" t="str">
        <f t="shared" si="114"/>
        <v/>
      </c>
      <c r="AL1720" s="172" t="str">
        <f t="shared" si="114"/>
        <v/>
      </c>
      <c r="AM1720" s="172" t="str">
        <f t="shared" si="114"/>
        <v/>
      </c>
      <c r="AN1720" s="172" t="str">
        <f t="shared" si="114"/>
        <v/>
      </c>
      <c r="AO1720" s="172" t="str">
        <f t="shared" si="114"/>
        <v/>
      </c>
      <c r="AP1720" s="172" t="str">
        <f t="shared" si="114"/>
        <v/>
      </c>
      <c r="AQ1720" s="172" t="str">
        <f t="shared" si="114"/>
        <v/>
      </c>
      <c r="AR1720" s="172" t="str">
        <f t="shared" si="114"/>
        <v/>
      </c>
      <c r="AS1720" s="172" t="str">
        <f t="shared" si="114"/>
        <v/>
      </c>
      <c r="AT1720" s="172" t="str">
        <f t="shared" si="114"/>
        <v/>
      </c>
      <c r="AU1720" s="172" t="str">
        <f t="shared" si="114"/>
        <v/>
      </c>
      <c r="AV1720" s="172" t="str">
        <f t="shared" si="114"/>
        <v/>
      </c>
      <c r="AW1720" s="172" t="str">
        <f t="shared" si="114"/>
        <v/>
      </c>
      <c r="AX1720" s="172" t="str">
        <f t="shared" si="114"/>
        <v/>
      </c>
      <c r="AY1720" s="172" t="str">
        <f t="shared" si="114"/>
        <v/>
      </c>
      <c r="AZ1720" s="172" t="str">
        <f t="shared" si="114"/>
        <v/>
      </c>
      <c r="BA1720" s="172" t="str">
        <f t="shared" si="114"/>
        <v/>
      </c>
      <c r="BB1720" s="172" t="str">
        <f t="shared" si="114"/>
        <v/>
      </c>
      <c r="BD1720" s="159">
        <f t="shared" si="112"/>
        <v>0</v>
      </c>
      <c r="BL1720" s="171"/>
      <c r="BP1720" s="171"/>
    </row>
    <row r="1721" spans="1:68" s="22" customFormat="1" hidden="1">
      <c r="A1721" s="61"/>
      <c r="B1721" s="169">
        <v>3</v>
      </c>
      <c r="C1721" s="169">
        <v>1</v>
      </c>
      <c r="D1721" s="169" t="str">
        <f t="shared" si="115"/>
        <v>31</v>
      </c>
      <c r="E1721" s="172" t="str">
        <f t="shared" si="110"/>
        <v/>
      </c>
      <c r="F1721" s="172" t="str">
        <f t="shared" si="114"/>
        <v/>
      </c>
      <c r="G1721" s="172" t="str">
        <f t="shared" si="114"/>
        <v/>
      </c>
      <c r="H1721" s="172" t="str">
        <f t="shared" si="114"/>
        <v/>
      </c>
      <c r="I1721" s="172" t="str">
        <f t="shared" si="114"/>
        <v/>
      </c>
      <c r="J1721" s="172" t="str">
        <f t="shared" si="114"/>
        <v/>
      </c>
      <c r="K1721" s="172" t="str">
        <f t="shared" si="114"/>
        <v/>
      </c>
      <c r="L1721" s="172" t="str">
        <f t="shared" si="114"/>
        <v/>
      </c>
      <c r="M1721" s="172" t="str">
        <f t="shared" si="114"/>
        <v/>
      </c>
      <c r="N1721" s="172" t="str">
        <f t="shared" si="114"/>
        <v/>
      </c>
      <c r="O1721" s="172" t="str">
        <f t="shared" si="114"/>
        <v/>
      </c>
      <c r="P1721" s="172" t="str">
        <f t="shared" si="114"/>
        <v/>
      </c>
      <c r="Q1721" s="172" t="str">
        <f t="shared" si="114"/>
        <v/>
      </c>
      <c r="R1721" s="172" t="str">
        <f t="shared" si="114"/>
        <v/>
      </c>
      <c r="S1721" s="172" t="str">
        <f t="shared" si="114"/>
        <v/>
      </c>
      <c r="T1721" s="172" t="str">
        <f t="shared" si="114"/>
        <v/>
      </c>
      <c r="U1721" s="172" t="str">
        <f t="shared" si="114"/>
        <v/>
      </c>
      <c r="V1721" s="172" t="str">
        <f t="shared" si="114"/>
        <v/>
      </c>
      <c r="W1721" s="172" t="str">
        <f t="shared" si="114"/>
        <v/>
      </c>
      <c r="X1721" s="172" t="str">
        <f t="shared" si="114"/>
        <v/>
      </c>
      <c r="Y1721" s="172" t="str">
        <f t="shared" si="114"/>
        <v/>
      </c>
      <c r="Z1721" s="172" t="str">
        <f t="shared" si="114"/>
        <v/>
      </c>
      <c r="AA1721" s="172" t="str">
        <f t="shared" si="114"/>
        <v/>
      </c>
      <c r="AB1721" s="172" t="str">
        <f t="shared" si="114"/>
        <v/>
      </c>
      <c r="AC1721" s="172" t="str">
        <f t="shared" si="114"/>
        <v/>
      </c>
      <c r="AD1721" s="172" t="str">
        <f t="shared" si="114"/>
        <v/>
      </c>
      <c r="AE1721" s="172" t="str">
        <f t="shared" si="114"/>
        <v/>
      </c>
      <c r="AF1721" s="172" t="str">
        <f t="shared" si="114"/>
        <v/>
      </c>
      <c r="AG1721" s="172" t="str">
        <f t="shared" si="114"/>
        <v/>
      </c>
      <c r="AH1721" s="172" t="str">
        <f t="shared" si="114"/>
        <v/>
      </c>
      <c r="AI1721" s="172" t="str">
        <f t="shared" si="114"/>
        <v/>
      </c>
      <c r="AJ1721" s="172" t="str">
        <f t="shared" si="114"/>
        <v/>
      </c>
      <c r="AK1721" s="172" t="str">
        <f t="shared" si="114"/>
        <v/>
      </c>
      <c r="AL1721" s="172" t="str">
        <f t="shared" si="114"/>
        <v/>
      </c>
      <c r="AM1721" s="172" t="str">
        <f t="shared" si="114"/>
        <v/>
      </c>
      <c r="AN1721" s="172" t="str">
        <f t="shared" si="114"/>
        <v/>
      </c>
      <c r="AO1721" s="172" t="str">
        <f t="shared" si="114"/>
        <v/>
      </c>
      <c r="AP1721" s="172" t="str">
        <f t="shared" si="114"/>
        <v/>
      </c>
      <c r="AQ1721" s="172" t="str">
        <f t="shared" si="114"/>
        <v/>
      </c>
      <c r="AR1721" s="172" t="str">
        <f t="shared" si="114"/>
        <v/>
      </c>
      <c r="AS1721" s="172" t="str">
        <f t="shared" si="114"/>
        <v/>
      </c>
      <c r="AT1721" s="172" t="str">
        <f t="shared" si="114"/>
        <v/>
      </c>
      <c r="AU1721" s="172" t="str">
        <f t="shared" si="114"/>
        <v/>
      </c>
      <c r="AV1721" s="172" t="str">
        <f t="shared" si="114"/>
        <v/>
      </c>
      <c r="AW1721" s="172" t="str">
        <f t="shared" si="114"/>
        <v/>
      </c>
      <c r="AX1721" s="172" t="str">
        <f t="shared" si="114"/>
        <v/>
      </c>
      <c r="AY1721" s="172" t="str">
        <f t="shared" si="114"/>
        <v/>
      </c>
      <c r="AZ1721" s="172" t="str">
        <f t="shared" si="114"/>
        <v/>
      </c>
      <c r="BA1721" s="172" t="str">
        <f t="shared" si="114"/>
        <v/>
      </c>
      <c r="BB1721" s="172" t="str">
        <f t="shared" si="114"/>
        <v/>
      </c>
      <c r="BD1721" s="159">
        <f t="shared" si="112"/>
        <v>0</v>
      </c>
      <c r="BL1721" s="171"/>
      <c r="BP1721" s="171"/>
    </row>
    <row r="1722" spans="1:68" s="22" customFormat="1" hidden="1">
      <c r="A1722" s="61"/>
      <c r="B1722" s="169">
        <v>3</v>
      </c>
      <c r="C1722" s="169">
        <v>2</v>
      </c>
      <c r="D1722" s="169" t="str">
        <f t="shared" si="115"/>
        <v>32</v>
      </c>
      <c r="E1722" s="172" t="str">
        <f t="shared" si="110"/>
        <v/>
      </c>
      <c r="F1722" s="172" t="str">
        <f t="shared" si="114"/>
        <v/>
      </c>
      <c r="G1722" s="172" t="str">
        <f t="shared" si="114"/>
        <v/>
      </c>
      <c r="H1722" s="172" t="str">
        <f t="shared" si="114"/>
        <v/>
      </c>
      <c r="I1722" s="172" t="str">
        <f t="shared" si="114"/>
        <v/>
      </c>
      <c r="J1722" s="172" t="str">
        <f t="shared" si="114"/>
        <v/>
      </c>
      <c r="K1722" s="172" t="str">
        <f t="shared" si="114"/>
        <v/>
      </c>
      <c r="L1722" s="172" t="str">
        <f t="shared" si="114"/>
        <v/>
      </c>
      <c r="M1722" s="172">
        <f t="shared" si="114"/>
        <v>584027.52</v>
      </c>
      <c r="N1722" s="172" t="str">
        <f t="shared" si="114"/>
        <v/>
      </c>
      <c r="O1722" s="172" t="str">
        <f t="shared" si="114"/>
        <v/>
      </c>
      <c r="P1722" s="172" t="str">
        <f t="shared" ref="P1722:BB1722" si="116">IF($D1722=P$1709,P$1710,"")</f>
        <v/>
      </c>
      <c r="Q1722" s="172" t="str">
        <f t="shared" si="116"/>
        <v/>
      </c>
      <c r="R1722" s="172" t="str">
        <f t="shared" si="116"/>
        <v/>
      </c>
      <c r="S1722" s="172" t="str">
        <f t="shared" si="116"/>
        <v/>
      </c>
      <c r="T1722" s="172" t="str">
        <f t="shared" si="116"/>
        <v/>
      </c>
      <c r="U1722" s="172" t="str">
        <f t="shared" si="116"/>
        <v/>
      </c>
      <c r="V1722" s="172" t="str">
        <f t="shared" si="116"/>
        <v/>
      </c>
      <c r="W1722" s="172" t="str">
        <f t="shared" si="116"/>
        <v/>
      </c>
      <c r="X1722" s="172" t="str">
        <f t="shared" si="116"/>
        <v/>
      </c>
      <c r="Y1722" s="172" t="str">
        <f t="shared" si="116"/>
        <v/>
      </c>
      <c r="Z1722" s="172" t="str">
        <f t="shared" si="116"/>
        <v/>
      </c>
      <c r="AA1722" s="172" t="str">
        <f t="shared" si="116"/>
        <v/>
      </c>
      <c r="AB1722" s="172" t="str">
        <f t="shared" si="116"/>
        <v/>
      </c>
      <c r="AC1722" s="172" t="str">
        <f t="shared" si="116"/>
        <v/>
      </c>
      <c r="AD1722" s="172" t="str">
        <f t="shared" si="116"/>
        <v/>
      </c>
      <c r="AE1722" s="172" t="str">
        <f t="shared" si="116"/>
        <v/>
      </c>
      <c r="AF1722" s="172" t="str">
        <f t="shared" si="116"/>
        <v/>
      </c>
      <c r="AG1722" s="172" t="str">
        <f t="shared" si="116"/>
        <v/>
      </c>
      <c r="AH1722" s="172" t="str">
        <f t="shared" si="116"/>
        <v/>
      </c>
      <c r="AI1722" s="172" t="str">
        <f t="shared" si="116"/>
        <v/>
      </c>
      <c r="AJ1722" s="172" t="str">
        <f t="shared" si="116"/>
        <v/>
      </c>
      <c r="AK1722" s="172" t="str">
        <f t="shared" si="116"/>
        <v/>
      </c>
      <c r="AL1722" s="172" t="str">
        <f t="shared" si="116"/>
        <v/>
      </c>
      <c r="AM1722" s="172" t="str">
        <f t="shared" si="116"/>
        <v/>
      </c>
      <c r="AN1722" s="172" t="str">
        <f t="shared" si="116"/>
        <v/>
      </c>
      <c r="AO1722" s="172" t="str">
        <f t="shared" si="116"/>
        <v/>
      </c>
      <c r="AP1722" s="172" t="str">
        <f t="shared" si="116"/>
        <v/>
      </c>
      <c r="AQ1722" s="172" t="str">
        <f t="shared" si="116"/>
        <v/>
      </c>
      <c r="AR1722" s="172" t="str">
        <f t="shared" si="116"/>
        <v/>
      </c>
      <c r="AS1722" s="172" t="str">
        <f t="shared" si="116"/>
        <v/>
      </c>
      <c r="AT1722" s="172" t="str">
        <f t="shared" si="116"/>
        <v/>
      </c>
      <c r="AU1722" s="172" t="str">
        <f t="shared" si="116"/>
        <v/>
      </c>
      <c r="AV1722" s="172" t="str">
        <f t="shared" si="116"/>
        <v/>
      </c>
      <c r="AW1722" s="172" t="str">
        <f t="shared" si="116"/>
        <v/>
      </c>
      <c r="AX1722" s="172" t="str">
        <f t="shared" si="116"/>
        <v/>
      </c>
      <c r="AY1722" s="172" t="str">
        <f t="shared" si="116"/>
        <v/>
      </c>
      <c r="AZ1722" s="172" t="str">
        <f t="shared" si="116"/>
        <v/>
      </c>
      <c r="BA1722" s="172" t="str">
        <f t="shared" si="116"/>
        <v/>
      </c>
      <c r="BB1722" s="172" t="str">
        <f t="shared" si="116"/>
        <v/>
      </c>
      <c r="BD1722" s="159">
        <f t="shared" si="112"/>
        <v>584027.52</v>
      </c>
      <c r="BL1722" s="171"/>
      <c r="BP1722" s="171"/>
    </row>
    <row r="1723" spans="1:68" s="22" customFormat="1" hidden="1">
      <c r="A1723" s="61"/>
      <c r="B1723" s="169">
        <v>3</v>
      </c>
      <c r="C1723" s="169">
        <v>3</v>
      </c>
      <c r="D1723" s="169" t="str">
        <f t="shared" si="115"/>
        <v>33</v>
      </c>
      <c r="E1723" s="172" t="str">
        <f t="shared" si="110"/>
        <v/>
      </c>
      <c r="F1723" s="172" t="str">
        <f t="shared" ref="F1723:BB1728" si="117">IF($D1723=F$1709,F$1710,"")</f>
        <v/>
      </c>
      <c r="G1723" s="172" t="str">
        <f t="shared" si="117"/>
        <v/>
      </c>
      <c r="H1723" s="172" t="str">
        <f t="shared" si="117"/>
        <v/>
      </c>
      <c r="I1723" s="172" t="str">
        <f t="shared" si="117"/>
        <v/>
      </c>
      <c r="J1723" s="172" t="str">
        <f t="shared" si="117"/>
        <v/>
      </c>
      <c r="K1723" s="172" t="str">
        <f t="shared" si="117"/>
        <v/>
      </c>
      <c r="L1723" s="172" t="str">
        <f t="shared" si="117"/>
        <v/>
      </c>
      <c r="M1723" s="172" t="str">
        <f t="shared" si="117"/>
        <v/>
      </c>
      <c r="N1723" s="172" t="str">
        <f t="shared" si="117"/>
        <v/>
      </c>
      <c r="O1723" s="172" t="str">
        <f t="shared" si="117"/>
        <v/>
      </c>
      <c r="P1723" s="172" t="str">
        <f t="shared" si="117"/>
        <v/>
      </c>
      <c r="Q1723" s="172" t="str">
        <f t="shared" si="117"/>
        <v/>
      </c>
      <c r="R1723" s="172" t="str">
        <f t="shared" si="117"/>
        <v/>
      </c>
      <c r="S1723" s="172" t="str">
        <f t="shared" si="117"/>
        <v/>
      </c>
      <c r="T1723" s="172" t="str">
        <f t="shared" si="117"/>
        <v/>
      </c>
      <c r="U1723" s="172" t="str">
        <f t="shared" si="117"/>
        <v/>
      </c>
      <c r="V1723" s="172" t="str">
        <f t="shared" si="117"/>
        <v/>
      </c>
      <c r="W1723" s="172" t="str">
        <f t="shared" si="117"/>
        <v/>
      </c>
      <c r="X1723" s="172" t="str">
        <f t="shared" si="117"/>
        <v/>
      </c>
      <c r="Y1723" s="172" t="str">
        <f t="shared" si="117"/>
        <v/>
      </c>
      <c r="Z1723" s="172" t="str">
        <f t="shared" si="117"/>
        <v/>
      </c>
      <c r="AA1723" s="172" t="str">
        <f t="shared" si="117"/>
        <v/>
      </c>
      <c r="AB1723" s="172" t="str">
        <f t="shared" si="117"/>
        <v/>
      </c>
      <c r="AC1723" s="172" t="str">
        <f t="shared" si="117"/>
        <v/>
      </c>
      <c r="AD1723" s="172" t="str">
        <f t="shared" si="117"/>
        <v/>
      </c>
      <c r="AE1723" s="172" t="str">
        <f t="shared" si="117"/>
        <v/>
      </c>
      <c r="AF1723" s="172" t="str">
        <f t="shared" si="117"/>
        <v/>
      </c>
      <c r="AG1723" s="172" t="str">
        <f t="shared" si="117"/>
        <v/>
      </c>
      <c r="AH1723" s="172" t="str">
        <f t="shared" si="117"/>
        <v/>
      </c>
      <c r="AI1723" s="172" t="str">
        <f t="shared" si="117"/>
        <v/>
      </c>
      <c r="AJ1723" s="172" t="str">
        <f t="shared" si="117"/>
        <v/>
      </c>
      <c r="AK1723" s="172" t="str">
        <f t="shared" si="117"/>
        <v/>
      </c>
      <c r="AL1723" s="172" t="str">
        <f t="shared" si="117"/>
        <v/>
      </c>
      <c r="AM1723" s="172" t="str">
        <f t="shared" si="117"/>
        <v/>
      </c>
      <c r="AN1723" s="172" t="str">
        <f t="shared" si="117"/>
        <v/>
      </c>
      <c r="AO1723" s="172" t="str">
        <f t="shared" si="117"/>
        <v/>
      </c>
      <c r="AP1723" s="172" t="str">
        <f t="shared" si="117"/>
        <v/>
      </c>
      <c r="AQ1723" s="172" t="str">
        <f t="shared" si="117"/>
        <v/>
      </c>
      <c r="AR1723" s="172" t="str">
        <f t="shared" si="117"/>
        <v/>
      </c>
      <c r="AS1723" s="172" t="str">
        <f t="shared" si="117"/>
        <v/>
      </c>
      <c r="AT1723" s="172" t="str">
        <f t="shared" si="117"/>
        <v/>
      </c>
      <c r="AU1723" s="172" t="str">
        <f t="shared" si="117"/>
        <v/>
      </c>
      <c r="AV1723" s="172" t="str">
        <f t="shared" si="117"/>
        <v/>
      </c>
      <c r="AW1723" s="172" t="str">
        <f t="shared" si="117"/>
        <v/>
      </c>
      <c r="AX1723" s="172" t="str">
        <f t="shared" si="117"/>
        <v/>
      </c>
      <c r="AY1723" s="172" t="str">
        <f t="shared" si="117"/>
        <v/>
      </c>
      <c r="AZ1723" s="172" t="str">
        <f t="shared" si="117"/>
        <v/>
      </c>
      <c r="BA1723" s="172" t="str">
        <f t="shared" si="117"/>
        <v/>
      </c>
      <c r="BB1723" s="172" t="str">
        <f t="shared" si="117"/>
        <v/>
      </c>
      <c r="BD1723" s="159">
        <f t="shared" si="112"/>
        <v>0</v>
      </c>
      <c r="BL1723" s="171"/>
      <c r="BP1723" s="171"/>
    </row>
    <row r="1724" spans="1:68" s="22" customFormat="1" hidden="1">
      <c r="A1724" s="61"/>
      <c r="B1724" s="169">
        <v>3</v>
      </c>
      <c r="C1724" s="169">
        <v>4</v>
      </c>
      <c r="D1724" s="169" t="str">
        <f t="shared" si="115"/>
        <v>34</v>
      </c>
      <c r="E1724" s="172" t="str">
        <f t="shared" si="110"/>
        <v/>
      </c>
      <c r="F1724" s="172" t="str">
        <f t="shared" si="117"/>
        <v/>
      </c>
      <c r="G1724" s="172" t="str">
        <f t="shared" si="117"/>
        <v/>
      </c>
      <c r="H1724" s="172" t="str">
        <f t="shared" si="117"/>
        <v/>
      </c>
      <c r="I1724" s="172" t="str">
        <f t="shared" si="117"/>
        <v/>
      </c>
      <c r="J1724" s="172" t="str">
        <f t="shared" si="117"/>
        <v/>
      </c>
      <c r="K1724" s="172" t="str">
        <f t="shared" si="117"/>
        <v/>
      </c>
      <c r="L1724" s="172" t="str">
        <f t="shared" si="117"/>
        <v/>
      </c>
      <c r="M1724" s="172" t="str">
        <f t="shared" si="117"/>
        <v/>
      </c>
      <c r="N1724" s="172" t="str">
        <f t="shared" si="117"/>
        <v/>
      </c>
      <c r="O1724" s="172" t="str">
        <f t="shared" si="117"/>
        <v/>
      </c>
      <c r="P1724" s="172" t="str">
        <f t="shared" si="117"/>
        <v/>
      </c>
      <c r="Q1724" s="172" t="str">
        <f t="shared" si="117"/>
        <v/>
      </c>
      <c r="R1724" s="172" t="str">
        <f t="shared" si="117"/>
        <v/>
      </c>
      <c r="S1724" s="172" t="str">
        <f t="shared" si="117"/>
        <v/>
      </c>
      <c r="T1724" s="172" t="str">
        <f t="shared" si="117"/>
        <v/>
      </c>
      <c r="U1724" s="172" t="str">
        <f t="shared" si="117"/>
        <v/>
      </c>
      <c r="V1724" s="172" t="str">
        <f t="shared" si="117"/>
        <v/>
      </c>
      <c r="W1724" s="172" t="str">
        <f t="shared" si="117"/>
        <v/>
      </c>
      <c r="X1724" s="172" t="str">
        <f t="shared" si="117"/>
        <v/>
      </c>
      <c r="Y1724" s="172" t="str">
        <f t="shared" si="117"/>
        <v/>
      </c>
      <c r="Z1724" s="172" t="str">
        <f t="shared" si="117"/>
        <v/>
      </c>
      <c r="AA1724" s="172" t="str">
        <f t="shared" si="117"/>
        <v/>
      </c>
      <c r="AB1724" s="172" t="str">
        <f t="shared" si="117"/>
        <v/>
      </c>
      <c r="AC1724" s="172" t="str">
        <f t="shared" si="117"/>
        <v/>
      </c>
      <c r="AD1724" s="172" t="str">
        <f t="shared" si="117"/>
        <v/>
      </c>
      <c r="AE1724" s="172" t="str">
        <f t="shared" si="117"/>
        <v/>
      </c>
      <c r="AF1724" s="172" t="str">
        <f t="shared" si="117"/>
        <v/>
      </c>
      <c r="AG1724" s="172" t="str">
        <f t="shared" si="117"/>
        <v/>
      </c>
      <c r="AH1724" s="172" t="str">
        <f t="shared" si="117"/>
        <v/>
      </c>
      <c r="AI1724" s="172" t="str">
        <f t="shared" si="117"/>
        <v/>
      </c>
      <c r="AJ1724" s="172" t="str">
        <f t="shared" si="117"/>
        <v/>
      </c>
      <c r="AK1724" s="172" t="str">
        <f t="shared" si="117"/>
        <v/>
      </c>
      <c r="AL1724" s="172" t="str">
        <f t="shared" si="117"/>
        <v/>
      </c>
      <c r="AM1724" s="172" t="str">
        <f t="shared" si="117"/>
        <v/>
      </c>
      <c r="AN1724" s="172" t="str">
        <f t="shared" si="117"/>
        <v/>
      </c>
      <c r="AO1724" s="172" t="str">
        <f t="shared" si="117"/>
        <v/>
      </c>
      <c r="AP1724" s="172" t="str">
        <f t="shared" si="117"/>
        <v/>
      </c>
      <c r="AQ1724" s="172" t="str">
        <f t="shared" si="117"/>
        <v/>
      </c>
      <c r="AR1724" s="172" t="str">
        <f t="shared" si="117"/>
        <v/>
      </c>
      <c r="AS1724" s="172" t="str">
        <f t="shared" si="117"/>
        <v/>
      </c>
      <c r="AT1724" s="172" t="str">
        <f t="shared" si="117"/>
        <v/>
      </c>
      <c r="AU1724" s="172" t="str">
        <f t="shared" si="117"/>
        <v/>
      </c>
      <c r="AV1724" s="172" t="str">
        <f t="shared" si="117"/>
        <v/>
      </c>
      <c r="AW1724" s="172" t="str">
        <f t="shared" si="117"/>
        <v/>
      </c>
      <c r="AX1724" s="172" t="str">
        <f t="shared" si="117"/>
        <v/>
      </c>
      <c r="AY1724" s="172" t="str">
        <f t="shared" si="117"/>
        <v/>
      </c>
      <c r="AZ1724" s="172" t="str">
        <f t="shared" si="117"/>
        <v/>
      </c>
      <c r="BA1724" s="172" t="str">
        <f t="shared" si="117"/>
        <v/>
      </c>
      <c r="BB1724" s="172" t="str">
        <f t="shared" si="117"/>
        <v/>
      </c>
      <c r="BD1724" s="159">
        <f t="shared" si="112"/>
        <v>0</v>
      </c>
      <c r="BL1724" s="171"/>
      <c r="BP1724" s="171"/>
    </row>
    <row r="1725" spans="1:68" s="22" customFormat="1" hidden="1">
      <c r="A1725" s="61"/>
      <c r="B1725" s="169">
        <v>3</v>
      </c>
      <c r="C1725" s="169">
        <v>5</v>
      </c>
      <c r="D1725" s="169" t="str">
        <f t="shared" si="115"/>
        <v>35</v>
      </c>
      <c r="E1725" s="172" t="str">
        <f t="shared" si="110"/>
        <v/>
      </c>
      <c r="F1725" s="172" t="str">
        <f t="shared" si="117"/>
        <v/>
      </c>
      <c r="G1725" s="172" t="str">
        <f t="shared" si="117"/>
        <v/>
      </c>
      <c r="H1725" s="172" t="str">
        <f t="shared" si="117"/>
        <v/>
      </c>
      <c r="I1725" s="172" t="str">
        <f t="shared" si="117"/>
        <v/>
      </c>
      <c r="J1725" s="172" t="str">
        <f t="shared" si="117"/>
        <v/>
      </c>
      <c r="K1725" s="172" t="str">
        <f t="shared" si="117"/>
        <v/>
      </c>
      <c r="L1725" s="172" t="str">
        <f t="shared" si="117"/>
        <v/>
      </c>
      <c r="M1725" s="172" t="str">
        <f t="shared" si="117"/>
        <v/>
      </c>
      <c r="N1725" s="172" t="str">
        <f t="shared" si="117"/>
        <v/>
      </c>
      <c r="O1725" s="172" t="str">
        <f t="shared" si="117"/>
        <v/>
      </c>
      <c r="P1725" s="172" t="str">
        <f t="shared" si="117"/>
        <v/>
      </c>
      <c r="Q1725" s="172" t="str">
        <f t="shared" si="117"/>
        <v/>
      </c>
      <c r="R1725" s="172" t="str">
        <f t="shared" si="117"/>
        <v/>
      </c>
      <c r="S1725" s="172" t="str">
        <f t="shared" si="117"/>
        <v/>
      </c>
      <c r="T1725" s="172" t="str">
        <f t="shared" si="117"/>
        <v/>
      </c>
      <c r="U1725" s="172" t="str">
        <f t="shared" si="117"/>
        <v/>
      </c>
      <c r="V1725" s="172" t="str">
        <f t="shared" si="117"/>
        <v/>
      </c>
      <c r="W1725" s="172" t="str">
        <f t="shared" si="117"/>
        <v/>
      </c>
      <c r="X1725" s="172" t="str">
        <f t="shared" si="117"/>
        <v/>
      </c>
      <c r="Y1725" s="172" t="str">
        <f t="shared" si="117"/>
        <v/>
      </c>
      <c r="Z1725" s="172" t="str">
        <f t="shared" si="117"/>
        <v/>
      </c>
      <c r="AA1725" s="172" t="str">
        <f t="shared" si="117"/>
        <v/>
      </c>
      <c r="AB1725" s="172" t="str">
        <f t="shared" si="117"/>
        <v/>
      </c>
      <c r="AC1725" s="172" t="str">
        <f t="shared" si="117"/>
        <v/>
      </c>
      <c r="AD1725" s="172" t="str">
        <f t="shared" si="117"/>
        <v/>
      </c>
      <c r="AE1725" s="172" t="str">
        <f t="shared" si="117"/>
        <v/>
      </c>
      <c r="AF1725" s="172" t="str">
        <f t="shared" si="117"/>
        <v/>
      </c>
      <c r="AG1725" s="172" t="str">
        <f t="shared" si="117"/>
        <v/>
      </c>
      <c r="AH1725" s="172" t="str">
        <f t="shared" si="117"/>
        <v/>
      </c>
      <c r="AI1725" s="172" t="str">
        <f t="shared" si="117"/>
        <v/>
      </c>
      <c r="AJ1725" s="172" t="str">
        <f t="shared" si="117"/>
        <v/>
      </c>
      <c r="AK1725" s="172" t="str">
        <f t="shared" si="117"/>
        <v/>
      </c>
      <c r="AL1725" s="172" t="str">
        <f t="shared" si="117"/>
        <v/>
      </c>
      <c r="AM1725" s="172" t="str">
        <f t="shared" si="117"/>
        <v/>
      </c>
      <c r="AN1725" s="172" t="str">
        <f t="shared" si="117"/>
        <v/>
      </c>
      <c r="AO1725" s="172" t="str">
        <f t="shared" si="117"/>
        <v/>
      </c>
      <c r="AP1725" s="172" t="str">
        <f t="shared" si="117"/>
        <v/>
      </c>
      <c r="AQ1725" s="172" t="str">
        <f t="shared" si="117"/>
        <v/>
      </c>
      <c r="AR1725" s="172" t="str">
        <f t="shared" si="117"/>
        <v/>
      </c>
      <c r="AS1725" s="172" t="str">
        <f t="shared" si="117"/>
        <v/>
      </c>
      <c r="AT1725" s="172" t="str">
        <f t="shared" si="117"/>
        <v/>
      </c>
      <c r="AU1725" s="172" t="str">
        <f t="shared" si="117"/>
        <v/>
      </c>
      <c r="AV1725" s="172" t="str">
        <f t="shared" si="117"/>
        <v/>
      </c>
      <c r="AW1725" s="172" t="str">
        <f t="shared" si="117"/>
        <v/>
      </c>
      <c r="AX1725" s="172" t="str">
        <f t="shared" si="117"/>
        <v/>
      </c>
      <c r="AY1725" s="172" t="str">
        <f t="shared" si="117"/>
        <v/>
      </c>
      <c r="AZ1725" s="172" t="str">
        <f t="shared" si="117"/>
        <v/>
      </c>
      <c r="BA1725" s="172" t="str">
        <f t="shared" si="117"/>
        <v/>
      </c>
      <c r="BB1725" s="172" t="str">
        <f t="shared" si="117"/>
        <v/>
      </c>
      <c r="BD1725" s="159">
        <f t="shared" si="112"/>
        <v>0</v>
      </c>
      <c r="BL1725" s="171"/>
      <c r="BP1725" s="171"/>
    </row>
    <row r="1726" spans="1:68" s="22" customFormat="1" hidden="1">
      <c r="A1726" s="61"/>
      <c r="B1726" s="169">
        <v>4</v>
      </c>
      <c r="C1726" s="169">
        <v>1</v>
      </c>
      <c r="D1726" s="169" t="str">
        <f t="shared" si="115"/>
        <v>41</v>
      </c>
      <c r="E1726" s="172" t="str">
        <f t="shared" si="110"/>
        <v/>
      </c>
      <c r="F1726" s="172" t="str">
        <f t="shared" si="117"/>
        <v/>
      </c>
      <c r="G1726" s="172" t="str">
        <f t="shared" si="117"/>
        <v/>
      </c>
      <c r="H1726" s="172" t="str">
        <f t="shared" si="117"/>
        <v/>
      </c>
      <c r="I1726" s="172" t="str">
        <f t="shared" si="117"/>
        <v/>
      </c>
      <c r="J1726" s="172" t="str">
        <f t="shared" si="117"/>
        <v/>
      </c>
      <c r="K1726" s="172" t="str">
        <f t="shared" si="117"/>
        <v/>
      </c>
      <c r="L1726" s="172" t="str">
        <f t="shared" si="117"/>
        <v/>
      </c>
      <c r="M1726" s="172" t="str">
        <f t="shared" si="117"/>
        <v/>
      </c>
      <c r="N1726" s="172">
        <f t="shared" si="117"/>
        <v>129555</v>
      </c>
      <c r="O1726" s="172" t="str">
        <f t="shared" si="117"/>
        <v/>
      </c>
      <c r="P1726" s="172" t="str">
        <f t="shared" si="117"/>
        <v/>
      </c>
      <c r="Q1726" s="172" t="str">
        <f t="shared" si="117"/>
        <v/>
      </c>
      <c r="R1726" s="172" t="str">
        <f t="shared" si="117"/>
        <v/>
      </c>
      <c r="S1726" s="172" t="str">
        <f t="shared" si="117"/>
        <v/>
      </c>
      <c r="T1726" s="172" t="str">
        <f t="shared" si="117"/>
        <v/>
      </c>
      <c r="U1726" s="172" t="str">
        <f t="shared" si="117"/>
        <v/>
      </c>
      <c r="V1726" s="172" t="str">
        <f t="shared" si="117"/>
        <v/>
      </c>
      <c r="W1726" s="172" t="str">
        <f t="shared" si="117"/>
        <v/>
      </c>
      <c r="X1726" s="172" t="str">
        <f t="shared" si="117"/>
        <v/>
      </c>
      <c r="Y1726" s="172" t="str">
        <f t="shared" si="117"/>
        <v/>
      </c>
      <c r="Z1726" s="172" t="str">
        <f t="shared" si="117"/>
        <v/>
      </c>
      <c r="AA1726" s="172" t="str">
        <f t="shared" si="117"/>
        <v/>
      </c>
      <c r="AB1726" s="172" t="str">
        <f t="shared" si="117"/>
        <v/>
      </c>
      <c r="AC1726" s="172" t="str">
        <f t="shared" si="117"/>
        <v/>
      </c>
      <c r="AD1726" s="172" t="str">
        <f t="shared" si="117"/>
        <v/>
      </c>
      <c r="AE1726" s="172" t="str">
        <f t="shared" si="117"/>
        <v/>
      </c>
      <c r="AF1726" s="172" t="str">
        <f t="shared" si="117"/>
        <v/>
      </c>
      <c r="AG1726" s="172" t="str">
        <f t="shared" si="117"/>
        <v/>
      </c>
      <c r="AH1726" s="172" t="str">
        <f t="shared" si="117"/>
        <v/>
      </c>
      <c r="AI1726" s="172" t="str">
        <f t="shared" si="117"/>
        <v/>
      </c>
      <c r="AJ1726" s="172" t="str">
        <f t="shared" si="117"/>
        <v/>
      </c>
      <c r="AK1726" s="172" t="str">
        <f t="shared" si="117"/>
        <v/>
      </c>
      <c r="AL1726" s="172" t="str">
        <f t="shared" si="117"/>
        <v/>
      </c>
      <c r="AM1726" s="172" t="str">
        <f t="shared" si="117"/>
        <v/>
      </c>
      <c r="AN1726" s="172" t="str">
        <f t="shared" si="117"/>
        <v/>
      </c>
      <c r="AO1726" s="172" t="str">
        <f t="shared" si="117"/>
        <v/>
      </c>
      <c r="AP1726" s="172" t="str">
        <f t="shared" si="117"/>
        <v/>
      </c>
      <c r="AQ1726" s="172" t="str">
        <f t="shared" si="117"/>
        <v/>
      </c>
      <c r="AR1726" s="172" t="str">
        <f t="shared" si="117"/>
        <v/>
      </c>
      <c r="AS1726" s="172" t="str">
        <f t="shared" si="117"/>
        <v/>
      </c>
      <c r="AT1726" s="172" t="str">
        <f t="shared" si="117"/>
        <v/>
      </c>
      <c r="AU1726" s="172" t="str">
        <f t="shared" si="117"/>
        <v/>
      </c>
      <c r="AV1726" s="172" t="str">
        <f t="shared" si="117"/>
        <v/>
      </c>
      <c r="AW1726" s="172" t="str">
        <f t="shared" si="117"/>
        <v/>
      </c>
      <c r="AX1726" s="172" t="str">
        <f t="shared" si="117"/>
        <v/>
      </c>
      <c r="AY1726" s="172" t="str">
        <f t="shared" si="117"/>
        <v/>
      </c>
      <c r="AZ1726" s="172" t="str">
        <f t="shared" si="117"/>
        <v/>
      </c>
      <c r="BA1726" s="172" t="str">
        <f t="shared" si="117"/>
        <v/>
      </c>
      <c r="BB1726" s="172" t="str">
        <f t="shared" si="117"/>
        <v/>
      </c>
      <c r="BD1726" s="159">
        <f t="shared" si="112"/>
        <v>129555</v>
      </c>
      <c r="BL1726" s="171"/>
      <c r="BP1726" s="171"/>
    </row>
    <row r="1727" spans="1:68" s="22" customFormat="1" hidden="1">
      <c r="A1727" s="61"/>
      <c r="B1727" s="169">
        <v>4</v>
      </c>
      <c r="C1727" s="169">
        <v>2</v>
      </c>
      <c r="D1727" s="169" t="str">
        <f t="shared" si="115"/>
        <v>42</v>
      </c>
      <c r="E1727" s="172" t="str">
        <f t="shared" si="110"/>
        <v/>
      </c>
      <c r="F1727" s="172" t="str">
        <f t="shared" si="117"/>
        <v/>
      </c>
      <c r="G1727" s="172" t="str">
        <f t="shared" si="117"/>
        <v/>
      </c>
      <c r="H1727" s="172" t="str">
        <f t="shared" si="117"/>
        <v/>
      </c>
      <c r="I1727" s="172" t="str">
        <f t="shared" si="117"/>
        <v/>
      </c>
      <c r="J1727" s="172" t="str">
        <f t="shared" si="117"/>
        <v/>
      </c>
      <c r="K1727" s="172" t="str">
        <f t="shared" si="117"/>
        <v/>
      </c>
      <c r="L1727" s="172" t="str">
        <f t="shared" si="117"/>
        <v/>
      </c>
      <c r="M1727" s="172" t="str">
        <f t="shared" si="117"/>
        <v/>
      </c>
      <c r="N1727" s="172" t="str">
        <f t="shared" si="117"/>
        <v/>
      </c>
      <c r="O1727" s="172">
        <f t="shared" si="117"/>
        <v>75503</v>
      </c>
      <c r="P1727" s="172" t="str">
        <f t="shared" si="117"/>
        <v/>
      </c>
      <c r="Q1727" s="172" t="str">
        <f t="shared" si="117"/>
        <v/>
      </c>
      <c r="R1727" s="172" t="str">
        <f t="shared" si="117"/>
        <v/>
      </c>
      <c r="S1727" s="172" t="str">
        <f t="shared" si="117"/>
        <v/>
      </c>
      <c r="T1727" s="172" t="str">
        <f t="shared" si="117"/>
        <v/>
      </c>
      <c r="U1727" s="172" t="str">
        <f t="shared" si="117"/>
        <v/>
      </c>
      <c r="V1727" s="172" t="str">
        <f t="shared" si="117"/>
        <v/>
      </c>
      <c r="W1727" s="172" t="str">
        <f t="shared" si="117"/>
        <v/>
      </c>
      <c r="X1727" s="172" t="str">
        <f t="shared" si="117"/>
        <v/>
      </c>
      <c r="Y1727" s="172" t="str">
        <f t="shared" si="117"/>
        <v/>
      </c>
      <c r="Z1727" s="172" t="str">
        <f t="shared" si="117"/>
        <v/>
      </c>
      <c r="AA1727" s="172" t="str">
        <f t="shared" si="117"/>
        <v/>
      </c>
      <c r="AB1727" s="172" t="str">
        <f t="shared" si="117"/>
        <v/>
      </c>
      <c r="AC1727" s="172" t="str">
        <f t="shared" si="117"/>
        <v/>
      </c>
      <c r="AD1727" s="172" t="str">
        <f t="shared" si="117"/>
        <v/>
      </c>
      <c r="AE1727" s="172" t="str">
        <f t="shared" si="117"/>
        <v/>
      </c>
      <c r="AF1727" s="172" t="str">
        <f t="shared" si="117"/>
        <v/>
      </c>
      <c r="AG1727" s="172" t="str">
        <f t="shared" si="117"/>
        <v/>
      </c>
      <c r="AH1727" s="172" t="str">
        <f t="shared" si="117"/>
        <v/>
      </c>
      <c r="AI1727" s="172" t="str">
        <f t="shared" si="117"/>
        <v/>
      </c>
      <c r="AJ1727" s="172" t="str">
        <f t="shared" si="117"/>
        <v/>
      </c>
      <c r="AK1727" s="172" t="str">
        <f t="shared" si="117"/>
        <v/>
      </c>
      <c r="AL1727" s="172" t="str">
        <f t="shared" si="117"/>
        <v/>
      </c>
      <c r="AM1727" s="172" t="str">
        <f t="shared" si="117"/>
        <v/>
      </c>
      <c r="AN1727" s="172" t="str">
        <f t="shared" si="117"/>
        <v/>
      </c>
      <c r="AO1727" s="172" t="str">
        <f t="shared" si="117"/>
        <v/>
      </c>
      <c r="AP1727" s="172" t="str">
        <f t="shared" si="117"/>
        <v/>
      </c>
      <c r="AQ1727" s="172" t="str">
        <f t="shared" si="117"/>
        <v/>
      </c>
      <c r="AR1727" s="172" t="str">
        <f t="shared" si="117"/>
        <v/>
      </c>
      <c r="AS1727" s="172" t="str">
        <f t="shared" si="117"/>
        <v/>
      </c>
      <c r="AT1727" s="172" t="str">
        <f t="shared" si="117"/>
        <v/>
      </c>
      <c r="AU1727" s="172" t="str">
        <f t="shared" si="117"/>
        <v/>
      </c>
      <c r="AV1727" s="172" t="str">
        <f t="shared" si="117"/>
        <v/>
      </c>
      <c r="AW1727" s="172" t="str">
        <f t="shared" si="117"/>
        <v/>
      </c>
      <c r="AX1727" s="172" t="str">
        <f t="shared" si="117"/>
        <v/>
      </c>
      <c r="AY1727" s="172" t="str">
        <f t="shared" si="117"/>
        <v/>
      </c>
      <c r="AZ1727" s="172" t="str">
        <f t="shared" si="117"/>
        <v/>
      </c>
      <c r="BA1727" s="172" t="str">
        <f t="shared" si="117"/>
        <v/>
      </c>
      <c r="BB1727" s="172" t="str">
        <f t="shared" si="117"/>
        <v/>
      </c>
      <c r="BD1727" s="159">
        <f t="shared" si="112"/>
        <v>75503</v>
      </c>
      <c r="BL1727" s="171"/>
      <c r="BP1727" s="171"/>
    </row>
    <row r="1728" spans="1:68" s="22" customFormat="1" hidden="1">
      <c r="A1728" s="61"/>
      <c r="B1728" s="169">
        <v>4</v>
      </c>
      <c r="C1728" s="169">
        <v>3</v>
      </c>
      <c r="D1728" s="169" t="str">
        <f t="shared" si="115"/>
        <v>43</v>
      </c>
      <c r="E1728" s="172" t="str">
        <f t="shared" si="110"/>
        <v/>
      </c>
      <c r="F1728" s="172" t="str">
        <f t="shared" si="117"/>
        <v/>
      </c>
      <c r="G1728" s="172" t="str">
        <f t="shared" si="117"/>
        <v/>
      </c>
      <c r="H1728" s="172" t="str">
        <f t="shared" si="117"/>
        <v/>
      </c>
      <c r="I1728" s="172" t="str">
        <f t="shared" si="117"/>
        <v/>
      </c>
      <c r="J1728" s="172" t="str">
        <f t="shared" si="117"/>
        <v/>
      </c>
      <c r="K1728" s="172" t="str">
        <f t="shared" si="117"/>
        <v/>
      </c>
      <c r="L1728" s="172" t="str">
        <f t="shared" si="117"/>
        <v/>
      </c>
      <c r="M1728" s="172" t="str">
        <f t="shared" si="117"/>
        <v/>
      </c>
      <c r="N1728" s="172" t="str">
        <f t="shared" si="117"/>
        <v/>
      </c>
      <c r="O1728" s="172" t="str">
        <f t="shared" si="117"/>
        <v/>
      </c>
      <c r="P1728" s="172">
        <f t="shared" ref="P1728:BB1728" si="118">IF($D1728=P$1709,P$1710,"")</f>
        <v>1969.89</v>
      </c>
      <c r="Q1728" s="172">
        <f t="shared" si="118"/>
        <v>3411.68</v>
      </c>
      <c r="R1728" s="172">
        <f t="shared" si="118"/>
        <v>25842.25</v>
      </c>
      <c r="S1728" s="172">
        <f t="shared" si="118"/>
        <v>16791.400000000001</v>
      </c>
      <c r="T1728" s="172">
        <f t="shared" si="118"/>
        <v>6297.4</v>
      </c>
      <c r="U1728" s="172" t="str">
        <f t="shared" si="118"/>
        <v/>
      </c>
      <c r="V1728" s="172" t="str">
        <f t="shared" si="118"/>
        <v/>
      </c>
      <c r="W1728" s="172" t="str">
        <f t="shared" si="118"/>
        <v/>
      </c>
      <c r="X1728" s="172" t="str">
        <f t="shared" si="118"/>
        <v/>
      </c>
      <c r="Y1728" s="172" t="str">
        <f t="shared" si="118"/>
        <v/>
      </c>
      <c r="Z1728" s="172" t="str">
        <f t="shared" si="118"/>
        <v/>
      </c>
      <c r="AA1728" s="172" t="str">
        <f t="shared" si="118"/>
        <v/>
      </c>
      <c r="AB1728" s="172" t="str">
        <f t="shared" si="118"/>
        <v/>
      </c>
      <c r="AC1728" s="172" t="str">
        <f t="shared" si="118"/>
        <v/>
      </c>
      <c r="AD1728" s="172" t="str">
        <f t="shared" si="118"/>
        <v/>
      </c>
      <c r="AE1728" s="172" t="str">
        <f t="shared" si="118"/>
        <v/>
      </c>
      <c r="AF1728" s="172" t="str">
        <f t="shared" si="118"/>
        <v/>
      </c>
      <c r="AG1728" s="172" t="str">
        <f t="shared" si="118"/>
        <v/>
      </c>
      <c r="AH1728" s="172" t="str">
        <f t="shared" si="118"/>
        <v/>
      </c>
      <c r="AI1728" s="172" t="str">
        <f t="shared" si="118"/>
        <v/>
      </c>
      <c r="AJ1728" s="172" t="str">
        <f t="shared" si="118"/>
        <v/>
      </c>
      <c r="AK1728" s="172" t="str">
        <f t="shared" si="118"/>
        <v/>
      </c>
      <c r="AL1728" s="172" t="str">
        <f t="shared" si="118"/>
        <v/>
      </c>
      <c r="AM1728" s="172" t="str">
        <f t="shared" si="118"/>
        <v/>
      </c>
      <c r="AN1728" s="172" t="str">
        <f t="shared" si="118"/>
        <v/>
      </c>
      <c r="AO1728" s="172" t="str">
        <f t="shared" si="118"/>
        <v/>
      </c>
      <c r="AP1728" s="172" t="str">
        <f t="shared" si="118"/>
        <v/>
      </c>
      <c r="AQ1728" s="172" t="str">
        <f t="shared" si="118"/>
        <v/>
      </c>
      <c r="AR1728" s="172" t="str">
        <f t="shared" si="118"/>
        <v/>
      </c>
      <c r="AS1728" s="172" t="str">
        <f t="shared" si="118"/>
        <v/>
      </c>
      <c r="AT1728" s="172" t="str">
        <f t="shared" si="118"/>
        <v/>
      </c>
      <c r="AU1728" s="172" t="str">
        <f t="shared" si="118"/>
        <v/>
      </c>
      <c r="AV1728" s="172" t="str">
        <f t="shared" si="118"/>
        <v/>
      </c>
      <c r="AW1728" s="172" t="str">
        <f t="shared" si="118"/>
        <v/>
      </c>
      <c r="AX1728" s="172" t="str">
        <f t="shared" si="118"/>
        <v/>
      </c>
      <c r="AY1728" s="172" t="str">
        <f t="shared" si="118"/>
        <v/>
      </c>
      <c r="AZ1728" s="172" t="str">
        <f t="shared" si="118"/>
        <v/>
      </c>
      <c r="BA1728" s="172" t="str">
        <f t="shared" si="118"/>
        <v/>
      </c>
      <c r="BB1728" s="172" t="str">
        <f t="shared" si="118"/>
        <v/>
      </c>
      <c r="BD1728" s="159">
        <f t="shared" si="112"/>
        <v>54312.62</v>
      </c>
      <c r="BP1728" s="171"/>
    </row>
    <row r="1729" spans="1:68" s="22" customFormat="1" hidden="1">
      <c r="A1729" s="61"/>
      <c r="B1729" s="169">
        <v>4</v>
      </c>
      <c r="C1729" s="169">
        <v>4</v>
      </c>
      <c r="D1729" s="169" t="str">
        <f t="shared" si="115"/>
        <v>44</v>
      </c>
      <c r="E1729" s="172" t="str">
        <f t="shared" si="110"/>
        <v/>
      </c>
      <c r="F1729" s="172" t="str">
        <f t="shared" ref="F1729:BB1734" si="119">IF($D1729=F$1709,F$1710,"")</f>
        <v/>
      </c>
      <c r="G1729" s="172" t="str">
        <f t="shared" si="119"/>
        <v/>
      </c>
      <c r="H1729" s="172" t="str">
        <f t="shared" si="119"/>
        <v/>
      </c>
      <c r="I1729" s="172" t="str">
        <f t="shared" si="119"/>
        <v/>
      </c>
      <c r="J1729" s="172" t="str">
        <f t="shared" si="119"/>
        <v/>
      </c>
      <c r="K1729" s="172" t="str">
        <f t="shared" si="119"/>
        <v/>
      </c>
      <c r="L1729" s="172" t="str">
        <f t="shared" si="119"/>
        <v/>
      </c>
      <c r="M1729" s="172" t="str">
        <f t="shared" si="119"/>
        <v/>
      </c>
      <c r="N1729" s="172" t="str">
        <f t="shared" si="119"/>
        <v/>
      </c>
      <c r="O1729" s="172" t="str">
        <f t="shared" si="119"/>
        <v/>
      </c>
      <c r="P1729" s="172" t="str">
        <f t="shared" si="119"/>
        <v/>
      </c>
      <c r="Q1729" s="172" t="str">
        <f t="shared" si="119"/>
        <v/>
      </c>
      <c r="R1729" s="172" t="str">
        <f t="shared" si="119"/>
        <v/>
      </c>
      <c r="S1729" s="172" t="str">
        <f t="shared" si="119"/>
        <v/>
      </c>
      <c r="T1729" s="172" t="str">
        <f t="shared" si="119"/>
        <v/>
      </c>
      <c r="U1729" s="172" t="str">
        <f t="shared" si="119"/>
        <v/>
      </c>
      <c r="V1729" s="172" t="str">
        <f t="shared" si="119"/>
        <v/>
      </c>
      <c r="W1729" s="172" t="str">
        <f t="shared" si="119"/>
        <v/>
      </c>
      <c r="X1729" s="172" t="str">
        <f t="shared" si="119"/>
        <v/>
      </c>
      <c r="Y1729" s="172" t="str">
        <f t="shared" si="119"/>
        <v/>
      </c>
      <c r="Z1729" s="172" t="str">
        <f t="shared" si="119"/>
        <v/>
      </c>
      <c r="AA1729" s="172" t="str">
        <f t="shared" si="119"/>
        <v/>
      </c>
      <c r="AB1729" s="172" t="str">
        <f t="shared" si="119"/>
        <v/>
      </c>
      <c r="AC1729" s="172" t="str">
        <f t="shared" si="119"/>
        <v/>
      </c>
      <c r="AD1729" s="172" t="str">
        <f t="shared" si="119"/>
        <v/>
      </c>
      <c r="AE1729" s="172" t="str">
        <f t="shared" si="119"/>
        <v/>
      </c>
      <c r="AF1729" s="172" t="str">
        <f t="shared" si="119"/>
        <v/>
      </c>
      <c r="AG1729" s="172" t="str">
        <f t="shared" si="119"/>
        <v/>
      </c>
      <c r="AH1729" s="172" t="str">
        <f t="shared" si="119"/>
        <v/>
      </c>
      <c r="AI1729" s="172" t="str">
        <f t="shared" si="119"/>
        <v/>
      </c>
      <c r="AJ1729" s="172" t="str">
        <f t="shared" si="119"/>
        <v/>
      </c>
      <c r="AK1729" s="172" t="str">
        <f t="shared" si="119"/>
        <v/>
      </c>
      <c r="AL1729" s="172" t="str">
        <f t="shared" si="119"/>
        <v/>
      </c>
      <c r="AM1729" s="172" t="str">
        <f t="shared" si="119"/>
        <v/>
      </c>
      <c r="AN1729" s="172" t="str">
        <f t="shared" si="119"/>
        <v/>
      </c>
      <c r="AO1729" s="172" t="str">
        <f t="shared" si="119"/>
        <v/>
      </c>
      <c r="AP1729" s="172" t="str">
        <f t="shared" si="119"/>
        <v/>
      </c>
      <c r="AQ1729" s="172" t="str">
        <f t="shared" si="119"/>
        <v/>
      </c>
      <c r="AR1729" s="172" t="str">
        <f t="shared" si="119"/>
        <v/>
      </c>
      <c r="AS1729" s="172" t="str">
        <f t="shared" si="119"/>
        <v/>
      </c>
      <c r="AT1729" s="172" t="str">
        <f t="shared" si="119"/>
        <v/>
      </c>
      <c r="AU1729" s="172" t="str">
        <f t="shared" si="119"/>
        <v/>
      </c>
      <c r="AV1729" s="172" t="str">
        <f t="shared" si="119"/>
        <v/>
      </c>
      <c r="AW1729" s="172" t="str">
        <f t="shared" si="119"/>
        <v/>
      </c>
      <c r="AX1729" s="172" t="str">
        <f t="shared" si="119"/>
        <v/>
      </c>
      <c r="AY1729" s="172" t="str">
        <f t="shared" si="119"/>
        <v/>
      </c>
      <c r="AZ1729" s="172" t="str">
        <f t="shared" si="119"/>
        <v/>
      </c>
      <c r="BA1729" s="172" t="str">
        <f t="shared" si="119"/>
        <v/>
      </c>
      <c r="BB1729" s="172" t="str">
        <f t="shared" si="119"/>
        <v/>
      </c>
      <c r="BD1729" s="159">
        <f t="shared" si="112"/>
        <v>0</v>
      </c>
      <c r="BP1729" s="171"/>
    </row>
    <row r="1730" spans="1:68" s="22" customFormat="1" hidden="1">
      <c r="A1730" s="61"/>
      <c r="B1730" s="169">
        <v>4</v>
      </c>
      <c r="C1730" s="169">
        <v>5</v>
      </c>
      <c r="D1730" s="169" t="str">
        <f t="shared" si="115"/>
        <v>45</v>
      </c>
      <c r="E1730" s="172" t="str">
        <f t="shared" si="110"/>
        <v/>
      </c>
      <c r="F1730" s="172" t="str">
        <f t="shared" si="119"/>
        <v/>
      </c>
      <c r="G1730" s="172" t="str">
        <f t="shared" si="119"/>
        <v/>
      </c>
      <c r="H1730" s="172" t="str">
        <f t="shared" si="119"/>
        <v/>
      </c>
      <c r="I1730" s="172" t="str">
        <f t="shared" si="119"/>
        <v/>
      </c>
      <c r="J1730" s="172" t="str">
        <f t="shared" si="119"/>
        <v/>
      </c>
      <c r="K1730" s="172" t="str">
        <f t="shared" si="119"/>
        <v/>
      </c>
      <c r="L1730" s="172" t="str">
        <f t="shared" si="119"/>
        <v/>
      </c>
      <c r="M1730" s="172" t="str">
        <f t="shared" si="119"/>
        <v/>
      </c>
      <c r="N1730" s="172" t="str">
        <f t="shared" si="119"/>
        <v/>
      </c>
      <c r="O1730" s="172" t="str">
        <f t="shared" si="119"/>
        <v/>
      </c>
      <c r="P1730" s="172" t="str">
        <f t="shared" si="119"/>
        <v/>
      </c>
      <c r="Q1730" s="172" t="str">
        <f t="shared" si="119"/>
        <v/>
      </c>
      <c r="R1730" s="172" t="str">
        <f t="shared" si="119"/>
        <v/>
      </c>
      <c r="S1730" s="172" t="str">
        <f t="shared" si="119"/>
        <v/>
      </c>
      <c r="T1730" s="172" t="str">
        <f t="shared" si="119"/>
        <v/>
      </c>
      <c r="U1730" s="172" t="str">
        <f t="shared" si="119"/>
        <v/>
      </c>
      <c r="V1730" s="172" t="str">
        <f t="shared" si="119"/>
        <v/>
      </c>
      <c r="W1730" s="172" t="str">
        <f t="shared" si="119"/>
        <v/>
      </c>
      <c r="X1730" s="172" t="str">
        <f t="shared" si="119"/>
        <v/>
      </c>
      <c r="Y1730" s="172" t="str">
        <f t="shared" si="119"/>
        <v/>
      </c>
      <c r="Z1730" s="172" t="str">
        <f t="shared" si="119"/>
        <v/>
      </c>
      <c r="AA1730" s="172" t="str">
        <f t="shared" si="119"/>
        <v/>
      </c>
      <c r="AB1730" s="172" t="str">
        <f t="shared" si="119"/>
        <v/>
      </c>
      <c r="AC1730" s="172" t="str">
        <f t="shared" si="119"/>
        <v/>
      </c>
      <c r="AD1730" s="172" t="str">
        <f t="shared" si="119"/>
        <v/>
      </c>
      <c r="AE1730" s="172" t="str">
        <f t="shared" si="119"/>
        <v/>
      </c>
      <c r="AF1730" s="172" t="str">
        <f t="shared" si="119"/>
        <v/>
      </c>
      <c r="AG1730" s="172" t="str">
        <f t="shared" si="119"/>
        <v/>
      </c>
      <c r="AH1730" s="172" t="str">
        <f t="shared" si="119"/>
        <v/>
      </c>
      <c r="AI1730" s="172" t="str">
        <f t="shared" si="119"/>
        <v/>
      </c>
      <c r="AJ1730" s="172" t="str">
        <f t="shared" si="119"/>
        <v/>
      </c>
      <c r="AK1730" s="172" t="str">
        <f t="shared" si="119"/>
        <v/>
      </c>
      <c r="AL1730" s="172" t="str">
        <f t="shared" si="119"/>
        <v/>
      </c>
      <c r="AM1730" s="172" t="str">
        <f t="shared" si="119"/>
        <v/>
      </c>
      <c r="AN1730" s="172" t="str">
        <f t="shared" si="119"/>
        <v/>
      </c>
      <c r="AO1730" s="172" t="str">
        <f t="shared" si="119"/>
        <v/>
      </c>
      <c r="AP1730" s="172" t="str">
        <f t="shared" si="119"/>
        <v/>
      </c>
      <c r="AQ1730" s="172" t="str">
        <f t="shared" si="119"/>
        <v/>
      </c>
      <c r="AR1730" s="172" t="str">
        <f t="shared" si="119"/>
        <v/>
      </c>
      <c r="AS1730" s="172" t="str">
        <f t="shared" si="119"/>
        <v/>
      </c>
      <c r="AT1730" s="172" t="str">
        <f t="shared" si="119"/>
        <v/>
      </c>
      <c r="AU1730" s="172" t="str">
        <f t="shared" si="119"/>
        <v/>
      </c>
      <c r="AV1730" s="172" t="str">
        <f t="shared" si="119"/>
        <v/>
      </c>
      <c r="AW1730" s="172" t="str">
        <f t="shared" si="119"/>
        <v/>
      </c>
      <c r="AX1730" s="172" t="str">
        <f t="shared" si="119"/>
        <v/>
      </c>
      <c r="AY1730" s="172" t="str">
        <f t="shared" si="119"/>
        <v/>
      </c>
      <c r="AZ1730" s="172" t="str">
        <f t="shared" si="119"/>
        <v/>
      </c>
      <c r="BA1730" s="172" t="str">
        <f t="shared" si="119"/>
        <v/>
      </c>
      <c r="BB1730" s="172" t="str">
        <f t="shared" si="119"/>
        <v/>
      </c>
      <c r="BD1730" s="159">
        <f t="shared" si="112"/>
        <v>0</v>
      </c>
      <c r="BP1730" s="171"/>
    </row>
    <row r="1731" spans="1:68" s="22" customFormat="1" hidden="1">
      <c r="A1731" s="61"/>
      <c r="B1731" s="169">
        <v>5</v>
      </c>
      <c r="C1731" s="169">
        <v>1</v>
      </c>
      <c r="D1731" s="169" t="str">
        <f t="shared" si="115"/>
        <v>51</v>
      </c>
      <c r="E1731" s="172" t="str">
        <f t="shared" si="110"/>
        <v/>
      </c>
      <c r="F1731" s="172" t="str">
        <f t="shared" si="119"/>
        <v/>
      </c>
      <c r="G1731" s="172" t="str">
        <f t="shared" si="119"/>
        <v/>
      </c>
      <c r="H1731" s="172" t="str">
        <f t="shared" si="119"/>
        <v/>
      </c>
      <c r="I1731" s="172" t="str">
        <f t="shared" si="119"/>
        <v/>
      </c>
      <c r="J1731" s="172" t="str">
        <f t="shared" si="119"/>
        <v/>
      </c>
      <c r="K1731" s="172" t="str">
        <f t="shared" si="119"/>
        <v/>
      </c>
      <c r="L1731" s="172" t="str">
        <f t="shared" si="119"/>
        <v/>
      </c>
      <c r="M1731" s="172" t="str">
        <f t="shared" si="119"/>
        <v/>
      </c>
      <c r="N1731" s="172" t="str">
        <f t="shared" si="119"/>
        <v/>
      </c>
      <c r="O1731" s="172" t="str">
        <f t="shared" si="119"/>
        <v/>
      </c>
      <c r="P1731" s="172" t="str">
        <f t="shared" si="119"/>
        <v/>
      </c>
      <c r="Q1731" s="172" t="str">
        <f t="shared" si="119"/>
        <v/>
      </c>
      <c r="R1731" s="172" t="str">
        <f t="shared" si="119"/>
        <v/>
      </c>
      <c r="S1731" s="172" t="str">
        <f t="shared" si="119"/>
        <v/>
      </c>
      <c r="T1731" s="172" t="str">
        <f t="shared" si="119"/>
        <v/>
      </c>
      <c r="U1731" s="172">
        <f t="shared" si="119"/>
        <v>86370</v>
      </c>
      <c r="V1731" s="172" t="str">
        <f t="shared" si="119"/>
        <v/>
      </c>
      <c r="W1731" s="172" t="str">
        <f t="shared" si="119"/>
        <v/>
      </c>
      <c r="X1731" s="172" t="str">
        <f t="shared" si="119"/>
        <v/>
      </c>
      <c r="Y1731" s="172" t="str">
        <f t="shared" si="119"/>
        <v/>
      </c>
      <c r="Z1731" s="172" t="str">
        <f t="shared" si="119"/>
        <v/>
      </c>
      <c r="AA1731" s="172" t="str">
        <f t="shared" si="119"/>
        <v/>
      </c>
      <c r="AB1731" s="172" t="str">
        <f t="shared" si="119"/>
        <v/>
      </c>
      <c r="AC1731" s="172" t="str">
        <f t="shared" si="119"/>
        <v/>
      </c>
      <c r="AD1731" s="172" t="str">
        <f t="shared" si="119"/>
        <v/>
      </c>
      <c r="AE1731" s="172" t="str">
        <f t="shared" si="119"/>
        <v/>
      </c>
      <c r="AF1731" s="172" t="str">
        <f t="shared" si="119"/>
        <v/>
      </c>
      <c r="AG1731" s="172" t="str">
        <f t="shared" si="119"/>
        <v/>
      </c>
      <c r="AH1731" s="172" t="str">
        <f t="shared" si="119"/>
        <v/>
      </c>
      <c r="AI1731" s="172" t="str">
        <f t="shared" si="119"/>
        <v/>
      </c>
      <c r="AJ1731" s="172" t="str">
        <f t="shared" si="119"/>
        <v/>
      </c>
      <c r="AK1731" s="172" t="str">
        <f t="shared" si="119"/>
        <v/>
      </c>
      <c r="AL1731" s="172" t="str">
        <f t="shared" si="119"/>
        <v/>
      </c>
      <c r="AM1731" s="172" t="str">
        <f t="shared" si="119"/>
        <v/>
      </c>
      <c r="AN1731" s="172" t="str">
        <f t="shared" si="119"/>
        <v/>
      </c>
      <c r="AO1731" s="172" t="str">
        <f t="shared" si="119"/>
        <v/>
      </c>
      <c r="AP1731" s="172" t="str">
        <f t="shared" si="119"/>
        <v/>
      </c>
      <c r="AQ1731" s="172" t="str">
        <f t="shared" si="119"/>
        <v/>
      </c>
      <c r="AR1731" s="172" t="str">
        <f t="shared" si="119"/>
        <v/>
      </c>
      <c r="AS1731" s="172" t="str">
        <f t="shared" si="119"/>
        <v/>
      </c>
      <c r="AT1731" s="172" t="str">
        <f t="shared" si="119"/>
        <v/>
      </c>
      <c r="AU1731" s="172" t="str">
        <f t="shared" si="119"/>
        <v/>
      </c>
      <c r="AV1731" s="172" t="str">
        <f t="shared" si="119"/>
        <v/>
      </c>
      <c r="AW1731" s="172" t="str">
        <f t="shared" si="119"/>
        <v/>
      </c>
      <c r="AX1731" s="172" t="str">
        <f t="shared" si="119"/>
        <v/>
      </c>
      <c r="AY1731" s="172" t="str">
        <f t="shared" si="119"/>
        <v/>
      </c>
      <c r="AZ1731" s="172" t="str">
        <f t="shared" si="119"/>
        <v/>
      </c>
      <c r="BA1731" s="172" t="str">
        <f t="shared" si="119"/>
        <v/>
      </c>
      <c r="BB1731" s="172" t="str">
        <f t="shared" si="119"/>
        <v/>
      </c>
      <c r="BD1731" s="159">
        <f t="shared" si="112"/>
        <v>86370</v>
      </c>
      <c r="BP1731" s="171"/>
    </row>
    <row r="1732" spans="1:68" s="22" customFormat="1" hidden="1">
      <c r="A1732" s="61"/>
      <c r="B1732" s="169">
        <v>5</v>
      </c>
      <c r="C1732" s="169">
        <v>2</v>
      </c>
      <c r="D1732" s="169" t="str">
        <f t="shared" si="115"/>
        <v>52</v>
      </c>
      <c r="E1732" s="172" t="str">
        <f t="shared" si="110"/>
        <v/>
      </c>
      <c r="F1732" s="172" t="str">
        <f t="shared" si="119"/>
        <v/>
      </c>
      <c r="G1732" s="172" t="str">
        <f t="shared" si="119"/>
        <v/>
      </c>
      <c r="H1732" s="172" t="str">
        <f t="shared" si="119"/>
        <v/>
      </c>
      <c r="I1732" s="172" t="str">
        <f t="shared" si="119"/>
        <v/>
      </c>
      <c r="J1732" s="172" t="str">
        <f t="shared" si="119"/>
        <v/>
      </c>
      <c r="K1732" s="172" t="str">
        <f t="shared" si="119"/>
        <v/>
      </c>
      <c r="L1732" s="172" t="str">
        <f t="shared" si="119"/>
        <v/>
      </c>
      <c r="M1732" s="172" t="str">
        <f t="shared" si="119"/>
        <v/>
      </c>
      <c r="N1732" s="172" t="str">
        <f t="shared" si="119"/>
        <v/>
      </c>
      <c r="O1732" s="172" t="str">
        <f t="shared" si="119"/>
        <v/>
      </c>
      <c r="P1732" s="172" t="str">
        <f t="shared" si="119"/>
        <v/>
      </c>
      <c r="Q1732" s="172" t="str">
        <f t="shared" si="119"/>
        <v/>
      </c>
      <c r="R1732" s="172" t="str">
        <f t="shared" si="119"/>
        <v/>
      </c>
      <c r="S1732" s="172" t="str">
        <f t="shared" si="119"/>
        <v/>
      </c>
      <c r="T1732" s="172" t="str">
        <f t="shared" si="119"/>
        <v/>
      </c>
      <c r="U1732" s="172" t="str">
        <f t="shared" si="119"/>
        <v/>
      </c>
      <c r="V1732" s="172">
        <f t="shared" si="119"/>
        <v>22750</v>
      </c>
      <c r="W1732" s="172">
        <f t="shared" si="119"/>
        <v>25935</v>
      </c>
      <c r="X1732" s="172" t="str">
        <f t="shared" si="119"/>
        <v/>
      </c>
      <c r="Y1732" s="172" t="str">
        <f t="shared" si="119"/>
        <v/>
      </c>
      <c r="Z1732" s="172" t="str">
        <f t="shared" si="119"/>
        <v/>
      </c>
      <c r="AA1732" s="172" t="str">
        <f t="shared" si="119"/>
        <v/>
      </c>
      <c r="AB1732" s="172" t="str">
        <f t="shared" si="119"/>
        <v/>
      </c>
      <c r="AC1732" s="172" t="str">
        <f t="shared" si="119"/>
        <v/>
      </c>
      <c r="AD1732" s="172" t="str">
        <f t="shared" si="119"/>
        <v/>
      </c>
      <c r="AE1732" s="172" t="str">
        <f t="shared" si="119"/>
        <v/>
      </c>
      <c r="AF1732" s="172" t="str">
        <f t="shared" si="119"/>
        <v/>
      </c>
      <c r="AG1732" s="172" t="str">
        <f t="shared" si="119"/>
        <v/>
      </c>
      <c r="AH1732" s="172" t="str">
        <f t="shared" si="119"/>
        <v/>
      </c>
      <c r="AI1732" s="172" t="str">
        <f t="shared" si="119"/>
        <v/>
      </c>
      <c r="AJ1732" s="172" t="str">
        <f t="shared" si="119"/>
        <v/>
      </c>
      <c r="AK1732" s="172" t="str">
        <f t="shared" si="119"/>
        <v/>
      </c>
      <c r="AL1732" s="172" t="str">
        <f t="shared" si="119"/>
        <v/>
      </c>
      <c r="AM1732" s="172" t="str">
        <f t="shared" si="119"/>
        <v/>
      </c>
      <c r="AN1732" s="172" t="str">
        <f t="shared" si="119"/>
        <v/>
      </c>
      <c r="AO1732" s="172" t="str">
        <f t="shared" si="119"/>
        <v/>
      </c>
      <c r="AP1732" s="172" t="str">
        <f t="shared" si="119"/>
        <v/>
      </c>
      <c r="AQ1732" s="172" t="str">
        <f t="shared" si="119"/>
        <v/>
      </c>
      <c r="AR1732" s="172" t="str">
        <f t="shared" si="119"/>
        <v/>
      </c>
      <c r="AS1732" s="172" t="str">
        <f t="shared" si="119"/>
        <v/>
      </c>
      <c r="AT1732" s="172" t="str">
        <f t="shared" si="119"/>
        <v/>
      </c>
      <c r="AU1732" s="172" t="str">
        <f t="shared" si="119"/>
        <v/>
      </c>
      <c r="AV1732" s="172" t="str">
        <f t="shared" si="119"/>
        <v/>
      </c>
      <c r="AW1732" s="172" t="str">
        <f t="shared" si="119"/>
        <v/>
      </c>
      <c r="AX1732" s="172" t="str">
        <f t="shared" si="119"/>
        <v/>
      </c>
      <c r="AY1732" s="172" t="str">
        <f t="shared" si="119"/>
        <v/>
      </c>
      <c r="AZ1732" s="172" t="str">
        <f t="shared" si="119"/>
        <v/>
      </c>
      <c r="BA1732" s="172" t="str">
        <f t="shared" si="119"/>
        <v/>
      </c>
      <c r="BB1732" s="172" t="str">
        <f t="shared" si="119"/>
        <v/>
      </c>
      <c r="BD1732" s="159">
        <f t="shared" si="112"/>
        <v>48685</v>
      </c>
      <c r="BP1732" s="171"/>
    </row>
    <row r="1733" spans="1:68" s="22" customFormat="1" hidden="1">
      <c r="A1733" s="61"/>
      <c r="B1733" s="169">
        <v>5</v>
      </c>
      <c r="C1733" s="169">
        <v>3</v>
      </c>
      <c r="D1733" s="169" t="str">
        <f t="shared" si="115"/>
        <v>53</v>
      </c>
      <c r="E1733" s="172" t="str">
        <f t="shared" si="110"/>
        <v/>
      </c>
      <c r="F1733" s="172" t="str">
        <f t="shared" si="119"/>
        <v/>
      </c>
      <c r="G1733" s="172" t="str">
        <f t="shared" si="119"/>
        <v/>
      </c>
      <c r="H1733" s="172" t="str">
        <f t="shared" si="119"/>
        <v/>
      </c>
      <c r="I1733" s="172" t="str">
        <f t="shared" si="119"/>
        <v/>
      </c>
      <c r="J1733" s="172" t="str">
        <f t="shared" si="119"/>
        <v/>
      </c>
      <c r="K1733" s="172" t="str">
        <f t="shared" si="119"/>
        <v/>
      </c>
      <c r="L1733" s="172" t="str">
        <f t="shared" si="119"/>
        <v/>
      </c>
      <c r="M1733" s="172" t="str">
        <f t="shared" si="119"/>
        <v/>
      </c>
      <c r="N1733" s="172" t="str">
        <f t="shared" si="119"/>
        <v/>
      </c>
      <c r="O1733" s="172" t="str">
        <f t="shared" si="119"/>
        <v/>
      </c>
      <c r="P1733" s="172" t="str">
        <f t="shared" si="119"/>
        <v/>
      </c>
      <c r="Q1733" s="172" t="str">
        <f t="shared" si="119"/>
        <v/>
      </c>
      <c r="R1733" s="172" t="str">
        <f t="shared" si="119"/>
        <v/>
      </c>
      <c r="S1733" s="172" t="str">
        <f t="shared" si="119"/>
        <v/>
      </c>
      <c r="T1733" s="172" t="str">
        <f t="shared" si="119"/>
        <v/>
      </c>
      <c r="U1733" s="172" t="str">
        <f t="shared" si="119"/>
        <v/>
      </c>
      <c r="V1733" s="172" t="str">
        <f t="shared" si="119"/>
        <v/>
      </c>
      <c r="W1733" s="172" t="str">
        <f t="shared" si="119"/>
        <v/>
      </c>
      <c r="X1733" s="172" t="str">
        <f t="shared" si="119"/>
        <v/>
      </c>
      <c r="Y1733" s="172" t="str">
        <f t="shared" si="119"/>
        <v/>
      </c>
      <c r="Z1733" s="172" t="str">
        <f t="shared" si="119"/>
        <v/>
      </c>
      <c r="AA1733" s="172" t="str">
        <f t="shared" si="119"/>
        <v/>
      </c>
      <c r="AB1733" s="172" t="str">
        <f t="shared" si="119"/>
        <v/>
      </c>
      <c r="AC1733" s="172" t="str">
        <f t="shared" si="119"/>
        <v/>
      </c>
      <c r="AD1733" s="172" t="str">
        <f t="shared" si="119"/>
        <v/>
      </c>
      <c r="AE1733" s="172" t="str">
        <f t="shared" si="119"/>
        <v/>
      </c>
      <c r="AF1733" s="172" t="str">
        <f t="shared" si="119"/>
        <v/>
      </c>
      <c r="AG1733" s="172" t="str">
        <f t="shared" si="119"/>
        <v/>
      </c>
      <c r="AH1733" s="172" t="str">
        <f t="shared" si="119"/>
        <v/>
      </c>
      <c r="AI1733" s="172" t="str">
        <f t="shared" si="119"/>
        <v/>
      </c>
      <c r="AJ1733" s="172" t="str">
        <f t="shared" si="119"/>
        <v/>
      </c>
      <c r="AK1733" s="172" t="str">
        <f t="shared" si="119"/>
        <v/>
      </c>
      <c r="AL1733" s="172" t="str">
        <f t="shared" si="119"/>
        <v/>
      </c>
      <c r="AM1733" s="172" t="str">
        <f t="shared" si="119"/>
        <v/>
      </c>
      <c r="AN1733" s="172" t="str">
        <f t="shared" si="119"/>
        <v/>
      </c>
      <c r="AO1733" s="172" t="str">
        <f t="shared" si="119"/>
        <v/>
      </c>
      <c r="AP1733" s="172" t="str">
        <f t="shared" si="119"/>
        <v/>
      </c>
      <c r="AQ1733" s="172" t="str">
        <f t="shared" si="119"/>
        <v/>
      </c>
      <c r="AR1733" s="172" t="str">
        <f t="shared" si="119"/>
        <v/>
      </c>
      <c r="AS1733" s="172" t="str">
        <f t="shared" si="119"/>
        <v/>
      </c>
      <c r="AT1733" s="172" t="str">
        <f t="shared" si="119"/>
        <v/>
      </c>
      <c r="AU1733" s="172" t="str">
        <f t="shared" si="119"/>
        <v/>
      </c>
      <c r="AV1733" s="172" t="str">
        <f t="shared" si="119"/>
        <v/>
      </c>
      <c r="AW1733" s="172" t="str">
        <f t="shared" si="119"/>
        <v/>
      </c>
      <c r="AX1733" s="172" t="str">
        <f t="shared" si="119"/>
        <v/>
      </c>
      <c r="AY1733" s="172" t="str">
        <f t="shared" si="119"/>
        <v/>
      </c>
      <c r="AZ1733" s="172" t="str">
        <f t="shared" si="119"/>
        <v/>
      </c>
      <c r="BA1733" s="172" t="str">
        <f t="shared" si="119"/>
        <v/>
      </c>
      <c r="BB1733" s="172" t="str">
        <f t="shared" si="119"/>
        <v/>
      </c>
      <c r="BD1733" s="159">
        <f t="shared" si="112"/>
        <v>0</v>
      </c>
      <c r="BP1733" s="171"/>
    </row>
    <row r="1734" spans="1:68" s="22" customFormat="1" hidden="1">
      <c r="A1734" s="61"/>
      <c r="B1734" s="169">
        <v>5</v>
      </c>
      <c r="C1734" s="169">
        <v>4</v>
      </c>
      <c r="D1734" s="169" t="str">
        <f t="shared" si="115"/>
        <v>54</v>
      </c>
      <c r="E1734" s="172" t="str">
        <f t="shared" si="110"/>
        <v/>
      </c>
      <c r="F1734" s="172" t="str">
        <f t="shared" si="119"/>
        <v/>
      </c>
      <c r="G1734" s="172" t="str">
        <f t="shared" si="119"/>
        <v/>
      </c>
      <c r="H1734" s="172" t="str">
        <f t="shared" si="119"/>
        <v/>
      </c>
      <c r="I1734" s="172" t="str">
        <f t="shared" si="119"/>
        <v/>
      </c>
      <c r="J1734" s="172" t="str">
        <f t="shared" si="119"/>
        <v/>
      </c>
      <c r="K1734" s="172" t="str">
        <f t="shared" si="119"/>
        <v/>
      </c>
      <c r="L1734" s="172" t="str">
        <f t="shared" si="119"/>
        <v/>
      </c>
      <c r="M1734" s="172" t="str">
        <f t="shared" si="119"/>
        <v/>
      </c>
      <c r="N1734" s="172" t="str">
        <f t="shared" si="119"/>
        <v/>
      </c>
      <c r="O1734" s="172" t="str">
        <f t="shared" si="119"/>
        <v/>
      </c>
      <c r="P1734" s="172" t="str">
        <f t="shared" ref="P1734:BB1734" si="120">IF($D1734=P$1709,P$1710,"")</f>
        <v/>
      </c>
      <c r="Q1734" s="172" t="str">
        <f t="shared" si="120"/>
        <v/>
      </c>
      <c r="R1734" s="172" t="str">
        <f t="shared" si="120"/>
        <v/>
      </c>
      <c r="S1734" s="172" t="str">
        <f t="shared" si="120"/>
        <v/>
      </c>
      <c r="T1734" s="172" t="str">
        <f t="shared" si="120"/>
        <v/>
      </c>
      <c r="U1734" s="172" t="str">
        <f t="shared" si="120"/>
        <v/>
      </c>
      <c r="V1734" s="172" t="str">
        <f t="shared" si="120"/>
        <v/>
      </c>
      <c r="W1734" s="172" t="str">
        <f t="shared" si="120"/>
        <v/>
      </c>
      <c r="X1734" s="172" t="str">
        <f t="shared" si="120"/>
        <v/>
      </c>
      <c r="Y1734" s="172" t="str">
        <f t="shared" si="120"/>
        <v/>
      </c>
      <c r="Z1734" s="172" t="str">
        <f t="shared" si="120"/>
        <v/>
      </c>
      <c r="AA1734" s="172" t="str">
        <f t="shared" si="120"/>
        <v/>
      </c>
      <c r="AB1734" s="172" t="str">
        <f t="shared" si="120"/>
        <v/>
      </c>
      <c r="AC1734" s="172" t="str">
        <f t="shared" si="120"/>
        <v/>
      </c>
      <c r="AD1734" s="172" t="str">
        <f t="shared" si="120"/>
        <v/>
      </c>
      <c r="AE1734" s="172" t="str">
        <f t="shared" si="120"/>
        <v/>
      </c>
      <c r="AF1734" s="172" t="str">
        <f t="shared" si="120"/>
        <v/>
      </c>
      <c r="AG1734" s="172" t="str">
        <f t="shared" si="120"/>
        <v/>
      </c>
      <c r="AH1734" s="172" t="str">
        <f t="shared" si="120"/>
        <v/>
      </c>
      <c r="AI1734" s="172" t="str">
        <f t="shared" si="120"/>
        <v/>
      </c>
      <c r="AJ1734" s="172" t="str">
        <f t="shared" si="120"/>
        <v/>
      </c>
      <c r="AK1734" s="172" t="str">
        <f t="shared" si="120"/>
        <v/>
      </c>
      <c r="AL1734" s="172" t="str">
        <f t="shared" si="120"/>
        <v/>
      </c>
      <c r="AM1734" s="172" t="str">
        <f t="shared" si="120"/>
        <v/>
      </c>
      <c r="AN1734" s="172" t="str">
        <f t="shared" si="120"/>
        <v/>
      </c>
      <c r="AO1734" s="172" t="str">
        <f t="shared" si="120"/>
        <v/>
      </c>
      <c r="AP1734" s="172" t="str">
        <f t="shared" si="120"/>
        <v/>
      </c>
      <c r="AQ1734" s="172" t="str">
        <f t="shared" si="120"/>
        <v/>
      </c>
      <c r="AR1734" s="172" t="str">
        <f t="shared" si="120"/>
        <v/>
      </c>
      <c r="AS1734" s="172" t="str">
        <f t="shared" si="120"/>
        <v/>
      </c>
      <c r="AT1734" s="172" t="str">
        <f t="shared" si="120"/>
        <v/>
      </c>
      <c r="AU1734" s="172" t="str">
        <f t="shared" si="120"/>
        <v/>
      </c>
      <c r="AV1734" s="172" t="str">
        <f t="shared" si="120"/>
        <v/>
      </c>
      <c r="AW1734" s="172" t="str">
        <f t="shared" si="120"/>
        <v/>
      </c>
      <c r="AX1734" s="172" t="str">
        <f t="shared" si="120"/>
        <v/>
      </c>
      <c r="AY1734" s="172" t="str">
        <f t="shared" si="120"/>
        <v/>
      </c>
      <c r="AZ1734" s="172" t="str">
        <f t="shared" si="120"/>
        <v/>
      </c>
      <c r="BA1734" s="172" t="str">
        <f t="shared" si="120"/>
        <v/>
      </c>
      <c r="BB1734" s="172" t="str">
        <f t="shared" si="120"/>
        <v/>
      </c>
      <c r="BD1734" s="159">
        <f t="shared" si="112"/>
        <v>0</v>
      </c>
      <c r="BP1734" s="171"/>
    </row>
    <row r="1735" spans="1:68" s="22" customFormat="1" hidden="1">
      <c r="A1735" s="61"/>
      <c r="B1735" s="169">
        <v>5</v>
      </c>
      <c r="C1735" s="169">
        <v>5</v>
      </c>
      <c r="D1735" s="169" t="str">
        <f t="shared" si="115"/>
        <v>55</v>
      </c>
      <c r="E1735" s="172" t="str">
        <f t="shared" si="110"/>
        <v/>
      </c>
      <c r="F1735" s="172" t="str">
        <f t="shared" ref="F1735:BB1735" si="121">IF($D1735=F$1709,F$1710,"")</f>
        <v/>
      </c>
      <c r="G1735" s="172" t="str">
        <f t="shared" si="121"/>
        <v/>
      </c>
      <c r="H1735" s="172" t="str">
        <f t="shared" si="121"/>
        <v/>
      </c>
      <c r="I1735" s="172" t="str">
        <f t="shared" si="121"/>
        <v/>
      </c>
      <c r="J1735" s="172" t="str">
        <f t="shared" si="121"/>
        <v/>
      </c>
      <c r="K1735" s="172" t="str">
        <f t="shared" si="121"/>
        <v/>
      </c>
      <c r="L1735" s="172" t="str">
        <f t="shared" si="121"/>
        <v/>
      </c>
      <c r="M1735" s="172" t="str">
        <f t="shared" si="121"/>
        <v/>
      </c>
      <c r="N1735" s="172" t="str">
        <f t="shared" si="121"/>
        <v/>
      </c>
      <c r="O1735" s="172" t="str">
        <f t="shared" si="121"/>
        <v/>
      </c>
      <c r="P1735" s="172" t="str">
        <f t="shared" si="121"/>
        <v/>
      </c>
      <c r="Q1735" s="172" t="str">
        <f t="shared" si="121"/>
        <v/>
      </c>
      <c r="R1735" s="172" t="str">
        <f t="shared" si="121"/>
        <v/>
      </c>
      <c r="S1735" s="172" t="str">
        <f t="shared" si="121"/>
        <v/>
      </c>
      <c r="T1735" s="172" t="str">
        <f t="shared" si="121"/>
        <v/>
      </c>
      <c r="U1735" s="172" t="str">
        <f t="shared" si="121"/>
        <v/>
      </c>
      <c r="V1735" s="172" t="str">
        <f t="shared" si="121"/>
        <v/>
      </c>
      <c r="W1735" s="172" t="str">
        <f t="shared" si="121"/>
        <v/>
      </c>
      <c r="X1735" s="172" t="str">
        <f t="shared" si="121"/>
        <v/>
      </c>
      <c r="Y1735" s="172" t="str">
        <f t="shared" si="121"/>
        <v/>
      </c>
      <c r="Z1735" s="172" t="str">
        <f t="shared" si="121"/>
        <v/>
      </c>
      <c r="AA1735" s="172" t="str">
        <f t="shared" si="121"/>
        <v/>
      </c>
      <c r="AB1735" s="172" t="str">
        <f t="shared" si="121"/>
        <v/>
      </c>
      <c r="AC1735" s="172" t="str">
        <f t="shared" si="121"/>
        <v/>
      </c>
      <c r="AD1735" s="172" t="str">
        <f t="shared" si="121"/>
        <v/>
      </c>
      <c r="AE1735" s="172" t="str">
        <f t="shared" si="121"/>
        <v/>
      </c>
      <c r="AF1735" s="172" t="str">
        <f t="shared" si="121"/>
        <v/>
      </c>
      <c r="AG1735" s="172" t="str">
        <f t="shared" si="121"/>
        <v/>
      </c>
      <c r="AH1735" s="172" t="str">
        <f t="shared" si="121"/>
        <v/>
      </c>
      <c r="AI1735" s="172" t="str">
        <f t="shared" si="121"/>
        <v/>
      </c>
      <c r="AJ1735" s="172" t="str">
        <f t="shared" si="121"/>
        <v/>
      </c>
      <c r="AK1735" s="172" t="str">
        <f t="shared" si="121"/>
        <v/>
      </c>
      <c r="AL1735" s="172" t="str">
        <f t="shared" si="121"/>
        <v/>
      </c>
      <c r="AM1735" s="172" t="str">
        <f t="shared" si="121"/>
        <v/>
      </c>
      <c r="AN1735" s="172" t="str">
        <f t="shared" si="121"/>
        <v/>
      </c>
      <c r="AO1735" s="172" t="str">
        <f t="shared" si="121"/>
        <v/>
      </c>
      <c r="AP1735" s="172" t="str">
        <f t="shared" si="121"/>
        <v/>
      </c>
      <c r="AQ1735" s="172" t="str">
        <f t="shared" si="121"/>
        <v/>
      </c>
      <c r="AR1735" s="172" t="str">
        <f t="shared" si="121"/>
        <v/>
      </c>
      <c r="AS1735" s="172" t="str">
        <f t="shared" si="121"/>
        <v/>
      </c>
      <c r="AT1735" s="172" t="str">
        <f t="shared" si="121"/>
        <v/>
      </c>
      <c r="AU1735" s="172" t="str">
        <f t="shared" si="121"/>
        <v/>
      </c>
      <c r="AV1735" s="172" t="str">
        <f t="shared" si="121"/>
        <v/>
      </c>
      <c r="AW1735" s="172" t="str">
        <f t="shared" si="121"/>
        <v/>
      </c>
      <c r="AX1735" s="172" t="str">
        <f t="shared" si="121"/>
        <v/>
      </c>
      <c r="AY1735" s="172" t="str">
        <f t="shared" si="121"/>
        <v/>
      </c>
      <c r="AZ1735" s="172" t="str">
        <f t="shared" si="121"/>
        <v/>
      </c>
      <c r="BA1735" s="172" t="str">
        <f t="shared" si="121"/>
        <v/>
      </c>
      <c r="BB1735" s="172" t="str">
        <f t="shared" si="121"/>
        <v/>
      </c>
      <c r="BD1735" s="159">
        <f t="shared" si="112"/>
        <v>0</v>
      </c>
      <c r="BP1735" s="171"/>
    </row>
    <row r="1736" spans="1:68" s="22" customFormat="1" hidden="1">
      <c r="A1736" s="61"/>
      <c r="BP1736" s="171"/>
    </row>
    <row r="1737" spans="1:68" s="22" customFormat="1" hidden="1">
      <c r="A1737" s="61"/>
      <c r="BP1737" s="171"/>
    </row>
    <row r="1738" spans="1:68" s="22" customFormat="1" hidden="1">
      <c r="A1738" s="61"/>
      <c r="BP1738" s="171"/>
    </row>
    <row r="1739" spans="1:68" s="22" customFormat="1" hidden="1">
      <c r="A1739" s="61"/>
      <c r="BP1739" s="171"/>
    </row>
    <row r="1740" spans="1:68" s="22" customFormat="1" hidden="1">
      <c r="A1740" s="61"/>
      <c r="BP1740" s="171"/>
    </row>
    <row r="1741" spans="1:68" s="22" customFormat="1" hidden="1">
      <c r="A1741" s="61"/>
      <c r="BP1741" s="171"/>
    </row>
    <row r="1742" spans="1:68" s="22" customFormat="1" hidden="1">
      <c r="A1742" s="61"/>
      <c r="BP1742" s="171"/>
    </row>
    <row r="1743" spans="1:68" s="22" customFormat="1" hidden="1">
      <c r="A1743" s="61"/>
      <c r="BP1743" s="171"/>
    </row>
    <row r="1744" spans="1:68" s="22" customFormat="1" hidden="1">
      <c r="A1744" s="61"/>
      <c r="BP1744" s="171"/>
    </row>
    <row r="1745" spans="1:68" s="22" customFormat="1" hidden="1">
      <c r="A1745" s="61"/>
      <c r="BP1745" s="171"/>
    </row>
    <row r="1746" spans="1:68" s="22" customFormat="1" hidden="1">
      <c r="A1746" s="61"/>
      <c r="BP1746" s="171"/>
    </row>
    <row r="1747" spans="1:68" s="22" customFormat="1" hidden="1">
      <c r="A1747" s="61"/>
      <c r="BP1747" s="171"/>
    </row>
    <row r="1748" spans="1:68" s="22" customFormat="1" hidden="1">
      <c r="A1748" s="61"/>
      <c r="BP1748" s="171"/>
    </row>
    <row r="1749" spans="1:68" s="22" customFormat="1" hidden="1">
      <c r="A1749" s="61"/>
      <c r="BP1749" s="171"/>
    </row>
    <row r="1750" spans="1:68" s="22" customFormat="1" hidden="1">
      <c r="A1750" s="61"/>
      <c r="BP1750" s="171"/>
    </row>
    <row r="1751" spans="1:68" s="22" customFormat="1" hidden="1">
      <c r="A1751" s="61"/>
      <c r="BP1751" s="171"/>
    </row>
    <row r="1752" spans="1:68" s="22" customFormat="1" hidden="1">
      <c r="A1752" s="61"/>
      <c r="BP1752" s="171"/>
    </row>
    <row r="1753" spans="1:68" s="22" customFormat="1" hidden="1">
      <c r="A1753" s="61"/>
      <c r="BP1753" s="171"/>
    </row>
    <row r="1754" spans="1:68" s="22" customFormat="1" hidden="1">
      <c r="A1754" s="61"/>
      <c r="BP1754" s="171"/>
    </row>
    <row r="1755" spans="1:68" s="22" customFormat="1" hidden="1">
      <c r="A1755" s="61"/>
    </row>
    <row r="1756" spans="1:68" s="22" customFormat="1" hidden="1">
      <c r="A1756" s="61"/>
    </row>
    <row r="1757" spans="1:68" s="22" customFormat="1" hidden="1">
      <c r="A1757" s="61"/>
    </row>
    <row r="1758" spans="1:68" s="22" customFormat="1" hidden="1">
      <c r="A1758" s="61"/>
    </row>
    <row r="1759" spans="1:68" s="22" customFormat="1" hidden="1">
      <c r="A1759" s="61"/>
    </row>
    <row r="1760" spans="1:68" s="22" customFormat="1" hidden="1">
      <c r="A1760" s="61"/>
    </row>
    <row r="1761" spans="1:1" s="22" customFormat="1" hidden="1">
      <c r="A1761" s="61"/>
    </row>
    <row r="1762" spans="1:1" s="22" customFormat="1" hidden="1">
      <c r="A1762" s="61"/>
    </row>
    <row r="1763" spans="1:1" s="22" customFormat="1" hidden="1">
      <c r="A1763" s="61"/>
    </row>
    <row r="1764" spans="1:1" s="22" customFormat="1" hidden="1">
      <c r="A1764" s="61"/>
    </row>
    <row r="1765" spans="1:1" s="22" customFormat="1" hidden="1">
      <c r="A1765" s="61"/>
    </row>
    <row r="1766" spans="1:1" s="22" customFormat="1" hidden="1">
      <c r="A1766" s="61"/>
    </row>
    <row r="1767" spans="1:1" s="22" customFormat="1" hidden="1">
      <c r="A1767" s="61"/>
    </row>
    <row r="1768" spans="1:1" s="22" customFormat="1" hidden="1">
      <c r="A1768" s="61"/>
    </row>
    <row r="1769" spans="1:1" s="22" customFormat="1" hidden="1">
      <c r="A1769" s="61"/>
    </row>
    <row r="1770" spans="1:1" s="22" customFormat="1" hidden="1">
      <c r="A1770" s="61"/>
    </row>
    <row r="1771" spans="1:1" s="22" customFormat="1" hidden="1">
      <c r="A1771" s="61"/>
    </row>
    <row r="1772" spans="1:1" s="22" customFormat="1" hidden="1">
      <c r="A1772" s="61"/>
    </row>
    <row r="1773" spans="1:1" s="22" customFormat="1" hidden="1">
      <c r="A1773" s="61"/>
    </row>
    <row r="1774" spans="1:1" s="22" customFormat="1" hidden="1">
      <c r="A1774" s="61"/>
    </row>
    <row r="1775" spans="1:1" s="22" customFormat="1" hidden="1">
      <c r="A1775" s="61"/>
    </row>
    <row r="1776" spans="1:1" s="22" customFormat="1" hidden="1">
      <c r="A1776" s="61"/>
    </row>
    <row r="1777" spans="1:1" s="22" customFormat="1" hidden="1">
      <c r="A1777" s="61"/>
    </row>
    <row r="1778" spans="1:1" s="22" customFormat="1" hidden="1">
      <c r="A1778" s="61"/>
    </row>
    <row r="1779" spans="1:1" s="22" customFormat="1" hidden="1">
      <c r="A1779" s="61"/>
    </row>
    <row r="1780" spans="1:1" s="22" customFormat="1" hidden="1">
      <c r="A1780" s="61"/>
    </row>
    <row r="1781" spans="1:1" s="22" customFormat="1" hidden="1">
      <c r="A1781" s="61"/>
    </row>
    <row r="1782" spans="1:1" s="22" customFormat="1" hidden="1">
      <c r="A1782" s="61"/>
    </row>
    <row r="1783" spans="1:1" s="22" customFormat="1" hidden="1">
      <c r="A1783" s="61"/>
    </row>
    <row r="1784" spans="1:1" s="22" customFormat="1" hidden="1">
      <c r="A1784" s="61"/>
    </row>
    <row r="1785" spans="1:1" s="22" customFormat="1" hidden="1">
      <c r="A1785" s="61"/>
    </row>
    <row r="1786" spans="1:1" s="22" customFormat="1" hidden="1">
      <c r="A1786" s="61"/>
    </row>
    <row r="1787" spans="1:1" s="22" customFormat="1" hidden="1">
      <c r="A1787" s="61"/>
    </row>
    <row r="1788" spans="1:1" s="22" customFormat="1" hidden="1">
      <c r="A1788" s="61"/>
    </row>
    <row r="1789" spans="1:1" s="22" customFormat="1" hidden="1">
      <c r="A1789" s="61"/>
    </row>
    <row r="1790" spans="1:1" s="22" customFormat="1" hidden="1">
      <c r="A1790" s="61"/>
    </row>
    <row r="1791" spans="1:1" s="22" customFormat="1" hidden="1">
      <c r="A1791" s="61"/>
    </row>
    <row r="1792" spans="1:1" s="22" customFormat="1" hidden="1">
      <c r="A1792" s="61"/>
    </row>
    <row r="1793" spans="1:1" s="22" customFormat="1" hidden="1">
      <c r="A1793" s="61"/>
    </row>
    <row r="1794" spans="1:1" s="22" customFormat="1" hidden="1">
      <c r="A1794" s="61"/>
    </row>
    <row r="1795" spans="1:1" s="22" customFormat="1" hidden="1">
      <c r="A1795" s="61"/>
    </row>
    <row r="1796" spans="1:1" s="22" customFormat="1" hidden="1">
      <c r="A1796" s="61"/>
    </row>
    <row r="1797" spans="1:1" s="22" customFormat="1" hidden="1">
      <c r="A1797" s="61"/>
    </row>
    <row r="1798" spans="1:1" s="22" customFormat="1" hidden="1">
      <c r="A1798" s="61"/>
    </row>
    <row r="1799" spans="1:1" s="22" customFormat="1" hidden="1">
      <c r="A1799" s="61"/>
    </row>
    <row r="1800" spans="1:1" s="22" customFormat="1" hidden="1">
      <c r="A1800" s="61"/>
    </row>
    <row r="1801" spans="1:1" s="22" customFormat="1" hidden="1">
      <c r="A1801" s="61"/>
    </row>
    <row r="1802" spans="1:1" s="22" customFormat="1" hidden="1">
      <c r="A1802" s="61"/>
    </row>
    <row r="1803" spans="1:1" s="22" customFormat="1" hidden="1">
      <c r="A1803" s="61"/>
    </row>
    <row r="1804" spans="1:1" s="22" customFormat="1" hidden="1">
      <c r="A1804" s="61"/>
    </row>
    <row r="1805" spans="1:1" s="22" customFormat="1" hidden="1">
      <c r="A1805" s="61"/>
    </row>
    <row r="1806" spans="1:1" s="22" customFormat="1" hidden="1">
      <c r="A1806" s="61"/>
    </row>
    <row r="1807" spans="1:1" s="22" customFormat="1" hidden="1">
      <c r="A1807" s="61"/>
    </row>
    <row r="1808" spans="1:1" s="22" customFormat="1" hidden="1">
      <c r="A1808" s="61"/>
    </row>
    <row r="1809" spans="1:1" s="22" customFormat="1" hidden="1">
      <c r="A1809" s="61"/>
    </row>
    <row r="1810" spans="1:1" s="22" customFormat="1" hidden="1">
      <c r="A1810" s="61"/>
    </row>
    <row r="1811" spans="1:1" s="22" customFormat="1" hidden="1">
      <c r="A1811" s="61"/>
    </row>
    <row r="1812" spans="1:1" s="22" customFormat="1" hidden="1">
      <c r="A1812" s="61"/>
    </row>
    <row r="1813" spans="1:1" s="22" customFormat="1" hidden="1">
      <c r="A1813" s="61"/>
    </row>
    <row r="1814" spans="1:1" s="22" customFormat="1" hidden="1">
      <c r="A1814" s="61"/>
    </row>
    <row r="1815" spans="1:1" s="22" customFormat="1" hidden="1">
      <c r="A1815" s="61"/>
    </row>
    <row r="1816" spans="1:1" s="22" customFormat="1" hidden="1">
      <c r="A1816" s="61"/>
    </row>
    <row r="1817" spans="1:1" s="22" customFormat="1" hidden="1">
      <c r="A1817" s="61"/>
    </row>
    <row r="1818" spans="1:1" s="22" customFormat="1" hidden="1">
      <c r="A1818" s="61"/>
    </row>
    <row r="1819" spans="1:1" s="22" customFormat="1" hidden="1">
      <c r="A1819" s="61"/>
    </row>
    <row r="1820" spans="1:1" s="22" customFormat="1" hidden="1">
      <c r="A1820" s="61"/>
    </row>
    <row r="1821" spans="1:1" s="22" customFormat="1" hidden="1">
      <c r="A1821" s="61"/>
    </row>
    <row r="1822" spans="1:1" s="22" customFormat="1" hidden="1">
      <c r="A1822" s="61"/>
    </row>
    <row r="1823" spans="1:1" s="22" customFormat="1" hidden="1">
      <c r="A1823" s="61"/>
    </row>
    <row r="1824" spans="1:1" s="22" customFormat="1" hidden="1">
      <c r="A1824" s="61"/>
    </row>
    <row r="1825" spans="1:1" s="22" customFormat="1" hidden="1">
      <c r="A1825" s="61"/>
    </row>
    <row r="1826" spans="1:1" s="22" customFormat="1" hidden="1">
      <c r="A1826" s="61"/>
    </row>
    <row r="1827" spans="1:1" s="22" customFormat="1" hidden="1">
      <c r="A1827" s="61"/>
    </row>
    <row r="1828" spans="1:1" s="22" customFormat="1" hidden="1">
      <c r="A1828" s="61"/>
    </row>
    <row r="1829" spans="1:1" s="22" customFormat="1" hidden="1">
      <c r="A1829" s="61"/>
    </row>
    <row r="1830" spans="1:1" s="22" customFormat="1" hidden="1">
      <c r="A1830" s="61"/>
    </row>
    <row r="1831" spans="1:1" s="22" customFormat="1" hidden="1">
      <c r="A1831" s="61"/>
    </row>
    <row r="1832" spans="1:1" s="22" customFormat="1" hidden="1">
      <c r="A1832" s="61"/>
    </row>
    <row r="1833" spans="1:1" s="22" customFormat="1" hidden="1">
      <c r="A1833" s="61"/>
    </row>
    <row r="1834" spans="1:1" s="22" customFormat="1" hidden="1">
      <c r="A1834" s="61"/>
    </row>
    <row r="1835" spans="1:1" s="22" customFormat="1" hidden="1">
      <c r="A1835" s="61"/>
    </row>
    <row r="1836" spans="1:1" s="22" customFormat="1" hidden="1">
      <c r="A1836" s="61"/>
    </row>
    <row r="1837" spans="1:1" s="22" customFormat="1" hidden="1">
      <c r="A1837" s="61"/>
    </row>
    <row r="1838" spans="1:1" s="22" customFormat="1" hidden="1">
      <c r="A1838" s="61"/>
    </row>
    <row r="1839" spans="1:1" s="22" customFormat="1" hidden="1">
      <c r="A1839" s="61"/>
    </row>
    <row r="1840" spans="1:1" s="22" customFormat="1" hidden="1">
      <c r="A1840" s="61"/>
    </row>
    <row r="1841" spans="1:1" s="22" customFormat="1" hidden="1">
      <c r="A1841" s="61"/>
    </row>
    <row r="1842" spans="1:1" s="22" customFormat="1" hidden="1">
      <c r="A1842" s="61"/>
    </row>
    <row r="1843" spans="1:1" s="22" customFormat="1" hidden="1">
      <c r="A1843" s="61"/>
    </row>
    <row r="1844" spans="1:1" s="22" customFormat="1" hidden="1">
      <c r="A1844" s="61"/>
    </row>
    <row r="1845" spans="1:1" s="22" customFormat="1" hidden="1">
      <c r="A1845" s="61"/>
    </row>
    <row r="1846" spans="1:1" s="22" customFormat="1" hidden="1">
      <c r="A1846" s="61"/>
    </row>
    <row r="1847" spans="1:1" s="22" customFormat="1" hidden="1">
      <c r="A1847" s="61"/>
    </row>
    <row r="1848" spans="1:1" s="22" customFormat="1" hidden="1">
      <c r="A1848" s="61"/>
    </row>
    <row r="1849" spans="1:1" s="22" customFormat="1" hidden="1">
      <c r="A1849" s="61"/>
    </row>
    <row r="1850" spans="1:1" s="22" customFormat="1" hidden="1">
      <c r="A1850" s="61"/>
    </row>
    <row r="1851" spans="1:1" s="22" customFormat="1" hidden="1">
      <c r="A1851" s="61"/>
    </row>
    <row r="1852" spans="1:1" s="22" customFormat="1" hidden="1">
      <c r="A1852" s="61"/>
    </row>
    <row r="1853" spans="1:1" s="22" customFormat="1" hidden="1">
      <c r="A1853" s="61"/>
    </row>
    <row r="1854" spans="1:1" s="22" customFormat="1" hidden="1">
      <c r="A1854" s="61"/>
    </row>
    <row r="1855" spans="1:1" s="22" customFormat="1" hidden="1">
      <c r="A1855" s="61"/>
    </row>
    <row r="1856" spans="1:1" s="22" customFormat="1" hidden="1">
      <c r="A1856" s="61"/>
    </row>
    <row r="1857" spans="1:1" s="22" customFormat="1" hidden="1">
      <c r="A1857" s="61"/>
    </row>
    <row r="1858" spans="1:1" s="22" customFormat="1" hidden="1">
      <c r="A1858" s="61"/>
    </row>
    <row r="1859" spans="1:1" s="22" customFormat="1" hidden="1">
      <c r="A1859" s="61"/>
    </row>
    <row r="1860" spans="1:1" s="22" customFormat="1" hidden="1">
      <c r="A1860" s="61"/>
    </row>
    <row r="1861" spans="1:1" s="22" customFormat="1" hidden="1">
      <c r="A1861" s="61"/>
    </row>
    <row r="1862" spans="1:1" s="22" customFormat="1" hidden="1">
      <c r="A1862" s="61"/>
    </row>
    <row r="1863" spans="1:1" s="22" customFormat="1" hidden="1">
      <c r="A1863" s="61"/>
    </row>
    <row r="1864" spans="1:1" s="22" customFormat="1" hidden="1">
      <c r="A1864" s="61"/>
    </row>
    <row r="1865" spans="1:1" s="22" customFormat="1" hidden="1">
      <c r="A1865" s="61"/>
    </row>
    <row r="1866" spans="1:1" s="22" customFormat="1" hidden="1">
      <c r="A1866" s="61"/>
    </row>
    <row r="1867" spans="1:1" s="22" customFormat="1" hidden="1">
      <c r="A1867" s="61"/>
    </row>
    <row r="1868" spans="1:1" s="22" customFormat="1" hidden="1">
      <c r="A1868" s="61"/>
    </row>
    <row r="1869" spans="1:1" s="22" customFormat="1" hidden="1">
      <c r="A1869" s="61"/>
    </row>
    <row r="1870" spans="1:1" s="22" customFormat="1" hidden="1">
      <c r="A1870" s="61"/>
    </row>
    <row r="1871" spans="1:1" s="22" customFormat="1" hidden="1">
      <c r="A1871" s="61"/>
    </row>
    <row r="1872" spans="1:1" s="22" customFormat="1" hidden="1">
      <c r="A1872" s="61"/>
    </row>
    <row r="1873" spans="1:1" s="22" customFormat="1" hidden="1">
      <c r="A1873" s="61"/>
    </row>
    <row r="1874" spans="1:1" s="22" customFormat="1" hidden="1">
      <c r="A1874" s="61"/>
    </row>
    <row r="1875" spans="1:1" s="22" customFormat="1" hidden="1">
      <c r="A1875" s="61"/>
    </row>
    <row r="1876" spans="1:1" s="22" customFormat="1" hidden="1">
      <c r="A1876" s="61"/>
    </row>
    <row r="1877" spans="1:1" s="22" customFormat="1" hidden="1">
      <c r="A1877" s="61"/>
    </row>
    <row r="1878" spans="1:1" s="22" customFormat="1" hidden="1">
      <c r="A1878" s="61"/>
    </row>
    <row r="1879" spans="1:1" s="22" customFormat="1" hidden="1">
      <c r="A1879" s="61"/>
    </row>
    <row r="1880" spans="1:1" s="22" customFormat="1" hidden="1">
      <c r="A1880" s="61"/>
    </row>
    <row r="1881" spans="1:1" s="22" customFormat="1" hidden="1">
      <c r="A1881" s="61"/>
    </row>
    <row r="1882" spans="1:1" s="22" customFormat="1" hidden="1">
      <c r="A1882" s="61"/>
    </row>
    <row r="1883" spans="1:1" s="22" customFormat="1" hidden="1">
      <c r="A1883" s="61"/>
    </row>
    <row r="1884" spans="1:1" s="22" customFormat="1" hidden="1">
      <c r="A1884" s="61"/>
    </row>
    <row r="1885" spans="1:1" s="22" customFormat="1" hidden="1">
      <c r="A1885" s="61"/>
    </row>
    <row r="1886" spans="1:1" s="22" customFormat="1" hidden="1">
      <c r="A1886" s="61"/>
    </row>
    <row r="1887" spans="1:1" s="22" customFormat="1" hidden="1">
      <c r="A1887" s="61"/>
    </row>
    <row r="1888" spans="1:1" s="22" customFormat="1" hidden="1">
      <c r="A1888" s="61"/>
    </row>
    <row r="1889" spans="1:1" s="22" customFormat="1" hidden="1">
      <c r="A1889" s="61"/>
    </row>
    <row r="1890" spans="1:1" s="22" customFormat="1" hidden="1">
      <c r="A1890" s="61"/>
    </row>
    <row r="1891" spans="1:1" s="22" customFormat="1" hidden="1">
      <c r="A1891" s="61"/>
    </row>
    <row r="1892" spans="1:1" s="22" customFormat="1" hidden="1">
      <c r="A1892" s="61"/>
    </row>
    <row r="1893" spans="1:1" s="22" customFormat="1" hidden="1">
      <c r="A1893" s="61"/>
    </row>
    <row r="1894" spans="1:1" s="22" customFormat="1" hidden="1">
      <c r="A1894" s="61"/>
    </row>
    <row r="1895" spans="1:1" s="22" customFormat="1" hidden="1">
      <c r="A1895" s="61"/>
    </row>
    <row r="1896" spans="1:1" s="22" customFormat="1" hidden="1">
      <c r="A1896" s="61"/>
    </row>
    <row r="1897" spans="1:1" s="22" customFormat="1" hidden="1">
      <c r="A1897" s="61"/>
    </row>
    <row r="1898" spans="1:1" s="22" customFormat="1" hidden="1">
      <c r="A1898" s="61"/>
    </row>
    <row r="1899" spans="1:1" s="22" customFormat="1" hidden="1">
      <c r="A1899" s="61"/>
    </row>
    <row r="1900" spans="1:1" s="22" customFormat="1" hidden="1">
      <c r="A1900" s="61"/>
    </row>
    <row r="1901" spans="1:1" s="22" customFormat="1" hidden="1">
      <c r="A1901" s="61"/>
    </row>
    <row r="1902" spans="1:1" s="22" customFormat="1" hidden="1">
      <c r="A1902" s="61"/>
    </row>
    <row r="1903" spans="1:1" s="22" customFormat="1" hidden="1">
      <c r="A1903" s="61"/>
    </row>
    <row r="1904" spans="1:1" s="22" customFormat="1" hidden="1">
      <c r="A1904" s="61"/>
    </row>
    <row r="1905" spans="1:1" s="22" customFormat="1" hidden="1">
      <c r="A1905" s="61"/>
    </row>
    <row r="1906" spans="1:1" s="22" customFormat="1" hidden="1">
      <c r="A1906" s="61"/>
    </row>
    <row r="1907" spans="1:1" s="22" customFormat="1" hidden="1">
      <c r="A1907" s="61"/>
    </row>
    <row r="1908" spans="1:1" s="22" customFormat="1" hidden="1">
      <c r="A1908" s="61"/>
    </row>
    <row r="1909" spans="1:1" s="22" customFormat="1" hidden="1">
      <c r="A1909" s="61"/>
    </row>
    <row r="1910" spans="1:1" s="22" customFormat="1" hidden="1">
      <c r="A1910" s="61"/>
    </row>
    <row r="1911" spans="1:1" s="22" customFormat="1" hidden="1">
      <c r="A1911" s="61"/>
    </row>
    <row r="1912" spans="1:1" s="22" customFormat="1" hidden="1">
      <c r="A1912" s="61"/>
    </row>
    <row r="1913" spans="1:1" s="22" customFormat="1" hidden="1">
      <c r="A1913" s="61"/>
    </row>
    <row r="1914" spans="1:1" s="22" customFormat="1" hidden="1">
      <c r="A1914" s="61"/>
    </row>
    <row r="1915" spans="1:1" s="22" customFormat="1" hidden="1">
      <c r="A1915" s="61"/>
    </row>
    <row r="1916" spans="1:1" s="22" customFormat="1" hidden="1">
      <c r="A1916" s="61"/>
    </row>
    <row r="1917" spans="1:1" s="22" customFormat="1" hidden="1">
      <c r="A1917" s="61"/>
    </row>
    <row r="1918" spans="1:1" s="22" customFormat="1" hidden="1">
      <c r="A1918" s="61"/>
    </row>
    <row r="1919" spans="1:1" s="22" customFormat="1" hidden="1">
      <c r="A1919" s="61"/>
    </row>
    <row r="1920" spans="1:1" s="22" customFormat="1" hidden="1">
      <c r="A1920" s="61"/>
    </row>
    <row r="1921" spans="1:1" s="22" customFormat="1" hidden="1">
      <c r="A1921" s="61"/>
    </row>
    <row r="1922" spans="1:1" s="22" customFormat="1" hidden="1">
      <c r="A1922" s="61"/>
    </row>
    <row r="1923" spans="1:1" s="22" customFormat="1" hidden="1">
      <c r="A1923" s="61"/>
    </row>
    <row r="1924" spans="1:1" s="22" customFormat="1" hidden="1">
      <c r="A1924" s="61"/>
    </row>
    <row r="1925" spans="1:1" s="22" customFormat="1" hidden="1">
      <c r="A1925" s="61"/>
    </row>
    <row r="1926" spans="1:1" s="22" customFormat="1" hidden="1">
      <c r="A1926" s="61"/>
    </row>
    <row r="1927" spans="1:1" s="22" customFormat="1" hidden="1">
      <c r="A1927" s="61"/>
    </row>
    <row r="1928" spans="1:1" s="22" customFormat="1" hidden="1">
      <c r="A1928" s="61"/>
    </row>
    <row r="1929" spans="1:1" s="22" customFormat="1" hidden="1">
      <c r="A1929" s="61"/>
    </row>
    <row r="1930" spans="1:1" s="22" customFormat="1" hidden="1">
      <c r="A1930" s="61"/>
    </row>
    <row r="1931" spans="1:1" s="22" customFormat="1" hidden="1">
      <c r="A1931" s="61"/>
    </row>
    <row r="1932" spans="1:1" s="22" customFormat="1" hidden="1">
      <c r="A1932" s="61"/>
    </row>
    <row r="1933" spans="1:1" s="22" customFormat="1" hidden="1">
      <c r="A1933" s="61"/>
    </row>
    <row r="1934" spans="1:1" s="22" customFormat="1" hidden="1">
      <c r="A1934" s="61"/>
    </row>
    <row r="1935" spans="1:1" s="22" customFormat="1" hidden="1">
      <c r="A1935" s="61"/>
    </row>
    <row r="1936" spans="1:1" s="22" customFormat="1" hidden="1">
      <c r="A1936" s="61"/>
    </row>
    <row r="1937" spans="1:1" s="22" customFormat="1" hidden="1">
      <c r="A1937" s="61"/>
    </row>
    <row r="1938" spans="1:1" s="22" customFormat="1" hidden="1">
      <c r="A1938" s="61"/>
    </row>
    <row r="1939" spans="1:1" s="22" customFormat="1" hidden="1">
      <c r="A1939" s="61"/>
    </row>
    <row r="1940" spans="1:1" s="22" customFormat="1" hidden="1">
      <c r="A1940" s="61"/>
    </row>
    <row r="1941" spans="1:1" s="22" customFormat="1" hidden="1">
      <c r="A1941" s="61"/>
    </row>
    <row r="1942" spans="1:1" s="22" customFormat="1" hidden="1">
      <c r="A1942" s="61"/>
    </row>
    <row r="1943" spans="1:1" s="22" customFormat="1" hidden="1">
      <c r="A1943" s="61"/>
    </row>
    <row r="1944" spans="1:1" s="22" customFormat="1" hidden="1">
      <c r="A1944" s="61"/>
    </row>
    <row r="1945" spans="1:1" s="22" customFormat="1" hidden="1">
      <c r="A1945" s="61"/>
    </row>
    <row r="1946" spans="1:1" s="22" customFormat="1" hidden="1">
      <c r="A1946" s="61"/>
    </row>
    <row r="1947" spans="1:1" s="22" customFormat="1" hidden="1">
      <c r="A1947" s="61"/>
    </row>
    <row r="1948" spans="1:1" s="22" customFormat="1" hidden="1">
      <c r="A1948" s="61"/>
    </row>
    <row r="1949" spans="1:1" s="22" customFormat="1" hidden="1">
      <c r="A1949" s="61"/>
    </row>
    <row r="1950" spans="1:1" s="22" customFormat="1" hidden="1">
      <c r="A1950" s="61"/>
    </row>
    <row r="1951" spans="1:1" s="22" customFormat="1" hidden="1">
      <c r="A1951" s="61"/>
    </row>
    <row r="1952" spans="1:1" s="22" customFormat="1" hidden="1">
      <c r="A1952" s="61"/>
    </row>
    <row r="1953" spans="1:1" s="22" customFormat="1" hidden="1">
      <c r="A1953" s="61"/>
    </row>
    <row r="1954" spans="1:1" s="22" customFormat="1" hidden="1">
      <c r="A1954" s="61"/>
    </row>
    <row r="1955" spans="1:1" s="22" customFormat="1" hidden="1">
      <c r="A1955" s="61"/>
    </row>
    <row r="1956" spans="1:1" s="22" customFormat="1" hidden="1">
      <c r="A1956" s="61"/>
    </row>
    <row r="1957" spans="1:1" s="22" customFormat="1" hidden="1">
      <c r="A1957" s="61"/>
    </row>
    <row r="1958" spans="1:1" s="22" customFormat="1" hidden="1">
      <c r="A1958" s="61"/>
    </row>
    <row r="1959" spans="1:1" s="22" customFormat="1" hidden="1">
      <c r="A1959" s="61"/>
    </row>
    <row r="1960" spans="1:1" s="22" customFormat="1" hidden="1">
      <c r="A1960" s="61"/>
    </row>
    <row r="1961" spans="1:1" s="22" customFormat="1" hidden="1">
      <c r="A1961" s="61"/>
    </row>
    <row r="1962" spans="1:1" s="22" customFormat="1" hidden="1">
      <c r="A1962" s="61"/>
    </row>
    <row r="1963" spans="1:1" s="22" customFormat="1" hidden="1">
      <c r="A1963" s="61"/>
    </row>
    <row r="1964" spans="1:1" s="22" customFormat="1" hidden="1">
      <c r="A1964" s="61"/>
    </row>
    <row r="1965" spans="1:1" s="22" customFormat="1" hidden="1">
      <c r="A1965" s="61"/>
    </row>
    <row r="1966" spans="1:1" s="22" customFormat="1" hidden="1">
      <c r="A1966" s="61"/>
    </row>
    <row r="1967" spans="1:1" s="22" customFormat="1" hidden="1">
      <c r="A1967" s="61"/>
    </row>
    <row r="1968" spans="1:1" s="22" customFormat="1" hidden="1">
      <c r="A1968" s="61"/>
    </row>
    <row r="1969" spans="1:1" s="22" customFormat="1" hidden="1">
      <c r="A1969" s="61"/>
    </row>
    <row r="1970" spans="1:1" s="22" customFormat="1" hidden="1">
      <c r="A1970" s="61"/>
    </row>
    <row r="1971" spans="1:1" s="22" customFormat="1" hidden="1">
      <c r="A1971" s="61"/>
    </row>
    <row r="1972" spans="1:1" s="22" customFormat="1" hidden="1">
      <c r="A1972" s="61"/>
    </row>
    <row r="1973" spans="1:1" s="22" customFormat="1" hidden="1">
      <c r="A1973" s="61"/>
    </row>
    <row r="1974" spans="1:1" s="22" customFormat="1" hidden="1">
      <c r="A1974" s="61"/>
    </row>
    <row r="1975" spans="1:1" s="22" customFormat="1" hidden="1">
      <c r="A1975" s="61"/>
    </row>
    <row r="1976" spans="1:1" s="22" customFormat="1" hidden="1">
      <c r="A1976" s="61"/>
    </row>
    <row r="1977" spans="1:1" s="22" customFormat="1" hidden="1">
      <c r="A1977" s="61"/>
    </row>
    <row r="1978" spans="1:1" s="22" customFormat="1" hidden="1">
      <c r="A1978" s="61"/>
    </row>
    <row r="1979" spans="1:1" s="22" customFormat="1" hidden="1">
      <c r="A1979" s="61"/>
    </row>
    <row r="1980" spans="1:1" s="22" customFormat="1" hidden="1">
      <c r="A1980" s="61"/>
    </row>
    <row r="1981" spans="1:1" s="22" customFormat="1" hidden="1">
      <c r="A1981" s="61"/>
    </row>
    <row r="1982" spans="1:1" s="22" customFormat="1" hidden="1">
      <c r="A1982" s="61"/>
    </row>
    <row r="1983" spans="1:1" s="22" customFormat="1" hidden="1">
      <c r="A1983" s="61"/>
    </row>
    <row r="1984" spans="1:1" s="22" customFormat="1" hidden="1">
      <c r="A1984" s="61"/>
    </row>
    <row r="1985" spans="1:1" s="22" customFormat="1" hidden="1">
      <c r="A1985" s="61"/>
    </row>
    <row r="1986" spans="1:1" s="22" customFormat="1" hidden="1">
      <c r="A1986" s="61"/>
    </row>
    <row r="1987" spans="1:1" s="22" customFormat="1" hidden="1">
      <c r="A1987" s="61"/>
    </row>
    <row r="1988" spans="1:1" s="22" customFormat="1" hidden="1">
      <c r="A1988" s="61"/>
    </row>
    <row r="1989" spans="1:1" s="22" customFormat="1" hidden="1">
      <c r="A1989" s="61"/>
    </row>
    <row r="1990" spans="1:1" s="22" customFormat="1" hidden="1">
      <c r="A1990" s="61"/>
    </row>
    <row r="1991" spans="1:1" s="22" customFormat="1" hidden="1">
      <c r="A1991" s="61"/>
    </row>
    <row r="1992" spans="1:1" s="22" customFormat="1" hidden="1">
      <c r="A1992" s="61"/>
    </row>
    <row r="1993" spans="1:1" s="22" customFormat="1" hidden="1">
      <c r="A1993" s="61"/>
    </row>
    <row r="1994" spans="1:1" s="22" customFormat="1" hidden="1">
      <c r="A1994" s="61"/>
    </row>
    <row r="1995" spans="1:1" s="22" customFormat="1" hidden="1">
      <c r="A1995" s="61"/>
    </row>
    <row r="1996" spans="1:1" s="22" customFormat="1" hidden="1">
      <c r="A1996" s="61"/>
    </row>
    <row r="1997" spans="1:1" s="22" customFormat="1" hidden="1">
      <c r="A1997" s="61"/>
    </row>
    <row r="1998" spans="1:1" s="22" customFormat="1" hidden="1">
      <c r="A1998" s="61"/>
    </row>
    <row r="1999" spans="1:1" s="22" customFormat="1" hidden="1">
      <c r="A1999" s="61"/>
    </row>
    <row r="2000" spans="1:1" s="22" customFormat="1" hidden="1">
      <c r="A2000" s="61"/>
    </row>
    <row r="2001" spans="1:1" s="22" customFormat="1" hidden="1">
      <c r="A2001" s="61"/>
    </row>
    <row r="2002" spans="1:1" s="22" customFormat="1" hidden="1">
      <c r="A2002" s="61"/>
    </row>
    <row r="2003" spans="1:1" s="22" customFormat="1" hidden="1">
      <c r="A2003" s="61"/>
    </row>
    <row r="2004" spans="1:1" s="22" customFormat="1" hidden="1">
      <c r="A2004" s="61"/>
    </row>
    <row r="2005" spans="1:1" s="22" customFormat="1" hidden="1">
      <c r="A2005" s="61"/>
    </row>
    <row r="2006" spans="1:1" s="22" customFormat="1" hidden="1">
      <c r="A2006" s="61"/>
    </row>
    <row r="2007" spans="1:1" s="22" customFormat="1" hidden="1">
      <c r="A2007" s="61"/>
    </row>
    <row r="2008" spans="1:1" s="22" customFormat="1" hidden="1">
      <c r="A2008" s="61"/>
    </row>
    <row r="2009" spans="1:1" s="22" customFormat="1" hidden="1">
      <c r="A2009" s="61"/>
    </row>
    <row r="2010" spans="1:1" s="22" customFormat="1" hidden="1">
      <c r="A2010" s="61"/>
    </row>
    <row r="2011" spans="1:1" s="22" customFormat="1" hidden="1">
      <c r="A2011" s="61"/>
    </row>
    <row r="2012" spans="1:1" s="22" customFormat="1" hidden="1">
      <c r="A2012" s="61"/>
    </row>
    <row r="2013" spans="1:1" s="22" customFormat="1" hidden="1">
      <c r="A2013" s="61"/>
    </row>
    <row r="2014" spans="1:1" s="22" customFormat="1" hidden="1">
      <c r="A2014" s="61"/>
    </row>
    <row r="2015" spans="1:1" s="22" customFormat="1" hidden="1">
      <c r="A2015" s="61"/>
    </row>
    <row r="2016" spans="1:1" s="22" customFormat="1" hidden="1">
      <c r="A2016" s="61"/>
    </row>
    <row r="2017" spans="1:1" s="22" customFormat="1" hidden="1">
      <c r="A2017" s="61"/>
    </row>
    <row r="2018" spans="1:1" s="22" customFormat="1" hidden="1">
      <c r="A2018" s="61"/>
    </row>
    <row r="2019" spans="1:1" s="22" customFormat="1" hidden="1">
      <c r="A2019" s="61"/>
    </row>
    <row r="2020" spans="1:1" s="22" customFormat="1" hidden="1">
      <c r="A2020" s="61"/>
    </row>
    <row r="2021" spans="1:1" s="22" customFormat="1" hidden="1">
      <c r="A2021" s="61"/>
    </row>
    <row r="2022" spans="1:1" s="22" customFormat="1" hidden="1">
      <c r="A2022" s="61"/>
    </row>
    <row r="2023" spans="1:1" s="22" customFormat="1" hidden="1">
      <c r="A2023" s="61"/>
    </row>
    <row r="2024" spans="1:1" s="22" customFormat="1" hidden="1">
      <c r="A2024" s="61"/>
    </row>
    <row r="2025" spans="1:1" s="22" customFormat="1" hidden="1">
      <c r="A2025" s="61"/>
    </row>
    <row r="2026" spans="1:1" s="22" customFormat="1" hidden="1">
      <c r="A2026" s="61"/>
    </row>
    <row r="2027" spans="1:1" s="22" customFormat="1" hidden="1">
      <c r="A2027" s="61"/>
    </row>
    <row r="2028" spans="1:1" s="22" customFormat="1" hidden="1">
      <c r="A2028" s="61"/>
    </row>
    <row r="2029" spans="1:1" s="22" customFormat="1" hidden="1">
      <c r="A2029" s="61"/>
    </row>
    <row r="2030" spans="1:1" s="22" customFormat="1" hidden="1">
      <c r="A2030" s="61"/>
    </row>
    <row r="2031" spans="1:1" s="22" customFormat="1" hidden="1">
      <c r="A2031" s="61"/>
    </row>
    <row r="2032" spans="1:1" s="22" customFormat="1" hidden="1">
      <c r="A2032" s="61"/>
    </row>
    <row r="2033" spans="1:1" s="22" customFormat="1" hidden="1">
      <c r="A2033" s="61"/>
    </row>
    <row r="2034" spans="1:1" s="22" customFormat="1" hidden="1">
      <c r="A2034" s="61"/>
    </row>
    <row r="2035" spans="1:1" s="22" customFormat="1" hidden="1">
      <c r="A2035" s="61"/>
    </row>
    <row r="2036" spans="1:1" s="22" customFormat="1" hidden="1">
      <c r="A2036" s="61"/>
    </row>
    <row r="2037" spans="1:1" s="22" customFormat="1" hidden="1">
      <c r="A2037" s="61"/>
    </row>
    <row r="2038" spans="1:1" s="22" customFormat="1" hidden="1">
      <c r="A2038" s="61"/>
    </row>
    <row r="2039" spans="1:1" s="22" customFormat="1" hidden="1">
      <c r="A2039" s="61"/>
    </row>
    <row r="2040" spans="1:1" s="22" customFormat="1" hidden="1">
      <c r="A2040" s="61"/>
    </row>
    <row r="2041" spans="1:1" s="22" customFormat="1" hidden="1">
      <c r="A2041" s="61"/>
    </row>
    <row r="2042" spans="1:1" s="22" customFormat="1" hidden="1">
      <c r="A2042" s="61"/>
    </row>
    <row r="2043" spans="1:1" s="22" customFormat="1" hidden="1">
      <c r="A2043" s="61"/>
    </row>
    <row r="2044" spans="1:1" s="22" customFormat="1" hidden="1">
      <c r="A2044" s="61"/>
    </row>
    <row r="2045" spans="1:1" s="22" customFormat="1" hidden="1">
      <c r="A2045" s="61"/>
    </row>
    <row r="2046" spans="1:1" s="22" customFormat="1" hidden="1">
      <c r="A2046" s="61"/>
    </row>
    <row r="2047" spans="1:1" s="22" customFormat="1" hidden="1">
      <c r="A2047" s="61"/>
    </row>
    <row r="2048" spans="1:1" s="22" customFormat="1" hidden="1">
      <c r="A2048" s="61"/>
    </row>
    <row r="2049" spans="1:1" s="22" customFormat="1" hidden="1">
      <c r="A2049" s="61"/>
    </row>
    <row r="2050" spans="1:1" s="22" customFormat="1" hidden="1">
      <c r="A2050" s="61"/>
    </row>
    <row r="2051" spans="1:1" s="22" customFormat="1" hidden="1">
      <c r="A2051" s="61"/>
    </row>
    <row r="2052" spans="1:1" s="22" customFormat="1" hidden="1">
      <c r="A2052" s="61"/>
    </row>
    <row r="2053" spans="1:1" s="22" customFormat="1" hidden="1">
      <c r="A2053" s="61"/>
    </row>
    <row r="2054" spans="1:1" s="22" customFormat="1" hidden="1">
      <c r="A2054" s="61"/>
    </row>
    <row r="2055" spans="1:1" s="22" customFormat="1" hidden="1">
      <c r="A2055" s="61"/>
    </row>
    <row r="2056" spans="1:1" s="22" customFormat="1" hidden="1">
      <c r="A2056" s="61"/>
    </row>
    <row r="2057" spans="1:1" s="22" customFormat="1" hidden="1">
      <c r="A2057" s="61"/>
    </row>
    <row r="2058" spans="1:1" s="22" customFormat="1" hidden="1">
      <c r="A2058" s="61"/>
    </row>
    <row r="2059" spans="1:1" s="22" customFormat="1" hidden="1">
      <c r="A2059" s="61"/>
    </row>
    <row r="2060" spans="1:1" s="22" customFormat="1" hidden="1">
      <c r="A2060" s="61"/>
    </row>
    <row r="2061" spans="1:1" s="22" customFormat="1" hidden="1">
      <c r="A2061" s="61"/>
    </row>
    <row r="2062" spans="1:1" s="22" customFormat="1" hidden="1">
      <c r="A2062" s="61"/>
    </row>
    <row r="2063" spans="1:1" s="22" customFormat="1" hidden="1">
      <c r="A2063" s="61"/>
    </row>
    <row r="2064" spans="1:1" s="22" customFormat="1" hidden="1">
      <c r="A2064" s="61"/>
    </row>
    <row r="2065" spans="1:1" s="22" customFormat="1" hidden="1">
      <c r="A2065" s="61"/>
    </row>
    <row r="2066" spans="1:1" s="22" customFormat="1" hidden="1">
      <c r="A2066" s="61"/>
    </row>
    <row r="2067" spans="1:1" s="22" customFormat="1" hidden="1">
      <c r="A2067" s="61"/>
    </row>
    <row r="2068" spans="1:1" s="22" customFormat="1" hidden="1">
      <c r="A2068" s="61"/>
    </row>
    <row r="2069" spans="1:1" s="22" customFormat="1" hidden="1">
      <c r="A2069" s="61"/>
    </row>
    <row r="2070" spans="1:1" s="22" customFormat="1" hidden="1">
      <c r="A2070" s="61"/>
    </row>
    <row r="2071" spans="1:1" s="22" customFormat="1" hidden="1">
      <c r="A2071" s="61"/>
    </row>
    <row r="2072" spans="1:1" s="22" customFormat="1" hidden="1">
      <c r="A2072" s="61"/>
    </row>
    <row r="2073" spans="1:1" s="22" customFormat="1" hidden="1">
      <c r="A2073" s="61"/>
    </row>
    <row r="2074" spans="1:1" s="22" customFormat="1" hidden="1">
      <c r="A2074" s="61"/>
    </row>
    <row r="2075" spans="1:1" s="22" customFormat="1" hidden="1">
      <c r="A2075" s="61"/>
    </row>
    <row r="2076" spans="1:1" s="22" customFormat="1" hidden="1">
      <c r="A2076" s="61"/>
    </row>
    <row r="2077" spans="1:1" s="22" customFormat="1" hidden="1">
      <c r="A2077" s="61"/>
    </row>
    <row r="2078" spans="1:1" s="22" customFormat="1" hidden="1">
      <c r="A2078" s="61"/>
    </row>
    <row r="2079" spans="1:1" s="22" customFormat="1" hidden="1">
      <c r="A2079" s="61"/>
    </row>
    <row r="2080" spans="1:1" s="22" customFormat="1" hidden="1">
      <c r="A2080" s="61"/>
    </row>
    <row r="2081" spans="1:1" s="22" customFormat="1" hidden="1">
      <c r="A2081" s="61"/>
    </row>
    <row r="2082" spans="1:1" s="22" customFormat="1" hidden="1">
      <c r="A2082" s="61"/>
    </row>
    <row r="2083" spans="1:1" s="22" customFormat="1" hidden="1">
      <c r="A2083" s="61"/>
    </row>
    <row r="2084" spans="1:1" s="22" customFormat="1" hidden="1">
      <c r="A2084" s="61"/>
    </row>
    <row r="2085" spans="1:1" s="22" customFormat="1" hidden="1">
      <c r="A2085" s="61"/>
    </row>
    <row r="2086" spans="1:1" s="22" customFormat="1" hidden="1">
      <c r="A2086" s="61"/>
    </row>
    <row r="2087" spans="1:1" s="22" customFormat="1" hidden="1">
      <c r="A2087" s="61"/>
    </row>
    <row r="2088" spans="1:1" s="22" customFormat="1" hidden="1">
      <c r="A2088" s="61"/>
    </row>
    <row r="2089" spans="1:1" s="22" customFormat="1" hidden="1">
      <c r="A2089" s="61"/>
    </row>
    <row r="2090" spans="1:1" s="22" customFormat="1" hidden="1">
      <c r="A2090" s="61"/>
    </row>
    <row r="2091" spans="1:1" s="22" customFormat="1" hidden="1">
      <c r="A2091" s="61"/>
    </row>
    <row r="2092" spans="1:1" s="22" customFormat="1" hidden="1">
      <c r="A2092" s="61"/>
    </row>
    <row r="2093" spans="1:1" s="22" customFormat="1" hidden="1">
      <c r="A2093" s="61"/>
    </row>
    <row r="2094" spans="1:1" s="22" customFormat="1" hidden="1">
      <c r="A2094" s="61"/>
    </row>
    <row r="2095" spans="1:1" s="22" customFormat="1" hidden="1">
      <c r="A2095" s="61"/>
    </row>
    <row r="2096" spans="1:1" s="22" customFormat="1" hidden="1">
      <c r="A2096" s="61"/>
    </row>
    <row r="2097" spans="1:1" s="22" customFormat="1" hidden="1">
      <c r="A2097" s="61"/>
    </row>
    <row r="2098" spans="1:1" s="22" customFormat="1" hidden="1">
      <c r="A2098" s="61"/>
    </row>
    <row r="2099" spans="1:1" s="22" customFormat="1" hidden="1">
      <c r="A2099" s="61"/>
    </row>
    <row r="2100" spans="1:1" s="22" customFormat="1" hidden="1">
      <c r="A2100" s="61"/>
    </row>
    <row r="2101" spans="1:1" s="22" customFormat="1" hidden="1">
      <c r="A2101" s="61"/>
    </row>
    <row r="2102" spans="1:1" s="22" customFormat="1" hidden="1">
      <c r="A2102" s="61"/>
    </row>
    <row r="2103" spans="1:1" s="22" customFormat="1" hidden="1">
      <c r="A2103" s="61"/>
    </row>
    <row r="2104" spans="1:1" s="22" customFormat="1" hidden="1">
      <c r="A2104" s="61"/>
    </row>
    <row r="2105" spans="1:1" s="22" customFormat="1" hidden="1">
      <c r="A2105" s="61"/>
    </row>
    <row r="2106" spans="1:1" s="22" customFormat="1" hidden="1">
      <c r="A2106" s="61"/>
    </row>
    <row r="2107" spans="1:1" s="22" customFormat="1" hidden="1">
      <c r="A2107" s="61"/>
    </row>
    <row r="2108" spans="1:1" s="22" customFormat="1" hidden="1">
      <c r="A2108" s="61"/>
    </row>
    <row r="2109" spans="1:1" s="22" customFormat="1" hidden="1">
      <c r="A2109" s="61"/>
    </row>
    <row r="2110" spans="1:1" s="22" customFormat="1" hidden="1">
      <c r="A2110" s="61"/>
    </row>
    <row r="2111" spans="1:1" s="22" customFormat="1" hidden="1">
      <c r="A2111" s="61"/>
    </row>
    <row r="2112" spans="1:1" s="22" customFormat="1" hidden="1">
      <c r="A2112" s="61"/>
    </row>
    <row r="2113" spans="1:1" s="22" customFormat="1" hidden="1">
      <c r="A2113" s="61"/>
    </row>
    <row r="2114" spans="1:1" s="22" customFormat="1" hidden="1">
      <c r="A2114" s="61"/>
    </row>
    <row r="2115" spans="1:1" s="22" customFormat="1" hidden="1">
      <c r="A2115" s="61"/>
    </row>
    <row r="2116" spans="1:1" s="22" customFormat="1" hidden="1">
      <c r="A2116" s="61"/>
    </row>
    <row r="2117" spans="1:1" s="22" customFormat="1" hidden="1">
      <c r="A2117" s="61"/>
    </row>
    <row r="2118" spans="1:1" s="22" customFormat="1" hidden="1">
      <c r="A2118" s="61"/>
    </row>
    <row r="2119" spans="1:1" s="22" customFormat="1" hidden="1">
      <c r="A2119" s="61"/>
    </row>
    <row r="2120" spans="1:1" s="22" customFormat="1" hidden="1">
      <c r="A2120" s="61"/>
    </row>
    <row r="2121" spans="1:1" s="22" customFormat="1" hidden="1">
      <c r="A2121" s="61"/>
    </row>
    <row r="2122" spans="1:1" s="22" customFormat="1" hidden="1">
      <c r="A2122" s="61"/>
    </row>
    <row r="2123" spans="1:1" s="22" customFormat="1" hidden="1">
      <c r="A2123" s="61"/>
    </row>
    <row r="2124" spans="1:1" s="22" customFormat="1" hidden="1">
      <c r="A2124" s="61"/>
    </row>
    <row r="2125" spans="1:1" s="22" customFormat="1" hidden="1">
      <c r="A2125" s="61"/>
    </row>
    <row r="2126" spans="1:1" s="22" customFormat="1" hidden="1">
      <c r="A2126" s="61"/>
    </row>
    <row r="2127" spans="1:1" s="22" customFormat="1" hidden="1">
      <c r="A2127" s="61"/>
    </row>
    <row r="2128" spans="1:1" s="22" customFormat="1" hidden="1">
      <c r="A2128" s="61"/>
    </row>
    <row r="2129" spans="1:1" s="22" customFormat="1" hidden="1">
      <c r="A2129" s="61"/>
    </row>
    <row r="2130" spans="1:1" s="22" customFormat="1" hidden="1">
      <c r="A2130" s="61"/>
    </row>
    <row r="2131" spans="1:1" s="22" customFormat="1" hidden="1">
      <c r="A2131" s="61"/>
    </row>
    <row r="2132" spans="1:1" s="22" customFormat="1" hidden="1">
      <c r="A2132" s="61"/>
    </row>
    <row r="2133" spans="1:1" s="22" customFormat="1" hidden="1">
      <c r="A2133" s="61"/>
    </row>
    <row r="2134" spans="1:1" s="22" customFormat="1" hidden="1">
      <c r="A2134" s="61"/>
    </row>
    <row r="2135" spans="1:1" s="22" customFormat="1" hidden="1">
      <c r="A2135" s="61"/>
    </row>
    <row r="2136" spans="1:1" s="22" customFormat="1" hidden="1">
      <c r="A2136" s="61"/>
    </row>
    <row r="2137" spans="1:1" s="22" customFormat="1" hidden="1">
      <c r="A2137" s="61"/>
    </row>
    <row r="2138" spans="1:1" s="22" customFormat="1" hidden="1">
      <c r="A2138" s="61"/>
    </row>
    <row r="2139" spans="1:1" s="22" customFormat="1" hidden="1">
      <c r="A2139" s="61"/>
    </row>
    <row r="2140" spans="1:1" s="22" customFormat="1" hidden="1">
      <c r="A2140" s="61"/>
    </row>
    <row r="2141" spans="1:1" s="22" customFormat="1" hidden="1">
      <c r="A2141" s="61"/>
    </row>
    <row r="2142" spans="1:1" s="22" customFormat="1" hidden="1">
      <c r="A2142" s="61"/>
    </row>
    <row r="2143" spans="1:1" s="22" customFormat="1" hidden="1">
      <c r="A2143" s="61"/>
    </row>
    <row r="2144" spans="1:1" s="22" customFormat="1" hidden="1">
      <c r="A2144" s="61"/>
    </row>
    <row r="2145" spans="1:1" s="22" customFormat="1" hidden="1">
      <c r="A2145" s="61"/>
    </row>
    <row r="2146" spans="1:1" s="22" customFormat="1" hidden="1">
      <c r="A2146" s="61"/>
    </row>
    <row r="2147" spans="1:1" s="22" customFormat="1" hidden="1">
      <c r="A2147" s="61"/>
    </row>
    <row r="2148" spans="1:1" s="22" customFormat="1" hidden="1">
      <c r="A2148" s="61"/>
    </row>
    <row r="2149" spans="1:1" s="22" customFormat="1" hidden="1">
      <c r="A2149" s="61"/>
    </row>
    <row r="2150" spans="1:1" s="22" customFormat="1" hidden="1">
      <c r="A2150" s="61"/>
    </row>
    <row r="2151" spans="1:1" s="22" customFormat="1" hidden="1">
      <c r="A2151" s="61"/>
    </row>
    <row r="2152" spans="1:1" s="22" customFormat="1" hidden="1">
      <c r="A2152" s="61"/>
    </row>
    <row r="2153" spans="1:1" s="22" customFormat="1" hidden="1">
      <c r="A2153" s="61"/>
    </row>
    <row r="2154" spans="1:1" s="22" customFormat="1" hidden="1">
      <c r="A2154" s="61"/>
    </row>
    <row r="2155" spans="1:1" s="22" customFormat="1" hidden="1">
      <c r="A2155" s="61"/>
    </row>
    <row r="2156" spans="1:1" s="22" customFormat="1" hidden="1">
      <c r="A2156" s="61"/>
    </row>
    <row r="2157" spans="1:1" s="22" customFormat="1" hidden="1">
      <c r="A2157" s="61"/>
    </row>
    <row r="2158" spans="1:1" s="22" customFormat="1" hidden="1">
      <c r="A2158" s="61"/>
    </row>
    <row r="2159" spans="1:1" s="22" customFormat="1" hidden="1">
      <c r="A2159" s="61"/>
    </row>
    <row r="2160" spans="1:1" s="22" customFormat="1" hidden="1">
      <c r="A2160" s="61"/>
    </row>
    <row r="2161" spans="1:1" s="22" customFormat="1" hidden="1">
      <c r="A2161" s="61"/>
    </row>
    <row r="2162" spans="1:1" s="22" customFormat="1" hidden="1">
      <c r="A2162" s="61"/>
    </row>
    <row r="2163" spans="1:1" s="22" customFormat="1" hidden="1">
      <c r="A2163" s="61"/>
    </row>
    <row r="2164" spans="1:1" s="22" customFormat="1" hidden="1">
      <c r="A2164" s="61"/>
    </row>
    <row r="2165" spans="1:1" s="22" customFormat="1" hidden="1">
      <c r="A2165" s="61"/>
    </row>
    <row r="2166" spans="1:1" s="22" customFormat="1" hidden="1">
      <c r="A2166" s="61"/>
    </row>
    <row r="2167" spans="1:1" s="22" customFormat="1" hidden="1">
      <c r="A2167" s="61"/>
    </row>
    <row r="2168" spans="1:1" s="22" customFormat="1" hidden="1">
      <c r="A2168" s="61"/>
    </row>
    <row r="2169" spans="1:1" s="22" customFormat="1" hidden="1">
      <c r="A2169" s="61"/>
    </row>
    <row r="2170" spans="1:1" s="22" customFormat="1" hidden="1">
      <c r="A2170" s="61"/>
    </row>
    <row r="2171" spans="1:1" s="22" customFormat="1" hidden="1">
      <c r="A2171" s="61"/>
    </row>
    <row r="2172" spans="1:1" s="22" customFormat="1" hidden="1">
      <c r="A2172" s="61"/>
    </row>
    <row r="2173" spans="1:1" s="22" customFormat="1" hidden="1">
      <c r="A2173" s="61"/>
    </row>
    <row r="2174" spans="1:1" s="22" customFormat="1" hidden="1">
      <c r="A2174" s="61"/>
    </row>
    <row r="2175" spans="1:1" s="22" customFormat="1" hidden="1">
      <c r="A2175" s="61"/>
    </row>
    <row r="2176" spans="1:1" s="22" customFormat="1" hidden="1">
      <c r="A2176" s="61"/>
    </row>
    <row r="2177" spans="1:1" s="22" customFormat="1" hidden="1">
      <c r="A2177" s="61"/>
    </row>
    <row r="2178" spans="1:1" s="22" customFormat="1" hidden="1">
      <c r="A2178" s="61"/>
    </row>
    <row r="2179" spans="1:1" s="22" customFormat="1" hidden="1">
      <c r="A2179" s="61"/>
    </row>
    <row r="2180" spans="1:1" s="22" customFormat="1" hidden="1">
      <c r="A2180" s="61"/>
    </row>
    <row r="2181" spans="1:1" s="22" customFormat="1" hidden="1">
      <c r="A2181" s="61"/>
    </row>
    <row r="2182" spans="1:1" s="22" customFormat="1" hidden="1">
      <c r="A2182" s="61"/>
    </row>
    <row r="2183" spans="1:1" s="22" customFormat="1" hidden="1">
      <c r="A2183" s="61"/>
    </row>
    <row r="2184" spans="1:1" s="22" customFormat="1" hidden="1">
      <c r="A2184" s="61"/>
    </row>
    <row r="2185" spans="1:1" s="22" customFormat="1" hidden="1">
      <c r="A2185" s="61"/>
    </row>
    <row r="2186" spans="1:1" s="22" customFormat="1" hidden="1">
      <c r="A2186" s="61"/>
    </row>
    <row r="2187" spans="1:1" s="22" customFormat="1" hidden="1">
      <c r="A2187" s="61"/>
    </row>
    <row r="2188" spans="1:1" s="22" customFormat="1" hidden="1">
      <c r="A2188" s="61"/>
    </row>
    <row r="2189" spans="1:1" s="22" customFormat="1" hidden="1">
      <c r="A2189" s="61"/>
    </row>
    <row r="2190" spans="1:1" s="22" customFormat="1" hidden="1">
      <c r="A2190" s="61"/>
    </row>
    <row r="2191" spans="1:1" s="22" customFormat="1" hidden="1">
      <c r="A2191" s="61"/>
    </row>
    <row r="2192" spans="1:1" s="22" customFormat="1" hidden="1">
      <c r="A2192" s="61"/>
    </row>
    <row r="2193" spans="1:1" s="22" customFormat="1" hidden="1">
      <c r="A2193" s="61"/>
    </row>
    <row r="2194" spans="1:1" s="22" customFormat="1" hidden="1">
      <c r="A2194" s="61"/>
    </row>
    <row r="2195" spans="1:1" s="22" customFormat="1" hidden="1">
      <c r="A2195" s="61"/>
    </row>
    <row r="2196" spans="1:1" s="22" customFormat="1" hidden="1">
      <c r="A2196" s="61"/>
    </row>
    <row r="2197" spans="1:1" s="22" customFormat="1" hidden="1">
      <c r="A2197" s="61"/>
    </row>
    <row r="2198" spans="1:1" s="22" customFormat="1" hidden="1">
      <c r="A2198" s="61"/>
    </row>
    <row r="2199" spans="1:1" s="22" customFormat="1" hidden="1">
      <c r="A2199" s="61"/>
    </row>
    <row r="2200" spans="1:1" s="22" customFormat="1" hidden="1">
      <c r="A2200" s="61"/>
    </row>
    <row r="2201" spans="1:1" s="22" customFormat="1" hidden="1">
      <c r="A2201" s="61"/>
    </row>
    <row r="2202" spans="1:1" s="22" customFormat="1" hidden="1">
      <c r="A2202" s="61"/>
    </row>
    <row r="2203" spans="1:1" s="22" customFormat="1" hidden="1">
      <c r="A2203" s="61"/>
    </row>
    <row r="2204" spans="1:1" s="22" customFormat="1" hidden="1">
      <c r="A2204" s="61"/>
    </row>
    <row r="2205" spans="1:1" s="22" customFormat="1" hidden="1">
      <c r="A2205" s="61"/>
    </row>
    <row r="2206" spans="1:1" s="22" customFormat="1" hidden="1">
      <c r="A2206" s="61"/>
    </row>
    <row r="2207" spans="1:1" s="22" customFormat="1" hidden="1">
      <c r="A2207" s="61"/>
    </row>
    <row r="2208" spans="1:1" s="22" customFormat="1" hidden="1">
      <c r="A2208" s="61"/>
    </row>
    <row r="2209" spans="1:1" s="22" customFormat="1" hidden="1">
      <c r="A2209" s="61"/>
    </row>
    <row r="2210" spans="1:1" s="22" customFormat="1" hidden="1">
      <c r="A2210" s="61"/>
    </row>
    <row r="2211" spans="1:1" s="22" customFormat="1" hidden="1">
      <c r="A2211" s="61"/>
    </row>
    <row r="2212" spans="1:1" s="22" customFormat="1" hidden="1">
      <c r="A2212" s="61"/>
    </row>
    <row r="2213" spans="1:1" s="22" customFormat="1" hidden="1">
      <c r="A2213" s="61"/>
    </row>
    <row r="2214" spans="1:1" s="22" customFormat="1" hidden="1">
      <c r="A2214" s="61"/>
    </row>
    <row r="2215" spans="1:1" s="22" customFormat="1" hidden="1">
      <c r="A2215" s="61"/>
    </row>
    <row r="2216" spans="1:1" s="22" customFormat="1" hidden="1">
      <c r="A2216" s="61"/>
    </row>
    <row r="2217" spans="1:1" s="22" customFormat="1" hidden="1">
      <c r="A2217" s="61"/>
    </row>
    <row r="2218" spans="1:1" s="22" customFormat="1" hidden="1">
      <c r="A2218" s="61"/>
    </row>
    <row r="2219" spans="1:1" s="22" customFormat="1" hidden="1">
      <c r="A2219" s="61"/>
    </row>
    <row r="2220" spans="1:1" s="22" customFormat="1" hidden="1">
      <c r="A2220" s="61"/>
    </row>
    <row r="2221" spans="1:1" s="22" customFormat="1" hidden="1">
      <c r="A2221" s="61"/>
    </row>
    <row r="2222" spans="1:1" s="22" customFormat="1" hidden="1">
      <c r="A2222" s="61"/>
    </row>
    <row r="2223" spans="1:1" s="22" customFormat="1" hidden="1">
      <c r="A2223" s="61"/>
    </row>
    <row r="2224" spans="1:1" s="22" customFormat="1" hidden="1">
      <c r="A2224" s="61"/>
    </row>
    <row r="2225" spans="1:1" s="22" customFormat="1" hidden="1">
      <c r="A2225" s="61"/>
    </row>
    <row r="2226" spans="1:1" s="22" customFormat="1" hidden="1">
      <c r="A2226" s="61"/>
    </row>
    <row r="2227" spans="1:1" s="22" customFormat="1" hidden="1">
      <c r="A2227" s="61"/>
    </row>
    <row r="2228" spans="1:1" s="22" customFormat="1" hidden="1">
      <c r="A2228" s="61"/>
    </row>
    <row r="2229" spans="1:1" s="22" customFormat="1" hidden="1">
      <c r="A2229" s="61"/>
    </row>
    <row r="2230" spans="1:1" s="22" customFormat="1" hidden="1">
      <c r="A2230" s="61"/>
    </row>
    <row r="2231" spans="1:1" s="22" customFormat="1" hidden="1">
      <c r="A2231" s="61"/>
    </row>
    <row r="2232" spans="1:1" s="22" customFormat="1" hidden="1">
      <c r="A2232" s="61"/>
    </row>
    <row r="2233" spans="1:1" s="22" customFormat="1" hidden="1">
      <c r="A2233" s="61"/>
    </row>
    <row r="2234" spans="1:1" s="22" customFormat="1" hidden="1">
      <c r="A2234" s="61"/>
    </row>
    <row r="2235" spans="1:1" s="22" customFormat="1" hidden="1">
      <c r="A2235" s="61"/>
    </row>
    <row r="2236" spans="1:1" s="22" customFormat="1" hidden="1">
      <c r="A2236" s="61"/>
    </row>
    <row r="2237" spans="1:1" s="22" customFormat="1" hidden="1">
      <c r="A2237" s="61"/>
    </row>
    <row r="2238" spans="1:1" s="22" customFormat="1" hidden="1">
      <c r="A2238" s="61"/>
    </row>
    <row r="2239" spans="1:1" s="22" customFormat="1" hidden="1">
      <c r="A2239" s="61"/>
    </row>
    <row r="2240" spans="1:1" s="22" customFormat="1" hidden="1">
      <c r="A2240" s="61"/>
    </row>
    <row r="2241" spans="1:1" s="22" customFormat="1" hidden="1">
      <c r="A2241" s="61"/>
    </row>
    <row r="2242" spans="1:1" s="22" customFormat="1" hidden="1">
      <c r="A2242" s="61"/>
    </row>
    <row r="2243" spans="1:1" s="22" customFormat="1" hidden="1">
      <c r="A2243" s="61"/>
    </row>
    <row r="2244" spans="1:1" s="22" customFormat="1" hidden="1">
      <c r="A2244" s="61"/>
    </row>
    <row r="2245" spans="1:1" s="22" customFormat="1" hidden="1">
      <c r="A2245" s="61"/>
    </row>
    <row r="2246" spans="1:1" s="22" customFormat="1" hidden="1">
      <c r="A2246" s="61"/>
    </row>
    <row r="2247" spans="1:1" s="22" customFormat="1" hidden="1">
      <c r="A2247" s="61"/>
    </row>
    <row r="2248" spans="1:1" s="22" customFormat="1" hidden="1">
      <c r="A2248" s="61"/>
    </row>
    <row r="2249" spans="1:1" s="22" customFormat="1" hidden="1">
      <c r="A2249" s="61"/>
    </row>
    <row r="2250" spans="1:1" s="22" customFormat="1" hidden="1">
      <c r="A2250" s="61"/>
    </row>
    <row r="2251" spans="1:1" s="22" customFormat="1" hidden="1">
      <c r="A2251" s="61"/>
    </row>
    <row r="2252" spans="1:1" s="22" customFormat="1" hidden="1">
      <c r="A2252" s="61"/>
    </row>
    <row r="2253" spans="1:1" s="22" customFormat="1" hidden="1">
      <c r="A2253" s="61"/>
    </row>
    <row r="2254" spans="1:1" s="22" customFormat="1" hidden="1">
      <c r="A2254" s="61"/>
    </row>
    <row r="2255" spans="1:1" s="22" customFormat="1" hidden="1">
      <c r="A2255" s="61"/>
    </row>
    <row r="2256" spans="1:1" s="22" customFormat="1" hidden="1">
      <c r="A2256" s="61"/>
    </row>
    <row r="2257" spans="1:1" s="22" customFormat="1" hidden="1">
      <c r="A2257" s="61"/>
    </row>
    <row r="2258" spans="1:1" s="22" customFormat="1" hidden="1">
      <c r="A2258" s="61"/>
    </row>
    <row r="2259" spans="1:1" s="22" customFormat="1" hidden="1">
      <c r="A2259" s="61"/>
    </row>
    <row r="2260" spans="1:1" s="22" customFormat="1" hidden="1">
      <c r="A2260" s="61"/>
    </row>
    <row r="2261" spans="1:1" s="22" customFormat="1" hidden="1">
      <c r="A2261" s="61"/>
    </row>
    <row r="2262" spans="1:1" s="22" customFormat="1" hidden="1">
      <c r="A2262" s="61"/>
    </row>
    <row r="2263" spans="1:1" s="22" customFormat="1" hidden="1">
      <c r="A2263" s="61"/>
    </row>
    <row r="2264" spans="1:1" s="22" customFormat="1" hidden="1">
      <c r="A2264" s="61"/>
    </row>
    <row r="2265" spans="1:1" s="22" customFormat="1" hidden="1">
      <c r="A2265" s="61"/>
    </row>
    <row r="2266" spans="1:1" s="22" customFormat="1" hidden="1">
      <c r="A2266" s="61"/>
    </row>
    <row r="2267" spans="1:1" s="22" customFormat="1" hidden="1">
      <c r="A2267" s="61"/>
    </row>
    <row r="2268" spans="1:1" s="22" customFormat="1" hidden="1">
      <c r="A2268" s="61"/>
    </row>
    <row r="2269" spans="1:1" s="22" customFormat="1" hidden="1">
      <c r="A2269" s="61"/>
    </row>
    <row r="2270" spans="1:1" s="22" customFormat="1" hidden="1">
      <c r="A2270" s="61"/>
    </row>
    <row r="2271" spans="1:1" s="22" customFormat="1" hidden="1">
      <c r="A2271" s="61"/>
    </row>
    <row r="2272" spans="1:1" s="22" customFormat="1" hidden="1">
      <c r="A2272" s="61"/>
    </row>
    <row r="2273" spans="1:1" s="22" customFormat="1" hidden="1">
      <c r="A2273" s="61"/>
    </row>
    <row r="2274" spans="1:1" s="22" customFormat="1" hidden="1">
      <c r="A2274" s="61"/>
    </row>
    <row r="2275" spans="1:1" s="22" customFormat="1" hidden="1">
      <c r="A2275" s="61"/>
    </row>
    <row r="2276" spans="1:1" s="22" customFormat="1" hidden="1">
      <c r="A2276" s="61"/>
    </row>
    <row r="2277" spans="1:1" s="22" customFormat="1" hidden="1">
      <c r="A2277" s="61"/>
    </row>
    <row r="2278" spans="1:1" s="22" customFormat="1" hidden="1">
      <c r="A2278" s="61"/>
    </row>
    <row r="2279" spans="1:1" s="22" customFormat="1" hidden="1">
      <c r="A2279" s="61"/>
    </row>
    <row r="2280" spans="1:1" s="22" customFormat="1" hidden="1">
      <c r="A2280" s="61"/>
    </row>
    <row r="2281" spans="1:1" s="22" customFormat="1" hidden="1">
      <c r="A2281" s="61"/>
    </row>
    <row r="2282" spans="1:1" s="22" customFormat="1" hidden="1">
      <c r="A2282" s="61"/>
    </row>
    <row r="2283" spans="1:1" s="22" customFormat="1" hidden="1">
      <c r="A2283" s="61"/>
    </row>
    <row r="2284" spans="1:1" s="22" customFormat="1" hidden="1">
      <c r="A2284" s="61"/>
    </row>
    <row r="2285" spans="1:1" s="22" customFormat="1" hidden="1">
      <c r="A2285" s="61"/>
    </row>
    <row r="2286" spans="1:1" s="22" customFormat="1" hidden="1">
      <c r="A2286" s="61"/>
    </row>
    <row r="2287" spans="1:1" s="22" customFormat="1" hidden="1">
      <c r="A2287" s="61"/>
    </row>
    <row r="2288" spans="1:1" s="22" customFormat="1" hidden="1">
      <c r="A2288" s="61"/>
    </row>
    <row r="2289" spans="1:1" s="22" customFormat="1" hidden="1">
      <c r="A2289" s="61"/>
    </row>
    <row r="2290" spans="1:1" s="22" customFormat="1" hidden="1">
      <c r="A2290" s="61"/>
    </row>
    <row r="2291" spans="1:1" s="22" customFormat="1" hidden="1">
      <c r="A2291" s="61"/>
    </row>
    <row r="2292" spans="1:1" s="22" customFormat="1" hidden="1">
      <c r="A2292" s="61"/>
    </row>
    <row r="2293" spans="1:1" s="22" customFormat="1" hidden="1">
      <c r="A2293" s="61"/>
    </row>
    <row r="2294" spans="1:1" s="22" customFormat="1" hidden="1">
      <c r="A2294" s="61"/>
    </row>
    <row r="2295" spans="1:1" s="22" customFormat="1" hidden="1">
      <c r="A2295" s="61"/>
    </row>
    <row r="2296" spans="1:1" s="22" customFormat="1" hidden="1">
      <c r="A2296" s="61"/>
    </row>
    <row r="2297" spans="1:1" s="22" customFormat="1" hidden="1">
      <c r="A2297" s="61"/>
    </row>
    <row r="2298" spans="1:1" s="22" customFormat="1" hidden="1">
      <c r="A2298" s="61"/>
    </row>
    <row r="2299" spans="1:1" s="22" customFormat="1" hidden="1">
      <c r="A2299" s="61"/>
    </row>
    <row r="2300" spans="1:1" s="22" customFormat="1" hidden="1">
      <c r="A2300" s="61"/>
    </row>
    <row r="2301" spans="1:1" s="22" customFormat="1" hidden="1">
      <c r="A2301" s="61"/>
    </row>
    <row r="2302" spans="1:1" s="22" customFormat="1" hidden="1">
      <c r="A2302" s="61"/>
    </row>
    <row r="2303" spans="1:1" s="22" customFormat="1" hidden="1">
      <c r="A2303" s="61"/>
    </row>
    <row r="2304" spans="1:1" s="22" customFormat="1" hidden="1">
      <c r="A2304" s="61"/>
    </row>
    <row r="2305" spans="1:1" s="22" customFormat="1" hidden="1">
      <c r="A2305" s="61"/>
    </row>
    <row r="2306" spans="1:1" s="22" customFormat="1" hidden="1">
      <c r="A2306" s="61"/>
    </row>
    <row r="2307" spans="1:1" s="22" customFormat="1" hidden="1">
      <c r="A2307" s="61"/>
    </row>
    <row r="2308" spans="1:1" s="22" customFormat="1" hidden="1">
      <c r="A2308" s="61"/>
    </row>
    <row r="2309" spans="1:1" s="22" customFormat="1" hidden="1">
      <c r="A2309" s="61"/>
    </row>
    <row r="2310" spans="1:1" s="22" customFormat="1" hidden="1">
      <c r="A2310" s="61"/>
    </row>
    <row r="2311" spans="1:1" s="22" customFormat="1" hidden="1">
      <c r="A2311" s="61"/>
    </row>
    <row r="2312" spans="1:1" s="22" customFormat="1" hidden="1">
      <c r="A2312" s="61"/>
    </row>
    <row r="2313" spans="1:1" s="22" customFormat="1" hidden="1">
      <c r="A2313" s="61"/>
    </row>
    <row r="2314" spans="1:1" s="22" customFormat="1" hidden="1">
      <c r="A2314" s="61"/>
    </row>
    <row r="2315" spans="1:1" s="22" customFormat="1" hidden="1">
      <c r="A2315" s="61"/>
    </row>
    <row r="2316" spans="1:1" s="22" customFormat="1" hidden="1">
      <c r="A2316" s="61"/>
    </row>
    <row r="2317" spans="1:1" s="22" customFormat="1" hidden="1">
      <c r="A2317" s="61"/>
    </row>
    <row r="2318" spans="1:1" s="22" customFormat="1" hidden="1">
      <c r="A2318" s="61"/>
    </row>
    <row r="2319" spans="1:1" s="22" customFormat="1" hidden="1">
      <c r="A2319" s="61"/>
    </row>
    <row r="2320" spans="1:1" s="22" customFormat="1" hidden="1">
      <c r="A2320" s="61"/>
    </row>
    <row r="2321" spans="1:1" s="22" customFormat="1" hidden="1">
      <c r="A2321" s="61"/>
    </row>
    <row r="2322" spans="1:1" s="22" customFormat="1" hidden="1">
      <c r="A2322" s="61"/>
    </row>
    <row r="2323" spans="1:1" s="22" customFormat="1" hidden="1">
      <c r="A2323" s="61"/>
    </row>
    <row r="2324" spans="1:1" s="22" customFormat="1" hidden="1">
      <c r="A2324" s="61"/>
    </row>
    <row r="2325" spans="1:1" s="22" customFormat="1" hidden="1">
      <c r="A2325" s="61"/>
    </row>
    <row r="2326" spans="1:1" s="22" customFormat="1" hidden="1">
      <c r="A2326" s="61"/>
    </row>
    <row r="2327" spans="1:1" s="22" customFormat="1" hidden="1">
      <c r="A2327" s="61"/>
    </row>
    <row r="2328" spans="1:1" s="22" customFormat="1" hidden="1">
      <c r="A2328" s="61"/>
    </row>
    <row r="2329" spans="1:1" s="22" customFormat="1" hidden="1">
      <c r="A2329" s="61"/>
    </row>
    <row r="2330" spans="1:1" s="22" customFormat="1" hidden="1">
      <c r="A2330" s="61"/>
    </row>
    <row r="2331" spans="1:1" s="22" customFormat="1" hidden="1">
      <c r="A2331" s="61"/>
    </row>
    <row r="2332" spans="1:1" s="22" customFormat="1" hidden="1">
      <c r="A2332" s="61"/>
    </row>
    <row r="2333" spans="1:1" s="22" customFormat="1" hidden="1">
      <c r="A2333" s="61"/>
    </row>
    <row r="2334" spans="1:1" s="22" customFormat="1" hidden="1">
      <c r="A2334" s="61"/>
    </row>
    <row r="2335" spans="1:1" s="22" customFormat="1" hidden="1">
      <c r="A2335" s="61"/>
    </row>
    <row r="2336" spans="1:1" s="22" customFormat="1" hidden="1">
      <c r="A2336" s="61"/>
    </row>
    <row r="2337" spans="1:1" s="22" customFormat="1" hidden="1">
      <c r="A2337" s="61"/>
    </row>
    <row r="2338" spans="1:1" s="22" customFormat="1" hidden="1">
      <c r="A2338" s="61"/>
    </row>
    <row r="2339" spans="1:1" s="22" customFormat="1" hidden="1">
      <c r="A2339" s="61"/>
    </row>
    <row r="2340" spans="1:1" s="22" customFormat="1" hidden="1">
      <c r="A2340" s="61"/>
    </row>
    <row r="2341" spans="1:1" s="22" customFormat="1" hidden="1">
      <c r="A2341" s="61"/>
    </row>
    <row r="2342" spans="1:1" s="22" customFormat="1" hidden="1">
      <c r="A2342" s="61"/>
    </row>
    <row r="2343" spans="1:1" s="22" customFormat="1" hidden="1">
      <c r="A2343" s="61"/>
    </row>
    <row r="2344" spans="1:1" s="22" customFormat="1" hidden="1">
      <c r="A2344" s="61"/>
    </row>
    <row r="2345" spans="1:1" s="22" customFormat="1" hidden="1">
      <c r="A2345" s="61"/>
    </row>
    <row r="2346" spans="1:1" s="22" customFormat="1" hidden="1">
      <c r="A2346" s="61"/>
    </row>
    <row r="2347" spans="1:1" s="22" customFormat="1" hidden="1">
      <c r="A2347" s="61"/>
    </row>
    <row r="2348" spans="1:1" s="22" customFormat="1" hidden="1">
      <c r="A2348" s="61"/>
    </row>
    <row r="2349" spans="1:1" s="22" customFormat="1" hidden="1">
      <c r="A2349" s="61"/>
    </row>
    <row r="2350" spans="1:1" s="22" customFormat="1" hidden="1">
      <c r="A2350" s="61"/>
    </row>
    <row r="2351" spans="1:1" s="22" customFormat="1" hidden="1">
      <c r="A2351" s="61"/>
    </row>
    <row r="2352" spans="1:1" s="22" customFormat="1" hidden="1">
      <c r="A2352" s="61"/>
    </row>
    <row r="2353" spans="1:1" s="22" customFormat="1" hidden="1">
      <c r="A2353" s="61"/>
    </row>
    <row r="2354" spans="1:1" s="22" customFormat="1" hidden="1">
      <c r="A2354" s="61"/>
    </row>
    <row r="2355" spans="1:1" s="22" customFormat="1" hidden="1">
      <c r="A2355" s="61"/>
    </row>
    <row r="2356" spans="1:1" s="22" customFormat="1" hidden="1">
      <c r="A2356" s="61"/>
    </row>
    <row r="2357" spans="1:1" s="22" customFormat="1" hidden="1">
      <c r="A2357" s="61"/>
    </row>
    <row r="2358" spans="1:1" s="22" customFormat="1" hidden="1">
      <c r="A2358" s="61"/>
    </row>
    <row r="2359" spans="1:1" s="22" customFormat="1" hidden="1">
      <c r="A2359" s="61"/>
    </row>
    <row r="2360" spans="1:1" s="22" customFormat="1" hidden="1">
      <c r="A2360" s="61"/>
    </row>
    <row r="2361" spans="1:1" s="22" customFormat="1" hidden="1">
      <c r="A2361" s="61"/>
    </row>
    <row r="2362" spans="1:1" s="22" customFormat="1" hidden="1">
      <c r="A2362" s="61"/>
    </row>
    <row r="2363" spans="1:1" s="22" customFormat="1" hidden="1">
      <c r="A2363" s="61"/>
    </row>
    <row r="2364" spans="1:1" s="22" customFormat="1" hidden="1">
      <c r="A2364" s="61"/>
    </row>
    <row r="2365" spans="1:1" s="22" customFormat="1" hidden="1">
      <c r="A2365" s="61"/>
    </row>
    <row r="2366" spans="1:1" s="22" customFormat="1" hidden="1">
      <c r="A2366" s="61"/>
    </row>
    <row r="2367" spans="1:1" s="22" customFormat="1" hidden="1">
      <c r="A2367" s="61"/>
    </row>
    <row r="2368" spans="1:1" s="22" customFormat="1" hidden="1">
      <c r="A2368" s="61"/>
    </row>
    <row r="2369" spans="1:1" s="22" customFormat="1" hidden="1">
      <c r="A2369" s="61"/>
    </row>
    <row r="2370" spans="1:1" s="22" customFormat="1" hidden="1">
      <c r="A2370" s="61"/>
    </row>
    <row r="2371" spans="1:1" s="22" customFormat="1" hidden="1">
      <c r="A2371" s="61"/>
    </row>
    <row r="2372" spans="1:1" s="22" customFormat="1" hidden="1">
      <c r="A2372" s="61"/>
    </row>
    <row r="2373" spans="1:1" s="22" customFormat="1" hidden="1">
      <c r="A2373" s="61"/>
    </row>
    <row r="2374" spans="1:1" s="22" customFormat="1" hidden="1">
      <c r="A2374" s="61"/>
    </row>
    <row r="2375" spans="1:1" s="22" customFormat="1" hidden="1">
      <c r="A2375" s="61"/>
    </row>
    <row r="2376" spans="1:1" s="22" customFormat="1" hidden="1">
      <c r="A2376" s="61"/>
    </row>
    <row r="2377" spans="1:1" s="22" customFormat="1" hidden="1">
      <c r="A2377" s="61"/>
    </row>
    <row r="2378" spans="1:1" s="22" customFormat="1" hidden="1">
      <c r="A2378" s="61"/>
    </row>
    <row r="2379" spans="1:1" s="22" customFormat="1" hidden="1">
      <c r="A2379" s="61"/>
    </row>
    <row r="2380" spans="1:1" s="22" customFormat="1" hidden="1">
      <c r="A2380" s="61"/>
    </row>
    <row r="2381" spans="1:1" s="22" customFormat="1" hidden="1">
      <c r="A2381" s="61"/>
    </row>
    <row r="2382" spans="1:1" s="22" customFormat="1" hidden="1">
      <c r="A2382" s="61"/>
    </row>
    <row r="2383" spans="1:1" s="22" customFormat="1" hidden="1">
      <c r="A2383" s="61"/>
    </row>
    <row r="2384" spans="1:1" s="22" customFormat="1" hidden="1">
      <c r="A2384" s="61"/>
    </row>
    <row r="2385" spans="1:1" s="22" customFormat="1" hidden="1">
      <c r="A2385" s="61"/>
    </row>
    <row r="2386" spans="1:1" s="22" customFormat="1" hidden="1">
      <c r="A2386" s="61"/>
    </row>
    <row r="2387" spans="1:1" s="22" customFormat="1" hidden="1">
      <c r="A2387" s="61"/>
    </row>
    <row r="2388" spans="1:1" s="22" customFormat="1" hidden="1">
      <c r="A2388" s="61"/>
    </row>
    <row r="2389" spans="1:1" s="22" customFormat="1" hidden="1">
      <c r="A2389" s="61"/>
    </row>
    <row r="2390" spans="1:1" s="22" customFormat="1" hidden="1">
      <c r="A2390" s="61"/>
    </row>
    <row r="2391" spans="1:1" s="22" customFormat="1" hidden="1">
      <c r="A2391" s="61"/>
    </row>
    <row r="2392" spans="1:1" s="22" customFormat="1" hidden="1">
      <c r="A2392" s="61"/>
    </row>
    <row r="2393" spans="1:1" s="22" customFormat="1" hidden="1">
      <c r="A2393" s="61"/>
    </row>
    <row r="2394" spans="1:1" s="22" customFormat="1" hidden="1">
      <c r="A2394" s="61"/>
    </row>
    <row r="2395" spans="1:1" s="22" customFormat="1" hidden="1">
      <c r="A2395" s="61"/>
    </row>
    <row r="2396" spans="1:1" s="22" customFormat="1" hidden="1">
      <c r="A2396" s="61"/>
    </row>
    <row r="2397" spans="1:1" s="22" customFormat="1" hidden="1">
      <c r="A2397" s="61"/>
    </row>
    <row r="2398" spans="1:1" s="22" customFormat="1" hidden="1">
      <c r="A2398" s="61"/>
    </row>
    <row r="2399" spans="1:1" s="22" customFormat="1" hidden="1">
      <c r="A2399" s="61"/>
    </row>
    <row r="2400" spans="1:1" s="22" customFormat="1" hidden="1">
      <c r="A2400" s="61"/>
    </row>
    <row r="2401" spans="1:1" s="22" customFormat="1" hidden="1">
      <c r="A2401" s="61"/>
    </row>
    <row r="2402" spans="1:1" s="22" customFormat="1" hidden="1">
      <c r="A2402" s="61"/>
    </row>
    <row r="2403" spans="1:1" s="22" customFormat="1" hidden="1">
      <c r="A2403" s="61"/>
    </row>
    <row r="2404" spans="1:1" s="22" customFormat="1" hidden="1">
      <c r="A2404" s="61"/>
    </row>
    <row r="2405" spans="1:1" s="22" customFormat="1" hidden="1">
      <c r="A2405" s="61"/>
    </row>
    <row r="2406" spans="1:1" s="22" customFormat="1" hidden="1">
      <c r="A2406" s="61"/>
    </row>
    <row r="2407" spans="1:1" s="22" customFormat="1" hidden="1">
      <c r="A2407" s="61"/>
    </row>
    <row r="2408" spans="1:1" s="22" customFormat="1" hidden="1">
      <c r="A2408" s="61"/>
    </row>
    <row r="2409" spans="1:1" s="22" customFormat="1" hidden="1">
      <c r="A2409" s="61"/>
    </row>
    <row r="2410" spans="1:1" s="22" customFormat="1" hidden="1">
      <c r="A2410" s="61"/>
    </row>
    <row r="2411" spans="1:1" s="22" customFormat="1" hidden="1">
      <c r="A2411" s="61"/>
    </row>
    <row r="2412" spans="1:1" s="22" customFormat="1" hidden="1">
      <c r="A2412" s="61"/>
    </row>
    <row r="2413" spans="1:1" s="22" customFormat="1" hidden="1">
      <c r="A2413" s="61"/>
    </row>
    <row r="2414" spans="1:1" s="22" customFormat="1" hidden="1">
      <c r="A2414" s="61"/>
    </row>
    <row r="2415" spans="1:1" s="22" customFormat="1" hidden="1">
      <c r="A2415" s="61"/>
    </row>
    <row r="2416" spans="1:1" s="22" customFormat="1" hidden="1">
      <c r="A2416" s="61"/>
    </row>
    <row r="2417" spans="1:1" s="22" customFormat="1" hidden="1">
      <c r="A2417" s="61"/>
    </row>
    <row r="2418" spans="1:1" s="22" customFormat="1" hidden="1">
      <c r="A2418" s="61"/>
    </row>
    <row r="2419" spans="1:1" s="22" customFormat="1" hidden="1">
      <c r="A2419" s="61"/>
    </row>
    <row r="2420" spans="1:1" s="22" customFormat="1" hidden="1">
      <c r="A2420" s="61"/>
    </row>
    <row r="2421" spans="1:1" s="22" customFormat="1" hidden="1">
      <c r="A2421" s="61"/>
    </row>
    <row r="2422" spans="1:1" s="22" customFormat="1" hidden="1">
      <c r="A2422" s="61"/>
    </row>
    <row r="2423" spans="1:1" s="22" customFormat="1" hidden="1">
      <c r="A2423" s="61"/>
    </row>
    <row r="2424" spans="1:1" s="22" customFormat="1" hidden="1">
      <c r="A2424" s="61"/>
    </row>
    <row r="2425" spans="1:1" s="22" customFormat="1" hidden="1">
      <c r="A2425" s="61"/>
    </row>
    <row r="2426" spans="1:1" s="22" customFormat="1" hidden="1">
      <c r="A2426" s="61"/>
    </row>
    <row r="2427" spans="1:1" s="22" customFormat="1" hidden="1">
      <c r="A2427" s="61"/>
    </row>
    <row r="2428" spans="1:1" s="22" customFormat="1" hidden="1">
      <c r="A2428" s="61"/>
    </row>
    <row r="2429" spans="1:1" s="22" customFormat="1" hidden="1">
      <c r="A2429" s="61"/>
    </row>
    <row r="2430" spans="1:1" s="22" customFormat="1" hidden="1">
      <c r="A2430" s="61"/>
    </row>
    <row r="2431" spans="1:1" s="22" customFormat="1" hidden="1">
      <c r="A2431" s="61"/>
    </row>
    <row r="2432" spans="1:1" s="22" customFormat="1" hidden="1">
      <c r="A2432" s="61"/>
    </row>
    <row r="2433" spans="1:1" s="22" customFormat="1" hidden="1">
      <c r="A2433" s="61"/>
    </row>
    <row r="2434" spans="1:1" s="22" customFormat="1" hidden="1">
      <c r="A2434" s="61"/>
    </row>
    <row r="2435" spans="1:1" s="22" customFormat="1" hidden="1">
      <c r="A2435" s="61"/>
    </row>
    <row r="2436" spans="1:1" s="22" customFormat="1" hidden="1">
      <c r="A2436" s="61"/>
    </row>
    <row r="2437" spans="1:1" s="22" customFormat="1" hidden="1">
      <c r="A2437" s="61"/>
    </row>
    <row r="2438" spans="1:1" s="22" customFormat="1" hidden="1">
      <c r="A2438" s="61"/>
    </row>
    <row r="2439" spans="1:1" s="22" customFormat="1" hidden="1">
      <c r="A2439" s="61"/>
    </row>
    <row r="2440" spans="1:1" s="22" customFormat="1" hidden="1">
      <c r="A2440" s="61"/>
    </row>
    <row r="2441" spans="1:1" s="22" customFormat="1" hidden="1">
      <c r="A2441" s="61"/>
    </row>
    <row r="2442" spans="1:1" s="22" customFormat="1" hidden="1">
      <c r="A2442" s="61"/>
    </row>
    <row r="2443" spans="1:1" s="22" customFormat="1" hidden="1">
      <c r="A2443" s="61"/>
    </row>
    <row r="2444" spans="1:1" s="22" customFormat="1" hidden="1">
      <c r="A2444" s="61"/>
    </row>
    <row r="2445" spans="1:1" s="22" customFormat="1" hidden="1">
      <c r="A2445" s="61"/>
    </row>
    <row r="2446" spans="1:1" s="22" customFormat="1" hidden="1">
      <c r="A2446" s="61"/>
    </row>
    <row r="2447" spans="1:1" s="22" customFormat="1" hidden="1">
      <c r="A2447" s="61"/>
    </row>
    <row r="2448" spans="1:1" s="22" customFormat="1" hidden="1">
      <c r="A2448" s="61"/>
    </row>
    <row r="2449" spans="1:1" s="22" customFormat="1" hidden="1">
      <c r="A2449" s="61"/>
    </row>
    <row r="2450" spans="1:1" s="22" customFormat="1" hidden="1">
      <c r="A2450" s="61"/>
    </row>
    <row r="2451" spans="1:1" s="22" customFormat="1" hidden="1">
      <c r="A2451" s="61"/>
    </row>
    <row r="2452" spans="1:1" s="22" customFormat="1" hidden="1">
      <c r="A2452" s="61"/>
    </row>
    <row r="2453" spans="1:1" s="22" customFormat="1" hidden="1">
      <c r="A2453" s="61"/>
    </row>
    <row r="2454" spans="1:1" s="22" customFormat="1" hidden="1">
      <c r="A2454" s="61"/>
    </row>
    <row r="2455" spans="1:1" s="22" customFormat="1" hidden="1">
      <c r="A2455" s="61"/>
    </row>
    <row r="2456" spans="1:1" s="22" customFormat="1" hidden="1">
      <c r="A2456" s="61"/>
    </row>
    <row r="2457" spans="1:1" s="22" customFormat="1" hidden="1">
      <c r="A2457" s="61"/>
    </row>
    <row r="2458" spans="1:1" s="22" customFormat="1" hidden="1">
      <c r="A2458" s="61"/>
    </row>
    <row r="2459" spans="1:1" s="22" customFormat="1" hidden="1">
      <c r="A2459" s="61"/>
    </row>
    <row r="2460" spans="1:1" s="22" customFormat="1" hidden="1">
      <c r="A2460" s="61"/>
    </row>
    <row r="2461" spans="1:1" s="22" customFormat="1" hidden="1">
      <c r="A2461" s="61"/>
    </row>
    <row r="2462" spans="1:1" s="22" customFormat="1" hidden="1">
      <c r="A2462" s="61"/>
    </row>
    <row r="2463" spans="1:1" s="22" customFormat="1" hidden="1">
      <c r="A2463" s="61"/>
    </row>
    <row r="2464" spans="1:1" s="22" customFormat="1" hidden="1">
      <c r="A2464" s="61"/>
    </row>
    <row r="2465" spans="1:1" s="22" customFormat="1" hidden="1">
      <c r="A2465" s="61"/>
    </row>
    <row r="2466" spans="1:1" s="22" customFormat="1" hidden="1">
      <c r="A2466" s="61"/>
    </row>
    <row r="2467" spans="1:1" s="22" customFormat="1" hidden="1">
      <c r="A2467" s="61"/>
    </row>
    <row r="2468" spans="1:1" s="22" customFormat="1" hidden="1">
      <c r="A2468" s="61"/>
    </row>
    <row r="2469" spans="1:1" s="22" customFormat="1" hidden="1">
      <c r="A2469" s="61"/>
    </row>
    <row r="2470" spans="1:1" s="22" customFormat="1" hidden="1">
      <c r="A2470" s="61"/>
    </row>
    <row r="2471" spans="1:1" s="22" customFormat="1" hidden="1">
      <c r="A2471" s="61"/>
    </row>
    <row r="2472" spans="1:1" s="22" customFormat="1" hidden="1">
      <c r="A2472" s="61"/>
    </row>
    <row r="2473" spans="1:1" s="22" customFormat="1" hidden="1">
      <c r="A2473" s="61"/>
    </row>
    <row r="2474" spans="1:1" s="22" customFormat="1" hidden="1">
      <c r="A2474" s="61"/>
    </row>
    <row r="2475" spans="1:1" s="22" customFormat="1" hidden="1">
      <c r="A2475" s="61"/>
    </row>
    <row r="2476" spans="1:1" s="22" customFormat="1" hidden="1">
      <c r="A2476" s="61"/>
    </row>
    <row r="2477" spans="1:1" s="22" customFormat="1" hidden="1">
      <c r="A2477" s="61"/>
    </row>
    <row r="2478" spans="1:1" s="22" customFormat="1" hidden="1">
      <c r="A2478" s="61"/>
    </row>
    <row r="2479" spans="1:1" s="22" customFormat="1" hidden="1">
      <c r="A2479" s="61"/>
    </row>
    <row r="2480" spans="1:1" s="22" customFormat="1" hidden="1">
      <c r="A2480" s="61"/>
    </row>
    <row r="2481" spans="1:1" s="22" customFormat="1" hidden="1">
      <c r="A2481" s="61"/>
    </row>
    <row r="2482" spans="1:1" s="22" customFormat="1" hidden="1">
      <c r="A2482" s="61"/>
    </row>
    <row r="2483" spans="1:1" s="22" customFormat="1" hidden="1">
      <c r="A2483" s="61"/>
    </row>
    <row r="2484" spans="1:1" s="22" customFormat="1" hidden="1">
      <c r="A2484" s="61"/>
    </row>
    <row r="2485" spans="1:1" s="22" customFormat="1" hidden="1">
      <c r="A2485" s="61"/>
    </row>
    <row r="2486" spans="1:1" s="22" customFormat="1" hidden="1">
      <c r="A2486" s="61"/>
    </row>
    <row r="2487" spans="1:1" s="22" customFormat="1" hidden="1">
      <c r="A2487" s="61"/>
    </row>
    <row r="2488" spans="1:1" s="22" customFormat="1" hidden="1">
      <c r="A2488" s="61"/>
    </row>
    <row r="2489" spans="1:1" s="22" customFormat="1" hidden="1">
      <c r="A2489" s="61"/>
    </row>
    <row r="2490" spans="1:1" s="22" customFormat="1" hidden="1">
      <c r="A2490" s="61"/>
    </row>
    <row r="2491" spans="1:1" s="22" customFormat="1" hidden="1">
      <c r="A2491" s="61"/>
    </row>
    <row r="2492" spans="1:1" s="22" customFormat="1" hidden="1">
      <c r="A2492" s="61"/>
    </row>
    <row r="2493" spans="1:1" s="22" customFormat="1" hidden="1">
      <c r="A2493" s="61"/>
    </row>
    <row r="2494" spans="1:1" s="22" customFormat="1" hidden="1">
      <c r="A2494" s="61"/>
    </row>
    <row r="2495" spans="1:1" s="22" customFormat="1" hidden="1">
      <c r="A2495" s="61"/>
    </row>
    <row r="2496" spans="1:1" s="22" customFormat="1" hidden="1">
      <c r="A2496" s="61"/>
    </row>
    <row r="2497" spans="1:1" s="22" customFormat="1" hidden="1">
      <c r="A2497" s="61"/>
    </row>
    <row r="2498" spans="1:1" s="22" customFormat="1" hidden="1">
      <c r="A2498" s="61"/>
    </row>
    <row r="2499" spans="1:1" s="22" customFormat="1" hidden="1">
      <c r="A2499" s="61"/>
    </row>
    <row r="2500" spans="1:1" s="22" customFormat="1" hidden="1">
      <c r="A2500" s="61"/>
    </row>
    <row r="2501" spans="1:1" s="22" customFormat="1" hidden="1">
      <c r="A2501" s="61"/>
    </row>
    <row r="2502" spans="1:1" s="22" customFormat="1" hidden="1">
      <c r="A2502" s="61"/>
    </row>
    <row r="2503" spans="1:1" s="22" customFormat="1" hidden="1">
      <c r="A2503" s="61"/>
    </row>
    <row r="2504" spans="1:1" s="22" customFormat="1" hidden="1">
      <c r="A2504" s="61"/>
    </row>
    <row r="2505" spans="1:1" s="22" customFormat="1" hidden="1">
      <c r="A2505" s="61"/>
    </row>
    <row r="2506" spans="1:1" s="22" customFormat="1" hidden="1">
      <c r="A2506" s="61"/>
    </row>
    <row r="2507" spans="1:1" s="22" customFormat="1" hidden="1">
      <c r="A2507" s="61"/>
    </row>
    <row r="2508" spans="1:1" s="22" customFormat="1" hidden="1">
      <c r="A2508" s="61"/>
    </row>
    <row r="2509" spans="1:1" s="22" customFormat="1" hidden="1">
      <c r="A2509" s="61"/>
    </row>
    <row r="2510" spans="1:1" s="22" customFormat="1" hidden="1">
      <c r="A2510" s="61"/>
    </row>
    <row r="2511" spans="1:1" s="22" customFormat="1" hidden="1">
      <c r="A2511" s="61"/>
    </row>
    <row r="2512" spans="1:1" s="22" customFormat="1" hidden="1">
      <c r="A2512" s="61"/>
    </row>
    <row r="2513" spans="1:1" s="22" customFormat="1" hidden="1">
      <c r="A2513" s="61"/>
    </row>
    <row r="2514" spans="1:1" s="22" customFormat="1" hidden="1">
      <c r="A2514" s="61"/>
    </row>
    <row r="2515" spans="1:1" s="22" customFormat="1" hidden="1">
      <c r="A2515" s="61"/>
    </row>
    <row r="2516" spans="1:1" s="22" customFormat="1" hidden="1">
      <c r="A2516" s="61"/>
    </row>
    <row r="2517" spans="1:1" s="22" customFormat="1" hidden="1">
      <c r="A2517" s="61"/>
    </row>
    <row r="2518" spans="1:1" s="22" customFormat="1" hidden="1">
      <c r="A2518" s="61"/>
    </row>
    <row r="2519" spans="1:1" s="22" customFormat="1" hidden="1">
      <c r="A2519" s="61"/>
    </row>
    <row r="2520" spans="1:1" s="22" customFormat="1" hidden="1">
      <c r="A2520" s="61"/>
    </row>
    <row r="2521" spans="1:1" s="22" customFormat="1" hidden="1">
      <c r="A2521" s="61"/>
    </row>
    <row r="2522" spans="1:1" s="22" customFormat="1" hidden="1">
      <c r="A2522" s="61"/>
    </row>
    <row r="2523" spans="1:1" s="22" customFormat="1" hidden="1">
      <c r="A2523" s="61"/>
    </row>
    <row r="2524" spans="1:1" s="22" customFormat="1" hidden="1">
      <c r="A2524" s="61"/>
    </row>
    <row r="2525" spans="1:1" s="22" customFormat="1" hidden="1">
      <c r="A2525" s="61"/>
    </row>
    <row r="2526" spans="1:1" s="22" customFormat="1" hidden="1">
      <c r="A2526" s="61"/>
    </row>
    <row r="2527" spans="1:1" s="22" customFormat="1" hidden="1">
      <c r="A2527" s="61"/>
    </row>
    <row r="2528" spans="1:1" s="22" customFormat="1" hidden="1">
      <c r="A2528" s="61"/>
    </row>
    <row r="2529" spans="1:1" s="22" customFormat="1" hidden="1">
      <c r="A2529" s="61"/>
    </row>
    <row r="2530" spans="1:1" s="22" customFormat="1" hidden="1">
      <c r="A2530" s="61"/>
    </row>
    <row r="2531" spans="1:1" s="22" customFormat="1" hidden="1">
      <c r="A2531" s="61"/>
    </row>
    <row r="2532" spans="1:1" s="22" customFormat="1" hidden="1">
      <c r="A2532" s="61"/>
    </row>
    <row r="2533" spans="1:1" s="22" customFormat="1" hidden="1">
      <c r="A2533" s="61"/>
    </row>
    <row r="2534" spans="1:1" s="22" customFormat="1" hidden="1">
      <c r="A2534" s="61"/>
    </row>
    <row r="2535" spans="1:1" s="22" customFormat="1" hidden="1">
      <c r="A2535" s="61"/>
    </row>
    <row r="2536" spans="1:1" s="22" customFormat="1" hidden="1">
      <c r="A2536" s="61"/>
    </row>
    <row r="2537" spans="1:1" s="22" customFormat="1" hidden="1">
      <c r="A2537" s="61"/>
    </row>
    <row r="2538" spans="1:1" s="22" customFormat="1" hidden="1">
      <c r="A2538" s="61"/>
    </row>
    <row r="2539" spans="1:1" s="22" customFormat="1" hidden="1">
      <c r="A2539" s="61"/>
    </row>
    <row r="2540" spans="1:1" s="22" customFormat="1" hidden="1">
      <c r="A2540" s="61"/>
    </row>
    <row r="2541" spans="1:1" s="22" customFormat="1" hidden="1">
      <c r="A2541" s="61"/>
    </row>
    <row r="2542" spans="1:1" s="22" customFormat="1" hidden="1">
      <c r="A2542" s="61"/>
    </row>
    <row r="2543" spans="1:1" s="22" customFormat="1" hidden="1">
      <c r="A2543" s="61"/>
    </row>
    <row r="2544" spans="1:1" s="22" customFormat="1" hidden="1">
      <c r="A2544" s="61"/>
    </row>
    <row r="2545" spans="1:1" s="22" customFormat="1" hidden="1">
      <c r="A2545" s="61"/>
    </row>
    <row r="2546" spans="1:1" s="22" customFormat="1" hidden="1">
      <c r="A2546" s="61"/>
    </row>
    <row r="2547" spans="1:1" s="22" customFormat="1" hidden="1">
      <c r="A2547" s="61"/>
    </row>
    <row r="2548" spans="1:1" s="22" customFormat="1" hidden="1">
      <c r="A2548" s="61"/>
    </row>
    <row r="2549" spans="1:1" s="22" customFormat="1" hidden="1">
      <c r="A2549" s="61"/>
    </row>
    <row r="2550" spans="1:1" s="22" customFormat="1" hidden="1">
      <c r="A2550" s="61"/>
    </row>
    <row r="2551" spans="1:1" s="22" customFormat="1" hidden="1">
      <c r="A2551" s="61"/>
    </row>
    <row r="2552" spans="1:1" s="22" customFormat="1" hidden="1">
      <c r="A2552" s="61"/>
    </row>
    <row r="2553" spans="1:1" s="22" customFormat="1" hidden="1">
      <c r="A2553" s="61"/>
    </row>
    <row r="2554" spans="1:1" s="22" customFormat="1" hidden="1">
      <c r="A2554" s="61"/>
    </row>
    <row r="2555" spans="1:1" s="22" customFormat="1" hidden="1">
      <c r="A2555" s="61"/>
    </row>
    <row r="2556" spans="1:1" s="22" customFormat="1" hidden="1">
      <c r="A2556" s="61"/>
    </row>
    <row r="2557" spans="1:1" s="22" customFormat="1" hidden="1">
      <c r="A2557" s="61"/>
    </row>
    <row r="2558" spans="1:1" s="22" customFormat="1" hidden="1">
      <c r="A2558" s="61"/>
    </row>
    <row r="2559" spans="1:1" s="22" customFormat="1" hidden="1">
      <c r="A2559" s="61"/>
    </row>
    <row r="2560" spans="1:1" s="22" customFormat="1" hidden="1">
      <c r="A2560" s="61"/>
    </row>
    <row r="2561" spans="1:1" s="22" customFormat="1" hidden="1">
      <c r="A2561" s="61"/>
    </row>
    <row r="2562" spans="1:1" s="22" customFormat="1" hidden="1">
      <c r="A2562" s="61"/>
    </row>
    <row r="2563" spans="1:1" s="22" customFormat="1" hidden="1">
      <c r="A2563" s="61"/>
    </row>
    <row r="2564" spans="1:1" s="22" customFormat="1" hidden="1">
      <c r="A2564" s="61"/>
    </row>
    <row r="2565" spans="1:1" s="22" customFormat="1" hidden="1">
      <c r="A2565" s="61"/>
    </row>
    <row r="2566" spans="1:1" s="22" customFormat="1" hidden="1">
      <c r="A2566" s="61"/>
    </row>
    <row r="2567" spans="1:1" s="22" customFormat="1" hidden="1">
      <c r="A2567" s="61"/>
    </row>
    <row r="2568" spans="1:1" s="22" customFormat="1" hidden="1">
      <c r="A2568" s="61"/>
    </row>
    <row r="2569" spans="1:1" s="22" customFormat="1" hidden="1">
      <c r="A2569" s="61"/>
    </row>
    <row r="2570" spans="1:1" s="22" customFormat="1" hidden="1">
      <c r="A2570" s="61"/>
    </row>
    <row r="2571" spans="1:1" s="22" customFormat="1" hidden="1">
      <c r="A2571" s="61"/>
    </row>
    <row r="2572" spans="1:1" s="22" customFormat="1" hidden="1">
      <c r="A2572" s="61"/>
    </row>
    <row r="2573" spans="1:1" s="22" customFormat="1" hidden="1">
      <c r="A2573" s="61"/>
    </row>
    <row r="2574" spans="1:1" s="22" customFormat="1" hidden="1">
      <c r="A2574" s="61"/>
    </row>
    <row r="2575" spans="1:1" s="22" customFormat="1" hidden="1">
      <c r="A2575" s="61"/>
    </row>
    <row r="2576" spans="1:1" s="22" customFormat="1" hidden="1">
      <c r="A2576" s="61"/>
    </row>
    <row r="2577" spans="1:1" s="22" customFormat="1" hidden="1">
      <c r="A2577" s="61"/>
    </row>
    <row r="2578" spans="1:1" s="22" customFormat="1" hidden="1">
      <c r="A2578" s="61"/>
    </row>
    <row r="2579" spans="1:1" s="22" customFormat="1" hidden="1">
      <c r="A2579" s="61"/>
    </row>
    <row r="2580" spans="1:1" s="22" customFormat="1" hidden="1">
      <c r="A2580" s="61"/>
    </row>
    <row r="2581" spans="1:1" s="22" customFormat="1" hidden="1">
      <c r="A2581" s="61"/>
    </row>
    <row r="2582" spans="1:1" s="22" customFormat="1" hidden="1">
      <c r="A2582" s="61"/>
    </row>
    <row r="2583" spans="1:1" s="22" customFormat="1" hidden="1">
      <c r="A2583" s="61"/>
    </row>
    <row r="2584" spans="1:1" s="22" customFormat="1" hidden="1">
      <c r="A2584" s="61"/>
    </row>
    <row r="2585" spans="1:1" s="22" customFormat="1" hidden="1">
      <c r="A2585" s="61"/>
    </row>
    <row r="2586" spans="1:1" s="22" customFormat="1" hidden="1">
      <c r="A2586" s="61"/>
    </row>
    <row r="2587" spans="1:1" s="22" customFormat="1" hidden="1">
      <c r="A2587" s="61"/>
    </row>
    <row r="2588" spans="1:1" s="22" customFormat="1" hidden="1">
      <c r="A2588" s="61"/>
    </row>
    <row r="2589" spans="1:1" s="22" customFormat="1" hidden="1">
      <c r="A2589" s="61"/>
    </row>
    <row r="2590" spans="1:1" s="22" customFormat="1" hidden="1">
      <c r="A2590" s="61"/>
    </row>
    <row r="2591" spans="1:1" s="22" customFormat="1" hidden="1">
      <c r="A2591" s="61"/>
    </row>
    <row r="2592" spans="1:1" s="22" customFormat="1" hidden="1">
      <c r="A2592" s="61"/>
    </row>
    <row r="2593" spans="1:1" s="22" customFormat="1" hidden="1">
      <c r="A2593" s="61"/>
    </row>
    <row r="2594" spans="1:1" s="22" customFormat="1" hidden="1">
      <c r="A2594" s="61"/>
    </row>
    <row r="2595" spans="1:1" s="22" customFormat="1" hidden="1">
      <c r="A2595" s="61"/>
    </row>
    <row r="2596" spans="1:1" s="22" customFormat="1" hidden="1">
      <c r="A2596" s="61"/>
    </row>
    <row r="2597" spans="1:1" s="22" customFormat="1" hidden="1">
      <c r="A2597" s="61"/>
    </row>
    <row r="2598" spans="1:1" s="22" customFormat="1" hidden="1">
      <c r="A2598" s="61"/>
    </row>
    <row r="2599" spans="1:1" s="22" customFormat="1" hidden="1">
      <c r="A2599" s="61"/>
    </row>
    <row r="2600" spans="1:1" s="22" customFormat="1" hidden="1">
      <c r="A2600" s="61"/>
    </row>
    <row r="2601" spans="1:1" s="22" customFormat="1" hidden="1">
      <c r="A2601" s="61"/>
    </row>
    <row r="2602" spans="1:1" s="22" customFormat="1" hidden="1">
      <c r="A2602" s="61"/>
    </row>
    <row r="2603" spans="1:1" s="22" customFormat="1" hidden="1">
      <c r="A2603" s="61"/>
    </row>
    <row r="2604" spans="1:1" s="22" customFormat="1" hidden="1">
      <c r="A2604" s="61"/>
    </row>
    <row r="2605" spans="1:1" s="22" customFormat="1" hidden="1">
      <c r="A2605" s="61"/>
    </row>
    <row r="2606" spans="1:1" s="22" customFormat="1" hidden="1">
      <c r="A2606" s="61"/>
    </row>
    <row r="2607" spans="1:1" s="22" customFormat="1" hidden="1">
      <c r="A2607" s="61"/>
    </row>
    <row r="2608" spans="1:1" s="22" customFormat="1" hidden="1">
      <c r="A2608" s="61"/>
    </row>
    <row r="2609" spans="1:1" s="22" customFormat="1" hidden="1">
      <c r="A2609" s="61"/>
    </row>
    <row r="2610" spans="1:1" s="22" customFormat="1" hidden="1">
      <c r="A2610" s="61"/>
    </row>
    <row r="2611" spans="1:1" s="22" customFormat="1" hidden="1">
      <c r="A2611" s="61"/>
    </row>
    <row r="2612" spans="1:1" s="22" customFormat="1" hidden="1">
      <c r="A2612" s="61"/>
    </row>
    <row r="2613" spans="1:1" s="22" customFormat="1" hidden="1">
      <c r="A2613" s="61"/>
    </row>
    <row r="2614" spans="1:1" s="22" customFormat="1" hidden="1">
      <c r="A2614" s="61"/>
    </row>
    <row r="2615" spans="1:1" s="22" customFormat="1" hidden="1">
      <c r="A2615" s="61"/>
    </row>
    <row r="2616" spans="1:1" s="22" customFormat="1" hidden="1">
      <c r="A2616" s="61"/>
    </row>
    <row r="2617" spans="1:1" s="22" customFormat="1" hidden="1">
      <c r="A2617" s="61"/>
    </row>
    <row r="2618" spans="1:1" s="22" customFormat="1" hidden="1">
      <c r="A2618" s="61"/>
    </row>
    <row r="2619" spans="1:1" s="22" customFormat="1" hidden="1">
      <c r="A2619" s="61"/>
    </row>
    <row r="2620" spans="1:1" s="22" customFormat="1" hidden="1">
      <c r="A2620" s="61"/>
    </row>
    <row r="2621" spans="1:1" s="22" customFormat="1" hidden="1">
      <c r="A2621" s="61"/>
    </row>
    <row r="2622" spans="1:1" s="22" customFormat="1" hidden="1">
      <c r="A2622" s="61"/>
    </row>
    <row r="2623" spans="1:1" s="22" customFormat="1" hidden="1">
      <c r="A2623" s="61"/>
    </row>
    <row r="2624" spans="1:1" s="22" customFormat="1" hidden="1">
      <c r="A2624" s="61"/>
    </row>
    <row r="2625" spans="1:1" s="22" customFormat="1" hidden="1">
      <c r="A2625" s="61"/>
    </row>
    <row r="2626" spans="1:1" s="22" customFormat="1" hidden="1">
      <c r="A2626" s="61"/>
    </row>
    <row r="2627" spans="1:1" s="22" customFormat="1" hidden="1">
      <c r="A2627" s="61"/>
    </row>
    <row r="2628" spans="1:1" s="22" customFormat="1" hidden="1">
      <c r="A2628" s="61"/>
    </row>
    <row r="2629" spans="1:1" s="22" customFormat="1" hidden="1">
      <c r="A2629" s="61"/>
    </row>
    <row r="2630" spans="1:1" s="22" customFormat="1" hidden="1">
      <c r="A2630" s="61"/>
    </row>
    <row r="2631" spans="1:1" s="22" customFormat="1" hidden="1">
      <c r="A2631" s="61"/>
    </row>
    <row r="2632" spans="1:1" s="22" customFormat="1" hidden="1">
      <c r="A2632" s="61"/>
    </row>
    <row r="2633" spans="1:1" s="22" customFormat="1" hidden="1">
      <c r="A2633" s="61"/>
    </row>
    <row r="2634" spans="1:1" s="22" customFormat="1" hidden="1">
      <c r="A2634" s="61"/>
    </row>
    <row r="2635" spans="1:1" s="22" customFormat="1" hidden="1">
      <c r="A2635" s="61"/>
    </row>
    <row r="2636" spans="1:1" s="22" customFormat="1" hidden="1">
      <c r="A2636" s="61"/>
    </row>
    <row r="2637" spans="1:1" s="22" customFormat="1" hidden="1">
      <c r="A2637" s="61"/>
    </row>
    <row r="2638" spans="1:1" s="22" customFormat="1" hidden="1">
      <c r="A2638" s="61"/>
    </row>
    <row r="2639" spans="1:1" s="22" customFormat="1" hidden="1">
      <c r="A2639" s="61"/>
    </row>
    <row r="2640" spans="1:1" s="22" customFormat="1" hidden="1">
      <c r="A2640" s="61"/>
    </row>
    <row r="2641" spans="1:1" s="22" customFormat="1" hidden="1">
      <c r="A2641" s="61"/>
    </row>
    <row r="2642" spans="1:1" s="22" customFormat="1" hidden="1">
      <c r="A2642" s="61"/>
    </row>
    <row r="2643" spans="1:1" s="22" customFormat="1" hidden="1">
      <c r="A2643" s="61"/>
    </row>
    <row r="2644" spans="1:1" s="22" customFormat="1" hidden="1">
      <c r="A2644" s="61"/>
    </row>
    <row r="2645" spans="1:1" s="22" customFormat="1" hidden="1">
      <c r="A2645" s="61"/>
    </row>
    <row r="2646" spans="1:1" s="22" customFormat="1" hidden="1">
      <c r="A2646" s="61"/>
    </row>
    <row r="2647" spans="1:1" s="22" customFormat="1" hidden="1">
      <c r="A2647" s="61"/>
    </row>
    <row r="2648" spans="1:1" s="22" customFormat="1" hidden="1">
      <c r="A2648" s="61"/>
    </row>
    <row r="2649" spans="1:1" s="22" customFormat="1" hidden="1">
      <c r="A2649" s="61"/>
    </row>
    <row r="2650" spans="1:1" s="22" customFormat="1" hidden="1">
      <c r="A2650" s="61"/>
    </row>
    <row r="2651" spans="1:1" s="22" customFormat="1" hidden="1">
      <c r="A2651" s="61"/>
    </row>
    <row r="2652" spans="1:1" s="22" customFormat="1" hidden="1">
      <c r="A2652" s="61"/>
    </row>
    <row r="2653" spans="1:1" s="22" customFormat="1" hidden="1">
      <c r="A2653" s="61"/>
    </row>
    <row r="2654" spans="1:1" s="22" customFormat="1" hidden="1">
      <c r="A2654" s="61"/>
    </row>
    <row r="2655" spans="1:1" s="22" customFormat="1" hidden="1">
      <c r="A2655" s="61"/>
    </row>
    <row r="2656" spans="1:1" s="22" customFormat="1" hidden="1">
      <c r="A2656" s="61"/>
    </row>
    <row r="2657" spans="1:1" s="22" customFormat="1" hidden="1">
      <c r="A2657" s="61"/>
    </row>
    <row r="2658" spans="1:1" s="22" customFormat="1" hidden="1">
      <c r="A2658" s="61"/>
    </row>
    <row r="2659" spans="1:1" s="22" customFormat="1" hidden="1">
      <c r="A2659" s="61"/>
    </row>
    <row r="2660" spans="1:1" s="22" customFormat="1" hidden="1">
      <c r="A2660" s="61"/>
    </row>
    <row r="2661" spans="1:1" s="22" customFormat="1" hidden="1">
      <c r="A2661" s="61"/>
    </row>
    <row r="2662" spans="1:1" s="22" customFormat="1" hidden="1">
      <c r="A2662" s="61"/>
    </row>
    <row r="2663" spans="1:1" s="22" customFormat="1" hidden="1">
      <c r="A2663" s="61"/>
    </row>
    <row r="2664" spans="1:1" s="22" customFormat="1" hidden="1">
      <c r="A2664" s="61"/>
    </row>
    <row r="2665" spans="1:1" s="22" customFormat="1" hidden="1">
      <c r="A2665" s="61"/>
    </row>
    <row r="2666" spans="1:1" s="22" customFormat="1" hidden="1">
      <c r="A2666" s="61"/>
    </row>
    <row r="2667" spans="1:1" s="22" customFormat="1" hidden="1">
      <c r="A2667" s="61"/>
    </row>
    <row r="2668" spans="1:1" s="22" customFormat="1" hidden="1">
      <c r="A2668" s="61"/>
    </row>
    <row r="2669" spans="1:1" s="22" customFormat="1" hidden="1">
      <c r="A2669" s="61"/>
    </row>
    <row r="2670" spans="1:1" s="22" customFormat="1" hidden="1">
      <c r="A2670" s="61"/>
    </row>
    <row r="2671" spans="1:1" s="22" customFormat="1" hidden="1">
      <c r="A2671" s="61"/>
    </row>
    <row r="2672" spans="1:1" s="22" customFormat="1" hidden="1">
      <c r="A2672" s="61"/>
    </row>
    <row r="2673" spans="1:1" s="22" customFormat="1" hidden="1">
      <c r="A2673" s="61"/>
    </row>
    <row r="2674" spans="1:1" s="22" customFormat="1" hidden="1">
      <c r="A2674" s="61"/>
    </row>
    <row r="2675" spans="1:1" s="22" customFormat="1" hidden="1">
      <c r="A2675" s="61"/>
    </row>
    <row r="2676" spans="1:1" s="22" customFormat="1" hidden="1">
      <c r="A2676" s="61"/>
    </row>
    <row r="2677" spans="1:1" s="22" customFormat="1" hidden="1">
      <c r="A2677" s="61"/>
    </row>
    <row r="2678" spans="1:1" s="22" customFormat="1" hidden="1">
      <c r="A2678" s="61"/>
    </row>
    <row r="2679" spans="1:1" s="22" customFormat="1" hidden="1">
      <c r="A2679" s="61"/>
    </row>
    <row r="2680" spans="1:1" s="22" customFormat="1" hidden="1">
      <c r="A2680" s="61"/>
    </row>
    <row r="2681" spans="1:1" s="22" customFormat="1" hidden="1">
      <c r="A2681" s="61"/>
    </row>
    <row r="2682" spans="1:1" s="22" customFormat="1" hidden="1">
      <c r="A2682" s="61"/>
    </row>
    <row r="2683" spans="1:1" s="22" customFormat="1" hidden="1">
      <c r="A2683" s="61"/>
    </row>
    <row r="2684" spans="1:1" s="22" customFormat="1" hidden="1">
      <c r="A2684" s="61"/>
    </row>
    <row r="2685" spans="1:1" s="22" customFormat="1" hidden="1">
      <c r="A2685" s="61"/>
    </row>
    <row r="2686" spans="1:1" s="22" customFormat="1" hidden="1">
      <c r="A2686" s="61"/>
    </row>
    <row r="2687" spans="1:1" s="22" customFormat="1" hidden="1">
      <c r="A2687" s="61"/>
    </row>
    <row r="2688" spans="1:1" s="22" customFormat="1" hidden="1">
      <c r="A2688" s="61"/>
    </row>
    <row r="2689" spans="1:1" s="22" customFormat="1" hidden="1">
      <c r="A2689" s="61"/>
    </row>
    <row r="2690" spans="1:1" s="22" customFormat="1" hidden="1">
      <c r="A2690" s="61"/>
    </row>
    <row r="2691" spans="1:1" s="22" customFormat="1" hidden="1">
      <c r="A2691" s="61"/>
    </row>
    <row r="2692" spans="1:1" s="22" customFormat="1" hidden="1">
      <c r="A2692" s="61"/>
    </row>
    <row r="2693" spans="1:1" s="22" customFormat="1" hidden="1">
      <c r="A2693" s="61"/>
    </row>
    <row r="2694" spans="1:1" s="22" customFormat="1" hidden="1">
      <c r="A2694" s="61"/>
    </row>
    <row r="2695" spans="1:1" s="22" customFormat="1" hidden="1">
      <c r="A2695" s="61"/>
    </row>
    <row r="2696" spans="1:1" s="22" customFormat="1" hidden="1">
      <c r="A2696" s="61"/>
    </row>
    <row r="2697" spans="1:1" s="22" customFormat="1" hidden="1">
      <c r="A2697" s="61"/>
    </row>
    <row r="2698" spans="1:1" s="22" customFormat="1" hidden="1">
      <c r="A2698" s="61"/>
    </row>
    <row r="2699" spans="1:1" s="22" customFormat="1" hidden="1">
      <c r="A2699" s="61"/>
    </row>
    <row r="2700" spans="1:1" s="22" customFormat="1" hidden="1">
      <c r="A2700" s="61"/>
    </row>
    <row r="2701" spans="1:1" s="22" customFormat="1" hidden="1">
      <c r="A2701" s="61"/>
    </row>
    <row r="2702" spans="1:1" s="22" customFormat="1" hidden="1">
      <c r="A2702" s="61"/>
    </row>
    <row r="2703" spans="1:1" s="22" customFormat="1" hidden="1">
      <c r="A2703" s="61"/>
    </row>
    <row r="2704" spans="1:1" s="22" customFormat="1" hidden="1">
      <c r="A2704" s="61"/>
    </row>
    <row r="2705" spans="1:1" s="22" customFormat="1" hidden="1">
      <c r="A2705" s="61"/>
    </row>
    <row r="2706" spans="1:1" s="22" customFormat="1" hidden="1">
      <c r="A2706" s="61"/>
    </row>
    <row r="2707" spans="1:1" s="22" customFormat="1" hidden="1">
      <c r="A2707" s="61"/>
    </row>
    <row r="2708" spans="1:1" s="22" customFormat="1" hidden="1">
      <c r="A2708" s="61"/>
    </row>
    <row r="2709" spans="1:1" s="22" customFormat="1" hidden="1">
      <c r="A2709" s="61"/>
    </row>
    <row r="2710" spans="1:1" s="22" customFormat="1" hidden="1">
      <c r="A2710" s="61"/>
    </row>
    <row r="2711" spans="1:1" s="22" customFormat="1" hidden="1">
      <c r="A2711" s="61"/>
    </row>
    <row r="2712" spans="1:1" s="22" customFormat="1" hidden="1">
      <c r="A2712" s="61"/>
    </row>
    <row r="2713" spans="1:1" s="22" customFormat="1" hidden="1">
      <c r="A2713" s="61"/>
    </row>
    <row r="2714" spans="1:1" s="22" customFormat="1" hidden="1">
      <c r="A2714" s="61"/>
    </row>
    <row r="2715" spans="1:1" s="22" customFormat="1" hidden="1">
      <c r="A2715" s="61"/>
    </row>
    <row r="2716" spans="1:1" s="22" customFormat="1" hidden="1">
      <c r="A2716" s="61"/>
    </row>
    <row r="2717" spans="1:1" s="22" customFormat="1" hidden="1">
      <c r="A2717" s="61"/>
    </row>
    <row r="2718" spans="1:1" s="22" customFormat="1" hidden="1">
      <c r="A2718" s="61"/>
    </row>
    <row r="2719" spans="1:1" s="22" customFormat="1" hidden="1">
      <c r="A2719" s="61"/>
    </row>
    <row r="2720" spans="1:1" s="22" customFormat="1" hidden="1">
      <c r="A2720" s="61"/>
    </row>
    <row r="2721" spans="1:1" s="22" customFormat="1" hidden="1">
      <c r="A2721" s="61"/>
    </row>
    <row r="2722" spans="1:1" s="22" customFormat="1" hidden="1">
      <c r="A2722" s="61"/>
    </row>
    <row r="2723" spans="1:1" s="22" customFormat="1" hidden="1">
      <c r="A2723" s="61"/>
    </row>
    <row r="2724" spans="1:1" s="22" customFormat="1" hidden="1">
      <c r="A2724" s="61"/>
    </row>
    <row r="2725" spans="1:1" s="22" customFormat="1" hidden="1">
      <c r="A2725" s="61"/>
    </row>
    <row r="2726" spans="1:1" s="22" customFormat="1" hidden="1">
      <c r="A2726" s="61"/>
    </row>
    <row r="2727" spans="1:1" s="22" customFormat="1" hidden="1">
      <c r="A2727" s="61"/>
    </row>
    <row r="2728" spans="1:1" s="22" customFormat="1" hidden="1">
      <c r="A2728" s="61"/>
    </row>
    <row r="2729" spans="1:1" s="22" customFormat="1" hidden="1">
      <c r="A2729" s="61"/>
    </row>
    <row r="2730" spans="1:1" s="22" customFormat="1" hidden="1">
      <c r="A2730" s="61"/>
    </row>
    <row r="2731" spans="1:1" s="22" customFormat="1" hidden="1">
      <c r="A2731" s="61"/>
    </row>
    <row r="2732" spans="1:1" s="22" customFormat="1" hidden="1">
      <c r="A2732" s="61"/>
    </row>
    <row r="2733" spans="1:1" s="22" customFormat="1" hidden="1">
      <c r="A2733" s="61"/>
    </row>
    <row r="2734" spans="1:1" s="22" customFormat="1" hidden="1">
      <c r="A2734" s="61"/>
    </row>
    <row r="2735" spans="1:1" s="22" customFormat="1" hidden="1">
      <c r="A2735" s="61"/>
    </row>
    <row r="2736" spans="1:1" s="22" customFormat="1" hidden="1">
      <c r="A2736" s="61"/>
    </row>
    <row r="2737" spans="1:1" s="22" customFormat="1" hidden="1">
      <c r="A2737" s="61"/>
    </row>
    <row r="2738" spans="1:1" s="22" customFormat="1" hidden="1">
      <c r="A2738" s="61"/>
    </row>
    <row r="2739" spans="1:1" s="22" customFormat="1" hidden="1">
      <c r="A2739" s="61"/>
    </row>
    <row r="2740" spans="1:1" s="22" customFormat="1" hidden="1">
      <c r="A2740" s="61"/>
    </row>
    <row r="2741" spans="1:1" s="22" customFormat="1" hidden="1">
      <c r="A2741" s="61"/>
    </row>
    <row r="2742" spans="1:1" s="22" customFormat="1" hidden="1">
      <c r="A2742" s="61"/>
    </row>
    <row r="2743" spans="1:1" s="22" customFormat="1" hidden="1">
      <c r="A2743" s="61"/>
    </row>
    <row r="2744" spans="1:1" s="22" customFormat="1" hidden="1">
      <c r="A2744" s="61"/>
    </row>
    <row r="2745" spans="1:1" s="22" customFormat="1" hidden="1">
      <c r="A2745" s="61"/>
    </row>
    <row r="2746" spans="1:1" s="22" customFormat="1" hidden="1">
      <c r="A2746" s="61"/>
    </row>
    <row r="2747" spans="1:1" s="22" customFormat="1" hidden="1">
      <c r="A2747" s="61"/>
    </row>
    <row r="2748" spans="1:1" s="22" customFormat="1" hidden="1">
      <c r="A2748" s="61"/>
    </row>
    <row r="2749" spans="1:1" s="22" customFormat="1" hidden="1">
      <c r="A2749" s="61"/>
    </row>
    <row r="2750" spans="1:1" s="22" customFormat="1" hidden="1">
      <c r="A2750" s="61"/>
    </row>
    <row r="2751" spans="1:1" s="22" customFormat="1" hidden="1">
      <c r="A2751" s="61"/>
    </row>
    <row r="2752" spans="1:1" s="22" customFormat="1" hidden="1">
      <c r="A2752" s="61"/>
    </row>
    <row r="2753" spans="1:1" s="22" customFormat="1" hidden="1">
      <c r="A2753" s="61"/>
    </row>
    <row r="2754" spans="1:1" s="22" customFormat="1" hidden="1">
      <c r="A2754" s="61"/>
    </row>
    <row r="2755" spans="1:1" s="22" customFormat="1" hidden="1">
      <c r="A2755" s="61"/>
    </row>
    <row r="2756" spans="1:1" s="22" customFormat="1" hidden="1">
      <c r="A2756" s="61"/>
    </row>
    <row r="2757" spans="1:1" s="22" customFormat="1" hidden="1">
      <c r="A2757" s="61"/>
    </row>
    <row r="2758" spans="1:1" s="22" customFormat="1" hidden="1">
      <c r="A2758" s="61"/>
    </row>
    <row r="2759" spans="1:1" s="22" customFormat="1" hidden="1">
      <c r="A2759" s="61"/>
    </row>
    <row r="2760" spans="1:1" s="22" customFormat="1" hidden="1">
      <c r="A2760" s="61"/>
    </row>
    <row r="2761" spans="1:1" s="22" customFormat="1" hidden="1">
      <c r="A2761" s="61"/>
    </row>
    <row r="2762" spans="1:1" s="22" customFormat="1" hidden="1">
      <c r="A2762" s="61"/>
    </row>
    <row r="2763" spans="1:1" s="22" customFormat="1" hidden="1">
      <c r="A2763" s="61"/>
    </row>
    <row r="2764" spans="1:1" s="22" customFormat="1" hidden="1">
      <c r="A2764" s="61"/>
    </row>
    <row r="2765" spans="1:1" s="22" customFormat="1" hidden="1">
      <c r="A2765" s="61"/>
    </row>
    <row r="2766" spans="1:1" s="22" customFormat="1" hidden="1">
      <c r="A2766" s="61"/>
    </row>
    <row r="2767" spans="1:1" s="22" customFormat="1" hidden="1">
      <c r="A2767" s="61"/>
    </row>
    <row r="2768" spans="1:1" s="22" customFormat="1" hidden="1">
      <c r="A2768" s="61"/>
    </row>
    <row r="2769" spans="1:1" s="22" customFormat="1" hidden="1">
      <c r="A2769" s="61"/>
    </row>
    <row r="2770" spans="1:1" s="22" customFormat="1" hidden="1">
      <c r="A2770" s="61"/>
    </row>
    <row r="2771" spans="1:1" s="22" customFormat="1" hidden="1">
      <c r="A2771" s="61"/>
    </row>
    <row r="2772" spans="1:1" s="22" customFormat="1" hidden="1">
      <c r="A2772" s="61"/>
    </row>
    <row r="2773" spans="1:1" s="22" customFormat="1" hidden="1">
      <c r="A2773" s="61"/>
    </row>
    <row r="2774" spans="1:1" s="22" customFormat="1" hidden="1">
      <c r="A2774" s="61"/>
    </row>
    <row r="2775" spans="1:1" s="22" customFormat="1" hidden="1">
      <c r="A2775" s="61"/>
    </row>
    <row r="2776" spans="1:1" s="22" customFormat="1" hidden="1">
      <c r="A2776" s="61"/>
    </row>
    <row r="2777" spans="1:1" s="22" customFormat="1" hidden="1">
      <c r="A2777" s="61"/>
    </row>
    <row r="2778" spans="1:1" s="22" customFormat="1" hidden="1">
      <c r="A2778" s="61"/>
    </row>
    <row r="2779" spans="1:1" s="22" customFormat="1" hidden="1">
      <c r="A2779" s="61"/>
    </row>
    <row r="2780" spans="1:1" s="22" customFormat="1" hidden="1">
      <c r="A2780" s="61"/>
    </row>
    <row r="2781" spans="1:1" s="22" customFormat="1" hidden="1">
      <c r="A2781" s="61"/>
    </row>
    <row r="2782" spans="1:1" s="22" customFormat="1" hidden="1">
      <c r="A2782" s="61"/>
    </row>
    <row r="2783" spans="1:1" s="22" customFormat="1" hidden="1">
      <c r="A2783" s="61"/>
    </row>
    <row r="2784" spans="1:1" s="22" customFormat="1" hidden="1">
      <c r="A2784" s="61"/>
    </row>
    <row r="2785" spans="1:1" s="22" customFormat="1" hidden="1">
      <c r="A2785" s="61"/>
    </row>
    <row r="2786" spans="1:1" s="22" customFormat="1" hidden="1">
      <c r="A2786" s="61"/>
    </row>
    <row r="2787" spans="1:1" s="22" customFormat="1" hidden="1">
      <c r="A2787" s="61"/>
    </row>
    <row r="2788" spans="1:1" s="22" customFormat="1" hidden="1">
      <c r="A2788" s="61"/>
    </row>
    <row r="2789" spans="1:1" s="22" customFormat="1" hidden="1">
      <c r="A2789" s="61"/>
    </row>
    <row r="2790" spans="1:1" s="22" customFormat="1" hidden="1">
      <c r="A2790" s="61"/>
    </row>
    <row r="2791" spans="1:1" s="22" customFormat="1" hidden="1">
      <c r="A2791" s="61"/>
    </row>
    <row r="2792" spans="1:1" s="22" customFormat="1" hidden="1">
      <c r="A2792" s="61"/>
    </row>
    <row r="2793" spans="1:1" s="22" customFormat="1" hidden="1">
      <c r="A2793" s="61"/>
    </row>
    <row r="2794" spans="1:1" s="22" customFormat="1" hidden="1">
      <c r="A2794" s="61"/>
    </row>
    <row r="2795" spans="1:1" s="22" customFormat="1" hidden="1">
      <c r="A2795" s="61"/>
    </row>
    <row r="2796" spans="1:1" s="22" customFormat="1" hidden="1">
      <c r="A2796" s="61"/>
    </row>
    <row r="2797" spans="1:1" s="22" customFormat="1" hidden="1">
      <c r="A2797" s="61"/>
    </row>
    <row r="2798" spans="1:1" s="22" customFormat="1" hidden="1">
      <c r="A2798" s="61"/>
    </row>
    <row r="2799" spans="1:1" s="22" customFormat="1" hidden="1">
      <c r="A2799" s="61"/>
    </row>
    <row r="2800" spans="1:1" s="22" customFormat="1" hidden="1">
      <c r="A2800" s="61"/>
    </row>
    <row r="2801" spans="1:1" s="22" customFormat="1" hidden="1">
      <c r="A2801" s="61"/>
    </row>
    <row r="2802" spans="1:1" s="22" customFormat="1" hidden="1">
      <c r="A2802" s="61"/>
    </row>
    <row r="2803" spans="1:1" s="22" customFormat="1" hidden="1">
      <c r="A2803" s="61"/>
    </row>
    <row r="2804" spans="1:1" s="22" customFormat="1" hidden="1">
      <c r="A2804" s="61"/>
    </row>
    <row r="2805" spans="1:1" s="22" customFormat="1" hidden="1">
      <c r="A2805" s="61"/>
    </row>
    <row r="2806" spans="1:1" s="22" customFormat="1" hidden="1">
      <c r="A2806" s="61"/>
    </row>
    <row r="2807" spans="1:1" s="22" customFormat="1" hidden="1">
      <c r="A2807" s="61"/>
    </row>
    <row r="2808" spans="1:1" s="22" customFormat="1" hidden="1">
      <c r="A2808" s="61"/>
    </row>
    <row r="2809" spans="1:1" s="22" customFormat="1" hidden="1">
      <c r="A2809" s="61"/>
    </row>
    <row r="2810" spans="1:1" s="22" customFormat="1" hidden="1">
      <c r="A2810" s="61"/>
    </row>
    <row r="2811" spans="1:1" s="22" customFormat="1" hidden="1">
      <c r="A2811" s="61"/>
    </row>
    <row r="2812" spans="1:1" s="22" customFormat="1" hidden="1">
      <c r="A2812" s="61"/>
    </row>
    <row r="2813" spans="1:1" s="22" customFormat="1" hidden="1">
      <c r="A2813" s="61"/>
    </row>
    <row r="2814" spans="1:1" s="22" customFormat="1" hidden="1">
      <c r="A2814" s="61"/>
    </row>
    <row r="2815" spans="1:1" s="22" customFormat="1" hidden="1">
      <c r="A2815" s="61"/>
    </row>
    <row r="2816" spans="1:1" s="22" customFormat="1" hidden="1">
      <c r="A2816" s="61"/>
    </row>
    <row r="2817" spans="1:1" s="22" customFormat="1" hidden="1">
      <c r="A2817" s="61"/>
    </row>
    <row r="2818" spans="1:1" s="22" customFormat="1" hidden="1">
      <c r="A2818" s="61"/>
    </row>
    <row r="2819" spans="1:1" s="22" customFormat="1" hidden="1">
      <c r="A2819" s="61"/>
    </row>
    <row r="2820" spans="1:1" s="22" customFormat="1" hidden="1">
      <c r="A2820" s="61"/>
    </row>
    <row r="2821" spans="1:1" s="22" customFormat="1" hidden="1">
      <c r="A2821" s="61"/>
    </row>
    <row r="2822" spans="1:1" s="22" customFormat="1" hidden="1">
      <c r="A2822" s="61"/>
    </row>
    <row r="2823" spans="1:1" s="22" customFormat="1" hidden="1">
      <c r="A2823" s="61"/>
    </row>
    <row r="2824" spans="1:1" s="22" customFormat="1" hidden="1">
      <c r="A2824" s="61"/>
    </row>
    <row r="2825" spans="1:1" s="22" customFormat="1" hidden="1">
      <c r="A2825" s="61"/>
    </row>
    <row r="2826" spans="1:1" s="22" customFormat="1" hidden="1">
      <c r="A2826" s="61"/>
    </row>
    <row r="2827" spans="1:1" s="22" customFormat="1" hidden="1">
      <c r="A2827" s="61"/>
    </row>
    <row r="2828" spans="1:1" s="22" customFormat="1" hidden="1">
      <c r="A2828" s="61"/>
    </row>
    <row r="2829" spans="1:1" s="22" customFormat="1" hidden="1">
      <c r="A2829" s="61"/>
    </row>
    <row r="2830" spans="1:1" s="22" customFormat="1" hidden="1">
      <c r="A2830" s="61"/>
    </row>
    <row r="2831" spans="1:1" s="22" customFormat="1" hidden="1">
      <c r="A2831" s="61"/>
    </row>
    <row r="2832" spans="1:1" s="22" customFormat="1" hidden="1">
      <c r="A2832" s="61"/>
    </row>
    <row r="2833" spans="1:1" s="22" customFormat="1" hidden="1">
      <c r="A2833" s="61"/>
    </row>
    <row r="2834" spans="1:1" s="22" customFormat="1" hidden="1">
      <c r="A2834" s="61"/>
    </row>
    <row r="2835" spans="1:1" s="22" customFormat="1" hidden="1">
      <c r="A2835" s="61"/>
    </row>
    <row r="2836" spans="1:1" s="22" customFormat="1" hidden="1">
      <c r="A2836" s="61"/>
    </row>
    <row r="2837" spans="1:1" s="22" customFormat="1" hidden="1">
      <c r="A2837" s="61"/>
    </row>
    <row r="2838" spans="1:1" s="22" customFormat="1" hidden="1">
      <c r="A2838" s="61"/>
    </row>
    <row r="2839" spans="1:1" s="22" customFormat="1" hidden="1">
      <c r="A2839" s="61"/>
    </row>
    <row r="2840" spans="1:1" s="22" customFormat="1" hidden="1">
      <c r="A2840" s="61"/>
    </row>
    <row r="2841" spans="1:1" s="22" customFormat="1" hidden="1">
      <c r="A2841" s="61"/>
    </row>
    <row r="2842" spans="1:1" s="22" customFormat="1" hidden="1">
      <c r="A2842" s="61"/>
    </row>
    <row r="2843" spans="1:1" s="22" customFormat="1" hidden="1">
      <c r="A2843" s="61"/>
    </row>
    <row r="2844" spans="1:1" s="22" customFormat="1" hidden="1">
      <c r="A2844" s="61"/>
    </row>
    <row r="2845" spans="1:1" s="22" customFormat="1" hidden="1">
      <c r="A2845" s="61"/>
    </row>
    <row r="2846" spans="1:1" s="22" customFormat="1" hidden="1">
      <c r="A2846" s="61"/>
    </row>
    <row r="2847" spans="1:1" s="22" customFormat="1" hidden="1">
      <c r="A2847" s="61"/>
    </row>
    <row r="2848" spans="1:1" s="22" customFormat="1" hidden="1">
      <c r="A2848" s="61"/>
    </row>
    <row r="2849" spans="1:1" s="22" customFormat="1" hidden="1">
      <c r="A2849" s="61"/>
    </row>
    <row r="2850" spans="1:1" s="22" customFormat="1" hidden="1">
      <c r="A2850" s="61"/>
    </row>
    <row r="2851" spans="1:1" s="22" customFormat="1" hidden="1">
      <c r="A2851" s="61"/>
    </row>
    <row r="2852" spans="1:1" s="22" customFormat="1" hidden="1">
      <c r="A2852" s="61"/>
    </row>
    <row r="2853" spans="1:1" s="22" customFormat="1" hidden="1">
      <c r="A2853" s="61"/>
    </row>
    <row r="2854" spans="1:1" s="22" customFormat="1" hidden="1">
      <c r="A2854" s="61"/>
    </row>
    <row r="2855" spans="1:1" s="22" customFormat="1" hidden="1">
      <c r="A2855" s="61"/>
    </row>
    <row r="2856" spans="1:1" s="22" customFormat="1" hidden="1">
      <c r="A2856" s="61"/>
    </row>
    <row r="2857" spans="1:1" s="22" customFormat="1" hidden="1">
      <c r="A2857" s="61"/>
    </row>
    <row r="2858" spans="1:1" s="22" customFormat="1" hidden="1">
      <c r="A2858" s="61"/>
    </row>
    <row r="2859" spans="1:1" s="22" customFormat="1" hidden="1">
      <c r="A2859" s="61"/>
    </row>
    <row r="2860" spans="1:1" s="22" customFormat="1" hidden="1">
      <c r="A2860" s="61"/>
    </row>
    <row r="2861" spans="1:1" s="22" customFormat="1" hidden="1">
      <c r="A2861" s="61"/>
    </row>
    <row r="2862" spans="1:1" s="22" customFormat="1" hidden="1">
      <c r="A2862" s="61"/>
    </row>
    <row r="2863" spans="1:1" s="22" customFormat="1" hidden="1">
      <c r="A2863" s="61"/>
    </row>
    <row r="2864" spans="1:1" s="22" customFormat="1" hidden="1">
      <c r="A2864" s="61"/>
    </row>
    <row r="2865" spans="1:1" s="22" customFormat="1" hidden="1">
      <c r="A2865" s="61"/>
    </row>
    <row r="2866" spans="1:1" s="22" customFormat="1" hidden="1">
      <c r="A2866" s="61"/>
    </row>
    <row r="2867" spans="1:1" s="22" customFormat="1" hidden="1">
      <c r="A2867" s="61"/>
    </row>
    <row r="2868" spans="1:1" s="22" customFormat="1" hidden="1">
      <c r="A2868" s="61"/>
    </row>
    <row r="2869" spans="1:1" s="22" customFormat="1" hidden="1">
      <c r="A2869" s="61"/>
    </row>
    <row r="2870" spans="1:1" s="22" customFormat="1" hidden="1">
      <c r="A2870" s="61"/>
    </row>
    <row r="2871" spans="1:1" s="22" customFormat="1" hidden="1">
      <c r="A2871" s="61"/>
    </row>
    <row r="2872" spans="1:1" s="22" customFormat="1" hidden="1">
      <c r="A2872" s="61"/>
    </row>
    <row r="2873" spans="1:1" s="22" customFormat="1" hidden="1">
      <c r="A2873" s="61"/>
    </row>
    <row r="2874" spans="1:1" s="22" customFormat="1" hidden="1">
      <c r="A2874" s="61"/>
    </row>
    <row r="2875" spans="1:1" s="22" customFormat="1" hidden="1">
      <c r="A2875" s="61"/>
    </row>
    <row r="2876" spans="1:1" s="22" customFormat="1" hidden="1">
      <c r="A2876" s="61"/>
    </row>
    <row r="2877" spans="1:1" s="22" customFormat="1" hidden="1">
      <c r="A2877" s="61"/>
    </row>
    <row r="2878" spans="1:1" s="22" customFormat="1" hidden="1">
      <c r="A2878" s="61"/>
    </row>
    <row r="2879" spans="1:1" s="22" customFormat="1" hidden="1">
      <c r="A2879" s="61"/>
    </row>
    <row r="2880" spans="1:1" s="22" customFormat="1" hidden="1">
      <c r="A2880" s="61"/>
    </row>
    <row r="2881" spans="1:1" s="22" customFormat="1" hidden="1">
      <c r="A2881" s="61"/>
    </row>
    <row r="2882" spans="1:1" s="22" customFormat="1" hidden="1">
      <c r="A2882" s="61"/>
    </row>
    <row r="2883" spans="1:1" s="22" customFormat="1" hidden="1">
      <c r="A2883" s="61"/>
    </row>
    <row r="2884" spans="1:1" s="22" customFormat="1" hidden="1">
      <c r="A2884" s="61"/>
    </row>
    <row r="2885" spans="1:1" s="22" customFormat="1" hidden="1">
      <c r="A2885" s="61"/>
    </row>
    <row r="2886" spans="1:1" s="22" customFormat="1" hidden="1">
      <c r="A2886" s="61"/>
    </row>
    <row r="2887" spans="1:1" s="22" customFormat="1" hidden="1">
      <c r="A2887" s="61"/>
    </row>
    <row r="2888" spans="1:1" s="22" customFormat="1" hidden="1">
      <c r="A2888" s="61"/>
    </row>
    <row r="2889" spans="1:1" s="22" customFormat="1" hidden="1">
      <c r="A2889" s="61"/>
    </row>
    <row r="2890" spans="1:1" s="22" customFormat="1" hidden="1">
      <c r="A2890" s="61"/>
    </row>
    <row r="2891" spans="1:1" s="22" customFormat="1" hidden="1">
      <c r="A2891" s="61"/>
    </row>
    <row r="2892" spans="1:1" s="22" customFormat="1" hidden="1">
      <c r="A2892" s="61"/>
    </row>
    <row r="2893" spans="1:1" s="22" customFormat="1" hidden="1">
      <c r="A2893" s="61"/>
    </row>
    <row r="2894" spans="1:1" s="22" customFormat="1" hidden="1">
      <c r="A2894" s="61"/>
    </row>
    <row r="2895" spans="1:1" s="22" customFormat="1" hidden="1">
      <c r="A2895" s="61"/>
    </row>
    <row r="2896" spans="1:1" s="22" customFormat="1" hidden="1">
      <c r="A2896" s="61"/>
    </row>
    <row r="2897" spans="1:1" s="22" customFormat="1" hidden="1">
      <c r="A2897" s="61"/>
    </row>
    <row r="2898" spans="1:1" s="22" customFormat="1" hidden="1">
      <c r="A2898" s="61"/>
    </row>
    <row r="2899" spans="1:1" s="22" customFormat="1" hidden="1">
      <c r="A2899" s="61"/>
    </row>
    <row r="2900" spans="1:1" s="22" customFormat="1" hidden="1">
      <c r="A2900" s="61"/>
    </row>
    <row r="2901" spans="1:1" s="22" customFormat="1" hidden="1">
      <c r="A2901" s="61"/>
    </row>
    <row r="2902" spans="1:1" s="22" customFormat="1" hidden="1">
      <c r="A2902" s="61"/>
    </row>
    <row r="2903" spans="1:1" s="22" customFormat="1" hidden="1">
      <c r="A2903" s="61"/>
    </row>
    <row r="2904" spans="1:1" s="22" customFormat="1" hidden="1">
      <c r="A2904" s="61"/>
    </row>
    <row r="2905" spans="1:1" s="22" customFormat="1" hidden="1">
      <c r="A2905" s="61"/>
    </row>
    <row r="2906" spans="1:1" s="22" customFormat="1" hidden="1">
      <c r="A2906" s="61"/>
    </row>
    <row r="2907" spans="1:1" s="22" customFormat="1" hidden="1">
      <c r="A2907" s="61"/>
    </row>
    <row r="2908" spans="1:1" s="22" customFormat="1" hidden="1">
      <c r="A2908" s="61"/>
    </row>
    <row r="2909" spans="1:1" s="22" customFormat="1" hidden="1">
      <c r="A2909" s="61"/>
    </row>
    <row r="2910" spans="1:1" s="22" customFormat="1" hidden="1">
      <c r="A2910" s="61"/>
    </row>
    <row r="2911" spans="1:1" s="22" customFormat="1" hidden="1">
      <c r="A2911" s="61"/>
    </row>
    <row r="2912" spans="1:1" s="22" customFormat="1" hidden="1">
      <c r="A2912" s="61"/>
    </row>
    <row r="2913" spans="1:1" s="22" customFormat="1" hidden="1">
      <c r="A2913" s="61"/>
    </row>
    <row r="2914" spans="1:1" s="22" customFormat="1" hidden="1">
      <c r="A2914" s="61"/>
    </row>
    <row r="2915" spans="1:1" s="22" customFormat="1" hidden="1">
      <c r="A2915" s="61"/>
    </row>
    <row r="2916" spans="1:1" s="22" customFormat="1" hidden="1">
      <c r="A2916" s="61"/>
    </row>
    <row r="2917" spans="1:1" s="22" customFormat="1" hidden="1">
      <c r="A2917" s="61"/>
    </row>
    <row r="2918" spans="1:1" s="22" customFormat="1" hidden="1">
      <c r="A2918" s="61"/>
    </row>
    <row r="2919" spans="1:1" s="22" customFormat="1" hidden="1">
      <c r="A2919" s="61"/>
    </row>
    <row r="2920" spans="1:1" s="22" customFormat="1" hidden="1">
      <c r="A2920" s="61"/>
    </row>
    <row r="2921" spans="1:1" s="22" customFormat="1" hidden="1">
      <c r="A2921" s="61"/>
    </row>
    <row r="2922" spans="1:1" s="22" customFormat="1" hidden="1">
      <c r="A2922" s="61"/>
    </row>
    <row r="2923" spans="1:1" s="22" customFormat="1" hidden="1">
      <c r="A2923" s="61"/>
    </row>
    <row r="2924" spans="1:1" s="22" customFormat="1" hidden="1">
      <c r="A2924" s="61"/>
    </row>
    <row r="2925" spans="1:1" s="22" customFormat="1" hidden="1">
      <c r="A2925" s="61"/>
    </row>
    <row r="2926" spans="1:1" s="22" customFormat="1" hidden="1">
      <c r="A2926" s="61"/>
    </row>
    <row r="2927" spans="1:1" s="22" customFormat="1" hidden="1">
      <c r="A2927" s="61"/>
    </row>
    <row r="2928" spans="1:1" s="22" customFormat="1" hidden="1">
      <c r="A2928" s="61"/>
    </row>
    <row r="2929" spans="1:1" s="22" customFormat="1" hidden="1">
      <c r="A2929" s="61"/>
    </row>
    <row r="2930" spans="1:1" s="22" customFormat="1" hidden="1">
      <c r="A2930" s="61"/>
    </row>
    <row r="2931" spans="1:1" s="22" customFormat="1" hidden="1">
      <c r="A2931" s="61"/>
    </row>
    <row r="2932" spans="1:1" s="22" customFormat="1" hidden="1">
      <c r="A2932" s="61"/>
    </row>
    <row r="2933" spans="1:1" s="22" customFormat="1" hidden="1">
      <c r="A2933" s="61"/>
    </row>
    <row r="2934" spans="1:1" s="22" customFormat="1" hidden="1">
      <c r="A2934" s="61"/>
    </row>
    <row r="2935" spans="1:1" s="22" customFormat="1" hidden="1">
      <c r="A2935" s="61"/>
    </row>
    <row r="2936" spans="1:1" s="22" customFormat="1" hidden="1">
      <c r="A2936" s="61"/>
    </row>
    <row r="2937" spans="1:1" s="22" customFormat="1" hidden="1">
      <c r="A2937" s="61"/>
    </row>
    <row r="2938" spans="1:1" s="22" customFormat="1" hidden="1">
      <c r="A2938" s="61"/>
    </row>
    <row r="2939" spans="1:1" s="22" customFormat="1" hidden="1">
      <c r="A2939" s="61"/>
    </row>
    <row r="2940" spans="1:1" s="22" customFormat="1" hidden="1">
      <c r="A2940" s="61"/>
    </row>
    <row r="2941" spans="1:1" s="22" customFormat="1" hidden="1">
      <c r="A2941" s="61"/>
    </row>
    <row r="2942" spans="1:1" s="22" customFormat="1" hidden="1">
      <c r="A2942" s="61"/>
    </row>
    <row r="2943" spans="1:1" s="22" customFormat="1" hidden="1">
      <c r="A2943" s="61"/>
    </row>
    <row r="2944" spans="1:1" s="22" customFormat="1" hidden="1">
      <c r="A2944" s="61"/>
    </row>
    <row r="2945" spans="1:1" s="22" customFormat="1" hidden="1">
      <c r="A2945" s="61"/>
    </row>
    <row r="2946" spans="1:1" s="22" customFormat="1" hidden="1">
      <c r="A2946" s="61"/>
    </row>
    <row r="2947" spans="1:1" s="22" customFormat="1" hidden="1">
      <c r="A2947" s="61"/>
    </row>
    <row r="2948" spans="1:1" s="22" customFormat="1" hidden="1">
      <c r="A2948" s="61"/>
    </row>
    <row r="2949" spans="1:1" s="22" customFormat="1" hidden="1">
      <c r="A2949" s="61"/>
    </row>
    <row r="2950" spans="1:1" s="22" customFormat="1" hidden="1">
      <c r="A2950" s="61"/>
    </row>
    <row r="2951" spans="1:1" s="22" customFormat="1" hidden="1">
      <c r="A2951" s="61"/>
    </row>
    <row r="2952" spans="1:1" s="22" customFormat="1" hidden="1">
      <c r="A2952" s="61"/>
    </row>
    <row r="2953" spans="1:1" s="22" customFormat="1" hidden="1">
      <c r="A2953" s="61"/>
    </row>
    <row r="2954" spans="1:1" s="22" customFormat="1" hidden="1">
      <c r="A2954" s="61"/>
    </row>
    <row r="2955" spans="1:1" s="22" customFormat="1" hidden="1">
      <c r="A2955" s="61"/>
    </row>
    <row r="2956" spans="1:1" s="22" customFormat="1" hidden="1">
      <c r="A2956" s="61"/>
    </row>
    <row r="2957" spans="1:1" s="22" customFormat="1" hidden="1">
      <c r="A2957" s="61"/>
    </row>
    <row r="2958" spans="1:1" s="22" customFormat="1" hidden="1">
      <c r="A2958" s="61"/>
    </row>
    <row r="2959" spans="1:1" s="22" customFormat="1" hidden="1">
      <c r="A2959" s="61"/>
    </row>
    <row r="2960" spans="1:1" s="22" customFormat="1" hidden="1">
      <c r="A2960" s="61"/>
    </row>
    <row r="2961" spans="1:1" s="22" customFormat="1" hidden="1">
      <c r="A2961" s="61"/>
    </row>
    <row r="2962" spans="1:1" s="22" customFormat="1" hidden="1">
      <c r="A2962" s="61"/>
    </row>
    <row r="2963" spans="1:1" s="22" customFormat="1" hidden="1">
      <c r="A2963" s="61"/>
    </row>
    <row r="2964" spans="1:1" s="22" customFormat="1" hidden="1">
      <c r="A2964" s="61"/>
    </row>
    <row r="2965" spans="1:1" s="22" customFormat="1" hidden="1">
      <c r="A2965" s="61"/>
    </row>
    <row r="2966" spans="1:1" s="22" customFormat="1" hidden="1">
      <c r="A2966" s="61"/>
    </row>
    <row r="2967" spans="1:1" s="22" customFormat="1" hidden="1">
      <c r="A2967" s="61"/>
    </row>
    <row r="2968" spans="1:1" s="22" customFormat="1" hidden="1">
      <c r="A2968" s="61"/>
    </row>
    <row r="2969" spans="1:1" s="22" customFormat="1" hidden="1">
      <c r="A2969" s="61"/>
    </row>
    <row r="2970" spans="1:1" s="22" customFormat="1" hidden="1">
      <c r="A2970" s="61"/>
    </row>
    <row r="2971" spans="1:1" s="22" customFormat="1" hidden="1">
      <c r="A2971" s="61"/>
    </row>
    <row r="2972" spans="1:1" s="22" customFormat="1" hidden="1">
      <c r="A2972" s="61"/>
    </row>
    <row r="2973" spans="1:1" s="22" customFormat="1" hidden="1">
      <c r="A2973" s="61"/>
    </row>
    <row r="2974" spans="1:1" s="22" customFormat="1" hidden="1">
      <c r="A2974" s="61"/>
    </row>
    <row r="2975" spans="1:1" s="22" customFormat="1" hidden="1">
      <c r="A2975" s="61"/>
    </row>
    <row r="2976" spans="1:1" s="22" customFormat="1" hidden="1">
      <c r="A2976" s="61"/>
    </row>
    <row r="2977" spans="1:1" s="22" customFormat="1" hidden="1">
      <c r="A2977" s="61"/>
    </row>
    <row r="2978" spans="1:1" s="22" customFormat="1" hidden="1">
      <c r="A2978" s="61"/>
    </row>
    <row r="2979" spans="1:1" s="22" customFormat="1" hidden="1">
      <c r="A2979" s="61"/>
    </row>
    <row r="2980" spans="1:1" s="22" customFormat="1" hidden="1">
      <c r="A2980" s="61"/>
    </row>
    <row r="2981" spans="1:1" s="22" customFormat="1" hidden="1">
      <c r="A2981" s="61"/>
    </row>
    <row r="2982" spans="1:1" s="22" customFormat="1" hidden="1">
      <c r="A2982" s="61"/>
    </row>
    <row r="2983" spans="1:1" s="22" customFormat="1" hidden="1">
      <c r="A2983" s="61"/>
    </row>
    <row r="2984" spans="1:1" s="22" customFormat="1" hidden="1">
      <c r="A2984" s="61"/>
    </row>
    <row r="2985" spans="1:1" s="22" customFormat="1" hidden="1">
      <c r="A2985" s="61"/>
    </row>
    <row r="2986" spans="1:1" s="22" customFormat="1" hidden="1">
      <c r="A2986" s="61"/>
    </row>
    <row r="2987" spans="1:1" s="22" customFormat="1" hidden="1">
      <c r="A2987" s="61"/>
    </row>
    <row r="2988" spans="1:1" s="22" customFormat="1" hidden="1">
      <c r="A2988" s="61"/>
    </row>
    <row r="2989" spans="1:1" s="22" customFormat="1" hidden="1">
      <c r="A2989" s="61"/>
    </row>
    <row r="2990" spans="1:1" s="22" customFormat="1" hidden="1">
      <c r="A2990" s="61"/>
    </row>
    <row r="2991" spans="1:1" s="22" customFormat="1" hidden="1">
      <c r="A2991" s="61"/>
    </row>
    <row r="2992" spans="1:1" s="22" customFormat="1" hidden="1">
      <c r="A2992" s="61"/>
    </row>
    <row r="2993" spans="1:1" s="22" customFormat="1" hidden="1">
      <c r="A2993" s="61"/>
    </row>
    <row r="2994" spans="1:1" s="22" customFormat="1" hidden="1">
      <c r="A2994" s="61"/>
    </row>
    <row r="2995" spans="1:1" s="22" customFormat="1" hidden="1">
      <c r="A2995" s="61"/>
    </row>
    <row r="2996" spans="1:1" s="22" customFormat="1" hidden="1">
      <c r="A2996" s="61"/>
    </row>
    <row r="2997" spans="1:1" s="22" customFormat="1" hidden="1">
      <c r="A2997" s="61"/>
    </row>
    <row r="2998" spans="1:1" s="22" customFormat="1" hidden="1">
      <c r="A2998" s="61"/>
    </row>
    <row r="2999" spans="1:1" s="22" customFormat="1" hidden="1">
      <c r="A2999" s="61"/>
    </row>
    <row r="3000" spans="1:1" s="22" customFormat="1" hidden="1">
      <c r="A3000" s="61"/>
    </row>
    <row r="3001" spans="1:1" s="22" customFormat="1" hidden="1">
      <c r="A3001" s="61"/>
    </row>
    <row r="3002" spans="1:1" s="22" customFormat="1" hidden="1">
      <c r="A3002" s="61"/>
    </row>
    <row r="3003" spans="1:1" s="22" customFormat="1" hidden="1">
      <c r="A3003" s="61"/>
    </row>
    <row r="3004" spans="1:1" s="22" customFormat="1" hidden="1">
      <c r="A3004" s="61"/>
    </row>
    <row r="3005" spans="1:1" s="22" customFormat="1" hidden="1">
      <c r="A3005" s="61"/>
    </row>
    <row r="3006" spans="1:1" s="22" customFormat="1" hidden="1">
      <c r="A3006" s="61"/>
    </row>
    <row r="3007" spans="1:1" s="22" customFormat="1" hidden="1">
      <c r="A3007" s="61"/>
    </row>
    <row r="3008" spans="1:1" s="22" customFormat="1" hidden="1">
      <c r="A3008" s="61"/>
    </row>
    <row r="3009" spans="1:1" s="22" customFormat="1" hidden="1">
      <c r="A3009" s="61"/>
    </row>
    <row r="3010" spans="1:1" s="22" customFormat="1" hidden="1">
      <c r="A3010" s="61"/>
    </row>
    <row r="3011" spans="1:1" s="22" customFormat="1" hidden="1">
      <c r="A3011" s="61"/>
    </row>
    <row r="3012" spans="1:1" s="22" customFormat="1" hidden="1">
      <c r="A3012" s="61"/>
    </row>
    <row r="3013" spans="1:1" s="22" customFormat="1" hidden="1">
      <c r="A3013" s="61"/>
    </row>
    <row r="3014" spans="1:1" s="22" customFormat="1" hidden="1">
      <c r="A3014" s="61"/>
    </row>
    <row r="3015" spans="1:1" s="22" customFormat="1" hidden="1">
      <c r="A3015" s="61"/>
    </row>
    <row r="3016" spans="1:1" s="22" customFormat="1" hidden="1">
      <c r="A3016" s="61"/>
    </row>
    <row r="3017" spans="1:1" s="22" customFormat="1" hidden="1">
      <c r="A3017" s="61"/>
    </row>
    <row r="3018" spans="1:1" s="22" customFormat="1" hidden="1">
      <c r="A3018" s="61"/>
    </row>
    <row r="3019" spans="1:1" s="22" customFormat="1" hidden="1">
      <c r="A3019" s="61"/>
    </row>
    <row r="3020" spans="1:1" s="22" customFormat="1" hidden="1">
      <c r="A3020" s="61"/>
    </row>
    <row r="3021" spans="1:1" s="22" customFormat="1" hidden="1">
      <c r="A3021" s="61"/>
    </row>
    <row r="3022" spans="1:1" s="22" customFormat="1" hidden="1">
      <c r="A3022" s="61"/>
    </row>
    <row r="3023" spans="1:1" s="22" customFormat="1" hidden="1">
      <c r="A3023" s="61"/>
    </row>
    <row r="3024" spans="1:1" s="22" customFormat="1" hidden="1">
      <c r="A3024" s="61"/>
    </row>
    <row r="3025" spans="1:1" s="22" customFormat="1" hidden="1">
      <c r="A3025" s="61"/>
    </row>
    <row r="3026" spans="1:1" s="22" customFormat="1" hidden="1">
      <c r="A3026" s="61"/>
    </row>
    <row r="3027" spans="1:1" s="22" customFormat="1" hidden="1">
      <c r="A3027" s="61"/>
    </row>
    <row r="3028" spans="1:1" s="22" customFormat="1" hidden="1">
      <c r="A3028" s="61"/>
    </row>
    <row r="3029" spans="1:1" s="22" customFormat="1" hidden="1">
      <c r="A3029" s="61"/>
    </row>
    <row r="3030" spans="1:1" s="22" customFormat="1" hidden="1">
      <c r="A3030" s="61"/>
    </row>
    <row r="3031" spans="1:1" s="22" customFormat="1" hidden="1">
      <c r="A3031" s="61"/>
    </row>
    <row r="3032" spans="1:1" s="22" customFormat="1" hidden="1">
      <c r="A3032" s="61"/>
    </row>
    <row r="3033" spans="1:1" s="22" customFormat="1" hidden="1">
      <c r="A3033" s="61"/>
    </row>
    <row r="3034" spans="1:1" s="22" customFormat="1" hidden="1">
      <c r="A3034" s="61"/>
    </row>
    <row r="3035" spans="1:1" s="22" customFormat="1" hidden="1">
      <c r="A3035" s="61"/>
    </row>
    <row r="3036" spans="1:1" s="22" customFormat="1" hidden="1">
      <c r="A3036" s="61"/>
    </row>
    <row r="3037" spans="1:1" s="22" customFormat="1" hidden="1">
      <c r="A3037" s="61"/>
    </row>
    <row r="3038" spans="1:1" s="22" customFormat="1" hidden="1">
      <c r="A3038" s="61"/>
    </row>
    <row r="3039" spans="1:1" s="22" customFormat="1" hidden="1">
      <c r="A3039" s="61"/>
    </row>
    <row r="3040" spans="1:1" s="22" customFormat="1" hidden="1">
      <c r="A3040" s="61"/>
    </row>
    <row r="3041" spans="1:1" s="22" customFormat="1" hidden="1">
      <c r="A3041" s="61"/>
    </row>
    <row r="3042" spans="1:1" s="22" customFormat="1" hidden="1">
      <c r="A3042" s="61"/>
    </row>
    <row r="3043" spans="1:1" s="22" customFormat="1" hidden="1">
      <c r="A3043" s="61"/>
    </row>
    <row r="3044" spans="1:1" s="22" customFormat="1" hidden="1">
      <c r="A3044" s="61"/>
    </row>
    <row r="3045" spans="1:1" s="22" customFormat="1" hidden="1">
      <c r="A3045" s="61"/>
    </row>
    <row r="3046" spans="1:1" s="22" customFormat="1" hidden="1">
      <c r="A3046" s="61"/>
    </row>
    <row r="3047" spans="1:1" s="22" customFormat="1" hidden="1">
      <c r="A3047" s="61"/>
    </row>
    <row r="3048" spans="1:1" s="22" customFormat="1" hidden="1">
      <c r="A3048" s="61"/>
    </row>
    <row r="3049" spans="1:1" s="22" customFormat="1" hidden="1">
      <c r="A3049" s="61"/>
    </row>
    <row r="3050" spans="1:1" s="22" customFormat="1" hidden="1">
      <c r="A3050" s="61"/>
    </row>
    <row r="3051" spans="1:1" s="22" customFormat="1" hidden="1">
      <c r="A3051" s="61"/>
    </row>
    <row r="3052" spans="1:1" s="22" customFormat="1" hidden="1">
      <c r="A3052" s="61"/>
    </row>
    <row r="3053" spans="1:1" s="22" customFormat="1" hidden="1">
      <c r="A3053" s="61"/>
    </row>
    <row r="3054" spans="1:1" s="22" customFormat="1" hidden="1">
      <c r="A3054" s="61"/>
    </row>
    <row r="3055" spans="1:1" s="22" customFormat="1" hidden="1">
      <c r="A3055" s="61"/>
    </row>
    <row r="3056" spans="1:1" s="22" customFormat="1" hidden="1">
      <c r="A3056" s="61"/>
    </row>
    <row r="3057" spans="1:1" s="22" customFormat="1" hidden="1">
      <c r="A3057" s="61"/>
    </row>
    <row r="3058" spans="1:1" s="22" customFormat="1" hidden="1">
      <c r="A3058" s="61"/>
    </row>
    <row r="3059" spans="1:1" s="22" customFormat="1" hidden="1">
      <c r="A3059" s="61"/>
    </row>
    <row r="3060" spans="1:1" s="22" customFormat="1" hidden="1">
      <c r="A3060" s="61"/>
    </row>
    <row r="3061" spans="1:1" s="22" customFormat="1" hidden="1">
      <c r="A3061" s="61"/>
    </row>
    <row r="3062" spans="1:1" s="22" customFormat="1" hidden="1">
      <c r="A3062" s="61"/>
    </row>
    <row r="3063" spans="1:1" s="22" customFormat="1" hidden="1">
      <c r="A3063" s="61"/>
    </row>
    <row r="3064" spans="1:1" s="22" customFormat="1" hidden="1">
      <c r="A3064" s="61"/>
    </row>
    <row r="3065" spans="1:1" s="22" customFormat="1" hidden="1">
      <c r="A3065" s="61"/>
    </row>
    <row r="3066" spans="1:1" s="22" customFormat="1" hidden="1">
      <c r="A3066" s="61"/>
    </row>
    <row r="3067" spans="1:1" s="22" customFormat="1" hidden="1">
      <c r="A3067" s="61"/>
    </row>
    <row r="3068" spans="1:1" s="22" customFormat="1" hidden="1">
      <c r="A3068" s="61"/>
    </row>
    <row r="3069" spans="1:1" s="22" customFormat="1" hidden="1">
      <c r="A3069" s="61"/>
    </row>
    <row r="3070" spans="1:1" s="22" customFormat="1" hidden="1">
      <c r="A3070" s="61"/>
    </row>
    <row r="3071" spans="1:1" s="22" customFormat="1" hidden="1">
      <c r="A3071" s="61"/>
    </row>
    <row r="3072" spans="1:1" s="22" customFormat="1" hidden="1">
      <c r="A3072" s="61"/>
    </row>
    <row r="3073" spans="1:1" s="22" customFormat="1" hidden="1">
      <c r="A3073" s="61"/>
    </row>
    <row r="3074" spans="1:1" s="22" customFormat="1" hidden="1">
      <c r="A3074" s="61"/>
    </row>
    <row r="3075" spans="1:1" s="22" customFormat="1" hidden="1">
      <c r="A3075" s="61"/>
    </row>
    <row r="3076" spans="1:1" s="22" customFormat="1" hidden="1">
      <c r="A3076" s="61"/>
    </row>
    <row r="3077" spans="1:1" s="22" customFormat="1" hidden="1">
      <c r="A3077" s="61"/>
    </row>
    <row r="3078" spans="1:1" s="22" customFormat="1" hidden="1">
      <c r="A3078" s="61"/>
    </row>
    <row r="3079" spans="1:1" s="22" customFormat="1" hidden="1">
      <c r="A3079" s="61"/>
    </row>
    <row r="3080" spans="1:1" s="22" customFormat="1" hidden="1">
      <c r="A3080" s="61"/>
    </row>
    <row r="3081" spans="1:1" s="22" customFormat="1" hidden="1">
      <c r="A3081" s="61"/>
    </row>
    <row r="3082" spans="1:1" s="22" customFormat="1" hidden="1">
      <c r="A3082" s="61"/>
    </row>
    <row r="3083" spans="1:1" s="22" customFormat="1" hidden="1">
      <c r="A3083" s="61"/>
    </row>
    <row r="3084" spans="1:1" s="22" customFormat="1" hidden="1">
      <c r="A3084" s="61"/>
    </row>
    <row r="3085" spans="1:1" s="22" customFormat="1" hidden="1">
      <c r="A3085" s="61"/>
    </row>
    <row r="3086" spans="1:1" s="22" customFormat="1" hidden="1">
      <c r="A3086" s="61"/>
    </row>
    <row r="3087" spans="1:1" s="22" customFormat="1" hidden="1">
      <c r="A3087" s="61"/>
    </row>
    <row r="3088" spans="1:1" s="22" customFormat="1" hidden="1">
      <c r="A3088" s="61"/>
    </row>
    <row r="3089" spans="1:1" s="22" customFormat="1" hidden="1">
      <c r="A3089" s="61"/>
    </row>
    <row r="3090" spans="1:1" s="22" customFormat="1" hidden="1">
      <c r="A3090" s="61"/>
    </row>
    <row r="3091" spans="1:1" s="22" customFormat="1" hidden="1">
      <c r="A3091" s="61"/>
    </row>
    <row r="3092" spans="1:1" s="22" customFormat="1" hidden="1">
      <c r="A3092" s="61"/>
    </row>
    <row r="3093" spans="1:1" s="22" customFormat="1" hidden="1">
      <c r="A3093" s="61"/>
    </row>
    <row r="3094" spans="1:1" s="22" customFormat="1" hidden="1">
      <c r="A3094" s="61"/>
    </row>
    <row r="3095" spans="1:1" s="22" customFormat="1" hidden="1">
      <c r="A3095" s="61"/>
    </row>
    <row r="3096" spans="1:1" s="22" customFormat="1" hidden="1">
      <c r="A3096" s="61"/>
    </row>
    <row r="3097" spans="1:1" s="22" customFormat="1" hidden="1">
      <c r="A3097" s="61"/>
    </row>
    <row r="3098" spans="1:1" s="22" customFormat="1" hidden="1">
      <c r="A3098" s="61"/>
    </row>
    <row r="3099" spans="1:1" s="22" customFormat="1" hidden="1">
      <c r="A3099" s="61"/>
    </row>
    <row r="3100" spans="1:1" s="22" customFormat="1" hidden="1">
      <c r="A3100" s="61"/>
    </row>
    <row r="3101" spans="1:1" s="22" customFormat="1" hidden="1">
      <c r="A3101" s="61"/>
    </row>
    <row r="3102" spans="1:1" s="22" customFormat="1" hidden="1">
      <c r="A3102" s="61"/>
    </row>
    <row r="3103" spans="1:1" s="22" customFormat="1" hidden="1">
      <c r="A3103" s="61"/>
    </row>
    <row r="3104" spans="1:1" s="22" customFormat="1" hidden="1">
      <c r="A3104" s="61"/>
    </row>
    <row r="3105" spans="1:1" s="22" customFormat="1" hidden="1">
      <c r="A3105" s="61"/>
    </row>
    <row r="3106" spans="1:1" s="22" customFormat="1" hidden="1">
      <c r="A3106" s="61"/>
    </row>
    <row r="3107" spans="1:1" s="22" customFormat="1" hidden="1">
      <c r="A3107" s="61"/>
    </row>
    <row r="3108" spans="1:1" s="22" customFormat="1" hidden="1">
      <c r="A3108" s="61"/>
    </row>
    <row r="3109" spans="1:1" s="22" customFormat="1" hidden="1">
      <c r="A3109" s="61"/>
    </row>
    <row r="3110" spans="1:1" s="22" customFormat="1" hidden="1">
      <c r="A3110" s="61"/>
    </row>
    <row r="3111" spans="1:1" s="22" customFormat="1" hidden="1">
      <c r="A3111" s="61"/>
    </row>
    <row r="3112" spans="1:1" s="22" customFormat="1" hidden="1">
      <c r="A3112" s="61"/>
    </row>
    <row r="3113" spans="1:1" s="22" customFormat="1" hidden="1">
      <c r="A3113" s="61"/>
    </row>
    <row r="3114" spans="1:1" s="22" customFormat="1" hidden="1">
      <c r="A3114" s="61"/>
    </row>
    <row r="3115" spans="1:1" s="22" customFormat="1" hidden="1">
      <c r="A3115" s="61"/>
    </row>
    <row r="3116" spans="1:1" s="22" customFormat="1" hidden="1">
      <c r="A3116" s="61"/>
    </row>
    <row r="3117" spans="1:1" s="22" customFormat="1" hidden="1">
      <c r="A3117" s="61"/>
    </row>
    <row r="3118" spans="1:1" s="22" customFormat="1" hidden="1">
      <c r="A3118" s="61"/>
    </row>
    <row r="3119" spans="1:1" s="22" customFormat="1" hidden="1">
      <c r="A3119" s="61"/>
    </row>
    <row r="3120" spans="1:1" s="22" customFormat="1" hidden="1">
      <c r="A3120" s="61"/>
    </row>
    <row r="3121" spans="1:1" s="22" customFormat="1" hidden="1">
      <c r="A3121" s="61"/>
    </row>
    <row r="3122" spans="1:1" s="22" customFormat="1" hidden="1">
      <c r="A3122" s="61"/>
    </row>
    <row r="3123" spans="1:1" s="22" customFormat="1" hidden="1">
      <c r="A3123" s="61"/>
    </row>
    <row r="3124" spans="1:1" s="22" customFormat="1" hidden="1">
      <c r="A3124" s="61"/>
    </row>
    <row r="3125" spans="1:1" s="22" customFormat="1" hidden="1">
      <c r="A3125" s="61"/>
    </row>
    <row r="3126" spans="1:1" s="22" customFormat="1" hidden="1">
      <c r="A3126" s="61"/>
    </row>
    <row r="3127" spans="1:1" s="22" customFormat="1" hidden="1">
      <c r="A3127" s="61"/>
    </row>
    <row r="3128" spans="1:1" s="22" customFormat="1" hidden="1">
      <c r="A3128" s="61"/>
    </row>
    <row r="3129" spans="1:1" s="22" customFormat="1" hidden="1">
      <c r="A3129" s="61"/>
    </row>
    <row r="3130" spans="1:1" s="22" customFormat="1" hidden="1">
      <c r="A3130" s="61"/>
    </row>
    <row r="3131" spans="1:1" s="22" customFormat="1" hidden="1">
      <c r="A3131" s="61"/>
    </row>
    <row r="3132" spans="1:1" s="22" customFormat="1" hidden="1">
      <c r="A3132" s="61"/>
    </row>
    <row r="3133" spans="1:1" s="22" customFormat="1" hidden="1">
      <c r="A3133" s="61"/>
    </row>
    <row r="3134" spans="1:1" s="22" customFormat="1" hidden="1">
      <c r="A3134" s="61"/>
    </row>
    <row r="3135" spans="1:1" s="22" customFormat="1" hidden="1">
      <c r="A3135" s="61"/>
    </row>
    <row r="3136" spans="1:1" s="22" customFormat="1" hidden="1">
      <c r="A3136" s="61"/>
    </row>
    <row r="3137" spans="1:1" s="22" customFormat="1" hidden="1">
      <c r="A3137" s="61"/>
    </row>
    <row r="3138" spans="1:1" s="22" customFormat="1" hidden="1">
      <c r="A3138" s="61"/>
    </row>
    <row r="3139" spans="1:1" s="22" customFormat="1" hidden="1">
      <c r="A3139" s="61"/>
    </row>
    <row r="3140" spans="1:1" s="22" customFormat="1" hidden="1">
      <c r="A3140" s="61"/>
    </row>
    <row r="3141" spans="1:1" s="22" customFormat="1" hidden="1">
      <c r="A3141" s="61"/>
    </row>
    <row r="3142" spans="1:1" s="22" customFormat="1" hidden="1">
      <c r="A3142" s="61"/>
    </row>
    <row r="3143" spans="1:1" s="22" customFormat="1" hidden="1">
      <c r="A3143" s="61"/>
    </row>
    <row r="3144" spans="1:1" s="22" customFormat="1" hidden="1">
      <c r="A3144" s="61"/>
    </row>
    <row r="3145" spans="1:1" s="22" customFormat="1" hidden="1">
      <c r="A3145" s="61"/>
    </row>
    <row r="3146" spans="1:1" s="22" customFormat="1" hidden="1">
      <c r="A3146" s="61"/>
    </row>
    <row r="3147" spans="1:1" s="22" customFormat="1" hidden="1">
      <c r="A3147" s="61"/>
    </row>
    <row r="3148" spans="1:1" s="22" customFormat="1" hidden="1">
      <c r="A3148" s="61"/>
    </row>
    <row r="3149" spans="1:1" s="22" customFormat="1" hidden="1">
      <c r="A3149" s="61"/>
    </row>
    <row r="3150" spans="1:1" s="22" customFormat="1" hidden="1">
      <c r="A3150" s="61"/>
    </row>
    <row r="3151" spans="1:1" s="22" customFormat="1" hidden="1">
      <c r="A3151" s="61"/>
    </row>
    <row r="3152" spans="1:1" s="22" customFormat="1" hidden="1">
      <c r="A3152" s="61"/>
    </row>
    <row r="3153" spans="1:1" s="22" customFormat="1" hidden="1">
      <c r="A3153" s="61"/>
    </row>
    <row r="3154" spans="1:1" s="22" customFormat="1" hidden="1">
      <c r="A3154" s="61"/>
    </row>
    <row r="3155" spans="1:1" s="22" customFormat="1" hidden="1">
      <c r="A3155" s="61"/>
    </row>
    <row r="3156" spans="1:1" s="22" customFormat="1" hidden="1">
      <c r="A3156" s="61"/>
    </row>
    <row r="3157" spans="1:1" s="22" customFormat="1" hidden="1">
      <c r="A3157" s="61"/>
    </row>
    <row r="3158" spans="1:1" s="22" customFormat="1" hidden="1">
      <c r="A3158" s="61"/>
    </row>
    <row r="3159" spans="1:1" s="22" customFormat="1" hidden="1">
      <c r="A3159" s="61"/>
    </row>
    <row r="3160" spans="1:1" s="22" customFormat="1" hidden="1">
      <c r="A3160" s="61"/>
    </row>
    <row r="3161" spans="1:1" s="22" customFormat="1" hidden="1">
      <c r="A3161" s="61"/>
    </row>
    <row r="3162" spans="1:1" s="22" customFormat="1" hidden="1">
      <c r="A3162" s="61"/>
    </row>
    <row r="3163" spans="1:1" s="22" customFormat="1" hidden="1">
      <c r="A3163" s="61"/>
    </row>
    <row r="3164" spans="1:1" s="22" customFormat="1" hidden="1">
      <c r="A3164" s="61"/>
    </row>
    <row r="3165" spans="1:1" s="22" customFormat="1" hidden="1">
      <c r="A3165" s="61"/>
    </row>
    <row r="3166" spans="1:1" s="22" customFormat="1" hidden="1">
      <c r="A3166" s="61"/>
    </row>
    <row r="3167" spans="1:1" s="22" customFormat="1" hidden="1">
      <c r="A3167" s="61"/>
    </row>
    <row r="3168" spans="1:1" s="22" customFormat="1" hidden="1">
      <c r="A3168" s="61"/>
    </row>
    <row r="3169" spans="1:1" s="22" customFormat="1" hidden="1">
      <c r="A3169" s="61"/>
    </row>
    <row r="3170" spans="1:1" s="22" customFormat="1" hidden="1">
      <c r="A3170" s="61"/>
    </row>
    <row r="3171" spans="1:1" s="22" customFormat="1" hidden="1">
      <c r="A3171" s="61"/>
    </row>
    <row r="3172" spans="1:1" s="22" customFormat="1" hidden="1">
      <c r="A3172" s="61"/>
    </row>
    <row r="3173" spans="1:1" s="22" customFormat="1" hidden="1">
      <c r="A3173" s="61"/>
    </row>
    <row r="3174" spans="1:1" s="22" customFormat="1" hidden="1">
      <c r="A3174" s="61"/>
    </row>
    <row r="3175" spans="1:1" s="22" customFormat="1" hidden="1">
      <c r="A3175" s="61"/>
    </row>
    <row r="3176" spans="1:1" s="22" customFormat="1" hidden="1">
      <c r="A3176" s="61"/>
    </row>
    <row r="3177" spans="1:1" s="22" customFormat="1" hidden="1">
      <c r="A3177" s="61"/>
    </row>
    <row r="3178" spans="1:1" s="22" customFormat="1" hidden="1">
      <c r="A3178" s="61"/>
    </row>
    <row r="3179" spans="1:1" s="22" customFormat="1" hidden="1">
      <c r="A3179" s="61"/>
    </row>
    <row r="3180" spans="1:1" s="22" customFormat="1" hidden="1">
      <c r="A3180" s="61"/>
    </row>
    <row r="3181" spans="1:1" s="22" customFormat="1" hidden="1">
      <c r="A3181" s="61"/>
    </row>
    <row r="3182" spans="1:1" s="22" customFormat="1" hidden="1">
      <c r="A3182" s="61"/>
    </row>
    <row r="3183" spans="1:1" s="22" customFormat="1" hidden="1">
      <c r="A3183" s="61"/>
    </row>
    <row r="3184" spans="1:1" s="22" customFormat="1" hidden="1">
      <c r="A3184" s="61"/>
    </row>
    <row r="3185" spans="1:1" s="22" customFormat="1" hidden="1">
      <c r="A3185" s="61"/>
    </row>
    <row r="3186" spans="1:1" s="22" customFormat="1" hidden="1">
      <c r="A3186" s="61"/>
    </row>
    <row r="3187" spans="1:1" s="22" customFormat="1" hidden="1">
      <c r="A3187" s="61"/>
    </row>
    <row r="3188" spans="1:1" s="22" customFormat="1" hidden="1">
      <c r="A3188" s="61"/>
    </row>
    <row r="3189" spans="1:1" s="22" customFormat="1" hidden="1">
      <c r="A3189" s="61"/>
    </row>
    <row r="3190" spans="1:1" s="22" customFormat="1" hidden="1">
      <c r="A3190" s="61"/>
    </row>
    <row r="3191" spans="1:1" s="22" customFormat="1" hidden="1">
      <c r="A3191" s="61"/>
    </row>
    <row r="3192" spans="1:1" s="22" customFormat="1" hidden="1">
      <c r="A3192" s="61"/>
    </row>
    <row r="3193" spans="1:1" s="22" customFormat="1" hidden="1">
      <c r="A3193" s="61"/>
    </row>
    <row r="3194" spans="1:1" s="22" customFormat="1" hidden="1">
      <c r="A3194" s="61"/>
    </row>
    <row r="3195" spans="1:1" s="22" customFormat="1" hidden="1">
      <c r="A3195" s="61"/>
    </row>
    <row r="3196" spans="1:1" s="22" customFormat="1" hidden="1">
      <c r="A3196" s="61"/>
    </row>
    <row r="3197" spans="1:1" s="22" customFormat="1" hidden="1">
      <c r="A3197" s="61"/>
    </row>
    <row r="3198" spans="1:1" s="22" customFormat="1" hidden="1">
      <c r="A3198" s="61"/>
    </row>
    <row r="3199" spans="1:1" s="22" customFormat="1" hidden="1">
      <c r="A3199" s="61"/>
    </row>
    <row r="3200" spans="1:1" s="22" customFormat="1" hidden="1">
      <c r="A3200" s="61"/>
    </row>
    <row r="3201" spans="1:1" s="22" customFormat="1" hidden="1">
      <c r="A3201" s="61"/>
    </row>
    <row r="3202" spans="1:1" s="22" customFormat="1" hidden="1">
      <c r="A3202" s="61"/>
    </row>
    <row r="3203" spans="1:1" s="22" customFormat="1" hidden="1">
      <c r="A3203" s="61"/>
    </row>
    <row r="3204" spans="1:1" s="22" customFormat="1" hidden="1">
      <c r="A3204" s="61"/>
    </row>
    <row r="3205" spans="1:1" s="22" customFormat="1" hidden="1">
      <c r="A3205" s="61"/>
    </row>
    <row r="3206" spans="1:1" s="22" customFormat="1" hidden="1">
      <c r="A3206" s="61"/>
    </row>
    <row r="3207" spans="1:1" s="22" customFormat="1" hidden="1">
      <c r="A3207" s="61"/>
    </row>
    <row r="3208" spans="1:1" s="22" customFormat="1" hidden="1">
      <c r="A3208" s="61"/>
    </row>
    <row r="3209" spans="1:1" s="22" customFormat="1" hidden="1">
      <c r="A3209" s="61"/>
    </row>
    <row r="3210" spans="1:1" s="22" customFormat="1" hidden="1">
      <c r="A3210" s="61"/>
    </row>
    <row r="3211" spans="1:1" s="22" customFormat="1" hidden="1">
      <c r="A3211" s="61"/>
    </row>
    <row r="3212" spans="1:1" s="22" customFormat="1" hidden="1">
      <c r="A3212" s="61"/>
    </row>
    <row r="3213" spans="1:1" s="22" customFormat="1" hidden="1">
      <c r="A3213" s="61"/>
    </row>
    <row r="3214" spans="1:1" s="22" customFormat="1" hidden="1">
      <c r="A3214" s="61"/>
    </row>
    <row r="3215" spans="1:1" s="22" customFormat="1" hidden="1">
      <c r="A3215" s="61"/>
    </row>
    <row r="3216" spans="1:1" s="22" customFormat="1" hidden="1">
      <c r="A3216" s="61"/>
    </row>
    <row r="3217" spans="1:1" s="22" customFormat="1" hidden="1">
      <c r="A3217" s="61"/>
    </row>
    <row r="3218" spans="1:1" s="22" customFormat="1" hidden="1">
      <c r="A3218" s="61"/>
    </row>
    <row r="3219" spans="1:1" s="22" customFormat="1" hidden="1">
      <c r="A3219" s="61"/>
    </row>
    <row r="3220" spans="1:1" s="22" customFormat="1" hidden="1">
      <c r="A3220" s="61"/>
    </row>
    <row r="3221" spans="1:1" s="22" customFormat="1" hidden="1">
      <c r="A3221" s="61"/>
    </row>
    <row r="3222" spans="1:1" s="22" customFormat="1" hidden="1">
      <c r="A3222" s="61"/>
    </row>
    <row r="3223" spans="1:1" s="22" customFormat="1" hidden="1">
      <c r="A3223" s="61"/>
    </row>
    <row r="3224" spans="1:1" s="22" customFormat="1" hidden="1">
      <c r="A3224" s="61"/>
    </row>
    <row r="3225" spans="1:1" s="22" customFormat="1" hidden="1">
      <c r="A3225" s="61"/>
    </row>
    <row r="3226" spans="1:1" s="22" customFormat="1" hidden="1">
      <c r="A3226" s="61"/>
    </row>
    <row r="3227" spans="1:1" s="22" customFormat="1" hidden="1">
      <c r="A3227" s="61"/>
    </row>
    <row r="3228" spans="1:1" s="22" customFormat="1" hidden="1">
      <c r="A3228" s="61"/>
    </row>
    <row r="3229" spans="1:1" s="22" customFormat="1" hidden="1">
      <c r="A3229" s="61"/>
    </row>
    <row r="3230" spans="1:1" s="22" customFormat="1" hidden="1">
      <c r="A3230" s="61"/>
    </row>
    <row r="3231" spans="1:1" s="22" customFormat="1" hidden="1">
      <c r="A3231" s="61"/>
    </row>
    <row r="3232" spans="1:1" s="22" customFormat="1" hidden="1">
      <c r="A3232" s="61"/>
    </row>
    <row r="3233" spans="1:1" s="22" customFormat="1" hidden="1">
      <c r="A3233" s="61"/>
    </row>
    <row r="3234" spans="1:1" s="22" customFormat="1" hidden="1">
      <c r="A3234" s="61"/>
    </row>
    <row r="3235" spans="1:1" s="22" customFormat="1" hidden="1">
      <c r="A3235" s="61"/>
    </row>
    <row r="3236" spans="1:1" s="22" customFormat="1" hidden="1">
      <c r="A3236" s="61"/>
    </row>
    <row r="3237" spans="1:1" s="22" customFormat="1" hidden="1">
      <c r="A3237" s="61"/>
    </row>
    <row r="3238" spans="1:1" s="22" customFormat="1" hidden="1">
      <c r="A3238" s="61"/>
    </row>
    <row r="3239" spans="1:1" s="22" customFormat="1" hidden="1">
      <c r="A3239" s="61"/>
    </row>
    <row r="3240" spans="1:1" s="22" customFormat="1" hidden="1">
      <c r="A3240" s="61"/>
    </row>
    <row r="3241" spans="1:1" s="22" customFormat="1" hidden="1">
      <c r="A3241" s="61"/>
    </row>
    <row r="3242" spans="1:1" s="22" customFormat="1" hidden="1">
      <c r="A3242" s="61"/>
    </row>
    <row r="3243" spans="1:1" s="22" customFormat="1" hidden="1">
      <c r="A3243" s="61"/>
    </row>
    <row r="3244" spans="1:1" s="22" customFormat="1" hidden="1">
      <c r="A3244" s="61"/>
    </row>
    <row r="3245" spans="1:1" s="22" customFormat="1" hidden="1">
      <c r="A3245" s="61"/>
    </row>
    <row r="3246" spans="1:1" s="22" customFormat="1" hidden="1">
      <c r="A3246" s="61"/>
    </row>
    <row r="3247" spans="1:1" s="22" customFormat="1" hidden="1">
      <c r="A3247" s="61"/>
    </row>
    <row r="3248" spans="1:1" s="22" customFormat="1" hidden="1">
      <c r="A3248" s="61"/>
    </row>
    <row r="3249" spans="1:1" s="22" customFormat="1" hidden="1">
      <c r="A3249" s="61"/>
    </row>
    <row r="3250" spans="1:1" s="22" customFormat="1" hidden="1">
      <c r="A3250" s="61"/>
    </row>
    <row r="3251" spans="1:1" s="22" customFormat="1" hidden="1">
      <c r="A3251" s="61"/>
    </row>
    <row r="3252" spans="1:1" s="22" customFormat="1" hidden="1">
      <c r="A3252" s="61"/>
    </row>
    <row r="3253" spans="1:1" s="22" customFormat="1" hidden="1">
      <c r="A3253" s="61"/>
    </row>
    <row r="3254" spans="1:1" s="22" customFormat="1" hidden="1">
      <c r="A3254" s="61"/>
    </row>
    <row r="3255" spans="1:1" s="22" customFormat="1" hidden="1">
      <c r="A3255" s="61"/>
    </row>
    <row r="3256" spans="1:1" s="22" customFormat="1" hidden="1">
      <c r="A3256" s="61"/>
    </row>
    <row r="3257" spans="1:1" s="22" customFormat="1" hidden="1">
      <c r="A3257" s="61"/>
    </row>
    <row r="3258" spans="1:1" s="22" customFormat="1" hidden="1">
      <c r="A3258" s="61"/>
    </row>
    <row r="3259" spans="1:1" s="22" customFormat="1" hidden="1">
      <c r="A3259" s="61"/>
    </row>
    <row r="3260" spans="1:1" s="22" customFormat="1" hidden="1">
      <c r="A3260" s="61"/>
    </row>
    <row r="3261" spans="1:1" s="22" customFormat="1" hidden="1">
      <c r="A3261" s="61"/>
    </row>
    <row r="3262" spans="1:1" s="22" customFormat="1" hidden="1">
      <c r="A3262" s="61"/>
    </row>
    <row r="3263" spans="1:1" s="22" customFormat="1" hidden="1">
      <c r="A3263" s="61"/>
    </row>
    <row r="3264" spans="1:1" s="22" customFormat="1" hidden="1">
      <c r="A3264" s="61"/>
    </row>
    <row r="3265" spans="1:1" s="22" customFormat="1" hidden="1">
      <c r="A3265" s="61"/>
    </row>
    <row r="3266" spans="1:1" s="22" customFormat="1" hidden="1">
      <c r="A3266" s="61"/>
    </row>
    <row r="3267" spans="1:1" s="22" customFormat="1" hidden="1">
      <c r="A3267" s="61"/>
    </row>
    <row r="3268" spans="1:1" s="22" customFormat="1" hidden="1">
      <c r="A3268" s="61"/>
    </row>
    <row r="3269" spans="1:1" s="22" customFormat="1" hidden="1">
      <c r="A3269" s="61"/>
    </row>
    <row r="3270" spans="1:1" s="22" customFormat="1" hidden="1">
      <c r="A3270" s="61"/>
    </row>
    <row r="3271" spans="1:1" s="22" customFormat="1" hidden="1">
      <c r="A3271" s="61"/>
    </row>
    <row r="3272" spans="1:1" s="22" customFormat="1" hidden="1">
      <c r="A3272" s="61"/>
    </row>
    <row r="3273" spans="1:1" s="22" customFormat="1" hidden="1">
      <c r="A3273" s="61"/>
    </row>
    <row r="3274" spans="1:1" s="22" customFormat="1" hidden="1">
      <c r="A3274" s="61"/>
    </row>
    <row r="3275" spans="1:1" s="22" customFormat="1" hidden="1">
      <c r="A3275" s="61"/>
    </row>
    <row r="3276" spans="1:1" s="22" customFormat="1" hidden="1">
      <c r="A3276" s="61"/>
    </row>
    <row r="3277" spans="1:1" s="22" customFormat="1" hidden="1">
      <c r="A3277" s="61"/>
    </row>
    <row r="3278" spans="1:1" s="22" customFormat="1" hidden="1">
      <c r="A3278" s="61"/>
    </row>
    <row r="3279" spans="1:1" s="22" customFormat="1" hidden="1">
      <c r="A3279" s="61"/>
    </row>
    <row r="3280" spans="1:1" s="22" customFormat="1" hidden="1">
      <c r="A3280" s="61"/>
    </row>
    <row r="3281" spans="1:1" s="22" customFormat="1" hidden="1">
      <c r="A3281" s="61"/>
    </row>
    <row r="3282" spans="1:1" s="22" customFormat="1" hidden="1">
      <c r="A3282" s="61"/>
    </row>
    <row r="3283" spans="1:1" s="22" customFormat="1" hidden="1">
      <c r="A3283" s="61"/>
    </row>
    <row r="3284" spans="1:1" s="22" customFormat="1" hidden="1">
      <c r="A3284" s="61"/>
    </row>
    <row r="3285" spans="1:1" s="22" customFormat="1" hidden="1">
      <c r="A3285" s="61"/>
    </row>
    <row r="3286" spans="1:1" s="22" customFormat="1" hidden="1">
      <c r="A3286" s="61"/>
    </row>
    <row r="3287" spans="1:1" s="22" customFormat="1" hidden="1">
      <c r="A3287" s="61"/>
    </row>
    <row r="3288" spans="1:1" s="22" customFormat="1" hidden="1">
      <c r="A3288" s="61"/>
    </row>
    <row r="3289" spans="1:1" s="22" customFormat="1" hidden="1">
      <c r="A3289" s="61"/>
    </row>
    <row r="3290" spans="1:1" s="22" customFormat="1" hidden="1">
      <c r="A3290" s="61"/>
    </row>
    <row r="3291" spans="1:1" s="22" customFormat="1" hidden="1">
      <c r="A3291" s="61"/>
    </row>
    <row r="3292" spans="1:1" s="22" customFormat="1" hidden="1">
      <c r="A3292" s="61"/>
    </row>
    <row r="3293" spans="1:1" s="22" customFormat="1" hidden="1">
      <c r="A3293" s="61"/>
    </row>
    <row r="3294" spans="1:1" s="22" customFormat="1" hidden="1">
      <c r="A3294" s="61"/>
    </row>
    <row r="3295" spans="1:1" s="22" customFormat="1" hidden="1">
      <c r="A3295" s="61"/>
    </row>
    <row r="3296" spans="1:1" s="22" customFormat="1" hidden="1">
      <c r="A3296" s="61"/>
    </row>
    <row r="3297" spans="1:1" s="22" customFormat="1" hidden="1">
      <c r="A3297" s="61"/>
    </row>
    <row r="3298" spans="1:1" s="22" customFormat="1" hidden="1">
      <c r="A3298" s="61"/>
    </row>
    <row r="3299" spans="1:1" s="22" customFormat="1" hidden="1">
      <c r="A3299" s="61"/>
    </row>
    <row r="3300" spans="1:1" s="22" customFormat="1" hidden="1">
      <c r="A3300" s="61"/>
    </row>
    <row r="3301" spans="1:1" s="22" customFormat="1" hidden="1">
      <c r="A3301" s="61"/>
    </row>
    <row r="3302" spans="1:1" s="22" customFormat="1" hidden="1">
      <c r="A3302" s="61"/>
    </row>
    <row r="3303" spans="1:1" s="22" customFormat="1" hidden="1">
      <c r="A3303" s="61"/>
    </row>
    <row r="3304" spans="1:1" s="22" customFormat="1" hidden="1">
      <c r="A3304" s="61"/>
    </row>
    <row r="3305" spans="1:1" s="22" customFormat="1" hidden="1">
      <c r="A3305" s="61"/>
    </row>
    <row r="3306" spans="1:1" s="22" customFormat="1" hidden="1">
      <c r="A3306" s="61"/>
    </row>
    <row r="3307" spans="1:1" s="22" customFormat="1" hidden="1">
      <c r="A3307" s="61"/>
    </row>
    <row r="3308" spans="1:1" s="22" customFormat="1" hidden="1">
      <c r="A3308" s="61"/>
    </row>
    <row r="3309" spans="1:1" s="22" customFormat="1" hidden="1">
      <c r="A3309" s="61"/>
    </row>
    <row r="3310" spans="1:1" s="22" customFormat="1" hidden="1">
      <c r="A3310" s="61"/>
    </row>
    <row r="3311" spans="1:1" s="22" customFormat="1" hidden="1">
      <c r="A3311" s="61"/>
    </row>
    <row r="3312" spans="1:1" s="22" customFormat="1" hidden="1">
      <c r="A3312" s="61"/>
    </row>
    <row r="3313" spans="1:1" s="22" customFormat="1" hidden="1">
      <c r="A3313" s="61"/>
    </row>
    <row r="3314" spans="1:1" s="22" customFormat="1" hidden="1">
      <c r="A3314" s="61"/>
    </row>
    <row r="3315" spans="1:1" s="22" customFormat="1" hidden="1">
      <c r="A3315" s="61"/>
    </row>
    <row r="3316" spans="1:1" s="22" customFormat="1" hidden="1">
      <c r="A3316" s="61"/>
    </row>
    <row r="3317" spans="1:1" s="22" customFormat="1" hidden="1">
      <c r="A3317" s="61"/>
    </row>
    <row r="3318" spans="1:1" s="22" customFormat="1" hidden="1">
      <c r="A3318" s="61"/>
    </row>
    <row r="3319" spans="1:1" s="22" customFormat="1" hidden="1">
      <c r="A3319" s="61"/>
    </row>
    <row r="3320" spans="1:1" s="22" customFormat="1" hidden="1">
      <c r="A3320" s="61"/>
    </row>
    <row r="3321" spans="1:1" s="22" customFormat="1" hidden="1">
      <c r="A3321" s="61"/>
    </row>
    <row r="3322" spans="1:1" s="22" customFormat="1" hidden="1">
      <c r="A3322" s="61"/>
    </row>
    <row r="3323" spans="1:1" s="22" customFormat="1" hidden="1">
      <c r="A3323" s="61"/>
    </row>
    <row r="3324" spans="1:1" s="22" customFormat="1" hidden="1">
      <c r="A3324" s="61"/>
    </row>
    <row r="3325" spans="1:1" s="22" customFormat="1" hidden="1">
      <c r="A3325" s="61"/>
    </row>
    <row r="3326" spans="1:1" s="22" customFormat="1" hidden="1">
      <c r="A3326" s="61"/>
    </row>
    <row r="3327" spans="1:1" s="22" customFormat="1" hidden="1">
      <c r="A3327" s="61"/>
    </row>
    <row r="3328" spans="1:1" s="22" customFormat="1" hidden="1">
      <c r="A3328" s="61"/>
    </row>
    <row r="3329" spans="1:1" s="22" customFormat="1" hidden="1">
      <c r="A3329" s="61"/>
    </row>
    <row r="3330" spans="1:1" s="22" customFormat="1" hidden="1">
      <c r="A3330" s="61"/>
    </row>
    <row r="3331" spans="1:1" s="22" customFormat="1" hidden="1">
      <c r="A3331" s="61"/>
    </row>
    <row r="3332" spans="1:1" s="22" customFormat="1" hidden="1">
      <c r="A3332" s="61"/>
    </row>
    <row r="3333" spans="1:1" s="22" customFormat="1" hidden="1">
      <c r="A3333" s="61"/>
    </row>
    <row r="3334" spans="1:1" s="22" customFormat="1" hidden="1">
      <c r="A3334" s="61"/>
    </row>
    <row r="3335" spans="1:1" s="22" customFormat="1" hidden="1">
      <c r="A3335" s="61"/>
    </row>
    <row r="3336" spans="1:1" s="22" customFormat="1" hidden="1">
      <c r="A3336" s="61"/>
    </row>
    <row r="3337" spans="1:1" s="22" customFormat="1" hidden="1">
      <c r="A3337" s="61"/>
    </row>
    <row r="3338" spans="1:1" s="22" customFormat="1" hidden="1">
      <c r="A3338" s="61"/>
    </row>
    <row r="3339" spans="1:1" s="22" customFormat="1" hidden="1">
      <c r="A3339" s="61"/>
    </row>
    <row r="3340" spans="1:1" s="22" customFormat="1" hidden="1">
      <c r="A3340" s="61"/>
    </row>
    <row r="3341" spans="1:1" s="22" customFormat="1" hidden="1">
      <c r="A3341" s="61"/>
    </row>
    <row r="3342" spans="1:1" s="22" customFormat="1" hidden="1">
      <c r="A3342" s="61"/>
    </row>
    <row r="3343" spans="1:1" s="22" customFormat="1" hidden="1">
      <c r="A3343" s="61"/>
    </row>
    <row r="3344" spans="1:1" s="22" customFormat="1" hidden="1">
      <c r="A3344" s="61"/>
    </row>
    <row r="3345" spans="1:1" s="22" customFormat="1" hidden="1">
      <c r="A3345" s="61"/>
    </row>
    <row r="3346" spans="1:1" s="22" customFormat="1" hidden="1">
      <c r="A3346" s="61"/>
    </row>
    <row r="3347" spans="1:1" s="22" customFormat="1" hidden="1">
      <c r="A3347" s="61"/>
    </row>
    <row r="3348" spans="1:1" s="22" customFormat="1" hidden="1">
      <c r="A3348" s="61"/>
    </row>
    <row r="3349" spans="1:1" s="22" customFormat="1" hidden="1">
      <c r="A3349" s="61"/>
    </row>
    <row r="3350" spans="1:1" s="22" customFormat="1" hidden="1">
      <c r="A3350" s="61"/>
    </row>
    <row r="3351" spans="1:1" s="22" customFormat="1" hidden="1">
      <c r="A3351" s="61"/>
    </row>
    <row r="3352" spans="1:1" s="22" customFormat="1" hidden="1">
      <c r="A3352" s="61"/>
    </row>
    <row r="3353" spans="1:1" s="22" customFormat="1" hidden="1">
      <c r="A3353" s="61"/>
    </row>
    <row r="3354" spans="1:1" s="22" customFormat="1" hidden="1">
      <c r="A3354" s="61"/>
    </row>
    <row r="3355" spans="1:1" s="22" customFormat="1" hidden="1">
      <c r="A3355" s="61"/>
    </row>
    <row r="3356" spans="1:1" s="22" customFormat="1" hidden="1">
      <c r="A3356" s="61"/>
    </row>
    <row r="3357" spans="1:1" s="22" customFormat="1" hidden="1">
      <c r="A3357" s="61"/>
    </row>
    <row r="3358" spans="1:1" s="22" customFormat="1" hidden="1">
      <c r="A3358" s="61"/>
    </row>
    <row r="3359" spans="1:1" s="22" customFormat="1" hidden="1">
      <c r="A3359" s="61"/>
    </row>
    <row r="3360" spans="1:1" s="22" customFormat="1" hidden="1">
      <c r="A3360" s="61"/>
    </row>
    <row r="3361" spans="1:1" s="22" customFormat="1" hidden="1">
      <c r="A3361" s="61"/>
    </row>
    <row r="3362" spans="1:1" s="22" customFormat="1" hidden="1">
      <c r="A3362" s="61"/>
    </row>
    <row r="3363" spans="1:1" s="22" customFormat="1" hidden="1">
      <c r="A3363" s="61"/>
    </row>
    <row r="3364" spans="1:1" s="22" customFormat="1" hidden="1">
      <c r="A3364" s="61"/>
    </row>
    <row r="3365" spans="1:1" s="22" customFormat="1" hidden="1">
      <c r="A3365" s="61"/>
    </row>
    <row r="3366" spans="1:1" s="22" customFormat="1" hidden="1">
      <c r="A3366" s="61"/>
    </row>
    <row r="3367" spans="1:1" s="22" customFormat="1" hidden="1">
      <c r="A3367" s="61"/>
    </row>
    <row r="3368" spans="1:1" s="22" customFormat="1" hidden="1">
      <c r="A3368" s="61"/>
    </row>
    <row r="3369" spans="1:1" s="22" customFormat="1" hidden="1">
      <c r="A3369" s="61"/>
    </row>
    <row r="3370" spans="1:1" s="22" customFormat="1" hidden="1">
      <c r="A3370" s="61"/>
    </row>
    <row r="3371" spans="1:1" s="22" customFormat="1" hidden="1">
      <c r="A3371" s="61"/>
    </row>
    <row r="3372" spans="1:1" s="22" customFormat="1" hidden="1">
      <c r="A3372" s="61"/>
    </row>
    <row r="3373" spans="1:1" s="22" customFormat="1" hidden="1">
      <c r="A3373" s="61"/>
    </row>
    <row r="3374" spans="1:1" s="22" customFormat="1" hidden="1">
      <c r="A3374" s="61"/>
    </row>
    <row r="3375" spans="1:1" s="22" customFormat="1" hidden="1">
      <c r="A3375" s="61"/>
    </row>
    <row r="3376" spans="1:1" s="22" customFormat="1" hidden="1">
      <c r="A3376" s="61"/>
    </row>
    <row r="3377" spans="1:1" s="22" customFormat="1" hidden="1">
      <c r="A3377" s="61"/>
    </row>
    <row r="3378" spans="1:1" s="22" customFormat="1" hidden="1">
      <c r="A3378" s="61"/>
    </row>
    <row r="3379" spans="1:1" s="22" customFormat="1" hidden="1">
      <c r="A3379" s="61"/>
    </row>
    <row r="3380" spans="1:1" s="22" customFormat="1" hidden="1">
      <c r="A3380" s="61"/>
    </row>
    <row r="3381" spans="1:1" s="22" customFormat="1" hidden="1">
      <c r="A3381" s="61"/>
    </row>
    <row r="3382" spans="1:1" s="22" customFormat="1" hidden="1">
      <c r="A3382" s="61"/>
    </row>
    <row r="3383" spans="1:1" s="22" customFormat="1" hidden="1">
      <c r="A3383" s="61"/>
    </row>
    <row r="3384" spans="1:1" s="22" customFormat="1" hidden="1">
      <c r="A3384" s="61"/>
    </row>
    <row r="3385" spans="1:1" s="22" customFormat="1" hidden="1">
      <c r="A3385" s="61"/>
    </row>
    <row r="3386" spans="1:1" s="22" customFormat="1" hidden="1">
      <c r="A3386" s="61"/>
    </row>
    <row r="3387" spans="1:1" s="22" customFormat="1" hidden="1">
      <c r="A3387" s="61"/>
    </row>
    <row r="3388" spans="1:1" s="22" customFormat="1" hidden="1">
      <c r="A3388" s="61"/>
    </row>
    <row r="3389" spans="1:1" s="22" customFormat="1" hidden="1">
      <c r="A3389" s="61"/>
    </row>
    <row r="3390" spans="1:1" s="22" customFormat="1" hidden="1">
      <c r="A3390" s="61"/>
    </row>
    <row r="3391" spans="1:1" s="22" customFormat="1" hidden="1">
      <c r="A3391" s="61"/>
    </row>
    <row r="3392" spans="1:1" s="22" customFormat="1" hidden="1">
      <c r="A3392" s="61"/>
    </row>
    <row r="3393" spans="1:1" s="22" customFormat="1" hidden="1">
      <c r="A3393" s="61"/>
    </row>
    <row r="3394" spans="1:1" s="22" customFormat="1" hidden="1">
      <c r="A3394" s="61"/>
    </row>
    <row r="3395" spans="1:1" s="22" customFormat="1" hidden="1">
      <c r="A3395" s="61"/>
    </row>
    <row r="3396" spans="1:1" s="22" customFormat="1" hidden="1">
      <c r="A3396" s="61"/>
    </row>
    <row r="3397" spans="1:1" s="22" customFormat="1" hidden="1">
      <c r="A3397" s="61"/>
    </row>
    <row r="3398" spans="1:1" s="22" customFormat="1" hidden="1">
      <c r="A3398" s="61"/>
    </row>
    <row r="3399" spans="1:1" s="22" customFormat="1" hidden="1">
      <c r="A3399" s="61"/>
    </row>
    <row r="3400" spans="1:1" s="22" customFormat="1" hidden="1">
      <c r="A3400" s="61"/>
    </row>
    <row r="3401" spans="1:1" s="22" customFormat="1" hidden="1">
      <c r="A3401" s="61"/>
    </row>
    <row r="3402" spans="1:1" s="22" customFormat="1" hidden="1">
      <c r="A3402" s="61"/>
    </row>
    <row r="3403" spans="1:1" s="22" customFormat="1" hidden="1">
      <c r="A3403" s="61"/>
    </row>
    <row r="3404" spans="1:1" s="22" customFormat="1" hidden="1">
      <c r="A3404" s="61"/>
    </row>
    <row r="3405" spans="1:1" s="22" customFormat="1" hidden="1">
      <c r="A3405" s="61"/>
    </row>
    <row r="3406" spans="1:1" s="22" customFormat="1" hidden="1">
      <c r="A3406" s="61"/>
    </row>
    <row r="3407" spans="1:1" s="22" customFormat="1" hidden="1">
      <c r="A3407" s="61"/>
    </row>
    <row r="3408" spans="1:1" s="22" customFormat="1" hidden="1">
      <c r="A3408" s="61"/>
    </row>
    <row r="3409" spans="1:1" s="22" customFormat="1" hidden="1">
      <c r="A3409" s="61"/>
    </row>
    <row r="3410" spans="1:1" s="22" customFormat="1" hidden="1">
      <c r="A3410" s="61"/>
    </row>
    <row r="3411" spans="1:1" s="22" customFormat="1" hidden="1">
      <c r="A3411" s="61"/>
    </row>
    <row r="3412" spans="1:1" s="22" customFormat="1" hidden="1">
      <c r="A3412" s="61"/>
    </row>
    <row r="3413" spans="1:1" s="22" customFormat="1" hidden="1">
      <c r="A3413" s="61"/>
    </row>
    <row r="3414" spans="1:1" s="22" customFormat="1" hidden="1">
      <c r="A3414" s="61"/>
    </row>
    <row r="3415" spans="1:1" s="22" customFormat="1" hidden="1">
      <c r="A3415" s="61"/>
    </row>
    <row r="3416" spans="1:1" s="22" customFormat="1" hidden="1">
      <c r="A3416" s="61"/>
    </row>
    <row r="3417" spans="1:1" s="22" customFormat="1" hidden="1">
      <c r="A3417" s="61"/>
    </row>
    <row r="3418" spans="1:1" s="22" customFormat="1" hidden="1">
      <c r="A3418" s="61"/>
    </row>
    <row r="3419" spans="1:1" s="22" customFormat="1" hidden="1">
      <c r="A3419" s="61"/>
    </row>
    <row r="3420" spans="1:1" s="22" customFormat="1" hidden="1">
      <c r="A3420" s="61"/>
    </row>
    <row r="3421" spans="1:1" s="22" customFormat="1" hidden="1">
      <c r="A3421" s="61"/>
    </row>
    <row r="3422" spans="1:1" s="22" customFormat="1" hidden="1">
      <c r="A3422" s="61"/>
    </row>
    <row r="3423" spans="1:1" s="22" customFormat="1" hidden="1">
      <c r="A3423" s="61"/>
    </row>
    <row r="3424" spans="1:1" s="22" customFormat="1" hidden="1">
      <c r="A3424" s="61"/>
    </row>
    <row r="3425" spans="1:1" s="22" customFormat="1" hidden="1">
      <c r="A3425" s="61"/>
    </row>
    <row r="3426" spans="1:1" s="22" customFormat="1" hidden="1">
      <c r="A3426" s="61"/>
    </row>
    <row r="3427" spans="1:1" s="22" customFormat="1" hidden="1">
      <c r="A3427" s="61"/>
    </row>
    <row r="3428" spans="1:1" s="22" customFormat="1" hidden="1">
      <c r="A3428" s="61"/>
    </row>
    <row r="3429" spans="1:1" s="22" customFormat="1" hidden="1">
      <c r="A3429" s="61"/>
    </row>
    <row r="3430" spans="1:1" s="22" customFormat="1" hidden="1">
      <c r="A3430" s="61"/>
    </row>
    <row r="3431" spans="1:1" s="22" customFormat="1" hidden="1">
      <c r="A3431" s="61"/>
    </row>
    <row r="3432" spans="1:1" s="22" customFormat="1" hidden="1">
      <c r="A3432" s="61"/>
    </row>
    <row r="3433" spans="1:1" s="22" customFormat="1" hidden="1">
      <c r="A3433" s="61"/>
    </row>
    <row r="3434" spans="1:1" s="22" customFormat="1" hidden="1">
      <c r="A3434" s="61"/>
    </row>
    <row r="3435" spans="1:1" s="22" customFormat="1" hidden="1">
      <c r="A3435" s="61"/>
    </row>
    <row r="3436" spans="1:1" s="22" customFormat="1" hidden="1">
      <c r="A3436" s="61"/>
    </row>
    <row r="3437" spans="1:1" s="22" customFormat="1" hidden="1">
      <c r="A3437" s="61"/>
    </row>
    <row r="3438" spans="1:1" s="22" customFormat="1" hidden="1">
      <c r="A3438" s="61"/>
    </row>
    <row r="3439" spans="1:1" s="22" customFormat="1" hidden="1">
      <c r="A3439" s="61"/>
    </row>
    <row r="3440" spans="1:1" s="22" customFormat="1" hidden="1">
      <c r="A3440" s="61"/>
    </row>
    <row r="3441" spans="1:1" s="22" customFormat="1" hidden="1">
      <c r="A3441" s="61"/>
    </row>
    <row r="3442" spans="1:1" s="22" customFormat="1" hidden="1">
      <c r="A3442" s="61"/>
    </row>
    <row r="3443" spans="1:1" s="22" customFormat="1" hidden="1">
      <c r="A3443" s="61"/>
    </row>
    <row r="3444" spans="1:1" s="22" customFormat="1" hidden="1">
      <c r="A3444" s="61"/>
    </row>
    <row r="3445" spans="1:1" s="22" customFormat="1" hidden="1">
      <c r="A3445" s="61"/>
    </row>
    <row r="3446" spans="1:1" s="22" customFormat="1" hidden="1">
      <c r="A3446" s="61"/>
    </row>
    <row r="3447" spans="1:1" s="22" customFormat="1" hidden="1">
      <c r="A3447" s="61"/>
    </row>
    <row r="3448" spans="1:1" s="22" customFormat="1" hidden="1">
      <c r="A3448" s="61"/>
    </row>
    <row r="3449" spans="1:1" s="22" customFormat="1" hidden="1">
      <c r="A3449" s="61"/>
    </row>
    <row r="3450" spans="1:1" s="22" customFormat="1" hidden="1">
      <c r="A3450" s="61"/>
    </row>
    <row r="3451" spans="1:1" s="22" customFormat="1" hidden="1">
      <c r="A3451" s="61"/>
    </row>
    <row r="3452" spans="1:1" s="22" customFormat="1" hidden="1">
      <c r="A3452" s="61"/>
    </row>
    <row r="3453" spans="1:1" s="22" customFormat="1" hidden="1">
      <c r="A3453" s="61"/>
    </row>
    <row r="3454" spans="1:1" s="22" customFormat="1" hidden="1">
      <c r="A3454" s="61"/>
    </row>
    <row r="3455" spans="1:1" s="22" customFormat="1" hidden="1">
      <c r="A3455" s="61"/>
    </row>
    <row r="3456" spans="1:1" s="22" customFormat="1" hidden="1">
      <c r="A3456" s="61"/>
    </row>
    <row r="3457" spans="1:1" s="22" customFormat="1" hidden="1">
      <c r="A3457" s="61"/>
    </row>
    <row r="3458" spans="1:1" s="22" customFormat="1" hidden="1">
      <c r="A3458" s="61"/>
    </row>
    <row r="3459" spans="1:1" s="22" customFormat="1" hidden="1">
      <c r="A3459" s="61"/>
    </row>
    <row r="3460" spans="1:1" s="22" customFormat="1" hidden="1">
      <c r="A3460" s="61"/>
    </row>
    <row r="3461" spans="1:1" s="22" customFormat="1" hidden="1">
      <c r="A3461" s="61"/>
    </row>
    <row r="3462" spans="1:1" s="22" customFormat="1" hidden="1">
      <c r="A3462" s="61"/>
    </row>
    <row r="3463" spans="1:1" s="22" customFormat="1" hidden="1">
      <c r="A3463" s="61"/>
    </row>
    <row r="3464" spans="1:1" s="22" customFormat="1" hidden="1">
      <c r="A3464" s="61"/>
    </row>
    <row r="3465" spans="1:1" s="22" customFormat="1" hidden="1">
      <c r="A3465" s="61"/>
    </row>
    <row r="3466" spans="1:1" s="22" customFormat="1" hidden="1">
      <c r="A3466" s="61"/>
    </row>
    <row r="3467" spans="1:1" s="22" customFormat="1" hidden="1">
      <c r="A3467" s="61"/>
    </row>
    <row r="3468" spans="1:1" s="22" customFormat="1" hidden="1">
      <c r="A3468" s="61"/>
    </row>
    <row r="3469" spans="1:1" s="22" customFormat="1" hidden="1">
      <c r="A3469" s="61"/>
    </row>
    <row r="3470" spans="1:1" s="22" customFormat="1" hidden="1">
      <c r="A3470" s="61"/>
    </row>
    <row r="3471" spans="1:1" s="22" customFormat="1" hidden="1">
      <c r="A3471" s="61"/>
    </row>
    <row r="3472" spans="1:1" s="22" customFormat="1" hidden="1">
      <c r="A3472" s="61"/>
    </row>
    <row r="3473" spans="1:1" s="22" customFormat="1" hidden="1">
      <c r="A3473" s="61"/>
    </row>
    <row r="3474" spans="1:1" s="22" customFormat="1" hidden="1">
      <c r="A3474" s="61"/>
    </row>
    <row r="3475" spans="1:1" s="22" customFormat="1" hidden="1">
      <c r="A3475" s="61"/>
    </row>
    <row r="3476" spans="1:1" s="22" customFormat="1" hidden="1">
      <c r="A3476" s="61"/>
    </row>
    <row r="3477" spans="1:1" s="22" customFormat="1" hidden="1">
      <c r="A3477" s="61"/>
    </row>
    <row r="3478" spans="1:1" s="22" customFormat="1" hidden="1">
      <c r="A3478" s="61"/>
    </row>
    <row r="3479" spans="1:1" s="22" customFormat="1" hidden="1">
      <c r="A3479" s="61"/>
    </row>
    <row r="3480" spans="1:1" s="22" customFormat="1" hidden="1">
      <c r="A3480" s="61"/>
    </row>
    <row r="3481" spans="1:1" s="22" customFormat="1" hidden="1">
      <c r="A3481" s="61"/>
    </row>
    <row r="3482" spans="1:1" s="22" customFormat="1" hidden="1">
      <c r="A3482" s="61"/>
    </row>
    <row r="3483" spans="1:1" s="22" customFormat="1" hidden="1">
      <c r="A3483" s="61"/>
    </row>
    <row r="3484" spans="1:1" s="22" customFormat="1" hidden="1">
      <c r="A3484" s="61"/>
    </row>
    <row r="3485" spans="1:1" s="22" customFormat="1" hidden="1">
      <c r="A3485" s="61"/>
    </row>
    <row r="3486" spans="1:1" s="22" customFormat="1" hidden="1">
      <c r="A3486" s="61"/>
    </row>
    <row r="3487" spans="1:1" s="22" customFormat="1" hidden="1">
      <c r="A3487" s="61"/>
    </row>
    <row r="3488" spans="1:1" s="22" customFormat="1" hidden="1">
      <c r="A3488" s="61"/>
    </row>
    <row r="3489" spans="1:1" s="22" customFormat="1" hidden="1">
      <c r="A3489" s="61"/>
    </row>
    <row r="3490" spans="1:1" s="22" customFormat="1" hidden="1">
      <c r="A3490" s="61"/>
    </row>
    <row r="3491" spans="1:1" s="22" customFormat="1" hidden="1">
      <c r="A3491" s="61"/>
    </row>
    <row r="3492" spans="1:1" s="22" customFormat="1" hidden="1">
      <c r="A3492" s="61"/>
    </row>
    <row r="3493" spans="1:1" s="22" customFormat="1" hidden="1">
      <c r="A3493" s="61"/>
    </row>
    <row r="3494" spans="1:1" s="22" customFormat="1" hidden="1">
      <c r="A3494" s="61"/>
    </row>
    <row r="3495" spans="1:1" s="22" customFormat="1" hidden="1">
      <c r="A3495" s="61"/>
    </row>
    <row r="3496" spans="1:1" s="22" customFormat="1" hidden="1">
      <c r="A3496" s="61"/>
    </row>
    <row r="3497" spans="1:1" s="22" customFormat="1" hidden="1">
      <c r="A3497" s="61"/>
    </row>
    <row r="3498" spans="1:1" s="22" customFormat="1" hidden="1">
      <c r="A3498" s="61"/>
    </row>
    <row r="3499" spans="1:1" s="22" customFormat="1" hidden="1">
      <c r="A3499" s="61"/>
    </row>
    <row r="3500" spans="1:1" s="22" customFormat="1" hidden="1">
      <c r="A3500" s="61"/>
    </row>
    <row r="3501" spans="1:1" s="22" customFormat="1" hidden="1">
      <c r="A3501" s="61"/>
    </row>
    <row r="3502" spans="1:1" s="22" customFormat="1" hidden="1">
      <c r="A3502" s="61"/>
    </row>
    <row r="3503" spans="1:1" s="22" customFormat="1" hidden="1">
      <c r="A3503" s="61"/>
    </row>
    <row r="3504" spans="1:1" s="22" customFormat="1" hidden="1">
      <c r="A3504" s="61"/>
    </row>
    <row r="3505" spans="1:1" s="22" customFormat="1" hidden="1">
      <c r="A3505" s="61"/>
    </row>
    <row r="3506" spans="1:1" s="22" customFormat="1" hidden="1">
      <c r="A3506" s="61"/>
    </row>
    <row r="3507" spans="1:1" s="22" customFormat="1" hidden="1">
      <c r="A3507" s="61"/>
    </row>
    <row r="3508" spans="1:1" s="22" customFormat="1" hidden="1">
      <c r="A3508" s="61"/>
    </row>
    <row r="3509" spans="1:1" s="22" customFormat="1" hidden="1">
      <c r="A3509" s="61"/>
    </row>
    <row r="3510" spans="1:1" s="22" customFormat="1" hidden="1">
      <c r="A3510" s="61"/>
    </row>
    <row r="3511" spans="1:1" s="22" customFormat="1" hidden="1">
      <c r="A3511" s="61"/>
    </row>
    <row r="3512" spans="1:1" s="22" customFormat="1" hidden="1">
      <c r="A3512" s="61"/>
    </row>
    <row r="3513" spans="1:1" s="22" customFormat="1" hidden="1">
      <c r="A3513" s="61"/>
    </row>
    <row r="3514" spans="1:1" s="22" customFormat="1" hidden="1">
      <c r="A3514" s="61"/>
    </row>
    <row r="3515" spans="1:1" s="22" customFormat="1" hidden="1">
      <c r="A3515" s="61"/>
    </row>
    <row r="3516" spans="1:1" s="22" customFormat="1" hidden="1">
      <c r="A3516" s="61"/>
    </row>
    <row r="3517" spans="1:1" s="22" customFormat="1" hidden="1">
      <c r="A3517" s="61"/>
    </row>
    <row r="3518" spans="1:1" s="22" customFormat="1" hidden="1">
      <c r="A3518" s="61"/>
    </row>
    <row r="3519" spans="1:1" s="22" customFormat="1" hidden="1">
      <c r="A3519" s="61"/>
    </row>
    <row r="3520" spans="1:1" s="22" customFormat="1" hidden="1">
      <c r="A3520" s="61"/>
    </row>
    <row r="3521" spans="1:1" s="22" customFormat="1" hidden="1">
      <c r="A3521" s="61"/>
    </row>
    <row r="3522" spans="1:1" s="22" customFormat="1" hidden="1">
      <c r="A3522" s="61"/>
    </row>
    <row r="3523" spans="1:1" s="22" customFormat="1" hidden="1">
      <c r="A3523" s="61"/>
    </row>
    <row r="3524" spans="1:1" s="22" customFormat="1" hidden="1">
      <c r="A3524" s="61"/>
    </row>
    <row r="3525" spans="1:1" s="22" customFormat="1" hidden="1">
      <c r="A3525" s="61"/>
    </row>
    <row r="3526" spans="1:1" s="22" customFormat="1" hidden="1">
      <c r="A3526" s="61"/>
    </row>
    <row r="3527" spans="1:1" s="22" customFormat="1" hidden="1">
      <c r="A3527" s="61"/>
    </row>
    <row r="3528" spans="1:1" s="22" customFormat="1" hidden="1">
      <c r="A3528" s="61"/>
    </row>
    <row r="3529" spans="1:1" s="22" customFormat="1" hidden="1">
      <c r="A3529" s="61"/>
    </row>
    <row r="3530" spans="1:1" s="22" customFormat="1" hidden="1">
      <c r="A3530" s="61"/>
    </row>
    <row r="3531" spans="1:1" s="22" customFormat="1" hidden="1">
      <c r="A3531" s="61"/>
    </row>
    <row r="3532" spans="1:1" s="22" customFormat="1" hidden="1">
      <c r="A3532" s="61"/>
    </row>
    <row r="3533" spans="1:1" s="22" customFormat="1" hidden="1">
      <c r="A3533" s="61"/>
    </row>
    <row r="3534" spans="1:1" s="22" customFormat="1" hidden="1">
      <c r="A3534" s="61"/>
    </row>
    <row r="3535" spans="1:1" s="22" customFormat="1" hidden="1">
      <c r="A3535" s="61"/>
    </row>
    <row r="3536" spans="1:1" s="22" customFormat="1" hidden="1">
      <c r="A3536" s="61"/>
    </row>
    <row r="3537" spans="1:1" s="22" customFormat="1" hidden="1">
      <c r="A3537" s="61"/>
    </row>
    <row r="3538" spans="1:1" s="22" customFormat="1" hidden="1">
      <c r="A3538" s="61"/>
    </row>
    <row r="3539" spans="1:1" s="22" customFormat="1" hidden="1">
      <c r="A3539" s="61"/>
    </row>
    <row r="3540" spans="1:1" s="22" customFormat="1" hidden="1">
      <c r="A3540" s="61"/>
    </row>
    <row r="3541" spans="1:1" s="22" customFormat="1" hidden="1">
      <c r="A3541" s="61"/>
    </row>
    <row r="3542" spans="1:1" s="22" customFormat="1" hidden="1">
      <c r="A3542" s="61"/>
    </row>
    <row r="3543" spans="1:1" s="22" customFormat="1" hidden="1">
      <c r="A3543" s="61"/>
    </row>
    <row r="3544" spans="1:1" s="22" customFormat="1" hidden="1">
      <c r="A3544" s="61"/>
    </row>
    <row r="3545" spans="1:1" s="22" customFormat="1" hidden="1">
      <c r="A3545" s="61"/>
    </row>
    <row r="3546" spans="1:1" s="22" customFormat="1" hidden="1">
      <c r="A3546" s="61"/>
    </row>
    <row r="3547" spans="1:1" s="22" customFormat="1" hidden="1">
      <c r="A3547" s="61"/>
    </row>
    <row r="3548" spans="1:1" s="22" customFormat="1" hidden="1">
      <c r="A3548" s="61"/>
    </row>
    <row r="3549" spans="1:1" s="22" customFormat="1" hidden="1">
      <c r="A3549" s="61"/>
    </row>
    <row r="3550" spans="1:1" s="22" customFormat="1" hidden="1">
      <c r="A3550" s="61"/>
    </row>
    <row r="3551" spans="1:1" s="22" customFormat="1" hidden="1">
      <c r="A3551" s="61"/>
    </row>
    <row r="3552" spans="1:1" s="22" customFormat="1" hidden="1">
      <c r="A3552" s="61"/>
    </row>
    <row r="3553" spans="1:1" s="22" customFormat="1" hidden="1">
      <c r="A3553" s="61"/>
    </row>
    <row r="3554" spans="1:1" s="22" customFormat="1" hidden="1">
      <c r="A3554" s="61"/>
    </row>
    <row r="3555" spans="1:1" s="22" customFormat="1" hidden="1">
      <c r="A3555" s="61"/>
    </row>
    <row r="3556" spans="1:1" s="22" customFormat="1" hidden="1">
      <c r="A3556" s="61"/>
    </row>
    <row r="3557" spans="1:1" s="22" customFormat="1" hidden="1">
      <c r="A3557" s="61"/>
    </row>
    <row r="3558" spans="1:1" s="22" customFormat="1" hidden="1">
      <c r="A3558" s="61"/>
    </row>
    <row r="3559" spans="1:1" s="22" customFormat="1" hidden="1">
      <c r="A3559" s="61"/>
    </row>
    <row r="3560" spans="1:1" s="22" customFormat="1" hidden="1">
      <c r="A3560" s="61"/>
    </row>
    <row r="3561" spans="1:1" s="22" customFormat="1" hidden="1">
      <c r="A3561" s="61"/>
    </row>
    <row r="3562" spans="1:1" s="22" customFormat="1" hidden="1">
      <c r="A3562" s="61"/>
    </row>
    <row r="3563" spans="1:1" s="22" customFormat="1" hidden="1">
      <c r="A3563" s="61"/>
    </row>
    <row r="3564" spans="1:1" s="22" customFormat="1" hidden="1">
      <c r="A3564" s="61"/>
    </row>
    <row r="3565" spans="1:1" s="22" customFormat="1" hidden="1">
      <c r="A3565" s="61"/>
    </row>
    <row r="3566" spans="1:1" s="22" customFormat="1" hidden="1">
      <c r="A3566" s="61"/>
    </row>
    <row r="3567" spans="1:1" s="22" customFormat="1" hidden="1">
      <c r="A3567" s="61"/>
    </row>
    <row r="3568" spans="1:1" s="22" customFormat="1" hidden="1">
      <c r="A3568" s="61"/>
    </row>
    <row r="3569" spans="1:1" s="22" customFormat="1" hidden="1">
      <c r="A3569" s="61"/>
    </row>
    <row r="3570" spans="1:1" s="22" customFormat="1" hidden="1">
      <c r="A3570" s="61"/>
    </row>
    <row r="3571" spans="1:1" s="22" customFormat="1" hidden="1">
      <c r="A3571" s="61"/>
    </row>
    <row r="3572" spans="1:1" s="22" customFormat="1" hidden="1">
      <c r="A3572" s="61"/>
    </row>
    <row r="3573" spans="1:1" s="22" customFormat="1" hidden="1">
      <c r="A3573" s="61"/>
    </row>
    <row r="3574" spans="1:1" s="22" customFormat="1" hidden="1">
      <c r="A3574" s="61"/>
    </row>
    <row r="3575" spans="1:1" s="22" customFormat="1" hidden="1">
      <c r="A3575" s="61"/>
    </row>
    <row r="3576" spans="1:1" s="22" customFormat="1" hidden="1">
      <c r="A3576" s="61"/>
    </row>
    <row r="3577" spans="1:1" s="22" customFormat="1" hidden="1">
      <c r="A3577" s="61"/>
    </row>
    <row r="3578" spans="1:1" s="22" customFormat="1" hidden="1">
      <c r="A3578" s="61"/>
    </row>
    <row r="3579" spans="1:1" s="22" customFormat="1" hidden="1">
      <c r="A3579" s="61"/>
    </row>
    <row r="3580" spans="1:1" s="22" customFormat="1" hidden="1">
      <c r="A3580" s="61"/>
    </row>
    <row r="3581" spans="1:1" s="22" customFormat="1" hidden="1">
      <c r="A3581" s="61"/>
    </row>
    <row r="3582" spans="1:1" s="22" customFormat="1" hidden="1">
      <c r="A3582" s="61"/>
    </row>
    <row r="3583" spans="1:1" s="22" customFormat="1" hidden="1">
      <c r="A3583" s="61"/>
    </row>
    <row r="3584" spans="1:1" s="22" customFormat="1" hidden="1">
      <c r="A3584" s="61"/>
    </row>
    <row r="3585" spans="1:1" s="22" customFormat="1" hidden="1">
      <c r="A3585" s="61"/>
    </row>
    <row r="3586" spans="1:1" s="22" customFormat="1" hidden="1">
      <c r="A3586" s="61"/>
    </row>
    <row r="3587" spans="1:1" s="22" customFormat="1" hidden="1">
      <c r="A3587" s="61"/>
    </row>
    <row r="3588" spans="1:1" s="22" customFormat="1" hidden="1">
      <c r="A3588" s="61"/>
    </row>
    <row r="3589" spans="1:1" s="22" customFormat="1" hidden="1">
      <c r="A3589" s="61"/>
    </row>
    <row r="3590" spans="1:1" s="22" customFormat="1" hidden="1">
      <c r="A3590" s="61"/>
    </row>
    <row r="3591" spans="1:1" s="22" customFormat="1" hidden="1">
      <c r="A3591" s="61"/>
    </row>
    <row r="3592" spans="1:1" s="22" customFormat="1" hidden="1">
      <c r="A3592" s="61"/>
    </row>
    <row r="3593" spans="1:1" s="22" customFormat="1" hidden="1">
      <c r="A3593" s="61"/>
    </row>
    <row r="3594" spans="1:1" s="22" customFormat="1" hidden="1">
      <c r="A3594" s="61"/>
    </row>
    <row r="3595" spans="1:1" s="22" customFormat="1" hidden="1">
      <c r="A3595" s="61"/>
    </row>
    <row r="3596" spans="1:1" s="22" customFormat="1" hidden="1">
      <c r="A3596" s="61"/>
    </row>
    <row r="3597" spans="1:1" s="22" customFormat="1" hidden="1">
      <c r="A3597" s="61"/>
    </row>
    <row r="3598" spans="1:1" s="22" customFormat="1" hidden="1">
      <c r="A3598" s="61"/>
    </row>
    <row r="3599" spans="1:1" s="22" customFormat="1" hidden="1">
      <c r="A3599" s="61"/>
    </row>
    <row r="3600" spans="1:1" s="22" customFormat="1" hidden="1">
      <c r="A3600" s="61"/>
    </row>
    <row r="3601" spans="1:1" s="22" customFormat="1" hidden="1">
      <c r="A3601" s="61"/>
    </row>
    <row r="3602" spans="1:1" s="22" customFormat="1" hidden="1">
      <c r="A3602" s="61"/>
    </row>
    <row r="3603" spans="1:1" s="22" customFormat="1" hidden="1">
      <c r="A3603" s="61"/>
    </row>
    <row r="3604" spans="1:1" s="22" customFormat="1" hidden="1">
      <c r="A3604" s="61"/>
    </row>
    <row r="3605" spans="1:1" s="22" customFormat="1" hidden="1">
      <c r="A3605" s="61"/>
    </row>
    <row r="3606" spans="1:1" s="22" customFormat="1" hidden="1">
      <c r="A3606" s="61"/>
    </row>
    <row r="3607" spans="1:1" s="22" customFormat="1" hidden="1">
      <c r="A3607" s="61"/>
    </row>
    <row r="3608" spans="1:1" s="22" customFormat="1" hidden="1">
      <c r="A3608" s="61"/>
    </row>
    <row r="3609" spans="1:1" s="22" customFormat="1" hidden="1">
      <c r="A3609" s="61"/>
    </row>
    <row r="3610" spans="1:1" s="22" customFormat="1" hidden="1">
      <c r="A3610" s="61"/>
    </row>
    <row r="3611" spans="1:1" s="22" customFormat="1" hidden="1">
      <c r="A3611" s="61"/>
    </row>
    <row r="3612" spans="1:1" s="22" customFormat="1" hidden="1">
      <c r="A3612" s="61"/>
    </row>
    <row r="3613" spans="1:1" s="22" customFormat="1" hidden="1">
      <c r="A3613" s="61"/>
    </row>
    <row r="3614" spans="1:1" s="22" customFormat="1" hidden="1">
      <c r="A3614" s="61"/>
    </row>
    <row r="3615" spans="1:1" s="22" customFormat="1" hidden="1">
      <c r="A3615" s="61"/>
    </row>
    <row r="3616" spans="1:1" s="22" customFormat="1" hidden="1">
      <c r="A3616" s="61"/>
    </row>
    <row r="3617" spans="1:1" s="22" customFormat="1" hidden="1">
      <c r="A3617" s="61"/>
    </row>
    <row r="3618" spans="1:1" s="22" customFormat="1" hidden="1">
      <c r="A3618" s="61"/>
    </row>
    <row r="3619" spans="1:1" s="22" customFormat="1" hidden="1">
      <c r="A3619" s="61"/>
    </row>
    <row r="3620" spans="1:1" s="22" customFormat="1" hidden="1">
      <c r="A3620" s="61"/>
    </row>
    <row r="3621" spans="1:1" s="22" customFormat="1" hidden="1">
      <c r="A3621" s="61"/>
    </row>
    <row r="3622" spans="1:1" s="22" customFormat="1" hidden="1">
      <c r="A3622" s="61"/>
    </row>
    <row r="3623" spans="1:1" s="22" customFormat="1" hidden="1">
      <c r="A3623" s="61"/>
    </row>
    <row r="3624" spans="1:1" s="22" customFormat="1" hidden="1">
      <c r="A3624" s="61"/>
    </row>
    <row r="3625" spans="1:1" s="22" customFormat="1" hidden="1">
      <c r="A3625" s="61"/>
    </row>
    <row r="3626" spans="1:1" s="22" customFormat="1" hidden="1">
      <c r="A3626" s="61"/>
    </row>
    <row r="3627" spans="1:1" s="22" customFormat="1" hidden="1">
      <c r="A3627" s="61"/>
    </row>
    <row r="3628" spans="1:1" s="22" customFormat="1" hidden="1">
      <c r="A3628" s="61"/>
    </row>
    <row r="3629" spans="1:1" s="22" customFormat="1" hidden="1">
      <c r="A3629" s="61"/>
    </row>
    <row r="3630" spans="1:1" s="22" customFormat="1" hidden="1">
      <c r="A3630" s="61"/>
    </row>
    <row r="3631" spans="1:1" s="22" customFormat="1" hidden="1">
      <c r="A3631" s="61"/>
    </row>
    <row r="3632" spans="1:1" s="22" customFormat="1" hidden="1">
      <c r="A3632" s="61"/>
    </row>
    <row r="3633" spans="1:1" s="22" customFormat="1" hidden="1">
      <c r="A3633" s="61"/>
    </row>
    <row r="3634" spans="1:1" s="22" customFormat="1" hidden="1">
      <c r="A3634" s="61"/>
    </row>
    <row r="3635" spans="1:1" s="22" customFormat="1" hidden="1">
      <c r="A3635" s="61"/>
    </row>
    <row r="3636" spans="1:1" s="22" customFormat="1" hidden="1">
      <c r="A3636" s="61"/>
    </row>
    <row r="3637" spans="1:1" s="22" customFormat="1" hidden="1">
      <c r="A3637" s="61"/>
    </row>
    <row r="3638" spans="1:1" s="22" customFormat="1" hidden="1">
      <c r="A3638" s="61"/>
    </row>
    <row r="3639" spans="1:1" s="22" customFormat="1" hidden="1">
      <c r="A3639" s="61"/>
    </row>
    <row r="3640" spans="1:1" s="22" customFormat="1" hidden="1">
      <c r="A3640" s="61"/>
    </row>
    <row r="3641" spans="1:1" s="22" customFormat="1" hidden="1">
      <c r="A3641" s="61"/>
    </row>
    <row r="3642" spans="1:1" s="22" customFormat="1" hidden="1">
      <c r="A3642" s="61"/>
    </row>
    <row r="3643" spans="1:1" s="22" customFormat="1" hidden="1">
      <c r="A3643" s="61"/>
    </row>
    <row r="3644" spans="1:1" s="22" customFormat="1" hidden="1">
      <c r="A3644" s="61"/>
    </row>
    <row r="3645" spans="1:1" s="22" customFormat="1" hidden="1">
      <c r="A3645" s="61"/>
    </row>
    <row r="3646" spans="1:1" s="22" customFormat="1" hidden="1">
      <c r="A3646" s="61"/>
    </row>
    <row r="3647" spans="1:1" s="22" customFormat="1" hidden="1">
      <c r="A3647" s="61"/>
    </row>
    <row r="3648" spans="1:1" s="22" customFormat="1" hidden="1">
      <c r="A3648" s="61"/>
    </row>
    <row r="3649" spans="1:1" s="22" customFormat="1" hidden="1">
      <c r="A3649" s="61"/>
    </row>
    <row r="3650" spans="1:1" s="22" customFormat="1" hidden="1">
      <c r="A3650" s="61"/>
    </row>
    <row r="3651" spans="1:1" s="22" customFormat="1" hidden="1">
      <c r="A3651" s="61"/>
    </row>
    <row r="3652" spans="1:1" s="22" customFormat="1" hidden="1">
      <c r="A3652" s="61"/>
    </row>
    <row r="3653" spans="1:1" s="22" customFormat="1" hidden="1">
      <c r="A3653" s="61"/>
    </row>
    <row r="3654" spans="1:1" s="22" customFormat="1" hidden="1">
      <c r="A3654" s="61"/>
    </row>
    <row r="3655" spans="1:1" s="22" customFormat="1" hidden="1">
      <c r="A3655" s="61"/>
    </row>
    <row r="3656" spans="1:1" s="22" customFormat="1" hidden="1">
      <c r="A3656" s="61"/>
    </row>
    <row r="3657" spans="1:1" s="22" customFormat="1" hidden="1">
      <c r="A3657" s="61"/>
    </row>
    <row r="3658" spans="1:1" s="22" customFormat="1" hidden="1">
      <c r="A3658" s="61"/>
    </row>
    <row r="3659" spans="1:1" s="22" customFormat="1" hidden="1">
      <c r="A3659" s="61"/>
    </row>
    <row r="3660" spans="1:1" s="22" customFormat="1" hidden="1">
      <c r="A3660" s="61"/>
    </row>
    <row r="3661" spans="1:1" s="22" customFormat="1" hidden="1">
      <c r="A3661" s="61"/>
    </row>
    <row r="3662" spans="1:1" s="22" customFormat="1" hidden="1">
      <c r="A3662" s="61"/>
    </row>
    <row r="3663" spans="1:1" s="22" customFormat="1" hidden="1">
      <c r="A3663" s="61"/>
    </row>
    <row r="3664" spans="1:1" s="22" customFormat="1" hidden="1">
      <c r="A3664" s="61"/>
    </row>
    <row r="3665" spans="1:1" s="22" customFormat="1" hidden="1">
      <c r="A3665" s="61"/>
    </row>
    <row r="3666" spans="1:1" s="22" customFormat="1" hidden="1">
      <c r="A3666" s="61"/>
    </row>
    <row r="3667" spans="1:1" s="22" customFormat="1" hidden="1">
      <c r="A3667" s="61"/>
    </row>
    <row r="3668" spans="1:1" s="22" customFormat="1" hidden="1">
      <c r="A3668" s="61"/>
    </row>
    <row r="3669" spans="1:1" s="22" customFormat="1" hidden="1">
      <c r="A3669" s="61"/>
    </row>
    <row r="3670" spans="1:1" s="22" customFormat="1" hidden="1">
      <c r="A3670" s="61"/>
    </row>
    <row r="3671" spans="1:1" s="22" customFormat="1" hidden="1">
      <c r="A3671" s="61"/>
    </row>
    <row r="3672" spans="1:1" s="22" customFormat="1" hidden="1">
      <c r="A3672" s="61"/>
    </row>
    <row r="3673" spans="1:1" s="22" customFormat="1" hidden="1">
      <c r="A3673" s="61"/>
    </row>
    <row r="3674" spans="1:1" s="22" customFormat="1" hidden="1">
      <c r="A3674" s="61"/>
    </row>
    <row r="3675" spans="1:1" s="22" customFormat="1" hidden="1">
      <c r="A3675" s="61"/>
    </row>
    <row r="3676" spans="1:1" s="22" customFormat="1" hidden="1">
      <c r="A3676" s="61"/>
    </row>
    <row r="3677" spans="1:1" s="22" customFormat="1" hidden="1">
      <c r="A3677" s="61"/>
    </row>
    <row r="3678" spans="1:1" s="22" customFormat="1" hidden="1">
      <c r="A3678" s="61"/>
    </row>
    <row r="3679" spans="1:1" s="22" customFormat="1" hidden="1">
      <c r="A3679" s="61"/>
    </row>
    <row r="3680" spans="1:1" s="22" customFormat="1" hidden="1">
      <c r="A3680" s="61"/>
    </row>
    <row r="3681" spans="1:1" s="22" customFormat="1" hidden="1">
      <c r="A3681" s="61"/>
    </row>
    <row r="3682" spans="1:1" s="22" customFormat="1" hidden="1">
      <c r="A3682" s="61"/>
    </row>
    <row r="3683" spans="1:1" s="22" customFormat="1" hidden="1">
      <c r="A3683" s="61"/>
    </row>
    <row r="3684" spans="1:1" s="22" customFormat="1" hidden="1">
      <c r="A3684" s="61"/>
    </row>
    <row r="3685" spans="1:1" s="22" customFormat="1" hidden="1">
      <c r="A3685" s="61"/>
    </row>
    <row r="3686" spans="1:1" s="22" customFormat="1" hidden="1">
      <c r="A3686" s="61"/>
    </row>
    <row r="3687" spans="1:1" s="22" customFormat="1" hidden="1">
      <c r="A3687" s="61"/>
    </row>
    <row r="3688" spans="1:1" s="22" customFormat="1" hidden="1">
      <c r="A3688" s="61"/>
    </row>
    <row r="3689" spans="1:1" s="22" customFormat="1" hidden="1">
      <c r="A3689" s="61"/>
    </row>
    <row r="3690" spans="1:1" s="22" customFormat="1" hidden="1">
      <c r="A3690" s="61"/>
    </row>
    <row r="3691" spans="1:1" s="22" customFormat="1" hidden="1">
      <c r="A3691" s="61"/>
    </row>
    <row r="3692" spans="1:1" s="22" customFormat="1" hidden="1">
      <c r="A3692" s="61"/>
    </row>
    <row r="3693" spans="1:1" s="22" customFormat="1" hidden="1">
      <c r="A3693" s="61"/>
    </row>
    <row r="3694" spans="1:1" s="22" customFormat="1" hidden="1">
      <c r="A3694" s="61"/>
    </row>
    <row r="3695" spans="1:1" s="22" customFormat="1" hidden="1">
      <c r="A3695" s="61"/>
    </row>
    <row r="3696" spans="1:1" s="22" customFormat="1" hidden="1">
      <c r="A3696" s="61"/>
    </row>
    <row r="3697" spans="1:1" s="22" customFormat="1" hidden="1">
      <c r="A3697" s="61"/>
    </row>
    <row r="3698" spans="1:1" s="22" customFormat="1" hidden="1">
      <c r="A3698" s="61"/>
    </row>
    <row r="3699" spans="1:1" s="22" customFormat="1" hidden="1">
      <c r="A3699" s="61"/>
    </row>
    <row r="3700" spans="1:1" s="22" customFormat="1" hidden="1">
      <c r="A3700" s="61"/>
    </row>
    <row r="3701" spans="1:1" s="22" customFormat="1" hidden="1">
      <c r="A3701" s="61"/>
    </row>
    <row r="3702" spans="1:1" s="22" customFormat="1" hidden="1">
      <c r="A3702" s="61"/>
    </row>
    <row r="3703" spans="1:1" s="22" customFormat="1" hidden="1">
      <c r="A3703" s="61"/>
    </row>
    <row r="3704" spans="1:1" s="22" customFormat="1" hidden="1">
      <c r="A3704" s="61"/>
    </row>
    <row r="3705" spans="1:1" s="22" customFormat="1" hidden="1">
      <c r="A3705" s="61"/>
    </row>
    <row r="3706" spans="1:1" s="22" customFormat="1" hidden="1">
      <c r="A3706" s="61"/>
    </row>
    <row r="3707" spans="1:1" s="22" customFormat="1" hidden="1">
      <c r="A3707" s="61"/>
    </row>
    <row r="3708" spans="1:1" s="22" customFormat="1" hidden="1">
      <c r="A3708" s="61"/>
    </row>
    <row r="3709" spans="1:1" s="22" customFormat="1" hidden="1">
      <c r="A3709" s="61"/>
    </row>
    <row r="3710" spans="1:1" s="22" customFormat="1" hidden="1">
      <c r="A3710" s="61"/>
    </row>
    <row r="3711" spans="1:1" s="22" customFormat="1" hidden="1">
      <c r="A3711" s="61"/>
    </row>
    <row r="3712" spans="1:1" s="22" customFormat="1" hidden="1">
      <c r="A3712" s="61"/>
    </row>
    <row r="3713" spans="1:1" s="22" customFormat="1" hidden="1">
      <c r="A3713" s="61"/>
    </row>
    <row r="3714" spans="1:1" s="22" customFormat="1" hidden="1">
      <c r="A3714" s="61"/>
    </row>
    <row r="3715" spans="1:1" s="22" customFormat="1" hidden="1">
      <c r="A3715" s="61"/>
    </row>
    <row r="3716" spans="1:1" s="22" customFormat="1" hidden="1">
      <c r="A3716" s="61"/>
    </row>
    <row r="3717" spans="1:1" s="22" customFormat="1" hidden="1">
      <c r="A3717" s="61"/>
    </row>
    <row r="3718" spans="1:1" s="22" customFormat="1" hidden="1">
      <c r="A3718" s="61"/>
    </row>
    <row r="3719" spans="1:1" s="22" customFormat="1" hidden="1">
      <c r="A3719" s="61"/>
    </row>
    <row r="3720" spans="1:1" s="22" customFormat="1" hidden="1">
      <c r="A3720" s="61"/>
    </row>
    <row r="3721" spans="1:1" s="22" customFormat="1" hidden="1">
      <c r="A3721" s="61"/>
    </row>
    <row r="3722" spans="1:1" s="22" customFormat="1" hidden="1">
      <c r="A3722" s="61"/>
    </row>
    <row r="3723" spans="1:1" s="22" customFormat="1" hidden="1">
      <c r="A3723" s="61"/>
    </row>
    <row r="3724" spans="1:1" s="22" customFormat="1" hidden="1">
      <c r="A3724" s="61"/>
    </row>
    <row r="3725" spans="1:1" s="22" customFormat="1" hidden="1">
      <c r="A3725" s="61"/>
    </row>
    <row r="3726" spans="1:1" s="22" customFormat="1" hidden="1">
      <c r="A3726" s="61"/>
    </row>
    <row r="3727" spans="1:1" s="22" customFormat="1" hidden="1">
      <c r="A3727" s="61"/>
    </row>
    <row r="3728" spans="1:1" s="22" customFormat="1" hidden="1">
      <c r="A3728" s="61"/>
    </row>
    <row r="3729" spans="1:1" s="22" customFormat="1" hidden="1">
      <c r="A3729" s="61"/>
    </row>
    <row r="3730" spans="1:1" s="22" customFormat="1" hidden="1">
      <c r="A3730" s="61"/>
    </row>
    <row r="3731" spans="1:1" s="22" customFormat="1" hidden="1">
      <c r="A3731" s="61"/>
    </row>
    <row r="3732" spans="1:1" s="22" customFormat="1" hidden="1">
      <c r="A3732" s="61"/>
    </row>
    <row r="3733" spans="1:1" s="22" customFormat="1" hidden="1">
      <c r="A3733" s="61"/>
    </row>
    <row r="3734" spans="1:1" s="22" customFormat="1" hidden="1">
      <c r="A3734" s="61"/>
    </row>
    <row r="3735" spans="1:1" s="22" customFormat="1" hidden="1">
      <c r="A3735" s="61"/>
    </row>
    <row r="3736" spans="1:1" s="22" customFormat="1" hidden="1">
      <c r="A3736" s="61"/>
    </row>
    <row r="3737" spans="1:1" s="22" customFormat="1" hidden="1">
      <c r="A3737" s="61"/>
    </row>
    <row r="3738" spans="1:1" s="22" customFormat="1" hidden="1">
      <c r="A3738" s="61"/>
    </row>
    <row r="3739" spans="1:1" s="22" customFormat="1" hidden="1">
      <c r="A3739" s="61"/>
    </row>
    <row r="3740" spans="1:1" s="22" customFormat="1" hidden="1">
      <c r="A3740" s="61"/>
    </row>
    <row r="3741" spans="1:1" s="22" customFormat="1" hidden="1">
      <c r="A3741" s="61"/>
    </row>
    <row r="3742" spans="1:1" s="22" customFormat="1" hidden="1">
      <c r="A3742" s="61"/>
    </row>
    <row r="3743" spans="1:1" s="22" customFormat="1" hidden="1">
      <c r="A3743" s="61"/>
    </row>
    <row r="3744" spans="1:1" s="22" customFormat="1" hidden="1">
      <c r="A3744" s="61"/>
    </row>
    <row r="3745" spans="1:1" s="22" customFormat="1" hidden="1">
      <c r="A3745" s="61"/>
    </row>
    <row r="3746" spans="1:1" s="22" customFormat="1" hidden="1">
      <c r="A3746" s="61"/>
    </row>
    <row r="3747" spans="1:1" s="22" customFormat="1" hidden="1">
      <c r="A3747" s="61"/>
    </row>
    <row r="3748" spans="1:1" s="22" customFormat="1" hidden="1">
      <c r="A3748" s="61"/>
    </row>
    <row r="3749" spans="1:1" s="22" customFormat="1" hidden="1">
      <c r="A3749" s="61"/>
    </row>
    <row r="3750" spans="1:1" s="22" customFormat="1" hidden="1">
      <c r="A3750" s="61"/>
    </row>
    <row r="3751" spans="1:1" s="22" customFormat="1" hidden="1">
      <c r="A3751" s="61"/>
    </row>
    <row r="3752" spans="1:1" s="22" customFormat="1" hidden="1">
      <c r="A3752" s="61"/>
    </row>
    <row r="3753" spans="1:1" s="22" customFormat="1" hidden="1">
      <c r="A3753" s="61"/>
    </row>
    <row r="3754" spans="1:1" s="22" customFormat="1" hidden="1">
      <c r="A3754" s="61"/>
    </row>
    <row r="3755" spans="1:1" s="22" customFormat="1" hidden="1">
      <c r="A3755" s="61"/>
    </row>
    <row r="3756" spans="1:1" s="22" customFormat="1" hidden="1">
      <c r="A3756" s="61"/>
    </row>
    <row r="3757" spans="1:1" s="22" customFormat="1" hidden="1">
      <c r="A3757" s="61"/>
    </row>
    <row r="3758" spans="1:1" s="22" customFormat="1" hidden="1">
      <c r="A3758" s="61"/>
    </row>
    <row r="3759" spans="1:1" s="22" customFormat="1" hidden="1">
      <c r="A3759" s="61"/>
    </row>
    <row r="3760" spans="1:1" s="22" customFormat="1" hidden="1">
      <c r="A3760" s="61"/>
    </row>
    <row r="3761" spans="1:1" s="22" customFormat="1" hidden="1">
      <c r="A3761" s="61"/>
    </row>
    <row r="3762" spans="1:1" s="22" customFormat="1" hidden="1">
      <c r="A3762" s="61"/>
    </row>
    <row r="3763" spans="1:1" s="22" customFormat="1" hidden="1">
      <c r="A3763" s="61"/>
    </row>
    <row r="3764" spans="1:1" s="22" customFormat="1" hidden="1">
      <c r="A3764" s="61"/>
    </row>
    <row r="3765" spans="1:1" s="22" customFormat="1" hidden="1">
      <c r="A3765" s="61"/>
    </row>
    <row r="3766" spans="1:1" s="22" customFormat="1" hidden="1">
      <c r="A3766" s="61"/>
    </row>
    <row r="3767" spans="1:1" s="22" customFormat="1" hidden="1">
      <c r="A3767" s="61"/>
    </row>
    <row r="3768" spans="1:1" s="22" customFormat="1" hidden="1">
      <c r="A3768" s="61"/>
    </row>
    <row r="3769" spans="1:1" s="22" customFormat="1" hidden="1">
      <c r="A3769" s="61"/>
    </row>
    <row r="3770" spans="1:1" s="22" customFormat="1" hidden="1">
      <c r="A3770" s="61"/>
    </row>
    <row r="3771" spans="1:1" s="22" customFormat="1" hidden="1">
      <c r="A3771" s="61"/>
    </row>
    <row r="3772" spans="1:1" s="22" customFormat="1" hidden="1">
      <c r="A3772" s="61"/>
    </row>
    <row r="3773" spans="1:1" s="22" customFormat="1" hidden="1">
      <c r="A3773" s="61"/>
    </row>
    <row r="3774" spans="1:1" s="22" customFormat="1" hidden="1">
      <c r="A3774" s="61"/>
    </row>
    <row r="3775" spans="1:1" s="22" customFormat="1" hidden="1">
      <c r="A3775" s="61"/>
    </row>
    <row r="3776" spans="1:1" s="22" customFormat="1" hidden="1">
      <c r="A3776" s="61"/>
    </row>
    <row r="3777" spans="1:1" s="22" customFormat="1" hidden="1">
      <c r="A3777" s="61"/>
    </row>
    <row r="3778" spans="1:1" s="22" customFormat="1" hidden="1">
      <c r="A3778" s="61"/>
    </row>
    <row r="3779" spans="1:1" s="22" customFormat="1" hidden="1">
      <c r="A3779" s="61"/>
    </row>
    <row r="3780" spans="1:1" s="22" customFormat="1" hidden="1">
      <c r="A3780" s="61"/>
    </row>
    <row r="3781" spans="1:1" s="22" customFormat="1" hidden="1">
      <c r="A3781" s="61"/>
    </row>
    <row r="3782" spans="1:1" s="22" customFormat="1" hidden="1">
      <c r="A3782" s="61"/>
    </row>
    <row r="3783" spans="1:1" s="22" customFormat="1" hidden="1">
      <c r="A3783" s="61"/>
    </row>
    <row r="3784" spans="1:1" s="22" customFormat="1" hidden="1">
      <c r="A3784" s="61"/>
    </row>
    <row r="3785" spans="1:1" s="22" customFormat="1" hidden="1">
      <c r="A3785" s="61"/>
    </row>
    <row r="3786" spans="1:1" s="22" customFormat="1" hidden="1">
      <c r="A3786" s="61"/>
    </row>
    <row r="3787" spans="1:1" s="22" customFormat="1" hidden="1">
      <c r="A3787" s="61"/>
    </row>
    <row r="3788" spans="1:1" s="22" customFormat="1" hidden="1">
      <c r="A3788" s="61"/>
    </row>
    <row r="3789" spans="1:1" s="22" customFormat="1" hidden="1">
      <c r="A3789" s="61"/>
    </row>
    <row r="3790" spans="1:1" s="22" customFormat="1" hidden="1">
      <c r="A3790" s="61"/>
    </row>
    <row r="3791" spans="1:1" s="22" customFormat="1" hidden="1">
      <c r="A3791" s="61"/>
    </row>
    <row r="3792" spans="1:1" s="22" customFormat="1" hidden="1">
      <c r="A3792" s="61"/>
    </row>
    <row r="3793" spans="1:1" s="22" customFormat="1" hidden="1">
      <c r="A3793" s="61"/>
    </row>
    <row r="3794" spans="1:1" s="22" customFormat="1" hidden="1">
      <c r="A3794" s="61"/>
    </row>
    <row r="3795" spans="1:1" s="22" customFormat="1" hidden="1">
      <c r="A3795" s="61"/>
    </row>
    <row r="3796" spans="1:1" s="22" customFormat="1" hidden="1">
      <c r="A3796" s="61"/>
    </row>
    <row r="3797" spans="1:1" s="22" customFormat="1" hidden="1">
      <c r="A3797" s="61"/>
    </row>
    <row r="3798" spans="1:1" s="22" customFormat="1" hidden="1">
      <c r="A3798" s="61"/>
    </row>
    <row r="3799" spans="1:1" s="22" customFormat="1" hidden="1">
      <c r="A3799" s="61"/>
    </row>
    <row r="3800" spans="1:1" s="22" customFormat="1" hidden="1">
      <c r="A3800" s="61"/>
    </row>
    <row r="3801" spans="1:1" s="22" customFormat="1" hidden="1">
      <c r="A3801" s="61"/>
    </row>
    <row r="3802" spans="1:1" s="22" customFormat="1" hidden="1">
      <c r="A3802" s="61"/>
    </row>
    <row r="3803" spans="1:1" s="22" customFormat="1" hidden="1">
      <c r="A3803" s="61"/>
    </row>
    <row r="3804" spans="1:1" s="22" customFormat="1" hidden="1">
      <c r="A3804" s="61"/>
    </row>
    <row r="3805" spans="1:1" s="22" customFormat="1" hidden="1">
      <c r="A3805" s="61"/>
    </row>
    <row r="3806" spans="1:1" s="22" customFormat="1" hidden="1">
      <c r="A3806" s="61"/>
    </row>
    <row r="3807" spans="1:1" s="22" customFormat="1" hidden="1">
      <c r="A3807" s="61"/>
    </row>
    <row r="3808" spans="1:1" s="22" customFormat="1" hidden="1">
      <c r="A3808" s="61"/>
    </row>
    <row r="3809" spans="1:1" s="22" customFormat="1" hidden="1">
      <c r="A3809" s="61"/>
    </row>
    <row r="3810" spans="1:1" s="22" customFormat="1" hidden="1">
      <c r="A3810" s="61"/>
    </row>
    <row r="3811" spans="1:1" s="22" customFormat="1" hidden="1">
      <c r="A3811" s="61"/>
    </row>
    <row r="3812" spans="1:1" s="22" customFormat="1" hidden="1">
      <c r="A3812" s="61"/>
    </row>
    <row r="3813" spans="1:1" s="22" customFormat="1" hidden="1">
      <c r="A3813" s="61"/>
    </row>
    <row r="3814" spans="1:1" s="22" customFormat="1" hidden="1">
      <c r="A3814" s="61"/>
    </row>
    <row r="3815" spans="1:1" s="22" customFormat="1" hidden="1">
      <c r="A3815" s="61"/>
    </row>
    <row r="3816" spans="1:1" s="22" customFormat="1" hidden="1">
      <c r="A3816" s="61"/>
    </row>
    <row r="3817" spans="1:1" s="22" customFormat="1" hidden="1">
      <c r="A3817" s="61"/>
    </row>
    <row r="3818" spans="1:1" s="22" customFormat="1" hidden="1">
      <c r="A3818" s="61"/>
    </row>
    <row r="3819" spans="1:1" s="22" customFormat="1" hidden="1">
      <c r="A3819" s="61"/>
    </row>
    <row r="3820" spans="1:1" s="22" customFormat="1" hidden="1">
      <c r="A3820" s="61"/>
    </row>
    <row r="3821" spans="1:1" s="22" customFormat="1" hidden="1">
      <c r="A3821" s="61"/>
    </row>
    <row r="3822" spans="1:1" s="22" customFormat="1" hidden="1">
      <c r="A3822" s="61"/>
    </row>
    <row r="3823" spans="1:1" s="22" customFormat="1" hidden="1">
      <c r="A3823" s="61"/>
    </row>
    <row r="3824" spans="1:1" s="22" customFormat="1" hidden="1">
      <c r="A3824" s="61"/>
    </row>
    <row r="3825" spans="1:1" s="22" customFormat="1" hidden="1">
      <c r="A3825" s="61"/>
    </row>
    <row r="3826" spans="1:1" s="22" customFormat="1" hidden="1">
      <c r="A3826" s="61"/>
    </row>
    <row r="3827" spans="1:1" s="22" customFormat="1" hidden="1">
      <c r="A3827" s="61"/>
    </row>
    <row r="3828" spans="1:1" s="22" customFormat="1" hidden="1">
      <c r="A3828" s="61"/>
    </row>
    <row r="3829" spans="1:1" s="22" customFormat="1" hidden="1">
      <c r="A3829" s="61"/>
    </row>
    <row r="3830" spans="1:1" s="22" customFormat="1" hidden="1">
      <c r="A3830" s="61"/>
    </row>
    <row r="3831" spans="1:1" s="22" customFormat="1" hidden="1">
      <c r="A3831" s="61"/>
    </row>
    <row r="3832" spans="1:1" s="22" customFormat="1" hidden="1">
      <c r="A3832" s="61"/>
    </row>
    <row r="3833" spans="1:1" s="22" customFormat="1" hidden="1">
      <c r="A3833" s="61"/>
    </row>
    <row r="3834" spans="1:1" s="22" customFormat="1" hidden="1">
      <c r="A3834" s="61"/>
    </row>
    <row r="3835" spans="1:1" s="22" customFormat="1" hidden="1">
      <c r="A3835" s="61"/>
    </row>
    <row r="3836" spans="1:1" s="22" customFormat="1" hidden="1">
      <c r="A3836" s="61"/>
    </row>
    <row r="3837" spans="1:1" s="22" customFormat="1" hidden="1">
      <c r="A3837" s="61"/>
    </row>
    <row r="3838" spans="1:1" s="22" customFormat="1" hidden="1">
      <c r="A3838" s="61"/>
    </row>
    <row r="3839" spans="1:1" s="22" customFormat="1" hidden="1">
      <c r="A3839" s="61"/>
    </row>
    <row r="3840" spans="1:1" s="22" customFormat="1" hidden="1">
      <c r="A3840" s="61"/>
    </row>
    <row r="3841" spans="1:1" s="22" customFormat="1" hidden="1">
      <c r="A3841" s="61"/>
    </row>
    <row r="3842" spans="1:1" s="22" customFormat="1" hidden="1">
      <c r="A3842" s="61"/>
    </row>
    <row r="3843" spans="1:1" s="22" customFormat="1" hidden="1">
      <c r="A3843" s="61"/>
    </row>
    <row r="3844" spans="1:1" s="22" customFormat="1" hidden="1">
      <c r="A3844" s="61"/>
    </row>
    <row r="3845" spans="1:1" s="22" customFormat="1" hidden="1">
      <c r="A3845" s="61"/>
    </row>
    <row r="3846" spans="1:1" s="22" customFormat="1" hidden="1">
      <c r="A3846" s="61"/>
    </row>
    <row r="3847" spans="1:1" s="22" customFormat="1" hidden="1">
      <c r="A3847" s="61"/>
    </row>
    <row r="3848" spans="1:1" s="22" customFormat="1" hidden="1">
      <c r="A3848" s="61"/>
    </row>
    <row r="3849" spans="1:1" s="22" customFormat="1" hidden="1">
      <c r="A3849" s="61"/>
    </row>
    <row r="3850" spans="1:1" s="22" customFormat="1" hidden="1">
      <c r="A3850" s="61"/>
    </row>
    <row r="3851" spans="1:1" s="22" customFormat="1" hidden="1">
      <c r="A3851" s="61"/>
    </row>
    <row r="3852" spans="1:1" s="22" customFormat="1" hidden="1">
      <c r="A3852" s="61"/>
    </row>
    <row r="3853" spans="1:1" s="22" customFormat="1" hidden="1">
      <c r="A3853" s="61"/>
    </row>
    <row r="3854" spans="1:1" s="22" customFormat="1" hidden="1">
      <c r="A3854" s="61"/>
    </row>
    <row r="3855" spans="1:1" s="22" customFormat="1" hidden="1">
      <c r="A3855" s="61"/>
    </row>
    <row r="3856" spans="1:1" s="22" customFormat="1" hidden="1">
      <c r="A3856" s="61"/>
    </row>
    <row r="3857" spans="1:1" s="22" customFormat="1" hidden="1">
      <c r="A3857" s="61"/>
    </row>
    <row r="3858" spans="1:1" s="22" customFormat="1" hidden="1">
      <c r="A3858" s="61"/>
    </row>
    <row r="3859" spans="1:1" s="22" customFormat="1" hidden="1">
      <c r="A3859" s="61"/>
    </row>
    <row r="3860" spans="1:1" s="22" customFormat="1" hidden="1">
      <c r="A3860" s="61"/>
    </row>
    <row r="3861" spans="1:1" s="22" customFormat="1" hidden="1">
      <c r="A3861" s="61"/>
    </row>
    <row r="3862" spans="1:1" s="22" customFormat="1" hidden="1">
      <c r="A3862" s="61"/>
    </row>
    <row r="3863" spans="1:1" s="22" customFormat="1" hidden="1">
      <c r="A3863" s="61"/>
    </row>
    <row r="3864" spans="1:1" s="22" customFormat="1" hidden="1">
      <c r="A3864" s="61"/>
    </row>
    <row r="3865" spans="1:1" s="22" customFormat="1" hidden="1">
      <c r="A3865" s="61"/>
    </row>
    <row r="3866" spans="1:1" s="22" customFormat="1" hidden="1">
      <c r="A3866" s="61"/>
    </row>
    <row r="3867" spans="1:1" s="22" customFormat="1" hidden="1">
      <c r="A3867" s="61"/>
    </row>
    <row r="3868" spans="1:1" s="22" customFormat="1" hidden="1">
      <c r="A3868" s="61"/>
    </row>
    <row r="3869" spans="1:1" s="22" customFormat="1" hidden="1">
      <c r="A3869" s="61"/>
    </row>
    <row r="3870" spans="1:1" s="22" customFormat="1" hidden="1">
      <c r="A3870" s="61"/>
    </row>
    <row r="3871" spans="1:1" s="22" customFormat="1" hidden="1">
      <c r="A3871" s="61"/>
    </row>
    <row r="3872" spans="1:1" s="22" customFormat="1" hidden="1">
      <c r="A3872" s="61"/>
    </row>
    <row r="3873" spans="1:1" s="22" customFormat="1" hidden="1">
      <c r="A3873" s="61"/>
    </row>
    <row r="3874" spans="1:1" s="22" customFormat="1" hidden="1">
      <c r="A3874" s="61"/>
    </row>
    <row r="3875" spans="1:1" s="22" customFormat="1" hidden="1">
      <c r="A3875" s="61"/>
    </row>
    <row r="3876" spans="1:1" s="22" customFormat="1" hidden="1">
      <c r="A3876" s="61"/>
    </row>
    <row r="3877" spans="1:1" s="22" customFormat="1" hidden="1">
      <c r="A3877" s="61"/>
    </row>
    <row r="3878" spans="1:1" s="22" customFormat="1" hidden="1">
      <c r="A3878" s="61"/>
    </row>
    <row r="3879" spans="1:1" s="22" customFormat="1" hidden="1">
      <c r="A3879" s="61"/>
    </row>
    <row r="3880" spans="1:1" s="22" customFormat="1" hidden="1">
      <c r="A3880" s="61"/>
    </row>
    <row r="3881" spans="1:1" s="22" customFormat="1" hidden="1">
      <c r="A3881" s="61"/>
    </row>
    <row r="3882" spans="1:1" s="22" customFormat="1" hidden="1">
      <c r="A3882" s="61"/>
    </row>
    <row r="3883" spans="1:1" s="22" customFormat="1" hidden="1">
      <c r="A3883" s="61"/>
    </row>
    <row r="3884" spans="1:1" s="22" customFormat="1" hidden="1">
      <c r="A3884" s="61"/>
    </row>
    <row r="3885" spans="1:1" s="22" customFormat="1" hidden="1">
      <c r="A3885" s="61"/>
    </row>
    <row r="3886" spans="1:1" s="22" customFormat="1" hidden="1">
      <c r="A3886" s="61"/>
    </row>
    <row r="3887" spans="1:1" s="22" customFormat="1" hidden="1">
      <c r="A3887" s="61"/>
    </row>
    <row r="3888" spans="1:1" s="22" customFormat="1" hidden="1">
      <c r="A3888" s="61"/>
    </row>
    <row r="3889" spans="1:1" s="22" customFormat="1" hidden="1">
      <c r="A3889" s="61"/>
    </row>
    <row r="3890" spans="1:1" s="22" customFormat="1" hidden="1">
      <c r="A3890" s="61"/>
    </row>
    <row r="3891" spans="1:1" s="22" customFormat="1" hidden="1">
      <c r="A3891" s="61"/>
    </row>
    <row r="3892" spans="1:1" s="22" customFormat="1" hidden="1">
      <c r="A3892" s="61"/>
    </row>
    <row r="3893" spans="1:1" s="22" customFormat="1" hidden="1">
      <c r="A3893" s="61"/>
    </row>
    <row r="3894" spans="1:1" s="22" customFormat="1" hidden="1">
      <c r="A3894" s="61"/>
    </row>
    <row r="3895" spans="1:1" s="22" customFormat="1" hidden="1">
      <c r="A3895" s="61"/>
    </row>
    <row r="3896" spans="1:1" s="22" customFormat="1" hidden="1">
      <c r="A3896" s="61"/>
    </row>
    <row r="3897" spans="1:1" s="22" customFormat="1" hidden="1">
      <c r="A3897" s="61"/>
    </row>
    <row r="3898" spans="1:1" s="22" customFormat="1" hidden="1">
      <c r="A3898" s="61"/>
    </row>
    <row r="3899" spans="1:1" s="22" customFormat="1" hidden="1">
      <c r="A3899" s="61"/>
    </row>
    <row r="3900" spans="1:1" s="22" customFormat="1" hidden="1">
      <c r="A3900" s="61"/>
    </row>
    <row r="3901" spans="1:1" s="22" customFormat="1" hidden="1">
      <c r="A3901" s="61"/>
    </row>
    <row r="3902" spans="1:1" s="22" customFormat="1" hidden="1">
      <c r="A3902" s="61"/>
    </row>
    <row r="3903" spans="1:1" s="22" customFormat="1" hidden="1">
      <c r="A3903" s="61"/>
    </row>
    <row r="3904" spans="1:1" s="22" customFormat="1" hidden="1">
      <c r="A3904" s="61"/>
    </row>
    <row r="3905" spans="1:1" s="22" customFormat="1" hidden="1">
      <c r="A3905" s="61"/>
    </row>
    <row r="3906" spans="1:1" s="22" customFormat="1" hidden="1">
      <c r="A3906" s="61"/>
    </row>
    <row r="3907" spans="1:1" s="22" customFormat="1" hidden="1">
      <c r="A3907" s="61"/>
    </row>
    <row r="3908" spans="1:1" s="22" customFormat="1" hidden="1">
      <c r="A3908" s="61"/>
    </row>
    <row r="3909" spans="1:1" s="22" customFormat="1" hidden="1">
      <c r="A3909" s="61"/>
    </row>
    <row r="3910" spans="1:1" s="22" customFormat="1" hidden="1">
      <c r="A3910" s="61"/>
    </row>
    <row r="3911" spans="1:1" s="22" customFormat="1" hidden="1">
      <c r="A3911" s="61"/>
    </row>
    <row r="3912" spans="1:1" s="22" customFormat="1" hidden="1">
      <c r="A3912" s="61"/>
    </row>
    <row r="3913" spans="1:1" s="22" customFormat="1" hidden="1">
      <c r="A3913" s="61"/>
    </row>
    <row r="3914" spans="1:1" s="22" customFormat="1" hidden="1">
      <c r="A3914" s="61"/>
    </row>
    <row r="3915" spans="1:1" s="22" customFormat="1" hidden="1">
      <c r="A3915" s="61"/>
    </row>
    <row r="3916" spans="1:1" s="22" customFormat="1" hidden="1">
      <c r="A3916" s="61"/>
    </row>
    <row r="3917" spans="1:1" s="22" customFormat="1" hidden="1">
      <c r="A3917" s="61"/>
    </row>
    <row r="3918" spans="1:1" s="22" customFormat="1" hidden="1">
      <c r="A3918" s="61"/>
    </row>
    <row r="3919" spans="1:1" s="22" customFormat="1" hidden="1">
      <c r="A3919" s="61"/>
    </row>
    <row r="3920" spans="1:1" s="22" customFormat="1" hidden="1">
      <c r="A3920" s="61"/>
    </row>
    <row r="3921" spans="1:1" s="22" customFormat="1" hidden="1">
      <c r="A3921" s="61"/>
    </row>
    <row r="3922" spans="1:1" s="22" customFormat="1" hidden="1">
      <c r="A3922" s="61"/>
    </row>
    <row r="3923" spans="1:1" s="22" customFormat="1" hidden="1">
      <c r="A3923" s="61"/>
    </row>
    <row r="3924" spans="1:1" s="22" customFormat="1" hidden="1">
      <c r="A3924" s="61"/>
    </row>
    <row r="3925" spans="1:1" s="22" customFormat="1" hidden="1">
      <c r="A3925" s="61"/>
    </row>
    <row r="3926" spans="1:1" s="22" customFormat="1" hidden="1">
      <c r="A3926" s="61"/>
    </row>
    <row r="3927" spans="1:1" s="22" customFormat="1" hidden="1">
      <c r="A3927" s="61"/>
    </row>
    <row r="3928" spans="1:1" s="22" customFormat="1" hidden="1">
      <c r="A3928" s="61"/>
    </row>
    <row r="3929" spans="1:1" s="22" customFormat="1" hidden="1">
      <c r="A3929" s="61"/>
    </row>
    <row r="3930" spans="1:1" s="22" customFormat="1" hidden="1">
      <c r="A3930" s="61"/>
    </row>
    <row r="3931" spans="1:1" s="22" customFormat="1" hidden="1">
      <c r="A3931" s="61"/>
    </row>
    <row r="3932" spans="1:1" s="22" customFormat="1" hidden="1">
      <c r="A3932" s="61"/>
    </row>
    <row r="3933" spans="1:1" s="22" customFormat="1" hidden="1">
      <c r="A3933" s="61"/>
    </row>
    <row r="3934" spans="1:1" s="22" customFormat="1" hidden="1">
      <c r="A3934" s="61"/>
    </row>
    <row r="3935" spans="1:1" s="22" customFormat="1" hidden="1">
      <c r="A3935" s="61"/>
    </row>
    <row r="3936" spans="1:1" s="22" customFormat="1" hidden="1">
      <c r="A3936" s="61"/>
    </row>
    <row r="3937" spans="1:1" s="22" customFormat="1" hidden="1">
      <c r="A3937" s="61"/>
    </row>
    <row r="3938" spans="1:1" s="22" customFormat="1" hidden="1">
      <c r="A3938" s="61"/>
    </row>
    <row r="3939" spans="1:1" s="22" customFormat="1" hidden="1">
      <c r="A3939" s="61"/>
    </row>
    <row r="3940" spans="1:1" s="22" customFormat="1" hidden="1">
      <c r="A3940" s="61"/>
    </row>
    <row r="3941" spans="1:1" s="22" customFormat="1" hidden="1">
      <c r="A3941" s="61"/>
    </row>
    <row r="3942" spans="1:1" s="22" customFormat="1" hidden="1">
      <c r="A3942" s="61"/>
    </row>
    <row r="3943" spans="1:1" s="22" customFormat="1" hidden="1">
      <c r="A3943" s="61"/>
    </row>
    <row r="3944" spans="1:1" s="22" customFormat="1" hidden="1">
      <c r="A3944" s="61"/>
    </row>
    <row r="3945" spans="1:1" s="22" customFormat="1" hidden="1">
      <c r="A3945" s="61"/>
    </row>
    <row r="3946" spans="1:1" s="22" customFormat="1" hidden="1">
      <c r="A3946" s="61"/>
    </row>
    <row r="3947" spans="1:1" s="22" customFormat="1" hidden="1">
      <c r="A3947" s="61"/>
    </row>
    <row r="3948" spans="1:1" s="22" customFormat="1" hidden="1">
      <c r="A3948" s="61"/>
    </row>
    <row r="3949" spans="1:1" s="22" customFormat="1" hidden="1">
      <c r="A3949" s="61"/>
    </row>
    <row r="3950" spans="1:1" s="22" customFormat="1" hidden="1">
      <c r="A3950" s="61"/>
    </row>
    <row r="3951" spans="1:1" s="22" customFormat="1" hidden="1">
      <c r="A3951" s="61"/>
    </row>
    <row r="3952" spans="1:1" s="22" customFormat="1" hidden="1">
      <c r="A3952" s="61"/>
    </row>
    <row r="3953" spans="1:1" s="22" customFormat="1" hidden="1">
      <c r="A3953" s="61"/>
    </row>
    <row r="3954" spans="1:1" s="22" customFormat="1" hidden="1">
      <c r="A3954" s="61"/>
    </row>
    <row r="3955" spans="1:1" s="22" customFormat="1" hidden="1">
      <c r="A3955" s="61"/>
    </row>
    <row r="3956" spans="1:1" s="22" customFormat="1" hidden="1">
      <c r="A3956" s="61"/>
    </row>
    <row r="3957" spans="1:1" s="22" customFormat="1" hidden="1">
      <c r="A3957" s="61"/>
    </row>
    <row r="3958" spans="1:1" s="22" customFormat="1" hidden="1">
      <c r="A3958" s="61"/>
    </row>
    <row r="3959" spans="1:1" s="22" customFormat="1" hidden="1">
      <c r="A3959" s="61"/>
    </row>
    <row r="3960" spans="1:1" s="22" customFormat="1" hidden="1">
      <c r="A3960" s="61"/>
    </row>
    <row r="3961" spans="1:1" s="22" customFormat="1" hidden="1">
      <c r="A3961" s="61"/>
    </row>
    <row r="3962" spans="1:1" s="22" customFormat="1" hidden="1">
      <c r="A3962" s="61"/>
    </row>
    <row r="3963" spans="1:1" s="22" customFormat="1" hidden="1">
      <c r="A3963" s="61"/>
    </row>
    <row r="3964" spans="1:1" s="22" customFormat="1" hidden="1">
      <c r="A3964" s="61"/>
    </row>
    <row r="3965" spans="1:1" s="22" customFormat="1" hidden="1">
      <c r="A3965" s="61"/>
    </row>
    <row r="3966" spans="1:1" s="22" customFormat="1" hidden="1">
      <c r="A3966" s="61"/>
    </row>
    <row r="3967" spans="1:1" s="22" customFormat="1" hidden="1">
      <c r="A3967" s="61"/>
    </row>
    <row r="3968" spans="1:1" s="22" customFormat="1" hidden="1">
      <c r="A3968" s="61"/>
    </row>
    <row r="3969" spans="1:1" s="22" customFormat="1" hidden="1">
      <c r="A3969" s="61"/>
    </row>
    <row r="3970" spans="1:1" s="22" customFormat="1" hidden="1">
      <c r="A3970" s="61"/>
    </row>
    <row r="3971" spans="1:1" s="22" customFormat="1" hidden="1">
      <c r="A3971" s="61"/>
    </row>
    <row r="3972" spans="1:1" s="22" customFormat="1" hidden="1">
      <c r="A3972" s="61"/>
    </row>
    <row r="3973" spans="1:1" s="22" customFormat="1" hidden="1">
      <c r="A3973" s="61"/>
    </row>
    <row r="3974" spans="1:1" s="22" customFormat="1" hidden="1">
      <c r="A3974" s="61"/>
    </row>
    <row r="3975" spans="1:1" s="22" customFormat="1" hidden="1">
      <c r="A3975" s="61"/>
    </row>
    <row r="3976" spans="1:1" s="22" customFormat="1" hidden="1">
      <c r="A3976" s="61"/>
    </row>
    <row r="3977" spans="1:1" s="22" customFormat="1" hidden="1">
      <c r="A3977" s="61"/>
    </row>
    <row r="3978" spans="1:1" s="22" customFormat="1" hidden="1">
      <c r="A3978" s="61"/>
    </row>
    <row r="3979" spans="1:1" s="22" customFormat="1" hidden="1">
      <c r="A3979" s="61"/>
    </row>
    <row r="3980" spans="1:1" s="22" customFormat="1" hidden="1">
      <c r="A3980" s="61"/>
    </row>
    <row r="3981" spans="1:1" s="22" customFormat="1" hidden="1">
      <c r="A3981" s="61"/>
    </row>
    <row r="3982" spans="1:1" s="22" customFormat="1" hidden="1">
      <c r="A3982" s="61"/>
    </row>
    <row r="3983" spans="1:1" s="22" customFormat="1" hidden="1">
      <c r="A3983" s="61"/>
    </row>
    <row r="3984" spans="1:1" s="22" customFormat="1" hidden="1">
      <c r="A3984" s="61"/>
    </row>
    <row r="3985" spans="1:1" s="22" customFormat="1" hidden="1">
      <c r="A3985" s="61"/>
    </row>
    <row r="3986" spans="1:1" s="22" customFormat="1" hidden="1">
      <c r="A3986" s="61"/>
    </row>
    <row r="3987" spans="1:1" s="22" customFormat="1" hidden="1">
      <c r="A3987" s="61"/>
    </row>
    <row r="3988" spans="1:1" s="22" customFormat="1" hidden="1">
      <c r="A3988" s="61"/>
    </row>
    <row r="3989" spans="1:1" s="22" customFormat="1" hidden="1">
      <c r="A3989" s="61"/>
    </row>
    <row r="3990" spans="1:1" s="22" customFormat="1" hidden="1">
      <c r="A3990" s="61"/>
    </row>
    <row r="3991" spans="1:1" s="22" customFormat="1" hidden="1">
      <c r="A3991" s="61"/>
    </row>
    <row r="3992" spans="1:1" s="22" customFormat="1" hidden="1">
      <c r="A3992" s="61"/>
    </row>
    <row r="3993" spans="1:1" s="22" customFormat="1" hidden="1">
      <c r="A3993" s="61"/>
    </row>
    <row r="3994" spans="1:1" s="22" customFormat="1" hidden="1">
      <c r="A3994" s="61"/>
    </row>
    <row r="3995" spans="1:1" s="22" customFormat="1" hidden="1">
      <c r="A3995" s="61"/>
    </row>
    <row r="3996" spans="1:1" s="22" customFormat="1" hidden="1">
      <c r="A3996" s="61"/>
    </row>
    <row r="3997" spans="1:1" s="22" customFormat="1" hidden="1">
      <c r="A3997" s="61"/>
    </row>
    <row r="3998" spans="1:1" s="22" customFormat="1" hidden="1">
      <c r="A3998" s="61"/>
    </row>
    <row r="3999" spans="1:1" s="22" customFormat="1" hidden="1">
      <c r="A3999" s="61"/>
    </row>
    <row r="4000" spans="1:1" s="22" customFormat="1" hidden="1">
      <c r="A4000" s="61"/>
    </row>
    <row r="4001" spans="1:1" s="22" customFormat="1" hidden="1">
      <c r="A4001" s="61"/>
    </row>
    <row r="4002" spans="1:1" s="22" customFormat="1" hidden="1">
      <c r="A4002" s="61"/>
    </row>
    <row r="4003" spans="1:1" s="22" customFormat="1" hidden="1">
      <c r="A4003" s="61"/>
    </row>
    <row r="4004" spans="1:1" s="22" customFormat="1" hidden="1">
      <c r="A4004" s="61"/>
    </row>
    <row r="4005" spans="1:1" s="22" customFormat="1" hidden="1">
      <c r="A4005" s="61"/>
    </row>
    <row r="4006" spans="1:1" s="22" customFormat="1" hidden="1">
      <c r="A4006" s="61"/>
    </row>
    <row r="4007" spans="1:1" s="22" customFormat="1" hidden="1">
      <c r="A4007" s="61"/>
    </row>
    <row r="4008" spans="1:1" s="22" customFormat="1" hidden="1">
      <c r="A4008" s="61"/>
    </row>
    <row r="4009" spans="1:1" s="22" customFormat="1" hidden="1">
      <c r="A4009" s="61"/>
    </row>
    <row r="4010" spans="1:1" s="22" customFormat="1" hidden="1">
      <c r="A4010" s="61"/>
    </row>
    <row r="4011" spans="1:1" s="22" customFormat="1" hidden="1">
      <c r="A4011" s="61"/>
    </row>
    <row r="4012" spans="1:1" s="22" customFormat="1" hidden="1">
      <c r="A4012" s="61"/>
    </row>
    <row r="4013" spans="1:1" s="22" customFormat="1" hidden="1">
      <c r="A4013" s="61"/>
    </row>
    <row r="4014" spans="1:1" s="22" customFormat="1" hidden="1">
      <c r="A4014" s="61"/>
    </row>
    <row r="4015" spans="1:1" s="22" customFormat="1" hidden="1">
      <c r="A4015" s="61"/>
    </row>
    <row r="4016" spans="1:1" s="22" customFormat="1" hidden="1">
      <c r="A4016" s="61"/>
    </row>
    <row r="4017" spans="1:1" s="22" customFormat="1" hidden="1">
      <c r="A4017" s="61"/>
    </row>
    <row r="4018" spans="1:1" s="22" customFormat="1" hidden="1">
      <c r="A4018" s="61"/>
    </row>
    <row r="4019" spans="1:1" s="22" customFormat="1" hidden="1">
      <c r="A4019" s="61"/>
    </row>
    <row r="4020" spans="1:1" s="22" customFormat="1" hidden="1">
      <c r="A4020" s="61"/>
    </row>
    <row r="4021" spans="1:1" s="22" customFormat="1" hidden="1">
      <c r="A4021" s="61"/>
    </row>
    <row r="4022" spans="1:1" s="22" customFormat="1" hidden="1">
      <c r="A4022" s="61"/>
    </row>
    <row r="4023" spans="1:1" s="22" customFormat="1" hidden="1">
      <c r="A4023" s="61"/>
    </row>
    <row r="4024" spans="1:1" s="22" customFormat="1" hidden="1">
      <c r="A4024" s="61"/>
    </row>
    <row r="4025" spans="1:1" s="22" customFormat="1" hidden="1">
      <c r="A4025" s="61"/>
    </row>
    <row r="4026" spans="1:1" s="22" customFormat="1" hidden="1">
      <c r="A4026" s="61"/>
    </row>
    <row r="4027" spans="1:1" s="22" customFormat="1" hidden="1">
      <c r="A4027" s="61"/>
    </row>
    <row r="4028" spans="1:1" s="22" customFormat="1" hidden="1">
      <c r="A4028" s="61"/>
    </row>
    <row r="4029" spans="1:1" s="22" customFormat="1" hidden="1">
      <c r="A4029" s="61"/>
    </row>
    <row r="4030" spans="1:1" s="22" customFormat="1" hidden="1">
      <c r="A4030" s="61"/>
    </row>
    <row r="4031" spans="1:1" s="22" customFormat="1" hidden="1">
      <c r="A4031" s="61"/>
    </row>
    <row r="4032" spans="1:1" s="22" customFormat="1" hidden="1">
      <c r="A4032" s="61"/>
    </row>
    <row r="4033" spans="1:1" s="22" customFormat="1" hidden="1">
      <c r="A4033" s="61"/>
    </row>
    <row r="4034" spans="1:1" s="22" customFormat="1" hidden="1">
      <c r="A4034" s="61"/>
    </row>
    <row r="4035" spans="1:1" s="22" customFormat="1" hidden="1">
      <c r="A4035" s="61"/>
    </row>
    <row r="4036" spans="1:1" s="22" customFormat="1" hidden="1">
      <c r="A4036" s="61"/>
    </row>
    <row r="4037" spans="1:1" s="22" customFormat="1" hidden="1">
      <c r="A4037" s="61"/>
    </row>
    <row r="4038" spans="1:1" s="22" customFormat="1" hidden="1">
      <c r="A4038" s="61"/>
    </row>
    <row r="4039" spans="1:1" s="22" customFormat="1" hidden="1">
      <c r="A4039" s="61"/>
    </row>
    <row r="4040" spans="1:1" s="22" customFormat="1" hidden="1">
      <c r="A4040" s="61"/>
    </row>
    <row r="4041" spans="1:1" s="22" customFormat="1" hidden="1">
      <c r="A4041" s="61"/>
    </row>
    <row r="4042" spans="1:1" s="22" customFormat="1" hidden="1">
      <c r="A4042" s="61"/>
    </row>
    <row r="4043" spans="1:1" s="22" customFormat="1" hidden="1">
      <c r="A4043" s="61"/>
    </row>
    <row r="4044" spans="1:1" s="22" customFormat="1" hidden="1">
      <c r="A4044" s="61"/>
    </row>
    <row r="4045" spans="1:1" s="22" customFormat="1" hidden="1">
      <c r="A4045" s="61"/>
    </row>
    <row r="4046" spans="1:1" s="22" customFormat="1" hidden="1">
      <c r="A4046" s="61"/>
    </row>
    <row r="4047" spans="1:1" s="22" customFormat="1" hidden="1">
      <c r="A4047" s="61"/>
    </row>
    <row r="4048" spans="1:1" s="22" customFormat="1" hidden="1">
      <c r="A4048" s="61"/>
    </row>
    <row r="4049" spans="1:1" s="22" customFormat="1" hidden="1">
      <c r="A4049" s="61"/>
    </row>
    <row r="4050" spans="1:1" s="22" customFormat="1" hidden="1">
      <c r="A4050" s="61"/>
    </row>
    <row r="4051" spans="1:1" s="22" customFormat="1" hidden="1">
      <c r="A4051" s="61"/>
    </row>
    <row r="4052" spans="1:1" s="22" customFormat="1" hidden="1">
      <c r="A4052" s="61"/>
    </row>
    <row r="4053" spans="1:1" s="22" customFormat="1" hidden="1">
      <c r="A4053" s="61"/>
    </row>
    <row r="4054" spans="1:1" s="22" customFormat="1" hidden="1">
      <c r="A4054" s="61"/>
    </row>
    <row r="4055" spans="1:1" s="22" customFormat="1" hidden="1">
      <c r="A4055" s="61"/>
    </row>
    <row r="4056" spans="1:1" s="22" customFormat="1" hidden="1">
      <c r="A4056" s="61"/>
    </row>
    <row r="4057" spans="1:1" s="22" customFormat="1" hidden="1">
      <c r="A4057" s="61"/>
    </row>
    <row r="4058" spans="1:1" s="22" customFormat="1" hidden="1">
      <c r="A4058" s="61"/>
    </row>
    <row r="4059" spans="1:1" s="22" customFormat="1" hidden="1">
      <c r="A4059" s="61"/>
    </row>
    <row r="4060" spans="1:1" s="22" customFormat="1" hidden="1">
      <c r="A4060" s="61"/>
    </row>
    <row r="4061" spans="1:1" s="22" customFormat="1" hidden="1">
      <c r="A4061" s="61"/>
    </row>
    <row r="4062" spans="1:1" s="22" customFormat="1" hidden="1">
      <c r="A4062" s="61"/>
    </row>
    <row r="4063" spans="1:1" s="22" customFormat="1" hidden="1">
      <c r="A4063" s="61"/>
    </row>
    <row r="4064" spans="1:1" s="22" customFormat="1" hidden="1">
      <c r="A4064" s="61"/>
    </row>
    <row r="4065" spans="1:1" s="22" customFormat="1" hidden="1">
      <c r="A4065" s="61"/>
    </row>
    <row r="4066" spans="1:1" s="22" customFormat="1" hidden="1">
      <c r="A4066" s="61"/>
    </row>
    <row r="4067" spans="1:1" s="22" customFormat="1" hidden="1">
      <c r="A4067" s="61"/>
    </row>
    <row r="4068" spans="1:1" s="22" customFormat="1" hidden="1">
      <c r="A4068" s="61"/>
    </row>
    <row r="4069" spans="1:1" s="22" customFormat="1" hidden="1">
      <c r="A4069" s="61"/>
    </row>
    <row r="4070" spans="1:1" s="22" customFormat="1" hidden="1">
      <c r="A4070" s="61"/>
    </row>
    <row r="4071" spans="1:1" s="22" customFormat="1" hidden="1">
      <c r="A4071" s="61"/>
    </row>
    <row r="4072" spans="1:1" s="22" customFormat="1" hidden="1">
      <c r="A4072" s="61"/>
    </row>
    <row r="4073" spans="1:1" s="22" customFormat="1" hidden="1">
      <c r="A4073" s="61"/>
    </row>
    <row r="4074" spans="1:1" s="22" customFormat="1" hidden="1">
      <c r="A4074" s="61"/>
    </row>
    <row r="4075" spans="1:1" s="22" customFormat="1" hidden="1">
      <c r="A4075" s="61"/>
    </row>
    <row r="4076" spans="1:1" s="22" customFormat="1" hidden="1">
      <c r="A4076" s="61"/>
    </row>
    <row r="4077" spans="1:1" s="22" customFormat="1" hidden="1">
      <c r="A4077" s="61"/>
    </row>
    <row r="4078" spans="1:1" s="22" customFormat="1" hidden="1">
      <c r="A4078" s="61"/>
    </row>
    <row r="4079" spans="1:1" s="22" customFormat="1" hidden="1">
      <c r="A4079" s="61"/>
    </row>
    <row r="4080" spans="1:1" s="22" customFormat="1" hidden="1">
      <c r="A4080" s="61"/>
    </row>
    <row r="4081" spans="1:1" s="22" customFormat="1" hidden="1">
      <c r="A4081" s="61"/>
    </row>
    <row r="4082" spans="1:1" s="22" customFormat="1" hidden="1">
      <c r="A4082" s="61"/>
    </row>
    <row r="4083" spans="1:1" s="22" customFormat="1" hidden="1">
      <c r="A4083" s="61"/>
    </row>
    <row r="4084" spans="1:1" s="22" customFormat="1" hidden="1">
      <c r="A4084" s="61"/>
    </row>
    <row r="4085" spans="1:1" s="22" customFormat="1" hidden="1">
      <c r="A4085" s="61"/>
    </row>
    <row r="4086" spans="1:1" s="22" customFormat="1" hidden="1">
      <c r="A4086" s="61"/>
    </row>
    <row r="4087" spans="1:1" s="22" customFormat="1" hidden="1">
      <c r="A4087" s="61"/>
    </row>
    <row r="4088" spans="1:1" s="22" customFormat="1" hidden="1">
      <c r="A4088" s="61"/>
    </row>
    <row r="4089" spans="1:1" s="22" customFormat="1" hidden="1">
      <c r="A4089" s="61"/>
    </row>
    <row r="4090" spans="1:1" s="22" customFormat="1" hidden="1">
      <c r="A4090" s="61"/>
    </row>
    <row r="4091" spans="1:1" s="22" customFormat="1" hidden="1">
      <c r="A4091" s="61"/>
    </row>
    <row r="4092" spans="1:1" s="22" customFormat="1" hidden="1">
      <c r="A4092" s="61"/>
    </row>
    <row r="4093" spans="1:1" s="22" customFormat="1" hidden="1">
      <c r="A4093" s="61"/>
    </row>
    <row r="4094" spans="1:1" s="22" customFormat="1" hidden="1">
      <c r="A4094" s="61"/>
    </row>
    <row r="4095" spans="1:1" s="22" customFormat="1" hidden="1">
      <c r="A4095" s="61"/>
    </row>
    <row r="4096" spans="1:1" s="22" customFormat="1" hidden="1">
      <c r="A4096" s="61"/>
    </row>
    <row r="4097" spans="1:1" s="22" customFormat="1" hidden="1">
      <c r="A4097" s="61"/>
    </row>
    <row r="4098" spans="1:1" s="22" customFormat="1" hidden="1">
      <c r="A4098" s="61"/>
    </row>
    <row r="4099" spans="1:1" s="22" customFormat="1" hidden="1">
      <c r="A4099" s="61"/>
    </row>
    <row r="4100" spans="1:1" s="22" customFormat="1" hidden="1">
      <c r="A4100" s="61"/>
    </row>
    <row r="4101" spans="1:1" s="22" customFormat="1" hidden="1">
      <c r="A4101" s="61"/>
    </row>
    <row r="4102" spans="1:1" s="22" customFormat="1" hidden="1">
      <c r="A4102" s="61"/>
    </row>
    <row r="4103" spans="1:1" s="22" customFormat="1" hidden="1">
      <c r="A4103" s="61"/>
    </row>
    <row r="4104" spans="1:1" s="22" customFormat="1" hidden="1">
      <c r="A4104" s="61"/>
    </row>
    <row r="4105" spans="1:1" s="22" customFormat="1" hidden="1">
      <c r="A4105" s="61"/>
    </row>
    <row r="4106" spans="1:1" s="22" customFormat="1" hidden="1">
      <c r="A4106" s="61"/>
    </row>
    <row r="4107" spans="1:1" s="22" customFormat="1" hidden="1">
      <c r="A4107" s="61"/>
    </row>
    <row r="4108" spans="1:1" s="22" customFormat="1" hidden="1">
      <c r="A4108" s="61"/>
    </row>
    <row r="4109" spans="1:1" s="22" customFormat="1" hidden="1">
      <c r="A4109" s="61"/>
    </row>
    <row r="4110" spans="1:1" s="22" customFormat="1" hidden="1">
      <c r="A4110" s="61"/>
    </row>
    <row r="4111" spans="1:1" s="22" customFormat="1" hidden="1">
      <c r="A4111" s="61"/>
    </row>
    <row r="4112" spans="1:1" s="22" customFormat="1" hidden="1">
      <c r="A4112" s="61"/>
    </row>
    <row r="4113" spans="1:1" s="22" customFormat="1" hidden="1">
      <c r="A4113" s="61"/>
    </row>
    <row r="4114" spans="1:1" s="22" customFormat="1" hidden="1">
      <c r="A4114" s="61"/>
    </row>
    <row r="4115" spans="1:1" s="22" customFormat="1" hidden="1">
      <c r="A4115" s="61"/>
    </row>
    <row r="4116" spans="1:1" s="22" customFormat="1" hidden="1">
      <c r="A4116" s="61"/>
    </row>
    <row r="4117" spans="1:1" s="22" customFormat="1" hidden="1">
      <c r="A4117" s="61"/>
    </row>
    <row r="4118" spans="1:1" s="22" customFormat="1" hidden="1">
      <c r="A4118" s="61"/>
    </row>
    <row r="4119" spans="1:1" s="22" customFormat="1" hidden="1">
      <c r="A4119" s="61"/>
    </row>
    <row r="4120" spans="1:1" s="22" customFormat="1" hidden="1">
      <c r="A4120" s="61"/>
    </row>
    <row r="4121" spans="1:1" s="22" customFormat="1" hidden="1">
      <c r="A4121" s="61"/>
    </row>
    <row r="4122" spans="1:1" s="22" customFormat="1" hidden="1">
      <c r="A4122" s="61"/>
    </row>
    <row r="4123" spans="1:1" s="22" customFormat="1" hidden="1">
      <c r="A4123" s="61"/>
    </row>
    <row r="4124" spans="1:1" s="22" customFormat="1" hidden="1">
      <c r="A4124" s="61"/>
    </row>
    <row r="4125" spans="1:1" s="22" customFormat="1" hidden="1">
      <c r="A4125" s="61"/>
    </row>
    <row r="4126" spans="1:1" s="22" customFormat="1" hidden="1">
      <c r="A4126" s="61"/>
    </row>
    <row r="4127" spans="1:1" s="22" customFormat="1" hidden="1">
      <c r="A4127" s="61"/>
    </row>
    <row r="4128" spans="1:1" s="22" customFormat="1" hidden="1">
      <c r="A4128" s="61"/>
    </row>
    <row r="4129" spans="1:1" s="22" customFormat="1" hidden="1">
      <c r="A4129" s="61"/>
    </row>
    <row r="4130" spans="1:1" s="22" customFormat="1" hidden="1">
      <c r="A4130" s="61"/>
    </row>
    <row r="4131" spans="1:1" s="22" customFormat="1" hidden="1">
      <c r="A4131" s="61"/>
    </row>
    <row r="4132" spans="1:1" s="22" customFormat="1" hidden="1">
      <c r="A4132" s="61"/>
    </row>
    <row r="4133" spans="1:1" s="22" customFormat="1" hidden="1">
      <c r="A4133" s="61"/>
    </row>
    <row r="4134" spans="1:1" s="22" customFormat="1" hidden="1">
      <c r="A4134" s="61"/>
    </row>
    <row r="4135" spans="1:1" s="22" customFormat="1" hidden="1">
      <c r="A4135" s="61"/>
    </row>
    <row r="4136" spans="1:1" s="22" customFormat="1" hidden="1">
      <c r="A4136" s="61"/>
    </row>
    <row r="4137" spans="1:1" s="22" customFormat="1" hidden="1">
      <c r="A4137" s="61"/>
    </row>
    <row r="4138" spans="1:1" s="22" customFormat="1" hidden="1">
      <c r="A4138" s="61"/>
    </row>
    <row r="4139" spans="1:1" s="22" customFormat="1" hidden="1">
      <c r="A4139" s="61"/>
    </row>
    <row r="4140" spans="1:1" s="22" customFormat="1" hidden="1">
      <c r="A4140" s="61"/>
    </row>
    <row r="4141" spans="1:1" s="22" customFormat="1" hidden="1">
      <c r="A4141" s="61"/>
    </row>
    <row r="4142" spans="1:1" s="22" customFormat="1" hidden="1">
      <c r="A4142" s="61"/>
    </row>
    <row r="4143" spans="1:1" s="22" customFormat="1" hidden="1">
      <c r="A4143" s="61"/>
    </row>
    <row r="4144" spans="1:1" s="22" customFormat="1" hidden="1">
      <c r="A4144" s="61"/>
    </row>
    <row r="4145" spans="1:1" s="22" customFormat="1" hidden="1">
      <c r="A4145" s="61"/>
    </row>
    <row r="4146" spans="1:1" s="22" customFormat="1" hidden="1">
      <c r="A4146" s="61"/>
    </row>
    <row r="4147" spans="1:1" s="22" customFormat="1" hidden="1">
      <c r="A4147" s="61"/>
    </row>
    <row r="4148" spans="1:1" s="22" customFormat="1" hidden="1">
      <c r="A4148" s="61"/>
    </row>
    <row r="4149" spans="1:1" s="22" customFormat="1" hidden="1">
      <c r="A4149" s="61"/>
    </row>
    <row r="4150" spans="1:1" s="22" customFormat="1" hidden="1">
      <c r="A4150" s="61"/>
    </row>
    <row r="4151" spans="1:1" s="22" customFormat="1" hidden="1">
      <c r="A4151" s="61"/>
    </row>
    <row r="4152" spans="1:1" s="22" customFormat="1" hidden="1">
      <c r="A4152" s="61"/>
    </row>
    <row r="4153" spans="1:1" s="22" customFormat="1" hidden="1">
      <c r="A4153" s="61"/>
    </row>
    <row r="4154" spans="1:1" s="22" customFormat="1" hidden="1">
      <c r="A4154" s="61"/>
    </row>
    <row r="4155" spans="1:1" s="22" customFormat="1" hidden="1">
      <c r="A4155" s="61"/>
    </row>
    <row r="4156" spans="1:1" s="22" customFormat="1" hidden="1">
      <c r="A4156" s="61"/>
    </row>
    <row r="4157" spans="1:1" s="22" customFormat="1" hidden="1">
      <c r="A4157" s="61"/>
    </row>
    <row r="4158" spans="1:1" s="22" customFormat="1" hidden="1">
      <c r="A4158" s="61"/>
    </row>
    <row r="4159" spans="1:1" s="22" customFormat="1" hidden="1">
      <c r="A4159" s="61"/>
    </row>
    <row r="4160" spans="1:1" s="22" customFormat="1" hidden="1">
      <c r="A4160" s="61"/>
    </row>
    <row r="4161" spans="1:1" s="22" customFormat="1" hidden="1">
      <c r="A4161" s="61"/>
    </row>
    <row r="4162" spans="1:1" s="22" customFormat="1" hidden="1">
      <c r="A4162" s="61"/>
    </row>
    <row r="4163" spans="1:1" s="22" customFormat="1" hidden="1">
      <c r="A4163" s="61"/>
    </row>
    <row r="4164" spans="1:1" s="22" customFormat="1" hidden="1">
      <c r="A4164" s="61"/>
    </row>
    <row r="4165" spans="1:1" s="22" customFormat="1" hidden="1">
      <c r="A4165" s="61"/>
    </row>
    <row r="4166" spans="1:1" s="22" customFormat="1" hidden="1">
      <c r="A4166" s="61"/>
    </row>
    <row r="4167" spans="1:1" s="22" customFormat="1" hidden="1">
      <c r="A4167" s="61"/>
    </row>
    <row r="4168" spans="1:1" s="22" customFormat="1" hidden="1">
      <c r="A4168" s="61"/>
    </row>
    <row r="4169" spans="1:1" s="22" customFormat="1" hidden="1">
      <c r="A4169" s="61"/>
    </row>
    <row r="4170" spans="1:1" s="22" customFormat="1" hidden="1">
      <c r="A4170" s="61"/>
    </row>
    <row r="4171" spans="1:1" s="22" customFormat="1" hidden="1">
      <c r="A4171" s="61"/>
    </row>
    <row r="4172" spans="1:1" s="22" customFormat="1" hidden="1">
      <c r="A4172" s="61"/>
    </row>
    <row r="4173" spans="1:1" s="22" customFormat="1" hidden="1">
      <c r="A4173" s="61"/>
    </row>
    <row r="4174" spans="1:1" s="22" customFormat="1" hidden="1">
      <c r="A4174" s="61"/>
    </row>
    <row r="4175" spans="1:1" s="22" customFormat="1" hidden="1">
      <c r="A4175" s="61"/>
    </row>
    <row r="4176" spans="1:1" s="22" customFormat="1" hidden="1">
      <c r="A4176" s="61"/>
    </row>
    <row r="4177" spans="1:1" s="22" customFormat="1" hidden="1">
      <c r="A4177" s="61"/>
    </row>
    <row r="4178" spans="1:1" s="22" customFormat="1" hidden="1">
      <c r="A4178" s="61"/>
    </row>
    <row r="4179" spans="1:1" s="22" customFormat="1" hidden="1">
      <c r="A4179" s="61"/>
    </row>
    <row r="4180" spans="1:1" s="22" customFormat="1" hidden="1">
      <c r="A4180" s="61"/>
    </row>
    <row r="4181" spans="1:1" s="22" customFormat="1" hidden="1">
      <c r="A4181" s="61"/>
    </row>
  </sheetData>
  <sheetProtection algorithmName="SHA-512" hashValue="pMHJsgYkFGvNLvsl3+9WsMgzxGk3g17zfF6hbIdmXs/GuwwuhBvxoFLrWfFZx7XH7DO/ARjRPVq7cgc7CaS/WQ==" saltValue="gZXv/ytjdLdM9LT4Rm/ODA==" spinCount="100000" sheet="1" objects="1" scenarios="1"/>
  <mergeCells count="1667">
    <mergeCell ref="BH139:DF141"/>
    <mergeCell ref="BH142:DF145"/>
    <mergeCell ref="BD1710:BJ1710"/>
    <mergeCell ref="B145:Z145"/>
    <mergeCell ref="AB145:AF145"/>
    <mergeCell ref="AG145:AK145"/>
    <mergeCell ref="AL145:AP145"/>
    <mergeCell ref="AQ145:AU145"/>
    <mergeCell ref="AV145:BA145"/>
    <mergeCell ref="AB147:AF147"/>
    <mergeCell ref="AG147:AK147"/>
    <mergeCell ref="AL147:AP147"/>
    <mergeCell ref="AQ147:AU147"/>
    <mergeCell ref="AV147:BA147"/>
    <mergeCell ref="AB149:AF149"/>
    <mergeCell ref="AG149:AK149"/>
    <mergeCell ref="AL149:AP149"/>
    <mergeCell ref="AQ149:AU149"/>
    <mergeCell ref="AV149:BA149"/>
    <mergeCell ref="BH170:DF193"/>
    <mergeCell ref="J1611:O1612"/>
    <mergeCell ref="Q1611:X1613"/>
    <mergeCell ref="Z1611:AE1612"/>
    <mergeCell ref="AG1611:BA1616"/>
    <mergeCell ref="C1589:H1589"/>
    <mergeCell ref="C1591:H1593"/>
    <mergeCell ref="J1591:BA1593"/>
    <mergeCell ref="C1595:H1597"/>
    <mergeCell ref="J1595:BA1597"/>
    <mergeCell ref="J1599:O1600"/>
    <mergeCell ref="Q1599:T1601"/>
    <mergeCell ref="V1599:AA1600"/>
    <mergeCell ref="BH36:DF53"/>
    <mergeCell ref="J194:O195"/>
    <mergeCell ref="B29:Z29"/>
    <mergeCell ref="B122:BA126"/>
    <mergeCell ref="AE9:BA23"/>
    <mergeCell ref="B139:Z139"/>
    <mergeCell ref="AB139:AF139"/>
    <mergeCell ref="AG139:AK139"/>
    <mergeCell ref="AL139:AP139"/>
    <mergeCell ref="AQ139:AU139"/>
    <mergeCell ref="AV139:BA139"/>
    <mergeCell ref="B141:Z141"/>
    <mergeCell ref="AB141:AF141"/>
    <mergeCell ref="AG141:AK141"/>
    <mergeCell ref="AL141:AP141"/>
    <mergeCell ref="AQ141:AU141"/>
    <mergeCell ref="AV141:BA141"/>
    <mergeCell ref="B142:Z142"/>
    <mergeCell ref="AB142:AF142"/>
    <mergeCell ref="AG142:AK142"/>
    <mergeCell ref="BH29:DF34"/>
    <mergeCell ref="V178:AA179"/>
    <mergeCell ref="Q178:T180"/>
    <mergeCell ref="AC178:AF180"/>
    <mergeCell ref="Q182:T184"/>
    <mergeCell ref="V182:AA183"/>
    <mergeCell ref="AC182:BA184"/>
    <mergeCell ref="J186:O187"/>
    <mergeCell ref="J190:O191"/>
    <mergeCell ref="Q186:X188"/>
    <mergeCell ref="Q190:X192"/>
    <mergeCell ref="Z186:AE187"/>
    <mergeCell ref="AC1599:AF1601"/>
    <mergeCell ref="J1603:O1604"/>
    <mergeCell ref="Q1603:T1605"/>
    <mergeCell ref="V1603:AA1604"/>
    <mergeCell ref="AC1603:BA1605"/>
    <mergeCell ref="J1607:O1608"/>
    <mergeCell ref="Q1607:X1609"/>
    <mergeCell ref="Z1607:AE1608"/>
    <mergeCell ref="AG1607:BA1609"/>
    <mergeCell ref="C1562:H1564"/>
    <mergeCell ref="J1562:BA1564"/>
    <mergeCell ref="C1566:H1568"/>
    <mergeCell ref="J1566:BA1568"/>
    <mergeCell ref="J1570:O1571"/>
    <mergeCell ref="Q1570:T1572"/>
    <mergeCell ref="V1570:AA1571"/>
    <mergeCell ref="AC1570:AF1572"/>
    <mergeCell ref="J1574:O1575"/>
    <mergeCell ref="Q1574:T1576"/>
    <mergeCell ref="V1574:AA1575"/>
    <mergeCell ref="AC1574:BA1576"/>
    <mergeCell ref="J1578:O1579"/>
    <mergeCell ref="Q1578:X1580"/>
    <mergeCell ref="Z1578:AE1579"/>
    <mergeCell ref="AG1578:BA1580"/>
    <mergeCell ref="J1582:O1583"/>
    <mergeCell ref="Q1582:X1584"/>
    <mergeCell ref="Z1582:AE1583"/>
    <mergeCell ref="AG1582:BA1587"/>
    <mergeCell ref="J1541:O1542"/>
    <mergeCell ref="Q1541:T1543"/>
    <mergeCell ref="V1541:AA1542"/>
    <mergeCell ref="AC1541:AF1543"/>
    <mergeCell ref="J1545:O1546"/>
    <mergeCell ref="Q1545:T1547"/>
    <mergeCell ref="V1545:AA1546"/>
    <mergeCell ref="AC1545:BA1547"/>
    <mergeCell ref="J1549:O1550"/>
    <mergeCell ref="Q1549:X1551"/>
    <mergeCell ref="Z1549:AE1550"/>
    <mergeCell ref="AG1549:BA1551"/>
    <mergeCell ref="J1553:O1554"/>
    <mergeCell ref="Q1553:X1555"/>
    <mergeCell ref="Z1553:AE1554"/>
    <mergeCell ref="AG1553:BA1558"/>
    <mergeCell ref="C1560:H1560"/>
    <mergeCell ref="J1516:O1517"/>
    <mergeCell ref="Q1516:T1518"/>
    <mergeCell ref="V1516:AA1517"/>
    <mergeCell ref="AC1516:BA1518"/>
    <mergeCell ref="J1520:O1521"/>
    <mergeCell ref="Q1520:X1522"/>
    <mergeCell ref="Z1520:AE1521"/>
    <mergeCell ref="AG1520:BA1522"/>
    <mergeCell ref="J1524:O1525"/>
    <mergeCell ref="Q1524:X1526"/>
    <mergeCell ref="Z1524:AE1525"/>
    <mergeCell ref="AG1524:BA1529"/>
    <mergeCell ref="C1531:H1531"/>
    <mergeCell ref="C1533:H1535"/>
    <mergeCell ref="J1533:BA1535"/>
    <mergeCell ref="C1537:H1539"/>
    <mergeCell ref="J1537:BA1539"/>
    <mergeCell ref="J1491:O1492"/>
    <mergeCell ref="Q1491:X1493"/>
    <mergeCell ref="Z1491:AE1492"/>
    <mergeCell ref="AG1491:BA1493"/>
    <mergeCell ref="J1495:O1496"/>
    <mergeCell ref="Q1495:X1497"/>
    <mergeCell ref="Z1495:AE1496"/>
    <mergeCell ref="AG1495:BA1500"/>
    <mergeCell ref="C1502:H1502"/>
    <mergeCell ref="C1504:H1506"/>
    <mergeCell ref="J1504:BA1506"/>
    <mergeCell ref="C1508:H1510"/>
    <mergeCell ref="J1508:BA1510"/>
    <mergeCell ref="J1512:O1513"/>
    <mergeCell ref="Q1512:T1514"/>
    <mergeCell ref="V1512:AA1513"/>
    <mergeCell ref="AC1512:AF1514"/>
    <mergeCell ref="J1466:O1467"/>
    <mergeCell ref="Q1466:X1468"/>
    <mergeCell ref="Z1466:AE1467"/>
    <mergeCell ref="AG1466:BA1471"/>
    <mergeCell ref="C1473:H1473"/>
    <mergeCell ref="C1475:H1477"/>
    <mergeCell ref="J1475:BA1477"/>
    <mergeCell ref="C1479:H1481"/>
    <mergeCell ref="J1479:BA1481"/>
    <mergeCell ref="J1483:O1484"/>
    <mergeCell ref="Q1483:T1485"/>
    <mergeCell ref="V1483:AA1484"/>
    <mergeCell ref="AC1483:AF1485"/>
    <mergeCell ref="J1487:O1488"/>
    <mergeCell ref="Q1487:T1489"/>
    <mergeCell ref="V1487:AA1488"/>
    <mergeCell ref="AC1487:BA1489"/>
    <mergeCell ref="C1444:H1444"/>
    <mergeCell ref="C1446:H1448"/>
    <mergeCell ref="J1446:BA1448"/>
    <mergeCell ref="C1450:H1452"/>
    <mergeCell ref="J1450:BA1452"/>
    <mergeCell ref="J1454:O1455"/>
    <mergeCell ref="Q1454:T1456"/>
    <mergeCell ref="V1454:AA1455"/>
    <mergeCell ref="AC1454:AF1456"/>
    <mergeCell ref="J1458:O1459"/>
    <mergeCell ref="Q1458:T1460"/>
    <mergeCell ref="V1458:AA1459"/>
    <mergeCell ref="AC1458:BA1460"/>
    <mergeCell ref="J1462:O1463"/>
    <mergeCell ref="Q1462:X1464"/>
    <mergeCell ref="Z1462:AE1463"/>
    <mergeCell ref="AG1462:BA1464"/>
    <mergeCell ref="J1404:O1405"/>
    <mergeCell ref="Q1404:X1406"/>
    <mergeCell ref="Z1404:AE1405"/>
    <mergeCell ref="AG1404:BA1406"/>
    <mergeCell ref="J1408:O1409"/>
    <mergeCell ref="Q1408:X1410"/>
    <mergeCell ref="Z1408:AE1409"/>
    <mergeCell ref="AG1408:BA1413"/>
    <mergeCell ref="C1415:H1415"/>
    <mergeCell ref="C1417:H1419"/>
    <mergeCell ref="J1417:BA1419"/>
    <mergeCell ref="C1421:H1423"/>
    <mergeCell ref="J1421:BA1423"/>
    <mergeCell ref="J1425:O1426"/>
    <mergeCell ref="Q1425:T1427"/>
    <mergeCell ref="V1425:AA1426"/>
    <mergeCell ref="AC1425:AF1427"/>
    <mergeCell ref="J1379:O1380"/>
    <mergeCell ref="Q1379:X1381"/>
    <mergeCell ref="Z1379:AE1380"/>
    <mergeCell ref="AG1379:BA1384"/>
    <mergeCell ref="C1386:H1386"/>
    <mergeCell ref="C1388:H1390"/>
    <mergeCell ref="J1388:BA1390"/>
    <mergeCell ref="C1392:H1394"/>
    <mergeCell ref="J1392:BA1394"/>
    <mergeCell ref="J1396:O1397"/>
    <mergeCell ref="Q1396:T1398"/>
    <mergeCell ref="V1396:AA1397"/>
    <mergeCell ref="AC1396:AF1398"/>
    <mergeCell ref="J1400:O1401"/>
    <mergeCell ref="Q1400:T1402"/>
    <mergeCell ref="V1400:AA1401"/>
    <mergeCell ref="AC1400:BA1402"/>
    <mergeCell ref="J1330:BA1332"/>
    <mergeCell ref="Z1350:AE1351"/>
    <mergeCell ref="AG1350:BA1355"/>
    <mergeCell ref="C1357:H1357"/>
    <mergeCell ref="C1359:H1361"/>
    <mergeCell ref="J1359:BA1361"/>
    <mergeCell ref="C1363:H1365"/>
    <mergeCell ref="J1363:BA1365"/>
    <mergeCell ref="J1367:O1368"/>
    <mergeCell ref="Q1367:T1369"/>
    <mergeCell ref="V1367:AA1368"/>
    <mergeCell ref="AC1367:AF1369"/>
    <mergeCell ref="J1371:O1372"/>
    <mergeCell ref="Q1371:T1373"/>
    <mergeCell ref="V1371:AA1372"/>
    <mergeCell ref="AC1371:BA1373"/>
    <mergeCell ref="J1375:O1376"/>
    <mergeCell ref="Q1375:X1377"/>
    <mergeCell ref="Z1375:AE1376"/>
    <mergeCell ref="AG1375:BA1377"/>
    <mergeCell ref="J1350:O1351"/>
    <mergeCell ref="Q1350:X1352"/>
    <mergeCell ref="J1288:O1289"/>
    <mergeCell ref="Q1288:X1290"/>
    <mergeCell ref="Z1288:AE1289"/>
    <mergeCell ref="AG1288:BA1290"/>
    <mergeCell ref="V1309:AA1310"/>
    <mergeCell ref="AC1309:AF1311"/>
    <mergeCell ref="J1313:O1314"/>
    <mergeCell ref="Q1313:T1315"/>
    <mergeCell ref="V1313:AA1314"/>
    <mergeCell ref="AC1313:BA1315"/>
    <mergeCell ref="J1317:O1318"/>
    <mergeCell ref="Q1317:X1319"/>
    <mergeCell ref="Z1317:AE1318"/>
    <mergeCell ref="AG1317:BA1319"/>
    <mergeCell ref="J1321:O1322"/>
    <mergeCell ref="Q1321:X1323"/>
    <mergeCell ref="Z1321:AE1322"/>
    <mergeCell ref="AG1321:BA1326"/>
    <mergeCell ref="J1230:O1231"/>
    <mergeCell ref="Q1230:X1232"/>
    <mergeCell ref="Z1230:AE1231"/>
    <mergeCell ref="AG1230:BA1232"/>
    <mergeCell ref="J1234:O1235"/>
    <mergeCell ref="Q1234:X1236"/>
    <mergeCell ref="Z1234:AE1235"/>
    <mergeCell ref="AG1234:BA1239"/>
    <mergeCell ref="C1241:H1241"/>
    <mergeCell ref="C1243:H1245"/>
    <mergeCell ref="J1243:BA1245"/>
    <mergeCell ref="C1247:H1249"/>
    <mergeCell ref="J1247:BA1249"/>
    <mergeCell ref="J1251:O1252"/>
    <mergeCell ref="Q1251:T1253"/>
    <mergeCell ref="V1251:AA1252"/>
    <mergeCell ref="AC1251:AF1253"/>
    <mergeCell ref="AG1201:BA1203"/>
    <mergeCell ref="J1205:O1206"/>
    <mergeCell ref="Q1205:X1207"/>
    <mergeCell ref="Z1205:AE1206"/>
    <mergeCell ref="AG1205:BA1210"/>
    <mergeCell ref="C1212:H1212"/>
    <mergeCell ref="C1214:H1216"/>
    <mergeCell ref="J1214:BA1216"/>
    <mergeCell ref="C1218:H1220"/>
    <mergeCell ref="J1218:BA1220"/>
    <mergeCell ref="J1222:O1223"/>
    <mergeCell ref="Q1222:T1224"/>
    <mergeCell ref="V1222:AA1223"/>
    <mergeCell ref="AC1222:AF1224"/>
    <mergeCell ref="J1226:O1227"/>
    <mergeCell ref="Q1226:T1228"/>
    <mergeCell ref="V1226:AA1227"/>
    <mergeCell ref="AC1226:BA1228"/>
    <mergeCell ref="J1201:O1202"/>
    <mergeCell ref="C1160:H1162"/>
    <mergeCell ref="J1160:BA1162"/>
    <mergeCell ref="J1164:O1165"/>
    <mergeCell ref="Q1164:T1166"/>
    <mergeCell ref="V1164:AA1165"/>
    <mergeCell ref="AC1164:AF1166"/>
    <mergeCell ref="Q1168:T1170"/>
    <mergeCell ref="V1168:AA1169"/>
    <mergeCell ref="AC1168:BA1170"/>
    <mergeCell ref="J1172:O1173"/>
    <mergeCell ref="Q1172:X1174"/>
    <mergeCell ref="Z1172:AE1173"/>
    <mergeCell ref="AG1172:BA1174"/>
    <mergeCell ref="J1176:O1177"/>
    <mergeCell ref="Q1176:X1178"/>
    <mergeCell ref="Z1176:AE1177"/>
    <mergeCell ref="AG1176:BA1181"/>
    <mergeCell ref="J1168:O1169"/>
    <mergeCell ref="J1110:O1111"/>
    <mergeCell ref="Q1110:T1112"/>
    <mergeCell ref="V1110:AA1111"/>
    <mergeCell ref="AC1110:BA1112"/>
    <mergeCell ref="J1114:O1115"/>
    <mergeCell ref="Q1114:X1116"/>
    <mergeCell ref="Z1114:AE1115"/>
    <mergeCell ref="AG1114:BA1116"/>
    <mergeCell ref="C1067:H1067"/>
    <mergeCell ref="C1073:H1075"/>
    <mergeCell ref="J1073:BA1075"/>
    <mergeCell ref="J1077:O1078"/>
    <mergeCell ref="Q1077:T1079"/>
    <mergeCell ref="V1077:AA1078"/>
    <mergeCell ref="AC1077:AF1079"/>
    <mergeCell ref="J1081:O1082"/>
    <mergeCell ref="Q1081:T1083"/>
    <mergeCell ref="V1081:AA1082"/>
    <mergeCell ref="AC1081:BA1083"/>
    <mergeCell ref="J1085:O1086"/>
    <mergeCell ref="Q1085:X1087"/>
    <mergeCell ref="Z1085:AE1086"/>
    <mergeCell ref="AG1085:BA1087"/>
    <mergeCell ref="J1089:O1090"/>
    <mergeCell ref="J1019:O1020"/>
    <mergeCell ref="Q1019:T1021"/>
    <mergeCell ref="V1019:AA1020"/>
    <mergeCell ref="AC1019:AF1021"/>
    <mergeCell ref="Q1023:T1025"/>
    <mergeCell ref="V1023:AA1024"/>
    <mergeCell ref="AC1023:BA1025"/>
    <mergeCell ref="J1027:O1028"/>
    <mergeCell ref="Q1027:X1029"/>
    <mergeCell ref="Z1027:AE1028"/>
    <mergeCell ref="AG1027:BA1029"/>
    <mergeCell ref="J1031:O1032"/>
    <mergeCell ref="Q1031:X1033"/>
    <mergeCell ref="Z1031:AE1032"/>
    <mergeCell ref="AG1031:BA1036"/>
    <mergeCell ref="C1096:H1096"/>
    <mergeCell ref="C1098:H1100"/>
    <mergeCell ref="J1098:BA1100"/>
    <mergeCell ref="C1044:H1046"/>
    <mergeCell ref="J1044:BA1046"/>
    <mergeCell ref="J1048:O1049"/>
    <mergeCell ref="Q1048:T1050"/>
    <mergeCell ref="V1048:AA1049"/>
    <mergeCell ref="AC1048:AF1050"/>
    <mergeCell ref="J1052:O1053"/>
    <mergeCell ref="Q1052:T1054"/>
    <mergeCell ref="V1052:AA1053"/>
    <mergeCell ref="AC1052:BA1054"/>
    <mergeCell ref="J940:O941"/>
    <mergeCell ref="Q940:X942"/>
    <mergeCell ref="Z940:AE941"/>
    <mergeCell ref="AG940:BA942"/>
    <mergeCell ref="J944:O945"/>
    <mergeCell ref="Q944:X946"/>
    <mergeCell ref="Z944:AE945"/>
    <mergeCell ref="AG944:BA949"/>
    <mergeCell ref="C1038:H1038"/>
    <mergeCell ref="C1040:H1042"/>
    <mergeCell ref="J1040:BA1042"/>
    <mergeCell ref="Z973:AE974"/>
    <mergeCell ref="AG973:BA978"/>
    <mergeCell ref="C980:H980"/>
    <mergeCell ref="C982:H984"/>
    <mergeCell ref="J982:BA984"/>
    <mergeCell ref="C986:H988"/>
    <mergeCell ref="J986:BA988"/>
    <mergeCell ref="J990:O991"/>
    <mergeCell ref="Q990:T992"/>
    <mergeCell ref="V990:AA991"/>
    <mergeCell ref="AC990:AF992"/>
    <mergeCell ref="J994:O995"/>
    <mergeCell ref="Q994:T996"/>
    <mergeCell ref="V994:AA995"/>
    <mergeCell ref="AC994:BA996"/>
    <mergeCell ref="Q998:X1000"/>
    <mergeCell ref="Z998:AE999"/>
    <mergeCell ref="AG998:BA1000"/>
    <mergeCell ref="C1015:H1017"/>
    <mergeCell ref="J1015:BA1017"/>
    <mergeCell ref="J1023:O1024"/>
    <mergeCell ref="AC907:BA909"/>
    <mergeCell ref="Q911:X913"/>
    <mergeCell ref="Z911:AE912"/>
    <mergeCell ref="AG911:BA913"/>
    <mergeCell ref="J915:O916"/>
    <mergeCell ref="Q915:X917"/>
    <mergeCell ref="Z915:AE916"/>
    <mergeCell ref="AG915:BA920"/>
    <mergeCell ref="C922:H922"/>
    <mergeCell ref="C928:H930"/>
    <mergeCell ref="J928:BA930"/>
    <mergeCell ref="J932:O933"/>
    <mergeCell ref="Q932:T934"/>
    <mergeCell ref="V932:AA933"/>
    <mergeCell ref="AC932:AF934"/>
    <mergeCell ref="J936:O937"/>
    <mergeCell ref="Q936:T938"/>
    <mergeCell ref="V936:AA937"/>
    <mergeCell ref="AC936:BA938"/>
    <mergeCell ref="Q853:X855"/>
    <mergeCell ref="Z853:AE854"/>
    <mergeCell ref="AG853:BA855"/>
    <mergeCell ref="J857:O858"/>
    <mergeCell ref="Q857:X859"/>
    <mergeCell ref="Z857:AE858"/>
    <mergeCell ref="AG857:BA862"/>
    <mergeCell ref="C864:H864"/>
    <mergeCell ref="C866:H868"/>
    <mergeCell ref="J866:BA868"/>
    <mergeCell ref="C870:H872"/>
    <mergeCell ref="J870:BA872"/>
    <mergeCell ref="J874:O875"/>
    <mergeCell ref="Q874:T876"/>
    <mergeCell ref="V874:AA875"/>
    <mergeCell ref="AC874:AF876"/>
    <mergeCell ref="J878:O879"/>
    <mergeCell ref="Q878:T880"/>
    <mergeCell ref="V878:AA879"/>
    <mergeCell ref="AC878:BA880"/>
    <mergeCell ref="J853:O854"/>
    <mergeCell ref="J828:O829"/>
    <mergeCell ref="Q828:X830"/>
    <mergeCell ref="Z828:AE829"/>
    <mergeCell ref="AG828:BA833"/>
    <mergeCell ref="C835:H835"/>
    <mergeCell ref="C837:H839"/>
    <mergeCell ref="J837:BA839"/>
    <mergeCell ref="C841:H843"/>
    <mergeCell ref="J841:BA843"/>
    <mergeCell ref="J845:O846"/>
    <mergeCell ref="Q845:T847"/>
    <mergeCell ref="V845:AA846"/>
    <mergeCell ref="AC845:AF847"/>
    <mergeCell ref="J849:O850"/>
    <mergeCell ref="Q849:T851"/>
    <mergeCell ref="V849:AA850"/>
    <mergeCell ref="AC849:BA851"/>
    <mergeCell ref="Q799:X801"/>
    <mergeCell ref="Z799:AE800"/>
    <mergeCell ref="AG799:BA804"/>
    <mergeCell ref="C806:H806"/>
    <mergeCell ref="C808:H810"/>
    <mergeCell ref="J808:BA810"/>
    <mergeCell ref="C812:H814"/>
    <mergeCell ref="J812:BA814"/>
    <mergeCell ref="Q816:T818"/>
    <mergeCell ref="V816:AA817"/>
    <mergeCell ref="AC816:AF818"/>
    <mergeCell ref="J820:O821"/>
    <mergeCell ref="Q820:T822"/>
    <mergeCell ref="V820:AA821"/>
    <mergeCell ref="AC820:BA822"/>
    <mergeCell ref="J824:O825"/>
    <mergeCell ref="Q824:X826"/>
    <mergeCell ref="Z824:AE825"/>
    <mergeCell ref="AG824:BA826"/>
    <mergeCell ref="J816:O817"/>
    <mergeCell ref="J770:O771"/>
    <mergeCell ref="Q770:X772"/>
    <mergeCell ref="Z770:AE771"/>
    <mergeCell ref="AG770:BA775"/>
    <mergeCell ref="C777:H777"/>
    <mergeCell ref="C779:H781"/>
    <mergeCell ref="J779:BA781"/>
    <mergeCell ref="C783:H785"/>
    <mergeCell ref="J783:BA785"/>
    <mergeCell ref="J787:O788"/>
    <mergeCell ref="Q787:T789"/>
    <mergeCell ref="V787:AA788"/>
    <mergeCell ref="AC787:AF789"/>
    <mergeCell ref="Q791:T793"/>
    <mergeCell ref="V791:AA792"/>
    <mergeCell ref="AC791:BA793"/>
    <mergeCell ref="Q741:X743"/>
    <mergeCell ref="Z741:AE742"/>
    <mergeCell ref="AG741:BA746"/>
    <mergeCell ref="C748:H748"/>
    <mergeCell ref="C750:H752"/>
    <mergeCell ref="J750:BA752"/>
    <mergeCell ref="Q758:T760"/>
    <mergeCell ref="V758:AA759"/>
    <mergeCell ref="AC758:AF760"/>
    <mergeCell ref="J762:O763"/>
    <mergeCell ref="Q762:T764"/>
    <mergeCell ref="V762:AA763"/>
    <mergeCell ref="AC762:BA764"/>
    <mergeCell ref="J766:O767"/>
    <mergeCell ref="Q766:X768"/>
    <mergeCell ref="Z766:AE767"/>
    <mergeCell ref="C690:H690"/>
    <mergeCell ref="C692:H694"/>
    <mergeCell ref="J692:BA694"/>
    <mergeCell ref="C696:H698"/>
    <mergeCell ref="J696:BA698"/>
    <mergeCell ref="J700:O701"/>
    <mergeCell ref="Q700:T702"/>
    <mergeCell ref="V700:AA701"/>
    <mergeCell ref="AC700:AF702"/>
    <mergeCell ref="AG766:BA768"/>
    <mergeCell ref="J704:O705"/>
    <mergeCell ref="Q704:T706"/>
    <mergeCell ref="V704:AA705"/>
    <mergeCell ref="AC704:BA706"/>
    <mergeCell ref="Q708:X710"/>
    <mergeCell ref="Z708:AE709"/>
    <mergeCell ref="AG708:BA710"/>
    <mergeCell ref="J712:O713"/>
    <mergeCell ref="Q712:X714"/>
    <mergeCell ref="Z712:AE713"/>
    <mergeCell ref="AG712:BA717"/>
    <mergeCell ref="C719:H719"/>
    <mergeCell ref="C721:H723"/>
    <mergeCell ref="J721:BA723"/>
    <mergeCell ref="C725:H727"/>
    <mergeCell ref="J725:BA727"/>
    <mergeCell ref="J729:O730"/>
    <mergeCell ref="Q729:T731"/>
    <mergeCell ref="V729:AA730"/>
    <mergeCell ref="AC729:AF731"/>
    <mergeCell ref="J758:O759"/>
    <mergeCell ref="J741:O742"/>
    <mergeCell ref="J654:O655"/>
    <mergeCell ref="Q654:X656"/>
    <mergeCell ref="Z654:AE655"/>
    <mergeCell ref="AG654:BA659"/>
    <mergeCell ref="C661:H661"/>
    <mergeCell ref="C663:H665"/>
    <mergeCell ref="J663:BA665"/>
    <mergeCell ref="C667:H669"/>
    <mergeCell ref="J667:BA669"/>
    <mergeCell ref="J646:O647"/>
    <mergeCell ref="C638:H640"/>
    <mergeCell ref="J638:BA640"/>
    <mergeCell ref="J642:O643"/>
    <mergeCell ref="Q642:T644"/>
    <mergeCell ref="V642:AA643"/>
    <mergeCell ref="AC642:AF644"/>
    <mergeCell ref="Q646:T648"/>
    <mergeCell ref="V646:AA647"/>
    <mergeCell ref="J621:O622"/>
    <mergeCell ref="Q621:X623"/>
    <mergeCell ref="Z621:AE622"/>
    <mergeCell ref="AG621:BA623"/>
    <mergeCell ref="J625:O626"/>
    <mergeCell ref="Q625:X627"/>
    <mergeCell ref="Z625:AE626"/>
    <mergeCell ref="AG625:BA630"/>
    <mergeCell ref="C632:H632"/>
    <mergeCell ref="C634:H636"/>
    <mergeCell ref="J634:BA636"/>
    <mergeCell ref="J613:O614"/>
    <mergeCell ref="AC646:BA648"/>
    <mergeCell ref="J650:O651"/>
    <mergeCell ref="Q650:X652"/>
    <mergeCell ref="Z650:AE651"/>
    <mergeCell ref="AG650:BA652"/>
    <mergeCell ref="C551:H553"/>
    <mergeCell ref="J551:BA553"/>
    <mergeCell ref="J555:O556"/>
    <mergeCell ref="Q555:T557"/>
    <mergeCell ref="V555:AA556"/>
    <mergeCell ref="AC555:AF557"/>
    <mergeCell ref="J559:O560"/>
    <mergeCell ref="Q559:T561"/>
    <mergeCell ref="V559:AA560"/>
    <mergeCell ref="AC559:BA561"/>
    <mergeCell ref="J534:O535"/>
    <mergeCell ref="C605:H607"/>
    <mergeCell ref="J605:BA607"/>
    <mergeCell ref="Q613:T615"/>
    <mergeCell ref="V613:AA614"/>
    <mergeCell ref="AC613:AF615"/>
    <mergeCell ref="J617:O618"/>
    <mergeCell ref="Q617:T619"/>
    <mergeCell ref="V617:AA618"/>
    <mergeCell ref="AC617:BA619"/>
    <mergeCell ref="J567:O568"/>
    <mergeCell ref="J563:O564"/>
    <mergeCell ref="Q563:X565"/>
    <mergeCell ref="Z563:AE564"/>
    <mergeCell ref="AG563:BA565"/>
    <mergeCell ref="Q567:X569"/>
    <mergeCell ref="Z567:AE568"/>
    <mergeCell ref="AG567:BA572"/>
    <mergeCell ref="C574:H574"/>
    <mergeCell ref="C576:H578"/>
    <mergeCell ref="J576:BA578"/>
    <mergeCell ref="C580:H582"/>
    <mergeCell ref="J418:O419"/>
    <mergeCell ref="Q418:X420"/>
    <mergeCell ref="Z418:AE419"/>
    <mergeCell ref="AG418:BA420"/>
    <mergeCell ref="Q422:X424"/>
    <mergeCell ref="Z422:AE423"/>
    <mergeCell ref="AG422:BA427"/>
    <mergeCell ref="Q534:X536"/>
    <mergeCell ref="Z534:AE535"/>
    <mergeCell ref="AG534:BA536"/>
    <mergeCell ref="J538:O539"/>
    <mergeCell ref="Q538:X540"/>
    <mergeCell ref="Z538:AE539"/>
    <mergeCell ref="AG538:BA543"/>
    <mergeCell ref="C545:H545"/>
    <mergeCell ref="C547:H549"/>
    <mergeCell ref="J547:BA549"/>
    <mergeCell ref="C429:H429"/>
    <mergeCell ref="C431:H433"/>
    <mergeCell ref="J431:BA433"/>
    <mergeCell ref="C435:H437"/>
    <mergeCell ref="J435:BA437"/>
    <mergeCell ref="J439:O440"/>
    <mergeCell ref="Q439:T441"/>
    <mergeCell ref="V439:AA440"/>
    <mergeCell ref="AC439:AF441"/>
    <mergeCell ref="J443:O444"/>
    <mergeCell ref="Q443:T445"/>
    <mergeCell ref="V443:AA444"/>
    <mergeCell ref="AC443:BA445"/>
    <mergeCell ref="J447:O448"/>
    <mergeCell ref="Q447:X449"/>
    <mergeCell ref="J381:O382"/>
    <mergeCell ref="Q381:T383"/>
    <mergeCell ref="V381:AA382"/>
    <mergeCell ref="AC381:AF383"/>
    <mergeCell ref="Q385:T387"/>
    <mergeCell ref="V385:AA386"/>
    <mergeCell ref="AC385:BA387"/>
    <mergeCell ref="Q468:T470"/>
    <mergeCell ref="V468:AA469"/>
    <mergeCell ref="AC468:AF470"/>
    <mergeCell ref="Q472:T474"/>
    <mergeCell ref="V472:AA473"/>
    <mergeCell ref="AC472:BA474"/>
    <mergeCell ref="J476:O477"/>
    <mergeCell ref="Q476:X478"/>
    <mergeCell ref="Z476:AE477"/>
    <mergeCell ref="AG476:BA478"/>
    <mergeCell ref="J389:O390"/>
    <mergeCell ref="Q389:X391"/>
    <mergeCell ref="Z389:AE390"/>
    <mergeCell ref="AG389:BA391"/>
    <mergeCell ref="J393:O394"/>
    <mergeCell ref="Q393:X395"/>
    <mergeCell ref="Z393:AE394"/>
    <mergeCell ref="AG393:BA398"/>
    <mergeCell ref="J402:BA404"/>
    <mergeCell ref="J406:BA408"/>
    <mergeCell ref="J410:O411"/>
    <mergeCell ref="Q410:T412"/>
    <mergeCell ref="V410:AA411"/>
    <mergeCell ref="AC410:AF412"/>
    <mergeCell ref="J422:O423"/>
    <mergeCell ref="C400:H400"/>
    <mergeCell ref="C402:H404"/>
    <mergeCell ref="C406:H408"/>
    <mergeCell ref="J335:O336"/>
    <mergeCell ref="Q335:X337"/>
    <mergeCell ref="Z335:AE336"/>
    <mergeCell ref="AG335:BA340"/>
    <mergeCell ref="C342:H342"/>
    <mergeCell ref="C344:H346"/>
    <mergeCell ref="J344:BA346"/>
    <mergeCell ref="C348:H350"/>
    <mergeCell ref="J348:BA350"/>
    <mergeCell ref="J352:O353"/>
    <mergeCell ref="Q352:T354"/>
    <mergeCell ref="V352:AA353"/>
    <mergeCell ref="AC352:AF354"/>
    <mergeCell ref="J356:O357"/>
    <mergeCell ref="Q356:T358"/>
    <mergeCell ref="V356:AA357"/>
    <mergeCell ref="AC356:BA358"/>
    <mergeCell ref="Q360:X362"/>
    <mergeCell ref="Z360:AE361"/>
    <mergeCell ref="AG360:BA362"/>
    <mergeCell ref="J364:O365"/>
    <mergeCell ref="Q364:X366"/>
    <mergeCell ref="Z364:AE365"/>
    <mergeCell ref="AG364:BA369"/>
    <mergeCell ref="C371:H371"/>
    <mergeCell ref="C373:H375"/>
    <mergeCell ref="J373:BA375"/>
    <mergeCell ref="C377:H379"/>
    <mergeCell ref="J377:BA379"/>
    <mergeCell ref="J306:O307"/>
    <mergeCell ref="Q306:X308"/>
    <mergeCell ref="Z306:AE307"/>
    <mergeCell ref="AG306:BA311"/>
    <mergeCell ref="C313:H313"/>
    <mergeCell ref="C315:H317"/>
    <mergeCell ref="J315:BA317"/>
    <mergeCell ref="C319:H321"/>
    <mergeCell ref="J319:BA321"/>
    <mergeCell ref="J323:O324"/>
    <mergeCell ref="Q323:T325"/>
    <mergeCell ref="V323:AA324"/>
    <mergeCell ref="AC323:AF325"/>
    <mergeCell ref="Q327:T329"/>
    <mergeCell ref="V327:AA328"/>
    <mergeCell ref="AC327:BA329"/>
    <mergeCell ref="J331:O332"/>
    <mergeCell ref="Q331:X333"/>
    <mergeCell ref="Z331:AE332"/>
    <mergeCell ref="AG331:BA333"/>
    <mergeCell ref="Q277:X279"/>
    <mergeCell ref="Z277:AE278"/>
    <mergeCell ref="AG277:BA282"/>
    <mergeCell ref="C284:H284"/>
    <mergeCell ref="C286:H288"/>
    <mergeCell ref="J286:BA288"/>
    <mergeCell ref="C290:H292"/>
    <mergeCell ref="J290:BA292"/>
    <mergeCell ref="J294:O295"/>
    <mergeCell ref="Q294:T296"/>
    <mergeCell ref="V294:AA295"/>
    <mergeCell ref="AC294:AF296"/>
    <mergeCell ref="J298:O299"/>
    <mergeCell ref="Q298:T300"/>
    <mergeCell ref="V298:AA299"/>
    <mergeCell ref="AC298:BA300"/>
    <mergeCell ref="J302:O303"/>
    <mergeCell ref="Q302:X304"/>
    <mergeCell ref="Z302:AE303"/>
    <mergeCell ref="AG302:BA304"/>
    <mergeCell ref="J269:O270"/>
    <mergeCell ref="Q269:T271"/>
    <mergeCell ref="V269:AA270"/>
    <mergeCell ref="AC269:BA271"/>
    <mergeCell ref="J273:O274"/>
    <mergeCell ref="Q273:X275"/>
    <mergeCell ref="Z273:AE274"/>
    <mergeCell ref="AG273:BA275"/>
    <mergeCell ref="J232:BA234"/>
    <mergeCell ref="J236:O237"/>
    <mergeCell ref="Q236:T238"/>
    <mergeCell ref="V236:AA237"/>
    <mergeCell ref="AC236:AF238"/>
    <mergeCell ref="J240:O241"/>
    <mergeCell ref="Q240:T242"/>
    <mergeCell ref="V240:AA241"/>
    <mergeCell ref="AC240:BA242"/>
    <mergeCell ref="J244:O245"/>
    <mergeCell ref="Q244:X246"/>
    <mergeCell ref="Z244:AE245"/>
    <mergeCell ref="AG244:BA246"/>
    <mergeCell ref="J248:O249"/>
    <mergeCell ref="Q248:X250"/>
    <mergeCell ref="Z248:AE249"/>
    <mergeCell ref="AL106:AP106"/>
    <mergeCell ref="AQ106:AU106"/>
    <mergeCell ref="AV106:BA106"/>
    <mergeCell ref="C168:H168"/>
    <mergeCell ref="C174:H176"/>
    <mergeCell ref="J174:BA176"/>
    <mergeCell ref="AL142:AP142"/>
    <mergeCell ref="AQ142:AU142"/>
    <mergeCell ref="AV142:BA142"/>
    <mergeCell ref="B143:Z143"/>
    <mergeCell ref="AB143:AF143"/>
    <mergeCell ref="AG143:AK143"/>
    <mergeCell ref="AL143:AP143"/>
    <mergeCell ref="AB151:AF151"/>
    <mergeCell ref="AG248:BA253"/>
    <mergeCell ref="C197:H197"/>
    <mergeCell ref="C199:H201"/>
    <mergeCell ref="J199:BA201"/>
    <mergeCell ref="C203:H205"/>
    <mergeCell ref="J203:BA205"/>
    <mergeCell ref="J207:O208"/>
    <mergeCell ref="Q207:T209"/>
    <mergeCell ref="V207:AA208"/>
    <mergeCell ref="AC207:AF209"/>
    <mergeCell ref="J211:O212"/>
    <mergeCell ref="Q211:T213"/>
    <mergeCell ref="V211:AA212"/>
    <mergeCell ref="AC211:BA213"/>
    <mergeCell ref="Q215:X217"/>
    <mergeCell ref="Z215:AE216"/>
    <mergeCell ref="AG215:BA217"/>
    <mergeCell ref="AG151:AK151"/>
    <mergeCell ref="Q115:Z115"/>
    <mergeCell ref="AB115:AF115"/>
    <mergeCell ref="AL117:AP117"/>
    <mergeCell ref="AQ117:AU117"/>
    <mergeCell ref="AV117:BA117"/>
    <mergeCell ref="AB117:AF117"/>
    <mergeCell ref="AG117:AK117"/>
    <mergeCell ref="AQ109:AU109"/>
    <mergeCell ref="AQ115:AU115"/>
    <mergeCell ref="Z190:AE191"/>
    <mergeCell ref="AG190:BA195"/>
    <mergeCell ref="J219:O220"/>
    <mergeCell ref="Q219:X221"/>
    <mergeCell ref="Z219:AE220"/>
    <mergeCell ref="AG219:BA224"/>
    <mergeCell ref="C226:H226"/>
    <mergeCell ref="J228:BA230"/>
    <mergeCell ref="AL151:AP151"/>
    <mergeCell ref="AQ151:AU151"/>
    <mergeCell ref="AV151:BA151"/>
    <mergeCell ref="B136:BA137"/>
    <mergeCell ref="B129:BA133"/>
    <mergeCell ref="O147:Z147"/>
    <mergeCell ref="O149:Z149"/>
    <mergeCell ref="O151:Z151"/>
    <mergeCell ref="B154:BA158"/>
    <mergeCell ref="B45:Z45"/>
    <mergeCell ref="AB45:AF45"/>
    <mergeCell ref="AG45:AK45"/>
    <mergeCell ref="AL45:AP45"/>
    <mergeCell ref="AQ45:AU45"/>
    <mergeCell ref="AV45:BA45"/>
    <mergeCell ref="B46:Z46"/>
    <mergeCell ref="AB46:AF46"/>
    <mergeCell ref="AG46:AK46"/>
    <mergeCell ref="AL46:AP46"/>
    <mergeCell ref="AQ46:AU46"/>
    <mergeCell ref="AV46:BA46"/>
    <mergeCell ref="B101:Z101"/>
    <mergeCell ref="AB101:AF101"/>
    <mergeCell ref="AG101:AK101"/>
    <mergeCell ref="AL101:AP101"/>
    <mergeCell ref="AQ101:AU101"/>
    <mergeCell ref="AV101:BA101"/>
    <mergeCell ref="B60:Z60"/>
    <mergeCell ref="AB60:AF60"/>
    <mergeCell ref="AG60:AK60"/>
    <mergeCell ref="AL60:AP60"/>
    <mergeCell ref="AQ60:AU60"/>
    <mergeCell ref="AV60:BA60"/>
    <mergeCell ref="B61:Z61"/>
    <mergeCell ref="AB61:AF61"/>
    <mergeCell ref="AG61:AK61"/>
    <mergeCell ref="AL61:AP61"/>
    <mergeCell ref="AQ61:AU61"/>
    <mergeCell ref="AV61:BA61"/>
    <mergeCell ref="B57:Z57"/>
    <mergeCell ref="AB57:AF57"/>
    <mergeCell ref="B42:Z42"/>
    <mergeCell ref="AB42:AF42"/>
    <mergeCell ref="AG42:AK42"/>
    <mergeCell ref="AL42:AP42"/>
    <mergeCell ref="AQ42:AU42"/>
    <mergeCell ref="AV42:BA42"/>
    <mergeCell ref="B43:Z43"/>
    <mergeCell ref="AB43:AF43"/>
    <mergeCell ref="AG43:AK43"/>
    <mergeCell ref="AL43:AP43"/>
    <mergeCell ref="AQ43:AU43"/>
    <mergeCell ref="AV43:BA43"/>
    <mergeCell ref="B44:Z44"/>
    <mergeCell ref="AB44:AF44"/>
    <mergeCell ref="AG44:AK44"/>
    <mergeCell ref="AL44:AP44"/>
    <mergeCell ref="AQ44:AU44"/>
    <mergeCell ref="AV44:BA44"/>
    <mergeCell ref="B39:Z39"/>
    <mergeCell ref="AB39:AF39"/>
    <mergeCell ref="AG39:AK39"/>
    <mergeCell ref="AL39:AP39"/>
    <mergeCell ref="AQ39:AU39"/>
    <mergeCell ref="AV39:BA39"/>
    <mergeCell ref="B40:Z40"/>
    <mergeCell ref="AB40:AF40"/>
    <mergeCell ref="AG40:AK40"/>
    <mergeCell ref="AL40:AP40"/>
    <mergeCell ref="AQ40:AU40"/>
    <mergeCell ref="AV40:BA40"/>
    <mergeCell ref="B41:Z41"/>
    <mergeCell ref="AB41:AF41"/>
    <mergeCell ref="AG41:AK41"/>
    <mergeCell ref="AL41:AP41"/>
    <mergeCell ref="AQ41:AU41"/>
    <mergeCell ref="AV41:BA41"/>
    <mergeCell ref="AG35:AK35"/>
    <mergeCell ref="AL35:AP35"/>
    <mergeCell ref="AQ35:AU35"/>
    <mergeCell ref="AV35:BA35"/>
    <mergeCell ref="B36:Z36"/>
    <mergeCell ref="AB36:AF36"/>
    <mergeCell ref="AG36:AK36"/>
    <mergeCell ref="AL36:AP36"/>
    <mergeCell ref="AQ36:AU36"/>
    <mergeCell ref="AV36:BA36"/>
    <mergeCell ref="B37:Z37"/>
    <mergeCell ref="AB37:AF37"/>
    <mergeCell ref="AG37:AK37"/>
    <mergeCell ref="AL37:AP37"/>
    <mergeCell ref="AQ37:AU37"/>
    <mergeCell ref="AV37:BA37"/>
    <mergeCell ref="B38:Z38"/>
    <mergeCell ref="AB38:AF38"/>
    <mergeCell ref="AG38:AK38"/>
    <mergeCell ref="AL38:AP38"/>
    <mergeCell ref="AQ38:AU38"/>
    <mergeCell ref="AV38:BA38"/>
    <mergeCell ref="B35:Z35"/>
    <mergeCell ref="AB35:AF35"/>
    <mergeCell ref="B32:Z32"/>
    <mergeCell ref="AB32:AF32"/>
    <mergeCell ref="AG32:AK32"/>
    <mergeCell ref="AL32:AP32"/>
    <mergeCell ref="AQ32:AU32"/>
    <mergeCell ref="AV32:BA32"/>
    <mergeCell ref="B33:Z33"/>
    <mergeCell ref="AB33:AF33"/>
    <mergeCell ref="AG33:AK33"/>
    <mergeCell ref="AL33:AP33"/>
    <mergeCell ref="AQ33:AU33"/>
    <mergeCell ref="AV33:BA33"/>
    <mergeCell ref="B34:Z34"/>
    <mergeCell ref="AB34:AF34"/>
    <mergeCell ref="AG34:AK34"/>
    <mergeCell ref="AL34:AP34"/>
    <mergeCell ref="AQ34:AU34"/>
    <mergeCell ref="AV34:BA34"/>
    <mergeCell ref="AG57:AK57"/>
    <mergeCell ref="AL57:AP57"/>
    <mergeCell ref="AQ57:AU57"/>
    <mergeCell ref="AV57:BA57"/>
    <mergeCell ref="B58:Z58"/>
    <mergeCell ref="AB58:AF58"/>
    <mergeCell ref="AG58:AK58"/>
    <mergeCell ref="AL58:AP58"/>
    <mergeCell ref="AQ58:AU58"/>
    <mergeCell ref="AV58:BA58"/>
    <mergeCell ref="B59:Z59"/>
    <mergeCell ref="AB59:AF59"/>
    <mergeCell ref="AG59:AK59"/>
    <mergeCell ref="AL59:AP59"/>
    <mergeCell ref="AQ59:AU59"/>
    <mergeCell ref="AV59:BA59"/>
    <mergeCell ref="B54:Z54"/>
    <mergeCell ref="AB54:AF54"/>
    <mergeCell ref="AG54:AK54"/>
    <mergeCell ref="AL54:AP54"/>
    <mergeCell ref="AQ54:AU54"/>
    <mergeCell ref="AV54:BA54"/>
    <mergeCell ref="B55:Z55"/>
    <mergeCell ref="AB55:AF55"/>
    <mergeCell ref="AG55:AK55"/>
    <mergeCell ref="AL55:AP55"/>
    <mergeCell ref="AQ55:AU55"/>
    <mergeCell ref="AV55:BA55"/>
    <mergeCell ref="B56:Z56"/>
    <mergeCell ref="AB56:AF56"/>
    <mergeCell ref="AG56:AK56"/>
    <mergeCell ref="AL56:AP56"/>
    <mergeCell ref="B50:Z50"/>
    <mergeCell ref="AB50:AF50"/>
    <mergeCell ref="AQ56:AU56"/>
    <mergeCell ref="AV56:BA56"/>
    <mergeCell ref="AG50:AK50"/>
    <mergeCell ref="AL50:AP50"/>
    <mergeCell ref="AQ50:AU50"/>
    <mergeCell ref="AV50:BA50"/>
    <mergeCell ref="B51:Z51"/>
    <mergeCell ref="AB51:AF51"/>
    <mergeCell ref="AG51:AK51"/>
    <mergeCell ref="AL51:AP51"/>
    <mergeCell ref="AQ51:AU51"/>
    <mergeCell ref="AV51:BA51"/>
    <mergeCell ref="B52:Z52"/>
    <mergeCell ref="AB52:AF52"/>
    <mergeCell ref="AG52:AK52"/>
    <mergeCell ref="AL52:AP52"/>
    <mergeCell ref="AQ52:AU52"/>
    <mergeCell ref="AV52:BA52"/>
    <mergeCell ref="B53:Z53"/>
    <mergeCell ref="AB53:AF53"/>
    <mergeCell ref="AG53:AK53"/>
    <mergeCell ref="AL53:AP53"/>
    <mergeCell ref="AQ53:AU53"/>
    <mergeCell ref="AV53:BA53"/>
    <mergeCell ref="B47:Z47"/>
    <mergeCell ref="AB47:AF47"/>
    <mergeCell ref="AG47:AK47"/>
    <mergeCell ref="AL47:AP47"/>
    <mergeCell ref="AQ47:AU47"/>
    <mergeCell ref="AV47:BA47"/>
    <mergeCell ref="B48:Z48"/>
    <mergeCell ref="AB48:AF48"/>
    <mergeCell ref="AG48:AK48"/>
    <mergeCell ref="AL48:AP48"/>
    <mergeCell ref="AQ48:AU48"/>
    <mergeCell ref="AV48:BA48"/>
    <mergeCell ref="B49:Z49"/>
    <mergeCell ref="AB49:AF49"/>
    <mergeCell ref="AG49:AK49"/>
    <mergeCell ref="AL49:AP49"/>
    <mergeCell ref="AQ49:AU49"/>
    <mergeCell ref="AV49:BA49"/>
    <mergeCell ref="B74:Z74"/>
    <mergeCell ref="AB74:AF74"/>
    <mergeCell ref="AG74:AK74"/>
    <mergeCell ref="AL74:AP74"/>
    <mergeCell ref="AQ74:AU74"/>
    <mergeCell ref="AV74:BA74"/>
    <mergeCell ref="B75:Z75"/>
    <mergeCell ref="AB75:AF75"/>
    <mergeCell ref="AG75:AK75"/>
    <mergeCell ref="AL75:AP75"/>
    <mergeCell ref="AQ75:AU75"/>
    <mergeCell ref="AV75:BA75"/>
    <mergeCell ref="B76:Z76"/>
    <mergeCell ref="AB76:AF76"/>
    <mergeCell ref="AG76:AK76"/>
    <mergeCell ref="AL76:AP76"/>
    <mergeCell ref="AQ76:AU76"/>
    <mergeCell ref="AV76:BA76"/>
    <mergeCell ref="B71:Z71"/>
    <mergeCell ref="AB71:AF71"/>
    <mergeCell ref="AG71:AK71"/>
    <mergeCell ref="AL71:AP71"/>
    <mergeCell ref="AQ71:AU71"/>
    <mergeCell ref="AV71:BA71"/>
    <mergeCell ref="B72:Z72"/>
    <mergeCell ref="AB72:AF72"/>
    <mergeCell ref="AG72:AK72"/>
    <mergeCell ref="AL72:AP72"/>
    <mergeCell ref="AQ72:AU72"/>
    <mergeCell ref="AV72:BA72"/>
    <mergeCell ref="B73:Z73"/>
    <mergeCell ref="AB73:AF73"/>
    <mergeCell ref="AG73:AK73"/>
    <mergeCell ref="AL73:AP73"/>
    <mergeCell ref="AQ73:AU73"/>
    <mergeCell ref="AV73:BA73"/>
    <mergeCell ref="B68:Z68"/>
    <mergeCell ref="AB68:AF68"/>
    <mergeCell ref="AG68:AK68"/>
    <mergeCell ref="AL68:AP68"/>
    <mergeCell ref="AQ68:AU68"/>
    <mergeCell ref="AV68:BA68"/>
    <mergeCell ref="B69:Z69"/>
    <mergeCell ref="AB69:AF69"/>
    <mergeCell ref="AG69:AK69"/>
    <mergeCell ref="AL69:AP69"/>
    <mergeCell ref="AQ69:AU69"/>
    <mergeCell ref="AV69:BA69"/>
    <mergeCell ref="B70:Z70"/>
    <mergeCell ref="AB70:AF70"/>
    <mergeCell ref="AG70:AK70"/>
    <mergeCell ref="AL70:AP70"/>
    <mergeCell ref="AQ70:AU70"/>
    <mergeCell ref="AV70:BA70"/>
    <mergeCell ref="B65:Z65"/>
    <mergeCell ref="AB65:AF65"/>
    <mergeCell ref="AG65:AK65"/>
    <mergeCell ref="AL65:AP65"/>
    <mergeCell ref="AQ65:AU65"/>
    <mergeCell ref="AV65:BA65"/>
    <mergeCell ref="B66:Z66"/>
    <mergeCell ref="AB66:AF66"/>
    <mergeCell ref="AG66:AK66"/>
    <mergeCell ref="AL66:AP66"/>
    <mergeCell ref="AQ66:AU66"/>
    <mergeCell ref="AV66:BA66"/>
    <mergeCell ref="B67:Z67"/>
    <mergeCell ref="AB67:AF67"/>
    <mergeCell ref="AG67:AK67"/>
    <mergeCell ref="AL67:AP67"/>
    <mergeCell ref="AQ67:AU67"/>
    <mergeCell ref="AV67:BA67"/>
    <mergeCell ref="B62:Z62"/>
    <mergeCell ref="AB62:AF62"/>
    <mergeCell ref="AG62:AK62"/>
    <mergeCell ref="AL62:AP62"/>
    <mergeCell ref="AQ62:AU62"/>
    <mergeCell ref="AV62:BA62"/>
    <mergeCell ref="B63:Z63"/>
    <mergeCell ref="AB63:AF63"/>
    <mergeCell ref="AG63:AK63"/>
    <mergeCell ref="AL63:AP63"/>
    <mergeCell ref="AQ63:AU63"/>
    <mergeCell ref="AV63:BA63"/>
    <mergeCell ref="B64:Z64"/>
    <mergeCell ref="AB64:AF64"/>
    <mergeCell ref="AG64:AK64"/>
    <mergeCell ref="AL64:AP64"/>
    <mergeCell ref="AQ64:AU64"/>
    <mergeCell ref="AV64:BA64"/>
    <mergeCell ref="B89:Z89"/>
    <mergeCell ref="AB89:AF89"/>
    <mergeCell ref="AG89:AK89"/>
    <mergeCell ref="AL89:AP89"/>
    <mergeCell ref="AQ89:AU89"/>
    <mergeCell ref="AV89:BA89"/>
    <mergeCell ref="B90:Z90"/>
    <mergeCell ref="AB90:AF90"/>
    <mergeCell ref="AG90:AK90"/>
    <mergeCell ref="AL90:AP90"/>
    <mergeCell ref="AQ90:AU90"/>
    <mergeCell ref="AV90:BA90"/>
    <mergeCell ref="B91:Z91"/>
    <mergeCell ref="AB91:AF91"/>
    <mergeCell ref="AG91:AK91"/>
    <mergeCell ref="AL91:AP91"/>
    <mergeCell ref="AQ91:AU91"/>
    <mergeCell ref="AV91:BA91"/>
    <mergeCell ref="B86:Z86"/>
    <mergeCell ref="AB86:AF86"/>
    <mergeCell ref="AG86:AK86"/>
    <mergeCell ref="AL86:AP86"/>
    <mergeCell ref="AQ86:AU86"/>
    <mergeCell ref="AV86:BA86"/>
    <mergeCell ref="B87:Z87"/>
    <mergeCell ref="AB87:AF87"/>
    <mergeCell ref="AG87:AK87"/>
    <mergeCell ref="AL87:AP87"/>
    <mergeCell ref="AQ87:AU87"/>
    <mergeCell ref="AV87:BA87"/>
    <mergeCell ref="B88:Z88"/>
    <mergeCell ref="AB88:AF88"/>
    <mergeCell ref="AG88:AK88"/>
    <mergeCell ref="AL88:AP88"/>
    <mergeCell ref="AQ88:AU88"/>
    <mergeCell ref="AV88:BA88"/>
    <mergeCell ref="AB79:AF79"/>
    <mergeCell ref="AG79:AK79"/>
    <mergeCell ref="AL79:AP79"/>
    <mergeCell ref="AQ79:AU79"/>
    <mergeCell ref="AV79:BA79"/>
    <mergeCell ref="B80:Z80"/>
    <mergeCell ref="B84:Z84"/>
    <mergeCell ref="AB84:AF84"/>
    <mergeCell ref="AG84:AK84"/>
    <mergeCell ref="AL84:AP84"/>
    <mergeCell ref="AQ84:AU84"/>
    <mergeCell ref="AV84:BA84"/>
    <mergeCell ref="B85:Z85"/>
    <mergeCell ref="AB85:AF85"/>
    <mergeCell ref="AG85:AK85"/>
    <mergeCell ref="AL85:AP85"/>
    <mergeCell ref="AQ85:AU85"/>
    <mergeCell ref="AV85:BA85"/>
    <mergeCell ref="BF213:BG214"/>
    <mergeCell ref="BH213:DE217"/>
    <mergeCell ref="BF219:BG220"/>
    <mergeCell ref="BH219:DE226"/>
    <mergeCell ref="BF228:BG229"/>
    <mergeCell ref="BH228:DE232"/>
    <mergeCell ref="BF234:BG235"/>
    <mergeCell ref="BH234:DE237"/>
    <mergeCell ref="AB100:AF100"/>
    <mergeCell ref="AB107:AF107"/>
    <mergeCell ref="BH19:DF23"/>
    <mergeCell ref="BH200:CC201"/>
    <mergeCell ref="BF203:BG204"/>
    <mergeCell ref="BH203:DE211"/>
    <mergeCell ref="AB94:AF94"/>
    <mergeCell ref="AB95:AF95"/>
    <mergeCell ref="AG94:AK94"/>
    <mergeCell ref="AG31:AK31"/>
    <mergeCell ref="AL31:AP31"/>
    <mergeCell ref="AQ31:AU31"/>
    <mergeCell ref="AB108:AF108"/>
    <mergeCell ref="AB110:AF110"/>
    <mergeCell ref="AV110:BA110"/>
    <mergeCell ref="AV111:BA111"/>
    <mergeCell ref="AV112:BA112"/>
    <mergeCell ref="AV113:BA113"/>
    <mergeCell ref="AV115:BA115"/>
    <mergeCell ref="AB81:AF81"/>
    <mergeCell ref="AG81:AK81"/>
    <mergeCell ref="AL81:AP81"/>
    <mergeCell ref="AQ81:AU81"/>
    <mergeCell ref="AV81:BA81"/>
    <mergeCell ref="C1189:H1191"/>
    <mergeCell ref="J1189:BA1191"/>
    <mergeCell ref="J1193:O1194"/>
    <mergeCell ref="Q1193:T1195"/>
    <mergeCell ref="V1193:AA1194"/>
    <mergeCell ref="AC1193:AF1195"/>
    <mergeCell ref="J1197:O1198"/>
    <mergeCell ref="Q1197:T1199"/>
    <mergeCell ref="V1197:AA1198"/>
    <mergeCell ref="AC1197:BA1199"/>
    <mergeCell ref="Q1201:X1203"/>
    <mergeCell ref="Z1201:AE1202"/>
    <mergeCell ref="C1183:H1183"/>
    <mergeCell ref="C1185:H1187"/>
    <mergeCell ref="J1185:BA1187"/>
    <mergeCell ref="AB80:AF80"/>
    <mergeCell ref="AG80:AK80"/>
    <mergeCell ref="AL80:AP80"/>
    <mergeCell ref="AQ80:AU80"/>
    <mergeCell ref="AV80:BA80"/>
    <mergeCell ref="B81:Z81"/>
    <mergeCell ref="B82:Z82"/>
    <mergeCell ref="AB82:AF82"/>
    <mergeCell ref="AG82:AK82"/>
    <mergeCell ref="AL82:AP82"/>
    <mergeCell ref="AQ82:AU82"/>
    <mergeCell ref="AV82:BA82"/>
    <mergeCell ref="B83:Z83"/>
    <mergeCell ref="AB83:AF83"/>
    <mergeCell ref="AG83:AK83"/>
    <mergeCell ref="AL83:AP83"/>
    <mergeCell ref="Q1147:X1149"/>
    <mergeCell ref="AG1147:BA1152"/>
    <mergeCell ref="C1154:H1154"/>
    <mergeCell ref="C1156:H1158"/>
    <mergeCell ref="C1131:H1133"/>
    <mergeCell ref="J1131:BA1133"/>
    <mergeCell ref="J1135:O1136"/>
    <mergeCell ref="Q1135:T1137"/>
    <mergeCell ref="V1135:AA1136"/>
    <mergeCell ref="AC1135:AF1137"/>
    <mergeCell ref="J1139:O1140"/>
    <mergeCell ref="Q1139:T1141"/>
    <mergeCell ref="V1139:AA1140"/>
    <mergeCell ref="AC1139:BA1141"/>
    <mergeCell ref="AB77:AF77"/>
    <mergeCell ref="AG111:AK111"/>
    <mergeCell ref="AG112:AK112"/>
    <mergeCell ref="AG113:AK113"/>
    <mergeCell ref="AG115:AK115"/>
    <mergeCell ref="J795:O796"/>
    <mergeCell ref="Q795:X797"/>
    <mergeCell ref="Z795:AE796"/>
    <mergeCell ref="AG795:BA797"/>
    <mergeCell ref="J799:O800"/>
    <mergeCell ref="J791:O792"/>
    <mergeCell ref="J683:O684"/>
    <mergeCell ref="C754:H756"/>
    <mergeCell ref="J754:BA756"/>
    <mergeCell ref="J708:O709"/>
    <mergeCell ref="J360:O361"/>
    <mergeCell ref="B77:Z77"/>
    <mergeCell ref="J1118:O1119"/>
    <mergeCell ref="AQ83:AU83"/>
    <mergeCell ref="Q1118:X1120"/>
    <mergeCell ref="Z1118:AE1119"/>
    <mergeCell ref="AG1118:BA1123"/>
    <mergeCell ref="C1125:H1125"/>
    <mergeCell ref="C1127:H1129"/>
    <mergeCell ref="J1127:BA1129"/>
    <mergeCell ref="J1156:BA1158"/>
    <mergeCell ref="J1106:O1107"/>
    <mergeCell ref="C1069:H1071"/>
    <mergeCell ref="J1069:BA1071"/>
    <mergeCell ref="J1056:O1057"/>
    <mergeCell ref="Q1056:X1058"/>
    <mergeCell ref="Z1056:AE1057"/>
    <mergeCell ref="AG1056:BA1058"/>
    <mergeCell ref="J1060:O1061"/>
    <mergeCell ref="Q1060:X1062"/>
    <mergeCell ref="Z1060:AE1061"/>
    <mergeCell ref="AG1060:BA1065"/>
    <mergeCell ref="Q1089:X1091"/>
    <mergeCell ref="Z1089:AE1090"/>
    <mergeCell ref="AG1089:BA1094"/>
    <mergeCell ref="C1102:H1104"/>
    <mergeCell ref="J1102:BA1104"/>
    <mergeCell ref="Q1106:T1108"/>
    <mergeCell ref="V1106:AA1107"/>
    <mergeCell ref="AC1106:AF1108"/>
    <mergeCell ref="J1143:O1144"/>
    <mergeCell ref="Q1143:X1145"/>
    <mergeCell ref="Z1143:AE1144"/>
    <mergeCell ref="AG1143:BA1145"/>
    <mergeCell ref="J1147:O1148"/>
    <mergeCell ref="Z1147:AE1148"/>
    <mergeCell ref="BH9:DF11"/>
    <mergeCell ref="B165:Y166"/>
    <mergeCell ref="B15:L16"/>
    <mergeCell ref="N15:Z16"/>
    <mergeCell ref="B19:L20"/>
    <mergeCell ref="B22:L23"/>
    <mergeCell ref="N19:Z20"/>
    <mergeCell ref="N22:Z23"/>
    <mergeCell ref="B9:L10"/>
    <mergeCell ref="N9:Z10"/>
    <mergeCell ref="B12:L13"/>
    <mergeCell ref="N12:Z13"/>
    <mergeCell ref="B26:BA27"/>
    <mergeCell ref="B96:Z96"/>
    <mergeCell ref="AG95:AK95"/>
    <mergeCell ref="AG97:AK97"/>
    <mergeCell ref="B110:Z110"/>
    <mergeCell ref="B111:Z111"/>
    <mergeCell ref="B112:Z112"/>
    <mergeCell ref="B113:Z113"/>
    <mergeCell ref="B31:Z31"/>
    <mergeCell ref="B98:Z98"/>
    <mergeCell ref="B99:Z99"/>
    <mergeCell ref="B100:Z100"/>
    <mergeCell ref="B107:Z107"/>
    <mergeCell ref="B108:Z108"/>
    <mergeCell ref="B97:Z97"/>
    <mergeCell ref="AB92:AF92"/>
    <mergeCell ref="AG92:AK92"/>
    <mergeCell ref="AL92:AP92"/>
    <mergeCell ref="AQ92:AU92"/>
    <mergeCell ref="AV92:BA92"/>
    <mergeCell ref="B2:BA4"/>
    <mergeCell ref="B6:BA7"/>
    <mergeCell ref="B93:Z93"/>
    <mergeCell ref="AL113:AP113"/>
    <mergeCell ref="AL115:AP115"/>
    <mergeCell ref="AQ93:AU93"/>
    <mergeCell ref="AQ94:AU94"/>
    <mergeCell ref="AQ95:AU95"/>
    <mergeCell ref="AQ96:AU96"/>
    <mergeCell ref="AQ97:AU97"/>
    <mergeCell ref="AB29:AF29"/>
    <mergeCell ref="AG29:AK29"/>
    <mergeCell ref="AL29:AP29"/>
    <mergeCell ref="AQ29:AU29"/>
    <mergeCell ref="AV29:BA29"/>
    <mergeCell ref="AB31:AF31"/>
    <mergeCell ref="AB93:AF93"/>
    <mergeCell ref="AG93:AK93"/>
    <mergeCell ref="AQ100:AU100"/>
    <mergeCell ref="AQ107:AU107"/>
    <mergeCell ref="AQ108:AU108"/>
    <mergeCell ref="AQ110:AU110"/>
    <mergeCell ref="AQ77:AU77"/>
    <mergeCell ref="AV77:BA77"/>
    <mergeCell ref="AV83:BA83"/>
    <mergeCell ref="B78:Z78"/>
    <mergeCell ref="AB78:AF78"/>
    <mergeCell ref="AG78:AK78"/>
    <mergeCell ref="AL78:AP78"/>
    <mergeCell ref="AQ78:AU78"/>
    <mergeCell ref="AV78:BA78"/>
    <mergeCell ref="B79:Z79"/>
    <mergeCell ref="AL102:AP102"/>
    <mergeCell ref="B102:Z102"/>
    <mergeCell ref="AB111:AF111"/>
    <mergeCell ref="AB112:AF112"/>
    <mergeCell ref="AG99:AK99"/>
    <mergeCell ref="AG100:AK100"/>
    <mergeCell ref="AG107:AK107"/>
    <mergeCell ref="AG108:AK108"/>
    <mergeCell ref="AG110:AK110"/>
    <mergeCell ref="B92:Z92"/>
    <mergeCell ref="B109:Z109"/>
    <mergeCell ref="AB109:AF109"/>
    <mergeCell ref="AG109:AK109"/>
    <mergeCell ref="AL109:AP109"/>
    <mergeCell ref="AB98:AF98"/>
    <mergeCell ref="AB99:AF99"/>
    <mergeCell ref="AG98:AK98"/>
    <mergeCell ref="B103:Z103"/>
    <mergeCell ref="AB103:AF103"/>
    <mergeCell ref="AG103:AK103"/>
    <mergeCell ref="AL103:AP103"/>
    <mergeCell ref="B104:Z104"/>
    <mergeCell ref="AB104:AF104"/>
    <mergeCell ref="AG104:AK104"/>
    <mergeCell ref="AL104:AP104"/>
    <mergeCell ref="B105:Z105"/>
    <mergeCell ref="AB105:AF105"/>
    <mergeCell ref="AG105:AK105"/>
    <mergeCell ref="AL105:AP105"/>
    <mergeCell ref="B106:Z106"/>
    <mergeCell ref="AB106:AF106"/>
    <mergeCell ref="AG106:AK106"/>
    <mergeCell ref="AV31:BA31"/>
    <mergeCell ref="AV93:BA93"/>
    <mergeCell ref="AV94:BA94"/>
    <mergeCell ref="AV95:BA95"/>
    <mergeCell ref="AV96:BA96"/>
    <mergeCell ref="AV97:BA97"/>
    <mergeCell ref="AV98:BA98"/>
    <mergeCell ref="AV99:BA99"/>
    <mergeCell ref="AV100:BA100"/>
    <mergeCell ref="AV107:BA107"/>
    <mergeCell ref="AV108:BA108"/>
    <mergeCell ref="AQ111:AU111"/>
    <mergeCell ref="AQ112:AU112"/>
    <mergeCell ref="AQ113:AU113"/>
    <mergeCell ref="AQ98:AU98"/>
    <mergeCell ref="AV109:BA109"/>
    <mergeCell ref="AQ99:AU99"/>
    <mergeCell ref="AQ102:AU102"/>
    <mergeCell ref="AV102:BA102"/>
    <mergeCell ref="AQ103:AU103"/>
    <mergeCell ref="AV103:BA103"/>
    <mergeCell ref="AQ104:AU104"/>
    <mergeCell ref="AV104:BA104"/>
    <mergeCell ref="AQ105:AU105"/>
    <mergeCell ref="AV105:BA105"/>
    <mergeCell ref="AG77:AK77"/>
    <mergeCell ref="AL77:AP77"/>
    <mergeCell ref="AL93:AP93"/>
    <mergeCell ref="AL94:AP94"/>
    <mergeCell ref="AL95:AP95"/>
    <mergeCell ref="AL96:AP96"/>
    <mergeCell ref="AL97:AP97"/>
    <mergeCell ref="AL98:AP98"/>
    <mergeCell ref="Q119:Z119"/>
    <mergeCell ref="Q117:Z117"/>
    <mergeCell ref="J178:O179"/>
    <mergeCell ref="B161:BA162"/>
    <mergeCell ref="J215:O216"/>
    <mergeCell ref="C228:H230"/>
    <mergeCell ref="AA165:AD166"/>
    <mergeCell ref="J265:O266"/>
    <mergeCell ref="J277:O278"/>
    <mergeCell ref="AL99:AP99"/>
    <mergeCell ref="AL100:AP100"/>
    <mergeCell ref="AL107:AP107"/>
    <mergeCell ref="AB96:AF96"/>
    <mergeCell ref="AB97:AF97"/>
    <mergeCell ref="AG96:AK96"/>
    <mergeCell ref="AL108:AP108"/>
    <mergeCell ref="AL110:AP110"/>
    <mergeCell ref="AL111:AP111"/>
    <mergeCell ref="AL112:AP112"/>
    <mergeCell ref="AB113:AF113"/>
    <mergeCell ref="B95:Z95"/>
    <mergeCell ref="B94:Z94"/>
    <mergeCell ref="AB102:AF102"/>
    <mergeCell ref="AG102:AK102"/>
    <mergeCell ref="J385:O386"/>
    <mergeCell ref="J327:O328"/>
    <mergeCell ref="J414:O415"/>
    <mergeCell ref="Q414:T416"/>
    <mergeCell ref="V414:AA415"/>
    <mergeCell ref="AC414:BA416"/>
    <mergeCell ref="J182:O183"/>
    <mergeCell ref="AQ143:AU143"/>
    <mergeCell ref="AV143:BA143"/>
    <mergeCell ref="B144:Z144"/>
    <mergeCell ref="AB144:AF144"/>
    <mergeCell ref="AG144:AK144"/>
    <mergeCell ref="AL144:AP144"/>
    <mergeCell ref="AQ144:AU144"/>
    <mergeCell ref="AV144:BA144"/>
    <mergeCell ref="AB119:AF119"/>
    <mergeCell ref="AG119:AK119"/>
    <mergeCell ref="AG186:BA188"/>
    <mergeCell ref="C170:H172"/>
    <mergeCell ref="J170:BA172"/>
    <mergeCell ref="AL119:AP119"/>
    <mergeCell ref="AQ119:AU119"/>
    <mergeCell ref="AV119:BA119"/>
    <mergeCell ref="C232:H234"/>
    <mergeCell ref="C255:H255"/>
    <mergeCell ref="C257:H259"/>
    <mergeCell ref="J257:BA259"/>
    <mergeCell ref="C261:H263"/>
    <mergeCell ref="J261:BA263"/>
    <mergeCell ref="Q265:T267"/>
    <mergeCell ref="V265:AA266"/>
    <mergeCell ref="AC265:AF267"/>
    <mergeCell ref="Z447:AE448"/>
    <mergeCell ref="AG447:BA449"/>
    <mergeCell ref="J451:O452"/>
    <mergeCell ref="Q451:X453"/>
    <mergeCell ref="Z451:AE452"/>
    <mergeCell ref="AG451:BA456"/>
    <mergeCell ref="J472:O473"/>
    <mergeCell ref="C493:H495"/>
    <mergeCell ref="J493:BA495"/>
    <mergeCell ref="J497:O498"/>
    <mergeCell ref="J480:O481"/>
    <mergeCell ref="Q480:X482"/>
    <mergeCell ref="Z480:AE481"/>
    <mergeCell ref="AG480:BA485"/>
    <mergeCell ref="C487:H487"/>
    <mergeCell ref="C489:H491"/>
    <mergeCell ref="J489:BA491"/>
    <mergeCell ref="Q497:T499"/>
    <mergeCell ref="V497:AA498"/>
    <mergeCell ref="AC497:AF499"/>
    <mergeCell ref="C458:H458"/>
    <mergeCell ref="C460:H462"/>
    <mergeCell ref="J460:BA462"/>
    <mergeCell ref="C464:H466"/>
    <mergeCell ref="J464:BA466"/>
    <mergeCell ref="J468:O469"/>
    <mergeCell ref="J501:O502"/>
    <mergeCell ref="Q501:T503"/>
    <mergeCell ref="V501:AA502"/>
    <mergeCell ref="AC501:BA503"/>
    <mergeCell ref="J505:O506"/>
    <mergeCell ref="Q505:X507"/>
    <mergeCell ref="Z505:AE506"/>
    <mergeCell ref="AG505:BA507"/>
    <mergeCell ref="J509:O510"/>
    <mergeCell ref="Q509:X511"/>
    <mergeCell ref="Z509:AE510"/>
    <mergeCell ref="AG509:BA514"/>
    <mergeCell ref="C516:H516"/>
    <mergeCell ref="C518:H520"/>
    <mergeCell ref="J518:BA520"/>
    <mergeCell ref="J530:O531"/>
    <mergeCell ref="C522:H524"/>
    <mergeCell ref="J522:BA524"/>
    <mergeCell ref="J526:O527"/>
    <mergeCell ref="Q526:T528"/>
    <mergeCell ref="V526:AA527"/>
    <mergeCell ref="AC526:AF528"/>
    <mergeCell ref="Q530:T532"/>
    <mergeCell ref="V530:AA531"/>
    <mergeCell ref="AC530:BA532"/>
    <mergeCell ref="J580:BA582"/>
    <mergeCell ref="J596:O597"/>
    <mergeCell ref="J584:O585"/>
    <mergeCell ref="C609:H611"/>
    <mergeCell ref="J609:BA611"/>
    <mergeCell ref="Q584:T586"/>
    <mergeCell ref="V584:AA585"/>
    <mergeCell ref="AC584:AF586"/>
    <mergeCell ref="J588:O589"/>
    <mergeCell ref="Q588:T590"/>
    <mergeCell ref="V588:AA589"/>
    <mergeCell ref="AC588:BA590"/>
    <mergeCell ref="J592:O593"/>
    <mergeCell ref="Q592:X594"/>
    <mergeCell ref="Z592:AE593"/>
    <mergeCell ref="AG592:BA594"/>
    <mergeCell ref="Q596:X598"/>
    <mergeCell ref="Z596:AE597"/>
    <mergeCell ref="AG596:BA601"/>
    <mergeCell ref="C603:H603"/>
    <mergeCell ref="J733:O734"/>
    <mergeCell ref="Q733:T735"/>
    <mergeCell ref="V733:AA734"/>
    <mergeCell ref="AC733:BA735"/>
    <mergeCell ref="J737:O738"/>
    <mergeCell ref="Q737:X739"/>
    <mergeCell ref="Z737:AE738"/>
    <mergeCell ref="AG737:BA739"/>
    <mergeCell ref="J671:O672"/>
    <mergeCell ref="Q671:T673"/>
    <mergeCell ref="V671:AA672"/>
    <mergeCell ref="AC671:AF673"/>
    <mergeCell ref="J675:O676"/>
    <mergeCell ref="Q675:T677"/>
    <mergeCell ref="V675:AA676"/>
    <mergeCell ref="AC675:BA677"/>
    <mergeCell ref="J679:O680"/>
    <mergeCell ref="Q679:X681"/>
    <mergeCell ref="Z679:AE680"/>
    <mergeCell ref="AG679:BA681"/>
    <mergeCell ref="Q683:X685"/>
    <mergeCell ref="Z683:AE684"/>
    <mergeCell ref="AG683:BA688"/>
    <mergeCell ref="J886:O887"/>
    <mergeCell ref="J882:O883"/>
    <mergeCell ref="Q882:X884"/>
    <mergeCell ref="Z882:AE883"/>
    <mergeCell ref="AG882:BA884"/>
    <mergeCell ref="Q886:X888"/>
    <mergeCell ref="Z886:AE887"/>
    <mergeCell ref="AG886:BA891"/>
    <mergeCell ref="C893:H893"/>
    <mergeCell ref="C895:H897"/>
    <mergeCell ref="J895:BA897"/>
    <mergeCell ref="J911:O912"/>
    <mergeCell ref="C924:H926"/>
    <mergeCell ref="J924:BA926"/>
    <mergeCell ref="J961:O962"/>
    <mergeCell ref="C951:H951"/>
    <mergeCell ref="C953:H955"/>
    <mergeCell ref="J953:BA955"/>
    <mergeCell ref="C957:H959"/>
    <mergeCell ref="J957:BA959"/>
    <mergeCell ref="Q961:T963"/>
    <mergeCell ref="V961:AA962"/>
    <mergeCell ref="AC961:AF963"/>
    <mergeCell ref="C899:H901"/>
    <mergeCell ref="J899:BA901"/>
    <mergeCell ref="J903:O904"/>
    <mergeCell ref="Q903:T905"/>
    <mergeCell ref="V903:AA904"/>
    <mergeCell ref="AC903:AF905"/>
    <mergeCell ref="J907:O908"/>
    <mergeCell ref="Q907:T909"/>
    <mergeCell ref="V907:AA908"/>
    <mergeCell ref="J965:O966"/>
    <mergeCell ref="Q965:T967"/>
    <mergeCell ref="V965:AA966"/>
    <mergeCell ref="AC965:BA967"/>
    <mergeCell ref="J969:O970"/>
    <mergeCell ref="Q969:X971"/>
    <mergeCell ref="Z969:AE970"/>
    <mergeCell ref="AG969:BA971"/>
    <mergeCell ref="J973:O974"/>
    <mergeCell ref="Q973:X975"/>
    <mergeCell ref="J998:O999"/>
    <mergeCell ref="J1002:O1003"/>
    <mergeCell ref="Q1002:X1004"/>
    <mergeCell ref="Z1002:AE1003"/>
    <mergeCell ref="AG1002:BA1007"/>
    <mergeCell ref="C1009:H1009"/>
    <mergeCell ref="C1011:H1013"/>
    <mergeCell ref="J1011:BA1013"/>
    <mergeCell ref="J1255:O1256"/>
    <mergeCell ref="Q1255:T1257"/>
    <mergeCell ref="V1255:AA1256"/>
    <mergeCell ref="AC1255:BA1257"/>
    <mergeCell ref="J1259:O1260"/>
    <mergeCell ref="Q1259:X1261"/>
    <mergeCell ref="Z1259:AE1260"/>
    <mergeCell ref="AG1259:BA1261"/>
    <mergeCell ref="J1263:O1264"/>
    <mergeCell ref="Q1263:X1265"/>
    <mergeCell ref="J1292:O1293"/>
    <mergeCell ref="Q1292:X1294"/>
    <mergeCell ref="Z1292:AE1293"/>
    <mergeCell ref="AG1292:BA1297"/>
    <mergeCell ref="C1299:H1299"/>
    <mergeCell ref="C1301:H1303"/>
    <mergeCell ref="J1301:BA1303"/>
    <mergeCell ref="Z1263:AE1264"/>
    <mergeCell ref="AG1263:BA1268"/>
    <mergeCell ref="C1270:H1270"/>
    <mergeCell ref="C1272:H1274"/>
    <mergeCell ref="J1272:BA1274"/>
    <mergeCell ref="C1276:H1278"/>
    <mergeCell ref="J1276:BA1278"/>
    <mergeCell ref="J1280:O1281"/>
    <mergeCell ref="Q1280:T1282"/>
    <mergeCell ref="V1280:AA1281"/>
    <mergeCell ref="AC1280:AF1282"/>
    <mergeCell ref="J1284:O1285"/>
    <mergeCell ref="Q1284:T1286"/>
    <mergeCell ref="V1284:AA1285"/>
    <mergeCell ref="AC1284:BA1286"/>
    <mergeCell ref="J1429:O1430"/>
    <mergeCell ref="Q1429:T1431"/>
    <mergeCell ref="V1429:AA1430"/>
    <mergeCell ref="AC1429:BA1431"/>
    <mergeCell ref="J1433:O1434"/>
    <mergeCell ref="Q1433:X1435"/>
    <mergeCell ref="Z1433:AE1434"/>
    <mergeCell ref="AG1433:BA1435"/>
    <mergeCell ref="J1437:O1438"/>
    <mergeCell ref="Q1437:X1439"/>
    <mergeCell ref="Z1437:AE1438"/>
    <mergeCell ref="AG1437:BA1442"/>
    <mergeCell ref="C1305:H1307"/>
    <mergeCell ref="J1305:BA1307"/>
    <mergeCell ref="J1309:O1310"/>
    <mergeCell ref="Q1309:T1311"/>
    <mergeCell ref="C1334:H1336"/>
    <mergeCell ref="J1334:BA1336"/>
    <mergeCell ref="J1338:O1339"/>
    <mergeCell ref="Q1338:T1340"/>
    <mergeCell ref="V1338:AA1339"/>
    <mergeCell ref="AC1338:AF1340"/>
    <mergeCell ref="J1342:O1343"/>
    <mergeCell ref="Q1342:T1344"/>
    <mergeCell ref="V1342:AA1343"/>
    <mergeCell ref="AC1342:BA1344"/>
    <mergeCell ref="J1346:O1347"/>
    <mergeCell ref="Q1346:X1348"/>
    <mergeCell ref="Z1346:AE1347"/>
    <mergeCell ref="AG1346:BA1348"/>
    <mergeCell ref="C1328:H1328"/>
    <mergeCell ref="C1330:H1332"/>
  </mergeCells>
  <conditionalFormatting sqref="AE9">
    <cfRule type="cellIs" dxfId="325" priority="515" stopIfTrue="1" operator="notEqual">
      <formula>""</formula>
    </cfRule>
  </conditionalFormatting>
  <conditionalFormatting sqref="B122">
    <cfRule type="cellIs" dxfId="324" priority="514" stopIfTrue="1" operator="notEqual">
      <formula>""</formula>
    </cfRule>
  </conditionalFormatting>
  <conditionalFormatting sqref="J170:BA172 J174:BA176 Q178:T180 Q182:T184 Q186:X188 AC178:AF180 AC182:BA184">
    <cfRule type="expression" dxfId="323" priority="135">
      <formula>$AA$165&gt;=1</formula>
    </cfRule>
  </conditionalFormatting>
  <conditionalFormatting sqref="AG186:BA188 AG190:BA195">
    <cfRule type="expression" dxfId="322" priority="134">
      <formula>$J$174="52 Equipamentos e Material Permanente"</formula>
    </cfRule>
  </conditionalFormatting>
  <conditionalFormatting sqref="J199:BA201 J203:BA205 Q207:T209 Q211:T213 Q215:X217 Q219:X221 AC207:AF209 AC211:BA213">
    <cfRule type="expression" dxfId="321" priority="133">
      <formula>$AA$165&gt;=2</formula>
    </cfRule>
  </conditionalFormatting>
  <conditionalFormatting sqref="AG215:BA217 AG219:BA224">
    <cfRule type="expression" dxfId="320" priority="132">
      <formula>$J$203="52 Equipamentos e Material Permanente"</formula>
    </cfRule>
  </conditionalFormatting>
  <conditionalFormatting sqref="J228:BA230 J232:BA234 Q236:T238 Q240:T242 Q244:X246 Q248:X250 AC236:AF238 AC240:BA242">
    <cfRule type="expression" dxfId="319" priority="131">
      <formula>$AA$165&gt;=3</formula>
    </cfRule>
  </conditionalFormatting>
  <conditionalFormatting sqref="AG244:BA246 AG248:BA253">
    <cfRule type="expression" dxfId="318" priority="130">
      <formula>$J$232="52 Equipamentos e Material Permanente"</formula>
    </cfRule>
  </conditionalFormatting>
  <conditionalFormatting sqref="J257:BA259 J261:BA263 Q265:T267 Q269:T271 Q273:X275 Q277:X279 AC265:AF267 AC269:BA271">
    <cfRule type="expression" dxfId="317" priority="129">
      <formula>$AA$165&gt;=4</formula>
    </cfRule>
  </conditionalFormatting>
  <conditionalFormatting sqref="AG273:BA275 AG277:BA282">
    <cfRule type="expression" dxfId="316" priority="128">
      <formula>$J$261="52 Equipamentos e Material Permanente"</formula>
    </cfRule>
  </conditionalFormatting>
  <conditionalFormatting sqref="J286:BA288 J290:BA292 Q294:T296 Q298:T300 Q302:X304 Q306:X308 AC294:AF296 AC298:BA300">
    <cfRule type="expression" dxfId="315" priority="127">
      <formula>$AA$165&gt;=5</formula>
    </cfRule>
  </conditionalFormatting>
  <conditionalFormatting sqref="AG302:BA304 AG306:BA311">
    <cfRule type="expression" dxfId="314" priority="126">
      <formula>$J$290="52 Equipamentos e Material Permanente"</formula>
    </cfRule>
  </conditionalFormatting>
  <conditionalFormatting sqref="J315:BA317 J319:BA321 Q323:T325 Q327:T329 Q331:X333 Q335:X337 AC323:AF325 AC327:BA329">
    <cfRule type="expression" dxfId="313" priority="125">
      <formula>$AA$165&gt;=6</formula>
    </cfRule>
  </conditionalFormatting>
  <conditionalFormatting sqref="AG331:BA333 AG335:BA340">
    <cfRule type="expression" dxfId="312" priority="124">
      <formula>$J$319="52 Equipamentos e Material Permanente"</formula>
    </cfRule>
  </conditionalFormatting>
  <conditionalFormatting sqref="J344:BA346 J348:BA350 Q352:T354 Q356:T358 Q360:X362 Q364:X366 AC352:AF354 AC356:BA358">
    <cfRule type="expression" dxfId="311" priority="123">
      <formula>$AA$165&gt;=7</formula>
    </cfRule>
  </conditionalFormatting>
  <conditionalFormatting sqref="AG360:BA362 AG364:BA369">
    <cfRule type="expression" dxfId="310" priority="122">
      <formula>$J$348="52 Equipamentos e Material Permanente"</formula>
    </cfRule>
  </conditionalFormatting>
  <conditionalFormatting sqref="J373:BA375 J377:BA379 Q381:T383 Q385:T387 Q389:X391 Q393:X395 AC381:AF383 AC385:BA387">
    <cfRule type="expression" dxfId="309" priority="121">
      <formula>$AA$165&gt;=8</formula>
    </cfRule>
  </conditionalFormatting>
  <conditionalFormatting sqref="AG389:BA391 AG393:BA398">
    <cfRule type="expression" dxfId="308" priority="120">
      <formula>$J$377="52 Equipamentos e Material Permanente"</formula>
    </cfRule>
  </conditionalFormatting>
  <conditionalFormatting sqref="J402:BA404 J406:BA408 Q410:T412 Q414:T416 Q418:X420 Q422:X424 AC410:AF412 AC414:BA416">
    <cfRule type="expression" dxfId="307" priority="119">
      <formula>$AA$165&gt;=9</formula>
    </cfRule>
  </conditionalFormatting>
  <conditionalFormatting sqref="AG418:BA420 AG422:BA427">
    <cfRule type="expression" dxfId="306" priority="118">
      <formula>$J$406="52 Equipamentos e Material Permanente"</formula>
    </cfRule>
  </conditionalFormatting>
  <conditionalFormatting sqref="J431:BA433 J435:BA437 Q439:T441 Q443:T445 Q447:X449 Q451:X453 AC439:AF441 AC443:BA445">
    <cfRule type="expression" dxfId="305" priority="117">
      <formula>$AA$165&gt;=10</formula>
    </cfRule>
  </conditionalFormatting>
  <conditionalFormatting sqref="AG447:BA449 AG451:BA456">
    <cfRule type="expression" dxfId="304" priority="116">
      <formula>$J$435="52 Equipamentos e Material Permanente"</formula>
    </cfRule>
  </conditionalFormatting>
  <conditionalFormatting sqref="J460:BA462 J464:BA466 Q468:T470 Q472:T474 Q476:X478 Q480:X482 AC468:AF470 AC472:BA474">
    <cfRule type="expression" dxfId="303" priority="115">
      <formula>$AA$165&gt;=11</formula>
    </cfRule>
  </conditionalFormatting>
  <conditionalFormatting sqref="AG476:BA478 AG480:BA485">
    <cfRule type="expression" dxfId="302" priority="114">
      <formula>$J$464="52 Equipamentos e Material Permanente"</formula>
    </cfRule>
  </conditionalFormatting>
  <conditionalFormatting sqref="J489:BA491 J493:BA495 Q497:T499 Q501:T503 Q505:X507 Q509:X511 AC497:AF499 AC501:BA503">
    <cfRule type="expression" dxfId="301" priority="113">
      <formula>$AA$165&gt;=12</formula>
    </cfRule>
  </conditionalFormatting>
  <conditionalFormatting sqref="AG505:BA507 AG509:BA514">
    <cfRule type="expression" dxfId="300" priority="112">
      <formula>$J$493="52 Equipamentos e Material Permanente"</formula>
    </cfRule>
  </conditionalFormatting>
  <conditionalFormatting sqref="J518:BA520 J522:BA524 Q526:T528 Q530:T532 Q534:X536 Q538:X540 AC526:AF528 AC530:BA532">
    <cfRule type="expression" dxfId="299" priority="111">
      <formula>$AA$165&gt;=13</formula>
    </cfRule>
  </conditionalFormatting>
  <conditionalFormatting sqref="AG534:BA536 AG538:BA543">
    <cfRule type="expression" dxfId="298" priority="110">
      <formula>$J$522="52 Equipamentos e Material Permanente"</formula>
    </cfRule>
  </conditionalFormatting>
  <conditionalFormatting sqref="J547:BA549 J551:BA553 Q555:T557 Q559:T561 Q563:X565 Q567:X569 AC555:AF557 AC559:BA561">
    <cfRule type="expression" dxfId="297" priority="109">
      <formula>$AA$165&gt;=14</formula>
    </cfRule>
  </conditionalFormatting>
  <conditionalFormatting sqref="AG563:BA565 AG567:BA572">
    <cfRule type="expression" dxfId="296" priority="108">
      <formula>$J$551="52 Equipamentos e Material Permanente"</formula>
    </cfRule>
  </conditionalFormatting>
  <conditionalFormatting sqref="J576:BA578 J580:BA582 Q584:T586 Q588:T590 Q592:X594 Q596:X598 AC584:AF586 AC588:BA590">
    <cfRule type="expression" dxfId="295" priority="107">
      <formula>$AA$165&gt;=15</formula>
    </cfRule>
  </conditionalFormatting>
  <conditionalFormatting sqref="AG592:BA594 AG596:BA601">
    <cfRule type="expression" dxfId="294" priority="106">
      <formula>$J$580="52 Equipamentos e Material Permanente"</formula>
    </cfRule>
  </conditionalFormatting>
  <conditionalFormatting sqref="J605:BA607 J609:BA611 Q613:T615 Q617:T619 Q621:X623 Q625:X627 AC613:AF615 AC617:BA619">
    <cfRule type="expression" dxfId="293" priority="105">
      <formula>$AA$165&gt;=16</formula>
    </cfRule>
  </conditionalFormatting>
  <conditionalFormatting sqref="AG621:BA623 AG625:BA630">
    <cfRule type="expression" dxfId="292" priority="104">
      <formula>$J$609="52 Equipamentos e Material Permanente"</formula>
    </cfRule>
  </conditionalFormatting>
  <conditionalFormatting sqref="J634:BA636 J638:BA640 Q642:T644 Q646:T648 Q650:X652 Q654:X656 AC642:AF644 AC646:BA648">
    <cfRule type="expression" dxfId="291" priority="103">
      <formula>$AA$165&gt;=17</formula>
    </cfRule>
  </conditionalFormatting>
  <conditionalFormatting sqref="AG650:BA652 AG654:BA659">
    <cfRule type="expression" dxfId="290" priority="102">
      <formula>$J$638="52 Equipamentos e Material Permanente"</formula>
    </cfRule>
  </conditionalFormatting>
  <conditionalFormatting sqref="J663:BA665 J667:BA669 Q671:T673 Q675:T677 Q679:X681 Q683:X685 AC671:AF673 AC675:BA677">
    <cfRule type="expression" dxfId="289" priority="101">
      <formula>$AA$165&gt;=18</formula>
    </cfRule>
  </conditionalFormatting>
  <conditionalFormatting sqref="AG679:BA681 AG683:BA688">
    <cfRule type="expression" dxfId="288" priority="100">
      <formula>$J$667="52 Equipamentos e Material Permanente"</formula>
    </cfRule>
  </conditionalFormatting>
  <conditionalFormatting sqref="J692:BA694 J696:BA698 Q700:T702 Q704:T706 Q708:X710 Q712:X714 AC700:AF702 AC704:BA706">
    <cfRule type="expression" dxfId="287" priority="99">
      <formula>$AA$165&gt;=19</formula>
    </cfRule>
  </conditionalFormatting>
  <conditionalFormatting sqref="AG708:BA710 AG712:BA717">
    <cfRule type="expression" dxfId="286" priority="98">
      <formula>$J$696="52 Equipamentos e Material Permanente"</formula>
    </cfRule>
  </conditionalFormatting>
  <conditionalFormatting sqref="J721:BA723 J725:BA727 Q729:T731 Q733:T735 Q737:X739 Q741:X743 AC729:AF731 AC733:BA735">
    <cfRule type="expression" dxfId="285" priority="97">
      <formula>$AA$165&gt;=20</formula>
    </cfRule>
  </conditionalFormatting>
  <conditionalFormatting sqref="AG737:BA739 AG741:BA746">
    <cfRule type="expression" dxfId="284" priority="96">
      <formula>$J$725="52 Equipamentos e Material Permanente"</formula>
    </cfRule>
  </conditionalFormatting>
  <conditionalFormatting sqref="J750:BA752 J754:BA756 Q758:T760 Q762:T764 Q766:X768 Q770:X772 AC758:AF760 AC762:BA764">
    <cfRule type="expression" dxfId="283" priority="95">
      <formula>$AA$165&gt;=21</formula>
    </cfRule>
  </conditionalFormatting>
  <conditionalFormatting sqref="AG766:BA768 AG770:BA775">
    <cfRule type="expression" dxfId="282" priority="94">
      <formula>$J$754="52 Equipamentos e Material Permanente"</formula>
    </cfRule>
  </conditionalFormatting>
  <conditionalFormatting sqref="J779:BA781 J783:BA785 Q787:T789 Q791:T793 Q795:X797 Q799:X801 AC787:AF789 AC791:BA793">
    <cfRule type="expression" dxfId="281" priority="93">
      <formula>$AA$165&gt;=22</formula>
    </cfRule>
  </conditionalFormatting>
  <conditionalFormatting sqref="AG795:BA797 AG799:BA804">
    <cfRule type="expression" dxfId="280" priority="92">
      <formula>$J$783="52 Equipamentos e Material Permanente"</formula>
    </cfRule>
  </conditionalFormatting>
  <conditionalFormatting sqref="J808:BA810 J812:BA814 Q816:T818 Q820:T822 Q824:X826 Q828:X830 AC816:AF818 AC820:BA822">
    <cfRule type="expression" dxfId="279" priority="91">
      <formula>$AA$165&gt;=23</formula>
    </cfRule>
  </conditionalFormatting>
  <conditionalFormatting sqref="AG824:BA826 AG828:BA833">
    <cfRule type="expression" dxfId="278" priority="90">
      <formula>$J$812="52 Equipamentos e Material Permanente"</formula>
    </cfRule>
  </conditionalFormatting>
  <conditionalFormatting sqref="J837:BA839 J841:BA843 Q845:T847 Q849:T851 Q853:X855 Q857:X859 AC845:AF847 AC849:BA851">
    <cfRule type="expression" dxfId="277" priority="89">
      <formula>$AA$165&gt;=24</formula>
    </cfRule>
  </conditionalFormatting>
  <conditionalFormatting sqref="AG853:BA855 AG857:BA862">
    <cfRule type="expression" dxfId="276" priority="88">
      <formula>$J$841="52 Equipamentos e Material Permanente"</formula>
    </cfRule>
  </conditionalFormatting>
  <conditionalFormatting sqref="J866:BA868 J870:BA872 Q874:T876 Q878:T880 Q882:X884 Q886:X888 AC874:AF876 AC878:BA880">
    <cfRule type="expression" dxfId="275" priority="87">
      <formula>$AA$165&gt;=25</formula>
    </cfRule>
  </conditionalFormatting>
  <conditionalFormatting sqref="AG882:BA884 AG886:BA891">
    <cfRule type="expression" dxfId="274" priority="86">
      <formula>$J$870="52 Equipamentos e Material Permanente"</formula>
    </cfRule>
  </conditionalFormatting>
  <conditionalFormatting sqref="J895:BA897 J899:BA901 Q903:T905 Q907:T909 Q911:X913 Q915:X917 AC903:AF905 AC907:BA909">
    <cfRule type="expression" dxfId="273" priority="85">
      <formula>$AA$165&gt;=26</formula>
    </cfRule>
  </conditionalFormatting>
  <conditionalFormatting sqref="AG911:BA913 AG915:BA920">
    <cfRule type="expression" dxfId="272" priority="84">
      <formula>$J$899="52 Equipamentos e Material Permanente"</formula>
    </cfRule>
  </conditionalFormatting>
  <conditionalFormatting sqref="J924:BA926 J928:BA930 Q932:T934 Q936:T938 Q940:X942 Q944:X946 AC932:AF934 AC936:BA938">
    <cfRule type="expression" dxfId="271" priority="83">
      <formula>$AA$165&gt;=27</formula>
    </cfRule>
  </conditionalFormatting>
  <conditionalFormatting sqref="AG940:BA942 AG944:BA949">
    <cfRule type="expression" dxfId="270" priority="82">
      <formula>$J$928="52 Equipamentos e Material Permanente"</formula>
    </cfRule>
  </conditionalFormatting>
  <conditionalFormatting sqref="J953:BA955 J957:BA959 Q961:T963 Q965:T967 Q969:X971 Q973:X975 AC961:AF963 AC965:BA967">
    <cfRule type="expression" dxfId="269" priority="81">
      <formula>$AA$165&gt;=28</formula>
    </cfRule>
  </conditionalFormatting>
  <conditionalFormatting sqref="AG969:BA971 AG973:BA978">
    <cfRule type="expression" dxfId="268" priority="80">
      <formula>$J$957="52 Equipamentos e Material Permanente"</formula>
    </cfRule>
  </conditionalFormatting>
  <conditionalFormatting sqref="J982:BA984 J986:BA988 Q990:T992 Q994:T996 Q998:X1000 Q1002:X1004 AC990:AF992 AC994:BA996">
    <cfRule type="expression" dxfId="267" priority="79">
      <formula>$AA$165&gt;=29</formula>
    </cfRule>
  </conditionalFormatting>
  <conditionalFormatting sqref="AG998:BA1000 AG1002:BA1007">
    <cfRule type="expression" dxfId="266" priority="78">
      <formula>$J$986="52 Equipamentos e Material Permanente"</formula>
    </cfRule>
  </conditionalFormatting>
  <conditionalFormatting sqref="J1011:BA1013 J1015:BA1017 Q1019:T1021 Q1023:T1025 Q1027:X1029 Q1031:X1033 AC1019:AF1021 AC1023:BA1025">
    <cfRule type="expression" dxfId="265" priority="77">
      <formula>$AA$165&gt;=30</formula>
    </cfRule>
  </conditionalFormatting>
  <conditionalFormatting sqref="AG1027:BA1029 AG1031:BA1036">
    <cfRule type="expression" dxfId="264" priority="76">
      <formula>$J$1015="52 Equipamentos e Material Permanente"</formula>
    </cfRule>
  </conditionalFormatting>
  <conditionalFormatting sqref="J1040:BA1042 J1044:BA1046 Q1048:T1050 Q1052:T1054 Q1056:X1058 Q1060:X1062 AC1048:AF1050 AC1052:BA1054">
    <cfRule type="expression" dxfId="263" priority="75">
      <formula>$AA$165&gt;=31</formula>
    </cfRule>
  </conditionalFormatting>
  <conditionalFormatting sqref="AG1056:BA1058 AG1060:BA1065">
    <cfRule type="expression" dxfId="262" priority="74">
      <formula>$J$1044="52 Equipamentos e Material Permanente"</formula>
    </cfRule>
  </conditionalFormatting>
  <conditionalFormatting sqref="J1069:BA1071 J1073:BA1075 Q1077:T1079 Q1081:T1083 Q1085:X1087 Q1089:X1091 AC1077:AF1079 AC1081:BA1083">
    <cfRule type="expression" dxfId="261" priority="73">
      <formula>$AA$165&gt;=32</formula>
    </cfRule>
  </conditionalFormatting>
  <conditionalFormatting sqref="AG1085:BA1087 AG1089:BA1094">
    <cfRule type="expression" dxfId="260" priority="72">
      <formula>$J$1073="52 Equipamentos e Material Permanente"</formula>
    </cfRule>
  </conditionalFormatting>
  <conditionalFormatting sqref="J1098:BA1100 J1102:BA1104 Q1106:T1108 Q1110:T1112 Q1114:X1116 Q1118:X1120 AC1106:AF1108 AC1110:BA1112">
    <cfRule type="expression" dxfId="259" priority="71">
      <formula>$AA$165&gt;=33</formula>
    </cfRule>
  </conditionalFormatting>
  <conditionalFormatting sqref="AG1114:BA1116 AG1118:BA1123">
    <cfRule type="expression" dxfId="258" priority="70">
      <formula>$J$1102="52 Equipamentos e Material Permanente"</formula>
    </cfRule>
  </conditionalFormatting>
  <conditionalFormatting sqref="J1127:BA1129 J1131:BA1133 Q1135:T1137 Q1139:T1141 Q1143:X1145 Q1147:X1149 AC1135:AF1137 AC1139:BA1141">
    <cfRule type="expression" dxfId="257" priority="69">
      <formula>$AA$165&gt;=34</formula>
    </cfRule>
  </conditionalFormatting>
  <conditionalFormatting sqref="AG1143:BA1145 AG1147:BA1152">
    <cfRule type="expression" dxfId="256" priority="68">
      <formula>$J$1131="52 Equipamentos e Material Permanente"</formula>
    </cfRule>
  </conditionalFormatting>
  <conditionalFormatting sqref="J1156:BA1158 J1160:BA1162 Q1164:T1166 Q1168:T1170 Q1172:X1174 Q1176:X1178 AC1164:AF1166 AC1168:BA1170">
    <cfRule type="expression" dxfId="255" priority="67">
      <formula>$AA$165&gt;=35</formula>
    </cfRule>
  </conditionalFormatting>
  <conditionalFormatting sqref="AG1172:BA1174 AG1176:BA1181">
    <cfRule type="expression" dxfId="254" priority="66">
      <formula>$J$1160="52 Equipamentos e Material Permanente"</formula>
    </cfRule>
  </conditionalFormatting>
  <conditionalFormatting sqref="J1185:BA1187 J1189:BA1191 Q1193:T1195 Q1197:T1199 Q1201:X1203 Q1205:X1207 AC1193:AF1195 AC1197:BA1199">
    <cfRule type="expression" dxfId="253" priority="65">
      <formula>$AA$165&gt;=36</formula>
    </cfRule>
  </conditionalFormatting>
  <conditionalFormatting sqref="AG1201:BA1203 AG1205:BA1210">
    <cfRule type="expression" dxfId="252" priority="64">
      <formula>$J$1189="52 Equipamentos e Material Permanente"</formula>
    </cfRule>
  </conditionalFormatting>
  <conditionalFormatting sqref="J1214:BA1216 J1218:BA1220 Q1222:T1224 Q1226:T1228 Q1230:X1232 Q1234:X1236 AC1222:AF1224 AC1226:BA1228">
    <cfRule type="expression" dxfId="251" priority="63">
      <formula>$AA$165&gt;=37</formula>
    </cfRule>
  </conditionalFormatting>
  <conditionalFormatting sqref="AG1230:BA1232 AG1234:BA1239">
    <cfRule type="expression" dxfId="250" priority="62">
      <formula>$J$1218="52 Equipamentos e Material Permanente"</formula>
    </cfRule>
  </conditionalFormatting>
  <conditionalFormatting sqref="J1243:BA1245 J1247:BA1249 Q1251:T1253 Q1255:T1257 Q1259:X1261 Q1263:X1265 AC1251:AF1253 AC1255:BA1257">
    <cfRule type="expression" dxfId="249" priority="61">
      <formula>$AA$165&gt;=38</formula>
    </cfRule>
  </conditionalFormatting>
  <conditionalFormatting sqref="AG1259:BA1261 AG1263:BA1268">
    <cfRule type="expression" dxfId="248" priority="60">
      <formula>$J$1247="52 Equipamentos e Material Permanente"</formula>
    </cfRule>
  </conditionalFormatting>
  <conditionalFormatting sqref="J1272:BA1274 J1276:BA1278 Q1280:T1282 Q1284:T1286 Q1288:X1290 Q1292:X1294 AC1280:AF1282 AC1284:BA1286">
    <cfRule type="expression" dxfId="247" priority="59">
      <formula>$AA$165&gt;=39</formula>
    </cfRule>
  </conditionalFormatting>
  <conditionalFormatting sqref="AG1288:BA1290 AG1292:BA1297">
    <cfRule type="expression" dxfId="246" priority="58">
      <formula>$J$1276="52 Equipamentos e Material Permanente"</formula>
    </cfRule>
  </conditionalFormatting>
  <conditionalFormatting sqref="J1301:BA1303 J1305:BA1307 Q1309:T1311 Q1313:T1315 Q1317:X1319 Q1321:X1323 AC1309:AF1311 AC1313:BA1315">
    <cfRule type="expression" dxfId="245" priority="57">
      <formula>$AA$165&gt;=40</formula>
    </cfRule>
  </conditionalFormatting>
  <conditionalFormatting sqref="AG1317:BA1319 AG1321:BA1326">
    <cfRule type="expression" dxfId="244" priority="56">
      <formula>$J$1305="52 Equipamentos e Material Permanente"</formula>
    </cfRule>
  </conditionalFormatting>
  <conditionalFormatting sqref="J1330:BA1332 J1334:BA1336 Q1338:T1340 Q1342:T1344 Q1346:X1348 Q1350:X1352 AC1338:AF1340 AC1342:BA1344">
    <cfRule type="expression" dxfId="243" priority="55">
      <formula>$AA$165&gt;=41</formula>
    </cfRule>
  </conditionalFormatting>
  <conditionalFormatting sqref="AG1346:BA1348 AG1350:BA1355">
    <cfRule type="expression" dxfId="242" priority="54">
      <formula>$J$1334="52 Equipamentos e Material Permanente"</formula>
    </cfRule>
  </conditionalFormatting>
  <conditionalFormatting sqref="J1359:BA1361 J1363:BA1365 Q1367:T1369 Q1371:T1373 Q1375:X1377 Q1379:X1381 AC1367:AF1369 AC1371:BA1373">
    <cfRule type="expression" dxfId="241" priority="53">
      <formula>$AA$165&gt;=42</formula>
    </cfRule>
  </conditionalFormatting>
  <conditionalFormatting sqref="AG1375:BA1377 AG1379:BA1384">
    <cfRule type="expression" dxfId="240" priority="52">
      <formula>$J$1363="52 Equipamentos e Material Permanente"</formula>
    </cfRule>
  </conditionalFormatting>
  <conditionalFormatting sqref="J1388:BA1390 J1392:BA1394 Q1396:T1398 Q1400:T1402 Q1404:X1406 Q1408:X1410 AC1396:AF1398 AC1400:BA1402">
    <cfRule type="expression" dxfId="239" priority="51">
      <formula>$AA$165&gt;=43</formula>
    </cfRule>
  </conditionalFormatting>
  <conditionalFormatting sqref="AG1404:BA1406 AG1408:BA1413">
    <cfRule type="expression" dxfId="238" priority="50">
      <formula>$J$1392="52 Equipamentos e Material Permanente"</formula>
    </cfRule>
  </conditionalFormatting>
  <conditionalFormatting sqref="J1417:BA1419 J1421:BA1423 Q1425:T1427 Q1429:T1431 Q1433:X1435 Q1437:X1439 AC1425:AF1427 AC1429:BA1431">
    <cfRule type="expression" dxfId="237" priority="49">
      <formula>$AA$165&gt;=44</formula>
    </cfRule>
  </conditionalFormatting>
  <conditionalFormatting sqref="AG1433:BA1435 AG1437:BA1442">
    <cfRule type="expression" dxfId="236" priority="48">
      <formula>$J$1421="52 Equipamentos e Material Permanente"</formula>
    </cfRule>
  </conditionalFormatting>
  <conditionalFormatting sqref="J1446:BA1448 J1450:BA1452 Q1454:T1456 Q1458:T1460 Q1462:X1464 Q1466:X1468 AC1454:AF1456 AC1458:BA1460">
    <cfRule type="expression" dxfId="235" priority="47">
      <formula>$AA$165&gt;=45</formula>
    </cfRule>
  </conditionalFormatting>
  <conditionalFormatting sqref="AG1462:BA1464 AG1466:BA1471">
    <cfRule type="expression" dxfId="234" priority="46">
      <formula>$J$1450="52 Equipamentos e Material Permanente"</formula>
    </cfRule>
  </conditionalFormatting>
  <conditionalFormatting sqref="J1475:BA1477 J1479:BA1481 Q1483:T1485 Q1487:T1489 Q1491:X1493 Q1495:X1497 AC1483:AF1485 AC1487:BA1489">
    <cfRule type="expression" dxfId="233" priority="45">
      <formula>$AA$165&gt;=46</formula>
    </cfRule>
  </conditionalFormatting>
  <conditionalFormatting sqref="AG1491:BA1493 AG1495:BA1500">
    <cfRule type="expression" dxfId="232" priority="44">
      <formula>$J$1479="52 Equipamentos e Material Permanente"</formula>
    </cfRule>
  </conditionalFormatting>
  <conditionalFormatting sqref="J1504:BA1506 J1508:BA1510 Q1512:T1514 Q1516:T1518 Q1520:X1522 Q1524:X1526 AC1512:AF1514 AC1516:BA1518">
    <cfRule type="expression" dxfId="231" priority="43">
      <formula>$AA$165&gt;=47</formula>
    </cfRule>
  </conditionalFormatting>
  <conditionalFormatting sqref="AG1520:BA1522 AG1524:BA1529">
    <cfRule type="expression" dxfId="230" priority="42">
      <formula>$J$1508="52 Equipamentos e Material Permanente"</formula>
    </cfRule>
  </conditionalFormatting>
  <conditionalFormatting sqref="J1533:BA1535 J1537:BA1539 Q1541:T1543 Q1545:T1547 Q1549:X1551 Q1553:X1555 AC1541:AF1543 AC1545:BA1547">
    <cfRule type="expression" dxfId="229" priority="41">
      <formula>$AA$165&gt;=48</formula>
    </cfRule>
  </conditionalFormatting>
  <conditionalFormatting sqref="AG1549:BA1551 AG1553:BA1558">
    <cfRule type="expression" dxfId="228" priority="40">
      <formula>$J$1537="52 Equipamentos e Material Permanente"</formula>
    </cfRule>
  </conditionalFormatting>
  <conditionalFormatting sqref="J1562:BA1564 J1566:BA1568 Q1570:T1572 Q1574:T1576 Q1578:X1580 Q1582:X1584 AC1570:AF1572 AC1574:BA1576">
    <cfRule type="expression" dxfId="227" priority="39">
      <formula>$AA$165&gt;=49</formula>
    </cfRule>
  </conditionalFormatting>
  <conditionalFormatting sqref="AG1578:BA1580 AG1582:BA1587">
    <cfRule type="expression" dxfId="226" priority="38">
      <formula>$J$1566="52 Equipamentos e Material Permanente"</formula>
    </cfRule>
  </conditionalFormatting>
  <conditionalFormatting sqref="J1591:BA1593 J1595:BA1597 Q1599:T1601 Q1603:T1605 Q1607:X1609 Q1611:X1613 AC1599:AF1601 AC1603:BA1605">
    <cfRule type="expression" dxfId="225" priority="37">
      <formula>$AA$165&gt;=50</formula>
    </cfRule>
  </conditionalFormatting>
  <conditionalFormatting sqref="AG1607:BA1609 AG1611:BA1616">
    <cfRule type="expression" dxfId="224" priority="36">
      <formula>$J$1595="52 Equipamentos e Material Permanente"</formula>
    </cfRule>
  </conditionalFormatting>
  <conditionalFormatting sqref="AV31:BA31">
    <cfRule type="expression" dxfId="223" priority="29">
      <formula>SUM(AB31:AU31)=AV31</formula>
    </cfRule>
  </conditionalFormatting>
  <conditionalFormatting sqref="AV32:BA32">
    <cfRule type="expression" dxfId="222" priority="28">
      <formula>SUM(AB32:AU32)=AV32</formula>
    </cfRule>
  </conditionalFormatting>
  <conditionalFormatting sqref="AV33:BA33">
    <cfRule type="expression" dxfId="221" priority="27">
      <formula>SUM(AB33:AU33)=AV33</formula>
    </cfRule>
  </conditionalFormatting>
  <conditionalFormatting sqref="AV34:BA34">
    <cfRule type="expression" dxfId="220" priority="26">
      <formula>SUM(AB34:AU34)=AV34</formula>
    </cfRule>
  </conditionalFormatting>
  <conditionalFormatting sqref="AV35:BA35">
    <cfRule type="expression" dxfId="219" priority="25">
      <formula>SUM(AB35:AU35)=AV35</formula>
    </cfRule>
  </conditionalFormatting>
  <conditionalFormatting sqref="AV36:BA36">
    <cfRule type="expression" dxfId="218" priority="24">
      <formula>SUM(AB36:AU36)=AV36</formula>
    </cfRule>
  </conditionalFormatting>
  <conditionalFormatting sqref="AV37:BA37">
    <cfRule type="expression" dxfId="217" priority="23">
      <formula>SUM(AB37:AU37)=AV37</formula>
    </cfRule>
  </conditionalFormatting>
  <conditionalFormatting sqref="AV38:BA38">
    <cfRule type="expression" dxfId="216" priority="22">
      <formula>SUM(AB38:AU38)=AV38</formula>
    </cfRule>
  </conditionalFormatting>
  <conditionalFormatting sqref="AV39:BA39">
    <cfRule type="expression" dxfId="215" priority="21">
      <formula>SUM(AB39:AU39)=AV39</formula>
    </cfRule>
  </conditionalFormatting>
  <conditionalFormatting sqref="AV40:BA40">
    <cfRule type="expression" dxfId="214" priority="20">
      <formula>SUM(AB40:AU40)=AV40</formula>
    </cfRule>
  </conditionalFormatting>
  <conditionalFormatting sqref="AV41:BA41">
    <cfRule type="expression" dxfId="213" priority="19">
      <formula>SUM(AB41:AU41)=AV41</formula>
    </cfRule>
  </conditionalFormatting>
  <conditionalFormatting sqref="AV42:BA42">
    <cfRule type="expression" dxfId="212" priority="18">
      <formula>SUM(AB42:AU42)=AV42</formula>
    </cfRule>
  </conditionalFormatting>
  <conditionalFormatting sqref="AV43:BA43">
    <cfRule type="expression" dxfId="211" priority="17">
      <formula>SUM(AB43:AU43)=AV43</formula>
    </cfRule>
  </conditionalFormatting>
  <conditionalFormatting sqref="AV44:BA44">
    <cfRule type="expression" dxfId="210" priority="16">
      <formula>SUM(AB44:AU44)=AV44</formula>
    </cfRule>
  </conditionalFormatting>
  <conditionalFormatting sqref="AV45:BA45">
    <cfRule type="expression" dxfId="209" priority="15">
      <formula>SUM(AB45:AU45)=AV45</formula>
    </cfRule>
  </conditionalFormatting>
  <conditionalFormatting sqref="AV46:BA46">
    <cfRule type="expression" dxfId="208" priority="14">
      <formula>SUM(AB46:AU46)=AV46</formula>
    </cfRule>
  </conditionalFormatting>
  <conditionalFormatting sqref="AV47:BA47">
    <cfRule type="expression" dxfId="207" priority="13">
      <formula>SUM(AB47:AU47)=AV47</formula>
    </cfRule>
  </conditionalFormatting>
  <conditionalFormatting sqref="AV48:BA48">
    <cfRule type="expression" dxfId="206" priority="12">
      <formula>SUM(AB48:AU48)=AV48</formula>
    </cfRule>
  </conditionalFormatting>
  <conditionalFormatting sqref="AV49:BA49">
    <cfRule type="expression" dxfId="205" priority="11">
      <formula>SUM(AB49:AU49)=AV49</formula>
    </cfRule>
  </conditionalFormatting>
  <conditionalFormatting sqref="AV50:BA113">
    <cfRule type="expression" dxfId="204" priority="10">
      <formula>SUM(AB50:AU50)=AV50</formula>
    </cfRule>
  </conditionalFormatting>
  <conditionalFormatting sqref="B129">
    <cfRule type="cellIs" dxfId="203" priority="4" stopIfTrue="1" operator="notEqual">
      <formula>""</formula>
    </cfRule>
  </conditionalFormatting>
  <conditionalFormatting sqref="B154">
    <cfRule type="cellIs" dxfId="202" priority="3" stopIfTrue="1" operator="notEqual">
      <formula>""</formula>
    </cfRule>
  </conditionalFormatting>
  <conditionalFormatting sqref="AV141:BA145">
    <cfRule type="cellIs" dxfId="201" priority="2" operator="equal">
      <formula>"Valor Maior"</formula>
    </cfRule>
  </conditionalFormatting>
  <conditionalFormatting sqref="Q190:X192">
    <cfRule type="expression" dxfId="200" priority="1">
      <formula>$AA$165&gt;=2</formula>
    </cfRule>
  </conditionalFormatting>
  <dataValidations count="8">
    <dataValidation type="decimal" allowBlank="1" showInputMessage="1" showErrorMessage="1" errorTitle="Campo preenchido incorretamente" error="Insira apenas números!" sqref="AA12:AC13 AA15:AC16" xr:uid="{00000000-0002-0000-0200-000000000000}">
      <formula1>0</formula1>
      <formula2>1000000000000</formula2>
    </dataValidation>
    <dataValidation type="list" allowBlank="1" showInputMessage="1" showErrorMessage="1" sqref="AC178 Q178 AC207 Q207 AC236 Q236 AC265 Q265 AC294 Q294 AC323 Q323 AC352 Q352 AC381 Q381 AC410 Q410 AC439 Q439 AC468 Q468 AC497 Q497 AC526 Q526 AC555 Q555 AC584 Q584 AC613 Q613 AC642 Q642 AC671 Q671 AC700 Q700 AC729 Q729 AC758 Q758 AC787 Q787 AC816 Q816 AC845 Q845 AC874 Q874 AC903 Q903 AC932 Q932 AC961 Q961 AC990 Q990 AC1019 Q1019 AC1048 Q1048 AC1077 Q1077 AC1106 Q1106 AC1135 Q1135 AC1164 Q1164 AC1193 Q1193 AC1222 Q1222 AC1251 Q1251 AC1280 Q1280 AC1309 Q1309 AC1338 Q1338 AC1367 Q1367 AC1396 Q1396 AC1425 Q1425 AC1454 Q1454 AC1483 Q1483 AC1512 Q1512 AC1541 Q1541 AC1570 Q1570 AC1599 Q1599" xr:uid="{00000000-0002-0000-0200-000002000000}">
      <formula1>"1,2,3,4,5"</formula1>
    </dataValidation>
    <dataValidation type="whole" allowBlank="1" showInputMessage="1" showErrorMessage="1" prompt="Insira um número entre 1 e 50" sqref="AA165:AD166" xr:uid="{7F0B3A75-D04F-4FD2-AE4A-C0606A4F961B}">
      <formula1>1</formula1>
      <formula2>50</formula2>
    </dataValidation>
    <dataValidation type="whole" allowBlank="1" showInputMessage="1" showErrorMessage="1" sqref="Q182:T184 Q190 Q1611 Q211:T213 Q1342:T1344 Q219 Q240:T242 Q1234 Q248 Q269:T271 Q1350 Q277 Q298:T300 Q1371:T1373 Q306 Q327:T329 Q1255:T1257 Q335 Q356:T358 Q1379 Q364 Q385:T387 Q1400:T1402 Q393 Q414:T416 Q1205 Q422 Q443:T445 Q1408 Q451 Q472:T474 Q1429:T1431 Q480 Q501:T503 Q1263 Q509 Q530:T532 Q1437 Q538 Q559:T561 Q1458:T1460 Q567 Q588:T590 Q1284:T1286 Q596 Q617:T619 Q1466 Q625 Q646:T648 Q1487:T1489 Q654 Q675:T677 Q1226:T1228 Q683 Q704:T706 Q1495 Q712 Q733:T735 Q1516:T1518 Q741 Q762:T764 Q1292 Q770 Q791:T793 Q1524 Q799 Q820:T822 Q1545:T1547 Q828 Q849:T851 Q1313:T1315 Q857 Q878:T880 Q1553 Q886 Q907:T909 Q1574:T1576 Q915 Q936:T938 Q1197:T1199 Q944 Q965:T967 Q1582 Q973 Q994:T996 Q1603:T1605 Q1002 Q1023:T1025 Q1321 Q1031 Q1052:T1054 Q1176 Q1060 Q1081:T1083 Q1147 Q1089 Q1110:T1112 Q1168:T1170 Q1118 Q1139:T1141" xr:uid="{5ECC2DD7-50ED-4670-A623-DFF5494ABE33}">
      <formula1>1</formula1>
      <formula2>1000000000</formula2>
    </dataValidation>
    <dataValidation allowBlank="1" showInputMessage="1" showErrorMessage="1" prompt="Como o item de despesa é quantificado. _x000a_Exemplo: viagens, computadadores, dias de treinamento etc." sqref="AC182:BA184 AC211:BA213 AC240:BA242 AC269:BA271 AC298:BA300 AC327:BA329 AC356:BA358 AC385:BA387 AC414:BA416 AC443:BA445 AC472:BA474 AC501:BA503 AC530:BA532 AC559:BA561 AC588:BA590 AC617:BA619 AC646:BA648 AC675:BA677 AC704:BA706 AC733:BA735 AC762:BA764 AC791:BA793 AC820:BA822 AC849:BA851 AC878:BA880 AC907:BA909 AC936:BA938 AC965:BA967 AC994:BA996 AC1023:BA1025 AC1052:BA1054 AC1081:BA1083 AC1110:BA1112 AC1139:BA1141 AC1168:BA1170 AC1197:BA1199 AC1226:BA1228 AC1255:BA1257 AC1284:BA1286 AC1313:BA1315 AC1342:BA1344 AC1371:BA1373 AC1400:BA1402 AC1429:BA1431 AC1458:BA1460 AC1487:BA1489 AC1516:BA1518 AC1545:BA1547 AC1574:BA1576 AC1603:BA1605" xr:uid="{899194A7-CD3F-4878-87E8-0FD944D457FB}"/>
    <dataValidation allowBlank="1" showInputMessage="1" showErrorMessage="1" prompt="Utilize este campo para justificar a necessidade de aquisição do bem e insira uma proposta para autilização após o fim da parceria." sqref="AG190 AG219 AG248 AG277 AG306 AG335 AG364 AG393 AG422 AG451 AG480 AG509 AG538 AG567 AG596 AG625 AG654 AG683 AG712 AG741 AG770 AG799 AG828 AG857 AG886 AG915 AG944 AG973 AG1002 AG1031 AG1060 AG1089 AG1118 AG1147 AG1176 AG1205 AG1234 AG1263 AG1292 AG1321 AG1350 AG1379 AG1408 AG1437 AG1466 AG1495 AG1524 AG1553 AG1582 AG1611" xr:uid="{DEAF926C-72E3-4248-92FF-382DBEF02B6C}"/>
    <dataValidation type="list" allowBlank="1" showInputMessage="1" showErrorMessage="1" sqref="B141:Z145" xr:uid="{63248A1C-635C-4518-8CD1-3F1F888EBCC5}">
      <formula1>$B$31:$B$113</formula1>
    </dataValidation>
    <dataValidation type="decimal" allowBlank="1" showInputMessage="1" showErrorMessage="1" sqref="Q186:X188 Q215:X217 Q244:X246 Q273:X275 Q302:X304 Q331:X333 Q360:X362 Q389:X391 Q418:X420 Q447:X449 Q476:X478 Q505:X507 Q534:X536 Q563:X565 Q592:X594 Q621:X623 Q650:X652 Q679:X681 Q708:X710 Q737:X739 Q766:X768 Q795:X797 Q824:X826 Q853:X855 Q882:X884 Q911:X913 Q940:X942 Q969:X971 Q998:X1000 Q1027:X1029 Q1056:X1058 Q1085:X1087 Q1114:X1116 Q1143:X1145 Q1172:X1174 Q1201:X1203 Q1230:X1232 Q1259:X1261 Q1288:X1290 Q1317:X1319 Q1346:X1348 Q1375:X1377 Q1404:X1406 Q1433:X1435 Q1462:X1464 Q1491:X1493 Q1520:X1522 Q1549:X1551 Q1578:X1580 Q1607:X1609" xr:uid="{6A0BE5D1-5705-47FC-8795-A3A070965903}">
      <formula1>0</formula1>
      <formula2>1000000000</formula2>
    </dataValidation>
  </dataValidations>
  <hyperlinks>
    <hyperlink ref="B2:BA4" location="MENU!A1" display="ANEXO II - PLANO DE TRABALHO - FORMULÁRIO ORÇAMENTÁRIO" xr:uid="{86AEC7EB-A466-40C1-BC76-7A6585314A6C}"/>
  </hyperlinks>
  <pageMargins left="0.51181102362204722" right="0.51181102362204722" top="0.78740157480314965" bottom="0.78740157480314965" header="0.31496062992125984" footer="0.31496062992125984"/>
  <pageSetup paperSize="9" orientation="portrait" r:id="rId1"/>
  <rowBreaks count="18" manualBreakCount="18">
    <brk id="134" max="53" man="1"/>
    <brk id="195" max="53" man="1"/>
    <brk id="282" max="53" man="1"/>
    <brk id="369" max="53" man="1"/>
    <brk id="456" max="53" man="1"/>
    <brk id="543" max="53" man="1"/>
    <brk id="630" max="53" man="1"/>
    <brk id="717" max="53" man="1"/>
    <brk id="804" max="53" man="1"/>
    <brk id="891" max="53" man="1"/>
    <brk id="978" max="53" man="1"/>
    <brk id="1065" max="53" man="1"/>
    <brk id="1152" max="53" man="1"/>
    <brk id="1239" max="53" man="1"/>
    <brk id="1326" max="53" man="1"/>
    <brk id="1413" max="53" man="1"/>
    <brk id="1500" max="53" man="1"/>
    <brk id="1587" max="53" man="1"/>
  </rowBreaks>
  <ignoredErrors>
    <ignoredError sqref="N9:Z11 N12:Z14 N16:Z16 O15:Z15 C168 C429 C400 C371 C342 C313 C284 C255 C226 C197 C458 C487 C545 C574 C603 C632 C661 C690 C719 C1009 C980 C951 C922 C893 C864 C835 C806 C777 C748 C1589 C1560 C1531 C1502 C1473 C1444 C1415 C1386 C1357 C1328 C1299 C1270 C1241 C1212 C1183 C1154 C1125 C1096 C1067 C1038 Q1611 Q1582 Q1495 Q1466 Q1437 Q1234 Q1205 Q1321 Q1350 Q1408 Q1379 Q1553 Q1524 Q1176 Q1118 Q1147 Q1060 Q1089 Q1031 Q1002 Q973 Q944 Q915 Q886 Q857 Q828 Q799 Q770 Q741 Q712 Q683 Q654 Q625 Q596 Q567 Q538 C516 Q509 Q480 Q451 Q422 Q393 Q364 Q335 Q306 Q277 Q248 Q219 Q1292 Q19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ACAAC1-745A-498B-AFE7-1EF9016449C0}">
          <x14:formula1>
            <xm:f>'Elementos de Despesa'!$C$4:$C$86</xm:f>
          </x14:formula1>
          <xm:sqref>J174:BA176 J203:BA205 J232:BA234 J261:BA263 J290:BA292 J319:BA321 J348:BA350 J377:BA379 J406:BA408 J435:BA437 J464:BA466 J493:BA495 J522:BA524 J551:BA553 J580:BA582 J609:BA611 J638:BA640 J667:BA669 J696:BA698 J725:BA727 J754:BA756 J783:BA785 J812:BA814 J841:BA843 J870:BA872 J899:BA901 J928:BA930 J957:BA959 J986:BA988 J1015:BA1017 J1044:BA1046 J1073:BA1075 J1102:BA1104 J1131:BA1133 J1160:BA1162 J1189:BA1191 J1218:BA1220 J1247:BA1249 J1276:BA1278 J1305:BA1307 J1334:BA1336 J1363:BA1365 J1392:BA1394 J1421:BA1423 J1450:BA1452 J1479:BA1481 J1508:BA1510 J1537:BA1539 J1566:BA1568 J1595:BA1597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D68B-A135-4BB0-8562-22CBFA21E49F}">
  <sheetPr>
    <tabColor theme="7" tint="0.59999389629810485"/>
  </sheetPr>
  <dimension ref="A1:FW3797"/>
  <sheetViews>
    <sheetView showGridLines="0" showRowColHeaders="0" zoomScaleNormal="100" zoomScaleSheetLayoutView="100" workbookViewId="0">
      <selection activeCell="AO26" sqref="AO26:BA26"/>
    </sheetView>
  </sheetViews>
  <sheetFormatPr defaultColWidth="0" defaultRowHeight="12.75" zeroHeight="1"/>
  <cols>
    <col min="1" max="54" width="1.7109375" style="128" customWidth="1"/>
    <col min="55" max="111" width="1.7109375" style="74" customWidth="1"/>
    <col min="112" max="179" width="1.7109375" hidden="1" customWidth="1"/>
    <col min="180" max="16384" width="9.140625" hidden="1"/>
  </cols>
  <sheetData>
    <row r="1" spans="1:111" ht="9" customHeight="1" thickBo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1:111" ht="9" customHeight="1">
      <c r="A2" s="22"/>
      <c r="B2" s="501" t="s">
        <v>281</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2"/>
      <c r="BB2" s="22"/>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1:111" ht="9" customHeight="1">
      <c r="A3" s="22"/>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4"/>
      <c r="BB3" s="22"/>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row>
    <row r="4" spans="1:111" ht="9" customHeight="1">
      <c r="A4" s="22"/>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6"/>
      <c r="BB4" s="22"/>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row>
    <row r="5" spans="1:111" ht="9" customHeight="1">
      <c r="A5" s="2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22"/>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row>
    <row r="6" spans="1:111" ht="9" customHeight="1">
      <c r="A6" s="22"/>
      <c r="B6" s="289" t="s">
        <v>413</v>
      </c>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90"/>
      <c r="BB6" s="22"/>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row>
    <row r="7" spans="1:111" ht="9" customHeight="1">
      <c r="A7" s="22"/>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2"/>
      <c r="BB7" s="22"/>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row>
    <row r="8" spans="1:111" ht="9"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row>
    <row r="9" spans="1:111" ht="9" customHeigh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row>
    <row r="10" spans="1:111" ht="9" customHeight="1">
      <c r="A10"/>
      <c r="B10" s="507" t="s">
        <v>336</v>
      </c>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c r="AI10"/>
      <c r="AJ10" s="282"/>
      <c r="AK10" s="283"/>
      <c r="AL10" s="284"/>
      <c r="AM10" s="72"/>
      <c r="AN10" s="281" t="s">
        <v>15</v>
      </c>
      <c r="AO10" s="281"/>
      <c r="AP10" s="281"/>
      <c r="AQ10" s="5"/>
      <c r="AR10" s="5"/>
      <c r="AS10" s="5"/>
      <c r="AT10" s="282" t="s">
        <v>482</v>
      </c>
      <c r="AU10" s="283"/>
      <c r="AV10" s="284"/>
      <c r="AW10" s="72"/>
      <c r="AX10" s="281" t="s">
        <v>16</v>
      </c>
      <c r="AY10" s="281"/>
      <c r="AZ10" s="281"/>
      <c r="BA10"/>
      <c r="BB10"/>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row>
    <row r="11" spans="1:111" ht="9" customHeight="1">
      <c r="A11"/>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c r="AI11"/>
      <c r="AJ11" s="321"/>
      <c r="AK11" s="322"/>
      <c r="AL11" s="323"/>
      <c r="AM11" s="72"/>
      <c r="AN11" s="281"/>
      <c r="AO11" s="281"/>
      <c r="AP11" s="281"/>
      <c r="AQ11" s="5"/>
      <c r="AR11" s="5"/>
      <c r="AS11" s="5"/>
      <c r="AT11" s="285"/>
      <c r="AU11" s="286"/>
      <c r="AV11" s="287"/>
      <c r="AW11" s="72"/>
      <c r="AX11" s="281"/>
      <c r="AY11" s="281"/>
      <c r="AZ11" s="281"/>
      <c r="BA11"/>
      <c r="BB11"/>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row>
    <row r="12" spans="1:111" ht="9"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row>
    <row r="13" spans="1:111" ht="9" customHeight="1">
      <c r="A13"/>
      <c r="B13" s="508" t="str">
        <f>IF($AJ$10&lt;&gt;"","Lembre-se que projetos que envoltam a realização de OBRAS devem enviar o PROJETO BÁSICO no SICONV","")</f>
        <v/>
      </c>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c r="BB13"/>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row>
    <row r="14" spans="1:111" ht="9" customHeight="1">
      <c r="A14"/>
      <c r="B14" s="508"/>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c r="BB14"/>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row>
    <row r="15" spans="1:111" ht="9"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row>
    <row r="16" spans="1:111" ht="9"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row>
    <row r="17" spans="2:111" customFormat="1" ht="9" customHeight="1">
      <c r="B17" s="239" t="s">
        <v>337</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C17" s="115"/>
      <c r="BD17" s="115"/>
      <c r="BE17" s="115"/>
      <c r="BF17" s="115"/>
      <c r="BG17" s="115"/>
      <c r="BH17" s="225" t="s">
        <v>343</v>
      </c>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115"/>
    </row>
    <row r="18" spans="2:111" customFormat="1" ht="9" customHeight="1">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C18" s="115"/>
      <c r="BD18" s="115"/>
      <c r="BE18" s="115"/>
      <c r="BF18" s="115"/>
      <c r="BG18" s="11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115"/>
    </row>
    <row r="19" spans="2:111" customFormat="1" ht="9" customHeight="1">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C19" s="115"/>
      <c r="BD19" s="115"/>
      <c r="BE19" s="115"/>
      <c r="BF19" s="115"/>
      <c r="BG19" s="11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115"/>
    </row>
    <row r="20" spans="2:111" customFormat="1" ht="9" customHeight="1">
      <c r="BC20" s="115"/>
      <c r="BD20" s="115"/>
      <c r="BE20" s="115"/>
      <c r="BF20" s="115"/>
      <c r="BG20" s="115"/>
      <c r="BH20" s="225" t="s">
        <v>344</v>
      </c>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115"/>
    </row>
    <row r="21" spans="2:111" customFormat="1" ht="9" customHeight="1">
      <c r="B21" s="123"/>
      <c r="C21" s="123"/>
      <c r="D21" s="123"/>
      <c r="E21" s="123"/>
      <c r="F21" s="123"/>
      <c r="G21" s="123"/>
      <c r="H21" s="123"/>
      <c r="I21" s="123"/>
      <c r="J21" s="123"/>
      <c r="K21" s="123"/>
      <c r="L21" s="123"/>
      <c r="M21" s="123"/>
      <c r="N21" s="123"/>
      <c r="O21" s="123"/>
      <c r="P21" s="123"/>
      <c r="Q21" s="123"/>
      <c r="R21" s="123"/>
      <c r="S21" s="123"/>
      <c r="BC21" s="115"/>
      <c r="BD21" s="115"/>
      <c r="BE21" s="115"/>
      <c r="BF21" s="115"/>
      <c r="BG21" s="11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115"/>
    </row>
    <row r="22" spans="2:111" customFormat="1" ht="18" customHeight="1">
      <c r="B22" s="519" t="s">
        <v>271</v>
      </c>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181"/>
      <c r="AG22" s="520" t="str">
        <f>IF('(III) Formulário Orçamentário'!$AV$58=0,"Não se Aplica",'(III) Formulário Orçamentário'!$AV$58)</f>
        <v>Não se Aplica</v>
      </c>
      <c r="AH22" s="520"/>
      <c r="AI22" s="520"/>
      <c r="AJ22" s="520"/>
      <c r="AK22" s="520"/>
      <c r="AL22" s="520"/>
      <c r="AM22" s="520"/>
      <c r="AN22" s="181"/>
      <c r="AO22" s="518" t="str">
        <f>IF(AG22="Não se Aplica","",IF($I$1305=0,"Preencha o detalhamento!",IF($I$1305=AG22,"OK",IF((AG22-$I$1305)&gt;0,CONCATENATE("Faltam R$ ",AG22-$I$1305," a detalhar"),CONCATENATE("Foi detalhado R$ ",($I$1305-AG22)," a mais")))))</f>
        <v/>
      </c>
      <c r="AP22" s="518"/>
      <c r="AQ22" s="518"/>
      <c r="AR22" s="518"/>
      <c r="AS22" s="518"/>
      <c r="AT22" s="518"/>
      <c r="AU22" s="518"/>
      <c r="AV22" s="518"/>
      <c r="AW22" s="518"/>
      <c r="AX22" s="518"/>
      <c r="AY22" s="518"/>
      <c r="AZ22" s="518"/>
      <c r="BA22" s="518"/>
      <c r="BB22" s="177">
        <f t="shared" ref="BB22:BB28" si="0">IF(AG22="Não se Aplica",0,IF(AO22="OK",1,10))</f>
        <v>0</v>
      </c>
      <c r="BC22" s="115"/>
      <c r="BD22" s="115"/>
      <c r="BE22" s="115"/>
      <c r="BF22" s="115"/>
      <c r="BG22" s="11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115"/>
    </row>
    <row r="23" spans="2:111" customFormat="1" ht="18" customHeight="1">
      <c r="B23" s="519" t="s">
        <v>272</v>
      </c>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181"/>
      <c r="AG23" s="520">
        <f>IF('(III) Formulário Orçamentário'!$AV$60=0,"Não se Aplica",'(III) Formulário Orçamentário'!$AV$60)</f>
        <v>25935</v>
      </c>
      <c r="AH23" s="520"/>
      <c r="AI23" s="520"/>
      <c r="AJ23" s="520"/>
      <c r="AK23" s="520"/>
      <c r="AL23" s="520"/>
      <c r="AM23" s="520"/>
      <c r="AN23" s="181"/>
      <c r="AO23" s="518" t="str">
        <f>IF(AG23="Não se Aplica","",IF($K$1305=0,"Preencha o detalhamento!",IF($K$1305=AG23,"OK",IF((AG23-$K$1305)&gt;0,CONCATENATE("Faltam R$ ",AG23-$K$1305," a detalhar"),CONCATENATE("Foi detalhado R$ ",($K$1305-AG23)," a mais")))))</f>
        <v>OK</v>
      </c>
      <c r="AP23" s="518"/>
      <c r="AQ23" s="518"/>
      <c r="AR23" s="518"/>
      <c r="AS23" s="518"/>
      <c r="AT23" s="518"/>
      <c r="AU23" s="518"/>
      <c r="AV23" s="518"/>
      <c r="AW23" s="518"/>
      <c r="AX23" s="518"/>
      <c r="AY23" s="518"/>
      <c r="AZ23" s="518"/>
      <c r="BA23" s="518"/>
      <c r="BB23" s="177">
        <f t="shared" si="0"/>
        <v>1</v>
      </c>
      <c r="BC23" s="115"/>
      <c r="BD23" s="115"/>
      <c r="BE23" s="115"/>
      <c r="BF23" s="115"/>
      <c r="BG23" s="115"/>
      <c r="BH23" s="225" t="s">
        <v>411</v>
      </c>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115"/>
    </row>
    <row r="24" spans="2:111" customFormat="1" ht="18" customHeight="1">
      <c r="B24" s="519" t="s">
        <v>273</v>
      </c>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181"/>
      <c r="AG24" s="520" t="str">
        <f>IF('(III) Formulário Orçamentário'!$AV$63=0,"Não se Aplica",'(III) Formulário Orçamentário'!$AV$63)</f>
        <v>Não se Aplica</v>
      </c>
      <c r="AH24" s="520"/>
      <c r="AI24" s="520"/>
      <c r="AJ24" s="520"/>
      <c r="AK24" s="520"/>
      <c r="AL24" s="520"/>
      <c r="AM24" s="520"/>
      <c r="AN24" s="181"/>
      <c r="AO24" s="518" t="str">
        <f>IF(AG24="Não se Aplica","",IF($M$1305=0,"Preencha o detalhamento!",IF($M$1305=AG24,"OK",IF((AG24-$M$1305)&gt;0,CONCATENATE("Faltam R$ ",AG24-$M$1305," a detalhar"),CONCATENATE("Foi detalhado R$ ",($M$1305-AG24)," a mais")))))</f>
        <v/>
      </c>
      <c r="AP24" s="518"/>
      <c r="AQ24" s="518"/>
      <c r="AR24" s="518"/>
      <c r="AS24" s="518"/>
      <c r="AT24" s="518"/>
      <c r="AU24" s="518"/>
      <c r="AV24" s="518"/>
      <c r="AW24" s="518"/>
      <c r="AX24" s="518"/>
      <c r="AY24" s="518"/>
      <c r="AZ24" s="518"/>
      <c r="BA24" s="518"/>
      <c r="BB24" s="177">
        <f t="shared" si="0"/>
        <v>0</v>
      </c>
      <c r="BC24" s="115"/>
      <c r="BD24" s="115"/>
      <c r="BE24" s="115"/>
      <c r="BF24" s="115"/>
      <c r="BG24" s="11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115"/>
    </row>
    <row r="25" spans="2:111" customFormat="1" ht="18" customHeight="1">
      <c r="B25" s="519" t="s">
        <v>274</v>
      </c>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519"/>
      <c r="AF25" s="181"/>
      <c r="AG25" s="520" t="str">
        <f>IF('(III) Formulário Orçamentário'!$AV$64=0,"Não se Aplica",'(III) Formulário Orçamentário'!$AV$64)</f>
        <v>Não se Aplica</v>
      </c>
      <c r="AH25" s="520"/>
      <c r="AI25" s="520"/>
      <c r="AJ25" s="520"/>
      <c r="AK25" s="520"/>
      <c r="AL25" s="520"/>
      <c r="AM25" s="520"/>
      <c r="AN25" s="181"/>
      <c r="AO25" s="518" t="str">
        <f>IF(AG25="Não se Aplica","",IF($O$1305=0,"Preencha o detalhamento!",IF($O$1305=AG25,"OK",IF((AG25-$O$1305)&gt;0,CONCATENATE("Faltam R$ ",AG25-$O$1305," a detalhar"),CONCATENATE("Foi detalhado R$ ",($O$1305-AG25)," a mais")))))</f>
        <v/>
      </c>
      <c r="AP25" s="518"/>
      <c r="AQ25" s="518"/>
      <c r="AR25" s="518"/>
      <c r="AS25" s="518"/>
      <c r="AT25" s="518"/>
      <c r="AU25" s="518"/>
      <c r="AV25" s="518"/>
      <c r="AW25" s="518"/>
      <c r="AX25" s="518"/>
      <c r="AY25" s="518"/>
      <c r="AZ25" s="518"/>
      <c r="BA25" s="518"/>
      <c r="BB25" s="177">
        <f t="shared" si="0"/>
        <v>0</v>
      </c>
      <c r="BC25" s="115"/>
      <c r="BD25" s="115"/>
      <c r="BE25" s="115"/>
      <c r="BF25" s="115"/>
      <c r="BG25" s="115"/>
      <c r="BH25" s="115"/>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115"/>
    </row>
    <row r="26" spans="2:111" customFormat="1" ht="18" customHeight="1">
      <c r="B26" s="519" t="s">
        <v>275</v>
      </c>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181"/>
      <c r="AG26" s="520">
        <f>IF('(III) Formulário Orçamentário'!$AV$67=0,"Não se Aplica",'(III) Formulário Orçamentário'!$AV$67)</f>
        <v>215925</v>
      </c>
      <c r="AH26" s="520"/>
      <c r="AI26" s="520"/>
      <c r="AJ26" s="520"/>
      <c r="AK26" s="520"/>
      <c r="AL26" s="520"/>
      <c r="AM26" s="520"/>
      <c r="AN26" s="181"/>
      <c r="AO26" s="518" t="str">
        <f>IF(AG26="Não se Aplica","",IF($Q$1305=0,"Preencha o detalhamento!",IF($Q$1305=AG26,"OK",IF((AG26-$Q$1305)&gt;0,CONCATENATE("Faltam R$ ",AG26-$Q$1305," a detalhar"),CONCATENATE("Foi detalhado R$ ",($Q$1305-AG26)," a mais")))))</f>
        <v>Faltam R$ 0,5 a detalhar</v>
      </c>
      <c r="AP26" s="518"/>
      <c r="AQ26" s="518"/>
      <c r="AR26" s="518"/>
      <c r="AS26" s="518"/>
      <c r="AT26" s="518"/>
      <c r="AU26" s="518"/>
      <c r="AV26" s="518"/>
      <c r="AW26" s="518"/>
      <c r="AX26" s="518"/>
      <c r="AY26" s="518"/>
      <c r="AZ26" s="518"/>
      <c r="BA26" s="518"/>
      <c r="BB26" s="177">
        <f t="shared" si="0"/>
        <v>10</v>
      </c>
      <c r="BC26" s="115"/>
      <c r="BD26" s="115"/>
      <c r="BE26" s="115"/>
      <c r="BF26" s="115"/>
      <c r="BG26" s="115"/>
      <c r="BH26" s="214" t="s">
        <v>412</v>
      </c>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115"/>
    </row>
    <row r="27" spans="2:111" customFormat="1" ht="18" customHeight="1">
      <c r="B27" s="519" t="s">
        <v>327</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181"/>
      <c r="AG27" s="520">
        <f>IF('(III) Formulário Orçamentário'!$AV$68=0,"Não se Aplica",'(III) Formulário Orçamentário'!$AV$68)</f>
        <v>2168972.52</v>
      </c>
      <c r="AH27" s="520"/>
      <c r="AI27" s="520"/>
      <c r="AJ27" s="520"/>
      <c r="AK27" s="520"/>
      <c r="AL27" s="520"/>
      <c r="AM27" s="520"/>
      <c r="AN27" s="181"/>
      <c r="AO27" s="518" t="str">
        <f>IF(AG27="Não se Aplica","",IF($S$1305=0,"Preencha o detalhamento!",IF($S$1305=AG27,"OK",IF((AG27-$S$1305)&gt;0,CONCATENATE("Faltam R$ ",AG27-$S$1305," a detalhar"),CONCATENATE("Foi detalhado R$ ",($S$1305-AG27)," a mais")))))</f>
        <v>OK</v>
      </c>
      <c r="AP27" s="518"/>
      <c r="AQ27" s="518"/>
      <c r="AR27" s="518"/>
      <c r="AS27" s="518"/>
      <c r="AT27" s="518"/>
      <c r="AU27" s="518"/>
      <c r="AV27" s="518"/>
      <c r="AW27" s="518"/>
      <c r="AX27" s="518"/>
      <c r="AY27" s="518"/>
      <c r="AZ27" s="518"/>
      <c r="BA27" s="518"/>
      <c r="BB27" s="177">
        <f t="shared" si="0"/>
        <v>1</v>
      </c>
      <c r="BC27" s="115"/>
      <c r="BD27" s="115"/>
      <c r="BE27" s="115"/>
      <c r="BF27" s="115"/>
      <c r="BG27" s="115"/>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115"/>
    </row>
    <row r="28" spans="2:111" customFormat="1" ht="18" customHeight="1">
      <c r="B28" s="519" t="s">
        <v>276</v>
      </c>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181"/>
      <c r="AG28" s="520">
        <f>IF('(III) Formulário Orçamentário'!$AV$78=0,"Não se Aplica",'(III) Formulário Orçamentário'!$AV$78)</f>
        <v>129815.62</v>
      </c>
      <c r="AH28" s="520"/>
      <c r="AI28" s="520"/>
      <c r="AJ28" s="520"/>
      <c r="AK28" s="520"/>
      <c r="AL28" s="520"/>
      <c r="AM28" s="520"/>
      <c r="AN28" s="181"/>
      <c r="AO28" s="518" t="str">
        <f>IF(AG28="Não se Aplica","",IF($U$1305=0,"Preencha o detalhamento!",IF($U$1305=AG28,"OK",IF((AG28-$U$1305)&gt;0,CONCATENATE("Faltam R$ ",AG28-$U$1305," a detalhar"),CONCATENATE("Foi detalhado R$ ",($U$1305-AG28)," a mais")))))</f>
        <v>Faltam R$ 2,85666666665929 a detalhar</v>
      </c>
      <c r="AP28" s="518"/>
      <c r="AQ28" s="518"/>
      <c r="AR28" s="518"/>
      <c r="AS28" s="518"/>
      <c r="AT28" s="518"/>
      <c r="AU28" s="518"/>
      <c r="AV28" s="518"/>
      <c r="AW28" s="518"/>
      <c r="AX28" s="518"/>
      <c r="AY28" s="518"/>
      <c r="AZ28" s="518"/>
      <c r="BA28" s="518"/>
      <c r="BB28" s="177">
        <f t="shared" si="0"/>
        <v>10</v>
      </c>
      <c r="BC28" s="115"/>
      <c r="BD28" s="115"/>
      <c r="BE28" s="115"/>
      <c r="BF28" s="115"/>
      <c r="BG28" s="115"/>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115"/>
    </row>
    <row r="29" spans="2:111" customFormat="1" ht="9" customHeight="1">
      <c r="BB29" s="177">
        <f>SUM(BB22:BB28)</f>
        <v>22</v>
      </c>
      <c r="BC29" s="115"/>
      <c r="BD29" s="115"/>
      <c r="BE29" s="115"/>
      <c r="BF29" s="115"/>
      <c r="BG29" s="115"/>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115"/>
    </row>
    <row r="30" spans="2:111" customFormat="1" ht="9" customHeight="1">
      <c r="BC30" s="115"/>
      <c r="BD30" s="115"/>
      <c r="BE30" s="115"/>
      <c r="BF30" s="115"/>
      <c r="BG30" s="115"/>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115"/>
    </row>
    <row r="31" spans="2:111" customFormat="1" ht="9" customHeight="1">
      <c r="BC31" s="115"/>
      <c r="BD31" s="115"/>
      <c r="BE31" s="115"/>
      <c r="BF31" s="115"/>
      <c r="BG31" s="115"/>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115"/>
    </row>
    <row r="32" spans="2:111" customFormat="1" ht="9" customHeight="1">
      <c r="B32" s="507" t="s">
        <v>409</v>
      </c>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282">
        <v>12</v>
      </c>
      <c r="AA32" s="283"/>
      <c r="AB32" s="283"/>
      <c r="AC32" s="283"/>
      <c r="AD32" s="365"/>
      <c r="AE32" s="122"/>
      <c r="AF32" s="122"/>
      <c r="AG32" s="122"/>
      <c r="AM32" s="72"/>
      <c r="AN32" s="72"/>
      <c r="AO32" s="72"/>
      <c r="AP32" s="72"/>
      <c r="BC32" s="115"/>
      <c r="BD32" s="115"/>
      <c r="BE32" s="115"/>
      <c r="BF32" s="115"/>
      <c r="BG32" s="115"/>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115"/>
    </row>
    <row r="33" spans="2:111" customFormat="1" ht="9" customHeight="1">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366"/>
      <c r="AA33" s="367"/>
      <c r="AB33" s="367"/>
      <c r="AC33" s="367"/>
      <c r="AD33" s="368"/>
      <c r="AE33" s="122"/>
      <c r="AF33" s="122"/>
      <c r="AG33" s="122"/>
      <c r="AM33" s="72"/>
      <c r="AN33" s="72"/>
      <c r="AO33" s="72"/>
      <c r="AP33" s="72"/>
      <c r="BC33" s="115"/>
      <c r="BD33" s="115"/>
      <c r="BE33" s="115"/>
      <c r="BF33" s="115"/>
      <c r="BG33" s="115"/>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115"/>
    </row>
    <row r="34" spans="2:111" customFormat="1" ht="9" customHeight="1">
      <c r="BC34" s="115"/>
      <c r="BD34" s="115"/>
      <c r="BE34" s="115"/>
      <c r="BF34" s="115"/>
      <c r="BG34" s="115"/>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115"/>
    </row>
    <row r="35" spans="2:111" customFormat="1" ht="9" customHeight="1">
      <c r="BC35" s="115"/>
      <c r="BD35" s="115"/>
      <c r="BE35" s="115"/>
      <c r="BF35" s="115"/>
      <c r="BG35" s="115"/>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115"/>
    </row>
    <row r="36" spans="2:111" customFormat="1" ht="9" customHeight="1">
      <c r="B36" s="494" t="str">
        <f>IF($Z$32&gt;=1,"Item 1","")</f>
        <v>Item 1</v>
      </c>
      <c r="C36" s="495"/>
      <c r="D36" s="495"/>
      <c r="E36" s="495"/>
      <c r="F36" s="495"/>
      <c r="G36" s="495"/>
      <c r="H36" s="495"/>
      <c r="I36" s="495"/>
      <c r="J36" s="495"/>
      <c r="K36" s="495"/>
      <c r="L36" s="495"/>
      <c r="M36" s="495"/>
      <c r="BC36" s="115"/>
      <c r="BD36" s="115"/>
      <c r="BE36" s="115"/>
      <c r="BF36" s="115"/>
      <c r="BG36" s="115"/>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115"/>
    </row>
    <row r="37" spans="2:111" customFormat="1" ht="9" customHeight="1">
      <c r="B37" s="495"/>
      <c r="C37" s="495"/>
      <c r="D37" s="495"/>
      <c r="E37" s="495"/>
      <c r="F37" s="495"/>
      <c r="G37" s="495"/>
      <c r="H37" s="495"/>
      <c r="I37" s="495"/>
      <c r="J37" s="495"/>
      <c r="K37" s="495"/>
      <c r="L37" s="495"/>
      <c r="M37" s="49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row>
    <row r="38" spans="2:111" customFormat="1" ht="4.5" customHeight="1">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row>
    <row r="39" spans="2:111" customFormat="1" ht="9" customHeight="1">
      <c r="B39" s="493" t="str">
        <f>IF(B36="","","Elemento de Despesa:")</f>
        <v>Elemento de Despesa:</v>
      </c>
      <c r="C39" s="493"/>
      <c r="D39" s="493"/>
      <c r="E39" s="493"/>
      <c r="F39" s="493"/>
      <c r="G39" s="493"/>
      <c r="H39" s="493"/>
      <c r="I39" s="493"/>
      <c r="J39" s="493"/>
      <c r="K39" s="493"/>
      <c r="L39" s="493"/>
      <c r="M39" s="493"/>
      <c r="N39" s="493"/>
      <c r="O39" s="241" t="s">
        <v>327</v>
      </c>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C39" s="115"/>
      <c r="BD39" s="115"/>
      <c r="BE39" s="115"/>
      <c r="BF39" s="115"/>
      <c r="BG39" s="115"/>
      <c r="BH39" s="225" t="s">
        <v>339</v>
      </c>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115"/>
    </row>
    <row r="40" spans="2:111" customFormat="1" ht="9" customHeight="1">
      <c r="B40" s="493"/>
      <c r="C40" s="493"/>
      <c r="D40" s="493"/>
      <c r="E40" s="493"/>
      <c r="F40" s="493"/>
      <c r="G40" s="493"/>
      <c r="H40" s="493"/>
      <c r="I40" s="493"/>
      <c r="J40" s="493"/>
      <c r="K40" s="493"/>
      <c r="L40" s="493"/>
      <c r="M40" s="493"/>
      <c r="N40" s="493"/>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C40" s="115"/>
      <c r="BD40" s="115"/>
      <c r="BE40" s="115"/>
      <c r="BF40" s="115"/>
      <c r="BG40" s="11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115"/>
    </row>
    <row r="41" spans="2:111" customFormat="1" ht="4.5"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C41" s="115"/>
      <c r="BD41" s="115"/>
      <c r="BE41" s="115"/>
      <c r="BF41" s="115"/>
      <c r="BG41" s="115"/>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15"/>
    </row>
    <row r="42" spans="2:111" customFormat="1" ht="9" customHeight="1">
      <c r="B42" s="493" t="str">
        <f>IF(B36="","","Objeto:")</f>
        <v>Objeto:</v>
      </c>
      <c r="C42" s="493"/>
      <c r="D42" s="493"/>
      <c r="E42" s="493"/>
      <c r="F42" s="493"/>
      <c r="G42" s="493"/>
      <c r="H42" s="493"/>
      <c r="I42" s="493"/>
      <c r="J42" s="493"/>
      <c r="K42" s="493"/>
      <c r="L42" s="493"/>
      <c r="M42" s="493"/>
      <c r="N42" s="493"/>
      <c r="O42" s="421" t="s">
        <v>609</v>
      </c>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1"/>
      <c r="AY42" s="421"/>
      <c r="AZ42" s="421"/>
      <c r="BA42" s="421"/>
      <c r="BC42" s="115"/>
      <c r="BD42" s="115"/>
      <c r="BE42" s="115"/>
      <c r="BF42" s="115"/>
      <c r="BG42" s="115"/>
      <c r="BH42" s="225" t="s">
        <v>338</v>
      </c>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115"/>
    </row>
    <row r="43" spans="2:111" customFormat="1" ht="9" customHeight="1">
      <c r="B43" s="493"/>
      <c r="C43" s="493"/>
      <c r="D43" s="493"/>
      <c r="E43" s="493"/>
      <c r="F43" s="493"/>
      <c r="G43" s="493"/>
      <c r="H43" s="493"/>
      <c r="I43" s="493"/>
      <c r="J43" s="493"/>
      <c r="K43" s="493"/>
      <c r="L43" s="493"/>
      <c r="M43" s="493"/>
      <c r="N43" s="493"/>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C43" s="115"/>
      <c r="BD43" s="115"/>
      <c r="BE43" s="115"/>
      <c r="BF43" s="115"/>
      <c r="BG43" s="11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115"/>
    </row>
    <row r="44" spans="2:111" customFormat="1" ht="9" customHeight="1">
      <c r="B44" s="126"/>
      <c r="C44" s="126"/>
      <c r="D44" s="126"/>
      <c r="E44" s="126"/>
      <c r="F44" s="126"/>
      <c r="G44" s="126"/>
      <c r="H44" s="126"/>
      <c r="I44" s="126"/>
      <c r="J44" s="126"/>
      <c r="K44" s="126"/>
      <c r="L44" s="126"/>
      <c r="M44" s="126"/>
      <c r="N44" s="126"/>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1"/>
      <c r="AY44" s="421"/>
      <c r="AZ44" s="421"/>
      <c r="BA44" s="421"/>
      <c r="BC44" s="115"/>
      <c r="BD44" s="115"/>
      <c r="BE44" s="115"/>
      <c r="BF44" s="115"/>
      <c r="BG44" s="115"/>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115"/>
    </row>
    <row r="45" spans="2:111" customFormat="1" ht="9" customHeight="1">
      <c r="B45" s="49"/>
      <c r="C45" s="49"/>
      <c r="D45" s="49"/>
      <c r="E45" s="49"/>
      <c r="F45" s="49"/>
      <c r="G45" s="49"/>
      <c r="H45" s="49"/>
      <c r="I45" s="49"/>
      <c r="J45" s="49"/>
      <c r="K45" s="49"/>
      <c r="L45" s="49"/>
      <c r="M45" s="49"/>
      <c r="N45" s="49"/>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row>
    <row r="46" spans="2:111" customFormat="1" ht="4.5" customHeight="1">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C46" s="115"/>
      <c r="BD46" s="115"/>
      <c r="BE46" s="115"/>
      <c r="BF46" s="115"/>
      <c r="BG46" s="115"/>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15"/>
    </row>
    <row r="47" spans="2:111" customFormat="1" ht="9" customHeight="1">
      <c r="B47" s="493" t="str">
        <f>IF(B36="","","Detalhamento do Objeto:")</f>
        <v>Detalhamento do Objeto:</v>
      </c>
      <c r="C47" s="493"/>
      <c r="D47" s="493"/>
      <c r="E47" s="493"/>
      <c r="F47" s="493"/>
      <c r="G47" s="493"/>
      <c r="H47" s="493"/>
      <c r="I47" s="493"/>
      <c r="J47" s="493"/>
      <c r="K47" s="493"/>
      <c r="L47" s="493"/>
      <c r="M47" s="493"/>
      <c r="N47" s="493"/>
      <c r="O47" s="421" t="s">
        <v>610</v>
      </c>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1"/>
      <c r="AY47" s="421"/>
      <c r="AZ47" s="421"/>
      <c r="BA47" s="421"/>
      <c r="BC47" s="115"/>
      <c r="BD47" s="115"/>
      <c r="BE47" s="115"/>
      <c r="BF47" s="115"/>
      <c r="BG47" s="115"/>
      <c r="BH47" s="225" t="s">
        <v>340</v>
      </c>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115"/>
    </row>
    <row r="48" spans="2:111" customFormat="1" ht="9" customHeight="1">
      <c r="B48" s="493"/>
      <c r="C48" s="493"/>
      <c r="D48" s="493"/>
      <c r="E48" s="493"/>
      <c r="F48" s="493"/>
      <c r="G48" s="493"/>
      <c r="H48" s="493"/>
      <c r="I48" s="493"/>
      <c r="J48" s="493"/>
      <c r="K48" s="493"/>
      <c r="L48" s="493"/>
      <c r="M48" s="493"/>
      <c r="N48" s="493"/>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1"/>
      <c r="AP48" s="421"/>
      <c r="AQ48" s="421"/>
      <c r="AR48" s="421"/>
      <c r="AS48" s="421"/>
      <c r="AT48" s="421"/>
      <c r="AU48" s="421"/>
      <c r="AV48" s="421"/>
      <c r="AW48" s="421"/>
      <c r="AX48" s="421"/>
      <c r="AY48" s="421"/>
      <c r="AZ48" s="421"/>
      <c r="BA48" s="421"/>
      <c r="BC48" s="115"/>
      <c r="BD48" s="115"/>
      <c r="BE48" s="115"/>
      <c r="BF48" s="115"/>
      <c r="BG48" s="11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115"/>
    </row>
    <row r="49" spans="2:111" customFormat="1" ht="9" customHeight="1">
      <c r="B49" s="126"/>
      <c r="C49" s="126"/>
      <c r="D49" s="126"/>
      <c r="E49" s="126"/>
      <c r="F49" s="126"/>
      <c r="G49" s="126"/>
      <c r="H49" s="126"/>
      <c r="I49" s="126"/>
      <c r="J49" s="126"/>
      <c r="K49" s="126"/>
      <c r="L49" s="126"/>
      <c r="M49" s="126"/>
      <c r="N49" s="126"/>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1"/>
      <c r="AY49" s="421"/>
      <c r="AZ49" s="421"/>
      <c r="BA49" s="421"/>
      <c r="BC49" s="115"/>
      <c r="BD49" s="115"/>
      <c r="BE49" s="115"/>
      <c r="BF49" s="115"/>
      <c r="BG49" s="115"/>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115"/>
    </row>
    <row r="50" spans="2:111" customFormat="1" ht="9" customHeight="1">
      <c r="B50" s="126"/>
      <c r="C50" s="126"/>
      <c r="D50" s="126"/>
      <c r="E50" s="126"/>
      <c r="F50" s="126"/>
      <c r="G50" s="126"/>
      <c r="H50" s="126"/>
      <c r="I50" s="126"/>
      <c r="J50" s="126"/>
      <c r="K50" s="126"/>
      <c r="L50" s="126"/>
      <c r="M50" s="126"/>
      <c r="N50" s="126"/>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1"/>
      <c r="AY50" s="421"/>
      <c r="AZ50" s="421"/>
      <c r="BA50" s="421"/>
      <c r="BC50" s="115"/>
      <c r="BD50" s="115"/>
      <c r="BE50" s="115"/>
      <c r="BF50" s="115"/>
      <c r="BG50" s="115"/>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115"/>
    </row>
    <row r="51" spans="2:111" customFormat="1" ht="9" customHeight="1">
      <c r="B51" s="126"/>
      <c r="C51" s="126"/>
      <c r="D51" s="126"/>
      <c r="E51" s="126"/>
      <c r="F51" s="126"/>
      <c r="G51" s="126"/>
      <c r="H51" s="126"/>
      <c r="I51" s="126"/>
      <c r="J51" s="126"/>
      <c r="K51" s="126"/>
      <c r="L51" s="126"/>
      <c r="M51" s="126"/>
      <c r="N51" s="126"/>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421"/>
      <c r="BC51" s="115"/>
      <c r="BD51" s="115"/>
      <c r="BE51" s="115"/>
      <c r="BF51" s="115"/>
      <c r="BG51" s="115"/>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115"/>
    </row>
    <row r="52" spans="2:111" customFormat="1" ht="9" customHeight="1">
      <c r="B52" s="126"/>
      <c r="C52" s="126"/>
      <c r="D52" s="126"/>
      <c r="E52" s="126"/>
      <c r="F52" s="126"/>
      <c r="G52" s="126"/>
      <c r="H52" s="126"/>
      <c r="I52" s="126"/>
      <c r="J52" s="126"/>
      <c r="K52" s="126"/>
      <c r="L52" s="126"/>
      <c r="M52" s="126"/>
      <c r="N52" s="126"/>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1"/>
      <c r="BC52" s="115"/>
      <c r="BD52" s="115"/>
      <c r="BE52" s="115"/>
      <c r="BF52" s="115"/>
      <c r="BG52" s="115"/>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115"/>
    </row>
    <row r="53" spans="2:111" customFormat="1" ht="9" customHeight="1">
      <c r="B53" s="126"/>
      <c r="C53" s="126"/>
      <c r="D53" s="126"/>
      <c r="E53" s="126"/>
      <c r="F53" s="126"/>
      <c r="G53" s="126"/>
      <c r="H53" s="126"/>
      <c r="I53" s="126"/>
      <c r="J53" s="126"/>
      <c r="K53" s="126"/>
      <c r="L53" s="126"/>
      <c r="M53" s="126"/>
      <c r="N53" s="126"/>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C53" s="115"/>
      <c r="BD53" s="115"/>
      <c r="BE53" s="115"/>
      <c r="BF53" s="115"/>
      <c r="BG53" s="115"/>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115"/>
    </row>
    <row r="54" spans="2:111" customFormat="1" ht="9" customHeight="1">
      <c r="B54" s="49"/>
      <c r="C54" s="49"/>
      <c r="D54" s="49"/>
      <c r="E54" s="49"/>
      <c r="F54" s="49"/>
      <c r="G54" s="49"/>
      <c r="H54" s="49"/>
      <c r="I54" s="49"/>
      <c r="J54" s="49"/>
      <c r="K54" s="49"/>
      <c r="L54" s="49"/>
      <c r="M54" s="49"/>
      <c r="N54" s="49"/>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1"/>
      <c r="AY54" s="421"/>
      <c r="AZ54" s="421"/>
      <c r="BA54" s="421"/>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row>
    <row r="55" spans="2:111" customFormat="1" ht="4.5" customHeight="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C55" s="115"/>
      <c r="BD55" s="115"/>
      <c r="BE55" s="115"/>
      <c r="BF55" s="115"/>
      <c r="BG55" s="115"/>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15"/>
    </row>
    <row r="56" spans="2:111" customFormat="1" ht="9" customHeight="1">
      <c r="B56" s="493" t="str">
        <f>IF(B36="","","Justificativa:")</f>
        <v>Justificativa:</v>
      </c>
      <c r="C56" s="493"/>
      <c r="D56" s="493"/>
      <c r="E56" s="493"/>
      <c r="F56" s="493"/>
      <c r="G56" s="493"/>
      <c r="H56" s="493"/>
      <c r="I56" s="493"/>
      <c r="J56" s="493"/>
      <c r="K56" s="493"/>
      <c r="L56" s="493"/>
      <c r="M56" s="493"/>
      <c r="N56" s="493"/>
      <c r="O56" s="421" t="s">
        <v>611</v>
      </c>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AZ56" s="421"/>
      <c r="BA56" s="421"/>
      <c r="BC56" s="115"/>
      <c r="BD56" s="115"/>
      <c r="BE56" s="115"/>
      <c r="BF56" s="115"/>
      <c r="BG56" s="115"/>
      <c r="BH56" s="225" t="s">
        <v>341</v>
      </c>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115"/>
    </row>
    <row r="57" spans="2:111" customFormat="1" ht="9" customHeight="1">
      <c r="B57" s="493"/>
      <c r="C57" s="493"/>
      <c r="D57" s="493"/>
      <c r="E57" s="493"/>
      <c r="F57" s="493"/>
      <c r="G57" s="493"/>
      <c r="H57" s="493"/>
      <c r="I57" s="493"/>
      <c r="J57" s="493"/>
      <c r="K57" s="493"/>
      <c r="L57" s="493"/>
      <c r="M57" s="493"/>
      <c r="N57" s="493"/>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C57" s="115"/>
      <c r="BD57" s="115"/>
      <c r="BE57" s="115"/>
      <c r="BF57" s="115"/>
      <c r="BG57" s="11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115"/>
    </row>
    <row r="58" spans="2:111" customFormat="1" ht="9" customHeight="1">
      <c r="B58" s="126"/>
      <c r="C58" s="126"/>
      <c r="D58" s="126"/>
      <c r="E58" s="126"/>
      <c r="F58" s="126"/>
      <c r="G58" s="126"/>
      <c r="H58" s="126"/>
      <c r="I58" s="126"/>
      <c r="J58" s="126"/>
      <c r="K58" s="126"/>
      <c r="L58" s="126"/>
      <c r="M58" s="126"/>
      <c r="N58" s="126"/>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C58" s="115"/>
      <c r="BD58" s="115"/>
      <c r="BE58" s="115"/>
      <c r="BF58" s="115"/>
      <c r="BG58" s="11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115"/>
    </row>
    <row r="59" spans="2:111" customFormat="1" ht="9" customHeight="1">
      <c r="B59" s="126"/>
      <c r="C59" s="126"/>
      <c r="D59" s="126"/>
      <c r="E59" s="126"/>
      <c r="F59" s="126"/>
      <c r="G59" s="126"/>
      <c r="H59" s="126"/>
      <c r="I59" s="126"/>
      <c r="J59" s="126"/>
      <c r="K59" s="126"/>
      <c r="L59" s="126"/>
      <c r="M59" s="126"/>
      <c r="N59" s="126"/>
      <c r="O59" s="421"/>
      <c r="P59" s="421"/>
      <c r="Q59" s="421"/>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1"/>
      <c r="AY59" s="421"/>
      <c r="AZ59" s="421"/>
      <c r="BA59" s="421"/>
      <c r="BC59" s="115"/>
      <c r="BD59" s="115"/>
      <c r="BE59" s="115"/>
      <c r="BF59" s="115"/>
      <c r="BG59" s="115"/>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115"/>
    </row>
    <row r="60" spans="2:111" customFormat="1" ht="9" customHeight="1">
      <c r="B60" s="126"/>
      <c r="C60" s="126"/>
      <c r="D60" s="126"/>
      <c r="E60" s="126"/>
      <c r="F60" s="126"/>
      <c r="G60" s="126"/>
      <c r="H60" s="126"/>
      <c r="I60" s="126"/>
      <c r="J60" s="126"/>
      <c r="K60" s="126"/>
      <c r="L60" s="126"/>
      <c r="M60" s="126"/>
      <c r="N60" s="126"/>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1"/>
      <c r="AY60" s="421"/>
      <c r="AZ60" s="421"/>
      <c r="BA60" s="421"/>
      <c r="BC60" s="115"/>
      <c r="BD60" s="115"/>
      <c r="BE60" s="115"/>
      <c r="BF60" s="115"/>
      <c r="BG60" s="115"/>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115"/>
    </row>
    <row r="61" spans="2:111" customFormat="1" ht="9" customHeight="1">
      <c r="B61" s="49"/>
      <c r="C61" s="49"/>
      <c r="D61" s="49"/>
      <c r="E61" s="49"/>
      <c r="F61" s="49"/>
      <c r="G61" s="49"/>
      <c r="H61" s="49"/>
      <c r="I61" s="49"/>
      <c r="J61" s="49"/>
      <c r="K61" s="49"/>
      <c r="L61" s="49"/>
      <c r="M61" s="49"/>
      <c r="N61" s="49"/>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1"/>
      <c r="AY61" s="421"/>
      <c r="AZ61" s="421"/>
      <c r="BA61" s="421"/>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row>
    <row r="62" spans="2:111" customFormat="1" ht="4.5" customHeight="1">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row>
    <row r="63" spans="2:111" customFormat="1" ht="9" customHeight="1">
      <c r="B63" s="493" t="str">
        <f>IF(B36="","","Metas Vinculadas:")</f>
        <v>Metas Vinculadas:</v>
      </c>
      <c r="C63" s="493"/>
      <c r="D63" s="493"/>
      <c r="E63" s="493"/>
      <c r="F63" s="493"/>
      <c r="G63" s="493"/>
      <c r="H63" s="493"/>
      <c r="I63" s="493"/>
      <c r="J63" s="493"/>
      <c r="K63" s="493"/>
      <c r="L63" s="493"/>
      <c r="M63" s="493"/>
      <c r="N63" s="493"/>
      <c r="O63" s="421" t="s">
        <v>593</v>
      </c>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C63" s="115"/>
      <c r="BD63" s="115"/>
      <c r="BE63" s="115"/>
      <c r="BF63" s="115"/>
      <c r="BG63" s="115"/>
      <c r="BH63" s="225" t="s">
        <v>342</v>
      </c>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115"/>
    </row>
    <row r="64" spans="2:111" customFormat="1" ht="9" customHeight="1">
      <c r="B64" s="493"/>
      <c r="C64" s="493"/>
      <c r="D64" s="493"/>
      <c r="E64" s="493"/>
      <c r="F64" s="493"/>
      <c r="G64" s="493"/>
      <c r="H64" s="493"/>
      <c r="I64" s="493"/>
      <c r="J64" s="493"/>
      <c r="K64" s="493"/>
      <c r="L64" s="493"/>
      <c r="M64" s="493"/>
      <c r="N64" s="493"/>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C64" s="115"/>
      <c r="BD64" s="115"/>
      <c r="BE64" s="115"/>
      <c r="BF64" s="115"/>
      <c r="BG64" s="115"/>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115"/>
    </row>
    <row r="65" spans="2:111" customFormat="1" ht="4.5" customHeight="1">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row>
    <row r="66" spans="2:111" customFormat="1" ht="9" customHeight="1">
      <c r="B66" s="125"/>
      <c r="C66" s="125"/>
      <c r="D66" s="125"/>
      <c r="E66" s="125"/>
      <c r="F66" s="125"/>
      <c r="G66" s="125"/>
      <c r="H66" s="125"/>
      <c r="I66" s="125"/>
      <c r="J66" s="125"/>
      <c r="K66" s="125"/>
      <c r="L66" s="125"/>
      <c r="M66" s="125"/>
      <c r="N66" s="125"/>
      <c r="O66" s="496" t="str">
        <f>IF(B36="","","Quantidade:")</f>
        <v>Quantidade:</v>
      </c>
      <c r="P66" s="496"/>
      <c r="Q66" s="496"/>
      <c r="R66" s="496"/>
      <c r="S66" s="496"/>
      <c r="T66" s="496"/>
      <c r="U66" s="496"/>
      <c r="V66" s="417">
        <v>1523</v>
      </c>
      <c r="W66" s="417"/>
      <c r="X66" s="417"/>
      <c r="Y66" s="417"/>
      <c r="Z66" s="417"/>
      <c r="AA66" s="417"/>
      <c r="AB66" s="417"/>
      <c r="AC66" s="417"/>
      <c r="AD66" s="417"/>
      <c r="AE66" s="417"/>
      <c r="AF66" s="125"/>
      <c r="AG66" s="497" t="str">
        <f>IF(B36="","","Unidade:")</f>
        <v>Unidade:</v>
      </c>
      <c r="AH66" s="497"/>
      <c r="AI66" s="497"/>
      <c r="AJ66" s="497"/>
      <c r="AK66" s="497"/>
      <c r="AL66" s="497"/>
      <c r="AM66" s="497"/>
      <c r="AN66" s="125"/>
      <c r="AO66" s="417" t="s">
        <v>570</v>
      </c>
      <c r="AP66" s="417"/>
      <c r="AQ66" s="417"/>
      <c r="AR66" s="417"/>
      <c r="AS66" s="417"/>
      <c r="AT66" s="417"/>
      <c r="AU66" s="417"/>
      <c r="AV66" s="417"/>
      <c r="AW66" s="417"/>
      <c r="AX66" s="417"/>
      <c r="AY66" s="417"/>
      <c r="AZ66" s="417"/>
      <c r="BA66" s="417"/>
      <c r="BC66" s="115"/>
      <c r="BD66" s="115"/>
      <c r="BE66" s="115"/>
      <c r="BF66" s="115"/>
      <c r="BG66" s="115"/>
      <c r="BH66" s="225" t="s">
        <v>345</v>
      </c>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115"/>
    </row>
    <row r="67" spans="2:111" customFormat="1" ht="9" customHeight="1">
      <c r="B67" s="125"/>
      <c r="C67" s="125"/>
      <c r="D67" s="125"/>
      <c r="E67" s="125"/>
      <c r="F67" s="125"/>
      <c r="G67" s="125"/>
      <c r="H67" s="125"/>
      <c r="I67" s="125"/>
      <c r="J67" s="125"/>
      <c r="K67" s="125"/>
      <c r="L67" s="125"/>
      <c r="M67" s="125"/>
      <c r="N67" s="125"/>
      <c r="O67" s="496"/>
      <c r="P67" s="496"/>
      <c r="Q67" s="496"/>
      <c r="R67" s="496"/>
      <c r="S67" s="496"/>
      <c r="T67" s="496"/>
      <c r="U67" s="496"/>
      <c r="V67" s="417"/>
      <c r="W67" s="417"/>
      <c r="X67" s="417"/>
      <c r="Y67" s="417"/>
      <c r="Z67" s="417"/>
      <c r="AA67" s="417"/>
      <c r="AB67" s="417"/>
      <c r="AC67" s="417"/>
      <c r="AD67" s="417"/>
      <c r="AE67" s="417"/>
      <c r="AF67" s="125"/>
      <c r="AG67" s="497"/>
      <c r="AH67" s="497"/>
      <c r="AI67" s="497"/>
      <c r="AJ67" s="497"/>
      <c r="AK67" s="497"/>
      <c r="AL67" s="497"/>
      <c r="AM67" s="497"/>
      <c r="AN67" s="125"/>
      <c r="AO67" s="417"/>
      <c r="AP67" s="417"/>
      <c r="AQ67" s="417"/>
      <c r="AR67" s="417"/>
      <c r="AS67" s="417"/>
      <c r="AT67" s="417"/>
      <c r="AU67" s="417"/>
      <c r="AV67" s="417"/>
      <c r="AW67" s="417"/>
      <c r="AX67" s="417"/>
      <c r="AY67" s="417"/>
      <c r="AZ67" s="417"/>
      <c r="BA67" s="417"/>
      <c r="BC67" s="115"/>
      <c r="BD67" s="115"/>
      <c r="BE67" s="115"/>
      <c r="BF67" s="115"/>
      <c r="BG67" s="11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115"/>
    </row>
    <row r="68" spans="2:111" customFormat="1" ht="9" customHeight="1">
      <c r="BC68" s="115"/>
      <c r="BD68" s="115"/>
      <c r="BE68" s="115"/>
      <c r="BF68" s="115"/>
      <c r="BG68" s="115"/>
      <c r="BH68" s="498"/>
      <c r="BI68" s="498"/>
      <c r="BJ68" s="498"/>
      <c r="BK68" s="498"/>
      <c r="BL68" s="498"/>
      <c r="BM68" s="498"/>
      <c r="BN68" s="498"/>
      <c r="BO68" s="498"/>
      <c r="BP68" s="498"/>
      <c r="BQ68" s="498"/>
      <c r="BR68" s="498"/>
      <c r="BS68" s="498"/>
      <c r="BT68" s="498"/>
      <c r="BU68" s="498"/>
      <c r="BV68" s="498"/>
      <c r="BW68" s="498"/>
      <c r="BX68" s="498"/>
      <c r="BY68" s="498"/>
      <c r="BZ68" s="498"/>
      <c r="CA68" s="498"/>
      <c r="CB68" s="498"/>
      <c r="CC68" s="498"/>
      <c r="CD68" s="498"/>
      <c r="CE68" s="498"/>
      <c r="CF68" s="498"/>
      <c r="CG68" s="498"/>
      <c r="CH68" s="498"/>
      <c r="CI68" s="498"/>
      <c r="CJ68" s="498"/>
      <c r="CK68" s="498"/>
      <c r="CL68" s="498"/>
      <c r="CM68" s="498"/>
      <c r="CN68" s="498"/>
      <c r="CO68" s="498"/>
      <c r="CP68" s="498"/>
      <c r="CQ68" s="498"/>
      <c r="CR68" s="498"/>
      <c r="CS68" s="498"/>
      <c r="CT68" s="498"/>
      <c r="CU68" s="498"/>
      <c r="CV68" s="498"/>
      <c r="CW68" s="498"/>
      <c r="CX68" s="498"/>
      <c r="CY68" s="498"/>
      <c r="CZ68" s="498"/>
      <c r="DA68" s="498"/>
      <c r="DB68" s="498"/>
      <c r="DC68" s="498"/>
      <c r="DD68" s="498"/>
      <c r="DE68" s="498"/>
      <c r="DF68" s="498"/>
      <c r="DG68" s="115"/>
    </row>
    <row r="69" spans="2:111" customFormat="1" ht="9" customHeight="1">
      <c r="B69" s="499" t="str">
        <f>IF($Z$32&gt;=1,"Nome da Empresa ou Nº da Ata","")</f>
        <v>Nome da Empresa ou Nº da Ata</v>
      </c>
      <c r="C69" s="499"/>
      <c r="D69" s="499"/>
      <c r="E69" s="499"/>
      <c r="F69" s="499"/>
      <c r="G69" s="499"/>
      <c r="H69" s="499"/>
      <c r="I69" s="499"/>
      <c r="J69" s="499"/>
      <c r="K69" s="499"/>
      <c r="L69" s="499"/>
      <c r="M69" s="499"/>
      <c r="N69" s="499"/>
      <c r="O69" s="499"/>
      <c r="P69" s="499"/>
      <c r="Q69" s="499"/>
      <c r="R69" s="499"/>
      <c r="S69" s="499"/>
      <c r="T69" s="499"/>
      <c r="U69" s="499"/>
      <c r="V69" s="499"/>
      <c r="W69" s="499"/>
      <c r="X69" s="499" t="str">
        <f>IF($Z$32&gt;=1,"CNPJ / CPF","")</f>
        <v>CNPJ / CPF</v>
      </c>
      <c r="Y69" s="499"/>
      <c r="Z69" s="499"/>
      <c r="AA69" s="499"/>
      <c r="AB69" s="499"/>
      <c r="AC69" s="499"/>
      <c r="AD69" s="499"/>
      <c r="AE69" s="499"/>
      <c r="AF69" s="499"/>
      <c r="AG69" s="499"/>
      <c r="AH69" s="499" t="str">
        <f>IF($Z$32&gt;=1,"Qtde","")</f>
        <v>Qtde</v>
      </c>
      <c r="AI69" s="499"/>
      <c r="AJ69" s="499"/>
      <c r="AK69" s="499"/>
      <c r="AL69" s="499" t="str">
        <f>IF($Z$32&gt;=1,"Valor Unitário (R$)","")</f>
        <v>Valor Unitário (R$)</v>
      </c>
      <c r="AM69" s="499"/>
      <c r="AN69" s="499"/>
      <c r="AO69" s="499"/>
      <c r="AP69" s="499"/>
      <c r="AQ69" s="499"/>
      <c r="AR69" s="499"/>
      <c r="AS69" s="499"/>
      <c r="AT69" s="499" t="str">
        <f>IF($Z$32&gt;=1,"Valor Total (R$)","")</f>
        <v>Valor Total (R$)</v>
      </c>
      <c r="AU69" s="499"/>
      <c r="AV69" s="499"/>
      <c r="AW69" s="499"/>
      <c r="AX69" s="499"/>
      <c r="AY69" s="499"/>
      <c r="AZ69" s="499"/>
      <c r="BA69" s="499"/>
      <c r="BB69" s="177"/>
      <c r="BC69" s="115"/>
      <c r="BD69" s="115"/>
      <c r="BE69" s="115"/>
      <c r="BF69" s="115"/>
      <c r="BG69" s="115"/>
      <c r="BH69" s="498"/>
      <c r="BI69" s="498"/>
      <c r="BJ69" s="498"/>
      <c r="BK69" s="498"/>
      <c r="BL69" s="498"/>
      <c r="BM69" s="498"/>
      <c r="BN69" s="498"/>
      <c r="BO69" s="498"/>
      <c r="BP69" s="498"/>
      <c r="BQ69" s="498"/>
      <c r="BR69" s="498"/>
      <c r="BS69" s="498"/>
      <c r="BT69" s="498"/>
      <c r="BU69" s="498"/>
      <c r="BV69" s="498"/>
      <c r="BW69" s="498"/>
      <c r="BX69" s="498"/>
      <c r="BY69" s="498"/>
      <c r="BZ69" s="498"/>
      <c r="CA69" s="498"/>
      <c r="CB69" s="498"/>
      <c r="CC69" s="498"/>
      <c r="CD69" s="498"/>
      <c r="CE69" s="498"/>
      <c r="CF69" s="498"/>
      <c r="CG69" s="498"/>
      <c r="CH69" s="498"/>
      <c r="CI69" s="498"/>
      <c r="CJ69" s="498"/>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115"/>
    </row>
    <row r="70" spans="2:111" customFormat="1" ht="9" customHeight="1">
      <c r="B70" s="499"/>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R70" s="499"/>
      <c r="AS70" s="499"/>
      <c r="AT70" s="499"/>
      <c r="AU70" s="499"/>
      <c r="AV70" s="499"/>
      <c r="AW70" s="499"/>
      <c r="AX70" s="499"/>
      <c r="AY70" s="499"/>
      <c r="AZ70" s="499"/>
      <c r="BA70" s="499"/>
      <c r="BB70" s="176">
        <f>AVERAGE(AL71:AS73)</f>
        <v>685</v>
      </c>
      <c r="BC70" s="115"/>
      <c r="BD70" s="115"/>
      <c r="BE70" s="115"/>
      <c r="BF70" s="115"/>
      <c r="BG70" s="115"/>
      <c r="BH70" s="498"/>
      <c r="BI70" s="498"/>
      <c r="BJ70" s="498"/>
      <c r="BK70" s="498"/>
      <c r="BL70" s="498"/>
      <c r="BM70" s="498"/>
      <c r="BN70" s="498"/>
      <c r="BO70" s="498"/>
      <c r="BP70" s="498"/>
      <c r="BQ70" s="498"/>
      <c r="BR70" s="498"/>
      <c r="BS70" s="498"/>
      <c r="BT70" s="498"/>
      <c r="BU70" s="498"/>
      <c r="BV70" s="498"/>
      <c r="BW70" s="498"/>
      <c r="BX70" s="498"/>
      <c r="BY70" s="498"/>
      <c r="BZ70" s="498"/>
      <c r="CA70" s="498"/>
      <c r="CB70" s="498"/>
      <c r="CC70" s="498"/>
      <c r="CD70" s="498"/>
      <c r="CE70" s="498"/>
      <c r="CF70" s="498"/>
      <c r="CG70" s="498"/>
      <c r="CH70" s="498"/>
      <c r="CI70" s="498"/>
      <c r="CJ70" s="498"/>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115"/>
    </row>
    <row r="71" spans="2:111" customFormat="1" ht="18" customHeight="1">
      <c r="B71" s="233" t="s">
        <v>594</v>
      </c>
      <c r="C71" s="233"/>
      <c r="D71" s="233"/>
      <c r="E71" s="233"/>
      <c r="F71" s="233"/>
      <c r="G71" s="233"/>
      <c r="H71" s="233"/>
      <c r="I71" s="233"/>
      <c r="J71" s="233"/>
      <c r="K71" s="233"/>
      <c r="L71" s="233"/>
      <c r="M71" s="233"/>
      <c r="N71" s="233"/>
      <c r="O71" s="233"/>
      <c r="P71" s="233"/>
      <c r="Q71" s="233"/>
      <c r="R71" s="233"/>
      <c r="S71" s="233"/>
      <c r="T71" s="233"/>
      <c r="U71" s="233"/>
      <c r="V71" s="233"/>
      <c r="W71" s="233"/>
      <c r="X71" s="486" t="s">
        <v>595</v>
      </c>
      <c r="Y71" s="486"/>
      <c r="Z71" s="486"/>
      <c r="AA71" s="486"/>
      <c r="AB71" s="486"/>
      <c r="AC71" s="486"/>
      <c r="AD71" s="486"/>
      <c r="AE71" s="486"/>
      <c r="AF71" s="486"/>
      <c r="AG71" s="486"/>
      <c r="AH71" s="417">
        <v>1523</v>
      </c>
      <c r="AI71" s="417"/>
      <c r="AJ71" s="417"/>
      <c r="AK71" s="417"/>
      <c r="AL71" s="419">
        <v>685</v>
      </c>
      <c r="AM71" s="419"/>
      <c r="AN71" s="419"/>
      <c r="AO71" s="419"/>
      <c r="AP71" s="419"/>
      <c r="AQ71" s="419"/>
      <c r="AR71" s="419"/>
      <c r="AS71" s="419"/>
      <c r="AT71" s="487">
        <f>IF($Z$32&gt;=1,(AH71*AL71),"")</f>
        <v>1043255</v>
      </c>
      <c r="AU71" s="487"/>
      <c r="AV71" s="487"/>
      <c r="AW71" s="487"/>
      <c r="AX71" s="487"/>
      <c r="AY71" s="487"/>
      <c r="AZ71" s="487"/>
      <c r="BA71" s="487"/>
      <c r="BC71" s="115"/>
      <c r="BD71" s="115"/>
      <c r="BE71" s="115"/>
      <c r="BF71" s="115"/>
      <c r="BG71" s="115"/>
      <c r="BH71" s="498"/>
      <c r="BI71" s="498"/>
      <c r="BJ71" s="498"/>
      <c r="BK71" s="498"/>
      <c r="BL71" s="498"/>
      <c r="BM71" s="498"/>
      <c r="BN71" s="498"/>
      <c r="BO71" s="498"/>
      <c r="BP71" s="498"/>
      <c r="BQ71" s="498"/>
      <c r="BR71" s="498"/>
      <c r="BS71" s="498"/>
      <c r="BT71" s="498"/>
      <c r="BU71" s="498"/>
      <c r="BV71" s="498"/>
      <c r="BW71" s="498"/>
      <c r="BX71" s="498"/>
      <c r="BY71" s="498"/>
      <c r="BZ71" s="498"/>
      <c r="CA71" s="498"/>
      <c r="CB71" s="498"/>
      <c r="CC71" s="498"/>
      <c r="CD71" s="498"/>
      <c r="CE71" s="498"/>
      <c r="CF71" s="498"/>
      <c r="CG71" s="498"/>
      <c r="CH71" s="498"/>
      <c r="CI71" s="498"/>
      <c r="CJ71" s="498"/>
      <c r="CK71" s="498"/>
      <c r="CL71" s="498"/>
      <c r="CM71" s="498"/>
      <c r="CN71" s="498"/>
      <c r="CO71" s="498"/>
      <c r="CP71" s="498"/>
      <c r="CQ71" s="498"/>
      <c r="CR71" s="498"/>
      <c r="CS71" s="498"/>
      <c r="CT71" s="498"/>
      <c r="CU71" s="498"/>
      <c r="CV71" s="498"/>
      <c r="CW71" s="498"/>
      <c r="CX71" s="498"/>
      <c r="CY71" s="498"/>
      <c r="CZ71" s="498"/>
      <c r="DA71" s="498"/>
      <c r="DB71" s="498"/>
      <c r="DC71" s="498"/>
      <c r="DD71" s="498"/>
      <c r="DE71" s="498"/>
      <c r="DF71" s="498"/>
      <c r="DG71" s="115"/>
    </row>
    <row r="72" spans="2:111" customFormat="1" ht="18" customHeight="1">
      <c r="B72" s="233"/>
      <c r="C72" s="233"/>
      <c r="D72" s="233"/>
      <c r="E72" s="233"/>
      <c r="F72" s="233"/>
      <c r="G72" s="233"/>
      <c r="H72" s="233"/>
      <c r="I72" s="233"/>
      <c r="J72" s="233"/>
      <c r="K72" s="233"/>
      <c r="L72" s="233"/>
      <c r="M72" s="233"/>
      <c r="N72" s="233"/>
      <c r="O72" s="233"/>
      <c r="P72" s="233"/>
      <c r="Q72" s="233"/>
      <c r="R72" s="233"/>
      <c r="S72" s="233"/>
      <c r="T72" s="233"/>
      <c r="U72" s="233"/>
      <c r="V72" s="233"/>
      <c r="W72" s="233"/>
      <c r="X72" s="486"/>
      <c r="Y72" s="486"/>
      <c r="Z72" s="486"/>
      <c r="AA72" s="486"/>
      <c r="AB72" s="486"/>
      <c r="AC72" s="486"/>
      <c r="AD72" s="486"/>
      <c r="AE72" s="486"/>
      <c r="AF72" s="486"/>
      <c r="AG72" s="486"/>
      <c r="AH72" s="417"/>
      <c r="AI72" s="417"/>
      <c r="AJ72" s="417"/>
      <c r="AK72" s="417"/>
      <c r="AL72" s="419"/>
      <c r="AM72" s="419"/>
      <c r="AN72" s="419"/>
      <c r="AO72" s="419"/>
      <c r="AP72" s="419"/>
      <c r="AQ72" s="419"/>
      <c r="AR72" s="419"/>
      <c r="AS72" s="419"/>
      <c r="AT72" s="487">
        <f>IF($Z$32&gt;=1,(AH72*AL72),"")</f>
        <v>0</v>
      </c>
      <c r="AU72" s="487"/>
      <c r="AV72" s="487"/>
      <c r="AW72" s="487"/>
      <c r="AX72" s="487"/>
      <c r="AY72" s="487"/>
      <c r="AZ72" s="487"/>
      <c r="BA72" s="487"/>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row>
    <row r="73" spans="2:111" customFormat="1" ht="18" customHeight="1">
      <c r="B73" s="233"/>
      <c r="C73" s="233"/>
      <c r="D73" s="233"/>
      <c r="E73" s="233"/>
      <c r="F73" s="233"/>
      <c r="G73" s="233"/>
      <c r="H73" s="233"/>
      <c r="I73" s="233"/>
      <c r="J73" s="233"/>
      <c r="K73" s="233"/>
      <c r="L73" s="233"/>
      <c r="M73" s="233"/>
      <c r="N73" s="233"/>
      <c r="O73" s="233"/>
      <c r="P73" s="233"/>
      <c r="Q73" s="233"/>
      <c r="R73" s="233"/>
      <c r="S73" s="233"/>
      <c r="T73" s="233"/>
      <c r="U73" s="233"/>
      <c r="V73" s="233"/>
      <c r="W73" s="233"/>
      <c r="X73" s="486"/>
      <c r="Y73" s="486"/>
      <c r="Z73" s="486"/>
      <c r="AA73" s="486"/>
      <c r="AB73" s="486"/>
      <c r="AC73" s="486"/>
      <c r="AD73" s="486"/>
      <c r="AE73" s="486"/>
      <c r="AF73" s="486"/>
      <c r="AG73" s="486"/>
      <c r="AH73" s="417"/>
      <c r="AI73" s="417"/>
      <c r="AJ73" s="417"/>
      <c r="AK73" s="417"/>
      <c r="AL73" s="419"/>
      <c r="AM73" s="419"/>
      <c r="AN73" s="419"/>
      <c r="AO73" s="419"/>
      <c r="AP73" s="419"/>
      <c r="AQ73" s="419"/>
      <c r="AR73" s="419"/>
      <c r="AS73" s="419"/>
      <c r="AT73" s="487">
        <f>IF($Z$32&gt;=1,(AH73*AL73),"")</f>
        <v>0</v>
      </c>
      <c r="AU73" s="487"/>
      <c r="AV73" s="487"/>
      <c r="AW73" s="487"/>
      <c r="AX73" s="487"/>
      <c r="AY73" s="487"/>
      <c r="AZ73" s="487"/>
      <c r="BA73" s="487"/>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row>
    <row r="74" spans="2:111" customFormat="1" ht="15" customHeight="1">
      <c r="AT74" s="500">
        <f>IF(B71="","",IF(AL72="",AT71,IF(AL73="",AVERAGE(AT71:BA72),AVERAGE(AT71:AT73))))</f>
        <v>1043255</v>
      </c>
      <c r="AU74" s="500"/>
      <c r="AV74" s="500"/>
      <c r="AW74" s="500"/>
      <c r="AX74" s="500"/>
      <c r="AY74" s="500"/>
      <c r="AZ74" s="500"/>
      <c r="BA74" s="500"/>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row>
    <row r="75" spans="2:111" customFormat="1" ht="15" customHeight="1">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row>
    <row r="76" spans="2:111" customFormat="1" ht="9" customHeight="1">
      <c r="B76" s="494" t="str">
        <f>IF($Z$32&gt;=2,"Item 2","")</f>
        <v>Item 2</v>
      </c>
      <c r="C76" s="495"/>
      <c r="D76" s="495"/>
      <c r="E76" s="495"/>
      <c r="F76" s="495"/>
      <c r="G76" s="495"/>
      <c r="H76" s="495"/>
      <c r="I76" s="495"/>
      <c r="J76" s="495"/>
      <c r="K76" s="495"/>
      <c r="L76" s="495"/>
      <c r="M76" s="49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row>
    <row r="77" spans="2:111" customFormat="1" ht="9" customHeight="1">
      <c r="B77" s="495"/>
      <c r="C77" s="495"/>
      <c r="D77" s="495"/>
      <c r="E77" s="495"/>
      <c r="F77" s="495"/>
      <c r="G77" s="495"/>
      <c r="H77" s="495"/>
      <c r="I77" s="495"/>
      <c r="J77" s="495"/>
      <c r="K77" s="495"/>
      <c r="L77" s="495"/>
      <c r="M77" s="49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row>
    <row r="78" spans="2:111" customFormat="1" ht="4.5" customHeight="1">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row>
    <row r="79" spans="2:111" customFormat="1" ht="9" customHeight="1">
      <c r="B79" s="493" t="str">
        <f>IF(B76="","","Elemento de Despesa:")</f>
        <v>Elemento de Despesa:</v>
      </c>
      <c r="C79" s="493"/>
      <c r="D79" s="493"/>
      <c r="E79" s="493"/>
      <c r="F79" s="493"/>
      <c r="G79" s="493"/>
      <c r="H79" s="493"/>
      <c r="I79" s="493"/>
      <c r="J79" s="493"/>
      <c r="K79" s="493"/>
      <c r="L79" s="493"/>
      <c r="M79" s="493"/>
      <c r="N79" s="493"/>
      <c r="O79" s="241" t="s">
        <v>327</v>
      </c>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C79" s="115"/>
      <c r="BD79" s="115"/>
      <c r="BE79" s="115"/>
      <c r="BF79" s="115"/>
      <c r="BG79" s="115"/>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15"/>
    </row>
    <row r="80" spans="2:111" customFormat="1" ht="9" customHeight="1">
      <c r="B80" s="493"/>
      <c r="C80" s="493"/>
      <c r="D80" s="493"/>
      <c r="E80" s="493"/>
      <c r="F80" s="493"/>
      <c r="G80" s="493"/>
      <c r="H80" s="493"/>
      <c r="I80" s="493"/>
      <c r="J80" s="493"/>
      <c r="K80" s="493"/>
      <c r="L80" s="493"/>
      <c r="M80" s="493"/>
      <c r="N80" s="493"/>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C80" s="115"/>
      <c r="BD80" s="115"/>
      <c r="BE80" s="115"/>
      <c r="BF80" s="115"/>
      <c r="BG80" s="115"/>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15"/>
    </row>
    <row r="81" spans="2:111" customFormat="1" ht="4.5" customHeight="1">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C81" s="115"/>
      <c r="BD81" s="115"/>
      <c r="BE81" s="115"/>
      <c r="BF81" s="115"/>
      <c r="BG81" s="115"/>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15"/>
    </row>
    <row r="82" spans="2:111" customFormat="1" ht="9" customHeight="1">
      <c r="B82" s="493" t="str">
        <f>IF(B76="","","Objeto:")</f>
        <v>Objeto:</v>
      </c>
      <c r="C82" s="493"/>
      <c r="D82" s="493"/>
      <c r="E82" s="493"/>
      <c r="F82" s="493"/>
      <c r="G82" s="493"/>
      <c r="H82" s="493"/>
      <c r="I82" s="493"/>
      <c r="J82" s="493"/>
      <c r="K82" s="493"/>
      <c r="L82" s="493"/>
      <c r="M82" s="493"/>
      <c r="N82" s="493"/>
      <c r="O82" s="421" t="s">
        <v>612</v>
      </c>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BC82" s="115"/>
      <c r="BD82" s="115"/>
      <c r="BE82" s="115"/>
      <c r="BF82" s="115"/>
      <c r="BG82" s="115"/>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15"/>
    </row>
    <row r="83" spans="2:111" customFormat="1" ht="9" customHeight="1">
      <c r="B83" s="493"/>
      <c r="C83" s="493"/>
      <c r="D83" s="493"/>
      <c r="E83" s="493"/>
      <c r="F83" s="493"/>
      <c r="G83" s="493"/>
      <c r="H83" s="493"/>
      <c r="I83" s="493"/>
      <c r="J83" s="493"/>
      <c r="K83" s="493"/>
      <c r="L83" s="493"/>
      <c r="M83" s="493"/>
      <c r="N83" s="493"/>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1"/>
      <c r="AY83" s="421"/>
      <c r="AZ83" s="421"/>
      <c r="BA83" s="421"/>
      <c r="BC83" s="115"/>
      <c r="BD83" s="115"/>
      <c r="BE83" s="115"/>
      <c r="BF83" s="115"/>
      <c r="BG83" s="115"/>
      <c r="BH83" s="124"/>
      <c r="BI83" s="124"/>
      <c r="BJ83" s="124"/>
      <c r="BK83" s="124"/>
      <c r="BL83" s="124"/>
      <c r="BM83" s="124"/>
      <c r="BN83" s="124"/>
      <c r="BO83" s="124"/>
      <c r="BP83" s="124"/>
      <c r="BQ83" s="124"/>
      <c r="BR83" s="124"/>
      <c r="BS83" s="124"/>
      <c r="BT83" s="124"/>
      <c r="BU83" s="124"/>
      <c r="BV83" s="124"/>
      <c r="BW83" s="124"/>
      <c r="BX83" s="124"/>
      <c r="BY83" s="124"/>
      <c r="BZ83" s="124"/>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24"/>
      <c r="CW83" s="124"/>
      <c r="CX83" s="124"/>
      <c r="CY83" s="124"/>
      <c r="CZ83" s="124"/>
      <c r="DA83" s="124"/>
      <c r="DB83" s="124"/>
      <c r="DC83" s="124"/>
      <c r="DD83" s="124"/>
      <c r="DE83" s="124"/>
      <c r="DF83" s="124"/>
      <c r="DG83" s="115"/>
    </row>
    <row r="84" spans="2:111" customFormat="1" ht="9" customHeight="1">
      <c r="B84" s="143"/>
      <c r="C84" s="143"/>
      <c r="D84" s="143"/>
      <c r="E84" s="143"/>
      <c r="F84" s="143"/>
      <c r="G84" s="143"/>
      <c r="H84" s="143"/>
      <c r="I84" s="143"/>
      <c r="J84" s="143"/>
      <c r="K84" s="143"/>
      <c r="L84" s="143"/>
      <c r="M84" s="143"/>
      <c r="N84" s="143"/>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c r="AU84" s="421"/>
      <c r="AV84" s="421"/>
      <c r="AW84" s="421"/>
      <c r="AX84" s="421"/>
      <c r="AY84" s="421"/>
      <c r="AZ84" s="421"/>
      <c r="BA84" s="421"/>
      <c r="BC84" s="115"/>
      <c r="BD84" s="115"/>
      <c r="BE84" s="115"/>
      <c r="BF84" s="115"/>
      <c r="BG84" s="115"/>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115"/>
    </row>
    <row r="85" spans="2:111" customFormat="1" ht="9" customHeight="1">
      <c r="B85" s="49"/>
      <c r="C85" s="49"/>
      <c r="D85" s="49"/>
      <c r="E85" s="49"/>
      <c r="F85" s="49"/>
      <c r="G85" s="49"/>
      <c r="H85" s="49"/>
      <c r="I85" s="49"/>
      <c r="J85" s="49"/>
      <c r="K85" s="49"/>
      <c r="L85" s="49"/>
      <c r="M85" s="49"/>
      <c r="N85" s="49"/>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c r="AU85" s="421"/>
      <c r="AV85" s="421"/>
      <c r="AW85" s="421"/>
      <c r="AX85" s="421"/>
      <c r="AY85" s="421"/>
      <c r="AZ85" s="421"/>
      <c r="BA85" s="421"/>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row>
    <row r="86" spans="2:111" customFormat="1" ht="4.5" customHeight="1">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C86" s="115"/>
      <c r="BD86" s="115"/>
      <c r="BE86" s="115"/>
      <c r="BF86" s="115"/>
      <c r="BG86" s="115"/>
      <c r="BH86" s="124"/>
      <c r="BI86" s="124"/>
      <c r="BJ86" s="124"/>
      <c r="BK86" s="124"/>
      <c r="BL86" s="124"/>
      <c r="BM86" s="124"/>
      <c r="BN86" s="124"/>
      <c r="BO86" s="124"/>
      <c r="BP86" s="124"/>
      <c r="BQ86" s="124"/>
      <c r="BR86" s="124"/>
      <c r="BS86" s="124"/>
      <c r="BT86" s="124"/>
      <c r="BU86" s="124"/>
      <c r="BV86" s="124"/>
      <c r="BW86" s="124"/>
      <c r="BX86" s="124"/>
      <c r="BY86" s="124"/>
      <c r="BZ86" s="124"/>
      <c r="CA86" s="124"/>
      <c r="CB86" s="124"/>
      <c r="CC86" s="124"/>
      <c r="CD86" s="124"/>
      <c r="CE86" s="124"/>
      <c r="CF86" s="124"/>
      <c r="CG86" s="124"/>
      <c r="CH86" s="124"/>
      <c r="CI86" s="124"/>
      <c r="CJ86" s="124"/>
      <c r="CK86" s="124"/>
      <c r="CL86" s="124"/>
      <c r="CM86" s="124"/>
      <c r="CN86" s="124"/>
      <c r="CO86" s="124"/>
      <c r="CP86" s="124"/>
      <c r="CQ86" s="124"/>
      <c r="CR86" s="124"/>
      <c r="CS86" s="124"/>
      <c r="CT86" s="124"/>
      <c r="CU86" s="124"/>
      <c r="CV86" s="124"/>
      <c r="CW86" s="124"/>
      <c r="CX86" s="124"/>
      <c r="CY86" s="124"/>
      <c r="CZ86" s="124"/>
      <c r="DA86" s="124"/>
      <c r="DB86" s="124"/>
      <c r="DC86" s="124"/>
      <c r="DD86" s="124"/>
      <c r="DE86" s="124"/>
      <c r="DF86" s="124"/>
      <c r="DG86" s="115"/>
    </row>
    <row r="87" spans="2:111" customFormat="1" ht="9" customHeight="1">
      <c r="B87" s="493" t="str">
        <f>IF(B76="","","Detalhamento do Objeto:")</f>
        <v>Detalhamento do Objeto:</v>
      </c>
      <c r="C87" s="493"/>
      <c r="D87" s="493"/>
      <c r="E87" s="493"/>
      <c r="F87" s="493"/>
      <c r="G87" s="493"/>
      <c r="H87" s="493"/>
      <c r="I87" s="493"/>
      <c r="J87" s="493"/>
      <c r="K87" s="493"/>
      <c r="L87" s="493"/>
      <c r="M87" s="493"/>
      <c r="N87" s="493"/>
      <c r="O87" s="421" t="s">
        <v>613</v>
      </c>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1"/>
      <c r="AY87" s="421"/>
      <c r="AZ87" s="421"/>
      <c r="BA87" s="421"/>
      <c r="BC87" s="115"/>
      <c r="BD87" s="115"/>
      <c r="BE87" s="115"/>
      <c r="BF87" s="115"/>
      <c r="BG87" s="115"/>
      <c r="BH87" s="124"/>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15"/>
    </row>
    <row r="88" spans="2:111" customFormat="1" ht="9" customHeight="1">
      <c r="B88" s="493"/>
      <c r="C88" s="493"/>
      <c r="D88" s="493"/>
      <c r="E88" s="493"/>
      <c r="F88" s="493"/>
      <c r="G88" s="493"/>
      <c r="H88" s="493"/>
      <c r="I88" s="493"/>
      <c r="J88" s="493"/>
      <c r="K88" s="493"/>
      <c r="L88" s="493"/>
      <c r="M88" s="493"/>
      <c r="N88" s="493"/>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1"/>
      <c r="AY88" s="421"/>
      <c r="AZ88" s="421"/>
      <c r="BA88" s="421"/>
      <c r="BC88" s="115"/>
      <c r="BD88" s="115"/>
      <c r="BE88" s="115"/>
      <c r="BF88" s="115"/>
      <c r="BG88" s="115"/>
      <c r="BH88" s="124"/>
      <c r="BI88" s="124"/>
      <c r="BJ88" s="124"/>
      <c r="BK88" s="124"/>
      <c r="BL88" s="124"/>
      <c r="BM88" s="124"/>
      <c r="BN88" s="124"/>
      <c r="BO88" s="124"/>
      <c r="BP88" s="124"/>
      <c r="BQ88" s="124"/>
      <c r="BR88" s="124"/>
      <c r="BS88" s="124"/>
      <c r="BT88" s="124"/>
      <c r="BU88" s="124"/>
      <c r="BV88" s="124"/>
      <c r="BW88" s="124"/>
      <c r="BX88" s="124"/>
      <c r="BY88" s="124"/>
      <c r="BZ88" s="124"/>
      <c r="CA88" s="124"/>
      <c r="CB88" s="124"/>
      <c r="CC88" s="124"/>
      <c r="CD88" s="124"/>
      <c r="CE88" s="124"/>
      <c r="CF88" s="124"/>
      <c r="CG88" s="124"/>
      <c r="CH88" s="124"/>
      <c r="CI88" s="124"/>
      <c r="CJ88" s="124"/>
      <c r="CK88" s="124"/>
      <c r="CL88" s="124"/>
      <c r="CM88" s="124"/>
      <c r="CN88" s="124"/>
      <c r="CO88" s="124"/>
      <c r="CP88" s="124"/>
      <c r="CQ88" s="124"/>
      <c r="CR88" s="124"/>
      <c r="CS88" s="124"/>
      <c r="CT88" s="124"/>
      <c r="CU88" s="124"/>
      <c r="CV88" s="124"/>
      <c r="CW88" s="124"/>
      <c r="CX88" s="124"/>
      <c r="CY88" s="124"/>
      <c r="CZ88" s="124"/>
      <c r="DA88" s="124"/>
      <c r="DB88" s="124"/>
      <c r="DC88" s="124"/>
      <c r="DD88" s="124"/>
      <c r="DE88" s="124"/>
      <c r="DF88" s="124"/>
      <c r="DG88" s="115"/>
    </row>
    <row r="89" spans="2:111" customFormat="1" ht="9" customHeight="1">
      <c r="B89" s="143"/>
      <c r="C89" s="143"/>
      <c r="D89" s="143"/>
      <c r="E89" s="143"/>
      <c r="F89" s="143"/>
      <c r="G89" s="143"/>
      <c r="H89" s="143"/>
      <c r="I89" s="143"/>
      <c r="J89" s="143"/>
      <c r="K89" s="143"/>
      <c r="L89" s="143"/>
      <c r="M89" s="143"/>
      <c r="N89" s="143"/>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c r="AU89" s="421"/>
      <c r="AV89" s="421"/>
      <c r="AW89" s="421"/>
      <c r="AX89" s="421"/>
      <c r="AY89" s="421"/>
      <c r="AZ89" s="421"/>
      <c r="BA89" s="421"/>
      <c r="BC89" s="115"/>
      <c r="BD89" s="115"/>
      <c r="BE89" s="115"/>
      <c r="BF89" s="115"/>
      <c r="BG89" s="115"/>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115"/>
    </row>
    <row r="90" spans="2:111" customFormat="1" ht="9" customHeight="1">
      <c r="B90" s="143"/>
      <c r="C90" s="143"/>
      <c r="D90" s="143"/>
      <c r="E90" s="143"/>
      <c r="F90" s="143"/>
      <c r="G90" s="143"/>
      <c r="H90" s="143"/>
      <c r="I90" s="143"/>
      <c r="J90" s="143"/>
      <c r="K90" s="143"/>
      <c r="L90" s="143"/>
      <c r="M90" s="143"/>
      <c r="N90" s="143"/>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c r="AU90" s="421"/>
      <c r="AV90" s="421"/>
      <c r="AW90" s="421"/>
      <c r="AX90" s="421"/>
      <c r="AY90" s="421"/>
      <c r="AZ90" s="421"/>
      <c r="BA90" s="421"/>
      <c r="BC90" s="115"/>
      <c r="BD90" s="115"/>
      <c r="BE90" s="115"/>
      <c r="BF90" s="115"/>
      <c r="BG90" s="115"/>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115"/>
    </row>
    <row r="91" spans="2:111" customFormat="1" ht="9" customHeight="1">
      <c r="B91" s="143"/>
      <c r="C91" s="143"/>
      <c r="D91" s="143"/>
      <c r="E91" s="143"/>
      <c r="F91" s="143"/>
      <c r="G91" s="143"/>
      <c r="H91" s="143"/>
      <c r="I91" s="143"/>
      <c r="J91" s="143"/>
      <c r="K91" s="143"/>
      <c r="L91" s="143"/>
      <c r="M91" s="143"/>
      <c r="N91" s="143"/>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1"/>
      <c r="AY91" s="421"/>
      <c r="AZ91" s="421"/>
      <c r="BA91" s="421"/>
      <c r="BC91" s="115"/>
      <c r="BD91" s="115"/>
      <c r="BE91" s="115"/>
      <c r="BF91" s="115"/>
      <c r="BG91" s="115"/>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115"/>
    </row>
    <row r="92" spans="2:111" customFormat="1" ht="9" customHeight="1">
      <c r="B92" s="143"/>
      <c r="C92" s="143"/>
      <c r="D92" s="143"/>
      <c r="E92" s="143"/>
      <c r="F92" s="143"/>
      <c r="G92" s="143"/>
      <c r="H92" s="143"/>
      <c r="I92" s="143"/>
      <c r="J92" s="143"/>
      <c r="K92" s="143"/>
      <c r="L92" s="143"/>
      <c r="M92" s="143"/>
      <c r="N92" s="143"/>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c r="AU92" s="421"/>
      <c r="AV92" s="421"/>
      <c r="AW92" s="421"/>
      <c r="AX92" s="421"/>
      <c r="AY92" s="421"/>
      <c r="AZ92" s="421"/>
      <c r="BA92" s="421"/>
      <c r="BC92" s="115"/>
      <c r="BD92" s="115"/>
      <c r="BE92" s="115"/>
      <c r="BF92" s="115"/>
      <c r="BG92" s="115"/>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115"/>
    </row>
    <row r="93" spans="2:111" customFormat="1" ht="9" customHeight="1">
      <c r="B93" s="143"/>
      <c r="C93" s="143"/>
      <c r="D93" s="143"/>
      <c r="E93" s="143"/>
      <c r="F93" s="143"/>
      <c r="G93" s="143"/>
      <c r="H93" s="143"/>
      <c r="I93" s="143"/>
      <c r="J93" s="143"/>
      <c r="K93" s="143"/>
      <c r="L93" s="143"/>
      <c r="M93" s="143"/>
      <c r="N93" s="143"/>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c r="AU93" s="421"/>
      <c r="AV93" s="421"/>
      <c r="AW93" s="421"/>
      <c r="AX93" s="421"/>
      <c r="AY93" s="421"/>
      <c r="AZ93" s="421"/>
      <c r="BA93" s="421"/>
      <c r="BC93" s="115"/>
      <c r="BD93" s="115"/>
      <c r="BE93" s="115"/>
      <c r="BF93" s="115"/>
      <c r="BG93" s="115"/>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115"/>
    </row>
    <row r="94" spans="2:111" customFormat="1" ht="9" customHeight="1">
      <c r="B94" s="49"/>
      <c r="C94" s="49"/>
      <c r="D94" s="49"/>
      <c r="E94" s="49"/>
      <c r="F94" s="49"/>
      <c r="G94" s="49"/>
      <c r="H94" s="49"/>
      <c r="I94" s="49"/>
      <c r="J94" s="49"/>
      <c r="K94" s="49"/>
      <c r="L94" s="49"/>
      <c r="M94" s="49"/>
      <c r="N94" s="49"/>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c r="AU94" s="421"/>
      <c r="AV94" s="421"/>
      <c r="AW94" s="421"/>
      <c r="AX94" s="421"/>
      <c r="AY94" s="421"/>
      <c r="AZ94" s="421"/>
      <c r="BA94" s="421"/>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row>
    <row r="95" spans="2:111" customFormat="1" ht="4.5" customHeight="1">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C95" s="115"/>
      <c r="BD95" s="115"/>
      <c r="BE95" s="115"/>
      <c r="BF95" s="115"/>
      <c r="BG95" s="115"/>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24"/>
      <c r="CW95" s="124"/>
      <c r="CX95" s="124"/>
      <c r="CY95" s="124"/>
      <c r="CZ95" s="124"/>
      <c r="DA95" s="124"/>
      <c r="DB95" s="124"/>
      <c r="DC95" s="124"/>
      <c r="DD95" s="124"/>
      <c r="DE95" s="124"/>
      <c r="DF95" s="124"/>
      <c r="DG95" s="115"/>
    </row>
    <row r="96" spans="2:111" customFormat="1" ht="9" customHeight="1">
      <c r="B96" s="493" t="str">
        <f>IF(B76="","","Justificativa:")</f>
        <v>Justificativa:</v>
      </c>
      <c r="C96" s="493"/>
      <c r="D96" s="493"/>
      <c r="E96" s="493"/>
      <c r="F96" s="493"/>
      <c r="G96" s="493"/>
      <c r="H96" s="493"/>
      <c r="I96" s="493"/>
      <c r="J96" s="493"/>
      <c r="K96" s="493"/>
      <c r="L96" s="493"/>
      <c r="M96" s="493"/>
      <c r="N96" s="493"/>
      <c r="O96" s="421" t="s">
        <v>614</v>
      </c>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1"/>
      <c r="AZ96" s="421"/>
      <c r="BA96" s="421"/>
      <c r="BC96" s="115"/>
      <c r="BD96" s="115"/>
      <c r="BE96" s="115"/>
      <c r="BF96" s="115"/>
      <c r="BG96" s="115"/>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15"/>
    </row>
    <row r="97" spans="2:111" customFormat="1" ht="9" customHeight="1">
      <c r="B97" s="493"/>
      <c r="C97" s="493"/>
      <c r="D97" s="493"/>
      <c r="E97" s="493"/>
      <c r="F97" s="493"/>
      <c r="G97" s="493"/>
      <c r="H97" s="493"/>
      <c r="I97" s="493"/>
      <c r="J97" s="493"/>
      <c r="K97" s="493"/>
      <c r="L97" s="493"/>
      <c r="M97" s="493"/>
      <c r="N97" s="493"/>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C97" s="115"/>
      <c r="BD97" s="115"/>
      <c r="BE97" s="115"/>
      <c r="BF97" s="115"/>
      <c r="BG97" s="115"/>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4"/>
      <c r="CW97" s="124"/>
      <c r="CX97" s="124"/>
      <c r="CY97" s="124"/>
      <c r="CZ97" s="124"/>
      <c r="DA97" s="124"/>
      <c r="DB97" s="124"/>
      <c r="DC97" s="124"/>
      <c r="DD97" s="124"/>
      <c r="DE97" s="124"/>
      <c r="DF97" s="124"/>
      <c r="DG97" s="115"/>
    </row>
    <row r="98" spans="2:111" customFormat="1" ht="9" customHeight="1">
      <c r="B98" s="143"/>
      <c r="C98" s="143"/>
      <c r="D98" s="143"/>
      <c r="E98" s="143"/>
      <c r="F98" s="143"/>
      <c r="G98" s="143"/>
      <c r="H98" s="143"/>
      <c r="I98" s="143"/>
      <c r="J98" s="143"/>
      <c r="K98" s="143"/>
      <c r="L98" s="143"/>
      <c r="M98" s="143"/>
      <c r="N98" s="143"/>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C98" s="115"/>
      <c r="BD98" s="115"/>
      <c r="BE98" s="115"/>
      <c r="BF98" s="115"/>
      <c r="BG98" s="115"/>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15"/>
    </row>
    <row r="99" spans="2:111" customFormat="1" ht="9" customHeight="1">
      <c r="B99" s="143"/>
      <c r="C99" s="143"/>
      <c r="D99" s="143"/>
      <c r="E99" s="143"/>
      <c r="F99" s="143"/>
      <c r="G99" s="143"/>
      <c r="H99" s="143"/>
      <c r="I99" s="143"/>
      <c r="J99" s="143"/>
      <c r="K99" s="143"/>
      <c r="L99" s="143"/>
      <c r="M99" s="143"/>
      <c r="N99" s="143"/>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C99" s="115"/>
      <c r="BD99" s="115"/>
      <c r="BE99" s="115"/>
      <c r="BF99" s="115"/>
      <c r="BG99" s="115"/>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115"/>
    </row>
    <row r="100" spans="2:111" customFormat="1" ht="9" customHeight="1">
      <c r="B100" s="143"/>
      <c r="C100" s="143"/>
      <c r="D100" s="143"/>
      <c r="E100" s="143"/>
      <c r="F100" s="143"/>
      <c r="G100" s="143"/>
      <c r="H100" s="143"/>
      <c r="I100" s="143"/>
      <c r="J100" s="143"/>
      <c r="K100" s="143"/>
      <c r="L100" s="143"/>
      <c r="M100" s="143"/>
      <c r="N100" s="143"/>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c r="BA100" s="421"/>
      <c r="BC100" s="115"/>
      <c r="BD100" s="115"/>
      <c r="BE100" s="115"/>
      <c r="BF100" s="115"/>
      <c r="BG100" s="115"/>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115"/>
    </row>
    <row r="101" spans="2:111" customFormat="1" ht="9" customHeight="1">
      <c r="B101" s="49"/>
      <c r="C101" s="49"/>
      <c r="D101" s="49"/>
      <c r="E101" s="49"/>
      <c r="F101" s="49"/>
      <c r="G101" s="49"/>
      <c r="H101" s="49"/>
      <c r="I101" s="49"/>
      <c r="J101" s="49"/>
      <c r="K101" s="49"/>
      <c r="L101" s="49"/>
      <c r="M101" s="49"/>
      <c r="N101" s="49"/>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1"/>
      <c r="AZ101" s="421"/>
      <c r="BA101" s="421"/>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row>
    <row r="102" spans="2:111" customFormat="1" ht="4.5" customHeight="1">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row>
    <row r="103" spans="2:111" customFormat="1" ht="9" customHeight="1">
      <c r="B103" s="493" t="str">
        <f>IF(B76="","","Metas Vinculadas:")</f>
        <v>Metas Vinculadas:</v>
      </c>
      <c r="C103" s="493"/>
      <c r="D103" s="493"/>
      <c r="E103" s="493"/>
      <c r="F103" s="493"/>
      <c r="G103" s="493"/>
      <c r="H103" s="493"/>
      <c r="I103" s="493"/>
      <c r="J103" s="493"/>
      <c r="K103" s="493"/>
      <c r="L103" s="493"/>
      <c r="M103" s="493"/>
      <c r="N103" s="493"/>
      <c r="O103" s="421">
        <v>2</v>
      </c>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1"/>
      <c r="AY103" s="421"/>
      <c r="AZ103" s="421"/>
      <c r="BA103" s="421"/>
      <c r="BC103" s="115"/>
      <c r="BD103" s="115"/>
      <c r="BE103" s="115"/>
      <c r="BF103" s="115"/>
      <c r="BG103" s="115"/>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15"/>
    </row>
    <row r="104" spans="2:111" customFormat="1" ht="9" customHeight="1">
      <c r="B104" s="493"/>
      <c r="C104" s="493"/>
      <c r="D104" s="493"/>
      <c r="E104" s="493"/>
      <c r="F104" s="493"/>
      <c r="G104" s="493"/>
      <c r="H104" s="493"/>
      <c r="I104" s="493"/>
      <c r="J104" s="493"/>
      <c r="K104" s="493"/>
      <c r="L104" s="493"/>
      <c r="M104" s="493"/>
      <c r="N104" s="493"/>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1"/>
      <c r="AY104" s="421"/>
      <c r="AZ104" s="421"/>
      <c r="BA104" s="421"/>
      <c r="BC104" s="115"/>
      <c r="BD104" s="115"/>
      <c r="BE104" s="115"/>
      <c r="BF104" s="115"/>
      <c r="BG104" s="115"/>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115"/>
    </row>
    <row r="105" spans="2:111" customFormat="1" ht="4.5" customHeight="1">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row>
    <row r="106" spans="2:111" customFormat="1" ht="9" customHeight="1">
      <c r="B106" s="125"/>
      <c r="C106" s="125"/>
      <c r="D106" s="125"/>
      <c r="E106" s="125"/>
      <c r="F106" s="125"/>
      <c r="G106" s="125"/>
      <c r="H106" s="125"/>
      <c r="I106" s="125"/>
      <c r="J106" s="125"/>
      <c r="K106" s="125"/>
      <c r="L106" s="125"/>
      <c r="M106" s="125"/>
      <c r="N106" s="125"/>
      <c r="O106" s="496" t="str">
        <f>IF(B76="","","Quantidade:")</f>
        <v>Quantidade:</v>
      </c>
      <c r="P106" s="496"/>
      <c r="Q106" s="496"/>
      <c r="R106" s="496"/>
      <c r="S106" s="496"/>
      <c r="T106" s="496"/>
      <c r="U106" s="496"/>
      <c r="V106" s="417">
        <v>1350</v>
      </c>
      <c r="W106" s="417"/>
      <c r="X106" s="417"/>
      <c r="Y106" s="417"/>
      <c r="Z106" s="417"/>
      <c r="AA106" s="417"/>
      <c r="AB106" s="417"/>
      <c r="AC106" s="417"/>
      <c r="AD106" s="417"/>
      <c r="AE106" s="417"/>
      <c r="AF106" s="125"/>
      <c r="AG106" s="497" t="str">
        <f>IF(B76="","","Unidade:")</f>
        <v>Unidade:</v>
      </c>
      <c r="AH106" s="497"/>
      <c r="AI106" s="497"/>
      <c r="AJ106" s="497"/>
      <c r="AK106" s="497"/>
      <c r="AL106" s="497"/>
      <c r="AM106" s="497"/>
      <c r="AN106" s="125"/>
      <c r="AO106" s="417" t="s">
        <v>596</v>
      </c>
      <c r="AP106" s="417"/>
      <c r="AQ106" s="417"/>
      <c r="AR106" s="417"/>
      <c r="AS106" s="417"/>
      <c r="AT106" s="417"/>
      <c r="AU106" s="417"/>
      <c r="AV106" s="417"/>
      <c r="AW106" s="417"/>
      <c r="AX106" s="417"/>
      <c r="AY106" s="417"/>
      <c r="AZ106" s="417"/>
      <c r="BA106" s="417"/>
      <c r="BC106" s="115"/>
      <c r="BD106" s="115"/>
      <c r="BE106" s="115"/>
      <c r="BF106" s="115"/>
      <c r="BG106" s="115"/>
      <c r="BH106" s="124"/>
      <c r="BI106" s="124"/>
      <c r="BJ106" s="124"/>
      <c r="BK106" s="124"/>
      <c r="BL106" s="124"/>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15"/>
    </row>
    <row r="107" spans="2:111" customFormat="1" ht="9" customHeight="1">
      <c r="B107" s="125"/>
      <c r="C107" s="125"/>
      <c r="D107" s="125"/>
      <c r="E107" s="125"/>
      <c r="F107" s="125"/>
      <c r="G107" s="125"/>
      <c r="H107" s="125"/>
      <c r="I107" s="125"/>
      <c r="J107" s="125"/>
      <c r="K107" s="125"/>
      <c r="L107" s="125"/>
      <c r="M107" s="125"/>
      <c r="N107" s="125"/>
      <c r="O107" s="496"/>
      <c r="P107" s="496"/>
      <c r="Q107" s="496"/>
      <c r="R107" s="496"/>
      <c r="S107" s="496"/>
      <c r="T107" s="496"/>
      <c r="U107" s="496"/>
      <c r="V107" s="417"/>
      <c r="W107" s="417"/>
      <c r="X107" s="417"/>
      <c r="Y107" s="417"/>
      <c r="Z107" s="417"/>
      <c r="AA107" s="417"/>
      <c r="AB107" s="417"/>
      <c r="AC107" s="417"/>
      <c r="AD107" s="417"/>
      <c r="AE107" s="417"/>
      <c r="AF107" s="125"/>
      <c r="AG107" s="497"/>
      <c r="AH107" s="497"/>
      <c r="AI107" s="497"/>
      <c r="AJ107" s="497"/>
      <c r="AK107" s="497"/>
      <c r="AL107" s="497"/>
      <c r="AM107" s="497"/>
      <c r="AN107" s="125"/>
      <c r="AO107" s="417"/>
      <c r="AP107" s="417"/>
      <c r="AQ107" s="417"/>
      <c r="AR107" s="417"/>
      <c r="AS107" s="417"/>
      <c r="AT107" s="417"/>
      <c r="AU107" s="417"/>
      <c r="AV107" s="417"/>
      <c r="AW107" s="417"/>
      <c r="AX107" s="417"/>
      <c r="AY107" s="417"/>
      <c r="AZ107" s="417"/>
      <c r="BA107" s="417"/>
      <c r="BC107" s="115"/>
      <c r="BD107" s="115"/>
      <c r="BE107" s="115"/>
      <c r="BF107" s="115"/>
      <c r="BG107" s="115"/>
      <c r="BH107" s="124"/>
      <c r="BI107" s="124"/>
      <c r="BJ107" s="124"/>
      <c r="BK107" s="124"/>
      <c r="BL107" s="124"/>
      <c r="BM107" s="124"/>
      <c r="BN107" s="124"/>
      <c r="BO107" s="124"/>
      <c r="BP107" s="124"/>
      <c r="BQ107" s="124"/>
      <c r="BR107" s="124"/>
      <c r="BS107" s="124"/>
      <c r="BT107" s="124"/>
      <c r="BU107" s="124"/>
      <c r="BV107" s="124"/>
      <c r="BW107" s="124"/>
      <c r="BX107" s="124"/>
      <c r="BY107" s="124"/>
      <c r="BZ107" s="124"/>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24"/>
      <c r="CW107" s="124"/>
      <c r="CX107" s="124"/>
      <c r="CY107" s="124"/>
      <c r="CZ107" s="124"/>
      <c r="DA107" s="124"/>
      <c r="DB107" s="124"/>
      <c r="DC107" s="124"/>
      <c r="DD107" s="124"/>
      <c r="DE107" s="124"/>
      <c r="DF107" s="124"/>
      <c r="DG107" s="115"/>
    </row>
    <row r="108" spans="2:111" customFormat="1" ht="9" customHeight="1">
      <c r="BC108" s="115"/>
      <c r="BD108" s="115"/>
      <c r="BE108" s="115"/>
      <c r="BF108" s="115"/>
      <c r="BG108" s="115"/>
      <c r="BH108" s="498"/>
      <c r="BI108" s="498"/>
      <c r="BJ108" s="498"/>
      <c r="BK108" s="498"/>
      <c r="BL108" s="498"/>
      <c r="BM108" s="498"/>
      <c r="BN108" s="498"/>
      <c r="BO108" s="498"/>
      <c r="BP108" s="498"/>
      <c r="BQ108" s="498"/>
      <c r="BR108" s="498"/>
      <c r="BS108" s="498"/>
      <c r="BT108" s="498"/>
      <c r="BU108" s="498"/>
      <c r="BV108" s="498"/>
      <c r="BW108" s="498"/>
      <c r="BX108" s="498"/>
      <c r="BY108" s="498"/>
      <c r="BZ108" s="498"/>
      <c r="CA108" s="498"/>
      <c r="CB108" s="498"/>
      <c r="CC108" s="498"/>
      <c r="CD108" s="498"/>
      <c r="CE108" s="498"/>
      <c r="CF108" s="498"/>
      <c r="CG108" s="498"/>
      <c r="CH108" s="498"/>
      <c r="CI108" s="498"/>
      <c r="CJ108" s="498"/>
      <c r="CK108" s="498"/>
      <c r="CL108" s="498"/>
      <c r="CM108" s="498"/>
      <c r="CN108" s="498"/>
      <c r="CO108" s="498"/>
      <c r="CP108" s="498"/>
      <c r="CQ108" s="498"/>
      <c r="CR108" s="498"/>
      <c r="CS108" s="498"/>
      <c r="CT108" s="498"/>
      <c r="CU108" s="498"/>
      <c r="CV108" s="498"/>
      <c r="CW108" s="498"/>
      <c r="CX108" s="498"/>
      <c r="CY108" s="498"/>
      <c r="CZ108" s="498"/>
      <c r="DA108" s="498"/>
      <c r="DB108" s="498"/>
      <c r="DC108" s="498"/>
      <c r="DD108" s="498"/>
      <c r="DE108" s="498"/>
      <c r="DF108" s="498"/>
      <c r="DG108" s="115"/>
    </row>
    <row r="109" spans="2:111" customFormat="1" ht="9" customHeight="1">
      <c r="B109" s="499" t="str">
        <f>IF($Z$32&gt;=2,"Nome da Empresa ou Nº da Ata","")</f>
        <v>Nome da Empresa ou Nº da Ata</v>
      </c>
      <c r="C109" s="499"/>
      <c r="D109" s="499"/>
      <c r="E109" s="499"/>
      <c r="F109" s="499"/>
      <c r="G109" s="499"/>
      <c r="H109" s="499"/>
      <c r="I109" s="499"/>
      <c r="J109" s="499"/>
      <c r="K109" s="499"/>
      <c r="L109" s="499"/>
      <c r="M109" s="499"/>
      <c r="N109" s="499"/>
      <c r="O109" s="499"/>
      <c r="P109" s="499"/>
      <c r="Q109" s="499"/>
      <c r="R109" s="499"/>
      <c r="S109" s="499"/>
      <c r="T109" s="499"/>
      <c r="U109" s="499"/>
      <c r="V109" s="499"/>
      <c r="W109" s="499"/>
      <c r="X109" s="499" t="str">
        <f>IF($Z$32&gt;=2,"CNPJ / CPF","")</f>
        <v>CNPJ / CPF</v>
      </c>
      <c r="Y109" s="499"/>
      <c r="Z109" s="499"/>
      <c r="AA109" s="499"/>
      <c r="AB109" s="499"/>
      <c r="AC109" s="499"/>
      <c r="AD109" s="499"/>
      <c r="AE109" s="499"/>
      <c r="AF109" s="499"/>
      <c r="AG109" s="499"/>
      <c r="AH109" s="499" t="str">
        <f>IF($Z$32&gt;=2,"Qtde","")</f>
        <v>Qtde</v>
      </c>
      <c r="AI109" s="499"/>
      <c r="AJ109" s="499"/>
      <c r="AK109" s="499"/>
      <c r="AL109" s="499" t="str">
        <f>IF($Z$32&gt;=2,"Valor Unitário (R$)","")</f>
        <v>Valor Unitário (R$)</v>
      </c>
      <c r="AM109" s="499"/>
      <c r="AN109" s="499"/>
      <c r="AO109" s="499"/>
      <c r="AP109" s="499"/>
      <c r="AQ109" s="499"/>
      <c r="AR109" s="499"/>
      <c r="AS109" s="499"/>
      <c r="AT109" s="499" t="str">
        <f>IF($Z$32&gt;=2,"Valor Total (R$)","")</f>
        <v>Valor Total (R$)</v>
      </c>
      <c r="AU109" s="499"/>
      <c r="AV109" s="499"/>
      <c r="AW109" s="499"/>
      <c r="AX109" s="499"/>
      <c r="AY109" s="499"/>
      <c r="AZ109" s="499"/>
      <c r="BA109" s="499"/>
      <c r="BC109" s="115"/>
      <c r="BD109" s="115"/>
      <c r="BE109" s="115"/>
      <c r="BF109" s="115"/>
      <c r="BG109" s="115"/>
      <c r="BH109" s="498"/>
      <c r="BI109" s="498"/>
      <c r="BJ109" s="498"/>
      <c r="BK109" s="498"/>
      <c r="BL109" s="498"/>
      <c r="BM109" s="498"/>
      <c r="BN109" s="498"/>
      <c r="BO109" s="498"/>
      <c r="BP109" s="498"/>
      <c r="BQ109" s="498"/>
      <c r="BR109" s="498"/>
      <c r="BS109" s="498"/>
      <c r="BT109" s="498"/>
      <c r="BU109" s="498"/>
      <c r="BV109" s="498"/>
      <c r="BW109" s="498"/>
      <c r="BX109" s="498"/>
      <c r="BY109" s="498"/>
      <c r="BZ109" s="498"/>
      <c r="CA109" s="498"/>
      <c r="CB109" s="498"/>
      <c r="CC109" s="498"/>
      <c r="CD109" s="498"/>
      <c r="CE109" s="498"/>
      <c r="CF109" s="498"/>
      <c r="CG109" s="498"/>
      <c r="CH109" s="498"/>
      <c r="CI109" s="498"/>
      <c r="CJ109" s="498"/>
      <c r="CK109" s="498"/>
      <c r="CL109" s="498"/>
      <c r="CM109" s="498"/>
      <c r="CN109" s="498"/>
      <c r="CO109" s="498"/>
      <c r="CP109" s="498"/>
      <c r="CQ109" s="498"/>
      <c r="CR109" s="498"/>
      <c r="CS109" s="498"/>
      <c r="CT109" s="498"/>
      <c r="CU109" s="498"/>
      <c r="CV109" s="498"/>
      <c r="CW109" s="498"/>
      <c r="CX109" s="498"/>
      <c r="CY109" s="498"/>
      <c r="CZ109" s="498"/>
      <c r="DA109" s="498"/>
      <c r="DB109" s="498"/>
      <c r="DC109" s="498"/>
      <c r="DD109" s="498"/>
      <c r="DE109" s="498"/>
      <c r="DF109" s="498"/>
      <c r="DG109" s="115"/>
    </row>
    <row r="110" spans="2:111" customFormat="1" ht="9" customHeight="1">
      <c r="B110" s="499"/>
      <c r="C110" s="499"/>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499"/>
      <c r="AY110" s="499"/>
      <c r="AZ110" s="499"/>
      <c r="BA110" s="499"/>
      <c r="BB110" s="176">
        <f>AVERAGE(AL111:AS113)</f>
        <v>384.40000000000003</v>
      </c>
      <c r="BC110" s="115"/>
      <c r="BD110" s="115"/>
      <c r="BE110" s="115"/>
      <c r="BF110" s="115"/>
      <c r="BG110" s="115"/>
      <c r="BH110" s="498"/>
      <c r="BI110" s="498"/>
      <c r="BJ110" s="498"/>
      <c r="BK110" s="498"/>
      <c r="BL110" s="498"/>
      <c r="BM110" s="498"/>
      <c r="BN110" s="498"/>
      <c r="BO110" s="498"/>
      <c r="BP110" s="498"/>
      <c r="BQ110" s="498"/>
      <c r="BR110" s="498"/>
      <c r="BS110" s="498"/>
      <c r="BT110" s="498"/>
      <c r="BU110" s="498"/>
      <c r="BV110" s="498"/>
      <c r="BW110" s="498"/>
      <c r="BX110" s="498"/>
      <c r="BY110" s="498"/>
      <c r="BZ110" s="498"/>
      <c r="CA110" s="498"/>
      <c r="CB110" s="498"/>
      <c r="CC110" s="498"/>
      <c r="CD110" s="498"/>
      <c r="CE110" s="498"/>
      <c r="CF110" s="498"/>
      <c r="CG110" s="498"/>
      <c r="CH110" s="498"/>
      <c r="CI110" s="498"/>
      <c r="CJ110" s="498"/>
      <c r="CK110" s="498"/>
      <c r="CL110" s="498"/>
      <c r="CM110" s="498"/>
      <c r="CN110" s="498"/>
      <c r="CO110" s="498"/>
      <c r="CP110" s="498"/>
      <c r="CQ110" s="498"/>
      <c r="CR110" s="498"/>
      <c r="CS110" s="498"/>
      <c r="CT110" s="498"/>
      <c r="CU110" s="498"/>
      <c r="CV110" s="498"/>
      <c r="CW110" s="498"/>
      <c r="CX110" s="498"/>
      <c r="CY110" s="498"/>
      <c r="CZ110" s="498"/>
      <c r="DA110" s="498"/>
      <c r="DB110" s="498"/>
      <c r="DC110" s="498"/>
      <c r="DD110" s="498"/>
      <c r="DE110" s="498"/>
      <c r="DF110" s="498"/>
      <c r="DG110" s="115"/>
    </row>
    <row r="111" spans="2:111" customFormat="1" ht="18" customHeight="1">
      <c r="B111" s="233" t="s">
        <v>597</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486" t="s">
        <v>598</v>
      </c>
      <c r="Y111" s="486"/>
      <c r="Z111" s="486"/>
      <c r="AA111" s="486"/>
      <c r="AB111" s="486"/>
      <c r="AC111" s="486"/>
      <c r="AD111" s="486"/>
      <c r="AE111" s="486"/>
      <c r="AF111" s="486"/>
      <c r="AG111" s="486"/>
      <c r="AH111" s="417">
        <v>1350</v>
      </c>
      <c r="AI111" s="417"/>
      <c r="AJ111" s="417"/>
      <c r="AK111" s="417"/>
      <c r="AL111" s="419">
        <v>266.64</v>
      </c>
      <c r="AM111" s="419"/>
      <c r="AN111" s="419"/>
      <c r="AO111" s="419"/>
      <c r="AP111" s="419"/>
      <c r="AQ111" s="419"/>
      <c r="AR111" s="419"/>
      <c r="AS111" s="419"/>
      <c r="AT111" s="487">
        <f>IF($Z$32&gt;=2,(AH111*AL111),"")</f>
        <v>359964</v>
      </c>
      <c r="AU111" s="487"/>
      <c r="AV111" s="487"/>
      <c r="AW111" s="487"/>
      <c r="AX111" s="487"/>
      <c r="AY111" s="487"/>
      <c r="AZ111" s="487"/>
      <c r="BA111" s="487"/>
      <c r="BB111" s="176"/>
      <c r="BC111" s="115"/>
      <c r="BD111" s="115"/>
      <c r="BE111" s="115"/>
      <c r="BF111" s="115"/>
      <c r="BG111" s="115"/>
      <c r="BH111" s="498"/>
      <c r="BI111" s="498"/>
      <c r="BJ111" s="498"/>
      <c r="BK111" s="498"/>
      <c r="BL111" s="498"/>
      <c r="BM111" s="498"/>
      <c r="BN111" s="498"/>
      <c r="BO111" s="498"/>
      <c r="BP111" s="498"/>
      <c r="BQ111" s="498"/>
      <c r="BR111" s="498"/>
      <c r="BS111" s="498"/>
      <c r="BT111" s="498"/>
      <c r="BU111" s="498"/>
      <c r="BV111" s="498"/>
      <c r="BW111" s="498"/>
      <c r="BX111" s="498"/>
      <c r="BY111" s="498"/>
      <c r="BZ111" s="498"/>
      <c r="CA111" s="498"/>
      <c r="CB111" s="498"/>
      <c r="CC111" s="498"/>
      <c r="CD111" s="498"/>
      <c r="CE111" s="498"/>
      <c r="CF111" s="498"/>
      <c r="CG111" s="498"/>
      <c r="CH111" s="498"/>
      <c r="CI111" s="498"/>
      <c r="CJ111" s="498"/>
      <c r="CK111" s="498"/>
      <c r="CL111" s="498"/>
      <c r="CM111" s="498"/>
      <c r="CN111" s="498"/>
      <c r="CO111" s="498"/>
      <c r="CP111" s="498"/>
      <c r="CQ111" s="498"/>
      <c r="CR111" s="498"/>
      <c r="CS111" s="498"/>
      <c r="CT111" s="498"/>
      <c r="CU111" s="498"/>
      <c r="CV111" s="498"/>
      <c r="CW111" s="498"/>
      <c r="CX111" s="498"/>
      <c r="CY111" s="498"/>
      <c r="CZ111" s="498"/>
      <c r="DA111" s="498"/>
      <c r="DB111" s="498"/>
      <c r="DC111" s="498"/>
      <c r="DD111" s="498"/>
      <c r="DE111" s="498"/>
      <c r="DF111" s="498"/>
      <c r="DG111" s="115"/>
    </row>
    <row r="112" spans="2:111" customFormat="1" ht="18" customHeight="1">
      <c r="B112" s="233" t="s">
        <v>599</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486" t="s">
        <v>600</v>
      </c>
      <c r="Y112" s="486"/>
      <c r="Z112" s="486"/>
      <c r="AA112" s="486"/>
      <c r="AB112" s="486"/>
      <c r="AC112" s="486"/>
      <c r="AD112" s="486"/>
      <c r="AE112" s="486"/>
      <c r="AF112" s="486"/>
      <c r="AG112" s="486"/>
      <c r="AH112" s="417">
        <v>1350</v>
      </c>
      <c r="AI112" s="417"/>
      <c r="AJ112" s="417"/>
      <c r="AK112" s="417"/>
      <c r="AL112" s="419">
        <v>436.56</v>
      </c>
      <c r="AM112" s="419"/>
      <c r="AN112" s="419"/>
      <c r="AO112" s="419"/>
      <c r="AP112" s="419"/>
      <c r="AQ112" s="419"/>
      <c r="AR112" s="419"/>
      <c r="AS112" s="419"/>
      <c r="AT112" s="487">
        <f>IF($Z$32&gt;=2,(AH112*AL112),"")</f>
        <v>589356</v>
      </c>
      <c r="AU112" s="487"/>
      <c r="AV112" s="487"/>
      <c r="AW112" s="487"/>
      <c r="AX112" s="487"/>
      <c r="AY112" s="487"/>
      <c r="AZ112" s="487"/>
      <c r="BA112" s="487"/>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row>
    <row r="113" spans="2:111" customFormat="1" ht="18" customHeight="1">
      <c r="B113" s="233" t="s">
        <v>601</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486" t="s">
        <v>602</v>
      </c>
      <c r="Y113" s="486"/>
      <c r="Z113" s="486"/>
      <c r="AA113" s="486"/>
      <c r="AB113" s="486"/>
      <c r="AC113" s="486"/>
      <c r="AD113" s="486"/>
      <c r="AE113" s="486"/>
      <c r="AF113" s="486"/>
      <c r="AG113" s="486"/>
      <c r="AH113" s="417">
        <v>1350</v>
      </c>
      <c r="AI113" s="417"/>
      <c r="AJ113" s="417"/>
      <c r="AK113" s="417"/>
      <c r="AL113" s="419">
        <v>450</v>
      </c>
      <c r="AM113" s="419"/>
      <c r="AN113" s="419"/>
      <c r="AO113" s="419"/>
      <c r="AP113" s="419"/>
      <c r="AQ113" s="419"/>
      <c r="AR113" s="419"/>
      <c r="AS113" s="419"/>
      <c r="AT113" s="487">
        <f>IF($Z$32&gt;=2,(AH113*AL113),"")</f>
        <v>607500</v>
      </c>
      <c r="AU113" s="487"/>
      <c r="AV113" s="487"/>
      <c r="AW113" s="487"/>
      <c r="AX113" s="487"/>
      <c r="AY113" s="487"/>
      <c r="AZ113" s="487"/>
      <c r="BA113" s="487"/>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row>
    <row r="114" spans="2:111" customFormat="1" ht="15" customHeight="1">
      <c r="AT114" s="500">
        <f>IF(B111="","",IF(AL112="",AT111,IF(AL113="",AVERAGE(AT111:BA112),AVERAGE(AT111:AT113))))</f>
        <v>518940</v>
      </c>
      <c r="AU114" s="500"/>
      <c r="AV114" s="500"/>
      <c r="AW114" s="500"/>
      <c r="AX114" s="500"/>
      <c r="AY114" s="500"/>
      <c r="AZ114" s="500"/>
      <c r="BA114" s="500"/>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row>
    <row r="115" spans="2:111" customFormat="1" ht="15" customHeight="1">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row>
    <row r="116" spans="2:111" customFormat="1" ht="9" customHeight="1">
      <c r="B116" s="494" t="str">
        <f>IF($Z$32&gt;=3,"Item 3","")</f>
        <v>Item 3</v>
      </c>
      <c r="C116" s="495"/>
      <c r="D116" s="495"/>
      <c r="E116" s="495"/>
      <c r="F116" s="495"/>
      <c r="G116" s="495"/>
      <c r="H116" s="495"/>
      <c r="I116" s="495"/>
      <c r="J116" s="495"/>
      <c r="K116" s="495"/>
      <c r="L116" s="495"/>
      <c r="M116" s="49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row>
    <row r="117" spans="2:111" customFormat="1" ht="9" customHeight="1">
      <c r="B117" s="495"/>
      <c r="C117" s="495"/>
      <c r="D117" s="495"/>
      <c r="E117" s="495"/>
      <c r="F117" s="495"/>
      <c r="G117" s="495"/>
      <c r="H117" s="495"/>
      <c r="I117" s="495"/>
      <c r="J117" s="495"/>
      <c r="K117" s="495"/>
      <c r="L117" s="495"/>
      <c r="M117" s="49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row>
    <row r="118" spans="2:111" customFormat="1" ht="4.5" customHeight="1">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row>
    <row r="119" spans="2:111" customFormat="1" ht="9" customHeight="1">
      <c r="B119" s="493" t="str">
        <f>IF(B116="","","Elemento de Despesa:")</f>
        <v>Elemento de Despesa:</v>
      </c>
      <c r="C119" s="493"/>
      <c r="D119" s="493"/>
      <c r="E119" s="493"/>
      <c r="F119" s="493"/>
      <c r="G119" s="493"/>
      <c r="H119" s="493"/>
      <c r="I119" s="493"/>
      <c r="J119" s="493"/>
      <c r="K119" s="493"/>
      <c r="L119" s="493"/>
      <c r="M119" s="493"/>
      <c r="N119" s="493"/>
      <c r="O119" s="241" t="s">
        <v>327</v>
      </c>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C119" s="115"/>
      <c r="BD119" s="115"/>
      <c r="BE119" s="115"/>
      <c r="BF119" s="115"/>
      <c r="BG119" s="115"/>
      <c r="BH119" s="124"/>
      <c r="BI119" s="124"/>
      <c r="BJ119" s="124"/>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c r="CV119" s="124"/>
      <c r="CW119" s="124"/>
      <c r="CX119" s="124"/>
      <c r="CY119" s="124"/>
      <c r="CZ119" s="124"/>
      <c r="DA119" s="124"/>
      <c r="DB119" s="124"/>
      <c r="DC119" s="124"/>
      <c r="DD119" s="124"/>
      <c r="DE119" s="124"/>
      <c r="DF119" s="124"/>
      <c r="DG119" s="115"/>
    </row>
    <row r="120" spans="2:111" customFormat="1" ht="9" customHeight="1">
      <c r="B120" s="493"/>
      <c r="C120" s="493"/>
      <c r="D120" s="493"/>
      <c r="E120" s="493"/>
      <c r="F120" s="493"/>
      <c r="G120" s="493"/>
      <c r="H120" s="493"/>
      <c r="I120" s="493"/>
      <c r="J120" s="493"/>
      <c r="K120" s="493"/>
      <c r="L120" s="493"/>
      <c r="M120" s="493"/>
      <c r="N120" s="493"/>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C120" s="115"/>
      <c r="BD120" s="115"/>
      <c r="BE120" s="115"/>
      <c r="BF120" s="115"/>
      <c r="BG120" s="115"/>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24"/>
      <c r="CW120" s="124"/>
      <c r="CX120" s="124"/>
      <c r="CY120" s="124"/>
      <c r="CZ120" s="124"/>
      <c r="DA120" s="124"/>
      <c r="DB120" s="124"/>
      <c r="DC120" s="124"/>
      <c r="DD120" s="124"/>
      <c r="DE120" s="124"/>
      <c r="DF120" s="124"/>
      <c r="DG120" s="115"/>
    </row>
    <row r="121" spans="2:111" customFormat="1" ht="4.5" customHeight="1">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C121" s="115"/>
      <c r="BD121" s="115"/>
      <c r="BE121" s="115"/>
      <c r="BF121" s="115"/>
      <c r="BG121" s="115"/>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24"/>
      <c r="CW121" s="124"/>
      <c r="CX121" s="124"/>
      <c r="CY121" s="124"/>
      <c r="CZ121" s="124"/>
      <c r="DA121" s="124"/>
      <c r="DB121" s="124"/>
      <c r="DC121" s="124"/>
      <c r="DD121" s="124"/>
      <c r="DE121" s="124"/>
      <c r="DF121" s="124"/>
      <c r="DG121" s="115"/>
    </row>
    <row r="122" spans="2:111" customFormat="1" ht="9" customHeight="1">
      <c r="B122" s="493" t="str">
        <f>IF(B116="","","Objeto:")</f>
        <v>Objeto:</v>
      </c>
      <c r="C122" s="493"/>
      <c r="D122" s="493"/>
      <c r="E122" s="493"/>
      <c r="F122" s="493"/>
      <c r="G122" s="493"/>
      <c r="H122" s="493"/>
      <c r="I122" s="493"/>
      <c r="J122" s="493"/>
      <c r="K122" s="493"/>
      <c r="L122" s="493"/>
      <c r="M122" s="493"/>
      <c r="N122" s="493"/>
      <c r="O122" s="421" t="s">
        <v>615</v>
      </c>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c r="AU122" s="421"/>
      <c r="AV122" s="421"/>
      <c r="AW122" s="421"/>
      <c r="AX122" s="421"/>
      <c r="AY122" s="421"/>
      <c r="AZ122" s="421"/>
      <c r="BA122" s="421"/>
      <c r="BC122" s="115"/>
      <c r="BD122" s="115"/>
      <c r="BE122" s="115"/>
      <c r="BF122" s="115"/>
      <c r="BG122" s="115"/>
      <c r="BH122" s="124"/>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4"/>
      <c r="CY122" s="124"/>
      <c r="CZ122" s="124"/>
      <c r="DA122" s="124"/>
      <c r="DB122" s="124"/>
      <c r="DC122" s="124"/>
      <c r="DD122" s="124"/>
      <c r="DE122" s="124"/>
      <c r="DF122" s="124"/>
      <c r="DG122" s="115"/>
    </row>
    <row r="123" spans="2:111" customFormat="1" ht="9" customHeight="1">
      <c r="B123" s="493"/>
      <c r="C123" s="493"/>
      <c r="D123" s="493"/>
      <c r="E123" s="493"/>
      <c r="F123" s="493"/>
      <c r="G123" s="493"/>
      <c r="H123" s="493"/>
      <c r="I123" s="493"/>
      <c r="J123" s="493"/>
      <c r="K123" s="493"/>
      <c r="L123" s="493"/>
      <c r="M123" s="493"/>
      <c r="N123" s="493"/>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1"/>
      <c r="AL123" s="421"/>
      <c r="AM123" s="421"/>
      <c r="AN123" s="421"/>
      <c r="AO123" s="421"/>
      <c r="AP123" s="421"/>
      <c r="AQ123" s="421"/>
      <c r="AR123" s="421"/>
      <c r="AS123" s="421"/>
      <c r="AT123" s="421"/>
      <c r="AU123" s="421"/>
      <c r="AV123" s="421"/>
      <c r="AW123" s="421"/>
      <c r="AX123" s="421"/>
      <c r="AY123" s="421"/>
      <c r="AZ123" s="421"/>
      <c r="BA123" s="421"/>
      <c r="BC123" s="115"/>
      <c r="BD123" s="115"/>
      <c r="BE123" s="115"/>
      <c r="BF123" s="115"/>
      <c r="BG123" s="115"/>
      <c r="BH123" s="124"/>
      <c r="BI123" s="124"/>
      <c r="BJ123" s="124"/>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c r="CV123" s="124"/>
      <c r="CW123" s="124"/>
      <c r="CX123" s="124"/>
      <c r="CY123" s="124"/>
      <c r="CZ123" s="124"/>
      <c r="DA123" s="124"/>
      <c r="DB123" s="124"/>
      <c r="DC123" s="124"/>
      <c r="DD123" s="124"/>
      <c r="DE123" s="124"/>
      <c r="DF123" s="124"/>
      <c r="DG123" s="115"/>
    </row>
    <row r="124" spans="2:111" customFormat="1" ht="9" customHeight="1">
      <c r="B124" s="143"/>
      <c r="C124" s="143"/>
      <c r="D124" s="143"/>
      <c r="E124" s="143"/>
      <c r="F124" s="143"/>
      <c r="G124" s="143"/>
      <c r="H124" s="143"/>
      <c r="I124" s="143"/>
      <c r="J124" s="143"/>
      <c r="K124" s="143"/>
      <c r="L124" s="143"/>
      <c r="M124" s="143"/>
      <c r="N124" s="143"/>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c r="AN124" s="421"/>
      <c r="AO124" s="421"/>
      <c r="AP124" s="421"/>
      <c r="AQ124" s="421"/>
      <c r="AR124" s="421"/>
      <c r="AS124" s="421"/>
      <c r="AT124" s="421"/>
      <c r="AU124" s="421"/>
      <c r="AV124" s="421"/>
      <c r="AW124" s="421"/>
      <c r="AX124" s="421"/>
      <c r="AY124" s="421"/>
      <c r="AZ124" s="421"/>
      <c r="BA124" s="421"/>
      <c r="BC124" s="115"/>
      <c r="BD124" s="115"/>
      <c r="BE124" s="115"/>
      <c r="BF124" s="115"/>
      <c r="BG124" s="115"/>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115"/>
    </row>
    <row r="125" spans="2:111" customFormat="1" ht="9" customHeight="1">
      <c r="B125" s="49"/>
      <c r="C125" s="49"/>
      <c r="D125" s="49"/>
      <c r="E125" s="49"/>
      <c r="F125" s="49"/>
      <c r="G125" s="49"/>
      <c r="H125" s="49"/>
      <c r="I125" s="49"/>
      <c r="J125" s="49"/>
      <c r="K125" s="49"/>
      <c r="L125" s="49"/>
      <c r="M125" s="49"/>
      <c r="N125" s="49"/>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c r="AN125" s="421"/>
      <c r="AO125" s="421"/>
      <c r="AP125" s="421"/>
      <c r="AQ125" s="421"/>
      <c r="AR125" s="421"/>
      <c r="AS125" s="421"/>
      <c r="AT125" s="421"/>
      <c r="AU125" s="421"/>
      <c r="AV125" s="421"/>
      <c r="AW125" s="421"/>
      <c r="AX125" s="421"/>
      <c r="AY125" s="421"/>
      <c r="AZ125" s="421"/>
      <c r="BA125" s="421"/>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row>
    <row r="126" spans="2:111" customFormat="1" ht="4.5" customHeight="1">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C126" s="115"/>
      <c r="BD126" s="115"/>
      <c r="BE126" s="115"/>
      <c r="BF126" s="115"/>
      <c r="BG126" s="115"/>
      <c r="BH126" s="124"/>
      <c r="BI126" s="124"/>
      <c r="BJ126" s="124"/>
      <c r="BK126" s="124"/>
      <c r="BL126" s="124"/>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4"/>
      <c r="CY126" s="124"/>
      <c r="CZ126" s="124"/>
      <c r="DA126" s="124"/>
      <c r="DB126" s="124"/>
      <c r="DC126" s="124"/>
      <c r="DD126" s="124"/>
      <c r="DE126" s="124"/>
      <c r="DF126" s="124"/>
      <c r="DG126" s="115"/>
    </row>
    <row r="127" spans="2:111" customFormat="1" ht="9" customHeight="1">
      <c r="B127" s="493" t="str">
        <f>IF(B116="","","Detalhamento do Objeto:")</f>
        <v>Detalhamento do Objeto:</v>
      </c>
      <c r="C127" s="493"/>
      <c r="D127" s="493"/>
      <c r="E127" s="493"/>
      <c r="F127" s="493"/>
      <c r="G127" s="493"/>
      <c r="H127" s="493"/>
      <c r="I127" s="493"/>
      <c r="J127" s="493"/>
      <c r="K127" s="493"/>
      <c r="L127" s="493"/>
      <c r="M127" s="493"/>
      <c r="N127" s="493"/>
      <c r="O127" s="421" t="s">
        <v>616</v>
      </c>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C127" s="115"/>
      <c r="BD127" s="115"/>
      <c r="BE127" s="115"/>
      <c r="BF127" s="115"/>
      <c r="BG127" s="115"/>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c r="CT127" s="124"/>
      <c r="CU127" s="124"/>
      <c r="CV127" s="124"/>
      <c r="CW127" s="124"/>
      <c r="CX127" s="124"/>
      <c r="CY127" s="124"/>
      <c r="CZ127" s="124"/>
      <c r="DA127" s="124"/>
      <c r="DB127" s="124"/>
      <c r="DC127" s="124"/>
      <c r="DD127" s="124"/>
      <c r="DE127" s="124"/>
      <c r="DF127" s="124"/>
      <c r="DG127" s="115"/>
    </row>
    <row r="128" spans="2:111" customFormat="1" ht="9" customHeight="1">
      <c r="B128" s="493"/>
      <c r="C128" s="493"/>
      <c r="D128" s="493"/>
      <c r="E128" s="493"/>
      <c r="F128" s="493"/>
      <c r="G128" s="493"/>
      <c r="H128" s="493"/>
      <c r="I128" s="493"/>
      <c r="J128" s="493"/>
      <c r="K128" s="493"/>
      <c r="L128" s="493"/>
      <c r="M128" s="493"/>
      <c r="N128" s="493"/>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1"/>
      <c r="BA128" s="421"/>
      <c r="BC128" s="115"/>
      <c r="BD128" s="115"/>
      <c r="BE128" s="115"/>
      <c r="BF128" s="115"/>
      <c r="BG128" s="115"/>
      <c r="BH128" s="124"/>
      <c r="BI128" s="124"/>
      <c r="BJ128" s="124"/>
      <c r="BK128" s="124"/>
      <c r="BL128" s="124"/>
      <c r="BM128" s="124"/>
      <c r="BN128" s="12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15"/>
    </row>
    <row r="129" spans="2:111" customFormat="1" ht="9" customHeight="1">
      <c r="B129" s="143"/>
      <c r="C129" s="143"/>
      <c r="D129" s="143"/>
      <c r="E129" s="143"/>
      <c r="F129" s="143"/>
      <c r="G129" s="143"/>
      <c r="H129" s="143"/>
      <c r="I129" s="143"/>
      <c r="J129" s="143"/>
      <c r="K129" s="143"/>
      <c r="L129" s="143"/>
      <c r="M129" s="143"/>
      <c r="N129" s="143"/>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1"/>
      <c r="AY129" s="421"/>
      <c r="AZ129" s="421"/>
      <c r="BA129" s="421"/>
      <c r="BC129" s="115"/>
      <c r="BD129" s="115"/>
      <c r="BE129" s="115"/>
      <c r="BF129" s="115"/>
      <c r="BG129" s="115"/>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115"/>
    </row>
    <row r="130" spans="2:111" customFormat="1" ht="9" customHeight="1">
      <c r="B130" s="143"/>
      <c r="C130" s="143"/>
      <c r="D130" s="143"/>
      <c r="E130" s="143"/>
      <c r="F130" s="143"/>
      <c r="G130" s="143"/>
      <c r="H130" s="143"/>
      <c r="I130" s="143"/>
      <c r="J130" s="143"/>
      <c r="K130" s="143"/>
      <c r="L130" s="143"/>
      <c r="M130" s="143"/>
      <c r="N130" s="143"/>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1"/>
      <c r="AY130" s="421"/>
      <c r="AZ130" s="421"/>
      <c r="BA130" s="421"/>
      <c r="BC130" s="115"/>
      <c r="BD130" s="115"/>
      <c r="BE130" s="115"/>
      <c r="BF130" s="115"/>
      <c r="BG130" s="115"/>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115"/>
    </row>
    <row r="131" spans="2:111" customFormat="1" ht="9" customHeight="1">
      <c r="B131" s="143"/>
      <c r="C131" s="143"/>
      <c r="D131" s="143"/>
      <c r="E131" s="143"/>
      <c r="F131" s="143"/>
      <c r="G131" s="143"/>
      <c r="H131" s="143"/>
      <c r="I131" s="143"/>
      <c r="J131" s="143"/>
      <c r="K131" s="143"/>
      <c r="L131" s="143"/>
      <c r="M131" s="143"/>
      <c r="N131" s="143"/>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421"/>
      <c r="BC131" s="115"/>
      <c r="BD131" s="115"/>
      <c r="BE131" s="115"/>
      <c r="BF131" s="115"/>
      <c r="BG131" s="115"/>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115"/>
    </row>
    <row r="132" spans="2:111" customFormat="1" ht="9" customHeight="1">
      <c r="B132" s="143"/>
      <c r="C132" s="143"/>
      <c r="D132" s="143"/>
      <c r="E132" s="143"/>
      <c r="F132" s="143"/>
      <c r="G132" s="143"/>
      <c r="H132" s="143"/>
      <c r="I132" s="143"/>
      <c r="J132" s="143"/>
      <c r="K132" s="143"/>
      <c r="L132" s="143"/>
      <c r="M132" s="143"/>
      <c r="N132" s="143"/>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1"/>
      <c r="AY132" s="421"/>
      <c r="AZ132" s="421"/>
      <c r="BA132" s="421"/>
      <c r="BC132" s="115"/>
      <c r="BD132" s="115"/>
      <c r="BE132" s="115"/>
      <c r="BF132" s="115"/>
      <c r="BG132" s="115"/>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115"/>
    </row>
    <row r="133" spans="2:111" customFormat="1" ht="9" customHeight="1">
      <c r="B133" s="143"/>
      <c r="C133" s="143"/>
      <c r="D133" s="143"/>
      <c r="E133" s="143"/>
      <c r="F133" s="143"/>
      <c r="G133" s="143"/>
      <c r="H133" s="143"/>
      <c r="I133" s="143"/>
      <c r="J133" s="143"/>
      <c r="K133" s="143"/>
      <c r="L133" s="143"/>
      <c r="M133" s="143"/>
      <c r="N133" s="143"/>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421"/>
      <c r="BA133" s="421"/>
      <c r="BC133" s="115"/>
      <c r="BD133" s="115"/>
      <c r="BE133" s="115"/>
      <c r="BF133" s="115"/>
      <c r="BG133" s="115"/>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115"/>
    </row>
    <row r="134" spans="2:111" customFormat="1" ht="9" customHeight="1">
      <c r="B134" s="49"/>
      <c r="C134" s="49"/>
      <c r="D134" s="49"/>
      <c r="E134" s="49"/>
      <c r="F134" s="49"/>
      <c r="G134" s="49"/>
      <c r="H134" s="49"/>
      <c r="I134" s="49"/>
      <c r="J134" s="49"/>
      <c r="K134" s="49"/>
      <c r="L134" s="49"/>
      <c r="M134" s="49"/>
      <c r="N134" s="49"/>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1"/>
      <c r="BA134" s="421"/>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row>
    <row r="135" spans="2:111" customFormat="1" ht="4.5" customHeight="1">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C135" s="115"/>
      <c r="BD135" s="115"/>
      <c r="BE135" s="115"/>
      <c r="BF135" s="115"/>
      <c r="BG135" s="115"/>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c r="CV135" s="124"/>
      <c r="CW135" s="124"/>
      <c r="CX135" s="124"/>
      <c r="CY135" s="124"/>
      <c r="CZ135" s="124"/>
      <c r="DA135" s="124"/>
      <c r="DB135" s="124"/>
      <c r="DC135" s="124"/>
      <c r="DD135" s="124"/>
      <c r="DE135" s="124"/>
      <c r="DF135" s="124"/>
      <c r="DG135" s="115"/>
    </row>
    <row r="136" spans="2:111" customFormat="1" ht="9" customHeight="1">
      <c r="B136" s="493" t="str">
        <f>IF(B116="","","Justificativa:")</f>
        <v>Justificativa:</v>
      </c>
      <c r="C136" s="493"/>
      <c r="D136" s="493"/>
      <c r="E136" s="493"/>
      <c r="F136" s="493"/>
      <c r="G136" s="493"/>
      <c r="H136" s="493"/>
      <c r="I136" s="493"/>
      <c r="J136" s="493"/>
      <c r="K136" s="493"/>
      <c r="L136" s="493"/>
      <c r="M136" s="493"/>
      <c r="N136" s="493"/>
      <c r="O136" s="421" t="s">
        <v>617</v>
      </c>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421"/>
      <c r="BC136" s="115"/>
      <c r="BD136" s="115"/>
      <c r="BE136" s="115"/>
      <c r="BF136" s="115"/>
      <c r="BG136" s="115"/>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c r="CT136" s="124"/>
      <c r="CU136" s="124"/>
      <c r="CV136" s="124"/>
      <c r="CW136" s="124"/>
      <c r="CX136" s="124"/>
      <c r="CY136" s="124"/>
      <c r="CZ136" s="124"/>
      <c r="DA136" s="124"/>
      <c r="DB136" s="124"/>
      <c r="DC136" s="124"/>
      <c r="DD136" s="124"/>
      <c r="DE136" s="124"/>
      <c r="DF136" s="124"/>
      <c r="DG136" s="115"/>
    </row>
    <row r="137" spans="2:111" customFormat="1" ht="9" customHeight="1">
      <c r="B137" s="493"/>
      <c r="C137" s="493"/>
      <c r="D137" s="493"/>
      <c r="E137" s="493"/>
      <c r="F137" s="493"/>
      <c r="G137" s="493"/>
      <c r="H137" s="493"/>
      <c r="I137" s="493"/>
      <c r="J137" s="493"/>
      <c r="K137" s="493"/>
      <c r="L137" s="493"/>
      <c r="M137" s="493"/>
      <c r="N137" s="493"/>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421"/>
      <c r="AL137" s="421"/>
      <c r="AM137" s="421"/>
      <c r="AN137" s="421"/>
      <c r="AO137" s="421"/>
      <c r="AP137" s="421"/>
      <c r="AQ137" s="421"/>
      <c r="AR137" s="421"/>
      <c r="AS137" s="421"/>
      <c r="AT137" s="421"/>
      <c r="AU137" s="421"/>
      <c r="AV137" s="421"/>
      <c r="AW137" s="421"/>
      <c r="AX137" s="421"/>
      <c r="AY137" s="421"/>
      <c r="AZ137" s="421"/>
      <c r="BA137" s="421"/>
      <c r="BC137" s="115"/>
      <c r="BD137" s="115"/>
      <c r="BE137" s="115"/>
      <c r="BF137" s="115"/>
      <c r="BG137" s="115"/>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124"/>
      <c r="CT137" s="124"/>
      <c r="CU137" s="124"/>
      <c r="CV137" s="124"/>
      <c r="CW137" s="124"/>
      <c r="CX137" s="124"/>
      <c r="CY137" s="124"/>
      <c r="CZ137" s="124"/>
      <c r="DA137" s="124"/>
      <c r="DB137" s="124"/>
      <c r="DC137" s="124"/>
      <c r="DD137" s="124"/>
      <c r="DE137" s="124"/>
      <c r="DF137" s="124"/>
      <c r="DG137" s="115"/>
    </row>
    <row r="138" spans="2:111" customFormat="1" ht="9" customHeight="1">
      <c r="B138" s="143"/>
      <c r="C138" s="143"/>
      <c r="D138" s="143"/>
      <c r="E138" s="143"/>
      <c r="F138" s="143"/>
      <c r="G138" s="143"/>
      <c r="H138" s="143"/>
      <c r="I138" s="143"/>
      <c r="J138" s="143"/>
      <c r="K138" s="143"/>
      <c r="L138" s="143"/>
      <c r="M138" s="143"/>
      <c r="N138" s="143"/>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C138" s="115"/>
      <c r="BD138" s="115"/>
      <c r="BE138" s="115"/>
      <c r="BF138" s="115"/>
      <c r="BG138" s="115"/>
      <c r="BH138" s="124"/>
      <c r="BI138" s="124"/>
      <c r="BJ138" s="124"/>
      <c r="BK138" s="124"/>
      <c r="BL138" s="124"/>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4"/>
      <c r="CY138" s="124"/>
      <c r="CZ138" s="124"/>
      <c r="DA138" s="124"/>
      <c r="DB138" s="124"/>
      <c r="DC138" s="124"/>
      <c r="DD138" s="124"/>
      <c r="DE138" s="124"/>
      <c r="DF138" s="124"/>
      <c r="DG138" s="115"/>
    </row>
    <row r="139" spans="2:111" customFormat="1" ht="9" customHeight="1">
      <c r="B139" s="143"/>
      <c r="C139" s="143"/>
      <c r="D139" s="143"/>
      <c r="E139" s="143"/>
      <c r="F139" s="143"/>
      <c r="G139" s="143"/>
      <c r="H139" s="143"/>
      <c r="I139" s="143"/>
      <c r="J139" s="143"/>
      <c r="K139" s="143"/>
      <c r="L139" s="143"/>
      <c r="M139" s="143"/>
      <c r="N139" s="143"/>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c r="AU139" s="421"/>
      <c r="AV139" s="421"/>
      <c r="AW139" s="421"/>
      <c r="AX139" s="421"/>
      <c r="AY139" s="421"/>
      <c r="AZ139" s="421"/>
      <c r="BA139" s="421"/>
      <c r="BC139" s="115"/>
      <c r="BD139" s="115"/>
      <c r="BE139" s="115"/>
      <c r="BF139" s="115"/>
      <c r="BG139" s="115"/>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115"/>
    </row>
    <row r="140" spans="2:111" customFormat="1" ht="9" customHeight="1">
      <c r="B140" s="143"/>
      <c r="C140" s="143"/>
      <c r="D140" s="143"/>
      <c r="E140" s="143"/>
      <c r="F140" s="143"/>
      <c r="G140" s="143"/>
      <c r="H140" s="143"/>
      <c r="I140" s="143"/>
      <c r="J140" s="143"/>
      <c r="K140" s="143"/>
      <c r="L140" s="143"/>
      <c r="M140" s="143"/>
      <c r="N140" s="143"/>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c r="AU140" s="421"/>
      <c r="AV140" s="421"/>
      <c r="AW140" s="421"/>
      <c r="AX140" s="421"/>
      <c r="AY140" s="421"/>
      <c r="AZ140" s="421"/>
      <c r="BA140" s="421"/>
      <c r="BC140" s="115"/>
      <c r="BD140" s="115"/>
      <c r="BE140" s="115"/>
      <c r="BF140" s="115"/>
      <c r="BG140" s="115"/>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115"/>
    </row>
    <row r="141" spans="2:111" customFormat="1" ht="9" customHeight="1">
      <c r="B141" s="49"/>
      <c r="C141" s="49"/>
      <c r="D141" s="49"/>
      <c r="E141" s="49"/>
      <c r="F141" s="49"/>
      <c r="G141" s="49"/>
      <c r="H141" s="49"/>
      <c r="I141" s="49"/>
      <c r="J141" s="49"/>
      <c r="K141" s="49"/>
      <c r="L141" s="49"/>
      <c r="M141" s="49"/>
      <c r="N141" s="49"/>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c r="AU141" s="421"/>
      <c r="AV141" s="421"/>
      <c r="AW141" s="421"/>
      <c r="AX141" s="421"/>
      <c r="AY141" s="421"/>
      <c r="AZ141" s="421"/>
      <c r="BA141" s="421"/>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row>
    <row r="142" spans="2:111" customFormat="1" ht="4.5" customHeight="1">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row>
    <row r="143" spans="2:111" customFormat="1" ht="9" customHeight="1">
      <c r="B143" s="493" t="str">
        <f>IF(B116="","","Metas Vinculadas:")</f>
        <v>Metas Vinculadas:</v>
      </c>
      <c r="C143" s="493"/>
      <c r="D143" s="493"/>
      <c r="E143" s="493"/>
      <c r="F143" s="493"/>
      <c r="G143" s="493"/>
      <c r="H143" s="493"/>
      <c r="I143" s="493"/>
      <c r="J143" s="493"/>
      <c r="K143" s="493"/>
      <c r="L143" s="493"/>
      <c r="M143" s="493"/>
      <c r="N143" s="493"/>
      <c r="O143" s="421">
        <v>2</v>
      </c>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c r="AU143" s="421"/>
      <c r="AV143" s="421"/>
      <c r="AW143" s="421"/>
      <c r="AX143" s="421"/>
      <c r="AY143" s="421"/>
      <c r="AZ143" s="421"/>
      <c r="BA143" s="421"/>
      <c r="BC143" s="115"/>
      <c r="BD143" s="115"/>
      <c r="BE143" s="115"/>
      <c r="BF143" s="115"/>
      <c r="BG143" s="115"/>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c r="CT143" s="124"/>
      <c r="CU143" s="124"/>
      <c r="CV143" s="124"/>
      <c r="CW143" s="124"/>
      <c r="CX143" s="124"/>
      <c r="CY143" s="124"/>
      <c r="CZ143" s="124"/>
      <c r="DA143" s="124"/>
      <c r="DB143" s="124"/>
      <c r="DC143" s="124"/>
      <c r="DD143" s="124"/>
      <c r="DE143" s="124"/>
      <c r="DF143" s="124"/>
      <c r="DG143" s="115"/>
    </row>
    <row r="144" spans="2:111" customFormat="1" ht="9" customHeight="1">
      <c r="B144" s="493"/>
      <c r="C144" s="493"/>
      <c r="D144" s="493"/>
      <c r="E144" s="493"/>
      <c r="F144" s="493"/>
      <c r="G144" s="493"/>
      <c r="H144" s="493"/>
      <c r="I144" s="493"/>
      <c r="J144" s="493"/>
      <c r="K144" s="493"/>
      <c r="L144" s="493"/>
      <c r="M144" s="493"/>
      <c r="N144" s="493"/>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c r="AU144" s="421"/>
      <c r="AV144" s="421"/>
      <c r="AW144" s="421"/>
      <c r="AX144" s="421"/>
      <c r="AY144" s="421"/>
      <c r="AZ144" s="421"/>
      <c r="BA144" s="421"/>
      <c r="BC144" s="115"/>
      <c r="BD144" s="115"/>
      <c r="BE144" s="115"/>
      <c r="BF144" s="115"/>
      <c r="BG144" s="115"/>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115"/>
    </row>
    <row r="145" spans="2:111" customFormat="1" ht="4.5" customHeight="1">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row>
    <row r="146" spans="2:111" customFormat="1" ht="9" customHeight="1">
      <c r="B146" s="125"/>
      <c r="C146" s="125"/>
      <c r="D146" s="125"/>
      <c r="E146" s="125"/>
      <c r="F146" s="125"/>
      <c r="G146" s="125"/>
      <c r="H146" s="125"/>
      <c r="I146" s="125"/>
      <c r="J146" s="125"/>
      <c r="K146" s="125"/>
      <c r="L146" s="125"/>
      <c r="M146" s="125"/>
      <c r="N146" s="125"/>
      <c r="O146" s="496" t="str">
        <f>IF(B116="","","Quantidade:")</f>
        <v>Quantidade:</v>
      </c>
      <c r="P146" s="496"/>
      <c r="Q146" s="496"/>
      <c r="R146" s="496"/>
      <c r="S146" s="496"/>
      <c r="T146" s="496"/>
      <c r="U146" s="496"/>
      <c r="V146" s="417">
        <v>1234</v>
      </c>
      <c r="W146" s="417"/>
      <c r="X146" s="417"/>
      <c r="Y146" s="417"/>
      <c r="Z146" s="417"/>
      <c r="AA146" s="417"/>
      <c r="AB146" s="417"/>
      <c r="AC146" s="417"/>
      <c r="AD146" s="417"/>
      <c r="AE146" s="417"/>
      <c r="AF146" s="125"/>
      <c r="AG146" s="497" t="str">
        <f>IF(B116="","","Unidade:")</f>
        <v>Unidade:</v>
      </c>
      <c r="AH146" s="497"/>
      <c r="AI146" s="497"/>
      <c r="AJ146" s="497"/>
      <c r="AK146" s="497"/>
      <c r="AL146" s="497"/>
      <c r="AM146" s="497"/>
      <c r="AN146" s="125"/>
      <c r="AO146" s="417" t="s">
        <v>603</v>
      </c>
      <c r="AP146" s="417"/>
      <c r="AQ146" s="417"/>
      <c r="AR146" s="417"/>
      <c r="AS146" s="417"/>
      <c r="AT146" s="417"/>
      <c r="AU146" s="417"/>
      <c r="AV146" s="417"/>
      <c r="AW146" s="417"/>
      <c r="AX146" s="417"/>
      <c r="AY146" s="417"/>
      <c r="AZ146" s="417"/>
      <c r="BA146" s="417"/>
      <c r="BC146" s="115"/>
      <c r="BD146" s="115"/>
      <c r="BE146" s="115"/>
      <c r="BF146" s="115"/>
      <c r="BG146" s="115"/>
      <c r="BH146" s="124"/>
      <c r="BI146" s="124"/>
      <c r="BJ146" s="124"/>
      <c r="BK146" s="124"/>
      <c r="BL146" s="124"/>
      <c r="BM146" s="124"/>
      <c r="BN146" s="124"/>
      <c r="BO146" s="124"/>
      <c r="BP146" s="124"/>
      <c r="BQ146" s="124"/>
      <c r="BR146" s="124"/>
      <c r="BS146" s="124"/>
      <c r="BT146" s="124"/>
      <c r="BU146" s="124"/>
      <c r="BV146" s="124"/>
      <c r="BW146" s="124"/>
      <c r="BX146" s="124"/>
      <c r="BY146" s="124"/>
      <c r="BZ146" s="124"/>
      <c r="CA146" s="124"/>
      <c r="CB146" s="124"/>
      <c r="CC146" s="124"/>
      <c r="CD146" s="124"/>
      <c r="CE146" s="124"/>
      <c r="CF146" s="124"/>
      <c r="CG146" s="124"/>
      <c r="CH146" s="124"/>
      <c r="CI146" s="124"/>
      <c r="CJ146" s="124"/>
      <c r="CK146" s="124"/>
      <c r="CL146" s="124"/>
      <c r="CM146" s="124"/>
      <c r="CN146" s="124"/>
      <c r="CO146" s="124"/>
      <c r="CP146" s="124"/>
      <c r="CQ146" s="124"/>
      <c r="CR146" s="124"/>
      <c r="CS146" s="124"/>
      <c r="CT146" s="124"/>
      <c r="CU146" s="124"/>
      <c r="CV146" s="124"/>
      <c r="CW146" s="124"/>
      <c r="CX146" s="124"/>
      <c r="CY146" s="124"/>
      <c r="CZ146" s="124"/>
      <c r="DA146" s="124"/>
      <c r="DB146" s="124"/>
      <c r="DC146" s="124"/>
      <c r="DD146" s="124"/>
      <c r="DE146" s="124"/>
      <c r="DF146" s="124"/>
      <c r="DG146" s="115"/>
    </row>
    <row r="147" spans="2:111" customFormat="1" ht="9" customHeight="1">
      <c r="B147" s="125"/>
      <c r="C147" s="125"/>
      <c r="D147" s="125"/>
      <c r="E147" s="125"/>
      <c r="F147" s="125"/>
      <c r="G147" s="125"/>
      <c r="H147" s="125"/>
      <c r="I147" s="125"/>
      <c r="J147" s="125"/>
      <c r="K147" s="125"/>
      <c r="L147" s="125"/>
      <c r="M147" s="125"/>
      <c r="N147" s="125"/>
      <c r="O147" s="496"/>
      <c r="P147" s="496"/>
      <c r="Q147" s="496"/>
      <c r="R147" s="496"/>
      <c r="S147" s="496"/>
      <c r="T147" s="496"/>
      <c r="U147" s="496"/>
      <c r="V147" s="417"/>
      <c r="W147" s="417"/>
      <c r="X147" s="417"/>
      <c r="Y147" s="417"/>
      <c r="Z147" s="417"/>
      <c r="AA147" s="417"/>
      <c r="AB147" s="417"/>
      <c r="AC147" s="417"/>
      <c r="AD147" s="417"/>
      <c r="AE147" s="417"/>
      <c r="AF147" s="125"/>
      <c r="AG147" s="497"/>
      <c r="AH147" s="497"/>
      <c r="AI147" s="497"/>
      <c r="AJ147" s="497"/>
      <c r="AK147" s="497"/>
      <c r="AL147" s="497"/>
      <c r="AM147" s="497"/>
      <c r="AN147" s="125"/>
      <c r="AO147" s="417"/>
      <c r="AP147" s="417"/>
      <c r="AQ147" s="417"/>
      <c r="AR147" s="417"/>
      <c r="AS147" s="417"/>
      <c r="AT147" s="417"/>
      <c r="AU147" s="417"/>
      <c r="AV147" s="417"/>
      <c r="AW147" s="417"/>
      <c r="AX147" s="417"/>
      <c r="AY147" s="417"/>
      <c r="AZ147" s="417"/>
      <c r="BA147" s="417"/>
      <c r="BC147" s="115"/>
      <c r="BD147" s="115"/>
      <c r="BE147" s="115"/>
      <c r="BF147" s="115"/>
      <c r="BG147" s="115"/>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c r="CV147" s="124"/>
      <c r="CW147" s="124"/>
      <c r="CX147" s="124"/>
      <c r="CY147" s="124"/>
      <c r="CZ147" s="124"/>
      <c r="DA147" s="124"/>
      <c r="DB147" s="124"/>
      <c r="DC147" s="124"/>
      <c r="DD147" s="124"/>
      <c r="DE147" s="124"/>
      <c r="DF147" s="124"/>
      <c r="DG147" s="115"/>
    </row>
    <row r="148" spans="2:111" customFormat="1" ht="9" customHeight="1">
      <c r="BC148" s="115"/>
      <c r="BD148" s="115"/>
      <c r="BE148" s="115"/>
      <c r="BF148" s="115"/>
      <c r="BG148" s="115"/>
      <c r="BH148" s="498"/>
      <c r="BI148" s="498"/>
      <c r="BJ148" s="498"/>
      <c r="BK148" s="498"/>
      <c r="BL148" s="498"/>
      <c r="BM148" s="498"/>
      <c r="BN148" s="498"/>
      <c r="BO148" s="498"/>
      <c r="BP148" s="498"/>
      <c r="BQ148" s="498"/>
      <c r="BR148" s="498"/>
      <c r="BS148" s="498"/>
      <c r="BT148" s="498"/>
      <c r="BU148" s="498"/>
      <c r="BV148" s="498"/>
      <c r="BW148" s="498"/>
      <c r="BX148" s="498"/>
      <c r="BY148" s="498"/>
      <c r="BZ148" s="498"/>
      <c r="CA148" s="498"/>
      <c r="CB148" s="498"/>
      <c r="CC148" s="498"/>
      <c r="CD148" s="498"/>
      <c r="CE148" s="498"/>
      <c r="CF148" s="498"/>
      <c r="CG148" s="498"/>
      <c r="CH148" s="498"/>
      <c r="CI148" s="498"/>
      <c r="CJ148" s="498"/>
      <c r="CK148" s="498"/>
      <c r="CL148" s="498"/>
      <c r="CM148" s="498"/>
      <c r="CN148" s="498"/>
      <c r="CO148" s="498"/>
      <c r="CP148" s="498"/>
      <c r="CQ148" s="498"/>
      <c r="CR148" s="498"/>
      <c r="CS148" s="498"/>
      <c r="CT148" s="498"/>
      <c r="CU148" s="498"/>
      <c r="CV148" s="498"/>
      <c r="CW148" s="498"/>
      <c r="CX148" s="498"/>
      <c r="CY148" s="498"/>
      <c r="CZ148" s="498"/>
      <c r="DA148" s="498"/>
      <c r="DB148" s="498"/>
      <c r="DC148" s="498"/>
      <c r="DD148" s="498"/>
      <c r="DE148" s="498"/>
      <c r="DF148" s="498"/>
      <c r="DG148" s="115"/>
    </row>
    <row r="149" spans="2:111" customFormat="1" ht="9" customHeight="1">
      <c r="B149" s="499" t="str">
        <f>IF($Z$32&gt;=3,"Nome da Empresa ou Nº da Ata","")</f>
        <v>Nome da Empresa ou Nº da Ata</v>
      </c>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t="str">
        <f>IF($Z$32&gt;=3,"CNPJ / CPF","")</f>
        <v>CNPJ / CPF</v>
      </c>
      <c r="Y149" s="499"/>
      <c r="Z149" s="499"/>
      <c r="AA149" s="499"/>
      <c r="AB149" s="499"/>
      <c r="AC149" s="499"/>
      <c r="AD149" s="499"/>
      <c r="AE149" s="499"/>
      <c r="AF149" s="499"/>
      <c r="AG149" s="499"/>
      <c r="AH149" s="499" t="str">
        <f>IF($Z$32&gt;=3,"Qtde","")</f>
        <v>Qtde</v>
      </c>
      <c r="AI149" s="499"/>
      <c r="AJ149" s="499"/>
      <c r="AK149" s="499"/>
      <c r="AL149" s="499" t="str">
        <f>IF($Z$32&gt;=3,"Valor Unitário (R$)","")</f>
        <v>Valor Unitário (R$)</v>
      </c>
      <c r="AM149" s="499"/>
      <c r="AN149" s="499"/>
      <c r="AO149" s="499"/>
      <c r="AP149" s="499"/>
      <c r="AQ149" s="499"/>
      <c r="AR149" s="499"/>
      <c r="AS149" s="499"/>
      <c r="AT149" s="499" t="str">
        <f>IF($Z$32&gt;=3,"Valor Total (R$)","")</f>
        <v>Valor Total (R$)</v>
      </c>
      <c r="AU149" s="499"/>
      <c r="AV149" s="499"/>
      <c r="AW149" s="499"/>
      <c r="AX149" s="499"/>
      <c r="AY149" s="499"/>
      <c r="AZ149" s="499"/>
      <c r="BA149" s="499"/>
      <c r="BC149" s="115"/>
      <c r="BD149" s="115"/>
      <c r="BE149" s="115"/>
      <c r="BF149" s="115"/>
      <c r="BG149" s="115"/>
      <c r="BH149" s="498"/>
      <c r="BI149" s="498"/>
      <c r="BJ149" s="498"/>
      <c r="BK149" s="498"/>
      <c r="BL149" s="498"/>
      <c r="BM149" s="498"/>
      <c r="BN149" s="498"/>
      <c r="BO149" s="498"/>
      <c r="BP149" s="498"/>
      <c r="BQ149" s="498"/>
      <c r="BR149" s="498"/>
      <c r="BS149" s="498"/>
      <c r="BT149" s="498"/>
      <c r="BU149" s="498"/>
      <c r="BV149" s="498"/>
      <c r="BW149" s="498"/>
      <c r="BX149" s="498"/>
      <c r="BY149" s="498"/>
      <c r="BZ149" s="498"/>
      <c r="CA149" s="498"/>
      <c r="CB149" s="498"/>
      <c r="CC149" s="498"/>
      <c r="CD149" s="498"/>
      <c r="CE149" s="498"/>
      <c r="CF149" s="498"/>
      <c r="CG149" s="498"/>
      <c r="CH149" s="498"/>
      <c r="CI149" s="498"/>
      <c r="CJ149" s="498"/>
      <c r="CK149" s="498"/>
      <c r="CL149" s="498"/>
      <c r="CM149" s="498"/>
      <c r="CN149" s="498"/>
      <c r="CO149" s="498"/>
      <c r="CP149" s="498"/>
      <c r="CQ149" s="498"/>
      <c r="CR149" s="498"/>
      <c r="CS149" s="498"/>
      <c r="CT149" s="498"/>
      <c r="CU149" s="498"/>
      <c r="CV149" s="498"/>
      <c r="CW149" s="498"/>
      <c r="CX149" s="498"/>
      <c r="CY149" s="498"/>
      <c r="CZ149" s="498"/>
      <c r="DA149" s="498"/>
      <c r="DB149" s="498"/>
      <c r="DC149" s="498"/>
      <c r="DD149" s="498"/>
      <c r="DE149" s="498"/>
      <c r="DF149" s="498"/>
      <c r="DG149" s="115"/>
    </row>
    <row r="150" spans="2:111" customFormat="1" ht="9" customHeight="1">
      <c r="B150" s="499"/>
      <c r="C150" s="499"/>
      <c r="D150" s="499"/>
      <c r="E150" s="499"/>
      <c r="F150" s="499"/>
      <c r="G150" s="499"/>
      <c r="H150" s="499"/>
      <c r="I150" s="499"/>
      <c r="J150" s="499"/>
      <c r="K150" s="499"/>
      <c r="L150" s="499"/>
      <c r="M150" s="499"/>
      <c r="N150" s="499"/>
      <c r="O150" s="499"/>
      <c r="P150" s="499"/>
      <c r="Q150" s="499"/>
      <c r="R150" s="499"/>
      <c r="S150" s="499"/>
      <c r="T150" s="499"/>
      <c r="U150" s="499"/>
      <c r="V150" s="499"/>
      <c r="W150" s="499"/>
      <c r="X150" s="499"/>
      <c r="Y150" s="499"/>
      <c r="Z150" s="499"/>
      <c r="AA150" s="499"/>
      <c r="AB150" s="499"/>
      <c r="AC150" s="499"/>
      <c r="AD150" s="499"/>
      <c r="AE150" s="499"/>
      <c r="AF150" s="499"/>
      <c r="AG150" s="499"/>
      <c r="AH150" s="499"/>
      <c r="AI150" s="499"/>
      <c r="AJ150" s="499"/>
      <c r="AK150" s="499"/>
      <c r="AL150" s="499"/>
      <c r="AM150" s="499"/>
      <c r="AN150" s="499"/>
      <c r="AO150" s="499"/>
      <c r="AP150" s="499"/>
      <c r="AQ150" s="499"/>
      <c r="AR150" s="499"/>
      <c r="AS150" s="499"/>
      <c r="AT150" s="499"/>
      <c r="AU150" s="499"/>
      <c r="AV150" s="499"/>
      <c r="AW150" s="499"/>
      <c r="AX150" s="499"/>
      <c r="AY150" s="499"/>
      <c r="AZ150" s="499"/>
      <c r="BA150" s="499"/>
      <c r="BB150" s="176">
        <f>AVERAGE(AL151:AS153)</f>
        <v>473.28</v>
      </c>
      <c r="BC150" s="115"/>
      <c r="BD150" s="115"/>
      <c r="BE150" s="115"/>
      <c r="BF150" s="115"/>
      <c r="BG150" s="115"/>
      <c r="BH150" s="498"/>
      <c r="BI150" s="498"/>
      <c r="BJ150" s="498"/>
      <c r="BK150" s="498"/>
      <c r="BL150" s="498"/>
      <c r="BM150" s="498"/>
      <c r="BN150" s="498"/>
      <c r="BO150" s="498"/>
      <c r="BP150" s="498"/>
      <c r="BQ150" s="498"/>
      <c r="BR150" s="498"/>
      <c r="BS150" s="498"/>
      <c r="BT150" s="498"/>
      <c r="BU150" s="498"/>
      <c r="BV150" s="498"/>
      <c r="BW150" s="498"/>
      <c r="BX150" s="498"/>
      <c r="BY150" s="498"/>
      <c r="BZ150" s="498"/>
      <c r="CA150" s="498"/>
      <c r="CB150" s="498"/>
      <c r="CC150" s="498"/>
      <c r="CD150" s="498"/>
      <c r="CE150" s="498"/>
      <c r="CF150" s="498"/>
      <c r="CG150" s="498"/>
      <c r="CH150" s="498"/>
      <c r="CI150" s="498"/>
      <c r="CJ150" s="498"/>
      <c r="CK150" s="498"/>
      <c r="CL150" s="498"/>
      <c r="CM150" s="498"/>
      <c r="CN150" s="498"/>
      <c r="CO150" s="498"/>
      <c r="CP150" s="498"/>
      <c r="CQ150" s="498"/>
      <c r="CR150" s="498"/>
      <c r="CS150" s="498"/>
      <c r="CT150" s="498"/>
      <c r="CU150" s="498"/>
      <c r="CV150" s="498"/>
      <c r="CW150" s="498"/>
      <c r="CX150" s="498"/>
      <c r="CY150" s="498"/>
      <c r="CZ150" s="498"/>
      <c r="DA150" s="498"/>
      <c r="DB150" s="498"/>
      <c r="DC150" s="498"/>
      <c r="DD150" s="498"/>
      <c r="DE150" s="498"/>
      <c r="DF150" s="498"/>
      <c r="DG150" s="115"/>
    </row>
    <row r="151" spans="2:111" customFormat="1" ht="18" customHeight="1">
      <c r="B151" s="233" t="s">
        <v>619</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486" t="s">
        <v>618</v>
      </c>
      <c r="Y151" s="486"/>
      <c r="Z151" s="486"/>
      <c r="AA151" s="486"/>
      <c r="AB151" s="486"/>
      <c r="AC151" s="486"/>
      <c r="AD151" s="486"/>
      <c r="AE151" s="486"/>
      <c r="AF151" s="486"/>
      <c r="AG151" s="486"/>
      <c r="AH151" s="417">
        <v>1234</v>
      </c>
      <c r="AI151" s="417"/>
      <c r="AJ151" s="417"/>
      <c r="AK151" s="417"/>
      <c r="AL151" s="419">
        <v>533.28</v>
      </c>
      <c r="AM151" s="419"/>
      <c r="AN151" s="419"/>
      <c r="AO151" s="419"/>
      <c r="AP151" s="419"/>
      <c r="AQ151" s="419"/>
      <c r="AR151" s="419"/>
      <c r="AS151" s="419"/>
      <c r="AT151" s="487">
        <f>IF($Z$32&gt;=3,(AH151*AL151),"")</f>
        <v>658067.52</v>
      </c>
      <c r="AU151" s="487"/>
      <c r="AV151" s="487"/>
      <c r="AW151" s="487"/>
      <c r="AX151" s="487"/>
      <c r="AY151" s="487"/>
      <c r="AZ151" s="487"/>
      <c r="BA151" s="487"/>
      <c r="BC151" s="115"/>
      <c r="BD151" s="115"/>
      <c r="BE151" s="115"/>
      <c r="BF151" s="115"/>
      <c r="BG151" s="115"/>
      <c r="BH151" s="498"/>
      <c r="BI151" s="498"/>
      <c r="BJ151" s="498"/>
      <c r="BK151" s="498"/>
      <c r="BL151" s="498"/>
      <c r="BM151" s="498"/>
      <c r="BN151" s="498"/>
      <c r="BO151" s="498"/>
      <c r="BP151" s="498"/>
      <c r="BQ151" s="498"/>
      <c r="BR151" s="498"/>
      <c r="BS151" s="498"/>
      <c r="BT151" s="498"/>
      <c r="BU151" s="498"/>
      <c r="BV151" s="498"/>
      <c r="BW151" s="498"/>
      <c r="BX151" s="498"/>
      <c r="BY151" s="498"/>
      <c r="BZ151" s="498"/>
      <c r="CA151" s="498"/>
      <c r="CB151" s="498"/>
      <c r="CC151" s="498"/>
      <c r="CD151" s="498"/>
      <c r="CE151" s="498"/>
      <c r="CF151" s="498"/>
      <c r="CG151" s="498"/>
      <c r="CH151" s="498"/>
      <c r="CI151" s="498"/>
      <c r="CJ151" s="498"/>
      <c r="CK151" s="498"/>
      <c r="CL151" s="498"/>
      <c r="CM151" s="498"/>
      <c r="CN151" s="498"/>
      <c r="CO151" s="498"/>
      <c r="CP151" s="498"/>
      <c r="CQ151" s="498"/>
      <c r="CR151" s="498"/>
      <c r="CS151" s="498"/>
      <c r="CT151" s="498"/>
      <c r="CU151" s="498"/>
      <c r="CV151" s="498"/>
      <c r="CW151" s="498"/>
      <c r="CX151" s="498"/>
      <c r="CY151" s="498"/>
      <c r="CZ151" s="498"/>
      <c r="DA151" s="498"/>
      <c r="DB151" s="498"/>
      <c r="DC151" s="498"/>
      <c r="DD151" s="498"/>
      <c r="DE151" s="498"/>
      <c r="DF151" s="498"/>
      <c r="DG151" s="115"/>
    </row>
    <row r="152" spans="2:111" customFormat="1" ht="18" customHeight="1">
      <c r="B152" s="233" t="s">
        <v>599</v>
      </c>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486" t="s">
        <v>600</v>
      </c>
      <c r="Y152" s="486"/>
      <c r="Z152" s="486"/>
      <c r="AA152" s="486"/>
      <c r="AB152" s="486"/>
      <c r="AC152" s="486"/>
      <c r="AD152" s="486"/>
      <c r="AE152" s="486"/>
      <c r="AF152" s="486"/>
      <c r="AG152" s="486"/>
      <c r="AH152" s="417">
        <v>1234</v>
      </c>
      <c r="AI152" s="417"/>
      <c r="AJ152" s="417"/>
      <c r="AK152" s="417"/>
      <c r="AL152" s="419">
        <v>436.56</v>
      </c>
      <c r="AM152" s="419"/>
      <c r="AN152" s="419"/>
      <c r="AO152" s="419"/>
      <c r="AP152" s="419"/>
      <c r="AQ152" s="419"/>
      <c r="AR152" s="419"/>
      <c r="AS152" s="419"/>
      <c r="AT152" s="487">
        <f>IF($Z$32&gt;=3,(AH152*AL152),"")</f>
        <v>538715.04</v>
      </c>
      <c r="AU152" s="487"/>
      <c r="AV152" s="487"/>
      <c r="AW152" s="487"/>
      <c r="AX152" s="487"/>
      <c r="AY152" s="487"/>
      <c r="AZ152" s="487"/>
      <c r="BA152" s="487"/>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row>
    <row r="153" spans="2:111" customFormat="1" ht="18" customHeight="1">
      <c r="B153" s="233" t="s">
        <v>601</v>
      </c>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486" t="s">
        <v>602</v>
      </c>
      <c r="Y153" s="486"/>
      <c r="Z153" s="486"/>
      <c r="AA153" s="486"/>
      <c r="AB153" s="486"/>
      <c r="AC153" s="486"/>
      <c r="AD153" s="486"/>
      <c r="AE153" s="486"/>
      <c r="AF153" s="486"/>
      <c r="AG153" s="486"/>
      <c r="AH153" s="417">
        <v>1234</v>
      </c>
      <c r="AI153" s="417"/>
      <c r="AJ153" s="417"/>
      <c r="AK153" s="417"/>
      <c r="AL153" s="419">
        <v>450</v>
      </c>
      <c r="AM153" s="419"/>
      <c r="AN153" s="419"/>
      <c r="AO153" s="419"/>
      <c r="AP153" s="419"/>
      <c r="AQ153" s="419"/>
      <c r="AR153" s="419"/>
      <c r="AS153" s="419"/>
      <c r="AT153" s="487">
        <f>IF($Z$32&gt;=3,(AH153*AL153),"")</f>
        <v>555300</v>
      </c>
      <c r="AU153" s="487"/>
      <c r="AV153" s="487"/>
      <c r="AW153" s="487"/>
      <c r="AX153" s="487"/>
      <c r="AY153" s="487"/>
      <c r="AZ153" s="487"/>
      <c r="BA153" s="487"/>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row>
    <row r="154" spans="2:111" customFormat="1" ht="15" customHeight="1">
      <c r="AT154" s="500">
        <f>IF(B151="","",IF(AL152="",AT151,IF(AL153="",AVERAGE(AT151:BA152),AVERAGE(AT151:AT153))))</f>
        <v>584027.52</v>
      </c>
      <c r="AU154" s="500"/>
      <c r="AV154" s="500"/>
      <c r="AW154" s="500"/>
      <c r="AX154" s="500"/>
      <c r="AY154" s="500"/>
      <c r="AZ154" s="500"/>
      <c r="BA154" s="500"/>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row>
    <row r="155" spans="2:111" customFormat="1" ht="15" customHeight="1">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row>
    <row r="156" spans="2:111" customFormat="1" ht="9" customHeight="1">
      <c r="B156" s="494" t="str">
        <f>IF($Z$32&gt;=4,"Item 4","")</f>
        <v>Item 4</v>
      </c>
      <c r="C156" s="495"/>
      <c r="D156" s="495"/>
      <c r="E156" s="495"/>
      <c r="F156" s="495"/>
      <c r="G156" s="495"/>
      <c r="H156" s="495"/>
      <c r="I156" s="495"/>
      <c r="J156" s="495"/>
      <c r="K156" s="495"/>
      <c r="L156" s="495"/>
      <c r="M156" s="49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row>
    <row r="157" spans="2:111" customFormat="1" ht="9" customHeight="1">
      <c r="B157" s="495"/>
      <c r="C157" s="495"/>
      <c r="D157" s="495"/>
      <c r="E157" s="495"/>
      <c r="F157" s="495"/>
      <c r="G157" s="495"/>
      <c r="H157" s="495"/>
      <c r="I157" s="495"/>
      <c r="J157" s="495"/>
      <c r="K157" s="495"/>
      <c r="L157" s="495"/>
      <c r="M157" s="49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row>
    <row r="158" spans="2:111" customFormat="1" ht="4.5" customHeight="1">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row>
    <row r="159" spans="2:111" customFormat="1" ht="9" customHeight="1">
      <c r="B159" s="493" t="str">
        <f>IF(B156="","","Elemento de Despesa:")</f>
        <v>Elemento de Despesa:</v>
      </c>
      <c r="C159" s="493"/>
      <c r="D159" s="493"/>
      <c r="E159" s="493"/>
      <c r="F159" s="493"/>
      <c r="G159" s="493"/>
      <c r="H159" s="493"/>
      <c r="I159" s="493"/>
      <c r="J159" s="493"/>
      <c r="K159" s="493"/>
      <c r="L159" s="493"/>
      <c r="M159" s="493"/>
      <c r="N159" s="493"/>
      <c r="O159" s="241" t="s">
        <v>275</v>
      </c>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C159" s="115"/>
      <c r="BD159" s="115"/>
      <c r="BE159" s="115"/>
      <c r="BF159" s="115"/>
      <c r="BG159" s="115"/>
      <c r="BH159" s="124"/>
      <c r="BI159" s="124"/>
      <c r="BJ159" s="124"/>
      <c r="BK159" s="124"/>
      <c r="BL159" s="124"/>
      <c r="BM159" s="124"/>
      <c r="BN159" s="124"/>
      <c r="BO159" s="124"/>
      <c r="BP159" s="124"/>
      <c r="BQ159" s="124"/>
      <c r="BR159" s="124"/>
      <c r="BS159" s="124"/>
      <c r="BT159" s="124"/>
      <c r="BU159" s="124"/>
      <c r="BV159" s="124"/>
      <c r="BW159" s="124"/>
      <c r="BX159" s="124"/>
      <c r="BY159" s="124"/>
      <c r="BZ159" s="124"/>
      <c r="CA159" s="124"/>
      <c r="CB159" s="124"/>
      <c r="CC159" s="124"/>
      <c r="CD159" s="124"/>
      <c r="CE159" s="124"/>
      <c r="CF159" s="124"/>
      <c r="CG159" s="124"/>
      <c r="CH159" s="124"/>
      <c r="CI159" s="124"/>
      <c r="CJ159" s="124"/>
      <c r="CK159" s="124"/>
      <c r="CL159" s="124"/>
      <c r="CM159" s="124"/>
      <c r="CN159" s="124"/>
      <c r="CO159" s="124"/>
      <c r="CP159" s="124"/>
      <c r="CQ159" s="124"/>
      <c r="CR159" s="124"/>
      <c r="CS159" s="124"/>
      <c r="CT159" s="124"/>
      <c r="CU159" s="124"/>
      <c r="CV159" s="124"/>
      <c r="CW159" s="124"/>
      <c r="CX159" s="124"/>
      <c r="CY159" s="124"/>
      <c r="CZ159" s="124"/>
      <c r="DA159" s="124"/>
      <c r="DB159" s="124"/>
      <c r="DC159" s="124"/>
      <c r="DD159" s="124"/>
      <c r="DE159" s="124"/>
      <c r="DF159" s="124"/>
      <c r="DG159" s="115"/>
    </row>
    <row r="160" spans="2:111" customFormat="1" ht="9" customHeight="1">
      <c r="B160" s="493"/>
      <c r="C160" s="493"/>
      <c r="D160" s="493"/>
      <c r="E160" s="493"/>
      <c r="F160" s="493"/>
      <c r="G160" s="493"/>
      <c r="H160" s="493"/>
      <c r="I160" s="493"/>
      <c r="J160" s="493"/>
      <c r="K160" s="493"/>
      <c r="L160" s="493"/>
      <c r="M160" s="493"/>
      <c r="N160" s="493"/>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C160" s="115"/>
      <c r="BD160" s="115"/>
      <c r="BE160" s="115"/>
      <c r="BF160" s="115"/>
      <c r="BG160" s="115"/>
      <c r="BH160" s="124"/>
      <c r="BI160" s="124"/>
      <c r="BJ160" s="124"/>
      <c r="BK160" s="124"/>
      <c r="BL160" s="124"/>
      <c r="BM160" s="124"/>
      <c r="BN160" s="124"/>
      <c r="BO160" s="124"/>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c r="CT160" s="124"/>
      <c r="CU160" s="124"/>
      <c r="CV160" s="124"/>
      <c r="CW160" s="124"/>
      <c r="CX160" s="124"/>
      <c r="CY160" s="124"/>
      <c r="CZ160" s="124"/>
      <c r="DA160" s="124"/>
      <c r="DB160" s="124"/>
      <c r="DC160" s="124"/>
      <c r="DD160" s="124"/>
      <c r="DE160" s="124"/>
      <c r="DF160" s="124"/>
      <c r="DG160" s="115"/>
    </row>
    <row r="161" spans="2:111" customFormat="1" ht="4.5" customHeight="1">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C161" s="115"/>
      <c r="BD161" s="115"/>
      <c r="BE161" s="115"/>
      <c r="BF161" s="115"/>
      <c r="BG161" s="115"/>
      <c r="BH161" s="124"/>
      <c r="BI161" s="124"/>
      <c r="BJ161" s="124"/>
      <c r="BK161" s="124"/>
      <c r="BL161" s="124"/>
      <c r="BM161" s="124"/>
      <c r="BN161" s="124"/>
      <c r="BO161" s="124"/>
      <c r="BP161" s="124"/>
      <c r="BQ161" s="124"/>
      <c r="BR161" s="124"/>
      <c r="BS161" s="124"/>
      <c r="BT161" s="124"/>
      <c r="BU161" s="124"/>
      <c r="BV161" s="124"/>
      <c r="BW161" s="124"/>
      <c r="BX161" s="124"/>
      <c r="BY161" s="124"/>
      <c r="BZ161" s="124"/>
      <c r="CA161" s="124"/>
      <c r="CB161" s="124"/>
      <c r="CC161" s="124"/>
      <c r="CD161" s="124"/>
      <c r="CE161" s="124"/>
      <c r="CF161" s="124"/>
      <c r="CG161" s="124"/>
      <c r="CH161" s="124"/>
      <c r="CI161" s="124"/>
      <c r="CJ161" s="124"/>
      <c r="CK161" s="124"/>
      <c r="CL161" s="124"/>
      <c r="CM161" s="124"/>
      <c r="CN161" s="124"/>
      <c r="CO161" s="124"/>
      <c r="CP161" s="124"/>
      <c r="CQ161" s="124"/>
      <c r="CR161" s="124"/>
      <c r="CS161" s="124"/>
      <c r="CT161" s="124"/>
      <c r="CU161" s="124"/>
      <c r="CV161" s="124"/>
      <c r="CW161" s="124"/>
      <c r="CX161" s="124"/>
      <c r="CY161" s="124"/>
      <c r="CZ161" s="124"/>
      <c r="DA161" s="124"/>
      <c r="DB161" s="124"/>
      <c r="DC161" s="124"/>
      <c r="DD161" s="124"/>
      <c r="DE161" s="124"/>
      <c r="DF161" s="124"/>
      <c r="DG161" s="115"/>
    </row>
    <row r="162" spans="2:111" customFormat="1" ht="9" customHeight="1">
      <c r="B162" s="493" t="str">
        <f>IF(B156="","","Objeto:")</f>
        <v>Objeto:</v>
      </c>
      <c r="C162" s="493"/>
      <c r="D162" s="493"/>
      <c r="E162" s="493"/>
      <c r="F162" s="493"/>
      <c r="G162" s="493"/>
      <c r="H162" s="493"/>
      <c r="I162" s="493"/>
      <c r="J162" s="493"/>
      <c r="K162" s="493"/>
      <c r="L162" s="493"/>
      <c r="M162" s="493"/>
      <c r="N162" s="493"/>
      <c r="O162" s="421" t="s">
        <v>620</v>
      </c>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Q162" s="421"/>
      <c r="AR162" s="421"/>
      <c r="AS162" s="421"/>
      <c r="AT162" s="421"/>
      <c r="AU162" s="421"/>
      <c r="AV162" s="421"/>
      <c r="AW162" s="421"/>
      <c r="AX162" s="421"/>
      <c r="AY162" s="421"/>
      <c r="AZ162" s="421"/>
      <c r="BA162" s="421"/>
      <c r="BC162" s="115"/>
      <c r="BD162" s="115"/>
      <c r="BE162" s="115"/>
      <c r="BF162" s="115"/>
      <c r="BG162" s="115"/>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c r="CT162" s="124"/>
      <c r="CU162" s="124"/>
      <c r="CV162" s="124"/>
      <c r="CW162" s="124"/>
      <c r="CX162" s="124"/>
      <c r="CY162" s="124"/>
      <c r="CZ162" s="124"/>
      <c r="DA162" s="124"/>
      <c r="DB162" s="124"/>
      <c r="DC162" s="124"/>
      <c r="DD162" s="124"/>
      <c r="DE162" s="124"/>
      <c r="DF162" s="124"/>
      <c r="DG162" s="115"/>
    </row>
    <row r="163" spans="2:111" customFormat="1" ht="9" customHeight="1">
      <c r="B163" s="493"/>
      <c r="C163" s="493"/>
      <c r="D163" s="493"/>
      <c r="E163" s="493"/>
      <c r="F163" s="493"/>
      <c r="G163" s="493"/>
      <c r="H163" s="493"/>
      <c r="I163" s="493"/>
      <c r="J163" s="493"/>
      <c r="K163" s="493"/>
      <c r="L163" s="493"/>
      <c r="M163" s="493"/>
      <c r="N163" s="493"/>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Q163" s="421"/>
      <c r="AR163" s="421"/>
      <c r="AS163" s="421"/>
      <c r="AT163" s="421"/>
      <c r="AU163" s="421"/>
      <c r="AV163" s="421"/>
      <c r="AW163" s="421"/>
      <c r="AX163" s="421"/>
      <c r="AY163" s="421"/>
      <c r="AZ163" s="421"/>
      <c r="BA163" s="421"/>
      <c r="BC163" s="115"/>
      <c r="BD163" s="115"/>
      <c r="BE163" s="115"/>
      <c r="BF163" s="115"/>
      <c r="BG163" s="115"/>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c r="CT163" s="124"/>
      <c r="CU163" s="124"/>
      <c r="CV163" s="124"/>
      <c r="CW163" s="124"/>
      <c r="CX163" s="124"/>
      <c r="CY163" s="124"/>
      <c r="CZ163" s="124"/>
      <c r="DA163" s="124"/>
      <c r="DB163" s="124"/>
      <c r="DC163" s="124"/>
      <c r="DD163" s="124"/>
      <c r="DE163" s="124"/>
      <c r="DF163" s="124"/>
      <c r="DG163" s="115"/>
    </row>
    <row r="164" spans="2:111" customFormat="1" ht="9" customHeight="1">
      <c r="B164" s="143"/>
      <c r="C164" s="143"/>
      <c r="D164" s="143"/>
      <c r="E164" s="143"/>
      <c r="F164" s="143"/>
      <c r="G164" s="143"/>
      <c r="H164" s="143"/>
      <c r="I164" s="143"/>
      <c r="J164" s="143"/>
      <c r="K164" s="143"/>
      <c r="L164" s="143"/>
      <c r="M164" s="143"/>
      <c r="N164" s="143"/>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c r="AP164" s="421"/>
      <c r="AQ164" s="421"/>
      <c r="AR164" s="421"/>
      <c r="AS164" s="421"/>
      <c r="AT164" s="421"/>
      <c r="AU164" s="421"/>
      <c r="AV164" s="421"/>
      <c r="AW164" s="421"/>
      <c r="AX164" s="421"/>
      <c r="AY164" s="421"/>
      <c r="AZ164" s="421"/>
      <c r="BA164" s="421"/>
      <c r="BC164" s="115"/>
      <c r="BD164" s="115"/>
      <c r="BE164" s="115"/>
      <c r="BF164" s="115"/>
      <c r="BG164" s="115"/>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115"/>
    </row>
    <row r="165" spans="2:111" customFormat="1" ht="9" customHeight="1">
      <c r="B165" s="49"/>
      <c r="C165" s="49"/>
      <c r="D165" s="49"/>
      <c r="E165" s="49"/>
      <c r="F165" s="49"/>
      <c r="G165" s="49"/>
      <c r="H165" s="49"/>
      <c r="I165" s="49"/>
      <c r="J165" s="49"/>
      <c r="K165" s="49"/>
      <c r="L165" s="49"/>
      <c r="M165" s="49"/>
      <c r="N165" s="49"/>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c r="AP165" s="421"/>
      <c r="AQ165" s="421"/>
      <c r="AR165" s="421"/>
      <c r="AS165" s="421"/>
      <c r="AT165" s="421"/>
      <c r="AU165" s="421"/>
      <c r="AV165" s="421"/>
      <c r="AW165" s="421"/>
      <c r="AX165" s="421"/>
      <c r="AY165" s="421"/>
      <c r="AZ165" s="421"/>
      <c r="BA165" s="421"/>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row>
    <row r="166" spans="2:111" customFormat="1" ht="4.5" customHeight="1">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C166" s="115"/>
      <c r="BD166" s="115"/>
      <c r="BE166" s="115"/>
      <c r="BF166" s="115"/>
      <c r="BG166" s="115"/>
      <c r="BH166" s="124"/>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c r="CV166" s="124"/>
      <c r="CW166" s="124"/>
      <c r="CX166" s="124"/>
      <c r="CY166" s="124"/>
      <c r="CZ166" s="124"/>
      <c r="DA166" s="124"/>
      <c r="DB166" s="124"/>
      <c r="DC166" s="124"/>
      <c r="DD166" s="124"/>
      <c r="DE166" s="124"/>
      <c r="DF166" s="124"/>
      <c r="DG166" s="115"/>
    </row>
    <row r="167" spans="2:111" customFormat="1" ht="9" customHeight="1">
      <c r="B167" s="493" t="str">
        <f>IF(B156="","","Detalhamento do Objeto:")</f>
        <v>Detalhamento do Objeto:</v>
      </c>
      <c r="C167" s="493"/>
      <c r="D167" s="493"/>
      <c r="E167" s="493"/>
      <c r="F167" s="493"/>
      <c r="G167" s="493"/>
      <c r="H167" s="493"/>
      <c r="I167" s="493"/>
      <c r="J167" s="493"/>
      <c r="K167" s="493"/>
      <c r="L167" s="493"/>
      <c r="M167" s="493"/>
      <c r="N167" s="493"/>
      <c r="O167" s="421" t="s">
        <v>621</v>
      </c>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c r="AU167" s="421"/>
      <c r="AV167" s="421"/>
      <c r="AW167" s="421"/>
      <c r="AX167" s="421"/>
      <c r="AY167" s="421"/>
      <c r="AZ167" s="421"/>
      <c r="BA167" s="421"/>
      <c r="BC167" s="115"/>
      <c r="BD167" s="115"/>
      <c r="BE167" s="115"/>
      <c r="BF167" s="115"/>
      <c r="BG167" s="115"/>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c r="CV167" s="124"/>
      <c r="CW167" s="124"/>
      <c r="CX167" s="124"/>
      <c r="CY167" s="124"/>
      <c r="CZ167" s="124"/>
      <c r="DA167" s="124"/>
      <c r="DB167" s="124"/>
      <c r="DC167" s="124"/>
      <c r="DD167" s="124"/>
      <c r="DE167" s="124"/>
      <c r="DF167" s="124"/>
      <c r="DG167" s="115"/>
    </row>
    <row r="168" spans="2:111" customFormat="1" ht="9" customHeight="1">
      <c r="B168" s="493"/>
      <c r="C168" s="493"/>
      <c r="D168" s="493"/>
      <c r="E168" s="493"/>
      <c r="F168" s="493"/>
      <c r="G168" s="493"/>
      <c r="H168" s="493"/>
      <c r="I168" s="493"/>
      <c r="J168" s="493"/>
      <c r="K168" s="493"/>
      <c r="L168" s="493"/>
      <c r="M168" s="493"/>
      <c r="N168" s="493"/>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c r="AN168" s="421"/>
      <c r="AO168" s="421"/>
      <c r="AP168" s="421"/>
      <c r="AQ168" s="421"/>
      <c r="AR168" s="421"/>
      <c r="AS168" s="421"/>
      <c r="AT168" s="421"/>
      <c r="AU168" s="421"/>
      <c r="AV168" s="421"/>
      <c r="AW168" s="421"/>
      <c r="AX168" s="421"/>
      <c r="AY168" s="421"/>
      <c r="AZ168" s="421"/>
      <c r="BA168" s="421"/>
      <c r="BC168" s="115"/>
      <c r="BD168" s="115"/>
      <c r="BE168" s="115"/>
      <c r="BF168" s="115"/>
      <c r="BG168" s="115"/>
      <c r="BH168" s="124"/>
      <c r="BI168" s="124"/>
      <c r="BJ168" s="124"/>
      <c r="BK168" s="124"/>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c r="CV168" s="124"/>
      <c r="CW168" s="124"/>
      <c r="CX168" s="124"/>
      <c r="CY168" s="124"/>
      <c r="CZ168" s="124"/>
      <c r="DA168" s="124"/>
      <c r="DB168" s="124"/>
      <c r="DC168" s="124"/>
      <c r="DD168" s="124"/>
      <c r="DE168" s="124"/>
      <c r="DF168" s="124"/>
      <c r="DG168" s="115"/>
    </row>
    <row r="169" spans="2:111" customFormat="1" ht="9" customHeight="1">
      <c r="B169" s="143"/>
      <c r="C169" s="143"/>
      <c r="D169" s="143"/>
      <c r="E169" s="143"/>
      <c r="F169" s="143"/>
      <c r="G169" s="143"/>
      <c r="H169" s="143"/>
      <c r="I169" s="143"/>
      <c r="J169" s="143"/>
      <c r="K169" s="143"/>
      <c r="L169" s="143"/>
      <c r="M169" s="143"/>
      <c r="N169" s="143"/>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c r="AP169" s="421"/>
      <c r="AQ169" s="421"/>
      <c r="AR169" s="421"/>
      <c r="AS169" s="421"/>
      <c r="AT169" s="421"/>
      <c r="AU169" s="421"/>
      <c r="AV169" s="421"/>
      <c r="AW169" s="421"/>
      <c r="AX169" s="421"/>
      <c r="AY169" s="421"/>
      <c r="AZ169" s="421"/>
      <c r="BA169" s="421"/>
      <c r="BC169" s="115"/>
      <c r="BD169" s="115"/>
      <c r="BE169" s="115"/>
      <c r="BF169" s="115"/>
      <c r="BG169" s="115"/>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115"/>
    </row>
    <row r="170" spans="2:111" customFormat="1" ht="9" customHeight="1">
      <c r="B170" s="143"/>
      <c r="C170" s="143"/>
      <c r="D170" s="143"/>
      <c r="E170" s="143"/>
      <c r="F170" s="143"/>
      <c r="G170" s="143"/>
      <c r="H170" s="143"/>
      <c r="I170" s="143"/>
      <c r="J170" s="143"/>
      <c r="K170" s="143"/>
      <c r="L170" s="143"/>
      <c r="M170" s="143"/>
      <c r="N170" s="143"/>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c r="AO170" s="421"/>
      <c r="AP170" s="421"/>
      <c r="AQ170" s="421"/>
      <c r="AR170" s="421"/>
      <c r="AS170" s="421"/>
      <c r="AT170" s="421"/>
      <c r="AU170" s="421"/>
      <c r="AV170" s="421"/>
      <c r="AW170" s="421"/>
      <c r="AX170" s="421"/>
      <c r="AY170" s="421"/>
      <c r="AZ170" s="421"/>
      <c r="BA170" s="421"/>
      <c r="BC170" s="115"/>
      <c r="BD170" s="115"/>
      <c r="BE170" s="115"/>
      <c r="BF170" s="115"/>
      <c r="BG170" s="115"/>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115"/>
    </row>
    <row r="171" spans="2:111" customFormat="1" ht="9" customHeight="1">
      <c r="B171" s="143"/>
      <c r="C171" s="143"/>
      <c r="D171" s="143"/>
      <c r="E171" s="143"/>
      <c r="F171" s="143"/>
      <c r="G171" s="143"/>
      <c r="H171" s="143"/>
      <c r="I171" s="143"/>
      <c r="J171" s="143"/>
      <c r="K171" s="143"/>
      <c r="L171" s="143"/>
      <c r="M171" s="143"/>
      <c r="N171" s="143"/>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c r="AP171" s="421"/>
      <c r="AQ171" s="421"/>
      <c r="AR171" s="421"/>
      <c r="AS171" s="421"/>
      <c r="AT171" s="421"/>
      <c r="AU171" s="421"/>
      <c r="AV171" s="421"/>
      <c r="AW171" s="421"/>
      <c r="AX171" s="421"/>
      <c r="AY171" s="421"/>
      <c r="AZ171" s="421"/>
      <c r="BA171" s="421"/>
      <c r="BC171" s="115"/>
      <c r="BD171" s="115"/>
      <c r="BE171" s="115"/>
      <c r="BF171" s="115"/>
      <c r="BG171" s="115"/>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115"/>
    </row>
    <row r="172" spans="2:111" customFormat="1" ht="9" customHeight="1">
      <c r="B172" s="143"/>
      <c r="C172" s="143"/>
      <c r="D172" s="143"/>
      <c r="E172" s="143"/>
      <c r="F172" s="143"/>
      <c r="G172" s="143"/>
      <c r="H172" s="143"/>
      <c r="I172" s="143"/>
      <c r="J172" s="143"/>
      <c r="K172" s="143"/>
      <c r="L172" s="143"/>
      <c r="M172" s="143"/>
      <c r="N172" s="143"/>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c r="AU172" s="421"/>
      <c r="AV172" s="421"/>
      <c r="AW172" s="421"/>
      <c r="AX172" s="421"/>
      <c r="AY172" s="421"/>
      <c r="AZ172" s="421"/>
      <c r="BA172" s="421"/>
      <c r="BC172" s="115"/>
      <c r="BD172" s="115"/>
      <c r="BE172" s="115"/>
      <c r="BF172" s="115"/>
      <c r="BG172" s="115"/>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115"/>
    </row>
    <row r="173" spans="2:111" customFormat="1" ht="9" customHeight="1">
      <c r="B173" s="143"/>
      <c r="C173" s="143"/>
      <c r="D173" s="143"/>
      <c r="E173" s="143"/>
      <c r="F173" s="143"/>
      <c r="G173" s="143"/>
      <c r="H173" s="143"/>
      <c r="I173" s="143"/>
      <c r="J173" s="143"/>
      <c r="K173" s="143"/>
      <c r="L173" s="143"/>
      <c r="M173" s="143"/>
      <c r="N173" s="143"/>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c r="AP173" s="421"/>
      <c r="AQ173" s="421"/>
      <c r="AR173" s="421"/>
      <c r="AS173" s="421"/>
      <c r="AT173" s="421"/>
      <c r="AU173" s="421"/>
      <c r="AV173" s="421"/>
      <c r="AW173" s="421"/>
      <c r="AX173" s="421"/>
      <c r="AY173" s="421"/>
      <c r="AZ173" s="421"/>
      <c r="BA173" s="421"/>
      <c r="BC173" s="115"/>
      <c r="BD173" s="115"/>
      <c r="BE173" s="115"/>
      <c r="BF173" s="115"/>
      <c r="BG173" s="115"/>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115"/>
    </row>
    <row r="174" spans="2:111" customFormat="1" ht="9" customHeight="1">
      <c r="B174" s="49"/>
      <c r="C174" s="49"/>
      <c r="D174" s="49"/>
      <c r="E174" s="49"/>
      <c r="F174" s="49"/>
      <c r="G174" s="49"/>
      <c r="H174" s="49"/>
      <c r="I174" s="49"/>
      <c r="J174" s="49"/>
      <c r="K174" s="49"/>
      <c r="L174" s="49"/>
      <c r="M174" s="49"/>
      <c r="N174" s="49"/>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1"/>
      <c r="AY174" s="421"/>
      <c r="AZ174" s="421"/>
      <c r="BA174" s="421"/>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row>
    <row r="175" spans="2:111" customFormat="1" ht="4.5" customHeight="1">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C175" s="115"/>
      <c r="BD175" s="115"/>
      <c r="BE175" s="115"/>
      <c r="BF175" s="115"/>
      <c r="BG175" s="115"/>
      <c r="BH175" s="124"/>
      <c r="BI175" s="124"/>
      <c r="BJ175" s="124"/>
      <c r="BK175" s="124"/>
      <c r="BL175" s="124"/>
      <c r="BM175" s="124"/>
      <c r="BN175" s="124"/>
      <c r="BO175" s="124"/>
      <c r="BP175" s="124"/>
      <c r="BQ175" s="124"/>
      <c r="BR175" s="124"/>
      <c r="BS175" s="124"/>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T175" s="124"/>
      <c r="CU175" s="124"/>
      <c r="CV175" s="124"/>
      <c r="CW175" s="124"/>
      <c r="CX175" s="124"/>
      <c r="CY175" s="124"/>
      <c r="CZ175" s="124"/>
      <c r="DA175" s="124"/>
      <c r="DB175" s="124"/>
      <c r="DC175" s="124"/>
      <c r="DD175" s="124"/>
      <c r="DE175" s="124"/>
      <c r="DF175" s="124"/>
      <c r="DG175" s="115"/>
    </row>
    <row r="176" spans="2:111" customFormat="1" ht="9" customHeight="1">
      <c r="B176" s="493" t="str">
        <f>IF(B156="","","Justificativa:")</f>
        <v>Justificativa:</v>
      </c>
      <c r="C176" s="493"/>
      <c r="D176" s="493"/>
      <c r="E176" s="493"/>
      <c r="F176" s="493"/>
      <c r="G176" s="493"/>
      <c r="H176" s="493"/>
      <c r="I176" s="493"/>
      <c r="J176" s="493"/>
      <c r="K176" s="493"/>
      <c r="L176" s="493"/>
      <c r="M176" s="493"/>
      <c r="N176" s="493"/>
      <c r="O176" s="421" t="s">
        <v>622</v>
      </c>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C176" s="115"/>
      <c r="BD176" s="115"/>
      <c r="BE176" s="115"/>
      <c r="BF176" s="115"/>
      <c r="BG176" s="115"/>
      <c r="BH176" s="124"/>
      <c r="BI176" s="124"/>
      <c r="BJ176" s="124"/>
      <c r="BK176" s="124"/>
      <c r="BL176" s="124"/>
      <c r="BM176" s="124"/>
      <c r="BN176" s="124"/>
      <c r="BO176" s="124"/>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T176" s="124"/>
      <c r="CU176" s="124"/>
      <c r="CV176" s="124"/>
      <c r="CW176" s="124"/>
      <c r="CX176" s="124"/>
      <c r="CY176" s="124"/>
      <c r="CZ176" s="124"/>
      <c r="DA176" s="124"/>
      <c r="DB176" s="124"/>
      <c r="DC176" s="124"/>
      <c r="DD176" s="124"/>
      <c r="DE176" s="124"/>
      <c r="DF176" s="124"/>
      <c r="DG176" s="115"/>
    </row>
    <row r="177" spans="2:111" customFormat="1" ht="9" customHeight="1">
      <c r="B177" s="493"/>
      <c r="C177" s="493"/>
      <c r="D177" s="493"/>
      <c r="E177" s="493"/>
      <c r="F177" s="493"/>
      <c r="G177" s="493"/>
      <c r="H177" s="493"/>
      <c r="I177" s="493"/>
      <c r="J177" s="493"/>
      <c r="K177" s="493"/>
      <c r="L177" s="493"/>
      <c r="M177" s="493"/>
      <c r="N177" s="493"/>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C177" s="115"/>
      <c r="BD177" s="115"/>
      <c r="BE177" s="115"/>
      <c r="BF177" s="115"/>
      <c r="BG177" s="115"/>
      <c r="BH177" s="124"/>
      <c r="BI177" s="124"/>
      <c r="BJ177" s="124"/>
      <c r="BK177" s="124"/>
      <c r="BL177" s="124"/>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4"/>
      <c r="CY177" s="124"/>
      <c r="CZ177" s="124"/>
      <c r="DA177" s="124"/>
      <c r="DB177" s="124"/>
      <c r="DC177" s="124"/>
      <c r="DD177" s="124"/>
      <c r="DE177" s="124"/>
      <c r="DF177" s="124"/>
      <c r="DG177" s="115"/>
    </row>
    <row r="178" spans="2:111" customFormat="1" ht="9" customHeight="1">
      <c r="B178" s="143"/>
      <c r="C178" s="143"/>
      <c r="D178" s="143"/>
      <c r="E178" s="143"/>
      <c r="F178" s="143"/>
      <c r="G178" s="143"/>
      <c r="H178" s="143"/>
      <c r="I178" s="143"/>
      <c r="J178" s="143"/>
      <c r="K178" s="143"/>
      <c r="L178" s="143"/>
      <c r="M178" s="143"/>
      <c r="N178" s="143"/>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1"/>
      <c r="AY178" s="421"/>
      <c r="AZ178" s="421"/>
      <c r="BA178" s="421"/>
      <c r="BC178" s="115"/>
      <c r="BD178" s="115"/>
      <c r="BE178" s="115"/>
      <c r="BF178" s="115"/>
      <c r="BG178" s="115"/>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c r="CV178" s="124"/>
      <c r="CW178" s="124"/>
      <c r="CX178" s="124"/>
      <c r="CY178" s="124"/>
      <c r="CZ178" s="124"/>
      <c r="DA178" s="124"/>
      <c r="DB178" s="124"/>
      <c r="DC178" s="124"/>
      <c r="DD178" s="124"/>
      <c r="DE178" s="124"/>
      <c r="DF178" s="124"/>
      <c r="DG178" s="115"/>
    </row>
    <row r="179" spans="2:111" customFormat="1" ht="9" customHeight="1">
      <c r="B179" s="143"/>
      <c r="C179" s="143"/>
      <c r="D179" s="143"/>
      <c r="E179" s="143"/>
      <c r="F179" s="143"/>
      <c r="G179" s="143"/>
      <c r="H179" s="143"/>
      <c r="I179" s="143"/>
      <c r="J179" s="143"/>
      <c r="K179" s="143"/>
      <c r="L179" s="143"/>
      <c r="M179" s="143"/>
      <c r="N179" s="143"/>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c r="AU179" s="421"/>
      <c r="AV179" s="421"/>
      <c r="AW179" s="421"/>
      <c r="AX179" s="421"/>
      <c r="AY179" s="421"/>
      <c r="AZ179" s="421"/>
      <c r="BA179" s="421"/>
      <c r="BC179" s="115"/>
      <c r="BD179" s="115"/>
      <c r="BE179" s="115"/>
      <c r="BF179" s="115"/>
      <c r="BG179" s="115"/>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115"/>
    </row>
    <row r="180" spans="2:111" customFormat="1" ht="9" customHeight="1">
      <c r="B180" s="143"/>
      <c r="C180" s="143"/>
      <c r="D180" s="143"/>
      <c r="E180" s="143"/>
      <c r="F180" s="143"/>
      <c r="G180" s="143"/>
      <c r="H180" s="143"/>
      <c r="I180" s="143"/>
      <c r="J180" s="143"/>
      <c r="K180" s="143"/>
      <c r="L180" s="143"/>
      <c r="M180" s="143"/>
      <c r="N180" s="143"/>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421"/>
      <c r="AP180" s="421"/>
      <c r="AQ180" s="421"/>
      <c r="AR180" s="421"/>
      <c r="AS180" s="421"/>
      <c r="AT180" s="421"/>
      <c r="AU180" s="421"/>
      <c r="AV180" s="421"/>
      <c r="AW180" s="421"/>
      <c r="AX180" s="421"/>
      <c r="AY180" s="421"/>
      <c r="AZ180" s="421"/>
      <c r="BA180" s="421"/>
      <c r="BC180" s="115"/>
      <c r="BD180" s="115"/>
      <c r="BE180" s="115"/>
      <c r="BF180" s="115"/>
      <c r="BG180" s="115"/>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115"/>
    </row>
    <row r="181" spans="2:111" customFormat="1" ht="9" customHeight="1">
      <c r="B181" s="49"/>
      <c r="C181" s="49"/>
      <c r="D181" s="49"/>
      <c r="E181" s="49"/>
      <c r="F181" s="49"/>
      <c r="G181" s="49"/>
      <c r="H181" s="49"/>
      <c r="I181" s="49"/>
      <c r="J181" s="49"/>
      <c r="K181" s="49"/>
      <c r="L181" s="49"/>
      <c r="M181" s="49"/>
      <c r="N181" s="49"/>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c r="AS181" s="421"/>
      <c r="AT181" s="421"/>
      <c r="AU181" s="421"/>
      <c r="AV181" s="421"/>
      <c r="AW181" s="421"/>
      <c r="AX181" s="421"/>
      <c r="AY181" s="421"/>
      <c r="AZ181" s="421"/>
      <c r="BA181" s="421"/>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row>
    <row r="182" spans="2:111" customFormat="1" ht="4.5" customHeight="1">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row>
    <row r="183" spans="2:111" customFormat="1" ht="9" customHeight="1">
      <c r="B183" s="493" t="str">
        <f>IF(B156="","","Metas Vinculadas:")</f>
        <v>Metas Vinculadas:</v>
      </c>
      <c r="C183" s="493"/>
      <c r="D183" s="493"/>
      <c r="E183" s="493"/>
      <c r="F183" s="493"/>
      <c r="G183" s="493"/>
      <c r="H183" s="493"/>
      <c r="I183" s="493"/>
      <c r="J183" s="493"/>
      <c r="K183" s="493"/>
      <c r="L183" s="493"/>
      <c r="M183" s="493"/>
      <c r="N183" s="493"/>
      <c r="O183" s="421" t="s">
        <v>623</v>
      </c>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1"/>
      <c r="AY183" s="421"/>
      <c r="AZ183" s="421"/>
      <c r="BA183" s="421"/>
      <c r="BC183" s="115"/>
      <c r="BD183" s="115"/>
      <c r="BE183" s="115"/>
      <c r="BF183" s="115"/>
      <c r="BG183" s="115"/>
      <c r="BH183" s="124"/>
      <c r="BI183" s="124"/>
      <c r="BJ183" s="124"/>
      <c r="BK183" s="124"/>
      <c r="BL183" s="124"/>
      <c r="BM183" s="124"/>
      <c r="BN183" s="124"/>
      <c r="BO183" s="124"/>
      <c r="BP183" s="124"/>
      <c r="BQ183" s="124"/>
      <c r="BR183" s="124"/>
      <c r="BS183" s="124"/>
      <c r="BT183" s="124"/>
      <c r="BU183" s="124"/>
      <c r="BV183" s="124"/>
      <c r="BW183" s="124"/>
      <c r="BX183" s="124"/>
      <c r="BY183" s="124"/>
      <c r="BZ183" s="124"/>
      <c r="CA183" s="124"/>
      <c r="CB183" s="124"/>
      <c r="CC183" s="124"/>
      <c r="CD183" s="124"/>
      <c r="CE183" s="124"/>
      <c r="CF183" s="124"/>
      <c r="CG183" s="124"/>
      <c r="CH183" s="124"/>
      <c r="CI183" s="124"/>
      <c r="CJ183" s="124"/>
      <c r="CK183" s="124"/>
      <c r="CL183" s="124"/>
      <c r="CM183" s="124"/>
      <c r="CN183" s="124"/>
      <c r="CO183" s="124"/>
      <c r="CP183" s="124"/>
      <c r="CQ183" s="124"/>
      <c r="CR183" s="124"/>
      <c r="CS183" s="124"/>
      <c r="CT183" s="124"/>
      <c r="CU183" s="124"/>
      <c r="CV183" s="124"/>
      <c r="CW183" s="124"/>
      <c r="CX183" s="124"/>
      <c r="CY183" s="124"/>
      <c r="CZ183" s="124"/>
      <c r="DA183" s="124"/>
      <c r="DB183" s="124"/>
      <c r="DC183" s="124"/>
      <c r="DD183" s="124"/>
      <c r="DE183" s="124"/>
      <c r="DF183" s="124"/>
      <c r="DG183" s="115"/>
    </row>
    <row r="184" spans="2:111" customFormat="1" ht="9" customHeight="1">
      <c r="B184" s="493"/>
      <c r="C184" s="493"/>
      <c r="D184" s="493"/>
      <c r="E184" s="493"/>
      <c r="F184" s="493"/>
      <c r="G184" s="493"/>
      <c r="H184" s="493"/>
      <c r="I184" s="493"/>
      <c r="J184" s="493"/>
      <c r="K184" s="493"/>
      <c r="L184" s="493"/>
      <c r="M184" s="493"/>
      <c r="N184" s="493"/>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c r="AU184" s="421"/>
      <c r="AV184" s="421"/>
      <c r="AW184" s="421"/>
      <c r="AX184" s="421"/>
      <c r="AY184" s="421"/>
      <c r="AZ184" s="421"/>
      <c r="BA184" s="421"/>
      <c r="BC184" s="115"/>
      <c r="BD184" s="115"/>
      <c r="BE184" s="115"/>
      <c r="BF184" s="115"/>
      <c r="BG184" s="115"/>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115"/>
    </row>
    <row r="185" spans="2:111" customFormat="1" ht="4.5" customHeight="1">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row>
    <row r="186" spans="2:111" customFormat="1" ht="9" customHeight="1">
      <c r="B186" s="125"/>
      <c r="C186" s="125"/>
      <c r="D186" s="125"/>
      <c r="E186" s="125"/>
      <c r="F186" s="125"/>
      <c r="G186" s="125"/>
      <c r="H186" s="125"/>
      <c r="I186" s="125"/>
      <c r="J186" s="125"/>
      <c r="K186" s="125"/>
      <c r="L186" s="125"/>
      <c r="M186" s="125"/>
      <c r="N186" s="125"/>
      <c r="O186" s="496" t="str">
        <f>IF(B156="","","Quantidade:")</f>
        <v>Quantidade:</v>
      </c>
      <c r="P186" s="496"/>
      <c r="Q186" s="496"/>
      <c r="R186" s="496"/>
      <c r="S186" s="496"/>
      <c r="T186" s="496"/>
      <c r="U186" s="496"/>
      <c r="V186" s="417">
        <v>100</v>
      </c>
      <c r="W186" s="417"/>
      <c r="X186" s="417"/>
      <c r="Y186" s="417"/>
      <c r="Z186" s="417"/>
      <c r="AA186" s="417"/>
      <c r="AB186" s="417"/>
      <c r="AC186" s="417"/>
      <c r="AD186" s="417"/>
      <c r="AE186" s="417"/>
      <c r="AF186" s="125"/>
      <c r="AG186" s="497" t="str">
        <f>IF(B156="","","Unidade:")</f>
        <v>Unidade:</v>
      </c>
      <c r="AH186" s="497"/>
      <c r="AI186" s="497"/>
      <c r="AJ186" s="497"/>
      <c r="AK186" s="497"/>
      <c r="AL186" s="497"/>
      <c r="AM186" s="497"/>
      <c r="AN186" s="125"/>
      <c r="AO186" s="417" t="s">
        <v>624</v>
      </c>
      <c r="AP186" s="417"/>
      <c r="AQ186" s="417"/>
      <c r="AR186" s="417"/>
      <c r="AS186" s="417"/>
      <c r="AT186" s="417"/>
      <c r="AU186" s="417"/>
      <c r="AV186" s="417"/>
      <c r="AW186" s="417"/>
      <c r="AX186" s="417"/>
      <c r="AY186" s="417"/>
      <c r="AZ186" s="417"/>
      <c r="BA186" s="417"/>
      <c r="BC186" s="115"/>
      <c r="BD186" s="115"/>
      <c r="BE186" s="115"/>
      <c r="BF186" s="115"/>
      <c r="BG186" s="115"/>
      <c r="BH186" s="124"/>
      <c r="BI186" s="124"/>
      <c r="BJ186" s="124"/>
      <c r="BK186" s="124"/>
      <c r="BL186" s="124"/>
      <c r="BM186" s="124"/>
      <c r="BN186" s="124"/>
      <c r="BO186" s="124"/>
      <c r="BP186" s="124"/>
      <c r="BQ186" s="124"/>
      <c r="BR186" s="124"/>
      <c r="BS186" s="124"/>
      <c r="BT186" s="124"/>
      <c r="BU186" s="124"/>
      <c r="BV186" s="124"/>
      <c r="BW186" s="124"/>
      <c r="BX186" s="124"/>
      <c r="BY186" s="124"/>
      <c r="BZ186" s="124"/>
      <c r="CA186" s="124"/>
      <c r="CB186" s="124"/>
      <c r="CC186" s="124"/>
      <c r="CD186" s="124"/>
      <c r="CE186" s="124"/>
      <c r="CF186" s="124"/>
      <c r="CG186" s="124"/>
      <c r="CH186" s="124"/>
      <c r="CI186" s="124"/>
      <c r="CJ186" s="124"/>
      <c r="CK186" s="124"/>
      <c r="CL186" s="124"/>
      <c r="CM186" s="124"/>
      <c r="CN186" s="124"/>
      <c r="CO186" s="124"/>
      <c r="CP186" s="124"/>
      <c r="CQ186" s="124"/>
      <c r="CR186" s="124"/>
      <c r="CS186" s="124"/>
      <c r="CT186" s="124"/>
      <c r="CU186" s="124"/>
      <c r="CV186" s="124"/>
      <c r="CW186" s="124"/>
      <c r="CX186" s="124"/>
      <c r="CY186" s="124"/>
      <c r="CZ186" s="124"/>
      <c r="DA186" s="124"/>
      <c r="DB186" s="124"/>
      <c r="DC186" s="124"/>
      <c r="DD186" s="124"/>
      <c r="DE186" s="124"/>
      <c r="DF186" s="124"/>
      <c r="DG186" s="115"/>
    </row>
    <row r="187" spans="2:111" customFormat="1" ht="9" customHeight="1">
      <c r="B187" s="125"/>
      <c r="C187" s="125"/>
      <c r="D187" s="125"/>
      <c r="E187" s="125"/>
      <c r="F187" s="125"/>
      <c r="G187" s="125"/>
      <c r="H187" s="125"/>
      <c r="I187" s="125"/>
      <c r="J187" s="125"/>
      <c r="K187" s="125"/>
      <c r="L187" s="125"/>
      <c r="M187" s="125"/>
      <c r="N187" s="125"/>
      <c r="O187" s="496"/>
      <c r="P187" s="496"/>
      <c r="Q187" s="496"/>
      <c r="R187" s="496"/>
      <c r="S187" s="496"/>
      <c r="T187" s="496"/>
      <c r="U187" s="496"/>
      <c r="V187" s="417"/>
      <c r="W187" s="417"/>
      <c r="X187" s="417"/>
      <c r="Y187" s="417"/>
      <c r="Z187" s="417"/>
      <c r="AA187" s="417"/>
      <c r="AB187" s="417"/>
      <c r="AC187" s="417"/>
      <c r="AD187" s="417"/>
      <c r="AE187" s="417"/>
      <c r="AF187" s="125"/>
      <c r="AG187" s="497"/>
      <c r="AH187" s="497"/>
      <c r="AI187" s="497"/>
      <c r="AJ187" s="497"/>
      <c r="AK187" s="497"/>
      <c r="AL187" s="497"/>
      <c r="AM187" s="497"/>
      <c r="AN187" s="125"/>
      <c r="AO187" s="417"/>
      <c r="AP187" s="417"/>
      <c r="AQ187" s="417"/>
      <c r="AR187" s="417"/>
      <c r="AS187" s="417"/>
      <c r="AT187" s="417"/>
      <c r="AU187" s="417"/>
      <c r="AV187" s="417"/>
      <c r="AW187" s="417"/>
      <c r="AX187" s="417"/>
      <c r="AY187" s="417"/>
      <c r="AZ187" s="417"/>
      <c r="BA187" s="417"/>
      <c r="BC187" s="115"/>
      <c r="BD187" s="115"/>
      <c r="BE187" s="115"/>
      <c r="BF187" s="115"/>
      <c r="BG187" s="115"/>
      <c r="BH187" s="124"/>
      <c r="BI187" s="124"/>
      <c r="BJ187" s="124"/>
      <c r="BK187" s="124"/>
      <c r="BL187" s="124"/>
      <c r="BM187" s="124"/>
      <c r="BN187" s="124"/>
      <c r="BO187" s="124"/>
      <c r="BP187" s="124"/>
      <c r="BQ187" s="124"/>
      <c r="BR187" s="124"/>
      <c r="BS187" s="124"/>
      <c r="BT187" s="124"/>
      <c r="BU187" s="124"/>
      <c r="BV187" s="124"/>
      <c r="BW187" s="124"/>
      <c r="BX187" s="124"/>
      <c r="BY187" s="124"/>
      <c r="BZ187" s="124"/>
      <c r="CA187" s="124"/>
      <c r="CB187" s="124"/>
      <c r="CC187" s="124"/>
      <c r="CD187" s="124"/>
      <c r="CE187" s="124"/>
      <c r="CF187" s="124"/>
      <c r="CG187" s="124"/>
      <c r="CH187" s="124"/>
      <c r="CI187" s="124"/>
      <c r="CJ187" s="124"/>
      <c r="CK187" s="124"/>
      <c r="CL187" s="124"/>
      <c r="CM187" s="124"/>
      <c r="CN187" s="124"/>
      <c r="CO187" s="124"/>
      <c r="CP187" s="124"/>
      <c r="CQ187" s="124"/>
      <c r="CR187" s="124"/>
      <c r="CS187" s="124"/>
      <c r="CT187" s="124"/>
      <c r="CU187" s="124"/>
      <c r="CV187" s="124"/>
      <c r="CW187" s="124"/>
      <c r="CX187" s="124"/>
      <c r="CY187" s="124"/>
      <c r="CZ187" s="124"/>
      <c r="DA187" s="124"/>
      <c r="DB187" s="124"/>
      <c r="DC187" s="124"/>
      <c r="DD187" s="124"/>
      <c r="DE187" s="124"/>
      <c r="DF187" s="124"/>
      <c r="DG187" s="115"/>
    </row>
    <row r="188" spans="2:111" customFormat="1" ht="9" customHeight="1">
      <c r="BC188" s="115"/>
      <c r="BD188" s="115"/>
      <c r="BE188" s="115"/>
      <c r="BF188" s="115"/>
      <c r="BG188" s="115"/>
      <c r="BH188" s="498"/>
      <c r="BI188" s="498"/>
      <c r="BJ188" s="498"/>
      <c r="BK188" s="498"/>
      <c r="BL188" s="498"/>
      <c r="BM188" s="498"/>
      <c r="BN188" s="498"/>
      <c r="BO188" s="498"/>
      <c r="BP188" s="498"/>
      <c r="BQ188" s="498"/>
      <c r="BR188" s="498"/>
      <c r="BS188" s="498"/>
      <c r="BT188" s="498"/>
      <c r="BU188" s="498"/>
      <c r="BV188" s="498"/>
      <c r="BW188" s="498"/>
      <c r="BX188" s="498"/>
      <c r="BY188" s="498"/>
      <c r="BZ188" s="498"/>
      <c r="CA188" s="498"/>
      <c r="CB188" s="498"/>
      <c r="CC188" s="498"/>
      <c r="CD188" s="498"/>
      <c r="CE188" s="498"/>
      <c r="CF188" s="498"/>
      <c r="CG188" s="498"/>
      <c r="CH188" s="498"/>
      <c r="CI188" s="498"/>
      <c r="CJ188" s="498"/>
      <c r="CK188" s="498"/>
      <c r="CL188" s="498"/>
      <c r="CM188" s="498"/>
      <c r="CN188" s="498"/>
      <c r="CO188" s="498"/>
      <c r="CP188" s="498"/>
      <c r="CQ188" s="498"/>
      <c r="CR188" s="498"/>
      <c r="CS188" s="498"/>
      <c r="CT188" s="498"/>
      <c r="CU188" s="498"/>
      <c r="CV188" s="498"/>
      <c r="CW188" s="498"/>
      <c r="CX188" s="498"/>
      <c r="CY188" s="498"/>
      <c r="CZ188" s="498"/>
      <c r="DA188" s="498"/>
      <c r="DB188" s="498"/>
      <c r="DC188" s="498"/>
      <c r="DD188" s="498"/>
      <c r="DE188" s="498"/>
      <c r="DF188" s="498"/>
      <c r="DG188" s="115"/>
    </row>
    <row r="189" spans="2:111" customFormat="1" ht="9" customHeight="1">
      <c r="B189" s="499" t="str">
        <f>IF($Z$32&gt;=4,"Nome da Empresa ou Nº da Ata","")</f>
        <v>Nome da Empresa ou Nº da Ata</v>
      </c>
      <c r="C189" s="499"/>
      <c r="D189" s="499"/>
      <c r="E189" s="499"/>
      <c r="F189" s="499"/>
      <c r="G189" s="499"/>
      <c r="H189" s="499"/>
      <c r="I189" s="499"/>
      <c r="J189" s="499"/>
      <c r="K189" s="499"/>
      <c r="L189" s="499"/>
      <c r="M189" s="499"/>
      <c r="N189" s="499"/>
      <c r="O189" s="499"/>
      <c r="P189" s="499"/>
      <c r="Q189" s="499"/>
      <c r="R189" s="499"/>
      <c r="S189" s="499"/>
      <c r="T189" s="499"/>
      <c r="U189" s="499"/>
      <c r="V189" s="499"/>
      <c r="W189" s="499"/>
      <c r="X189" s="499" t="str">
        <f>IF($Z$32&gt;=4,"CNPJ / CPF","")</f>
        <v>CNPJ / CPF</v>
      </c>
      <c r="Y189" s="499"/>
      <c r="Z189" s="499"/>
      <c r="AA189" s="499"/>
      <c r="AB189" s="499"/>
      <c r="AC189" s="499"/>
      <c r="AD189" s="499"/>
      <c r="AE189" s="499"/>
      <c r="AF189" s="499"/>
      <c r="AG189" s="499"/>
      <c r="AH189" s="499" t="str">
        <f>IF($Z$32&gt;=4,"Qtde","")</f>
        <v>Qtde</v>
      </c>
      <c r="AI189" s="499"/>
      <c r="AJ189" s="499"/>
      <c r="AK189" s="499"/>
      <c r="AL189" s="499" t="str">
        <f>IF($Z$32&gt;=4,"Valor Unitário (R$)","")</f>
        <v>Valor Unitário (R$)</v>
      </c>
      <c r="AM189" s="499"/>
      <c r="AN189" s="499"/>
      <c r="AO189" s="499"/>
      <c r="AP189" s="499"/>
      <c r="AQ189" s="499"/>
      <c r="AR189" s="499"/>
      <c r="AS189" s="499"/>
      <c r="AT189" s="499" t="str">
        <f>IF($Z$32&gt;=4,"Valor Total (R$)","")</f>
        <v>Valor Total (R$)</v>
      </c>
      <c r="AU189" s="499"/>
      <c r="AV189" s="499"/>
      <c r="AW189" s="499"/>
      <c r="AX189" s="499"/>
      <c r="AY189" s="499"/>
      <c r="AZ189" s="499"/>
      <c r="BA189" s="499"/>
      <c r="BC189" s="115"/>
      <c r="BD189" s="115"/>
      <c r="BE189" s="115"/>
      <c r="BF189" s="115"/>
      <c r="BG189" s="115"/>
      <c r="BH189" s="498"/>
      <c r="BI189" s="498"/>
      <c r="BJ189" s="498"/>
      <c r="BK189" s="498"/>
      <c r="BL189" s="498"/>
      <c r="BM189" s="498"/>
      <c r="BN189" s="498"/>
      <c r="BO189" s="498"/>
      <c r="BP189" s="498"/>
      <c r="BQ189" s="498"/>
      <c r="BR189" s="498"/>
      <c r="BS189" s="498"/>
      <c r="BT189" s="498"/>
      <c r="BU189" s="498"/>
      <c r="BV189" s="498"/>
      <c r="BW189" s="498"/>
      <c r="BX189" s="498"/>
      <c r="BY189" s="498"/>
      <c r="BZ189" s="498"/>
      <c r="CA189" s="498"/>
      <c r="CB189" s="498"/>
      <c r="CC189" s="498"/>
      <c r="CD189" s="498"/>
      <c r="CE189" s="498"/>
      <c r="CF189" s="498"/>
      <c r="CG189" s="498"/>
      <c r="CH189" s="498"/>
      <c r="CI189" s="498"/>
      <c r="CJ189" s="498"/>
      <c r="CK189" s="498"/>
      <c r="CL189" s="498"/>
      <c r="CM189" s="498"/>
      <c r="CN189" s="498"/>
      <c r="CO189" s="498"/>
      <c r="CP189" s="498"/>
      <c r="CQ189" s="498"/>
      <c r="CR189" s="498"/>
      <c r="CS189" s="498"/>
      <c r="CT189" s="498"/>
      <c r="CU189" s="498"/>
      <c r="CV189" s="498"/>
      <c r="CW189" s="498"/>
      <c r="CX189" s="498"/>
      <c r="CY189" s="498"/>
      <c r="CZ189" s="498"/>
      <c r="DA189" s="498"/>
      <c r="DB189" s="498"/>
      <c r="DC189" s="498"/>
      <c r="DD189" s="498"/>
      <c r="DE189" s="498"/>
      <c r="DF189" s="498"/>
      <c r="DG189" s="115"/>
    </row>
    <row r="190" spans="2:111" customFormat="1" ht="9" customHeight="1">
      <c r="B190" s="499"/>
      <c r="C190" s="499"/>
      <c r="D190" s="499"/>
      <c r="E190" s="499"/>
      <c r="F190" s="499"/>
      <c r="G190" s="499"/>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499"/>
      <c r="AY190" s="499"/>
      <c r="AZ190" s="499"/>
      <c r="BA190" s="499"/>
      <c r="BB190" s="176">
        <f>AVERAGE(AL191:AS193)</f>
        <v>2159.2449999999999</v>
      </c>
      <c r="BC190" s="115"/>
      <c r="BD190" s="115"/>
      <c r="BE190" s="115"/>
      <c r="BF190" s="115"/>
      <c r="BG190" s="115"/>
      <c r="BH190" s="498"/>
      <c r="BI190" s="498"/>
      <c r="BJ190" s="498"/>
      <c r="BK190" s="498"/>
      <c r="BL190" s="498"/>
      <c r="BM190" s="498"/>
      <c r="BN190" s="498"/>
      <c r="BO190" s="498"/>
      <c r="BP190" s="498"/>
      <c r="BQ190" s="498"/>
      <c r="BR190" s="498"/>
      <c r="BS190" s="498"/>
      <c r="BT190" s="498"/>
      <c r="BU190" s="498"/>
      <c r="BV190" s="498"/>
      <c r="BW190" s="498"/>
      <c r="BX190" s="498"/>
      <c r="BY190" s="498"/>
      <c r="BZ190" s="498"/>
      <c r="CA190" s="498"/>
      <c r="CB190" s="498"/>
      <c r="CC190" s="498"/>
      <c r="CD190" s="498"/>
      <c r="CE190" s="498"/>
      <c r="CF190" s="498"/>
      <c r="CG190" s="498"/>
      <c r="CH190" s="498"/>
      <c r="CI190" s="498"/>
      <c r="CJ190" s="498"/>
      <c r="CK190" s="498"/>
      <c r="CL190" s="498"/>
      <c r="CM190" s="498"/>
      <c r="CN190" s="498"/>
      <c r="CO190" s="498"/>
      <c r="CP190" s="498"/>
      <c r="CQ190" s="498"/>
      <c r="CR190" s="498"/>
      <c r="CS190" s="498"/>
      <c r="CT190" s="498"/>
      <c r="CU190" s="498"/>
      <c r="CV190" s="498"/>
      <c r="CW190" s="498"/>
      <c r="CX190" s="498"/>
      <c r="CY190" s="498"/>
      <c r="CZ190" s="498"/>
      <c r="DA190" s="498"/>
      <c r="DB190" s="498"/>
      <c r="DC190" s="498"/>
      <c r="DD190" s="498"/>
      <c r="DE190" s="498"/>
      <c r="DF190" s="498"/>
      <c r="DG190" s="115"/>
    </row>
    <row r="191" spans="2:111" customFormat="1" ht="18" customHeight="1">
      <c r="B191" s="233" t="s">
        <v>625</v>
      </c>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486"/>
      <c r="Y191" s="486"/>
      <c r="Z191" s="486"/>
      <c r="AA191" s="486"/>
      <c r="AB191" s="486"/>
      <c r="AC191" s="486"/>
      <c r="AD191" s="486"/>
      <c r="AE191" s="486"/>
      <c r="AF191" s="486"/>
      <c r="AG191" s="486"/>
      <c r="AH191" s="417">
        <v>100</v>
      </c>
      <c r="AI191" s="417"/>
      <c r="AJ191" s="417"/>
      <c r="AK191" s="417"/>
      <c r="AL191" s="419">
        <v>1983.75</v>
      </c>
      <c r="AM191" s="419"/>
      <c r="AN191" s="419"/>
      <c r="AO191" s="419"/>
      <c r="AP191" s="419"/>
      <c r="AQ191" s="419"/>
      <c r="AR191" s="419"/>
      <c r="AS191" s="419"/>
      <c r="AT191" s="487">
        <f>IF($Z$32&gt;=4,(AH191*AL191),"")</f>
        <v>198375</v>
      </c>
      <c r="AU191" s="487"/>
      <c r="AV191" s="487"/>
      <c r="AW191" s="487"/>
      <c r="AX191" s="487"/>
      <c r="AY191" s="487"/>
      <c r="AZ191" s="487"/>
      <c r="BA191" s="487"/>
      <c r="BC191" s="115"/>
      <c r="BD191" s="115"/>
      <c r="BE191" s="115"/>
      <c r="BF191" s="115"/>
      <c r="BG191" s="115"/>
      <c r="BH191" s="498"/>
      <c r="BI191" s="498"/>
      <c r="BJ191" s="498"/>
      <c r="BK191" s="498"/>
      <c r="BL191" s="498"/>
      <c r="BM191" s="498"/>
      <c r="BN191" s="498"/>
      <c r="BO191" s="498"/>
      <c r="BP191" s="498"/>
      <c r="BQ191" s="498"/>
      <c r="BR191" s="498"/>
      <c r="BS191" s="498"/>
      <c r="BT191" s="498"/>
      <c r="BU191" s="498"/>
      <c r="BV191" s="498"/>
      <c r="BW191" s="498"/>
      <c r="BX191" s="498"/>
      <c r="BY191" s="498"/>
      <c r="BZ191" s="498"/>
      <c r="CA191" s="498"/>
      <c r="CB191" s="498"/>
      <c r="CC191" s="498"/>
      <c r="CD191" s="498"/>
      <c r="CE191" s="498"/>
      <c r="CF191" s="498"/>
      <c r="CG191" s="498"/>
      <c r="CH191" s="498"/>
      <c r="CI191" s="498"/>
      <c r="CJ191" s="498"/>
      <c r="CK191" s="498"/>
      <c r="CL191" s="498"/>
      <c r="CM191" s="498"/>
      <c r="CN191" s="498"/>
      <c r="CO191" s="498"/>
      <c r="CP191" s="498"/>
      <c r="CQ191" s="498"/>
      <c r="CR191" s="498"/>
      <c r="CS191" s="498"/>
      <c r="CT191" s="498"/>
      <c r="CU191" s="498"/>
      <c r="CV191" s="498"/>
      <c r="CW191" s="498"/>
      <c r="CX191" s="498"/>
      <c r="CY191" s="498"/>
      <c r="CZ191" s="498"/>
      <c r="DA191" s="498"/>
      <c r="DB191" s="498"/>
      <c r="DC191" s="498"/>
      <c r="DD191" s="498"/>
      <c r="DE191" s="498"/>
      <c r="DF191" s="498"/>
      <c r="DG191" s="115"/>
    </row>
    <row r="192" spans="2:111" customFormat="1" ht="18" customHeight="1">
      <c r="B192" s="233" t="s">
        <v>626</v>
      </c>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486"/>
      <c r="Y192" s="486"/>
      <c r="Z192" s="486"/>
      <c r="AA192" s="486"/>
      <c r="AB192" s="486"/>
      <c r="AC192" s="486"/>
      <c r="AD192" s="486"/>
      <c r="AE192" s="486"/>
      <c r="AF192" s="486"/>
      <c r="AG192" s="486"/>
      <c r="AH192" s="417">
        <v>100</v>
      </c>
      <c r="AI192" s="417"/>
      <c r="AJ192" s="417"/>
      <c r="AK192" s="417"/>
      <c r="AL192" s="419">
        <v>2334.7399999999998</v>
      </c>
      <c r="AM192" s="419"/>
      <c r="AN192" s="419"/>
      <c r="AO192" s="419"/>
      <c r="AP192" s="419"/>
      <c r="AQ192" s="419"/>
      <c r="AR192" s="419"/>
      <c r="AS192" s="419"/>
      <c r="AT192" s="487">
        <f>IF($Z$32&gt;=4,(AH192*AL192),"")</f>
        <v>233473.99999999997</v>
      </c>
      <c r="AU192" s="487"/>
      <c r="AV192" s="487"/>
      <c r="AW192" s="487"/>
      <c r="AX192" s="487"/>
      <c r="AY192" s="487"/>
      <c r="AZ192" s="487"/>
      <c r="BA192" s="487"/>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row>
    <row r="193" spans="2:111" customFormat="1" ht="18" customHeight="1">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486"/>
      <c r="Y193" s="486"/>
      <c r="Z193" s="486"/>
      <c r="AA193" s="486"/>
      <c r="AB193" s="486"/>
      <c r="AC193" s="486"/>
      <c r="AD193" s="486"/>
      <c r="AE193" s="486"/>
      <c r="AF193" s="486"/>
      <c r="AG193" s="486"/>
      <c r="AH193" s="417"/>
      <c r="AI193" s="417"/>
      <c r="AJ193" s="417"/>
      <c r="AK193" s="417"/>
      <c r="AL193" s="419"/>
      <c r="AM193" s="419"/>
      <c r="AN193" s="419"/>
      <c r="AO193" s="419"/>
      <c r="AP193" s="419"/>
      <c r="AQ193" s="419"/>
      <c r="AR193" s="419"/>
      <c r="AS193" s="419"/>
      <c r="AT193" s="487">
        <f>IF($Z$32&gt;=4,(AH193*AL193),"")</f>
        <v>0</v>
      </c>
      <c r="AU193" s="487"/>
      <c r="AV193" s="487"/>
      <c r="AW193" s="487"/>
      <c r="AX193" s="487"/>
      <c r="AY193" s="487"/>
      <c r="AZ193" s="487"/>
      <c r="BA193" s="487"/>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row>
    <row r="194" spans="2:111" customFormat="1" ht="15" customHeight="1">
      <c r="AT194" s="500">
        <f>IF(B191="","",IF(AL192="",AT191,IF(AL193="",AVERAGE(AT191:BA192),AVERAGE(AT191:AT193))))</f>
        <v>215924.5</v>
      </c>
      <c r="AU194" s="500"/>
      <c r="AV194" s="500"/>
      <c r="AW194" s="500"/>
      <c r="AX194" s="500"/>
      <c r="AY194" s="500"/>
      <c r="AZ194" s="500"/>
      <c r="BA194" s="500"/>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row>
    <row r="195" spans="2:111" customFormat="1" ht="15" customHeight="1">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row>
    <row r="196" spans="2:111" customFormat="1" ht="9" customHeight="1">
      <c r="B196" s="494" t="str">
        <f>IF($Z$32&gt;=5,"Item 5","")</f>
        <v>Item 5</v>
      </c>
      <c r="C196" s="495"/>
      <c r="D196" s="495"/>
      <c r="E196" s="495"/>
      <c r="F196" s="495"/>
      <c r="G196" s="495"/>
      <c r="H196" s="495"/>
      <c r="I196" s="495"/>
      <c r="J196" s="495"/>
      <c r="K196" s="495"/>
      <c r="L196" s="495"/>
      <c r="M196" s="49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row>
    <row r="197" spans="2:111" customFormat="1" ht="9" customHeight="1">
      <c r="B197" s="495"/>
      <c r="C197" s="495"/>
      <c r="D197" s="495"/>
      <c r="E197" s="495"/>
      <c r="F197" s="495"/>
      <c r="G197" s="495"/>
      <c r="H197" s="495"/>
      <c r="I197" s="495"/>
      <c r="J197" s="495"/>
      <c r="K197" s="495"/>
      <c r="L197" s="495"/>
      <c r="M197" s="49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row>
    <row r="198" spans="2:111" customFormat="1" ht="4.5" customHeight="1">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row>
    <row r="199" spans="2:111" customFormat="1" ht="9" customHeight="1">
      <c r="B199" s="493" t="str">
        <f>IF(B196="","","Elemento de Despesa:")</f>
        <v>Elemento de Despesa:</v>
      </c>
      <c r="C199" s="493"/>
      <c r="D199" s="493"/>
      <c r="E199" s="493"/>
      <c r="F199" s="493"/>
      <c r="G199" s="493"/>
      <c r="H199" s="493"/>
      <c r="I199" s="493"/>
      <c r="J199" s="493"/>
      <c r="K199" s="493"/>
      <c r="L199" s="493"/>
      <c r="M199" s="493"/>
      <c r="N199" s="493"/>
      <c r="O199" s="241" t="s">
        <v>327</v>
      </c>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C199" s="115"/>
      <c r="BD199" s="115"/>
      <c r="BE199" s="115"/>
      <c r="BF199" s="115"/>
      <c r="BG199" s="115"/>
      <c r="BH199" s="124"/>
      <c r="BI199" s="124"/>
      <c r="BJ199" s="124"/>
      <c r="BK199" s="124"/>
      <c r="BL199" s="124"/>
      <c r="BM199" s="124"/>
      <c r="BN199" s="124"/>
      <c r="BO199" s="124"/>
      <c r="BP199" s="124"/>
      <c r="BQ199" s="124"/>
      <c r="BR199" s="124"/>
      <c r="BS199" s="124"/>
      <c r="BT199" s="124"/>
      <c r="BU199" s="124"/>
      <c r="BV199" s="124"/>
      <c r="BW199" s="124"/>
      <c r="BX199" s="124"/>
      <c r="BY199" s="124"/>
      <c r="BZ199" s="124"/>
      <c r="CA199" s="124"/>
      <c r="CB199" s="124"/>
      <c r="CC199" s="124"/>
      <c r="CD199" s="124"/>
      <c r="CE199" s="124"/>
      <c r="CF199" s="124"/>
      <c r="CG199" s="124"/>
      <c r="CH199" s="124"/>
      <c r="CI199" s="124"/>
      <c r="CJ199" s="124"/>
      <c r="CK199" s="124"/>
      <c r="CL199" s="124"/>
      <c r="CM199" s="124"/>
      <c r="CN199" s="124"/>
      <c r="CO199" s="124"/>
      <c r="CP199" s="124"/>
      <c r="CQ199" s="124"/>
      <c r="CR199" s="124"/>
      <c r="CS199" s="124"/>
      <c r="CT199" s="124"/>
      <c r="CU199" s="124"/>
      <c r="CV199" s="124"/>
      <c r="CW199" s="124"/>
      <c r="CX199" s="124"/>
      <c r="CY199" s="124"/>
      <c r="CZ199" s="124"/>
      <c r="DA199" s="124"/>
      <c r="DB199" s="124"/>
      <c r="DC199" s="124"/>
      <c r="DD199" s="124"/>
      <c r="DE199" s="124"/>
      <c r="DF199" s="124"/>
      <c r="DG199" s="115"/>
    </row>
    <row r="200" spans="2:111" customFormat="1" ht="9" customHeight="1">
      <c r="B200" s="493"/>
      <c r="C200" s="493"/>
      <c r="D200" s="493"/>
      <c r="E200" s="493"/>
      <c r="F200" s="493"/>
      <c r="G200" s="493"/>
      <c r="H200" s="493"/>
      <c r="I200" s="493"/>
      <c r="J200" s="493"/>
      <c r="K200" s="493"/>
      <c r="L200" s="493"/>
      <c r="M200" s="493"/>
      <c r="N200" s="493"/>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C200" s="115"/>
      <c r="BD200" s="115"/>
      <c r="BE200" s="115"/>
      <c r="BF200" s="115"/>
      <c r="BG200" s="115"/>
      <c r="BH200" s="124"/>
      <c r="BI200" s="124"/>
      <c r="BJ200" s="124"/>
      <c r="BK200" s="124"/>
      <c r="BL200" s="124"/>
      <c r="BM200" s="124"/>
      <c r="BN200" s="124"/>
      <c r="BO200" s="124"/>
      <c r="BP200" s="124"/>
      <c r="BQ200" s="124"/>
      <c r="BR200" s="124"/>
      <c r="BS200" s="124"/>
      <c r="BT200" s="124"/>
      <c r="BU200" s="124"/>
      <c r="BV200" s="124"/>
      <c r="BW200" s="124"/>
      <c r="BX200" s="124"/>
      <c r="BY200" s="124"/>
      <c r="BZ200" s="124"/>
      <c r="CA200" s="124"/>
      <c r="CB200" s="124"/>
      <c r="CC200" s="124"/>
      <c r="CD200" s="124"/>
      <c r="CE200" s="124"/>
      <c r="CF200" s="124"/>
      <c r="CG200" s="124"/>
      <c r="CH200" s="124"/>
      <c r="CI200" s="124"/>
      <c r="CJ200" s="124"/>
      <c r="CK200" s="124"/>
      <c r="CL200" s="124"/>
      <c r="CM200" s="124"/>
      <c r="CN200" s="124"/>
      <c r="CO200" s="124"/>
      <c r="CP200" s="124"/>
      <c r="CQ200" s="124"/>
      <c r="CR200" s="124"/>
      <c r="CS200" s="124"/>
      <c r="CT200" s="124"/>
      <c r="CU200" s="124"/>
      <c r="CV200" s="124"/>
      <c r="CW200" s="124"/>
      <c r="CX200" s="124"/>
      <c r="CY200" s="124"/>
      <c r="CZ200" s="124"/>
      <c r="DA200" s="124"/>
      <c r="DB200" s="124"/>
      <c r="DC200" s="124"/>
      <c r="DD200" s="124"/>
      <c r="DE200" s="124"/>
      <c r="DF200" s="124"/>
      <c r="DG200" s="115"/>
    </row>
    <row r="201" spans="2:111" customFormat="1" ht="4.5" customHeight="1">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C201" s="115"/>
      <c r="BD201" s="115"/>
      <c r="BE201" s="115"/>
      <c r="BF201" s="115"/>
      <c r="BG201" s="115"/>
      <c r="BH201" s="124"/>
      <c r="BI201" s="124"/>
      <c r="BJ201" s="124"/>
      <c r="BK201" s="124"/>
      <c r="BL201" s="124"/>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15"/>
    </row>
    <row r="202" spans="2:111" customFormat="1" ht="9" customHeight="1">
      <c r="B202" s="493" t="str">
        <f>IF(B196="","","Objeto:")</f>
        <v>Objeto:</v>
      </c>
      <c r="C202" s="493"/>
      <c r="D202" s="493"/>
      <c r="E202" s="493"/>
      <c r="F202" s="493"/>
      <c r="G202" s="493"/>
      <c r="H202" s="493"/>
      <c r="I202" s="493"/>
      <c r="J202" s="493"/>
      <c r="K202" s="493"/>
      <c r="L202" s="493"/>
      <c r="M202" s="493"/>
      <c r="N202" s="493"/>
      <c r="O202" s="421" t="s">
        <v>627</v>
      </c>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421"/>
      <c r="AP202" s="421"/>
      <c r="AQ202" s="421"/>
      <c r="AR202" s="421"/>
      <c r="AS202" s="421"/>
      <c r="AT202" s="421"/>
      <c r="AU202" s="421"/>
      <c r="AV202" s="421"/>
      <c r="AW202" s="421"/>
      <c r="AX202" s="421"/>
      <c r="AY202" s="421"/>
      <c r="AZ202" s="421"/>
      <c r="BA202" s="421"/>
      <c r="BC202" s="115"/>
      <c r="BD202" s="115"/>
      <c r="BE202" s="115"/>
      <c r="BF202" s="115"/>
      <c r="BG202" s="115"/>
      <c r="BH202" s="124"/>
      <c r="BI202" s="124"/>
      <c r="BJ202" s="124"/>
      <c r="BK202" s="124"/>
      <c r="BL202" s="124"/>
      <c r="BM202" s="124"/>
      <c r="BN202" s="124"/>
      <c r="BO202" s="124"/>
      <c r="BP202" s="124"/>
      <c r="BQ202" s="124"/>
      <c r="BR202" s="124"/>
      <c r="BS202" s="124"/>
      <c r="BT202" s="124"/>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15"/>
    </row>
    <row r="203" spans="2:111" customFormat="1" ht="9" customHeight="1">
      <c r="B203" s="493"/>
      <c r="C203" s="493"/>
      <c r="D203" s="493"/>
      <c r="E203" s="493"/>
      <c r="F203" s="493"/>
      <c r="G203" s="493"/>
      <c r="H203" s="493"/>
      <c r="I203" s="493"/>
      <c r="J203" s="493"/>
      <c r="K203" s="493"/>
      <c r="L203" s="493"/>
      <c r="M203" s="493"/>
      <c r="N203" s="493"/>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c r="AS203" s="421"/>
      <c r="AT203" s="421"/>
      <c r="AU203" s="421"/>
      <c r="AV203" s="421"/>
      <c r="AW203" s="421"/>
      <c r="AX203" s="421"/>
      <c r="AY203" s="421"/>
      <c r="AZ203" s="421"/>
      <c r="BA203" s="421"/>
      <c r="BC203" s="115"/>
      <c r="BD203" s="115"/>
      <c r="BE203" s="115"/>
      <c r="BF203" s="115"/>
      <c r="BG203" s="115"/>
      <c r="BH203" s="124"/>
      <c r="BI203" s="124"/>
      <c r="BJ203" s="124"/>
      <c r="BK203" s="124"/>
      <c r="BL203" s="124"/>
      <c r="BM203" s="124"/>
      <c r="BN203" s="124"/>
      <c r="BO203" s="124"/>
      <c r="BP203" s="124"/>
      <c r="BQ203" s="124"/>
      <c r="BR203" s="124"/>
      <c r="BS203" s="124"/>
      <c r="BT203" s="124"/>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15"/>
    </row>
    <row r="204" spans="2:111" customFormat="1" ht="9" customHeight="1">
      <c r="B204" s="143"/>
      <c r="C204" s="143"/>
      <c r="D204" s="143"/>
      <c r="E204" s="143"/>
      <c r="F204" s="143"/>
      <c r="G204" s="143"/>
      <c r="H204" s="143"/>
      <c r="I204" s="143"/>
      <c r="J204" s="143"/>
      <c r="K204" s="143"/>
      <c r="L204" s="143"/>
      <c r="M204" s="143"/>
      <c r="N204" s="143"/>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1"/>
      <c r="AY204" s="421"/>
      <c r="AZ204" s="421"/>
      <c r="BA204" s="421"/>
      <c r="BC204" s="115"/>
      <c r="BD204" s="115"/>
      <c r="BE204" s="115"/>
      <c r="BF204" s="115"/>
      <c r="BG204" s="115"/>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115"/>
    </row>
    <row r="205" spans="2:111" customFormat="1" ht="9" customHeight="1">
      <c r="B205" s="49"/>
      <c r="C205" s="49"/>
      <c r="D205" s="49"/>
      <c r="E205" s="49"/>
      <c r="F205" s="49"/>
      <c r="G205" s="49"/>
      <c r="H205" s="49"/>
      <c r="I205" s="49"/>
      <c r="J205" s="49"/>
      <c r="K205" s="49"/>
      <c r="L205" s="49"/>
      <c r="M205" s="49"/>
      <c r="N205" s="49"/>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c r="AP205" s="421"/>
      <c r="AQ205" s="421"/>
      <c r="AR205" s="421"/>
      <c r="AS205" s="421"/>
      <c r="AT205" s="421"/>
      <c r="AU205" s="421"/>
      <c r="AV205" s="421"/>
      <c r="AW205" s="421"/>
      <c r="AX205" s="421"/>
      <c r="AY205" s="421"/>
      <c r="AZ205" s="421"/>
      <c r="BA205" s="421"/>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row>
    <row r="206" spans="2:111" customFormat="1" ht="4.5" customHeight="1">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C206" s="115"/>
      <c r="BD206" s="115"/>
      <c r="BE206" s="115"/>
      <c r="BF206" s="115"/>
      <c r="BG206" s="115"/>
      <c r="BH206" s="124"/>
      <c r="BI206" s="124"/>
      <c r="BJ206" s="124"/>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15"/>
    </row>
    <row r="207" spans="2:111" customFormat="1" ht="9" customHeight="1">
      <c r="B207" s="493" t="str">
        <f>IF(B196="","","Detalhamento do Objeto:")</f>
        <v>Detalhamento do Objeto:</v>
      </c>
      <c r="C207" s="493"/>
      <c r="D207" s="493"/>
      <c r="E207" s="493"/>
      <c r="F207" s="493"/>
      <c r="G207" s="493"/>
      <c r="H207" s="493"/>
      <c r="I207" s="493"/>
      <c r="J207" s="493"/>
      <c r="K207" s="493"/>
      <c r="L207" s="493"/>
      <c r="M207" s="493"/>
      <c r="N207" s="493"/>
      <c r="O207" s="421" t="s">
        <v>628</v>
      </c>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c r="AP207" s="421"/>
      <c r="AQ207" s="421"/>
      <c r="AR207" s="421"/>
      <c r="AS207" s="421"/>
      <c r="AT207" s="421"/>
      <c r="AU207" s="421"/>
      <c r="AV207" s="421"/>
      <c r="AW207" s="421"/>
      <c r="AX207" s="421"/>
      <c r="AY207" s="421"/>
      <c r="AZ207" s="421"/>
      <c r="BA207" s="421"/>
      <c r="BC207" s="115"/>
      <c r="BD207" s="115"/>
      <c r="BE207" s="115"/>
      <c r="BF207" s="115"/>
      <c r="BG207" s="115"/>
      <c r="BH207" s="124"/>
      <c r="BI207" s="124"/>
      <c r="BJ207" s="124"/>
      <c r="BK207" s="124"/>
      <c r="BL207" s="124"/>
      <c r="BM207" s="124"/>
      <c r="BN207" s="124"/>
      <c r="BO207" s="124"/>
      <c r="BP207" s="124"/>
      <c r="BQ207" s="124"/>
      <c r="BR207" s="124"/>
      <c r="BS207" s="124"/>
      <c r="BT207" s="124"/>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15"/>
    </row>
    <row r="208" spans="2:111" customFormat="1" ht="9" customHeight="1">
      <c r="B208" s="493"/>
      <c r="C208" s="493"/>
      <c r="D208" s="493"/>
      <c r="E208" s="493"/>
      <c r="F208" s="493"/>
      <c r="G208" s="493"/>
      <c r="H208" s="493"/>
      <c r="I208" s="493"/>
      <c r="J208" s="493"/>
      <c r="K208" s="493"/>
      <c r="L208" s="493"/>
      <c r="M208" s="493"/>
      <c r="N208" s="493"/>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c r="AN208" s="421"/>
      <c r="AO208" s="421"/>
      <c r="AP208" s="421"/>
      <c r="AQ208" s="421"/>
      <c r="AR208" s="421"/>
      <c r="AS208" s="421"/>
      <c r="AT208" s="421"/>
      <c r="AU208" s="421"/>
      <c r="AV208" s="421"/>
      <c r="AW208" s="421"/>
      <c r="AX208" s="421"/>
      <c r="AY208" s="421"/>
      <c r="AZ208" s="421"/>
      <c r="BA208" s="421"/>
      <c r="BC208" s="115"/>
      <c r="BD208" s="115"/>
      <c r="BE208" s="115"/>
      <c r="BF208" s="115"/>
      <c r="BG208" s="115"/>
      <c r="BH208" s="124"/>
      <c r="BI208" s="124"/>
      <c r="BJ208" s="124"/>
      <c r="BK208" s="124"/>
      <c r="BL208" s="124"/>
      <c r="BM208" s="124"/>
      <c r="BN208" s="124"/>
      <c r="BO208" s="124"/>
      <c r="BP208" s="124"/>
      <c r="BQ208" s="124"/>
      <c r="BR208" s="124"/>
      <c r="BS208" s="124"/>
      <c r="BT208" s="124"/>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15"/>
    </row>
    <row r="209" spans="2:111" customFormat="1" ht="9" customHeight="1">
      <c r="B209" s="143"/>
      <c r="C209" s="143"/>
      <c r="D209" s="143"/>
      <c r="E209" s="143"/>
      <c r="F209" s="143"/>
      <c r="G209" s="143"/>
      <c r="H209" s="143"/>
      <c r="I209" s="143"/>
      <c r="J209" s="143"/>
      <c r="K209" s="143"/>
      <c r="L209" s="143"/>
      <c r="M209" s="143"/>
      <c r="N209" s="143"/>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c r="AP209" s="421"/>
      <c r="AQ209" s="421"/>
      <c r="AR209" s="421"/>
      <c r="AS209" s="421"/>
      <c r="AT209" s="421"/>
      <c r="AU209" s="421"/>
      <c r="AV209" s="421"/>
      <c r="AW209" s="421"/>
      <c r="AX209" s="421"/>
      <c r="AY209" s="421"/>
      <c r="AZ209" s="421"/>
      <c r="BA209" s="421"/>
      <c r="BC209" s="115"/>
      <c r="BD209" s="115"/>
      <c r="BE209" s="115"/>
      <c r="BF209" s="115"/>
      <c r="BG209" s="115"/>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115"/>
    </row>
    <row r="210" spans="2:111" customFormat="1" ht="9" customHeight="1">
      <c r="B210" s="143"/>
      <c r="C210" s="143"/>
      <c r="D210" s="143"/>
      <c r="E210" s="143"/>
      <c r="F210" s="143"/>
      <c r="G210" s="143"/>
      <c r="H210" s="143"/>
      <c r="I210" s="143"/>
      <c r="J210" s="143"/>
      <c r="K210" s="143"/>
      <c r="L210" s="143"/>
      <c r="M210" s="143"/>
      <c r="N210" s="143"/>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c r="AP210" s="421"/>
      <c r="AQ210" s="421"/>
      <c r="AR210" s="421"/>
      <c r="AS210" s="421"/>
      <c r="AT210" s="421"/>
      <c r="AU210" s="421"/>
      <c r="AV210" s="421"/>
      <c r="AW210" s="421"/>
      <c r="AX210" s="421"/>
      <c r="AY210" s="421"/>
      <c r="AZ210" s="421"/>
      <c r="BA210" s="421"/>
      <c r="BC210" s="115"/>
      <c r="BD210" s="115"/>
      <c r="BE210" s="115"/>
      <c r="BF210" s="115"/>
      <c r="BG210" s="115"/>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115"/>
    </row>
    <row r="211" spans="2:111" customFormat="1" ht="9" customHeight="1">
      <c r="B211" s="143"/>
      <c r="C211" s="143"/>
      <c r="D211" s="143"/>
      <c r="E211" s="143"/>
      <c r="F211" s="143"/>
      <c r="G211" s="143"/>
      <c r="H211" s="143"/>
      <c r="I211" s="143"/>
      <c r="J211" s="143"/>
      <c r="K211" s="143"/>
      <c r="L211" s="143"/>
      <c r="M211" s="143"/>
      <c r="N211" s="143"/>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1"/>
      <c r="AO211" s="421"/>
      <c r="AP211" s="421"/>
      <c r="AQ211" s="421"/>
      <c r="AR211" s="421"/>
      <c r="AS211" s="421"/>
      <c r="AT211" s="421"/>
      <c r="AU211" s="421"/>
      <c r="AV211" s="421"/>
      <c r="AW211" s="421"/>
      <c r="AX211" s="421"/>
      <c r="AY211" s="421"/>
      <c r="AZ211" s="421"/>
      <c r="BA211" s="421"/>
      <c r="BC211" s="115"/>
      <c r="BD211" s="115"/>
      <c r="BE211" s="115"/>
      <c r="BF211" s="115"/>
      <c r="BG211" s="115"/>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115"/>
    </row>
    <row r="212" spans="2:111" customFormat="1" ht="9" customHeight="1">
      <c r="B212" s="143"/>
      <c r="C212" s="143"/>
      <c r="D212" s="143"/>
      <c r="E212" s="143"/>
      <c r="F212" s="143"/>
      <c r="G212" s="143"/>
      <c r="H212" s="143"/>
      <c r="I212" s="143"/>
      <c r="J212" s="143"/>
      <c r="K212" s="143"/>
      <c r="L212" s="143"/>
      <c r="M212" s="143"/>
      <c r="N212" s="143"/>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1"/>
      <c r="AK212" s="421"/>
      <c r="AL212" s="421"/>
      <c r="AM212" s="421"/>
      <c r="AN212" s="421"/>
      <c r="AO212" s="421"/>
      <c r="AP212" s="421"/>
      <c r="AQ212" s="421"/>
      <c r="AR212" s="421"/>
      <c r="AS212" s="421"/>
      <c r="AT212" s="421"/>
      <c r="AU212" s="421"/>
      <c r="AV212" s="421"/>
      <c r="AW212" s="421"/>
      <c r="AX212" s="421"/>
      <c r="AY212" s="421"/>
      <c r="AZ212" s="421"/>
      <c r="BA212" s="421"/>
      <c r="BC212" s="115"/>
      <c r="BD212" s="115"/>
      <c r="BE212" s="115"/>
      <c r="BF212" s="115"/>
      <c r="BG212" s="115"/>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115"/>
    </row>
    <row r="213" spans="2:111" customFormat="1" ht="9" customHeight="1">
      <c r="B213" s="143"/>
      <c r="C213" s="143"/>
      <c r="D213" s="143"/>
      <c r="E213" s="143"/>
      <c r="F213" s="143"/>
      <c r="G213" s="143"/>
      <c r="H213" s="143"/>
      <c r="I213" s="143"/>
      <c r="J213" s="143"/>
      <c r="K213" s="143"/>
      <c r="L213" s="143"/>
      <c r="M213" s="143"/>
      <c r="N213" s="143"/>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1"/>
      <c r="AU213" s="421"/>
      <c r="AV213" s="421"/>
      <c r="AW213" s="421"/>
      <c r="AX213" s="421"/>
      <c r="AY213" s="421"/>
      <c r="AZ213" s="421"/>
      <c r="BA213" s="421"/>
      <c r="BC213" s="115"/>
      <c r="BD213" s="115"/>
      <c r="BE213" s="115"/>
      <c r="BF213" s="115"/>
      <c r="BG213" s="115"/>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115"/>
    </row>
    <row r="214" spans="2:111" customFormat="1" ht="9" customHeight="1">
      <c r="B214" s="49"/>
      <c r="C214" s="49"/>
      <c r="D214" s="49"/>
      <c r="E214" s="49"/>
      <c r="F214" s="49"/>
      <c r="G214" s="49"/>
      <c r="H214" s="49"/>
      <c r="I214" s="49"/>
      <c r="J214" s="49"/>
      <c r="K214" s="49"/>
      <c r="L214" s="49"/>
      <c r="M214" s="49"/>
      <c r="N214" s="49"/>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1"/>
      <c r="AY214" s="421"/>
      <c r="AZ214" s="421"/>
      <c r="BA214" s="421"/>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row>
    <row r="215" spans="2:111" customFormat="1" ht="4.5" customHeight="1">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C215" s="115"/>
      <c r="BD215" s="115"/>
      <c r="BE215" s="115"/>
      <c r="BF215" s="115"/>
      <c r="BG215" s="115"/>
      <c r="BH215" s="124"/>
      <c r="BI215" s="124"/>
      <c r="BJ215" s="124"/>
      <c r="BK215" s="124"/>
      <c r="BL215" s="124"/>
      <c r="BM215" s="124"/>
      <c r="BN215" s="124"/>
      <c r="BO215" s="124"/>
      <c r="BP215" s="124"/>
      <c r="BQ215" s="124"/>
      <c r="BR215" s="124"/>
      <c r="BS215" s="124"/>
      <c r="BT215" s="124"/>
      <c r="BU215" s="124"/>
      <c r="BV215" s="124"/>
      <c r="BW215" s="124"/>
      <c r="BX215" s="124"/>
      <c r="BY215" s="124"/>
      <c r="BZ215" s="124"/>
      <c r="CA215" s="124"/>
      <c r="CB215" s="124"/>
      <c r="CC215" s="124"/>
      <c r="CD215" s="124"/>
      <c r="CE215" s="124"/>
      <c r="CF215" s="124"/>
      <c r="CG215" s="124"/>
      <c r="CH215" s="124"/>
      <c r="CI215" s="124"/>
      <c r="CJ215" s="124"/>
      <c r="CK215" s="124"/>
      <c r="CL215" s="124"/>
      <c r="CM215" s="124"/>
      <c r="CN215" s="124"/>
      <c r="CO215" s="124"/>
      <c r="CP215" s="124"/>
      <c r="CQ215" s="124"/>
      <c r="CR215" s="124"/>
      <c r="CS215" s="124"/>
      <c r="CT215" s="124"/>
      <c r="CU215" s="124"/>
      <c r="CV215" s="124"/>
      <c r="CW215" s="124"/>
      <c r="CX215" s="124"/>
      <c r="CY215" s="124"/>
      <c r="CZ215" s="124"/>
      <c r="DA215" s="124"/>
      <c r="DB215" s="124"/>
      <c r="DC215" s="124"/>
      <c r="DD215" s="124"/>
      <c r="DE215" s="124"/>
      <c r="DF215" s="124"/>
      <c r="DG215" s="115"/>
    </row>
    <row r="216" spans="2:111" customFormat="1" ht="9" customHeight="1">
      <c r="B216" s="493" t="str">
        <f>IF(B196="","","Justificativa:")</f>
        <v>Justificativa:</v>
      </c>
      <c r="C216" s="493"/>
      <c r="D216" s="493"/>
      <c r="E216" s="493"/>
      <c r="F216" s="493"/>
      <c r="G216" s="493"/>
      <c r="H216" s="493"/>
      <c r="I216" s="493"/>
      <c r="J216" s="493"/>
      <c r="K216" s="493"/>
      <c r="L216" s="493"/>
      <c r="M216" s="493"/>
      <c r="N216" s="493"/>
      <c r="O216" s="421" t="s">
        <v>629</v>
      </c>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c r="AP216" s="421"/>
      <c r="AQ216" s="421"/>
      <c r="AR216" s="421"/>
      <c r="AS216" s="421"/>
      <c r="AT216" s="421"/>
      <c r="AU216" s="421"/>
      <c r="AV216" s="421"/>
      <c r="AW216" s="421"/>
      <c r="AX216" s="421"/>
      <c r="AY216" s="421"/>
      <c r="AZ216" s="421"/>
      <c r="BA216" s="421"/>
      <c r="BC216" s="115"/>
      <c r="BD216" s="115"/>
      <c r="BE216" s="115"/>
      <c r="BF216" s="115"/>
      <c r="BG216" s="115"/>
      <c r="BH216" s="124"/>
      <c r="BI216" s="124"/>
      <c r="BJ216" s="124"/>
      <c r="BK216" s="124"/>
      <c r="BL216" s="124"/>
      <c r="BM216" s="124"/>
      <c r="BN216" s="124"/>
      <c r="BO216" s="124"/>
      <c r="BP216" s="124"/>
      <c r="BQ216" s="124"/>
      <c r="BR216" s="124"/>
      <c r="BS216" s="124"/>
      <c r="BT216" s="124"/>
      <c r="BU216" s="124"/>
      <c r="BV216" s="124"/>
      <c r="BW216" s="124"/>
      <c r="BX216" s="124"/>
      <c r="BY216" s="124"/>
      <c r="BZ216" s="124"/>
      <c r="CA216" s="124"/>
      <c r="CB216" s="124"/>
      <c r="CC216" s="124"/>
      <c r="CD216" s="124"/>
      <c r="CE216" s="124"/>
      <c r="CF216" s="124"/>
      <c r="CG216" s="124"/>
      <c r="CH216" s="124"/>
      <c r="CI216" s="124"/>
      <c r="CJ216" s="124"/>
      <c r="CK216" s="124"/>
      <c r="CL216" s="124"/>
      <c r="CM216" s="124"/>
      <c r="CN216" s="124"/>
      <c r="CO216" s="124"/>
      <c r="CP216" s="124"/>
      <c r="CQ216" s="124"/>
      <c r="CR216" s="124"/>
      <c r="CS216" s="124"/>
      <c r="CT216" s="124"/>
      <c r="CU216" s="124"/>
      <c r="CV216" s="124"/>
      <c r="CW216" s="124"/>
      <c r="CX216" s="124"/>
      <c r="CY216" s="124"/>
      <c r="CZ216" s="124"/>
      <c r="DA216" s="124"/>
      <c r="DB216" s="124"/>
      <c r="DC216" s="124"/>
      <c r="DD216" s="124"/>
      <c r="DE216" s="124"/>
      <c r="DF216" s="124"/>
      <c r="DG216" s="115"/>
    </row>
    <row r="217" spans="2:111" customFormat="1" ht="9" customHeight="1">
      <c r="B217" s="493"/>
      <c r="C217" s="493"/>
      <c r="D217" s="493"/>
      <c r="E217" s="493"/>
      <c r="F217" s="493"/>
      <c r="G217" s="493"/>
      <c r="H217" s="493"/>
      <c r="I217" s="493"/>
      <c r="J217" s="493"/>
      <c r="K217" s="493"/>
      <c r="L217" s="493"/>
      <c r="M217" s="493"/>
      <c r="N217" s="493"/>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1"/>
      <c r="AY217" s="421"/>
      <c r="AZ217" s="421"/>
      <c r="BA217" s="421"/>
      <c r="BC217" s="115"/>
      <c r="BD217" s="115"/>
      <c r="BE217" s="115"/>
      <c r="BF217" s="115"/>
      <c r="BG217" s="115"/>
      <c r="BH217" s="124"/>
      <c r="BI217" s="124"/>
      <c r="BJ217" s="124"/>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c r="CJ217" s="124"/>
      <c r="CK217" s="124"/>
      <c r="CL217" s="124"/>
      <c r="CM217" s="124"/>
      <c r="CN217" s="124"/>
      <c r="CO217" s="124"/>
      <c r="CP217" s="124"/>
      <c r="CQ217" s="124"/>
      <c r="CR217" s="124"/>
      <c r="CS217" s="124"/>
      <c r="CT217" s="124"/>
      <c r="CU217" s="124"/>
      <c r="CV217" s="124"/>
      <c r="CW217" s="124"/>
      <c r="CX217" s="124"/>
      <c r="CY217" s="124"/>
      <c r="CZ217" s="124"/>
      <c r="DA217" s="124"/>
      <c r="DB217" s="124"/>
      <c r="DC217" s="124"/>
      <c r="DD217" s="124"/>
      <c r="DE217" s="124"/>
      <c r="DF217" s="124"/>
      <c r="DG217" s="115"/>
    </row>
    <row r="218" spans="2:111" customFormat="1" ht="9" customHeight="1">
      <c r="B218" s="143"/>
      <c r="C218" s="143"/>
      <c r="D218" s="143"/>
      <c r="E218" s="143"/>
      <c r="F218" s="143"/>
      <c r="G218" s="143"/>
      <c r="H218" s="143"/>
      <c r="I218" s="143"/>
      <c r="J218" s="143"/>
      <c r="K218" s="143"/>
      <c r="L218" s="143"/>
      <c r="M218" s="143"/>
      <c r="N218" s="143"/>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c r="AP218" s="421"/>
      <c r="AQ218" s="421"/>
      <c r="AR218" s="421"/>
      <c r="AS218" s="421"/>
      <c r="AT218" s="421"/>
      <c r="AU218" s="421"/>
      <c r="AV218" s="421"/>
      <c r="AW218" s="421"/>
      <c r="AX218" s="421"/>
      <c r="AY218" s="421"/>
      <c r="AZ218" s="421"/>
      <c r="BA218" s="421"/>
      <c r="BC218" s="115"/>
      <c r="BD218" s="115"/>
      <c r="BE218" s="115"/>
      <c r="BF218" s="115"/>
      <c r="BG218" s="115"/>
      <c r="BH218" s="124"/>
      <c r="BI218" s="124"/>
      <c r="BJ218" s="124"/>
      <c r="BK218" s="124"/>
      <c r="BL218" s="124"/>
      <c r="BM218" s="124"/>
      <c r="BN218" s="124"/>
      <c r="BO218" s="124"/>
      <c r="BP218" s="124"/>
      <c r="BQ218" s="124"/>
      <c r="BR218" s="124"/>
      <c r="BS218" s="124"/>
      <c r="BT218" s="124"/>
      <c r="BU218" s="124"/>
      <c r="BV218" s="124"/>
      <c r="BW218" s="124"/>
      <c r="BX218" s="124"/>
      <c r="BY218" s="124"/>
      <c r="BZ218" s="124"/>
      <c r="CA218" s="124"/>
      <c r="CB218" s="124"/>
      <c r="CC218" s="124"/>
      <c r="CD218" s="124"/>
      <c r="CE218" s="124"/>
      <c r="CF218" s="124"/>
      <c r="CG218" s="124"/>
      <c r="CH218" s="124"/>
      <c r="CI218" s="124"/>
      <c r="CJ218" s="124"/>
      <c r="CK218" s="124"/>
      <c r="CL218" s="124"/>
      <c r="CM218" s="124"/>
      <c r="CN218" s="124"/>
      <c r="CO218" s="124"/>
      <c r="CP218" s="124"/>
      <c r="CQ218" s="124"/>
      <c r="CR218" s="124"/>
      <c r="CS218" s="124"/>
      <c r="CT218" s="124"/>
      <c r="CU218" s="124"/>
      <c r="CV218" s="124"/>
      <c r="CW218" s="124"/>
      <c r="CX218" s="124"/>
      <c r="CY218" s="124"/>
      <c r="CZ218" s="124"/>
      <c r="DA218" s="124"/>
      <c r="DB218" s="124"/>
      <c r="DC218" s="124"/>
      <c r="DD218" s="124"/>
      <c r="DE218" s="124"/>
      <c r="DF218" s="124"/>
      <c r="DG218" s="115"/>
    </row>
    <row r="219" spans="2:111" customFormat="1" ht="9" customHeight="1">
      <c r="B219" s="143"/>
      <c r="C219" s="143"/>
      <c r="D219" s="143"/>
      <c r="E219" s="143"/>
      <c r="F219" s="143"/>
      <c r="G219" s="143"/>
      <c r="H219" s="143"/>
      <c r="I219" s="143"/>
      <c r="J219" s="143"/>
      <c r="K219" s="143"/>
      <c r="L219" s="143"/>
      <c r="M219" s="143"/>
      <c r="N219" s="143"/>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c r="AN219" s="421"/>
      <c r="AO219" s="421"/>
      <c r="AP219" s="421"/>
      <c r="AQ219" s="421"/>
      <c r="AR219" s="421"/>
      <c r="AS219" s="421"/>
      <c r="AT219" s="421"/>
      <c r="AU219" s="421"/>
      <c r="AV219" s="421"/>
      <c r="AW219" s="421"/>
      <c r="AX219" s="421"/>
      <c r="AY219" s="421"/>
      <c r="AZ219" s="421"/>
      <c r="BA219" s="421"/>
      <c r="BC219" s="115"/>
      <c r="BD219" s="115"/>
      <c r="BE219" s="115"/>
      <c r="BF219" s="115"/>
      <c r="BG219" s="115"/>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115"/>
    </row>
    <row r="220" spans="2:111" customFormat="1" ht="9" customHeight="1">
      <c r="B220" s="143"/>
      <c r="C220" s="143"/>
      <c r="D220" s="143"/>
      <c r="E220" s="143"/>
      <c r="F220" s="143"/>
      <c r="G220" s="143"/>
      <c r="H220" s="143"/>
      <c r="I220" s="143"/>
      <c r="J220" s="143"/>
      <c r="K220" s="143"/>
      <c r="L220" s="143"/>
      <c r="M220" s="143"/>
      <c r="N220" s="143"/>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c r="AU220" s="421"/>
      <c r="AV220" s="421"/>
      <c r="AW220" s="421"/>
      <c r="AX220" s="421"/>
      <c r="AY220" s="421"/>
      <c r="AZ220" s="421"/>
      <c r="BA220" s="421"/>
      <c r="BC220" s="115"/>
      <c r="BD220" s="115"/>
      <c r="BE220" s="115"/>
      <c r="BF220" s="115"/>
      <c r="BG220" s="115"/>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115"/>
    </row>
    <row r="221" spans="2:111" customFormat="1" ht="9" customHeight="1">
      <c r="B221" s="49"/>
      <c r="C221" s="49"/>
      <c r="D221" s="49"/>
      <c r="E221" s="49"/>
      <c r="F221" s="49"/>
      <c r="G221" s="49"/>
      <c r="H221" s="49"/>
      <c r="I221" s="49"/>
      <c r="J221" s="49"/>
      <c r="K221" s="49"/>
      <c r="L221" s="49"/>
      <c r="M221" s="49"/>
      <c r="N221" s="49"/>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c r="AP221" s="421"/>
      <c r="AQ221" s="421"/>
      <c r="AR221" s="421"/>
      <c r="AS221" s="421"/>
      <c r="AT221" s="421"/>
      <c r="AU221" s="421"/>
      <c r="AV221" s="421"/>
      <c r="AW221" s="421"/>
      <c r="AX221" s="421"/>
      <c r="AY221" s="421"/>
      <c r="AZ221" s="421"/>
      <c r="BA221" s="421"/>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row>
    <row r="222" spans="2:111" customFormat="1" ht="4.5" customHeight="1">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row>
    <row r="223" spans="2:111" customFormat="1" ht="9" customHeight="1">
      <c r="B223" s="493" t="str">
        <f>IF(B196="","","Metas Vinculadas:")</f>
        <v>Metas Vinculadas:</v>
      </c>
      <c r="C223" s="493"/>
      <c r="D223" s="493"/>
      <c r="E223" s="493"/>
      <c r="F223" s="493"/>
      <c r="G223" s="493"/>
      <c r="H223" s="493"/>
      <c r="I223" s="493"/>
      <c r="J223" s="493"/>
      <c r="K223" s="493"/>
      <c r="L223" s="493"/>
      <c r="M223" s="493"/>
      <c r="N223" s="493"/>
      <c r="O223" s="421">
        <v>5</v>
      </c>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1"/>
      <c r="AO223" s="421"/>
      <c r="AP223" s="421"/>
      <c r="AQ223" s="421"/>
      <c r="AR223" s="421"/>
      <c r="AS223" s="421"/>
      <c r="AT223" s="421"/>
      <c r="AU223" s="421"/>
      <c r="AV223" s="421"/>
      <c r="AW223" s="421"/>
      <c r="AX223" s="421"/>
      <c r="AY223" s="421"/>
      <c r="AZ223" s="421"/>
      <c r="BA223" s="421"/>
      <c r="BC223" s="115"/>
      <c r="BD223" s="115"/>
      <c r="BE223" s="115"/>
      <c r="BF223" s="115"/>
      <c r="BG223" s="115"/>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c r="CT223" s="124"/>
      <c r="CU223" s="124"/>
      <c r="CV223" s="124"/>
      <c r="CW223" s="124"/>
      <c r="CX223" s="124"/>
      <c r="CY223" s="124"/>
      <c r="CZ223" s="124"/>
      <c r="DA223" s="124"/>
      <c r="DB223" s="124"/>
      <c r="DC223" s="124"/>
      <c r="DD223" s="124"/>
      <c r="DE223" s="124"/>
      <c r="DF223" s="124"/>
      <c r="DG223" s="115"/>
    </row>
    <row r="224" spans="2:111" customFormat="1" ht="9" customHeight="1">
      <c r="B224" s="493"/>
      <c r="C224" s="493"/>
      <c r="D224" s="493"/>
      <c r="E224" s="493"/>
      <c r="F224" s="493"/>
      <c r="G224" s="493"/>
      <c r="H224" s="493"/>
      <c r="I224" s="493"/>
      <c r="J224" s="493"/>
      <c r="K224" s="493"/>
      <c r="L224" s="493"/>
      <c r="M224" s="493"/>
      <c r="N224" s="493"/>
      <c r="O224" s="421"/>
      <c r="P224" s="421"/>
      <c r="Q224" s="421"/>
      <c r="R224" s="421"/>
      <c r="S224" s="421"/>
      <c r="T224" s="421"/>
      <c r="U224" s="421"/>
      <c r="V224" s="421"/>
      <c r="W224" s="421"/>
      <c r="X224" s="421"/>
      <c r="Y224" s="421"/>
      <c r="Z224" s="421"/>
      <c r="AA224" s="421"/>
      <c r="AB224" s="421"/>
      <c r="AC224" s="421"/>
      <c r="AD224" s="421"/>
      <c r="AE224" s="421"/>
      <c r="AF224" s="421"/>
      <c r="AG224" s="421"/>
      <c r="AH224" s="421"/>
      <c r="AI224" s="421"/>
      <c r="AJ224" s="421"/>
      <c r="AK224" s="421"/>
      <c r="AL224" s="421"/>
      <c r="AM224" s="421"/>
      <c r="AN224" s="421"/>
      <c r="AO224" s="421"/>
      <c r="AP224" s="421"/>
      <c r="AQ224" s="421"/>
      <c r="AR224" s="421"/>
      <c r="AS224" s="421"/>
      <c r="AT224" s="421"/>
      <c r="AU224" s="421"/>
      <c r="AV224" s="421"/>
      <c r="AW224" s="421"/>
      <c r="AX224" s="421"/>
      <c r="AY224" s="421"/>
      <c r="AZ224" s="421"/>
      <c r="BA224" s="421"/>
      <c r="BC224" s="115"/>
      <c r="BD224" s="115"/>
      <c r="BE224" s="115"/>
      <c r="BF224" s="115"/>
      <c r="BG224" s="115"/>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115"/>
    </row>
    <row r="225" spans="2:111" customFormat="1" ht="4.5" customHeight="1">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row>
    <row r="226" spans="2:111" customFormat="1" ht="9" customHeight="1">
      <c r="B226" s="125"/>
      <c r="C226" s="125"/>
      <c r="D226" s="125"/>
      <c r="E226" s="125"/>
      <c r="F226" s="125"/>
      <c r="G226" s="125"/>
      <c r="H226" s="125"/>
      <c r="I226" s="125"/>
      <c r="J226" s="125"/>
      <c r="K226" s="125"/>
      <c r="L226" s="125"/>
      <c r="M226" s="125"/>
      <c r="N226" s="125"/>
      <c r="O226" s="496" t="str">
        <f>IF(B196="","","Quantidade:")</f>
        <v>Quantidade:</v>
      </c>
      <c r="P226" s="496"/>
      <c r="Q226" s="496"/>
      <c r="R226" s="496"/>
      <c r="S226" s="496"/>
      <c r="T226" s="496"/>
      <c r="U226" s="496"/>
      <c r="V226" s="417">
        <v>1</v>
      </c>
      <c r="W226" s="417"/>
      <c r="X226" s="417"/>
      <c r="Y226" s="417"/>
      <c r="Z226" s="417"/>
      <c r="AA226" s="417"/>
      <c r="AB226" s="417"/>
      <c r="AC226" s="417"/>
      <c r="AD226" s="417"/>
      <c r="AE226" s="417"/>
      <c r="AF226" s="125"/>
      <c r="AG226" s="497" t="str">
        <f>IF(B196="","","Unidade:")</f>
        <v>Unidade:</v>
      </c>
      <c r="AH226" s="497"/>
      <c r="AI226" s="497"/>
      <c r="AJ226" s="497"/>
      <c r="AK226" s="497"/>
      <c r="AL226" s="497"/>
      <c r="AM226" s="497"/>
      <c r="AN226" s="125"/>
      <c r="AO226" s="417" t="s">
        <v>630</v>
      </c>
      <c r="AP226" s="417"/>
      <c r="AQ226" s="417"/>
      <c r="AR226" s="417"/>
      <c r="AS226" s="417"/>
      <c r="AT226" s="417"/>
      <c r="AU226" s="417"/>
      <c r="AV226" s="417"/>
      <c r="AW226" s="417"/>
      <c r="AX226" s="417"/>
      <c r="AY226" s="417"/>
      <c r="AZ226" s="417"/>
      <c r="BA226" s="417"/>
      <c r="BC226" s="115"/>
      <c r="BD226" s="115"/>
      <c r="BE226" s="115"/>
      <c r="BF226" s="115"/>
      <c r="BG226" s="115"/>
      <c r="BH226" s="124"/>
      <c r="BI226" s="124"/>
      <c r="BJ226" s="124"/>
      <c r="BK226" s="124"/>
      <c r="BL226" s="124"/>
      <c r="BM226" s="124"/>
      <c r="BN226" s="124"/>
      <c r="BO226" s="124"/>
      <c r="BP226" s="124"/>
      <c r="BQ226" s="124"/>
      <c r="BR226" s="124"/>
      <c r="BS226" s="124"/>
      <c r="BT226" s="124"/>
      <c r="BU226" s="124"/>
      <c r="BV226" s="124"/>
      <c r="BW226" s="124"/>
      <c r="BX226" s="124"/>
      <c r="BY226" s="124"/>
      <c r="BZ226" s="124"/>
      <c r="CA226" s="124"/>
      <c r="CB226" s="124"/>
      <c r="CC226" s="124"/>
      <c r="CD226" s="124"/>
      <c r="CE226" s="124"/>
      <c r="CF226" s="124"/>
      <c r="CG226" s="124"/>
      <c r="CH226" s="124"/>
      <c r="CI226" s="124"/>
      <c r="CJ226" s="124"/>
      <c r="CK226" s="124"/>
      <c r="CL226" s="124"/>
      <c r="CM226" s="124"/>
      <c r="CN226" s="124"/>
      <c r="CO226" s="124"/>
      <c r="CP226" s="124"/>
      <c r="CQ226" s="124"/>
      <c r="CR226" s="124"/>
      <c r="CS226" s="124"/>
      <c r="CT226" s="124"/>
      <c r="CU226" s="124"/>
      <c r="CV226" s="124"/>
      <c r="CW226" s="124"/>
      <c r="CX226" s="124"/>
      <c r="CY226" s="124"/>
      <c r="CZ226" s="124"/>
      <c r="DA226" s="124"/>
      <c r="DB226" s="124"/>
      <c r="DC226" s="124"/>
      <c r="DD226" s="124"/>
      <c r="DE226" s="124"/>
      <c r="DF226" s="124"/>
      <c r="DG226" s="115"/>
    </row>
    <row r="227" spans="2:111" customFormat="1" ht="9" customHeight="1">
      <c r="B227" s="125"/>
      <c r="C227" s="125"/>
      <c r="D227" s="125"/>
      <c r="E227" s="125"/>
      <c r="F227" s="125"/>
      <c r="G227" s="125"/>
      <c r="H227" s="125"/>
      <c r="I227" s="125"/>
      <c r="J227" s="125"/>
      <c r="K227" s="125"/>
      <c r="L227" s="125"/>
      <c r="M227" s="125"/>
      <c r="N227" s="125"/>
      <c r="O227" s="496"/>
      <c r="P227" s="496"/>
      <c r="Q227" s="496"/>
      <c r="R227" s="496"/>
      <c r="S227" s="496"/>
      <c r="T227" s="496"/>
      <c r="U227" s="496"/>
      <c r="V227" s="417"/>
      <c r="W227" s="417"/>
      <c r="X227" s="417"/>
      <c r="Y227" s="417"/>
      <c r="Z227" s="417"/>
      <c r="AA227" s="417"/>
      <c r="AB227" s="417"/>
      <c r="AC227" s="417"/>
      <c r="AD227" s="417"/>
      <c r="AE227" s="417"/>
      <c r="AF227" s="125"/>
      <c r="AG227" s="497"/>
      <c r="AH227" s="497"/>
      <c r="AI227" s="497"/>
      <c r="AJ227" s="497"/>
      <c r="AK227" s="497"/>
      <c r="AL227" s="497"/>
      <c r="AM227" s="497"/>
      <c r="AN227" s="125"/>
      <c r="AO227" s="417"/>
      <c r="AP227" s="417"/>
      <c r="AQ227" s="417"/>
      <c r="AR227" s="417"/>
      <c r="AS227" s="417"/>
      <c r="AT227" s="417"/>
      <c r="AU227" s="417"/>
      <c r="AV227" s="417"/>
      <c r="AW227" s="417"/>
      <c r="AX227" s="417"/>
      <c r="AY227" s="417"/>
      <c r="AZ227" s="417"/>
      <c r="BA227" s="417"/>
      <c r="BC227" s="115"/>
      <c r="BD227" s="115"/>
      <c r="BE227" s="115"/>
      <c r="BF227" s="115"/>
      <c r="BG227" s="115"/>
      <c r="BH227" s="124"/>
      <c r="BI227" s="124"/>
      <c r="BJ227" s="124"/>
      <c r="BK227" s="124"/>
      <c r="BL227" s="124"/>
      <c r="BM227" s="124"/>
      <c r="BN227" s="124"/>
      <c r="BO227" s="124"/>
      <c r="BP227" s="124"/>
      <c r="BQ227" s="124"/>
      <c r="BR227" s="124"/>
      <c r="BS227" s="124"/>
      <c r="BT227" s="124"/>
      <c r="BU227" s="124"/>
      <c r="BV227" s="124"/>
      <c r="BW227" s="124"/>
      <c r="BX227" s="124"/>
      <c r="BY227" s="124"/>
      <c r="BZ227" s="124"/>
      <c r="CA227" s="124"/>
      <c r="CB227" s="124"/>
      <c r="CC227" s="124"/>
      <c r="CD227" s="124"/>
      <c r="CE227" s="124"/>
      <c r="CF227" s="124"/>
      <c r="CG227" s="124"/>
      <c r="CH227" s="124"/>
      <c r="CI227" s="124"/>
      <c r="CJ227" s="124"/>
      <c r="CK227" s="124"/>
      <c r="CL227" s="124"/>
      <c r="CM227" s="124"/>
      <c r="CN227" s="124"/>
      <c r="CO227" s="124"/>
      <c r="CP227" s="124"/>
      <c r="CQ227" s="124"/>
      <c r="CR227" s="124"/>
      <c r="CS227" s="124"/>
      <c r="CT227" s="124"/>
      <c r="CU227" s="124"/>
      <c r="CV227" s="124"/>
      <c r="CW227" s="124"/>
      <c r="CX227" s="124"/>
      <c r="CY227" s="124"/>
      <c r="CZ227" s="124"/>
      <c r="DA227" s="124"/>
      <c r="DB227" s="124"/>
      <c r="DC227" s="124"/>
      <c r="DD227" s="124"/>
      <c r="DE227" s="124"/>
      <c r="DF227" s="124"/>
      <c r="DG227" s="115"/>
    </row>
    <row r="228" spans="2:111" customFormat="1" ht="9" customHeight="1">
      <c r="BC228" s="115"/>
      <c r="BD228" s="115"/>
      <c r="BE228" s="115"/>
      <c r="BF228" s="115"/>
      <c r="BG228" s="115"/>
      <c r="BH228" s="498"/>
      <c r="BI228" s="498"/>
      <c r="BJ228" s="498"/>
      <c r="BK228" s="498"/>
      <c r="BL228" s="498"/>
      <c r="BM228" s="498"/>
      <c r="BN228" s="498"/>
      <c r="BO228" s="498"/>
      <c r="BP228" s="498"/>
      <c r="BQ228" s="498"/>
      <c r="BR228" s="498"/>
      <c r="BS228" s="498"/>
      <c r="BT228" s="498"/>
      <c r="BU228" s="498"/>
      <c r="BV228" s="498"/>
      <c r="BW228" s="498"/>
      <c r="BX228" s="498"/>
      <c r="BY228" s="498"/>
      <c r="BZ228" s="498"/>
      <c r="CA228" s="498"/>
      <c r="CB228" s="498"/>
      <c r="CC228" s="498"/>
      <c r="CD228" s="498"/>
      <c r="CE228" s="498"/>
      <c r="CF228" s="498"/>
      <c r="CG228" s="498"/>
      <c r="CH228" s="498"/>
      <c r="CI228" s="498"/>
      <c r="CJ228" s="498"/>
      <c r="CK228" s="498"/>
      <c r="CL228" s="498"/>
      <c r="CM228" s="498"/>
      <c r="CN228" s="498"/>
      <c r="CO228" s="498"/>
      <c r="CP228" s="498"/>
      <c r="CQ228" s="498"/>
      <c r="CR228" s="498"/>
      <c r="CS228" s="498"/>
      <c r="CT228" s="498"/>
      <c r="CU228" s="498"/>
      <c r="CV228" s="498"/>
      <c r="CW228" s="498"/>
      <c r="CX228" s="498"/>
      <c r="CY228" s="498"/>
      <c r="CZ228" s="498"/>
      <c r="DA228" s="498"/>
      <c r="DB228" s="498"/>
      <c r="DC228" s="498"/>
      <c r="DD228" s="498"/>
      <c r="DE228" s="498"/>
      <c r="DF228" s="498"/>
      <c r="DG228" s="115"/>
    </row>
    <row r="229" spans="2:111" customFormat="1" ht="9" customHeight="1">
      <c r="B229" s="499" t="str">
        <f>IF($Z$32&gt;=5,"Nome da Empresa ou Nº da Ata","")</f>
        <v>Nome da Empresa ou Nº da Ata</v>
      </c>
      <c r="C229" s="499"/>
      <c r="D229" s="499"/>
      <c r="E229" s="499"/>
      <c r="F229" s="499"/>
      <c r="G229" s="499"/>
      <c r="H229" s="499"/>
      <c r="I229" s="499"/>
      <c r="J229" s="499"/>
      <c r="K229" s="499"/>
      <c r="L229" s="499"/>
      <c r="M229" s="499"/>
      <c r="N229" s="499"/>
      <c r="O229" s="499"/>
      <c r="P229" s="499"/>
      <c r="Q229" s="499"/>
      <c r="R229" s="499"/>
      <c r="S229" s="499"/>
      <c r="T229" s="499"/>
      <c r="U229" s="499"/>
      <c r="V229" s="499"/>
      <c r="W229" s="499"/>
      <c r="X229" s="499" t="str">
        <f>IF($Z$32&gt;=5,"CNPJ / CPF","")</f>
        <v>CNPJ / CPF</v>
      </c>
      <c r="Y229" s="499"/>
      <c r="Z229" s="499"/>
      <c r="AA229" s="499"/>
      <c r="AB229" s="499"/>
      <c r="AC229" s="499"/>
      <c r="AD229" s="499"/>
      <c r="AE229" s="499"/>
      <c r="AF229" s="499"/>
      <c r="AG229" s="499"/>
      <c r="AH229" s="499" t="str">
        <f>IF($Z$32&gt;=5,"Qtde","")</f>
        <v>Qtde</v>
      </c>
      <c r="AI229" s="499"/>
      <c r="AJ229" s="499"/>
      <c r="AK229" s="499"/>
      <c r="AL229" s="499" t="str">
        <f>IF($Z$32&gt;=5,"Valor Unitário (R$)","")</f>
        <v>Valor Unitário (R$)</v>
      </c>
      <c r="AM229" s="499"/>
      <c r="AN229" s="499"/>
      <c r="AO229" s="499"/>
      <c r="AP229" s="499"/>
      <c r="AQ229" s="499"/>
      <c r="AR229" s="499"/>
      <c r="AS229" s="499"/>
      <c r="AT229" s="499" t="str">
        <f>IF($Z$32&gt;=5,"Valor Total (R$)","")</f>
        <v>Valor Total (R$)</v>
      </c>
      <c r="AU229" s="499"/>
      <c r="AV229" s="499"/>
      <c r="AW229" s="499"/>
      <c r="AX229" s="499"/>
      <c r="AY229" s="499"/>
      <c r="AZ229" s="499"/>
      <c r="BA229" s="499"/>
      <c r="BC229" s="115"/>
      <c r="BD229" s="115"/>
      <c r="BE229" s="115"/>
      <c r="BF229" s="115"/>
      <c r="BG229" s="115"/>
      <c r="BH229" s="498"/>
      <c r="BI229" s="498"/>
      <c r="BJ229" s="498"/>
      <c r="BK229" s="498"/>
      <c r="BL229" s="498"/>
      <c r="BM229" s="498"/>
      <c r="BN229" s="498"/>
      <c r="BO229" s="498"/>
      <c r="BP229" s="498"/>
      <c r="BQ229" s="498"/>
      <c r="BR229" s="498"/>
      <c r="BS229" s="498"/>
      <c r="BT229" s="498"/>
      <c r="BU229" s="498"/>
      <c r="BV229" s="498"/>
      <c r="BW229" s="498"/>
      <c r="BX229" s="498"/>
      <c r="BY229" s="498"/>
      <c r="BZ229" s="498"/>
      <c r="CA229" s="498"/>
      <c r="CB229" s="498"/>
      <c r="CC229" s="498"/>
      <c r="CD229" s="498"/>
      <c r="CE229" s="498"/>
      <c r="CF229" s="498"/>
      <c r="CG229" s="498"/>
      <c r="CH229" s="498"/>
      <c r="CI229" s="498"/>
      <c r="CJ229" s="498"/>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115"/>
    </row>
    <row r="230" spans="2:111" customFormat="1" ht="9" customHeight="1">
      <c r="B230" s="499"/>
      <c r="C230" s="499"/>
      <c r="D230" s="499"/>
      <c r="E230" s="499"/>
      <c r="F230" s="499"/>
      <c r="G230" s="499"/>
      <c r="H230" s="499"/>
      <c r="I230" s="499"/>
      <c r="J230" s="499"/>
      <c r="K230" s="499"/>
      <c r="L230" s="499"/>
      <c r="M230" s="499"/>
      <c r="N230" s="499"/>
      <c r="O230" s="499"/>
      <c r="P230" s="499"/>
      <c r="Q230" s="499"/>
      <c r="R230" s="499"/>
      <c r="S230" s="499"/>
      <c r="T230" s="499"/>
      <c r="U230" s="499"/>
      <c r="V230" s="499"/>
      <c r="W230" s="499"/>
      <c r="X230" s="499"/>
      <c r="Y230" s="499"/>
      <c r="Z230" s="499"/>
      <c r="AA230" s="499"/>
      <c r="AB230" s="499"/>
      <c r="AC230" s="499"/>
      <c r="AD230" s="499"/>
      <c r="AE230" s="499"/>
      <c r="AF230" s="499"/>
      <c r="AG230" s="499"/>
      <c r="AH230" s="499"/>
      <c r="AI230" s="499"/>
      <c r="AJ230" s="499"/>
      <c r="AK230" s="499"/>
      <c r="AL230" s="499"/>
      <c r="AM230" s="499"/>
      <c r="AN230" s="499"/>
      <c r="AO230" s="499"/>
      <c r="AP230" s="499"/>
      <c r="AQ230" s="499"/>
      <c r="AR230" s="499"/>
      <c r="AS230" s="499"/>
      <c r="AT230" s="499"/>
      <c r="AU230" s="499"/>
      <c r="AV230" s="499"/>
      <c r="AW230" s="499"/>
      <c r="AX230" s="499"/>
      <c r="AY230" s="499"/>
      <c r="AZ230" s="499"/>
      <c r="BA230" s="499"/>
      <c r="BB230" s="176">
        <f>AVERAGE(AL231:AS233)</f>
        <v>22750</v>
      </c>
      <c r="BC230" s="115"/>
      <c r="BD230" s="115"/>
      <c r="BE230" s="115"/>
      <c r="BF230" s="115"/>
      <c r="BG230" s="115"/>
      <c r="BH230" s="498"/>
      <c r="BI230" s="498"/>
      <c r="BJ230" s="498"/>
      <c r="BK230" s="498"/>
      <c r="BL230" s="498"/>
      <c r="BM230" s="498"/>
      <c r="BN230" s="498"/>
      <c r="BO230" s="498"/>
      <c r="BP230" s="498"/>
      <c r="BQ230" s="498"/>
      <c r="BR230" s="498"/>
      <c r="BS230" s="498"/>
      <c r="BT230" s="498"/>
      <c r="BU230" s="498"/>
      <c r="BV230" s="498"/>
      <c r="BW230" s="498"/>
      <c r="BX230" s="498"/>
      <c r="BY230" s="498"/>
      <c r="BZ230" s="498"/>
      <c r="CA230" s="498"/>
      <c r="CB230" s="498"/>
      <c r="CC230" s="498"/>
      <c r="CD230" s="498"/>
      <c r="CE230" s="498"/>
      <c r="CF230" s="498"/>
      <c r="CG230" s="498"/>
      <c r="CH230" s="498"/>
      <c r="CI230" s="498"/>
      <c r="CJ230" s="498"/>
      <c r="CK230" s="498"/>
      <c r="CL230" s="498"/>
      <c r="CM230" s="498"/>
      <c r="CN230" s="498"/>
      <c r="CO230" s="498"/>
      <c r="CP230" s="498"/>
      <c r="CQ230" s="498"/>
      <c r="CR230" s="498"/>
      <c r="CS230" s="498"/>
      <c r="CT230" s="498"/>
      <c r="CU230" s="498"/>
      <c r="CV230" s="498"/>
      <c r="CW230" s="498"/>
      <c r="CX230" s="498"/>
      <c r="CY230" s="498"/>
      <c r="CZ230" s="498"/>
      <c r="DA230" s="498"/>
      <c r="DB230" s="498"/>
      <c r="DC230" s="498"/>
      <c r="DD230" s="498"/>
      <c r="DE230" s="498"/>
      <c r="DF230" s="498"/>
      <c r="DG230" s="115"/>
    </row>
    <row r="231" spans="2:111" customFormat="1" ht="18" customHeight="1">
      <c r="B231" s="233" t="s">
        <v>631</v>
      </c>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486" t="s">
        <v>632</v>
      </c>
      <c r="Y231" s="486"/>
      <c r="Z231" s="486"/>
      <c r="AA231" s="486"/>
      <c r="AB231" s="486"/>
      <c r="AC231" s="486"/>
      <c r="AD231" s="486"/>
      <c r="AE231" s="486"/>
      <c r="AF231" s="486"/>
      <c r="AG231" s="486"/>
      <c r="AH231" s="417">
        <v>1</v>
      </c>
      <c r="AI231" s="417"/>
      <c r="AJ231" s="417"/>
      <c r="AK231" s="417"/>
      <c r="AL231" s="419">
        <v>39000</v>
      </c>
      <c r="AM231" s="419"/>
      <c r="AN231" s="419"/>
      <c r="AO231" s="419"/>
      <c r="AP231" s="419"/>
      <c r="AQ231" s="419"/>
      <c r="AR231" s="419"/>
      <c r="AS231" s="419"/>
      <c r="AT231" s="487">
        <f>IF($Z$32&gt;=5,(AH231*AL231),"")</f>
        <v>39000</v>
      </c>
      <c r="AU231" s="487"/>
      <c r="AV231" s="487"/>
      <c r="AW231" s="487"/>
      <c r="AX231" s="487"/>
      <c r="AY231" s="487"/>
      <c r="AZ231" s="487"/>
      <c r="BA231" s="487"/>
      <c r="BC231" s="115"/>
      <c r="BD231" s="115"/>
      <c r="BE231" s="115"/>
      <c r="BF231" s="115"/>
      <c r="BG231" s="115"/>
      <c r="BH231" s="498"/>
      <c r="BI231" s="498"/>
      <c r="BJ231" s="498"/>
      <c r="BK231" s="498"/>
      <c r="BL231" s="498"/>
      <c r="BM231" s="498"/>
      <c r="BN231" s="498"/>
      <c r="BO231" s="498"/>
      <c r="BP231" s="498"/>
      <c r="BQ231" s="498"/>
      <c r="BR231" s="498"/>
      <c r="BS231" s="498"/>
      <c r="BT231" s="498"/>
      <c r="BU231" s="498"/>
      <c r="BV231" s="498"/>
      <c r="BW231" s="498"/>
      <c r="BX231" s="498"/>
      <c r="BY231" s="498"/>
      <c r="BZ231" s="498"/>
      <c r="CA231" s="498"/>
      <c r="CB231" s="498"/>
      <c r="CC231" s="498"/>
      <c r="CD231" s="498"/>
      <c r="CE231" s="498"/>
      <c r="CF231" s="498"/>
      <c r="CG231" s="498"/>
      <c r="CH231" s="498"/>
      <c r="CI231" s="498"/>
      <c r="CJ231" s="498"/>
      <c r="CK231" s="498"/>
      <c r="CL231" s="498"/>
      <c r="CM231" s="498"/>
      <c r="CN231" s="498"/>
      <c r="CO231" s="498"/>
      <c r="CP231" s="498"/>
      <c r="CQ231" s="498"/>
      <c r="CR231" s="498"/>
      <c r="CS231" s="498"/>
      <c r="CT231" s="498"/>
      <c r="CU231" s="498"/>
      <c r="CV231" s="498"/>
      <c r="CW231" s="498"/>
      <c r="CX231" s="498"/>
      <c r="CY231" s="498"/>
      <c r="CZ231" s="498"/>
      <c r="DA231" s="498"/>
      <c r="DB231" s="498"/>
      <c r="DC231" s="498"/>
      <c r="DD231" s="498"/>
      <c r="DE231" s="498"/>
      <c r="DF231" s="498"/>
      <c r="DG231" s="115"/>
    </row>
    <row r="232" spans="2:111" customFormat="1" ht="18" customHeight="1">
      <c r="B232" s="233" t="s">
        <v>633</v>
      </c>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486" t="s">
        <v>634</v>
      </c>
      <c r="Y232" s="486"/>
      <c r="Z232" s="486"/>
      <c r="AA232" s="486"/>
      <c r="AB232" s="486"/>
      <c r="AC232" s="486"/>
      <c r="AD232" s="486"/>
      <c r="AE232" s="486"/>
      <c r="AF232" s="486"/>
      <c r="AG232" s="486"/>
      <c r="AH232" s="417">
        <v>1</v>
      </c>
      <c r="AI232" s="417"/>
      <c r="AJ232" s="417"/>
      <c r="AK232" s="417"/>
      <c r="AL232" s="419">
        <v>18250</v>
      </c>
      <c r="AM232" s="419"/>
      <c r="AN232" s="419"/>
      <c r="AO232" s="419"/>
      <c r="AP232" s="419"/>
      <c r="AQ232" s="419"/>
      <c r="AR232" s="419"/>
      <c r="AS232" s="419"/>
      <c r="AT232" s="487">
        <f>IF($Z$32&gt;=5,(AH232*AL232),"")</f>
        <v>18250</v>
      </c>
      <c r="AU232" s="487"/>
      <c r="AV232" s="487"/>
      <c r="AW232" s="487"/>
      <c r="AX232" s="487"/>
      <c r="AY232" s="487"/>
      <c r="AZ232" s="487"/>
      <c r="BA232" s="487"/>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row>
    <row r="233" spans="2:111" customFormat="1" ht="18" customHeight="1">
      <c r="B233" s="233" t="s">
        <v>635</v>
      </c>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486" t="s">
        <v>636</v>
      </c>
      <c r="Y233" s="486"/>
      <c r="Z233" s="486"/>
      <c r="AA233" s="486"/>
      <c r="AB233" s="486"/>
      <c r="AC233" s="486"/>
      <c r="AD233" s="486"/>
      <c r="AE233" s="486"/>
      <c r="AF233" s="486"/>
      <c r="AG233" s="486"/>
      <c r="AH233" s="417">
        <v>1</v>
      </c>
      <c r="AI233" s="417"/>
      <c r="AJ233" s="417"/>
      <c r="AK233" s="417"/>
      <c r="AL233" s="419">
        <v>11000</v>
      </c>
      <c r="AM233" s="419"/>
      <c r="AN233" s="419"/>
      <c r="AO233" s="419"/>
      <c r="AP233" s="419"/>
      <c r="AQ233" s="419"/>
      <c r="AR233" s="419"/>
      <c r="AS233" s="419"/>
      <c r="AT233" s="487">
        <f>IF($Z$32&gt;=5,(AH233*AL233),"")</f>
        <v>11000</v>
      </c>
      <c r="AU233" s="487"/>
      <c r="AV233" s="487"/>
      <c r="AW233" s="487"/>
      <c r="AX233" s="487"/>
      <c r="AY233" s="487"/>
      <c r="AZ233" s="487"/>
      <c r="BA233" s="487"/>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row>
    <row r="234" spans="2:111" customFormat="1" ht="15" customHeight="1">
      <c r="AT234" s="500">
        <f>IF(B231="","",IF(AL232="",AT231,IF(AL233="",AVERAGE(AT231:BA232),AVERAGE(AT231:AT233))))</f>
        <v>22750</v>
      </c>
      <c r="AU234" s="500"/>
      <c r="AV234" s="500"/>
      <c r="AW234" s="500"/>
      <c r="AX234" s="500"/>
      <c r="AY234" s="500"/>
      <c r="AZ234" s="500"/>
      <c r="BA234" s="500"/>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row>
    <row r="235" spans="2:111" customFormat="1" ht="15" customHeight="1">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row>
    <row r="236" spans="2:111" customFormat="1" ht="9" customHeight="1">
      <c r="B236" s="494" t="str">
        <f>IF($Z$32&gt;=6,"Item 6","")</f>
        <v>Item 6</v>
      </c>
      <c r="C236" s="495"/>
      <c r="D236" s="495"/>
      <c r="E236" s="495"/>
      <c r="F236" s="495"/>
      <c r="G236" s="495"/>
      <c r="H236" s="495"/>
      <c r="I236" s="495"/>
      <c r="J236" s="495"/>
      <c r="K236" s="495"/>
      <c r="L236" s="495"/>
      <c r="M236" s="49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row>
    <row r="237" spans="2:111" customFormat="1" ht="9" customHeight="1">
      <c r="B237" s="495"/>
      <c r="C237" s="495"/>
      <c r="D237" s="495"/>
      <c r="E237" s="495"/>
      <c r="F237" s="495"/>
      <c r="G237" s="495"/>
      <c r="H237" s="495"/>
      <c r="I237" s="495"/>
      <c r="J237" s="495"/>
      <c r="K237" s="495"/>
      <c r="L237" s="495"/>
      <c r="M237" s="49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row>
    <row r="238" spans="2:111" customFormat="1" ht="4.5" customHeight="1">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row>
    <row r="239" spans="2:111" customFormat="1" ht="9" customHeight="1">
      <c r="B239" s="493" t="str">
        <f>IF(B236="","","Elemento de Despesa:")</f>
        <v>Elemento de Despesa:</v>
      </c>
      <c r="C239" s="493"/>
      <c r="D239" s="493"/>
      <c r="E239" s="493"/>
      <c r="F239" s="493"/>
      <c r="G239" s="493"/>
      <c r="H239" s="493"/>
      <c r="I239" s="493"/>
      <c r="J239" s="493"/>
      <c r="K239" s="493"/>
      <c r="L239" s="493"/>
      <c r="M239" s="493"/>
      <c r="N239" s="493"/>
      <c r="O239" s="241" t="s">
        <v>276</v>
      </c>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C239" s="115"/>
      <c r="BD239" s="115"/>
      <c r="BE239" s="115"/>
      <c r="BF239" s="115"/>
      <c r="BG239" s="115"/>
      <c r="BH239" s="124"/>
      <c r="BI239" s="124"/>
      <c r="BJ239" s="124"/>
      <c r="BK239" s="124"/>
      <c r="BL239" s="124"/>
      <c r="BM239" s="124"/>
      <c r="BN239" s="124"/>
      <c r="BO239" s="124"/>
      <c r="BP239" s="124"/>
      <c r="BQ239" s="124"/>
      <c r="BR239" s="124"/>
      <c r="BS239" s="124"/>
      <c r="BT239" s="124"/>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c r="CT239" s="124"/>
      <c r="CU239" s="124"/>
      <c r="CV239" s="124"/>
      <c r="CW239" s="124"/>
      <c r="CX239" s="124"/>
      <c r="CY239" s="124"/>
      <c r="CZ239" s="124"/>
      <c r="DA239" s="124"/>
      <c r="DB239" s="124"/>
      <c r="DC239" s="124"/>
      <c r="DD239" s="124"/>
      <c r="DE239" s="124"/>
      <c r="DF239" s="124"/>
      <c r="DG239" s="115"/>
    </row>
    <row r="240" spans="2:111" customFormat="1" ht="9" customHeight="1">
      <c r="B240" s="493"/>
      <c r="C240" s="493"/>
      <c r="D240" s="493"/>
      <c r="E240" s="493"/>
      <c r="F240" s="493"/>
      <c r="G240" s="493"/>
      <c r="H240" s="493"/>
      <c r="I240" s="493"/>
      <c r="J240" s="493"/>
      <c r="K240" s="493"/>
      <c r="L240" s="493"/>
      <c r="M240" s="493"/>
      <c r="N240" s="493"/>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C240" s="115"/>
      <c r="BD240" s="115"/>
      <c r="BE240" s="115"/>
      <c r="BF240" s="115"/>
      <c r="BG240" s="115"/>
      <c r="BH240" s="124"/>
      <c r="BI240" s="124"/>
      <c r="BJ240" s="124"/>
      <c r="BK240" s="124"/>
      <c r="BL240" s="124"/>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4"/>
      <c r="CY240" s="124"/>
      <c r="CZ240" s="124"/>
      <c r="DA240" s="124"/>
      <c r="DB240" s="124"/>
      <c r="DC240" s="124"/>
      <c r="DD240" s="124"/>
      <c r="DE240" s="124"/>
      <c r="DF240" s="124"/>
      <c r="DG240" s="115"/>
    </row>
    <row r="241" spans="2:111" customFormat="1" ht="4.5" customHeight="1">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C241" s="115"/>
      <c r="BD241" s="115"/>
      <c r="BE241" s="115"/>
      <c r="BF241" s="115"/>
      <c r="BG241" s="115"/>
      <c r="BH241" s="124"/>
      <c r="BI241" s="124"/>
      <c r="BJ241" s="124"/>
      <c r="BK241" s="124"/>
      <c r="BL241" s="124"/>
      <c r="BM241" s="124"/>
      <c r="BN241" s="124"/>
      <c r="BO241" s="124"/>
      <c r="BP241" s="124"/>
      <c r="BQ241" s="124"/>
      <c r="BR241" s="124"/>
      <c r="BS241" s="124"/>
      <c r="BT241" s="124"/>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c r="CT241" s="124"/>
      <c r="CU241" s="124"/>
      <c r="CV241" s="124"/>
      <c r="CW241" s="124"/>
      <c r="CX241" s="124"/>
      <c r="CY241" s="124"/>
      <c r="CZ241" s="124"/>
      <c r="DA241" s="124"/>
      <c r="DB241" s="124"/>
      <c r="DC241" s="124"/>
      <c r="DD241" s="124"/>
      <c r="DE241" s="124"/>
      <c r="DF241" s="124"/>
      <c r="DG241" s="115"/>
    </row>
    <row r="242" spans="2:111" customFormat="1" ht="9" customHeight="1">
      <c r="B242" s="493" t="str">
        <f>IF(B236="","","Objeto:")</f>
        <v>Objeto:</v>
      </c>
      <c r="C242" s="493"/>
      <c r="D242" s="493"/>
      <c r="E242" s="493"/>
      <c r="F242" s="493"/>
      <c r="G242" s="493"/>
      <c r="H242" s="493"/>
      <c r="I242" s="493"/>
      <c r="J242" s="493"/>
      <c r="K242" s="493"/>
      <c r="L242" s="493"/>
      <c r="M242" s="493"/>
      <c r="N242" s="493"/>
      <c r="O242" s="421" t="s">
        <v>638</v>
      </c>
      <c r="P242" s="421"/>
      <c r="Q242" s="421"/>
      <c r="R242" s="421"/>
      <c r="S242" s="421"/>
      <c r="T242" s="421"/>
      <c r="U242" s="421"/>
      <c r="V242" s="421"/>
      <c r="W242" s="421"/>
      <c r="X242" s="421"/>
      <c r="Y242" s="421"/>
      <c r="Z242" s="421"/>
      <c r="AA242" s="421"/>
      <c r="AB242" s="421"/>
      <c r="AC242" s="421"/>
      <c r="AD242" s="421"/>
      <c r="AE242" s="421"/>
      <c r="AF242" s="421"/>
      <c r="AG242" s="421"/>
      <c r="AH242" s="421"/>
      <c r="AI242" s="421"/>
      <c r="AJ242" s="421"/>
      <c r="AK242" s="421"/>
      <c r="AL242" s="421"/>
      <c r="AM242" s="421"/>
      <c r="AN242" s="421"/>
      <c r="AO242" s="421"/>
      <c r="AP242" s="421"/>
      <c r="AQ242" s="421"/>
      <c r="AR242" s="421"/>
      <c r="AS242" s="421"/>
      <c r="AT242" s="421"/>
      <c r="AU242" s="421"/>
      <c r="AV242" s="421"/>
      <c r="AW242" s="421"/>
      <c r="AX242" s="421"/>
      <c r="AY242" s="421"/>
      <c r="AZ242" s="421"/>
      <c r="BA242" s="421"/>
      <c r="BC242" s="115"/>
      <c r="BD242" s="115"/>
      <c r="BE242" s="115"/>
      <c r="BF242" s="115"/>
      <c r="BG242" s="115"/>
      <c r="BH242" s="124"/>
      <c r="BI242" s="124"/>
      <c r="BJ242" s="124"/>
      <c r="BK242" s="124"/>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c r="CT242" s="124"/>
      <c r="CU242" s="124"/>
      <c r="CV242" s="124"/>
      <c r="CW242" s="124"/>
      <c r="CX242" s="124"/>
      <c r="CY242" s="124"/>
      <c r="CZ242" s="124"/>
      <c r="DA242" s="124"/>
      <c r="DB242" s="124"/>
      <c r="DC242" s="124"/>
      <c r="DD242" s="124"/>
      <c r="DE242" s="124"/>
      <c r="DF242" s="124"/>
      <c r="DG242" s="115"/>
    </row>
    <row r="243" spans="2:111" customFormat="1" ht="9" customHeight="1">
      <c r="B243" s="493"/>
      <c r="C243" s="493"/>
      <c r="D243" s="493"/>
      <c r="E243" s="493"/>
      <c r="F243" s="493"/>
      <c r="G243" s="493"/>
      <c r="H243" s="493"/>
      <c r="I243" s="493"/>
      <c r="J243" s="493"/>
      <c r="K243" s="493"/>
      <c r="L243" s="493"/>
      <c r="M243" s="493"/>
      <c r="N243" s="493"/>
      <c r="O243" s="421"/>
      <c r="P243" s="421"/>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c r="AU243" s="421"/>
      <c r="AV243" s="421"/>
      <c r="AW243" s="421"/>
      <c r="AX243" s="421"/>
      <c r="AY243" s="421"/>
      <c r="AZ243" s="421"/>
      <c r="BA243" s="421"/>
      <c r="BC243" s="115"/>
      <c r="BD243" s="115"/>
      <c r="BE243" s="115"/>
      <c r="BF243" s="115"/>
      <c r="BG243" s="115"/>
      <c r="BH243" s="124"/>
      <c r="BI243" s="124"/>
      <c r="BJ243" s="124"/>
      <c r="BK243" s="124"/>
      <c r="BL243" s="124"/>
      <c r="BM243" s="124"/>
      <c r="BN243" s="124"/>
      <c r="BO243" s="124"/>
      <c r="BP243" s="124"/>
      <c r="BQ243" s="124"/>
      <c r="BR243" s="124"/>
      <c r="BS243" s="124"/>
      <c r="BT243" s="124"/>
      <c r="BU243" s="124"/>
      <c r="BV243" s="124"/>
      <c r="BW243" s="124"/>
      <c r="BX243" s="124"/>
      <c r="BY243" s="124"/>
      <c r="BZ243" s="124"/>
      <c r="CA243" s="124"/>
      <c r="CB243" s="124"/>
      <c r="CC243" s="124"/>
      <c r="CD243" s="124"/>
      <c r="CE243" s="124"/>
      <c r="CF243" s="124"/>
      <c r="CG243" s="124"/>
      <c r="CH243" s="124"/>
      <c r="CI243" s="124"/>
      <c r="CJ243" s="124"/>
      <c r="CK243" s="124"/>
      <c r="CL243" s="124"/>
      <c r="CM243" s="124"/>
      <c r="CN243" s="124"/>
      <c r="CO243" s="124"/>
      <c r="CP243" s="124"/>
      <c r="CQ243" s="124"/>
      <c r="CR243" s="124"/>
      <c r="CS243" s="124"/>
      <c r="CT243" s="124"/>
      <c r="CU243" s="124"/>
      <c r="CV243" s="124"/>
      <c r="CW243" s="124"/>
      <c r="CX243" s="124"/>
      <c r="CY243" s="124"/>
      <c r="CZ243" s="124"/>
      <c r="DA243" s="124"/>
      <c r="DB243" s="124"/>
      <c r="DC243" s="124"/>
      <c r="DD243" s="124"/>
      <c r="DE243" s="124"/>
      <c r="DF243" s="124"/>
      <c r="DG243" s="115"/>
    </row>
    <row r="244" spans="2:111" customFormat="1" ht="9" customHeight="1">
      <c r="B244" s="143"/>
      <c r="C244" s="143"/>
      <c r="D244" s="143"/>
      <c r="E244" s="143"/>
      <c r="F244" s="143"/>
      <c r="G244" s="143"/>
      <c r="H244" s="143"/>
      <c r="I244" s="143"/>
      <c r="J244" s="143"/>
      <c r="K244" s="143"/>
      <c r="L244" s="143"/>
      <c r="M244" s="143"/>
      <c r="N244" s="143"/>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c r="AU244" s="421"/>
      <c r="AV244" s="421"/>
      <c r="AW244" s="421"/>
      <c r="AX244" s="421"/>
      <c r="AY244" s="421"/>
      <c r="AZ244" s="421"/>
      <c r="BA244" s="421"/>
      <c r="BC244" s="115"/>
      <c r="BD244" s="115"/>
      <c r="BE244" s="115"/>
      <c r="BF244" s="115"/>
      <c r="BG244" s="115"/>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115"/>
    </row>
    <row r="245" spans="2:111" customFormat="1" ht="9" customHeight="1">
      <c r="B245" s="49"/>
      <c r="C245" s="49"/>
      <c r="D245" s="49"/>
      <c r="E245" s="49"/>
      <c r="F245" s="49"/>
      <c r="G245" s="49"/>
      <c r="H245" s="49"/>
      <c r="I245" s="49"/>
      <c r="J245" s="49"/>
      <c r="K245" s="49"/>
      <c r="L245" s="49"/>
      <c r="M245" s="49"/>
      <c r="N245" s="49"/>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c r="AK245" s="421"/>
      <c r="AL245" s="421"/>
      <c r="AM245" s="421"/>
      <c r="AN245" s="421"/>
      <c r="AO245" s="421"/>
      <c r="AP245" s="421"/>
      <c r="AQ245" s="421"/>
      <c r="AR245" s="421"/>
      <c r="AS245" s="421"/>
      <c r="AT245" s="421"/>
      <c r="AU245" s="421"/>
      <c r="AV245" s="421"/>
      <c r="AW245" s="421"/>
      <c r="AX245" s="421"/>
      <c r="AY245" s="421"/>
      <c r="AZ245" s="421"/>
      <c r="BA245" s="421"/>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row>
    <row r="246" spans="2:111" customFormat="1" ht="4.5" customHeight="1">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C246" s="115"/>
      <c r="BD246" s="115"/>
      <c r="BE246" s="115"/>
      <c r="BF246" s="115"/>
      <c r="BG246" s="115"/>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c r="DF246" s="124"/>
      <c r="DG246" s="115"/>
    </row>
    <row r="247" spans="2:111" customFormat="1" ht="9" customHeight="1">
      <c r="B247" s="493" t="str">
        <f>IF(B236="","","Detalhamento do Objeto:")</f>
        <v>Detalhamento do Objeto:</v>
      </c>
      <c r="C247" s="493"/>
      <c r="D247" s="493"/>
      <c r="E247" s="493"/>
      <c r="F247" s="493"/>
      <c r="G247" s="493"/>
      <c r="H247" s="493"/>
      <c r="I247" s="493"/>
      <c r="J247" s="493"/>
      <c r="K247" s="493"/>
      <c r="L247" s="493"/>
      <c r="M247" s="493"/>
      <c r="N247" s="493"/>
      <c r="O247" s="421" t="s">
        <v>637</v>
      </c>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1"/>
      <c r="AY247" s="421"/>
      <c r="AZ247" s="421"/>
      <c r="BA247" s="421"/>
      <c r="BC247" s="115"/>
      <c r="BD247" s="115"/>
      <c r="BE247" s="115"/>
      <c r="BF247" s="115"/>
      <c r="BG247" s="115"/>
      <c r="BH247" s="124"/>
      <c r="BI247" s="124"/>
      <c r="BJ247" s="124"/>
      <c r="BK247" s="124"/>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c r="CT247" s="124"/>
      <c r="CU247" s="124"/>
      <c r="CV247" s="124"/>
      <c r="CW247" s="124"/>
      <c r="CX247" s="124"/>
      <c r="CY247" s="124"/>
      <c r="CZ247" s="124"/>
      <c r="DA247" s="124"/>
      <c r="DB247" s="124"/>
      <c r="DC247" s="124"/>
      <c r="DD247" s="124"/>
      <c r="DE247" s="124"/>
      <c r="DF247" s="124"/>
      <c r="DG247" s="115"/>
    </row>
    <row r="248" spans="2:111" customFormat="1" ht="9" customHeight="1">
      <c r="B248" s="493"/>
      <c r="C248" s="493"/>
      <c r="D248" s="493"/>
      <c r="E248" s="493"/>
      <c r="F248" s="493"/>
      <c r="G248" s="493"/>
      <c r="H248" s="493"/>
      <c r="I248" s="493"/>
      <c r="J248" s="493"/>
      <c r="K248" s="493"/>
      <c r="L248" s="493"/>
      <c r="M248" s="493"/>
      <c r="N248" s="493"/>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21"/>
      <c r="AY248" s="421"/>
      <c r="AZ248" s="421"/>
      <c r="BA248" s="421"/>
      <c r="BC248" s="115"/>
      <c r="BD248" s="115"/>
      <c r="BE248" s="115"/>
      <c r="BF248" s="115"/>
      <c r="BG248" s="115"/>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4"/>
      <c r="CY248" s="124"/>
      <c r="CZ248" s="124"/>
      <c r="DA248" s="124"/>
      <c r="DB248" s="124"/>
      <c r="DC248" s="124"/>
      <c r="DD248" s="124"/>
      <c r="DE248" s="124"/>
      <c r="DF248" s="124"/>
      <c r="DG248" s="115"/>
    </row>
    <row r="249" spans="2:111" customFormat="1" ht="9" customHeight="1">
      <c r="B249" s="143"/>
      <c r="C249" s="143"/>
      <c r="D249" s="143"/>
      <c r="E249" s="143"/>
      <c r="F249" s="143"/>
      <c r="G249" s="143"/>
      <c r="H249" s="143"/>
      <c r="I249" s="143"/>
      <c r="J249" s="143"/>
      <c r="K249" s="143"/>
      <c r="L249" s="143"/>
      <c r="M249" s="143"/>
      <c r="N249" s="143"/>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21"/>
      <c r="AY249" s="421"/>
      <c r="AZ249" s="421"/>
      <c r="BA249" s="421"/>
      <c r="BC249" s="115"/>
      <c r="BD249" s="115"/>
      <c r="BE249" s="115"/>
      <c r="BF249" s="115"/>
      <c r="BG249" s="115"/>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115"/>
    </row>
    <row r="250" spans="2:111" customFormat="1" ht="9" customHeight="1">
      <c r="B250" s="143"/>
      <c r="C250" s="143"/>
      <c r="D250" s="143"/>
      <c r="E250" s="143"/>
      <c r="F250" s="143"/>
      <c r="G250" s="143"/>
      <c r="H250" s="143"/>
      <c r="I250" s="143"/>
      <c r="J250" s="143"/>
      <c r="K250" s="143"/>
      <c r="L250" s="143"/>
      <c r="M250" s="143"/>
      <c r="N250" s="143"/>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c r="AU250" s="421"/>
      <c r="AV250" s="421"/>
      <c r="AW250" s="421"/>
      <c r="AX250" s="421"/>
      <c r="AY250" s="421"/>
      <c r="AZ250" s="421"/>
      <c r="BA250" s="421"/>
      <c r="BC250" s="115"/>
      <c r="BD250" s="115"/>
      <c r="BE250" s="115"/>
      <c r="BF250" s="115"/>
      <c r="BG250" s="115"/>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115"/>
    </row>
    <row r="251" spans="2:111" customFormat="1" ht="9" customHeight="1">
      <c r="B251" s="143"/>
      <c r="C251" s="143"/>
      <c r="D251" s="143"/>
      <c r="E251" s="143"/>
      <c r="F251" s="143"/>
      <c r="G251" s="143"/>
      <c r="H251" s="143"/>
      <c r="I251" s="143"/>
      <c r="J251" s="143"/>
      <c r="K251" s="143"/>
      <c r="L251" s="143"/>
      <c r="M251" s="143"/>
      <c r="N251" s="143"/>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c r="AU251" s="421"/>
      <c r="AV251" s="421"/>
      <c r="AW251" s="421"/>
      <c r="AX251" s="421"/>
      <c r="AY251" s="421"/>
      <c r="AZ251" s="421"/>
      <c r="BA251" s="421"/>
      <c r="BC251" s="115"/>
      <c r="BD251" s="115"/>
      <c r="BE251" s="115"/>
      <c r="BF251" s="115"/>
      <c r="BG251" s="115"/>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115"/>
    </row>
    <row r="252" spans="2:111" customFormat="1" ht="9" customHeight="1">
      <c r="B252" s="143"/>
      <c r="C252" s="143"/>
      <c r="D252" s="143"/>
      <c r="E252" s="143"/>
      <c r="F252" s="143"/>
      <c r="G252" s="143"/>
      <c r="H252" s="143"/>
      <c r="I252" s="143"/>
      <c r="J252" s="143"/>
      <c r="K252" s="143"/>
      <c r="L252" s="143"/>
      <c r="M252" s="143"/>
      <c r="N252" s="143"/>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c r="AP252" s="421"/>
      <c r="AQ252" s="421"/>
      <c r="AR252" s="421"/>
      <c r="AS252" s="421"/>
      <c r="AT252" s="421"/>
      <c r="AU252" s="421"/>
      <c r="AV252" s="421"/>
      <c r="AW252" s="421"/>
      <c r="AX252" s="421"/>
      <c r="AY252" s="421"/>
      <c r="AZ252" s="421"/>
      <c r="BA252" s="421"/>
      <c r="BC252" s="115"/>
      <c r="BD252" s="115"/>
      <c r="BE252" s="115"/>
      <c r="BF252" s="115"/>
      <c r="BG252" s="115"/>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115"/>
    </row>
    <row r="253" spans="2:111" customFormat="1" ht="9" customHeight="1">
      <c r="B253" s="143"/>
      <c r="C253" s="143"/>
      <c r="D253" s="143"/>
      <c r="E253" s="143"/>
      <c r="F253" s="143"/>
      <c r="G253" s="143"/>
      <c r="H253" s="143"/>
      <c r="I253" s="143"/>
      <c r="J253" s="143"/>
      <c r="K253" s="143"/>
      <c r="L253" s="143"/>
      <c r="M253" s="143"/>
      <c r="N253" s="143"/>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1"/>
      <c r="AY253" s="421"/>
      <c r="AZ253" s="421"/>
      <c r="BA253" s="421"/>
      <c r="BC253" s="115"/>
      <c r="BD253" s="115"/>
      <c r="BE253" s="115"/>
      <c r="BF253" s="115"/>
      <c r="BG253" s="115"/>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115"/>
    </row>
    <row r="254" spans="2:111" customFormat="1" ht="9" customHeight="1">
      <c r="B254" s="49"/>
      <c r="C254" s="49"/>
      <c r="D254" s="49"/>
      <c r="E254" s="49"/>
      <c r="F254" s="49"/>
      <c r="G254" s="49"/>
      <c r="H254" s="49"/>
      <c r="I254" s="49"/>
      <c r="J254" s="49"/>
      <c r="K254" s="49"/>
      <c r="L254" s="49"/>
      <c r="M254" s="49"/>
      <c r="N254" s="49"/>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c r="AP254" s="421"/>
      <c r="AQ254" s="421"/>
      <c r="AR254" s="421"/>
      <c r="AS254" s="421"/>
      <c r="AT254" s="421"/>
      <c r="AU254" s="421"/>
      <c r="AV254" s="421"/>
      <c r="AW254" s="421"/>
      <c r="AX254" s="421"/>
      <c r="AY254" s="421"/>
      <c r="AZ254" s="421"/>
      <c r="BA254" s="421"/>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row>
    <row r="255" spans="2:111" customFormat="1" ht="4.5" customHeight="1">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C255" s="115"/>
      <c r="BD255" s="115"/>
      <c r="BE255" s="115"/>
      <c r="BF255" s="115"/>
      <c r="BG255" s="115"/>
      <c r="BH255" s="124"/>
      <c r="BI255" s="124"/>
      <c r="BJ255" s="124"/>
      <c r="BK255" s="124"/>
      <c r="BL255" s="124"/>
      <c r="BM255" s="124"/>
      <c r="BN255" s="124"/>
      <c r="BO255" s="124"/>
      <c r="BP255" s="124"/>
      <c r="BQ255" s="124"/>
      <c r="BR255" s="124"/>
      <c r="BS255" s="124"/>
      <c r="BT255" s="124"/>
      <c r="BU255" s="124"/>
      <c r="BV255" s="124"/>
      <c r="BW255" s="124"/>
      <c r="BX255" s="124"/>
      <c r="BY255" s="124"/>
      <c r="BZ255" s="124"/>
      <c r="CA255" s="124"/>
      <c r="CB255" s="124"/>
      <c r="CC255" s="124"/>
      <c r="CD255" s="124"/>
      <c r="CE255" s="124"/>
      <c r="CF255" s="124"/>
      <c r="CG255" s="124"/>
      <c r="CH255" s="124"/>
      <c r="CI255" s="124"/>
      <c r="CJ255" s="124"/>
      <c r="CK255" s="124"/>
      <c r="CL255" s="124"/>
      <c r="CM255" s="124"/>
      <c r="CN255" s="124"/>
      <c r="CO255" s="124"/>
      <c r="CP255" s="124"/>
      <c r="CQ255" s="124"/>
      <c r="CR255" s="124"/>
      <c r="CS255" s="124"/>
      <c r="CT255" s="124"/>
      <c r="CU255" s="124"/>
      <c r="CV255" s="124"/>
      <c r="CW255" s="124"/>
      <c r="CX255" s="124"/>
      <c r="CY255" s="124"/>
      <c r="CZ255" s="124"/>
      <c r="DA255" s="124"/>
      <c r="DB255" s="124"/>
      <c r="DC255" s="124"/>
      <c r="DD255" s="124"/>
      <c r="DE255" s="124"/>
      <c r="DF255" s="124"/>
      <c r="DG255" s="115"/>
    </row>
    <row r="256" spans="2:111" customFormat="1" ht="9" customHeight="1">
      <c r="B256" s="493" t="str">
        <f>IF(B236="","","Justificativa:")</f>
        <v>Justificativa:</v>
      </c>
      <c r="C256" s="493"/>
      <c r="D256" s="493"/>
      <c r="E256" s="493"/>
      <c r="F256" s="493"/>
      <c r="G256" s="493"/>
      <c r="H256" s="493"/>
      <c r="I256" s="493"/>
      <c r="J256" s="493"/>
      <c r="K256" s="493"/>
      <c r="L256" s="493"/>
      <c r="M256" s="493"/>
      <c r="N256" s="493"/>
      <c r="O256" s="421" t="s">
        <v>639</v>
      </c>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c r="AN256" s="421"/>
      <c r="AO256" s="421"/>
      <c r="AP256" s="421"/>
      <c r="AQ256" s="421"/>
      <c r="AR256" s="421"/>
      <c r="AS256" s="421"/>
      <c r="AT256" s="421"/>
      <c r="AU256" s="421"/>
      <c r="AV256" s="421"/>
      <c r="AW256" s="421"/>
      <c r="AX256" s="421"/>
      <c r="AY256" s="421"/>
      <c r="AZ256" s="421"/>
      <c r="BA256" s="421"/>
      <c r="BC256" s="115"/>
      <c r="BD256" s="115"/>
      <c r="BE256" s="115"/>
      <c r="BF256" s="115"/>
      <c r="BG256" s="115"/>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4"/>
      <c r="CY256" s="124"/>
      <c r="CZ256" s="124"/>
      <c r="DA256" s="124"/>
      <c r="DB256" s="124"/>
      <c r="DC256" s="124"/>
      <c r="DD256" s="124"/>
      <c r="DE256" s="124"/>
      <c r="DF256" s="124"/>
      <c r="DG256" s="115"/>
    </row>
    <row r="257" spans="2:111" customFormat="1" ht="9" customHeight="1">
      <c r="B257" s="493"/>
      <c r="C257" s="493"/>
      <c r="D257" s="493"/>
      <c r="E257" s="493"/>
      <c r="F257" s="493"/>
      <c r="G257" s="493"/>
      <c r="H257" s="493"/>
      <c r="I257" s="493"/>
      <c r="J257" s="493"/>
      <c r="K257" s="493"/>
      <c r="L257" s="493"/>
      <c r="M257" s="493"/>
      <c r="N257" s="493"/>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c r="AU257" s="421"/>
      <c r="AV257" s="421"/>
      <c r="AW257" s="421"/>
      <c r="AX257" s="421"/>
      <c r="AY257" s="421"/>
      <c r="AZ257" s="421"/>
      <c r="BA257" s="421"/>
      <c r="BC257" s="115"/>
      <c r="BD257" s="115"/>
      <c r="BE257" s="115"/>
      <c r="BF257" s="115"/>
      <c r="BG257" s="115"/>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c r="CT257" s="124"/>
      <c r="CU257" s="124"/>
      <c r="CV257" s="124"/>
      <c r="CW257" s="124"/>
      <c r="CX257" s="124"/>
      <c r="CY257" s="124"/>
      <c r="CZ257" s="124"/>
      <c r="DA257" s="124"/>
      <c r="DB257" s="124"/>
      <c r="DC257" s="124"/>
      <c r="DD257" s="124"/>
      <c r="DE257" s="124"/>
      <c r="DF257" s="124"/>
      <c r="DG257" s="115"/>
    </row>
    <row r="258" spans="2:111" customFormat="1" ht="9" customHeight="1">
      <c r="B258" s="143"/>
      <c r="C258" s="143"/>
      <c r="D258" s="143"/>
      <c r="E258" s="143"/>
      <c r="F258" s="143"/>
      <c r="G258" s="143"/>
      <c r="H258" s="143"/>
      <c r="I258" s="143"/>
      <c r="J258" s="143"/>
      <c r="K258" s="143"/>
      <c r="L258" s="143"/>
      <c r="M258" s="143"/>
      <c r="N258" s="143"/>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c r="AP258" s="421"/>
      <c r="AQ258" s="421"/>
      <c r="AR258" s="421"/>
      <c r="AS258" s="421"/>
      <c r="AT258" s="421"/>
      <c r="AU258" s="421"/>
      <c r="AV258" s="421"/>
      <c r="AW258" s="421"/>
      <c r="AX258" s="421"/>
      <c r="AY258" s="421"/>
      <c r="AZ258" s="421"/>
      <c r="BA258" s="421"/>
      <c r="BC258" s="115"/>
      <c r="BD258" s="115"/>
      <c r="BE258" s="115"/>
      <c r="BF258" s="115"/>
      <c r="BG258" s="115"/>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c r="CV258" s="124"/>
      <c r="CW258" s="124"/>
      <c r="CX258" s="124"/>
      <c r="CY258" s="124"/>
      <c r="CZ258" s="124"/>
      <c r="DA258" s="124"/>
      <c r="DB258" s="124"/>
      <c r="DC258" s="124"/>
      <c r="DD258" s="124"/>
      <c r="DE258" s="124"/>
      <c r="DF258" s="124"/>
      <c r="DG258" s="115"/>
    </row>
    <row r="259" spans="2:111" customFormat="1" ht="9" customHeight="1">
      <c r="B259" s="143"/>
      <c r="C259" s="143"/>
      <c r="D259" s="143"/>
      <c r="E259" s="143"/>
      <c r="F259" s="143"/>
      <c r="G259" s="143"/>
      <c r="H259" s="143"/>
      <c r="I259" s="143"/>
      <c r="J259" s="143"/>
      <c r="K259" s="143"/>
      <c r="L259" s="143"/>
      <c r="M259" s="143"/>
      <c r="N259" s="143"/>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c r="AU259" s="421"/>
      <c r="AV259" s="421"/>
      <c r="AW259" s="421"/>
      <c r="AX259" s="421"/>
      <c r="AY259" s="421"/>
      <c r="AZ259" s="421"/>
      <c r="BA259" s="421"/>
      <c r="BC259" s="115"/>
      <c r="BD259" s="115"/>
      <c r="BE259" s="115"/>
      <c r="BF259" s="115"/>
      <c r="BG259" s="115"/>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115"/>
    </row>
    <row r="260" spans="2:111" customFormat="1" ht="9" customHeight="1">
      <c r="B260" s="143"/>
      <c r="C260" s="143"/>
      <c r="D260" s="143"/>
      <c r="E260" s="143"/>
      <c r="F260" s="143"/>
      <c r="G260" s="143"/>
      <c r="H260" s="143"/>
      <c r="I260" s="143"/>
      <c r="J260" s="143"/>
      <c r="K260" s="143"/>
      <c r="L260" s="143"/>
      <c r="M260" s="143"/>
      <c r="N260" s="143"/>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c r="AN260" s="421"/>
      <c r="AO260" s="421"/>
      <c r="AP260" s="421"/>
      <c r="AQ260" s="421"/>
      <c r="AR260" s="421"/>
      <c r="AS260" s="421"/>
      <c r="AT260" s="421"/>
      <c r="AU260" s="421"/>
      <c r="AV260" s="421"/>
      <c r="AW260" s="421"/>
      <c r="AX260" s="421"/>
      <c r="AY260" s="421"/>
      <c r="AZ260" s="421"/>
      <c r="BA260" s="421"/>
      <c r="BC260" s="115"/>
      <c r="BD260" s="115"/>
      <c r="BE260" s="115"/>
      <c r="BF260" s="115"/>
      <c r="BG260" s="115"/>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115"/>
    </row>
    <row r="261" spans="2:111" customFormat="1" ht="9" customHeight="1">
      <c r="B261" s="49"/>
      <c r="C261" s="49"/>
      <c r="D261" s="49"/>
      <c r="E261" s="49"/>
      <c r="F261" s="49"/>
      <c r="G261" s="49"/>
      <c r="H261" s="49"/>
      <c r="I261" s="49"/>
      <c r="J261" s="49"/>
      <c r="K261" s="49"/>
      <c r="L261" s="49"/>
      <c r="M261" s="49"/>
      <c r="N261" s="49"/>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c r="AK261" s="421"/>
      <c r="AL261" s="421"/>
      <c r="AM261" s="421"/>
      <c r="AN261" s="421"/>
      <c r="AO261" s="421"/>
      <c r="AP261" s="421"/>
      <c r="AQ261" s="421"/>
      <c r="AR261" s="421"/>
      <c r="AS261" s="421"/>
      <c r="AT261" s="421"/>
      <c r="AU261" s="421"/>
      <c r="AV261" s="421"/>
      <c r="AW261" s="421"/>
      <c r="AX261" s="421"/>
      <c r="AY261" s="421"/>
      <c r="AZ261" s="421"/>
      <c r="BA261" s="421"/>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row>
    <row r="262" spans="2:111" customFormat="1" ht="4.5" customHeight="1">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row>
    <row r="263" spans="2:111" customFormat="1" ht="9" customHeight="1">
      <c r="B263" s="493" t="str">
        <f>IF(B236="","","Metas Vinculadas:")</f>
        <v>Metas Vinculadas:</v>
      </c>
      <c r="C263" s="493"/>
      <c r="D263" s="493"/>
      <c r="E263" s="493"/>
      <c r="F263" s="493"/>
      <c r="G263" s="493"/>
      <c r="H263" s="493"/>
      <c r="I263" s="493"/>
      <c r="J263" s="493"/>
      <c r="K263" s="493"/>
      <c r="L263" s="493"/>
      <c r="M263" s="493"/>
      <c r="N263" s="493"/>
      <c r="O263" s="421">
        <v>4</v>
      </c>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c r="AU263" s="421"/>
      <c r="AV263" s="421"/>
      <c r="AW263" s="421"/>
      <c r="AX263" s="421"/>
      <c r="AY263" s="421"/>
      <c r="AZ263" s="421"/>
      <c r="BA263" s="421"/>
      <c r="BC263" s="115"/>
      <c r="BD263" s="115"/>
      <c r="BE263" s="115"/>
      <c r="BF263" s="115"/>
      <c r="BG263" s="115"/>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c r="CV263" s="124"/>
      <c r="CW263" s="124"/>
      <c r="CX263" s="124"/>
      <c r="CY263" s="124"/>
      <c r="CZ263" s="124"/>
      <c r="DA263" s="124"/>
      <c r="DB263" s="124"/>
      <c r="DC263" s="124"/>
      <c r="DD263" s="124"/>
      <c r="DE263" s="124"/>
      <c r="DF263" s="124"/>
      <c r="DG263" s="115"/>
    </row>
    <row r="264" spans="2:111" customFormat="1" ht="9" customHeight="1">
      <c r="B264" s="493"/>
      <c r="C264" s="493"/>
      <c r="D264" s="493"/>
      <c r="E264" s="493"/>
      <c r="F264" s="493"/>
      <c r="G264" s="493"/>
      <c r="H264" s="493"/>
      <c r="I264" s="493"/>
      <c r="J264" s="493"/>
      <c r="K264" s="493"/>
      <c r="L264" s="493"/>
      <c r="M264" s="493"/>
      <c r="N264" s="493"/>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c r="AK264" s="421"/>
      <c r="AL264" s="421"/>
      <c r="AM264" s="421"/>
      <c r="AN264" s="421"/>
      <c r="AO264" s="421"/>
      <c r="AP264" s="421"/>
      <c r="AQ264" s="421"/>
      <c r="AR264" s="421"/>
      <c r="AS264" s="421"/>
      <c r="AT264" s="421"/>
      <c r="AU264" s="421"/>
      <c r="AV264" s="421"/>
      <c r="AW264" s="421"/>
      <c r="AX264" s="421"/>
      <c r="AY264" s="421"/>
      <c r="AZ264" s="421"/>
      <c r="BA264" s="421"/>
      <c r="BC264" s="115"/>
      <c r="BD264" s="115"/>
      <c r="BE264" s="115"/>
      <c r="BF264" s="115"/>
      <c r="BG264" s="115"/>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115"/>
    </row>
    <row r="265" spans="2:111" customFormat="1" ht="4.5" customHeight="1">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row>
    <row r="266" spans="2:111" customFormat="1" ht="9" customHeight="1">
      <c r="B266" s="125"/>
      <c r="C266" s="125"/>
      <c r="D266" s="125"/>
      <c r="E266" s="125"/>
      <c r="F266" s="125"/>
      <c r="G266" s="125"/>
      <c r="H266" s="125"/>
      <c r="I266" s="125"/>
      <c r="J266" s="125"/>
      <c r="K266" s="125"/>
      <c r="L266" s="125"/>
      <c r="M266" s="125"/>
      <c r="N266" s="125"/>
      <c r="O266" s="496" t="str">
        <f>IF(B236="","","Quantidade:")</f>
        <v>Quantidade:</v>
      </c>
      <c r="P266" s="496"/>
      <c r="Q266" s="496"/>
      <c r="R266" s="496"/>
      <c r="S266" s="496"/>
      <c r="T266" s="496"/>
      <c r="U266" s="496"/>
      <c r="V266" s="417">
        <v>50</v>
      </c>
      <c r="W266" s="417"/>
      <c r="X266" s="417"/>
      <c r="Y266" s="417"/>
      <c r="Z266" s="417"/>
      <c r="AA266" s="417"/>
      <c r="AB266" s="417"/>
      <c r="AC266" s="417"/>
      <c r="AD266" s="417"/>
      <c r="AE266" s="417"/>
      <c r="AF266" s="125"/>
      <c r="AG266" s="497" t="str">
        <f>IF(B236="","","Unidade:")</f>
        <v>Unidade:</v>
      </c>
      <c r="AH266" s="497"/>
      <c r="AI266" s="497"/>
      <c r="AJ266" s="497"/>
      <c r="AK266" s="497"/>
      <c r="AL266" s="497"/>
      <c r="AM266" s="497"/>
      <c r="AN266" s="125"/>
      <c r="AO266" s="417" t="s">
        <v>640</v>
      </c>
      <c r="AP266" s="417"/>
      <c r="AQ266" s="417"/>
      <c r="AR266" s="417"/>
      <c r="AS266" s="417"/>
      <c r="AT266" s="417"/>
      <c r="AU266" s="417"/>
      <c r="AV266" s="417"/>
      <c r="AW266" s="417"/>
      <c r="AX266" s="417"/>
      <c r="AY266" s="417"/>
      <c r="AZ266" s="417"/>
      <c r="BA266" s="417"/>
      <c r="BC266" s="115"/>
      <c r="BD266" s="115"/>
      <c r="BE266" s="115"/>
      <c r="BF266" s="115"/>
      <c r="BG266" s="115"/>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c r="DF266" s="124"/>
      <c r="DG266" s="115"/>
    </row>
    <row r="267" spans="2:111" customFormat="1" ht="9" customHeight="1">
      <c r="B267" s="125"/>
      <c r="C267" s="125"/>
      <c r="D267" s="125"/>
      <c r="E267" s="125"/>
      <c r="F267" s="125"/>
      <c r="G267" s="125"/>
      <c r="H267" s="125"/>
      <c r="I267" s="125"/>
      <c r="J267" s="125"/>
      <c r="K267" s="125"/>
      <c r="L267" s="125"/>
      <c r="M267" s="125"/>
      <c r="N267" s="125"/>
      <c r="O267" s="496"/>
      <c r="P267" s="496"/>
      <c r="Q267" s="496"/>
      <c r="R267" s="496"/>
      <c r="S267" s="496"/>
      <c r="T267" s="496"/>
      <c r="U267" s="496"/>
      <c r="V267" s="417"/>
      <c r="W267" s="417"/>
      <c r="X267" s="417"/>
      <c r="Y267" s="417"/>
      <c r="Z267" s="417"/>
      <c r="AA267" s="417"/>
      <c r="AB267" s="417"/>
      <c r="AC267" s="417"/>
      <c r="AD267" s="417"/>
      <c r="AE267" s="417"/>
      <c r="AF267" s="125"/>
      <c r="AG267" s="497"/>
      <c r="AH267" s="497"/>
      <c r="AI267" s="497"/>
      <c r="AJ267" s="497"/>
      <c r="AK267" s="497"/>
      <c r="AL267" s="497"/>
      <c r="AM267" s="497"/>
      <c r="AN267" s="125"/>
      <c r="AO267" s="417"/>
      <c r="AP267" s="417"/>
      <c r="AQ267" s="417"/>
      <c r="AR267" s="417"/>
      <c r="AS267" s="417"/>
      <c r="AT267" s="417"/>
      <c r="AU267" s="417"/>
      <c r="AV267" s="417"/>
      <c r="AW267" s="417"/>
      <c r="AX267" s="417"/>
      <c r="AY267" s="417"/>
      <c r="AZ267" s="417"/>
      <c r="BA267" s="417"/>
      <c r="BC267" s="115"/>
      <c r="BD267" s="115"/>
      <c r="BE267" s="115"/>
      <c r="BF267" s="115"/>
      <c r="BG267" s="115"/>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c r="DF267" s="124"/>
      <c r="DG267" s="115"/>
    </row>
    <row r="268" spans="2:111" customFormat="1" ht="9" customHeight="1">
      <c r="BC268" s="115"/>
      <c r="BD268" s="115"/>
      <c r="BE268" s="115"/>
      <c r="BF268" s="115"/>
      <c r="BG268" s="115"/>
      <c r="BH268" s="498"/>
      <c r="BI268" s="498"/>
      <c r="BJ268" s="498"/>
      <c r="BK268" s="498"/>
      <c r="BL268" s="498"/>
      <c r="BM268" s="498"/>
      <c r="BN268" s="498"/>
      <c r="BO268" s="498"/>
      <c r="BP268" s="498"/>
      <c r="BQ268" s="498"/>
      <c r="BR268" s="498"/>
      <c r="BS268" s="498"/>
      <c r="BT268" s="498"/>
      <c r="BU268" s="498"/>
      <c r="BV268" s="498"/>
      <c r="BW268" s="498"/>
      <c r="BX268" s="498"/>
      <c r="BY268" s="498"/>
      <c r="BZ268" s="498"/>
      <c r="CA268" s="498"/>
      <c r="CB268" s="498"/>
      <c r="CC268" s="498"/>
      <c r="CD268" s="498"/>
      <c r="CE268" s="498"/>
      <c r="CF268" s="498"/>
      <c r="CG268" s="498"/>
      <c r="CH268" s="498"/>
      <c r="CI268" s="498"/>
      <c r="CJ268" s="498"/>
      <c r="CK268" s="498"/>
      <c r="CL268" s="498"/>
      <c r="CM268" s="498"/>
      <c r="CN268" s="498"/>
      <c r="CO268" s="498"/>
      <c r="CP268" s="498"/>
      <c r="CQ268" s="498"/>
      <c r="CR268" s="498"/>
      <c r="CS268" s="498"/>
      <c r="CT268" s="498"/>
      <c r="CU268" s="498"/>
      <c r="CV268" s="498"/>
      <c r="CW268" s="498"/>
      <c r="CX268" s="498"/>
      <c r="CY268" s="498"/>
      <c r="CZ268" s="498"/>
      <c r="DA268" s="498"/>
      <c r="DB268" s="498"/>
      <c r="DC268" s="498"/>
      <c r="DD268" s="498"/>
      <c r="DE268" s="498"/>
      <c r="DF268" s="498"/>
      <c r="DG268" s="115"/>
    </row>
    <row r="269" spans="2:111" customFormat="1" ht="9" customHeight="1">
      <c r="B269" s="499" t="str">
        <f>IF($Z$32&gt;=6,"Nome da Empresa ou Nº da Ata","")</f>
        <v>Nome da Empresa ou Nº da Ata</v>
      </c>
      <c r="C269" s="499"/>
      <c r="D269" s="499"/>
      <c r="E269" s="499"/>
      <c r="F269" s="499"/>
      <c r="G269" s="499"/>
      <c r="H269" s="499"/>
      <c r="I269" s="499"/>
      <c r="J269" s="499"/>
      <c r="K269" s="499"/>
      <c r="L269" s="499"/>
      <c r="M269" s="499"/>
      <c r="N269" s="499"/>
      <c r="O269" s="499"/>
      <c r="P269" s="499"/>
      <c r="Q269" s="499"/>
      <c r="R269" s="499"/>
      <c r="S269" s="499"/>
      <c r="T269" s="499"/>
      <c r="U269" s="499"/>
      <c r="V269" s="499"/>
      <c r="W269" s="499"/>
      <c r="X269" s="499" t="str">
        <f>IF($Z$32&gt;=6,"CNPJ / CPF","")</f>
        <v>CNPJ / CPF</v>
      </c>
      <c r="Y269" s="499"/>
      <c r="Z269" s="499"/>
      <c r="AA269" s="499"/>
      <c r="AB269" s="499"/>
      <c r="AC269" s="499"/>
      <c r="AD269" s="499"/>
      <c r="AE269" s="499"/>
      <c r="AF269" s="499"/>
      <c r="AG269" s="499"/>
      <c r="AH269" s="499" t="str">
        <f>IF($Z$32&gt;=6,"Qtde","")</f>
        <v>Qtde</v>
      </c>
      <c r="AI269" s="499"/>
      <c r="AJ269" s="499"/>
      <c r="AK269" s="499"/>
      <c r="AL269" s="499" t="str">
        <f>IF($Z$32&gt;=6,"Valor Unitário (R$)","")</f>
        <v>Valor Unitário (R$)</v>
      </c>
      <c r="AM269" s="499"/>
      <c r="AN269" s="499"/>
      <c r="AO269" s="499"/>
      <c r="AP269" s="499"/>
      <c r="AQ269" s="499"/>
      <c r="AR269" s="499"/>
      <c r="AS269" s="499"/>
      <c r="AT269" s="499" t="str">
        <f>IF($Z$32&gt;=6,"Valor Total (R$)","")</f>
        <v>Valor Total (R$)</v>
      </c>
      <c r="AU269" s="499"/>
      <c r="AV269" s="499"/>
      <c r="AW269" s="499"/>
      <c r="AX269" s="499"/>
      <c r="AY269" s="499"/>
      <c r="AZ269" s="499"/>
      <c r="BA269" s="499"/>
      <c r="BC269" s="115"/>
      <c r="BD269" s="115"/>
      <c r="BE269" s="115"/>
      <c r="BF269" s="115"/>
      <c r="BG269" s="115"/>
      <c r="BH269" s="498"/>
      <c r="BI269" s="498"/>
      <c r="BJ269" s="498"/>
      <c r="BK269" s="498"/>
      <c r="BL269" s="498"/>
      <c r="BM269" s="498"/>
      <c r="BN269" s="498"/>
      <c r="BO269" s="498"/>
      <c r="BP269" s="498"/>
      <c r="BQ269" s="498"/>
      <c r="BR269" s="498"/>
      <c r="BS269" s="498"/>
      <c r="BT269" s="498"/>
      <c r="BU269" s="498"/>
      <c r="BV269" s="498"/>
      <c r="BW269" s="498"/>
      <c r="BX269" s="498"/>
      <c r="BY269" s="498"/>
      <c r="BZ269" s="498"/>
      <c r="CA269" s="498"/>
      <c r="CB269" s="498"/>
      <c r="CC269" s="498"/>
      <c r="CD269" s="498"/>
      <c r="CE269" s="498"/>
      <c r="CF269" s="498"/>
      <c r="CG269" s="498"/>
      <c r="CH269" s="498"/>
      <c r="CI269" s="498"/>
      <c r="CJ269" s="498"/>
      <c r="CK269" s="498"/>
      <c r="CL269" s="498"/>
      <c r="CM269" s="498"/>
      <c r="CN269" s="498"/>
      <c r="CO269" s="498"/>
      <c r="CP269" s="498"/>
      <c r="CQ269" s="498"/>
      <c r="CR269" s="498"/>
      <c r="CS269" s="498"/>
      <c r="CT269" s="498"/>
      <c r="CU269" s="498"/>
      <c r="CV269" s="498"/>
      <c r="CW269" s="498"/>
      <c r="CX269" s="498"/>
      <c r="CY269" s="498"/>
      <c r="CZ269" s="498"/>
      <c r="DA269" s="498"/>
      <c r="DB269" s="498"/>
      <c r="DC269" s="498"/>
      <c r="DD269" s="498"/>
      <c r="DE269" s="498"/>
      <c r="DF269" s="498"/>
      <c r="DG269" s="115"/>
    </row>
    <row r="270" spans="2:111" customFormat="1" ht="9" customHeight="1">
      <c r="B270" s="499"/>
      <c r="C270" s="499"/>
      <c r="D270" s="499"/>
      <c r="E270" s="499"/>
      <c r="F270" s="499"/>
      <c r="G270" s="499"/>
      <c r="H270" s="499"/>
      <c r="I270" s="499"/>
      <c r="J270" s="499"/>
      <c r="K270" s="499"/>
      <c r="L270" s="499"/>
      <c r="M270" s="499"/>
      <c r="N270" s="499"/>
      <c r="O270" s="499"/>
      <c r="P270" s="499"/>
      <c r="Q270" s="499"/>
      <c r="R270" s="499"/>
      <c r="S270" s="499"/>
      <c r="T270" s="499"/>
      <c r="U270" s="499"/>
      <c r="V270" s="499"/>
      <c r="W270" s="499"/>
      <c r="X270" s="499"/>
      <c r="Y270" s="499"/>
      <c r="Z270" s="499"/>
      <c r="AA270" s="499"/>
      <c r="AB270" s="499"/>
      <c r="AC270" s="499"/>
      <c r="AD270" s="499"/>
      <c r="AE270" s="499"/>
      <c r="AF270" s="499"/>
      <c r="AG270" s="499"/>
      <c r="AH270" s="499"/>
      <c r="AI270" s="499"/>
      <c r="AJ270" s="499"/>
      <c r="AK270" s="499"/>
      <c r="AL270" s="499"/>
      <c r="AM270" s="499"/>
      <c r="AN270" s="499"/>
      <c r="AO270" s="499"/>
      <c r="AP270" s="499"/>
      <c r="AQ270" s="499"/>
      <c r="AR270" s="499"/>
      <c r="AS270" s="499"/>
      <c r="AT270" s="499"/>
      <c r="AU270" s="499"/>
      <c r="AV270" s="499"/>
      <c r="AW270" s="499"/>
      <c r="AX270" s="499"/>
      <c r="AY270" s="499"/>
      <c r="AZ270" s="499"/>
      <c r="BA270" s="499"/>
      <c r="BB270" s="176">
        <f>AVERAGE(AL271:AS273)</f>
        <v>1510</v>
      </c>
      <c r="BC270" s="115"/>
      <c r="BD270" s="115"/>
      <c r="BE270" s="115"/>
      <c r="BF270" s="115"/>
      <c r="BG270" s="115"/>
      <c r="BH270" s="498"/>
      <c r="BI270" s="498"/>
      <c r="BJ270" s="498"/>
      <c r="BK270" s="498"/>
      <c r="BL270" s="498"/>
      <c r="BM270" s="498"/>
      <c r="BN270" s="498"/>
      <c r="BO270" s="498"/>
      <c r="BP270" s="498"/>
      <c r="BQ270" s="498"/>
      <c r="BR270" s="498"/>
      <c r="BS270" s="498"/>
      <c r="BT270" s="498"/>
      <c r="BU270" s="498"/>
      <c r="BV270" s="498"/>
      <c r="BW270" s="498"/>
      <c r="BX270" s="498"/>
      <c r="BY270" s="498"/>
      <c r="BZ270" s="498"/>
      <c r="CA270" s="498"/>
      <c r="CB270" s="498"/>
      <c r="CC270" s="498"/>
      <c r="CD270" s="498"/>
      <c r="CE270" s="498"/>
      <c r="CF270" s="498"/>
      <c r="CG270" s="498"/>
      <c r="CH270" s="498"/>
      <c r="CI270" s="498"/>
      <c r="CJ270" s="498"/>
      <c r="CK270" s="498"/>
      <c r="CL270" s="498"/>
      <c r="CM270" s="498"/>
      <c r="CN270" s="498"/>
      <c r="CO270" s="498"/>
      <c r="CP270" s="498"/>
      <c r="CQ270" s="498"/>
      <c r="CR270" s="498"/>
      <c r="CS270" s="498"/>
      <c r="CT270" s="498"/>
      <c r="CU270" s="498"/>
      <c r="CV270" s="498"/>
      <c r="CW270" s="498"/>
      <c r="CX270" s="498"/>
      <c r="CY270" s="498"/>
      <c r="CZ270" s="498"/>
      <c r="DA270" s="498"/>
      <c r="DB270" s="498"/>
      <c r="DC270" s="498"/>
      <c r="DD270" s="498"/>
      <c r="DE270" s="498"/>
      <c r="DF270" s="498"/>
      <c r="DG270" s="115"/>
    </row>
    <row r="271" spans="2:111" customFormat="1" ht="18" customHeight="1">
      <c r="B271" s="233" t="s">
        <v>642</v>
      </c>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486"/>
      <c r="Y271" s="486"/>
      <c r="Z271" s="486"/>
      <c r="AA271" s="486"/>
      <c r="AB271" s="486"/>
      <c r="AC271" s="486"/>
      <c r="AD271" s="486"/>
      <c r="AE271" s="486"/>
      <c r="AF271" s="486"/>
      <c r="AG271" s="486"/>
      <c r="AH271" s="417">
        <v>50</v>
      </c>
      <c r="AI271" s="417"/>
      <c r="AJ271" s="417"/>
      <c r="AK271" s="417"/>
      <c r="AL271" s="419">
        <v>1510</v>
      </c>
      <c r="AM271" s="419"/>
      <c r="AN271" s="419"/>
      <c r="AO271" s="419"/>
      <c r="AP271" s="419"/>
      <c r="AQ271" s="419"/>
      <c r="AR271" s="419"/>
      <c r="AS271" s="419"/>
      <c r="AT271" s="487">
        <f>IF($Z$32&gt;=6,(AH271*AL271),"")</f>
        <v>75500</v>
      </c>
      <c r="AU271" s="487"/>
      <c r="AV271" s="487"/>
      <c r="AW271" s="487"/>
      <c r="AX271" s="487"/>
      <c r="AY271" s="487"/>
      <c r="AZ271" s="487"/>
      <c r="BA271" s="487"/>
      <c r="BC271" s="115"/>
      <c r="BD271" s="115"/>
      <c r="BE271" s="115"/>
      <c r="BF271" s="115"/>
      <c r="BG271" s="115"/>
      <c r="BH271" s="498"/>
      <c r="BI271" s="498"/>
      <c r="BJ271" s="498"/>
      <c r="BK271" s="498"/>
      <c r="BL271" s="498"/>
      <c r="BM271" s="498"/>
      <c r="BN271" s="498"/>
      <c r="BO271" s="498"/>
      <c r="BP271" s="498"/>
      <c r="BQ271" s="498"/>
      <c r="BR271" s="498"/>
      <c r="BS271" s="498"/>
      <c r="BT271" s="498"/>
      <c r="BU271" s="498"/>
      <c r="BV271" s="498"/>
      <c r="BW271" s="498"/>
      <c r="BX271" s="498"/>
      <c r="BY271" s="498"/>
      <c r="BZ271" s="498"/>
      <c r="CA271" s="498"/>
      <c r="CB271" s="498"/>
      <c r="CC271" s="498"/>
      <c r="CD271" s="498"/>
      <c r="CE271" s="498"/>
      <c r="CF271" s="498"/>
      <c r="CG271" s="498"/>
      <c r="CH271" s="498"/>
      <c r="CI271" s="498"/>
      <c r="CJ271" s="498"/>
      <c r="CK271" s="498"/>
      <c r="CL271" s="498"/>
      <c r="CM271" s="498"/>
      <c r="CN271" s="498"/>
      <c r="CO271" s="498"/>
      <c r="CP271" s="498"/>
      <c r="CQ271" s="498"/>
      <c r="CR271" s="498"/>
      <c r="CS271" s="498"/>
      <c r="CT271" s="498"/>
      <c r="CU271" s="498"/>
      <c r="CV271" s="498"/>
      <c r="CW271" s="498"/>
      <c r="CX271" s="498"/>
      <c r="CY271" s="498"/>
      <c r="CZ271" s="498"/>
      <c r="DA271" s="498"/>
      <c r="DB271" s="498"/>
      <c r="DC271" s="498"/>
      <c r="DD271" s="498"/>
      <c r="DE271" s="498"/>
      <c r="DF271" s="498"/>
      <c r="DG271" s="115"/>
    </row>
    <row r="272" spans="2:111" customFormat="1" ht="18" customHeight="1">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486"/>
      <c r="Y272" s="486"/>
      <c r="Z272" s="486"/>
      <c r="AA272" s="486"/>
      <c r="AB272" s="486"/>
      <c r="AC272" s="486"/>
      <c r="AD272" s="486"/>
      <c r="AE272" s="486"/>
      <c r="AF272" s="486"/>
      <c r="AG272" s="486"/>
      <c r="AH272" s="417"/>
      <c r="AI272" s="417"/>
      <c r="AJ272" s="417"/>
      <c r="AK272" s="417"/>
      <c r="AL272" s="419"/>
      <c r="AM272" s="419"/>
      <c r="AN272" s="419"/>
      <c r="AO272" s="419"/>
      <c r="AP272" s="419"/>
      <c r="AQ272" s="419"/>
      <c r="AR272" s="419"/>
      <c r="AS272" s="419"/>
      <c r="AT272" s="487">
        <f>IF($Z$32&gt;=6,(AH272*AL272),"")</f>
        <v>0</v>
      </c>
      <c r="AU272" s="487"/>
      <c r="AV272" s="487"/>
      <c r="AW272" s="487"/>
      <c r="AX272" s="487"/>
      <c r="AY272" s="487"/>
      <c r="AZ272" s="487"/>
      <c r="BA272" s="487"/>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row>
    <row r="273" spans="2:111" customFormat="1" ht="18" customHeight="1">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486"/>
      <c r="Y273" s="486"/>
      <c r="Z273" s="486"/>
      <c r="AA273" s="486"/>
      <c r="AB273" s="486"/>
      <c r="AC273" s="486"/>
      <c r="AD273" s="486"/>
      <c r="AE273" s="486"/>
      <c r="AF273" s="486"/>
      <c r="AG273" s="486"/>
      <c r="AH273" s="417"/>
      <c r="AI273" s="417"/>
      <c r="AJ273" s="417"/>
      <c r="AK273" s="417"/>
      <c r="AL273" s="419"/>
      <c r="AM273" s="419"/>
      <c r="AN273" s="419"/>
      <c r="AO273" s="419"/>
      <c r="AP273" s="419"/>
      <c r="AQ273" s="419"/>
      <c r="AR273" s="419"/>
      <c r="AS273" s="419"/>
      <c r="AT273" s="487">
        <f>IF($Z$32&gt;=6,(AH273*AL273),"")</f>
        <v>0</v>
      </c>
      <c r="AU273" s="487"/>
      <c r="AV273" s="487"/>
      <c r="AW273" s="487"/>
      <c r="AX273" s="487"/>
      <c r="AY273" s="487"/>
      <c r="AZ273" s="487"/>
      <c r="BA273" s="487"/>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row>
    <row r="274" spans="2:111" customFormat="1" ht="15" customHeight="1">
      <c r="AT274" s="500">
        <f>IF(B271="","",IF(AL272="",AT271,IF(AL273="",AVERAGE(AT271:BA272),AVERAGE(AT271:AT273))))</f>
        <v>75500</v>
      </c>
      <c r="AU274" s="500"/>
      <c r="AV274" s="500"/>
      <c r="AW274" s="500"/>
      <c r="AX274" s="500"/>
      <c r="AY274" s="500"/>
      <c r="AZ274" s="500"/>
      <c r="BA274" s="500"/>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row>
    <row r="275" spans="2:111" customFormat="1" ht="15" customHeight="1">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row>
    <row r="276" spans="2:111" customFormat="1" ht="9" customHeight="1">
      <c r="B276" s="494" t="str">
        <f>IF($Z$32&gt;=7,"Item 7","")</f>
        <v>Item 7</v>
      </c>
      <c r="C276" s="495"/>
      <c r="D276" s="495"/>
      <c r="E276" s="495"/>
      <c r="F276" s="495"/>
      <c r="G276" s="495"/>
      <c r="H276" s="495"/>
      <c r="I276" s="495"/>
      <c r="J276" s="495"/>
      <c r="K276" s="495"/>
      <c r="L276" s="495"/>
      <c r="M276" s="49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row>
    <row r="277" spans="2:111" customFormat="1" ht="9" customHeight="1">
      <c r="B277" s="495"/>
      <c r="C277" s="495"/>
      <c r="D277" s="495"/>
      <c r="E277" s="495"/>
      <c r="F277" s="495"/>
      <c r="G277" s="495"/>
      <c r="H277" s="495"/>
      <c r="I277" s="495"/>
      <c r="J277" s="495"/>
      <c r="K277" s="495"/>
      <c r="L277" s="495"/>
      <c r="M277" s="49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row>
    <row r="278" spans="2:111" customFormat="1" ht="4.5" customHeight="1">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row>
    <row r="279" spans="2:111" customFormat="1" ht="9" customHeight="1">
      <c r="B279" s="493" t="str">
        <f>IF(B276="","","Elemento de Despesa:")</f>
        <v>Elemento de Despesa:</v>
      </c>
      <c r="C279" s="493"/>
      <c r="D279" s="493"/>
      <c r="E279" s="493"/>
      <c r="F279" s="493"/>
      <c r="G279" s="493"/>
      <c r="H279" s="493"/>
      <c r="I279" s="493"/>
      <c r="J279" s="493"/>
      <c r="K279" s="493"/>
      <c r="L279" s="493"/>
      <c r="M279" s="493"/>
      <c r="N279" s="493"/>
      <c r="O279" s="241" t="s">
        <v>276</v>
      </c>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C279" s="115"/>
      <c r="BD279" s="115"/>
      <c r="BE279" s="115"/>
      <c r="BF279" s="115"/>
      <c r="BG279" s="115"/>
      <c r="BH279" s="124"/>
      <c r="BI279" s="124"/>
      <c r="BJ279" s="124"/>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4"/>
      <c r="CT279" s="124"/>
      <c r="CU279" s="124"/>
      <c r="CV279" s="124"/>
      <c r="CW279" s="124"/>
      <c r="CX279" s="124"/>
      <c r="CY279" s="124"/>
      <c r="CZ279" s="124"/>
      <c r="DA279" s="124"/>
      <c r="DB279" s="124"/>
      <c r="DC279" s="124"/>
      <c r="DD279" s="124"/>
      <c r="DE279" s="124"/>
      <c r="DF279" s="124"/>
      <c r="DG279" s="115"/>
    </row>
    <row r="280" spans="2:111" customFormat="1" ht="9" customHeight="1">
      <c r="B280" s="493"/>
      <c r="C280" s="493"/>
      <c r="D280" s="493"/>
      <c r="E280" s="493"/>
      <c r="F280" s="493"/>
      <c r="G280" s="493"/>
      <c r="H280" s="493"/>
      <c r="I280" s="493"/>
      <c r="J280" s="493"/>
      <c r="K280" s="493"/>
      <c r="L280" s="493"/>
      <c r="M280" s="493"/>
      <c r="N280" s="493"/>
      <c r="O280" s="241"/>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C280" s="115"/>
      <c r="BD280" s="115"/>
      <c r="BE280" s="115"/>
      <c r="BF280" s="115"/>
      <c r="BG280" s="115"/>
      <c r="BH280" s="124"/>
      <c r="BI280" s="124"/>
      <c r="BJ280" s="124"/>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4"/>
      <c r="CT280" s="124"/>
      <c r="CU280" s="124"/>
      <c r="CV280" s="124"/>
      <c r="CW280" s="124"/>
      <c r="CX280" s="124"/>
      <c r="CY280" s="124"/>
      <c r="CZ280" s="124"/>
      <c r="DA280" s="124"/>
      <c r="DB280" s="124"/>
      <c r="DC280" s="124"/>
      <c r="DD280" s="124"/>
      <c r="DE280" s="124"/>
      <c r="DF280" s="124"/>
      <c r="DG280" s="115"/>
    </row>
    <row r="281" spans="2:111" customFormat="1" ht="4.5" customHeight="1">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C281" s="115"/>
      <c r="BD281" s="115"/>
      <c r="BE281" s="115"/>
      <c r="BF281" s="115"/>
      <c r="BG281" s="115"/>
      <c r="BH281" s="124"/>
      <c r="BI281" s="124"/>
      <c r="BJ281" s="124"/>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4"/>
      <c r="CT281" s="124"/>
      <c r="CU281" s="124"/>
      <c r="CV281" s="124"/>
      <c r="CW281" s="124"/>
      <c r="CX281" s="124"/>
      <c r="CY281" s="124"/>
      <c r="CZ281" s="124"/>
      <c r="DA281" s="124"/>
      <c r="DB281" s="124"/>
      <c r="DC281" s="124"/>
      <c r="DD281" s="124"/>
      <c r="DE281" s="124"/>
      <c r="DF281" s="124"/>
      <c r="DG281" s="115"/>
    </row>
    <row r="282" spans="2:111" customFormat="1" ht="9" customHeight="1">
      <c r="B282" s="493" t="str">
        <f>IF(B276="","","Objeto:")</f>
        <v>Objeto:</v>
      </c>
      <c r="C282" s="493"/>
      <c r="D282" s="493"/>
      <c r="E282" s="493"/>
      <c r="F282" s="493"/>
      <c r="G282" s="493"/>
      <c r="H282" s="493"/>
      <c r="I282" s="493"/>
      <c r="J282" s="493"/>
      <c r="K282" s="493"/>
      <c r="L282" s="493"/>
      <c r="M282" s="493"/>
      <c r="N282" s="493"/>
      <c r="O282" s="421" t="s">
        <v>579</v>
      </c>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c r="AP282" s="421"/>
      <c r="AQ282" s="421"/>
      <c r="AR282" s="421"/>
      <c r="AS282" s="421"/>
      <c r="AT282" s="421"/>
      <c r="AU282" s="421"/>
      <c r="AV282" s="421"/>
      <c r="AW282" s="421"/>
      <c r="AX282" s="421"/>
      <c r="AY282" s="421"/>
      <c r="AZ282" s="421"/>
      <c r="BA282" s="421"/>
      <c r="BC282" s="115"/>
      <c r="BD282" s="115"/>
      <c r="BE282" s="115"/>
      <c r="BF282" s="115"/>
      <c r="BG282" s="115"/>
      <c r="BH282" s="124"/>
      <c r="BI282" s="124"/>
      <c r="BJ282" s="124"/>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4"/>
      <c r="CT282" s="124"/>
      <c r="CU282" s="124"/>
      <c r="CV282" s="124"/>
      <c r="CW282" s="124"/>
      <c r="CX282" s="124"/>
      <c r="CY282" s="124"/>
      <c r="CZ282" s="124"/>
      <c r="DA282" s="124"/>
      <c r="DB282" s="124"/>
      <c r="DC282" s="124"/>
      <c r="DD282" s="124"/>
      <c r="DE282" s="124"/>
      <c r="DF282" s="124"/>
      <c r="DG282" s="115"/>
    </row>
    <row r="283" spans="2:111" customFormat="1" ht="9" customHeight="1">
      <c r="B283" s="493"/>
      <c r="C283" s="493"/>
      <c r="D283" s="493"/>
      <c r="E283" s="493"/>
      <c r="F283" s="493"/>
      <c r="G283" s="493"/>
      <c r="H283" s="493"/>
      <c r="I283" s="493"/>
      <c r="J283" s="493"/>
      <c r="K283" s="493"/>
      <c r="L283" s="493"/>
      <c r="M283" s="493"/>
      <c r="N283" s="493"/>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c r="AP283" s="421"/>
      <c r="AQ283" s="421"/>
      <c r="AR283" s="421"/>
      <c r="AS283" s="421"/>
      <c r="AT283" s="421"/>
      <c r="AU283" s="421"/>
      <c r="AV283" s="421"/>
      <c r="AW283" s="421"/>
      <c r="AX283" s="421"/>
      <c r="AY283" s="421"/>
      <c r="AZ283" s="421"/>
      <c r="BA283" s="421"/>
      <c r="BC283" s="115"/>
      <c r="BD283" s="115"/>
      <c r="BE283" s="115"/>
      <c r="BF283" s="115"/>
      <c r="BG283" s="115"/>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c r="CV283" s="124"/>
      <c r="CW283" s="124"/>
      <c r="CX283" s="124"/>
      <c r="CY283" s="124"/>
      <c r="CZ283" s="124"/>
      <c r="DA283" s="124"/>
      <c r="DB283" s="124"/>
      <c r="DC283" s="124"/>
      <c r="DD283" s="124"/>
      <c r="DE283" s="124"/>
      <c r="DF283" s="124"/>
      <c r="DG283" s="115"/>
    </row>
    <row r="284" spans="2:111" customFormat="1" ht="9" customHeight="1">
      <c r="B284" s="143"/>
      <c r="C284" s="143"/>
      <c r="D284" s="143"/>
      <c r="E284" s="143"/>
      <c r="F284" s="143"/>
      <c r="G284" s="143"/>
      <c r="H284" s="143"/>
      <c r="I284" s="143"/>
      <c r="J284" s="143"/>
      <c r="K284" s="143"/>
      <c r="L284" s="143"/>
      <c r="M284" s="143"/>
      <c r="N284" s="143"/>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c r="AU284" s="421"/>
      <c r="AV284" s="421"/>
      <c r="AW284" s="421"/>
      <c r="AX284" s="421"/>
      <c r="AY284" s="421"/>
      <c r="AZ284" s="421"/>
      <c r="BA284" s="421"/>
      <c r="BC284" s="115"/>
      <c r="BD284" s="115"/>
      <c r="BE284" s="115"/>
      <c r="BF284" s="115"/>
      <c r="BG284" s="115"/>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115"/>
    </row>
    <row r="285" spans="2:111" customFormat="1" ht="9" customHeight="1">
      <c r="B285" s="49"/>
      <c r="C285" s="49"/>
      <c r="D285" s="49"/>
      <c r="E285" s="49"/>
      <c r="F285" s="49"/>
      <c r="G285" s="49"/>
      <c r="H285" s="49"/>
      <c r="I285" s="49"/>
      <c r="J285" s="49"/>
      <c r="K285" s="49"/>
      <c r="L285" s="49"/>
      <c r="M285" s="49"/>
      <c r="N285" s="49"/>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c r="AN285" s="421"/>
      <c r="AO285" s="421"/>
      <c r="AP285" s="421"/>
      <c r="AQ285" s="421"/>
      <c r="AR285" s="421"/>
      <c r="AS285" s="421"/>
      <c r="AT285" s="421"/>
      <c r="AU285" s="421"/>
      <c r="AV285" s="421"/>
      <c r="AW285" s="421"/>
      <c r="AX285" s="421"/>
      <c r="AY285" s="421"/>
      <c r="AZ285" s="421"/>
      <c r="BA285" s="421"/>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row>
    <row r="286" spans="2:111" customFormat="1" ht="4.5" customHeight="1">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C286" s="115"/>
      <c r="BD286" s="115"/>
      <c r="BE286" s="115"/>
      <c r="BF286" s="115"/>
      <c r="BG286" s="115"/>
      <c r="BH286" s="124"/>
      <c r="BI286" s="124"/>
      <c r="BJ286" s="124"/>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4"/>
      <c r="CT286" s="124"/>
      <c r="CU286" s="124"/>
      <c r="CV286" s="124"/>
      <c r="CW286" s="124"/>
      <c r="CX286" s="124"/>
      <c r="CY286" s="124"/>
      <c r="CZ286" s="124"/>
      <c r="DA286" s="124"/>
      <c r="DB286" s="124"/>
      <c r="DC286" s="124"/>
      <c r="DD286" s="124"/>
      <c r="DE286" s="124"/>
      <c r="DF286" s="124"/>
      <c r="DG286" s="115"/>
    </row>
    <row r="287" spans="2:111" customFormat="1" ht="9" customHeight="1">
      <c r="B287" s="493" t="str">
        <f>IF(B276="","","Detalhamento do Objeto:")</f>
        <v>Detalhamento do Objeto:</v>
      </c>
      <c r="C287" s="493"/>
      <c r="D287" s="493"/>
      <c r="E287" s="493"/>
      <c r="F287" s="493"/>
      <c r="G287" s="493"/>
      <c r="H287" s="493"/>
      <c r="I287" s="493"/>
      <c r="J287" s="493"/>
      <c r="K287" s="493"/>
      <c r="L287" s="493"/>
      <c r="M287" s="493"/>
      <c r="N287" s="493"/>
      <c r="O287" s="421" t="s">
        <v>643</v>
      </c>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c r="AP287" s="421"/>
      <c r="AQ287" s="421"/>
      <c r="AR287" s="421"/>
      <c r="AS287" s="421"/>
      <c r="AT287" s="421"/>
      <c r="AU287" s="421"/>
      <c r="AV287" s="421"/>
      <c r="AW287" s="421"/>
      <c r="AX287" s="421"/>
      <c r="AY287" s="421"/>
      <c r="AZ287" s="421"/>
      <c r="BA287" s="421"/>
      <c r="BC287" s="115"/>
      <c r="BD287" s="115"/>
      <c r="BE287" s="115"/>
      <c r="BF287" s="115"/>
      <c r="BG287" s="115"/>
      <c r="BH287" s="124"/>
      <c r="BI287" s="124"/>
      <c r="BJ287" s="124"/>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4"/>
      <c r="CT287" s="124"/>
      <c r="CU287" s="124"/>
      <c r="CV287" s="124"/>
      <c r="CW287" s="124"/>
      <c r="CX287" s="124"/>
      <c r="CY287" s="124"/>
      <c r="CZ287" s="124"/>
      <c r="DA287" s="124"/>
      <c r="DB287" s="124"/>
      <c r="DC287" s="124"/>
      <c r="DD287" s="124"/>
      <c r="DE287" s="124"/>
      <c r="DF287" s="124"/>
      <c r="DG287" s="115"/>
    </row>
    <row r="288" spans="2:111" customFormat="1" ht="9" customHeight="1">
      <c r="B288" s="493"/>
      <c r="C288" s="493"/>
      <c r="D288" s="493"/>
      <c r="E288" s="493"/>
      <c r="F288" s="493"/>
      <c r="G288" s="493"/>
      <c r="H288" s="493"/>
      <c r="I288" s="493"/>
      <c r="J288" s="493"/>
      <c r="K288" s="493"/>
      <c r="L288" s="493"/>
      <c r="M288" s="493"/>
      <c r="N288" s="493"/>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c r="AN288" s="421"/>
      <c r="AO288" s="421"/>
      <c r="AP288" s="421"/>
      <c r="AQ288" s="421"/>
      <c r="AR288" s="421"/>
      <c r="AS288" s="421"/>
      <c r="AT288" s="421"/>
      <c r="AU288" s="421"/>
      <c r="AV288" s="421"/>
      <c r="AW288" s="421"/>
      <c r="AX288" s="421"/>
      <c r="AY288" s="421"/>
      <c r="AZ288" s="421"/>
      <c r="BA288" s="421"/>
      <c r="BC288" s="115"/>
      <c r="BD288" s="115"/>
      <c r="BE288" s="115"/>
      <c r="BF288" s="115"/>
      <c r="BG288" s="115"/>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c r="CV288" s="124"/>
      <c r="CW288" s="124"/>
      <c r="CX288" s="124"/>
      <c r="CY288" s="124"/>
      <c r="CZ288" s="124"/>
      <c r="DA288" s="124"/>
      <c r="DB288" s="124"/>
      <c r="DC288" s="124"/>
      <c r="DD288" s="124"/>
      <c r="DE288" s="124"/>
      <c r="DF288" s="124"/>
      <c r="DG288" s="115"/>
    </row>
    <row r="289" spans="2:111" customFormat="1" ht="9" customHeight="1">
      <c r="B289" s="143"/>
      <c r="C289" s="143"/>
      <c r="D289" s="143"/>
      <c r="E289" s="143"/>
      <c r="F289" s="143"/>
      <c r="G289" s="143"/>
      <c r="H289" s="143"/>
      <c r="I289" s="143"/>
      <c r="J289" s="143"/>
      <c r="K289" s="143"/>
      <c r="L289" s="143"/>
      <c r="M289" s="143"/>
      <c r="N289" s="143"/>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c r="AK289" s="421"/>
      <c r="AL289" s="421"/>
      <c r="AM289" s="421"/>
      <c r="AN289" s="421"/>
      <c r="AO289" s="421"/>
      <c r="AP289" s="421"/>
      <c r="AQ289" s="421"/>
      <c r="AR289" s="421"/>
      <c r="AS289" s="421"/>
      <c r="AT289" s="421"/>
      <c r="AU289" s="421"/>
      <c r="AV289" s="421"/>
      <c r="AW289" s="421"/>
      <c r="AX289" s="421"/>
      <c r="AY289" s="421"/>
      <c r="AZ289" s="421"/>
      <c r="BA289" s="421"/>
      <c r="BC289" s="115"/>
      <c r="BD289" s="115"/>
      <c r="BE289" s="115"/>
      <c r="BF289" s="115"/>
      <c r="BG289" s="115"/>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115"/>
    </row>
    <row r="290" spans="2:111" customFormat="1" ht="9" customHeight="1">
      <c r="B290" s="143"/>
      <c r="C290" s="143"/>
      <c r="D290" s="143"/>
      <c r="E290" s="143"/>
      <c r="F290" s="143"/>
      <c r="G290" s="143"/>
      <c r="H290" s="143"/>
      <c r="I290" s="143"/>
      <c r="J290" s="143"/>
      <c r="K290" s="143"/>
      <c r="L290" s="143"/>
      <c r="M290" s="143"/>
      <c r="N290" s="143"/>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c r="AN290" s="421"/>
      <c r="AO290" s="421"/>
      <c r="AP290" s="421"/>
      <c r="AQ290" s="421"/>
      <c r="AR290" s="421"/>
      <c r="AS290" s="421"/>
      <c r="AT290" s="421"/>
      <c r="AU290" s="421"/>
      <c r="AV290" s="421"/>
      <c r="AW290" s="421"/>
      <c r="AX290" s="421"/>
      <c r="AY290" s="421"/>
      <c r="AZ290" s="421"/>
      <c r="BA290" s="421"/>
      <c r="BC290" s="115"/>
      <c r="BD290" s="115"/>
      <c r="BE290" s="115"/>
      <c r="BF290" s="115"/>
      <c r="BG290" s="115"/>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115"/>
    </row>
    <row r="291" spans="2:111" customFormat="1" ht="9" customHeight="1">
      <c r="B291" s="143"/>
      <c r="C291" s="143"/>
      <c r="D291" s="143"/>
      <c r="E291" s="143"/>
      <c r="F291" s="143"/>
      <c r="G291" s="143"/>
      <c r="H291" s="143"/>
      <c r="I291" s="143"/>
      <c r="J291" s="143"/>
      <c r="K291" s="143"/>
      <c r="L291" s="143"/>
      <c r="M291" s="143"/>
      <c r="N291" s="143"/>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c r="AN291" s="421"/>
      <c r="AO291" s="421"/>
      <c r="AP291" s="421"/>
      <c r="AQ291" s="421"/>
      <c r="AR291" s="421"/>
      <c r="AS291" s="421"/>
      <c r="AT291" s="421"/>
      <c r="AU291" s="421"/>
      <c r="AV291" s="421"/>
      <c r="AW291" s="421"/>
      <c r="AX291" s="421"/>
      <c r="AY291" s="421"/>
      <c r="AZ291" s="421"/>
      <c r="BA291" s="421"/>
      <c r="BC291" s="115"/>
      <c r="BD291" s="115"/>
      <c r="BE291" s="115"/>
      <c r="BF291" s="115"/>
      <c r="BG291" s="115"/>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115"/>
    </row>
    <row r="292" spans="2:111" customFormat="1" ht="9" customHeight="1">
      <c r="B292" s="143"/>
      <c r="C292" s="143"/>
      <c r="D292" s="143"/>
      <c r="E292" s="143"/>
      <c r="F292" s="143"/>
      <c r="G292" s="143"/>
      <c r="H292" s="143"/>
      <c r="I292" s="143"/>
      <c r="J292" s="143"/>
      <c r="K292" s="143"/>
      <c r="L292" s="143"/>
      <c r="M292" s="143"/>
      <c r="N292" s="143"/>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c r="AN292" s="421"/>
      <c r="AO292" s="421"/>
      <c r="AP292" s="421"/>
      <c r="AQ292" s="421"/>
      <c r="AR292" s="421"/>
      <c r="AS292" s="421"/>
      <c r="AT292" s="421"/>
      <c r="AU292" s="421"/>
      <c r="AV292" s="421"/>
      <c r="AW292" s="421"/>
      <c r="AX292" s="421"/>
      <c r="AY292" s="421"/>
      <c r="AZ292" s="421"/>
      <c r="BA292" s="421"/>
      <c r="BC292" s="115"/>
      <c r="BD292" s="115"/>
      <c r="BE292" s="115"/>
      <c r="BF292" s="115"/>
      <c r="BG292" s="115"/>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115"/>
    </row>
    <row r="293" spans="2:111" customFormat="1" ht="9" customHeight="1">
      <c r="B293" s="143"/>
      <c r="C293" s="143"/>
      <c r="D293" s="143"/>
      <c r="E293" s="143"/>
      <c r="F293" s="143"/>
      <c r="G293" s="143"/>
      <c r="H293" s="143"/>
      <c r="I293" s="143"/>
      <c r="J293" s="143"/>
      <c r="K293" s="143"/>
      <c r="L293" s="143"/>
      <c r="M293" s="143"/>
      <c r="N293" s="143"/>
      <c r="O293" s="421"/>
      <c r="P293" s="421"/>
      <c r="Q293" s="421"/>
      <c r="R293" s="421"/>
      <c r="S293" s="421"/>
      <c r="T293" s="421"/>
      <c r="U293" s="421"/>
      <c r="V293" s="421"/>
      <c r="W293" s="421"/>
      <c r="X293" s="421"/>
      <c r="Y293" s="421"/>
      <c r="Z293" s="421"/>
      <c r="AA293" s="421"/>
      <c r="AB293" s="421"/>
      <c r="AC293" s="421"/>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1"/>
      <c r="AY293" s="421"/>
      <c r="AZ293" s="421"/>
      <c r="BA293" s="421"/>
      <c r="BC293" s="115"/>
      <c r="BD293" s="115"/>
      <c r="BE293" s="115"/>
      <c r="BF293" s="115"/>
      <c r="BG293" s="115"/>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115"/>
    </row>
    <row r="294" spans="2:111" customFormat="1" ht="9" customHeight="1">
      <c r="B294" s="49"/>
      <c r="C294" s="49"/>
      <c r="D294" s="49"/>
      <c r="E294" s="49"/>
      <c r="F294" s="49"/>
      <c r="G294" s="49"/>
      <c r="H294" s="49"/>
      <c r="I294" s="49"/>
      <c r="J294" s="49"/>
      <c r="K294" s="49"/>
      <c r="L294" s="49"/>
      <c r="M294" s="49"/>
      <c r="N294" s="49"/>
      <c r="O294" s="421"/>
      <c r="P294" s="421"/>
      <c r="Q294" s="421"/>
      <c r="R294" s="421"/>
      <c r="S294" s="421"/>
      <c r="T294" s="421"/>
      <c r="U294" s="421"/>
      <c r="V294" s="421"/>
      <c r="W294" s="421"/>
      <c r="X294" s="421"/>
      <c r="Y294" s="421"/>
      <c r="Z294" s="421"/>
      <c r="AA294" s="421"/>
      <c r="AB294" s="421"/>
      <c r="AC294" s="421"/>
      <c r="AD294" s="421"/>
      <c r="AE294" s="421"/>
      <c r="AF294" s="421"/>
      <c r="AG294" s="421"/>
      <c r="AH294" s="421"/>
      <c r="AI294" s="421"/>
      <c r="AJ294" s="421"/>
      <c r="AK294" s="421"/>
      <c r="AL294" s="421"/>
      <c r="AM294" s="421"/>
      <c r="AN294" s="421"/>
      <c r="AO294" s="421"/>
      <c r="AP294" s="421"/>
      <c r="AQ294" s="421"/>
      <c r="AR294" s="421"/>
      <c r="AS294" s="421"/>
      <c r="AT294" s="421"/>
      <c r="AU294" s="421"/>
      <c r="AV294" s="421"/>
      <c r="AW294" s="421"/>
      <c r="AX294" s="421"/>
      <c r="AY294" s="421"/>
      <c r="AZ294" s="421"/>
      <c r="BA294" s="421"/>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row>
    <row r="295" spans="2:111" customFormat="1" ht="4.5" customHeight="1">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C295" s="115"/>
      <c r="BD295" s="115"/>
      <c r="BE295" s="115"/>
      <c r="BF295" s="115"/>
      <c r="BG295" s="115"/>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15"/>
    </row>
    <row r="296" spans="2:111" customFormat="1" ht="9" customHeight="1">
      <c r="B296" s="493" t="str">
        <f>IF(B276="","","Justificativa:")</f>
        <v>Justificativa:</v>
      </c>
      <c r="C296" s="493"/>
      <c r="D296" s="493"/>
      <c r="E296" s="493"/>
      <c r="F296" s="493"/>
      <c r="G296" s="493"/>
      <c r="H296" s="493"/>
      <c r="I296" s="493"/>
      <c r="J296" s="493"/>
      <c r="K296" s="493"/>
      <c r="L296" s="493"/>
      <c r="M296" s="493"/>
      <c r="N296" s="493"/>
      <c r="O296" s="421" t="s">
        <v>685</v>
      </c>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c r="AN296" s="421"/>
      <c r="AO296" s="421"/>
      <c r="AP296" s="421"/>
      <c r="AQ296" s="421"/>
      <c r="AR296" s="421"/>
      <c r="AS296" s="421"/>
      <c r="AT296" s="421"/>
      <c r="AU296" s="421"/>
      <c r="AV296" s="421"/>
      <c r="AW296" s="421"/>
      <c r="AX296" s="421"/>
      <c r="AY296" s="421"/>
      <c r="AZ296" s="421"/>
      <c r="BA296" s="421"/>
      <c r="BC296" s="115"/>
      <c r="BD296" s="115"/>
      <c r="BE296" s="115"/>
      <c r="BF296" s="115"/>
      <c r="BG296" s="115"/>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15"/>
    </row>
    <row r="297" spans="2:111" customFormat="1" ht="9" customHeight="1">
      <c r="B297" s="493"/>
      <c r="C297" s="493"/>
      <c r="D297" s="493"/>
      <c r="E297" s="493"/>
      <c r="F297" s="493"/>
      <c r="G297" s="493"/>
      <c r="H297" s="493"/>
      <c r="I297" s="493"/>
      <c r="J297" s="493"/>
      <c r="K297" s="493"/>
      <c r="L297" s="493"/>
      <c r="M297" s="493"/>
      <c r="N297" s="493"/>
      <c r="O297" s="421"/>
      <c r="P297" s="421"/>
      <c r="Q297" s="421"/>
      <c r="R297" s="421"/>
      <c r="S297" s="421"/>
      <c r="T297" s="421"/>
      <c r="U297" s="421"/>
      <c r="V297" s="421"/>
      <c r="W297" s="421"/>
      <c r="X297" s="421"/>
      <c r="Y297" s="421"/>
      <c r="Z297" s="421"/>
      <c r="AA297" s="421"/>
      <c r="AB297" s="421"/>
      <c r="AC297" s="421"/>
      <c r="AD297" s="421"/>
      <c r="AE297" s="421"/>
      <c r="AF297" s="421"/>
      <c r="AG297" s="421"/>
      <c r="AH297" s="421"/>
      <c r="AI297" s="421"/>
      <c r="AJ297" s="421"/>
      <c r="AK297" s="421"/>
      <c r="AL297" s="421"/>
      <c r="AM297" s="421"/>
      <c r="AN297" s="421"/>
      <c r="AO297" s="421"/>
      <c r="AP297" s="421"/>
      <c r="AQ297" s="421"/>
      <c r="AR297" s="421"/>
      <c r="AS297" s="421"/>
      <c r="AT297" s="421"/>
      <c r="AU297" s="421"/>
      <c r="AV297" s="421"/>
      <c r="AW297" s="421"/>
      <c r="AX297" s="421"/>
      <c r="AY297" s="421"/>
      <c r="AZ297" s="421"/>
      <c r="BA297" s="421"/>
      <c r="BC297" s="115"/>
      <c r="BD297" s="115"/>
      <c r="BE297" s="115"/>
      <c r="BF297" s="115"/>
      <c r="BG297" s="115"/>
      <c r="BH297" s="124"/>
      <c r="BI297" s="124"/>
      <c r="BJ297" s="124"/>
      <c r="BK297" s="124"/>
      <c r="BL297" s="124"/>
      <c r="BM297" s="124"/>
      <c r="BN297" s="124"/>
      <c r="BO297" s="124"/>
      <c r="BP297" s="124"/>
      <c r="BQ297" s="124"/>
      <c r="BR297" s="124"/>
      <c r="BS297" s="124"/>
      <c r="BT297" s="124"/>
      <c r="BU297" s="124"/>
      <c r="BV297" s="124"/>
      <c r="BW297" s="124"/>
      <c r="BX297" s="124"/>
      <c r="BY297" s="124"/>
      <c r="BZ297" s="124"/>
      <c r="CA297" s="124"/>
      <c r="CB297" s="124"/>
      <c r="CC297" s="124"/>
      <c r="CD297" s="124"/>
      <c r="CE297" s="124"/>
      <c r="CF297" s="124"/>
      <c r="CG297" s="124"/>
      <c r="CH297" s="124"/>
      <c r="CI297" s="124"/>
      <c r="CJ297" s="124"/>
      <c r="CK297" s="124"/>
      <c r="CL297" s="124"/>
      <c r="CM297" s="124"/>
      <c r="CN297" s="124"/>
      <c r="CO297" s="124"/>
      <c r="CP297" s="124"/>
      <c r="CQ297" s="124"/>
      <c r="CR297" s="124"/>
      <c r="CS297" s="124"/>
      <c r="CT297" s="124"/>
      <c r="CU297" s="124"/>
      <c r="CV297" s="124"/>
      <c r="CW297" s="124"/>
      <c r="CX297" s="124"/>
      <c r="CY297" s="124"/>
      <c r="CZ297" s="124"/>
      <c r="DA297" s="124"/>
      <c r="DB297" s="124"/>
      <c r="DC297" s="124"/>
      <c r="DD297" s="124"/>
      <c r="DE297" s="124"/>
      <c r="DF297" s="124"/>
      <c r="DG297" s="115"/>
    </row>
    <row r="298" spans="2:111" customFormat="1" ht="9" customHeight="1">
      <c r="B298" s="143"/>
      <c r="C298" s="143"/>
      <c r="D298" s="143"/>
      <c r="E298" s="143"/>
      <c r="F298" s="143"/>
      <c r="G298" s="143"/>
      <c r="H298" s="143"/>
      <c r="I298" s="143"/>
      <c r="J298" s="143"/>
      <c r="K298" s="143"/>
      <c r="L298" s="143"/>
      <c r="M298" s="143"/>
      <c r="N298" s="143"/>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c r="AN298" s="421"/>
      <c r="AO298" s="421"/>
      <c r="AP298" s="421"/>
      <c r="AQ298" s="421"/>
      <c r="AR298" s="421"/>
      <c r="AS298" s="421"/>
      <c r="AT298" s="421"/>
      <c r="AU298" s="421"/>
      <c r="AV298" s="421"/>
      <c r="AW298" s="421"/>
      <c r="AX298" s="421"/>
      <c r="AY298" s="421"/>
      <c r="AZ298" s="421"/>
      <c r="BA298" s="421"/>
      <c r="BC298" s="115"/>
      <c r="BD298" s="115"/>
      <c r="BE298" s="115"/>
      <c r="BF298" s="115"/>
      <c r="BG298" s="115"/>
      <c r="BH298" s="124"/>
      <c r="BI298" s="124"/>
      <c r="BJ298" s="124"/>
      <c r="BK298" s="124"/>
      <c r="BL298" s="124"/>
      <c r="BM298" s="124"/>
      <c r="BN298" s="124"/>
      <c r="BO298" s="124"/>
      <c r="BP298" s="124"/>
      <c r="BQ298" s="124"/>
      <c r="BR298" s="124"/>
      <c r="BS298" s="124"/>
      <c r="BT298" s="124"/>
      <c r="BU298" s="124"/>
      <c r="BV298" s="124"/>
      <c r="BW298" s="124"/>
      <c r="BX298" s="124"/>
      <c r="BY298" s="124"/>
      <c r="BZ298" s="124"/>
      <c r="CA298" s="124"/>
      <c r="CB298" s="124"/>
      <c r="CC298" s="124"/>
      <c r="CD298" s="124"/>
      <c r="CE298" s="124"/>
      <c r="CF298" s="124"/>
      <c r="CG298" s="124"/>
      <c r="CH298" s="124"/>
      <c r="CI298" s="124"/>
      <c r="CJ298" s="124"/>
      <c r="CK298" s="124"/>
      <c r="CL298" s="124"/>
      <c r="CM298" s="124"/>
      <c r="CN298" s="124"/>
      <c r="CO298" s="124"/>
      <c r="CP298" s="124"/>
      <c r="CQ298" s="124"/>
      <c r="CR298" s="124"/>
      <c r="CS298" s="124"/>
      <c r="CT298" s="124"/>
      <c r="CU298" s="124"/>
      <c r="CV298" s="124"/>
      <c r="CW298" s="124"/>
      <c r="CX298" s="124"/>
      <c r="CY298" s="124"/>
      <c r="CZ298" s="124"/>
      <c r="DA298" s="124"/>
      <c r="DB298" s="124"/>
      <c r="DC298" s="124"/>
      <c r="DD298" s="124"/>
      <c r="DE298" s="124"/>
      <c r="DF298" s="124"/>
      <c r="DG298" s="115"/>
    </row>
    <row r="299" spans="2:111" customFormat="1" ht="9" customHeight="1">
      <c r="B299" s="143"/>
      <c r="C299" s="143"/>
      <c r="D299" s="143"/>
      <c r="E299" s="143"/>
      <c r="F299" s="143"/>
      <c r="G299" s="143"/>
      <c r="H299" s="143"/>
      <c r="I299" s="143"/>
      <c r="J299" s="143"/>
      <c r="K299" s="143"/>
      <c r="L299" s="143"/>
      <c r="M299" s="143"/>
      <c r="N299" s="143"/>
      <c r="O299" s="421"/>
      <c r="P299" s="421"/>
      <c r="Q299" s="421"/>
      <c r="R299" s="421"/>
      <c r="S299" s="421"/>
      <c r="T299" s="421"/>
      <c r="U299" s="421"/>
      <c r="V299" s="421"/>
      <c r="W299" s="421"/>
      <c r="X299" s="421"/>
      <c r="Y299" s="421"/>
      <c r="Z299" s="421"/>
      <c r="AA299" s="421"/>
      <c r="AB299" s="421"/>
      <c r="AC299" s="421"/>
      <c r="AD299" s="421"/>
      <c r="AE299" s="421"/>
      <c r="AF299" s="421"/>
      <c r="AG299" s="421"/>
      <c r="AH299" s="421"/>
      <c r="AI299" s="421"/>
      <c r="AJ299" s="421"/>
      <c r="AK299" s="421"/>
      <c r="AL299" s="421"/>
      <c r="AM299" s="421"/>
      <c r="AN299" s="421"/>
      <c r="AO299" s="421"/>
      <c r="AP299" s="421"/>
      <c r="AQ299" s="421"/>
      <c r="AR299" s="421"/>
      <c r="AS299" s="421"/>
      <c r="AT299" s="421"/>
      <c r="AU299" s="421"/>
      <c r="AV299" s="421"/>
      <c r="AW299" s="421"/>
      <c r="AX299" s="421"/>
      <c r="AY299" s="421"/>
      <c r="AZ299" s="421"/>
      <c r="BA299" s="421"/>
      <c r="BC299" s="115"/>
      <c r="BD299" s="115"/>
      <c r="BE299" s="115"/>
      <c r="BF299" s="115"/>
      <c r="BG299" s="115"/>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115"/>
    </row>
    <row r="300" spans="2:111" customFormat="1" ht="9" customHeight="1">
      <c r="B300" s="143"/>
      <c r="C300" s="143"/>
      <c r="D300" s="143"/>
      <c r="E300" s="143"/>
      <c r="F300" s="143"/>
      <c r="G300" s="143"/>
      <c r="H300" s="143"/>
      <c r="I300" s="143"/>
      <c r="J300" s="143"/>
      <c r="K300" s="143"/>
      <c r="L300" s="143"/>
      <c r="M300" s="143"/>
      <c r="N300" s="143"/>
      <c r="O300" s="421"/>
      <c r="P300" s="421"/>
      <c r="Q300" s="421"/>
      <c r="R300" s="421"/>
      <c r="S300" s="421"/>
      <c r="T300" s="421"/>
      <c r="U300" s="421"/>
      <c r="V300" s="421"/>
      <c r="W300" s="421"/>
      <c r="X300" s="421"/>
      <c r="Y300" s="421"/>
      <c r="Z300" s="421"/>
      <c r="AA300" s="421"/>
      <c r="AB300" s="421"/>
      <c r="AC300" s="421"/>
      <c r="AD300" s="421"/>
      <c r="AE300" s="421"/>
      <c r="AF300" s="421"/>
      <c r="AG300" s="421"/>
      <c r="AH300" s="421"/>
      <c r="AI300" s="421"/>
      <c r="AJ300" s="421"/>
      <c r="AK300" s="421"/>
      <c r="AL300" s="421"/>
      <c r="AM300" s="421"/>
      <c r="AN300" s="421"/>
      <c r="AO300" s="421"/>
      <c r="AP300" s="421"/>
      <c r="AQ300" s="421"/>
      <c r="AR300" s="421"/>
      <c r="AS300" s="421"/>
      <c r="AT300" s="421"/>
      <c r="AU300" s="421"/>
      <c r="AV300" s="421"/>
      <c r="AW300" s="421"/>
      <c r="AX300" s="421"/>
      <c r="AY300" s="421"/>
      <c r="AZ300" s="421"/>
      <c r="BA300" s="421"/>
      <c r="BC300" s="115"/>
      <c r="BD300" s="115"/>
      <c r="BE300" s="115"/>
      <c r="BF300" s="115"/>
      <c r="BG300" s="115"/>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115"/>
    </row>
    <row r="301" spans="2:111" customFormat="1" ht="9" customHeight="1">
      <c r="B301" s="49"/>
      <c r="C301" s="49"/>
      <c r="D301" s="49"/>
      <c r="E301" s="49"/>
      <c r="F301" s="49"/>
      <c r="G301" s="49"/>
      <c r="H301" s="49"/>
      <c r="I301" s="49"/>
      <c r="J301" s="49"/>
      <c r="K301" s="49"/>
      <c r="L301" s="49"/>
      <c r="M301" s="49"/>
      <c r="N301" s="49"/>
      <c r="O301" s="421"/>
      <c r="P301" s="421"/>
      <c r="Q301" s="421"/>
      <c r="R301" s="421"/>
      <c r="S301" s="421"/>
      <c r="T301" s="421"/>
      <c r="U301" s="421"/>
      <c r="V301" s="421"/>
      <c r="W301" s="421"/>
      <c r="X301" s="421"/>
      <c r="Y301" s="421"/>
      <c r="Z301" s="421"/>
      <c r="AA301" s="421"/>
      <c r="AB301" s="421"/>
      <c r="AC301" s="421"/>
      <c r="AD301" s="421"/>
      <c r="AE301" s="421"/>
      <c r="AF301" s="421"/>
      <c r="AG301" s="421"/>
      <c r="AH301" s="421"/>
      <c r="AI301" s="421"/>
      <c r="AJ301" s="421"/>
      <c r="AK301" s="421"/>
      <c r="AL301" s="421"/>
      <c r="AM301" s="421"/>
      <c r="AN301" s="421"/>
      <c r="AO301" s="421"/>
      <c r="AP301" s="421"/>
      <c r="AQ301" s="421"/>
      <c r="AR301" s="421"/>
      <c r="AS301" s="421"/>
      <c r="AT301" s="421"/>
      <c r="AU301" s="421"/>
      <c r="AV301" s="421"/>
      <c r="AW301" s="421"/>
      <c r="AX301" s="421"/>
      <c r="AY301" s="421"/>
      <c r="AZ301" s="421"/>
      <c r="BA301" s="421"/>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row>
    <row r="302" spans="2:111" customFormat="1" ht="4.5" customHeight="1">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row>
    <row r="303" spans="2:111" customFormat="1" ht="9" customHeight="1">
      <c r="B303" s="493" t="str">
        <f>IF(B276="","","Metas Vinculadas:")</f>
        <v>Metas Vinculadas:</v>
      </c>
      <c r="C303" s="493"/>
      <c r="D303" s="493"/>
      <c r="E303" s="493"/>
      <c r="F303" s="493"/>
      <c r="G303" s="493"/>
      <c r="H303" s="493"/>
      <c r="I303" s="493"/>
      <c r="J303" s="493"/>
      <c r="K303" s="493"/>
      <c r="L303" s="493"/>
      <c r="M303" s="493"/>
      <c r="N303" s="493"/>
      <c r="O303" s="421">
        <v>4</v>
      </c>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21"/>
      <c r="AN303" s="421"/>
      <c r="AO303" s="421"/>
      <c r="AP303" s="421"/>
      <c r="AQ303" s="421"/>
      <c r="AR303" s="421"/>
      <c r="AS303" s="421"/>
      <c r="AT303" s="421"/>
      <c r="AU303" s="421"/>
      <c r="AV303" s="421"/>
      <c r="AW303" s="421"/>
      <c r="AX303" s="421"/>
      <c r="AY303" s="421"/>
      <c r="AZ303" s="421"/>
      <c r="BA303" s="421"/>
      <c r="BC303" s="115"/>
      <c r="BD303" s="115"/>
      <c r="BE303" s="115"/>
      <c r="BF303" s="115"/>
      <c r="BG303" s="115"/>
      <c r="BH303" s="124"/>
      <c r="BI303" s="124"/>
      <c r="BJ303" s="124"/>
      <c r="BK303" s="124"/>
      <c r="BL303" s="124"/>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4"/>
      <c r="CY303" s="124"/>
      <c r="CZ303" s="124"/>
      <c r="DA303" s="124"/>
      <c r="DB303" s="124"/>
      <c r="DC303" s="124"/>
      <c r="DD303" s="124"/>
      <c r="DE303" s="124"/>
      <c r="DF303" s="124"/>
      <c r="DG303" s="115"/>
    </row>
    <row r="304" spans="2:111" customFormat="1" ht="9" customHeight="1">
      <c r="B304" s="493"/>
      <c r="C304" s="493"/>
      <c r="D304" s="493"/>
      <c r="E304" s="493"/>
      <c r="F304" s="493"/>
      <c r="G304" s="493"/>
      <c r="H304" s="493"/>
      <c r="I304" s="493"/>
      <c r="J304" s="493"/>
      <c r="K304" s="493"/>
      <c r="L304" s="493"/>
      <c r="M304" s="493"/>
      <c r="N304" s="493"/>
      <c r="O304" s="421"/>
      <c r="P304" s="421"/>
      <c r="Q304" s="421"/>
      <c r="R304" s="421"/>
      <c r="S304" s="421"/>
      <c r="T304" s="421"/>
      <c r="U304" s="421"/>
      <c r="V304" s="421"/>
      <c r="W304" s="421"/>
      <c r="X304" s="421"/>
      <c r="Y304" s="421"/>
      <c r="Z304" s="421"/>
      <c r="AA304" s="421"/>
      <c r="AB304" s="421"/>
      <c r="AC304" s="421"/>
      <c r="AD304" s="421"/>
      <c r="AE304" s="421"/>
      <c r="AF304" s="421"/>
      <c r="AG304" s="421"/>
      <c r="AH304" s="421"/>
      <c r="AI304" s="421"/>
      <c r="AJ304" s="421"/>
      <c r="AK304" s="421"/>
      <c r="AL304" s="421"/>
      <c r="AM304" s="421"/>
      <c r="AN304" s="421"/>
      <c r="AO304" s="421"/>
      <c r="AP304" s="421"/>
      <c r="AQ304" s="421"/>
      <c r="AR304" s="421"/>
      <c r="AS304" s="421"/>
      <c r="AT304" s="421"/>
      <c r="AU304" s="421"/>
      <c r="AV304" s="421"/>
      <c r="AW304" s="421"/>
      <c r="AX304" s="421"/>
      <c r="AY304" s="421"/>
      <c r="AZ304" s="421"/>
      <c r="BA304" s="421"/>
      <c r="BC304" s="115"/>
      <c r="BD304" s="115"/>
      <c r="BE304" s="115"/>
      <c r="BF304" s="115"/>
      <c r="BG304" s="115"/>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115"/>
    </row>
    <row r="305" spans="2:111" customFormat="1" ht="4.5" customHeight="1">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49"/>
      <c r="AY305" s="49"/>
      <c r="AZ305" s="49"/>
      <c r="BA305" s="49"/>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row>
    <row r="306" spans="2:111" customFormat="1" ht="9" customHeight="1">
      <c r="B306" s="125"/>
      <c r="C306" s="125"/>
      <c r="D306" s="125"/>
      <c r="E306" s="125"/>
      <c r="F306" s="125"/>
      <c r="G306" s="125"/>
      <c r="H306" s="125"/>
      <c r="I306" s="125"/>
      <c r="J306" s="125"/>
      <c r="K306" s="125"/>
      <c r="L306" s="125"/>
      <c r="M306" s="125"/>
      <c r="N306" s="125"/>
      <c r="O306" s="496" t="str">
        <f>IF(B276="","","Quantidade:")</f>
        <v>Quantidade:</v>
      </c>
      <c r="P306" s="496"/>
      <c r="Q306" s="496"/>
      <c r="R306" s="496"/>
      <c r="S306" s="496"/>
      <c r="T306" s="496"/>
      <c r="U306" s="496"/>
      <c r="V306" s="417">
        <v>1</v>
      </c>
      <c r="W306" s="417"/>
      <c r="X306" s="417"/>
      <c r="Y306" s="417"/>
      <c r="Z306" s="417"/>
      <c r="AA306" s="417"/>
      <c r="AB306" s="417"/>
      <c r="AC306" s="417"/>
      <c r="AD306" s="417"/>
      <c r="AE306" s="417"/>
      <c r="AF306" s="125"/>
      <c r="AG306" s="497" t="str">
        <f>IF(B276="","","Unidade:")</f>
        <v>Unidade:</v>
      </c>
      <c r="AH306" s="497"/>
      <c r="AI306" s="497"/>
      <c r="AJ306" s="497"/>
      <c r="AK306" s="497"/>
      <c r="AL306" s="497"/>
      <c r="AM306" s="497"/>
      <c r="AN306" s="125"/>
      <c r="AO306" s="417" t="s">
        <v>644</v>
      </c>
      <c r="AP306" s="417"/>
      <c r="AQ306" s="417"/>
      <c r="AR306" s="417"/>
      <c r="AS306" s="417"/>
      <c r="AT306" s="417"/>
      <c r="AU306" s="417"/>
      <c r="AV306" s="417"/>
      <c r="AW306" s="417"/>
      <c r="AX306" s="417"/>
      <c r="AY306" s="417"/>
      <c r="AZ306" s="417"/>
      <c r="BA306" s="417"/>
      <c r="BC306" s="115"/>
      <c r="BD306" s="115"/>
      <c r="BE306" s="115"/>
      <c r="BF306" s="115"/>
      <c r="BG306" s="115"/>
      <c r="BH306" s="124"/>
      <c r="BI306" s="124"/>
      <c r="BJ306" s="124"/>
      <c r="BK306" s="124"/>
      <c r="BL306" s="124"/>
      <c r="BM306" s="124"/>
      <c r="BN306" s="124"/>
      <c r="BO306" s="124"/>
      <c r="BP306" s="124"/>
      <c r="BQ306" s="124"/>
      <c r="BR306" s="124"/>
      <c r="BS306" s="124"/>
      <c r="BT306" s="124"/>
      <c r="BU306" s="124"/>
      <c r="BV306" s="124"/>
      <c r="BW306" s="124"/>
      <c r="BX306" s="124"/>
      <c r="BY306" s="124"/>
      <c r="BZ306" s="124"/>
      <c r="CA306" s="124"/>
      <c r="CB306" s="124"/>
      <c r="CC306" s="124"/>
      <c r="CD306" s="124"/>
      <c r="CE306" s="124"/>
      <c r="CF306" s="124"/>
      <c r="CG306" s="124"/>
      <c r="CH306" s="124"/>
      <c r="CI306" s="124"/>
      <c r="CJ306" s="124"/>
      <c r="CK306" s="124"/>
      <c r="CL306" s="124"/>
      <c r="CM306" s="124"/>
      <c r="CN306" s="124"/>
      <c r="CO306" s="124"/>
      <c r="CP306" s="124"/>
      <c r="CQ306" s="124"/>
      <c r="CR306" s="124"/>
      <c r="CS306" s="124"/>
      <c r="CT306" s="124"/>
      <c r="CU306" s="124"/>
      <c r="CV306" s="124"/>
      <c r="CW306" s="124"/>
      <c r="CX306" s="124"/>
      <c r="CY306" s="124"/>
      <c r="CZ306" s="124"/>
      <c r="DA306" s="124"/>
      <c r="DB306" s="124"/>
      <c r="DC306" s="124"/>
      <c r="DD306" s="124"/>
      <c r="DE306" s="124"/>
      <c r="DF306" s="124"/>
      <c r="DG306" s="115"/>
    </row>
    <row r="307" spans="2:111" customFormat="1" ht="9" customHeight="1">
      <c r="B307" s="125"/>
      <c r="C307" s="125"/>
      <c r="D307" s="125"/>
      <c r="E307" s="125"/>
      <c r="F307" s="125"/>
      <c r="G307" s="125"/>
      <c r="H307" s="125"/>
      <c r="I307" s="125"/>
      <c r="J307" s="125"/>
      <c r="K307" s="125"/>
      <c r="L307" s="125"/>
      <c r="M307" s="125"/>
      <c r="N307" s="125"/>
      <c r="O307" s="496"/>
      <c r="P307" s="496"/>
      <c r="Q307" s="496"/>
      <c r="R307" s="496"/>
      <c r="S307" s="496"/>
      <c r="T307" s="496"/>
      <c r="U307" s="496"/>
      <c r="V307" s="417"/>
      <c r="W307" s="417"/>
      <c r="X307" s="417"/>
      <c r="Y307" s="417"/>
      <c r="Z307" s="417"/>
      <c r="AA307" s="417"/>
      <c r="AB307" s="417"/>
      <c r="AC307" s="417"/>
      <c r="AD307" s="417"/>
      <c r="AE307" s="417"/>
      <c r="AF307" s="125"/>
      <c r="AG307" s="497"/>
      <c r="AH307" s="497"/>
      <c r="AI307" s="497"/>
      <c r="AJ307" s="497"/>
      <c r="AK307" s="497"/>
      <c r="AL307" s="497"/>
      <c r="AM307" s="497"/>
      <c r="AN307" s="125"/>
      <c r="AO307" s="417"/>
      <c r="AP307" s="417"/>
      <c r="AQ307" s="417"/>
      <c r="AR307" s="417"/>
      <c r="AS307" s="417"/>
      <c r="AT307" s="417"/>
      <c r="AU307" s="417"/>
      <c r="AV307" s="417"/>
      <c r="AW307" s="417"/>
      <c r="AX307" s="417"/>
      <c r="AY307" s="417"/>
      <c r="AZ307" s="417"/>
      <c r="BA307" s="417"/>
      <c r="BC307" s="115"/>
      <c r="BD307" s="115"/>
      <c r="BE307" s="115"/>
      <c r="BF307" s="115"/>
      <c r="BG307" s="115"/>
      <c r="BH307" s="124"/>
      <c r="BI307" s="124"/>
      <c r="BJ307" s="124"/>
      <c r="BK307" s="124"/>
      <c r="BL307" s="124"/>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4"/>
      <c r="CY307" s="124"/>
      <c r="CZ307" s="124"/>
      <c r="DA307" s="124"/>
      <c r="DB307" s="124"/>
      <c r="DC307" s="124"/>
      <c r="DD307" s="124"/>
      <c r="DE307" s="124"/>
      <c r="DF307" s="124"/>
      <c r="DG307" s="115"/>
    </row>
    <row r="308" spans="2:111" customFormat="1" ht="9" customHeight="1">
      <c r="BC308" s="115"/>
      <c r="BD308" s="115"/>
      <c r="BE308" s="115"/>
      <c r="BF308" s="115"/>
      <c r="BG308" s="115"/>
      <c r="BH308" s="498"/>
      <c r="BI308" s="498"/>
      <c r="BJ308" s="498"/>
      <c r="BK308" s="498"/>
      <c r="BL308" s="498"/>
      <c r="BM308" s="498"/>
      <c r="BN308" s="498"/>
      <c r="BO308" s="498"/>
      <c r="BP308" s="498"/>
      <c r="BQ308" s="498"/>
      <c r="BR308" s="498"/>
      <c r="BS308" s="498"/>
      <c r="BT308" s="498"/>
      <c r="BU308" s="498"/>
      <c r="BV308" s="498"/>
      <c r="BW308" s="498"/>
      <c r="BX308" s="498"/>
      <c r="BY308" s="498"/>
      <c r="BZ308" s="498"/>
      <c r="CA308" s="498"/>
      <c r="CB308" s="498"/>
      <c r="CC308" s="498"/>
      <c r="CD308" s="498"/>
      <c r="CE308" s="498"/>
      <c r="CF308" s="498"/>
      <c r="CG308" s="498"/>
      <c r="CH308" s="498"/>
      <c r="CI308" s="498"/>
      <c r="CJ308" s="498"/>
      <c r="CK308" s="498"/>
      <c r="CL308" s="498"/>
      <c r="CM308" s="498"/>
      <c r="CN308" s="498"/>
      <c r="CO308" s="498"/>
      <c r="CP308" s="498"/>
      <c r="CQ308" s="498"/>
      <c r="CR308" s="498"/>
      <c r="CS308" s="498"/>
      <c r="CT308" s="498"/>
      <c r="CU308" s="498"/>
      <c r="CV308" s="498"/>
      <c r="CW308" s="498"/>
      <c r="CX308" s="498"/>
      <c r="CY308" s="498"/>
      <c r="CZ308" s="498"/>
      <c r="DA308" s="498"/>
      <c r="DB308" s="498"/>
      <c r="DC308" s="498"/>
      <c r="DD308" s="498"/>
      <c r="DE308" s="498"/>
      <c r="DF308" s="498"/>
      <c r="DG308" s="115"/>
    </row>
    <row r="309" spans="2:111" customFormat="1" ht="9" customHeight="1">
      <c r="B309" s="499" t="str">
        <f>IF($Z$32&gt;=7,"Nome da Empresa ou Nº da Ata","")</f>
        <v>Nome da Empresa ou Nº da Ata</v>
      </c>
      <c r="C309" s="499"/>
      <c r="D309" s="499"/>
      <c r="E309" s="499"/>
      <c r="F309" s="499"/>
      <c r="G309" s="499"/>
      <c r="H309" s="499"/>
      <c r="I309" s="499"/>
      <c r="J309" s="499"/>
      <c r="K309" s="499"/>
      <c r="L309" s="499"/>
      <c r="M309" s="499"/>
      <c r="N309" s="499"/>
      <c r="O309" s="499"/>
      <c r="P309" s="499"/>
      <c r="Q309" s="499"/>
      <c r="R309" s="499"/>
      <c r="S309" s="499"/>
      <c r="T309" s="499"/>
      <c r="U309" s="499"/>
      <c r="V309" s="499"/>
      <c r="W309" s="499"/>
      <c r="X309" s="499" t="str">
        <f>IF($Z$32&gt;=7,"CNPJ / CPF","")</f>
        <v>CNPJ / CPF</v>
      </c>
      <c r="Y309" s="499"/>
      <c r="Z309" s="499"/>
      <c r="AA309" s="499"/>
      <c r="AB309" s="499"/>
      <c r="AC309" s="499"/>
      <c r="AD309" s="499"/>
      <c r="AE309" s="499"/>
      <c r="AF309" s="499"/>
      <c r="AG309" s="499"/>
      <c r="AH309" s="499" t="str">
        <f>IF($Z$32&gt;=7,"Qtde","")</f>
        <v>Qtde</v>
      </c>
      <c r="AI309" s="499"/>
      <c r="AJ309" s="499"/>
      <c r="AK309" s="499"/>
      <c r="AL309" s="499" t="str">
        <f>IF($Z$32&gt;=7,"Valor Unitário (R$)","")</f>
        <v>Valor Unitário (R$)</v>
      </c>
      <c r="AM309" s="499"/>
      <c r="AN309" s="499"/>
      <c r="AO309" s="499"/>
      <c r="AP309" s="499"/>
      <c r="AQ309" s="499"/>
      <c r="AR309" s="499"/>
      <c r="AS309" s="499"/>
      <c r="AT309" s="499" t="str">
        <f>IF($Z$32&gt;=7,"Valor Total (R$)","")</f>
        <v>Valor Total (R$)</v>
      </c>
      <c r="AU309" s="499"/>
      <c r="AV309" s="499"/>
      <c r="AW309" s="499"/>
      <c r="AX309" s="499"/>
      <c r="AY309" s="499"/>
      <c r="AZ309" s="499"/>
      <c r="BA309" s="499"/>
      <c r="BC309" s="115"/>
      <c r="BD309" s="115"/>
      <c r="BE309" s="115"/>
      <c r="BF309" s="115"/>
      <c r="BG309" s="115"/>
      <c r="BH309" s="498"/>
      <c r="BI309" s="498"/>
      <c r="BJ309" s="498"/>
      <c r="BK309" s="498"/>
      <c r="BL309" s="498"/>
      <c r="BM309" s="498"/>
      <c r="BN309" s="498"/>
      <c r="BO309" s="498"/>
      <c r="BP309" s="498"/>
      <c r="BQ309" s="498"/>
      <c r="BR309" s="498"/>
      <c r="BS309" s="498"/>
      <c r="BT309" s="498"/>
      <c r="BU309" s="498"/>
      <c r="BV309" s="498"/>
      <c r="BW309" s="498"/>
      <c r="BX309" s="498"/>
      <c r="BY309" s="498"/>
      <c r="BZ309" s="498"/>
      <c r="CA309" s="498"/>
      <c r="CB309" s="498"/>
      <c r="CC309" s="498"/>
      <c r="CD309" s="498"/>
      <c r="CE309" s="498"/>
      <c r="CF309" s="498"/>
      <c r="CG309" s="498"/>
      <c r="CH309" s="498"/>
      <c r="CI309" s="498"/>
      <c r="CJ309" s="498"/>
      <c r="CK309" s="498"/>
      <c r="CL309" s="498"/>
      <c r="CM309" s="498"/>
      <c r="CN309" s="498"/>
      <c r="CO309" s="498"/>
      <c r="CP309" s="498"/>
      <c r="CQ309" s="498"/>
      <c r="CR309" s="498"/>
      <c r="CS309" s="498"/>
      <c r="CT309" s="498"/>
      <c r="CU309" s="498"/>
      <c r="CV309" s="498"/>
      <c r="CW309" s="498"/>
      <c r="CX309" s="498"/>
      <c r="CY309" s="498"/>
      <c r="CZ309" s="498"/>
      <c r="DA309" s="498"/>
      <c r="DB309" s="498"/>
      <c r="DC309" s="498"/>
      <c r="DD309" s="498"/>
      <c r="DE309" s="498"/>
      <c r="DF309" s="498"/>
      <c r="DG309" s="115"/>
    </row>
    <row r="310" spans="2:111" customFormat="1" ht="9" customHeight="1">
      <c r="B310" s="499"/>
      <c r="C310" s="499"/>
      <c r="D310" s="499"/>
      <c r="E310" s="499"/>
      <c r="F310" s="499"/>
      <c r="G310" s="499"/>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499"/>
      <c r="AY310" s="499"/>
      <c r="AZ310" s="499"/>
      <c r="BA310" s="499"/>
      <c r="BB310" s="176">
        <f>AVERAGE(AL311:AS313)</f>
        <v>1969.89</v>
      </c>
      <c r="BC310" s="115"/>
      <c r="BD310" s="115"/>
      <c r="BE310" s="115"/>
      <c r="BF310" s="115"/>
      <c r="BG310" s="115"/>
      <c r="BH310" s="498"/>
      <c r="BI310" s="498"/>
      <c r="BJ310" s="498"/>
      <c r="BK310" s="498"/>
      <c r="BL310" s="498"/>
      <c r="BM310" s="498"/>
      <c r="BN310" s="498"/>
      <c r="BO310" s="498"/>
      <c r="BP310" s="498"/>
      <c r="BQ310" s="498"/>
      <c r="BR310" s="498"/>
      <c r="BS310" s="498"/>
      <c r="BT310" s="498"/>
      <c r="BU310" s="498"/>
      <c r="BV310" s="498"/>
      <c r="BW310" s="498"/>
      <c r="BX310" s="498"/>
      <c r="BY310" s="498"/>
      <c r="BZ310" s="498"/>
      <c r="CA310" s="498"/>
      <c r="CB310" s="498"/>
      <c r="CC310" s="498"/>
      <c r="CD310" s="498"/>
      <c r="CE310" s="498"/>
      <c r="CF310" s="498"/>
      <c r="CG310" s="498"/>
      <c r="CH310" s="498"/>
      <c r="CI310" s="498"/>
      <c r="CJ310" s="498"/>
      <c r="CK310" s="498"/>
      <c r="CL310" s="498"/>
      <c r="CM310" s="498"/>
      <c r="CN310" s="498"/>
      <c r="CO310" s="498"/>
      <c r="CP310" s="498"/>
      <c r="CQ310" s="498"/>
      <c r="CR310" s="498"/>
      <c r="CS310" s="498"/>
      <c r="CT310" s="498"/>
      <c r="CU310" s="498"/>
      <c r="CV310" s="498"/>
      <c r="CW310" s="498"/>
      <c r="CX310" s="498"/>
      <c r="CY310" s="498"/>
      <c r="CZ310" s="498"/>
      <c r="DA310" s="498"/>
      <c r="DB310" s="498"/>
      <c r="DC310" s="498"/>
      <c r="DD310" s="498"/>
      <c r="DE310" s="498"/>
      <c r="DF310" s="498"/>
      <c r="DG310" s="115"/>
    </row>
    <row r="311" spans="2:111" customFormat="1" ht="18" customHeight="1">
      <c r="B311" s="233" t="s">
        <v>645</v>
      </c>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486" t="s">
        <v>648</v>
      </c>
      <c r="Y311" s="486"/>
      <c r="Z311" s="486"/>
      <c r="AA311" s="486"/>
      <c r="AB311" s="486"/>
      <c r="AC311" s="486"/>
      <c r="AD311" s="486"/>
      <c r="AE311" s="486"/>
      <c r="AF311" s="486"/>
      <c r="AG311" s="486"/>
      <c r="AH311" s="417">
        <v>1</v>
      </c>
      <c r="AI311" s="417"/>
      <c r="AJ311" s="417"/>
      <c r="AK311" s="417"/>
      <c r="AL311" s="419">
        <v>1890.9</v>
      </c>
      <c r="AM311" s="419"/>
      <c r="AN311" s="419"/>
      <c r="AO311" s="419"/>
      <c r="AP311" s="419"/>
      <c r="AQ311" s="419"/>
      <c r="AR311" s="419"/>
      <c r="AS311" s="419"/>
      <c r="AT311" s="487">
        <f>IF($Z$32&gt;=7,(AH311*AL311),"")</f>
        <v>1890.9</v>
      </c>
      <c r="AU311" s="487"/>
      <c r="AV311" s="487"/>
      <c r="AW311" s="487"/>
      <c r="AX311" s="487"/>
      <c r="AY311" s="487"/>
      <c r="AZ311" s="487"/>
      <c r="BA311" s="487"/>
      <c r="BC311" s="115"/>
      <c r="BD311" s="115"/>
      <c r="BE311" s="115"/>
      <c r="BF311" s="115"/>
      <c r="BG311" s="115"/>
      <c r="BH311" s="498"/>
      <c r="BI311" s="498"/>
      <c r="BJ311" s="498"/>
      <c r="BK311" s="498"/>
      <c r="BL311" s="498"/>
      <c r="BM311" s="498"/>
      <c r="BN311" s="498"/>
      <c r="BO311" s="498"/>
      <c r="BP311" s="498"/>
      <c r="BQ311" s="498"/>
      <c r="BR311" s="498"/>
      <c r="BS311" s="498"/>
      <c r="BT311" s="498"/>
      <c r="BU311" s="498"/>
      <c r="BV311" s="498"/>
      <c r="BW311" s="498"/>
      <c r="BX311" s="498"/>
      <c r="BY311" s="498"/>
      <c r="BZ311" s="498"/>
      <c r="CA311" s="498"/>
      <c r="CB311" s="498"/>
      <c r="CC311" s="498"/>
      <c r="CD311" s="498"/>
      <c r="CE311" s="498"/>
      <c r="CF311" s="498"/>
      <c r="CG311" s="498"/>
      <c r="CH311" s="498"/>
      <c r="CI311" s="498"/>
      <c r="CJ311" s="498"/>
      <c r="CK311" s="498"/>
      <c r="CL311" s="498"/>
      <c r="CM311" s="498"/>
      <c r="CN311" s="498"/>
      <c r="CO311" s="498"/>
      <c r="CP311" s="498"/>
      <c r="CQ311" s="498"/>
      <c r="CR311" s="498"/>
      <c r="CS311" s="498"/>
      <c r="CT311" s="498"/>
      <c r="CU311" s="498"/>
      <c r="CV311" s="498"/>
      <c r="CW311" s="498"/>
      <c r="CX311" s="498"/>
      <c r="CY311" s="498"/>
      <c r="CZ311" s="498"/>
      <c r="DA311" s="498"/>
      <c r="DB311" s="498"/>
      <c r="DC311" s="498"/>
      <c r="DD311" s="498"/>
      <c r="DE311" s="498"/>
      <c r="DF311" s="498"/>
      <c r="DG311" s="115"/>
    </row>
    <row r="312" spans="2:111" customFormat="1" ht="18" customHeight="1">
      <c r="B312" s="233" t="s">
        <v>646</v>
      </c>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486" t="s">
        <v>649</v>
      </c>
      <c r="Y312" s="486"/>
      <c r="Z312" s="486"/>
      <c r="AA312" s="486"/>
      <c r="AB312" s="486"/>
      <c r="AC312" s="486"/>
      <c r="AD312" s="486"/>
      <c r="AE312" s="486"/>
      <c r="AF312" s="486"/>
      <c r="AG312" s="486"/>
      <c r="AH312" s="417">
        <v>1</v>
      </c>
      <c r="AI312" s="417"/>
      <c r="AJ312" s="417"/>
      <c r="AK312" s="417"/>
      <c r="AL312" s="419">
        <v>1518.77</v>
      </c>
      <c r="AM312" s="419"/>
      <c r="AN312" s="419"/>
      <c r="AO312" s="419"/>
      <c r="AP312" s="419"/>
      <c r="AQ312" s="419"/>
      <c r="AR312" s="419"/>
      <c r="AS312" s="419"/>
      <c r="AT312" s="487">
        <f>IF($Z$32&gt;=7,(AH312*AL312),"")</f>
        <v>1518.77</v>
      </c>
      <c r="AU312" s="487"/>
      <c r="AV312" s="487"/>
      <c r="AW312" s="487"/>
      <c r="AX312" s="487"/>
      <c r="AY312" s="487"/>
      <c r="AZ312" s="487"/>
      <c r="BA312" s="487"/>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row>
    <row r="313" spans="2:111" customFormat="1" ht="18" customHeight="1">
      <c r="B313" s="233" t="s">
        <v>647</v>
      </c>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486" t="s">
        <v>650</v>
      </c>
      <c r="Y313" s="486"/>
      <c r="Z313" s="486"/>
      <c r="AA313" s="486"/>
      <c r="AB313" s="486"/>
      <c r="AC313" s="486"/>
      <c r="AD313" s="486"/>
      <c r="AE313" s="486"/>
      <c r="AF313" s="486"/>
      <c r="AG313" s="486"/>
      <c r="AH313" s="417">
        <v>1</v>
      </c>
      <c r="AI313" s="417"/>
      <c r="AJ313" s="417"/>
      <c r="AK313" s="417"/>
      <c r="AL313" s="419">
        <v>2500</v>
      </c>
      <c r="AM313" s="419"/>
      <c r="AN313" s="419"/>
      <c r="AO313" s="419"/>
      <c r="AP313" s="419"/>
      <c r="AQ313" s="419"/>
      <c r="AR313" s="419"/>
      <c r="AS313" s="419"/>
      <c r="AT313" s="487">
        <f>IF($Z$32&gt;=7,(AH313*AL313),"")</f>
        <v>2500</v>
      </c>
      <c r="AU313" s="487"/>
      <c r="AV313" s="487"/>
      <c r="AW313" s="487"/>
      <c r="AX313" s="487"/>
      <c r="AY313" s="487"/>
      <c r="AZ313" s="487"/>
      <c r="BA313" s="487"/>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row>
    <row r="314" spans="2:111" customFormat="1" ht="15" customHeight="1">
      <c r="AT314" s="500">
        <f>IF(B311="","",IF(AL312="",AT311,IF(AL313="",AVERAGE(AT311:BA312),AVERAGE(AT311:AT313))))</f>
        <v>1969.89</v>
      </c>
      <c r="AU314" s="500"/>
      <c r="AV314" s="500"/>
      <c r="AW314" s="500"/>
      <c r="AX314" s="500"/>
      <c r="AY314" s="500"/>
      <c r="AZ314" s="500"/>
      <c r="BA314" s="500"/>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row>
    <row r="315" spans="2:111" customFormat="1" ht="15" customHeight="1">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row>
    <row r="316" spans="2:111" customFormat="1" ht="9" customHeight="1">
      <c r="B316" s="494" t="str">
        <f>IF($Z$32&gt;=8,"Item 8","")</f>
        <v>Item 8</v>
      </c>
      <c r="C316" s="495"/>
      <c r="D316" s="495"/>
      <c r="E316" s="495"/>
      <c r="F316" s="495"/>
      <c r="G316" s="495"/>
      <c r="H316" s="495"/>
      <c r="I316" s="495"/>
      <c r="J316" s="495"/>
      <c r="K316" s="495"/>
      <c r="L316" s="495"/>
      <c r="M316" s="49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row>
    <row r="317" spans="2:111" customFormat="1" ht="9" customHeight="1">
      <c r="B317" s="495"/>
      <c r="C317" s="495"/>
      <c r="D317" s="495"/>
      <c r="E317" s="495"/>
      <c r="F317" s="495"/>
      <c r="G317" s="495"/>
      <c r="H317" s="495"/>
      <c r="I317" s="495"/>
      <c r="J317" s="495"/>
      <c r="K317" s="495"/>
      <c r="L317" s="495"/>
      <c r="M317" s="49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row>
    <row r="318" spans="2:111" customFormat="1" ht="4.5" customHeight="1">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row>
    <row r="319" spans="2:111" customFormat="1" ht="9" customHeight="1">
      <c r="B319" s="493" t="str">
        <f>IF(B316="","","Elemento de Despesa:")</f>
        <v>Elemento de Despesa:</v>
      </c>
      <c r="C319" s="493"/>
      <c r="D319" s="493"/>
      <c r="E319" s="493"/>
      <c r="F319" s="493"/>
      <c r="G319" s="493"/>
      <c r="H319" s="493"/>
      <c r="I319" s="493"/>
      <c r="J319" s="493"/>
      <c r="K319" s="493"/>
      <c r="L319" s="493"/>
      <c r="M319" s="493"/>
      <c r="N319" s="493"/>
      <c r="O319" s="241" t="s">
        <v>276</v>
      </c>
      <c r="P319" s="241"/>
      <c r="Q319" s="241"/>
      <c r="R319" s="241"/>
      <c r="S319" s="241"/>
      <c r="T319" s="241"/>
      <c r="U319" s="241"/>
      <c r="V319" s="241"/>
      <c r="W319" s="241"/>
      <c r="X319" s="241"/>
      <c r="Y319" s="241"/>
      <c r="Z319" s="241"/>
      <c r="AA319" s="241"/>
      <c r="AB319" s="241"/>
      <c r="AC319" s="241"/>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241"/>
      <c r="AY319" s="241"/>
      <c r="AZ319" s="241"/>
      <c r="BA319" s="241"/>
      <c r="BC319" s="115"/>
      <c r="BD319" s="115"/>
      <c r="BE319" s="115"/>
      <c r="BF319" s="115"/>
      <c r="BG319" s="115"/>
      <c r="BH319" s="124"/>
      <c r="BI319" s="124"/>
      <c r="BJ319" s="124"/>
      <c r="BK319" s="124"/>
      <c r="BL319" s="124"/>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4"/>
      <c r="CY319" s="124"/>
      <c r="CZ319" s="124"/>
      <c r="DA319" s="124"/>
      <c r="DB319" s="124"/>
      <c r="DC319" s="124"/>
      <c r="DD319" s="124"/>
      <c r="DE319" s="124"/>
      <c r="DF319" s="124"/>
      <c r="DG319" s="115"/>
    </row>
    <row r="320" spans="2:111" customFormat="1" ht="9" customHeight="1">
      <c r="B320" s="493"/>
      <c r="C320" s="493"/>
      <c r="D320" s="493"/>
      <c r="E320" s="493"/>
      <c r="F320" s="493"/>
      <c r="G320" s="493"/>
      <c r="H320" s="493"/>
      <c r="I320" s="493"/>
      <c r="J320" s="493"/>
      <c r="K320" s="493"/>
      <c r="L320" s="493"/>
      <c r="M320" s="493"/>
      <c r="N320" s="493"/>
      <c r="O320" s="241"/>
      <c r="P320" s="241"/>
      <c r="Q320" s="241"/>
      <c r="R320" s="241"/>
      <c r="S320" s="24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C320" s="115"/>
      <c r="BD320" s="115"/>
      <c r="BE320" s="115"/>
      <c r="BF320" s="115"/>
      <c r="BG320" s="115"/>
      <c r="BH320" s="124"/>
      <c r="BI320" s="124"/>
      <c r="BJ320" s="124"/>
      <c r="BK320" s="124"/>
      <c r="BL320" s="124"/>
      <c r="BM320" s="124"/>
      <c r="BN320" s="124"/>
      <c r="BO320" s="124"/>
      <c r="BP320" s="124"/>
      <c r="BQ320" s="124"/>
      <c r="BR320" s="124"/>
      <c r="BS320" s="124"/>
      <c r="BT320" s="124"/>
      <c r="BU320" s="124"/>
      <c r="BV320" s="124"/>
      <c r="BW320" s="124"/>
      <c r="BX320" s="124"/>
      <c r="BY320" s="124"/>
      <c r="BZ320" s="124"/>
      <c r="CA320" s="124"/>
      <c r="CB320" s="124"/>
      <c r="CC320" s="124"/>
      <c r="CD320" s="124"/>
      <c r="CE320" s="124"/>
      <c r="CF320" s="124"/>
      <c r="CG320" s="124"/>
      <c r="CH320" s="124"/>
      <c r="CI320" s="124"/>
      <c r="CJ320" s="124"/>
      <c r="CK320" s="124"/>
      <c r="CL320" s="124"/>
      <c r="CM320" s="124"/>
      <c r="CN320" s="124"/>
      <c r="CO320" s="124"/>
      <c r="CP320" s="124"/>
      <c r="CQ320" s="124"/>
      <c r="CR320" s="124"/>
      <c r="CS320" s="124"/>
      <c r="CT320" s="124"/>
      <c r="CU320" s="124"/>
      <c r="CV320" s="124"/>
      <c r="CW320" s="124"/>
      <c r="CX320" s="124"/>
      <c r="CY320" s="124"/>
      <c r="CZ320" s="124"/>
      <c r="DA320" s="124"/>
      <c r="DB320" s="124"/>
      <c r="DC320" s="124"/>
      <c r="DD320" s="124"/>
      <c r="DE320" s="124"/>
      <c r="DF320" s="124"/>
      <c r="DG320" s="115"/>
    </row>
    <row r="321" spans="2:111" customFormat="1" ht="4.5" customHeight="1">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49"/>
      <c r="AY321" s="49"/>
      <c r="AZ321" s="49"/>
      <c r="BA321" s="49"/>
      <c r="BC321" s="115"/>
      <c r="BD321" s="115"/>
      <c r="BE321" s="115"/>
      <c r="BF321" s="115"/>
      <c r="BG321" s="115"/>
      <c r="BH321" s="124"/>
      <c r="BI321" s="124"/>
      <c r="BJ321" s="124"/>
      <c r="BK321" s="124"/>
      <c r="BL321" s="124"/>
      <c r="BM321" s="124"/>
      <c r="BN321" s="124"/>
      <c r="BO321" s="124"/>
      <c r="BP321" s="124"/>
      <c r="BQ321" s="124"/>
      <c r="BR321" s="124"/>
      <c r="BS321" s="124"/>
      <c r="BT321" s="124"/>
      <c r="BU321" s="124"/>
      <c r="BV321" s="124"/>
      <c r="BW321" s="124"/>
      <c r="BX321" s="124"/>
      <c r="BY321" s="124"/>
      <c r="BZ321" s="124"/>
      <c r="CA321" s="124"/>
      <c r="CB321" s="124"/>
      <c r="CC321" s="124"/>
      <c r="CD321" s="124"/>
      <c r="CE321" s="124"/>
      <c r="CF321" s="124"/>
      <c r="CG321" s="124"/>
      <c r="CH321" s="124"/>
      <c r="CI321" s="124"/>
      <c r="CJ321" s="124"/>
      <c r="CK321" s="124"/>
      <c r="CL321" s="124"/>
      <c r="CM321" s="124"/>
      <c r="CN321" s="124"/>
      <c r="CO321" s="124"/>
      <c r="CP321" s="124"/>
      <c r="CQ321" s="124"/>
      <c r="CR321" s="124"/>
      <c r="CS321" s="124"/>
      <c r="CT321" s="124"/>
      <c r="CU321" s="124"/>
      <c r="CV321" s="124"/>
      <c r="CW321" s="124"/>
      <c r="CX321" s="124"/>
      <c r="CY321" s="124"/>
      <c r="CZ321" s="124"/>
      <c r="DA321" s="124"/>
      <c r="DB321" s="124"/>
      <c r="DC321" s="124"/>
      <c r="DD321" s="124"/>
      <c r="DE321" s="124"/>
      <c r="DF321" s="124"/>
      <c r="DG321" s="115"/>
    </row>
    <row r="322" spans="2:111" customFormat="1" ht="9" customHeight="1">
      <c r="B322" s="493" t="str">
        <f>IF(B316="","","Objeto:")</f>
        <v>Objeto:</v>
      </c>
      <c r="C322" s="493"/>
      <c r="D322" s="493"/>
      <c r="E322" s="493"/>
      <c r="F322" s="493"/>
      <c r="G322" s="493"/>
      <c r="H322" s="493"/>
      <c r="I322" s="493"/>
      <c r="J322" s="493"/>
      <c r="K322" s="493"/>
      <c r="L322" s="493"/>
      <c r="M322" s="493"/>
      <c r="N322" s="493"/>
      <c r="O322" s="421" t="s">
        <v>651</v>
      </c>
      <c r="P322" s="421"/>
      <c r="Q322" s="421"/>
      <c r="R322" s="421"/>
      <c r="S322" s="421"/>
      <c r="T322" s="421"/>
      <c r="U322" s="421"/>
      <c r="V322" s="421"/>
      <c r="W322" s="421"/>
      <c r="X322" s="421"/>
      <c r="Y322" s="421"/>
      <c r="Z322" s="421"/>
      <c r="AA322" s="421"/>
      <c r="AB322" s="421"/>
      <c r="AC322" s="421"/>
      <c r="AD322" s="421"/>
      <c r="AE322" s="421"/>
      <c r="AF322" s="421"/>
      <c r="AG322" s="421"/>
      <c r="AH322" s="421"/>
      <c r="AI322" s="421"/>
      <c r="AJ322" s="421"/>
      <c r="AK322" s="421"/>
      <c r="AL322" s="421"/>
      <c r="AM322" s="421"/>
      <c r="AN322" s="421"/>
      <c r="AO322" s="421"/>
      <c r="AP322" s="421"/>
      <c r="AQ322" s="421"/>
      <c r="AR322" s="421"/>
      <c r="AS322" s="421"/>
      <c r="AT322" s="421"/>
      <c r="AU322" s="421"/>
      <c r="AV322" s="421"/>
      <c r="AW322" s="421"/>
      <c r="AX322" s="421"/>
      <c r="AY322" s="421"/>
      <c r="AZ322" s="421"/>
      <c r="BA322" s="421"/>
      <c r="BC322" s="115"/>
      <c r="BD322" s="115"/>
      <c r="BE322" s="115"/>
      <c r="BF322" s="115"/>
      <c r="BG322" s="115"/>
      <c r="BH322" s="124"/>
      <c r="BI322" s="124"/>
      <c r="BJ322" s="124"/>
      <c r="BK322" s="124"/>
      <c r="BL322" s="124"/>
      <c r="BM322" s="124"/>
      <c r="BN322" s="124"/>
      <c r="BO322" s="124"/>
      <c r="BP322" s="124"/>
      <c r="BQ322" s="124"/>
      <c r="BR322" s="124"/>
      <c r="BS322" s="124"/>
      <c r="BT322" s="124"/>
      <c r="BU322" s="124"/>
      <c r="BV322" s="124"/>
      <c r="BW322" s="124"/>
      <c r="BX322" s="124"/>
      <c r="BY322" s="124"/>
      <c r="BZ322" s="124"/>
      <c r="CA322" s="124"/>
      <c r="CB322" s="124"/>
      <c r="CC322" s="124"/>
      <c r="CD322" s="124"/>
      <c r="CE322" s="124"/>
      <c r="CF322" s="124"/>
      <c r="CG322" s="124"/>
      <c r="CH322" s="124"/>
      <c r="CI322" s="124"/>
      <c r="CJ322" s="124"/>
      <c r="CK322" s="124"/>
      <c r="CL322" s="124"/>
      <c r="CM322" s="124"/>
      <c r="CN322" s="124"/>
      <c r="CO322" s="124"/>
      <c r="CP322" s="124"/>
      <c r="CQ322" s="124"/>
      <c r="CR322" s="124"/>
      <c r="CS322" s="124"/>
      <c r="CT322" s="124"/>
      <c r="CU322" s="124"/>
      <c r="CV322" s="124"/>
      <c r="CW322" s="124"/>
      <c r="CX322" s="124"/>
      <c r="CY322" s="124"/>
      <c r="CZ322" s="124"/>
      <c r="DA322" s="124"/>
      <c r="DB322" s="124"/>
      <c r="DC322" s="124"/>
      <c r="DD322" s="124"/>
      <c r="DE322" s="124"/>
      <c r="DF322" s="124"/>
      <c r="DG322" s="115"/>
    </row>
    <row r="323" spans="2:111" customFormat="1" ht="9" customHeight="1">
      <c r="B323" s="493"/>
      <c r="C323" s="493"/>
      <c r="D323" s="493"/>
      <c r="E323" s="493"/>
      <c r="F323" s="493"/>
      <c r="G323" s="493"/>
      <c r="H323" s="493"/>
      <c r="I323" s="493"/>
      <c r="J323" s="493"/>
      <c r="K323" s="493"/>
      <c r="L323" s="493"/>
      <c r="M323" s="493"/>
      <c r="N323" s="493"/>
      <c r="O323" s="421"/>
      <c r="P323" s="421"/>
      <c r="Q323" s="421"/>
      <c r="R323" s="421"/>
      <c r="S323" s="421"/>
      <c r="T323" s="421"/>
      <c r="U323" s="421"/>
      <c r="V323" s="421"/>
      <c r="W323" s="421"/>
      <c r="X323" s="421"/>
      <c r="Y323" s="421"/>
      <c r="Z323" s="421"/>
      <c r="AA323" s="421"/>
      <c r="AB323" s="421"/>
      <c r="AC323" s="421"/>
      <c r="AD323" s="421"/>
      <c r="AE323" s="421"/>
      <c r="AF323" s="421"/>
      <c r="AG323" s="421"/>
      <c r="AH323" s="421"/>
      <c r="AI323" s="421"/>
      <c r="AJ323" s="421"/>
      <c r="AK323" s="421"/>
      <c r="AL323" s="421"/>
      <c r="AM323" s="421"/>
      <c r="AN323" s="421"/>
      <c r="AO323" s="421"/>
      <c r="AP323" s="421"/>
      <c r="AQ323" s="421"/>
      <c r="AR323" s="421"/>
      <c r="AS323" s="421"/>
      <c r="AT323" s="421"/>
      <c r="AU323" s="421"/>
      <c r="AV323" s="421"/>
      <c r="AW323" s="421"/>
      <c r="AX323" s="421"/>
      <c r="AY323" s="421"/>
      <c r="AZ323" s="421"/>
      <c r="BA323" s="421"/>
      <c r="BC323" s="115"/>
      <c r="BD323" s="115"/>
      <c r="BE323" s="115"/>
      <c r="BF323" s="115"/>
      <c r="BG323" s="115"/>
      <c r="BH323" s="124"/>
      <c r="BI323" s="124"/>
      <c r="BJ323" s="124"/>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4"/>
      <c r="CY323" s="124"/>
      <c r="CZ323" s="124"/>
      <c r="DA323" s="124"/>
      <c r="DB323" s="124"/>
      <c r="DC323" s="124"/>
      <c r="DD323" s="124"/>
      <c r="DE323" s="124"/>
      <c r="DF323" s="124"/>
      <c r="DG323" s="115"/>
    </row>
    <row r="324" spans="2:111" customFormat="1" ht="9" customHeight="1">
      <c r="B324" s="143"/>
      <c r="C324" s="143"/>
      <c r="D324" s="143"/>
      <c r="E324" s="143"/>
      <c r="F324" s="143"/>
      <c r="G324" s="143"/>
      <c r="H324" s="143"/>
      <c r="I324" s="143"/>
      <c r="J324" s="143"/>
      <c r="K324" s="143"/>
      <c r="L324" s="143"/>
      <c r="M324" s="143"/>
      <c r="N324" s="143"/>
      <c r="O324" s="421"/>
      <c r="P324" s="421"/>
      <c r="Q324" s="421"/>
      <c r="R324" s="421"/>
      <c r="S324" s="421"/>
      <c r="T324" s="421"/>
      <c r="U324" s="421"/>
      <c r="V324" s="421"/>
      <c r="W324" s="421"/>
      <c r="X324" s="421"/>
      <c r="Y324" s="421"/>
      <c r="Z324" s="421"/>
      <c r="AA324" s="421"/>
      <c r="AB324" s="421"/>
      <c r="AC324" s="421"/>
      <c r="AD324" s="421"/>
      <c r="AE324" s="421"/>
      <c r="AF324" s="421"/>
      <c r="AG324" s="421"/>
      <c r="AH324" s="421"/>
      <c r="AI324" s="421"/>
      <c r="AJ324" s="421"/>
      <c r="AK324" s="421"/>
      <c r="AL324" s="421"/>
      <c r="AM324" s="421"/>
      <c r="AN324" s="421"/>
      <c r="AO324" s="421"/>
      <c r="AP324" s="421"/>
      <c r="AQ324" s="421"/>
      <c r="AR324" s="421"/>
      <c r="AS324" s="421"/>
      <c r="AT324" s="421"/>
      <c r="AU324" s="421"/>
      <c r="AV324" s="421"/>
      <c r="AW324" s="421"/>
      <c r="AX324" s="421"/>
      <c r="AY324" s="421"/>
      <c r="AZ324" s="421"/>
      <c r="BA324" s="421"/>
      <c r="BC324" s="115"/>
      <c r="BD324" s="115"/>
      <c r="BE324" s="115"/>
      <c r="BF324" s="115"/>
      <c r="BG324" s="115"/>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115"/>
    </row>
    <row r="325" spans="2:111" customFormat="1" ht="9" customHeight="1">
      <c r="B325" s="49"/>
      <c r="C325" s="49"/>
      <c r="D325" s="49"/>
      <c r="E325" s="49"/>
      <c r="F325" s="49"/>
      <c r="G325" s="49"/>
      <c r="H325" s="49"/>
      <c r="I325" s="49"/>
      <c r="J325" s="49"/>
      <c r="K325" s="49"/>
      <c r="L325" s="49"/>
      <c r="M325" s="49"/>
      <c r="N325" s="49"/>
      <c r="O325" s="421"/>
      <c r="P325" s="421"/>
      <c r="Q325" s="421"/>
      <c r="R325" s="421"/>
      <c r="S325" s="421"/>
      <c r="T325" s="421"/>
      <c r="U325" s="421"/>
      <c r="V325" s="421"/>
      <c r="W325" s="421"/>
      <c r="X325" s="421"/>
      <c r="Y325" s="421"/>
      <c r="Z325" s="421"/>
      <c r="AA325" s="421"/>
      <c r="AB325" s="421"/>
      <c r="AC325" s="421"/>
      <c r="AD325" s="421"/>
      <c r="AE325" s="421"/>
      <c r="AF325" s="421"/>
      <c r="AG325" s="421"/>
      <c r="AH325" s="421"/>
      <c r="AI325" s="421"/>
      <c r="AJ325" s="421"/>
      <c r="AK325" s="421"/>
      <c r="AL325" s="421"/>
      <c r="AM325" s="421"/>
      <c r="AN325" s="421"/>
      <c r="AO325" s="421"/>
      <c r="AP325" s="421"/>
      <c r="AQ325" s="421"/>
      <c r="AR325" s="421"/>
      <c r="AS325" s="421"/>
      <c r="AT325" s="421"/>
      <c r="AU325" s="421"/>
      <c r="AV325" s="421"/>
      <c r="AW325" s="421"/>
      <c r="AX325" s="421"/>
      <c r="AY325" s="421"/>
      <c r="AZ325" s="421"/>
      <c r="BA325" s="421"/>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row>
    <row r="326" spans="2:111" customFormat="1" ht="4.5" customHeight="1">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49"/>
      <c r="BC326" s="115"/>
      <c r="BD326" s="115"/>
      <c r="BE326" s="115"/>
      <c r="BF326" s="115"/>
      <c r="BG326" s="115"/>
      <c r="BH326" s="124"/>
      <c r="BI326" s="124"/>
      <c r="BJ326" s="124"/>
      <c r="BK326" s="124"/>
      <c r="BL326" s="124"/>
      <c r="BM326" s="124"/>
      <c r="BN326" s="124"/>
      <c r="BO326" s="124"/>
      <c r="BP326" s="124"/>
      <c r="BQ326" s="124"/>
      <c r="BR326" s="124"/>
      <c r="BS326" s="124"/>
      <c r="BT326" s="124"/>
      <c r="BU326" s="124"/>
      <c r="BV326" s="124"/>
      <c r="BW326" s="124"/>
      <c r="BX326" s="124"/>
      <c r="BY326" s="124"/>
      <c r="BZ326" s="124"/>
      <c r="CA326" s="124"/>
      <c r="CB326" s="124"/>
      <c r="CC326" s="124"/>
      <c r="CD326" s="124"/>
      <c r="CE326" s="124"/>
      <c r="CF326" s="124"/>
      <c r="CG326" s="124"/>
      <c r="CH326" s="124"/>
      <c r="CI326" s="124"/>
      <c r="CJ326" s="124"/>
      <c r="CK326" s="124"/>
      <c r="CL326" s="124"/>
      <c r="CM326" s="124"/>
      <c r="CN326" s="124"/>
      <c r="CO326" s="124"/>
      <c r="CP326" s="124"/>
      <c r="CQ326" s="124"/>
      <c r="CR326" s="124"/>
      <c r="CS326" s="124"/>
      <c r="CT326" s="124"/>
      <c r="CU326" s="124"/>
      <c r="CV326" s="124"/>
      <c r="CW326" s="124"/>
      <c r="CX326" s="124"/>
      <c r="CY326" s="124"/>
      <c r="CZ326" s="124"/>
      <c r="DA326" s="124"/>
      <c r="DB326" s="124"/>
      <c r="DC326" s="124"/>
      <c r="DD326" s="124"/>
      <c r="DE326" s="124"/>
      <c r="DF326" s="124"/>
      <c r="DG326" s="115"/>
    </row>
    <row r="327" spans="2:111" customFormat="1" ht="9" customHeight="1">
      <c r="B327" s="493" t="str">
        <f>IF(B316="","","Detalhamento do Objeto:")</f>
        <v>Detalhamento do Objeto:</v>
      </c>
      <c r="C327" s="493"/>
      <c r="D327" s="493"/>
      <c r="E327" s="493"/>
      <c r="F327" s="493"/>
      <c r="G327" s="493"/>
      <c r="H327" s="493"/>
      <c r="I327" s="493"/>
      <c r="J327" s="493"/>
      <c r="K327" s="493"/>
      <c r="L327" s="493"/>
      <c r="M327" s="493"/>
      <c r="N327" s="493"/>
      <c r="O327" s="421" t="s">
        <v>652</v>
      </c>
      <c r="P327" s="421"/>
      <c r="Q327" s="421"/>
      <c r="R327" s="421"/>
      <c r="S327" s="421"/>
      <c r="T327" s="421"/>
      <c r="U327" s="421"/>
      <c r="V327" s="421"/>
      <c r="W327" s="421"/>
      <c r="X327" s="421"/>
      <c r="Y327" s="421"/>
      <c r="Z327" s="421"/>
      <c r="AA327" s="421"/>
      <c r="AB327" s="421"/>
      <c r="AC327" s="421"/>
      <c r="AD327" s="421"/>
      <c r="AE327" s="421"/>
      <c r="AF327" s="421"/>
      <c r="AG327" s="421"/>
      <c r="AH327" s="421"/>
      <c r="AI327" s="421"/>
      <c r="AJ327" s="421"/>
      <c r="AK327" s="421"/>
      <c r="AL327" s="421"/>
      <c r="AM327" s="421"/>
      <c r="AN327" s="421"/>
      <c r="AO327" s="421"/>
      <c r="AP327" s="421"/>
      <c r="AQ327" s="421"/>
      <c r="AR327" s="421"/>
      <c r="AS327" s="421"/>
      <c r="AT327" s="421"/>
      <c r="AU327" s="421"/>
      <c r="AV327" s="421"/>
      <c r="AW327" s="421"/>
      <c r="AX327" s="421"/>
      <c r="AY327" s="421"/>
      <c r="AZ327" s="421"/>
      <c r="BA327" s="421"/>
      <c r="BC327" s="115"/>
      <c r="BD327" s="115"/>
      <c r="BE327" s="115"/>
      <c r="BF327" s="115"/>
      <c r="BG327" s="115"/>
      <c r="BH327" s="124"/>
      <c r="BI327" s="124"/>
      <c r="BJ327" s="124"/>
      <c r="BK327" s="124"/>
      <c r="BL327" s="124"/>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4"/>
      <c r="CY327" s="124"/>
      <c r="CZ327" s="124"/>
      <c r="DA327" s="124"/>
      <c r="DB327" s="124"/>
      <c r="DC327" s="124"/>
      <c r="DD327" s="124"/>
      <c r="DE327" s="124"/>
      <c r="DF327" s="124"/>
      <c r="DG327" s="115"/>
    </row>
    <row r="328" spans="2:111" customFormat="1" ht="9" customHeight="1">
      <c r="B328" s="493"/>
      <c r="C328" s="493"/>
      <c r="D328" s="493"/>
      <c r="E328" s="493"/>
      <c r="F328" s="493"/>
      <c r="G328" s="493"/>
      <c r="H328" s="493"/>
      <c r="I328" s="493"/>
      <c r="J328" s="493"/>
      <c r="K328" s="493"/>
      <c r="L328" s="493"/>
      <c r="M328" s="493"/>
      <c r="N328" s="493"/>
      <c r="O328" s="421"/>
      <c r="P328" s="421"/>
      <c r="Q328" s="421"/>
      <c r="R328" s="421"/>
      <c r="S328" s="421"/>
      <c r="T328" s="421"/>
      <c r="U328" s="421"/>
      <c r="V328" s="421"/>
      <c r="W328" s="421"/>
      <c r="X328" s="421"/>
      <c r="Y328" s="421"/>
      <c r="Z328" s="421"/>
      <c r="AA328" s="421"/>
      <c r="AB328" s="421"/>
      <c r="AC328" s="421"/>
      <c r="AD328" s="421"/>
      <c r="AE328" s="421"/>
      <c r="AF328" s="421"/>
      <c r="AG328" s="421"/>
      <c r="AH328" s="421"/>
      <c r="AI328" s="421"/>
      <c r="AJ328" s="421"/>
      <c r="AK328" s="421"/>
      <c r="AL328" s="421"/>
      <c r="AM328" s="421"/>
      <c r="AN328" s="421"/>
      <c r="AO328" s="421"/>
      <c r="AP328" s="421"/>
      <c r="AQ328" s="421"/>
      <c r="AR328" s="421"/>
      <c r="AS328" s="421"/>
      <c r="AT328" s="421"/>
      <c r="AU328" s="421"/>
      <c r="AV328" s="421"/>
      <c r="AW328" s="421"/>
      <c r="AX328" s="421"/>
      <c r="AY328" s="421"/>
      <c r="AZ328" s="421"/>
      <c r="BA328" s="421"/>
      <c r="BC328" s="115"/>
      <c r="BD328" s="115"/>
      <c r="BE328" s="115"/>
      <c r="BF328" s="115"/>
      <c r="BG328" s="115"/>
      <c r="BH328" s="124"/>
      <c r="BI328" s="124"/>
      <c r="BJ328" s="124"/>
      <c r="BK328" s="124"/>
      <c r="BL328" s="124"/>
      <c r="BM328" s="124"/>
      <c r="BN328" s="124"/>
      <c r="BO328" s="124"/>
      <c r="BP328" s="124"/>
      <c r="BQ328" s="124"/>
      <c r="BR328" s="124"/>
      <c r="BS328" s="124"/>
      <c r="BT328" s="124"/>
      <c r="BU328" s="124"/>
      <c r="BV328" s="124"/>
      <c r="BW328" s="124"/>
      <c r="BX328" s="124"/>
      <c r="BY328" s="124"/>
      <c r="BZ328" s="124"/>
      <c r="CA328" s="124"/>
      <c r="CB328" s="124"/>
      <c r="CC328" s="124"/>
      <c r="CD328" s="124"/>
      <c r="CE328" s="124"/>
      <c r="CF328" s="124"/>
      <c r="CG328" s="124"/>
      <c r="CH328" s="124"/>
      <c r="CI328" s="124"/>
      <c r="CJ328" s="124"/>
      <c r="CK328" s="124"/>
      <c r="CL328" s="124"/>
      <c r="CM328" s="124"/>
      <c r="CN328" s="124"/>
      <c r="CO328" s="124"/>
      <c r="CP328" s="124"/>
      <c r="CQ328" s="124"/>
      <c r="CR328" s="124"/>
      <c r="CS328" s="124"/>
      <c r="CT328" s="124"/>
      <c r="CU328" s="124"/>
      <c r="CV328" s="124"/>
      <c r="CW328" s="124"/>
      <c r="CX328" s="124"/>
      <c r="CY328" s="124"/>
      <c r="CZ328" s="124"/>
      <c r="DA328" s="124"/>
      <c r="DB328" s="124"/>
      <c r="DC328" s="124"/>
      <c r="DD328" s="124"/>
      <c r="DE328" s="124"/>
      <c r="DF328" s="124"/>
      <c r="DG328" s="115"/>
    </row>
    <row r="329" spans="2:111" customFormat="1" ht="9" customHeight="1">
      <c r="B329" s="143"/>
      <c r="C329" s="143"/>
      <c r="D329" s="143"/>
      <c r="E329" s="143"/>
      <c r="F329" s="143"/>
      <c r="G329" s="143"/>
      <c r="H329" s="143"/>
      <c r="I329" s="143"/>
      <c r="J329" s="143"/>
      <c r="K329" s="143"/>
      <c r="L329" s="143"/>
      <c r="M329" s="143"/>
      <c r="N329" s="143"/>
      <c r="O329" s="421"/>
      <c r="P329" s="421"/>
      <c r="Q329" s="421"/>
      <c r="R329" s="421"/>
      <c r="S329" s="421"/>
      <c r="T329" s="421"/>
      <c r="U329" s="421"/>
      <c r="V329" s="421"/>
      <c r="W329" s="421"/>
      <c r="X329" s="421"/>
      <c r="Y329" s="421"/>
      <c r="Z329" s="421"/>
      <c r="AA329" s="421"/>
      <c r="AB329" s="421"/>
      <c r="AC329" s="421"/>
      <c r="AD329" s="421"/>
      <c r="AE329" s="421"/>
      <c r="AF329" s="421"/>
      <c r="AG329" s="421"/>
      <c r="AH329" s="421"/>
      <c r="AI329" s="421"/>
      <c r="AJ329" s="421"/>
      <c r="AK329" s="421"/>
      <c r="AL329" s="421"/>
      <c r="AM329" s="421"/>
      <c r="AN329" s="421"/>
      <c r="AO329" s="421"/>
      <c r="AP329" s="421"/>
      <c r="AQ329" s="421"/>
      <c r="AR329" s="421"/>
      <c r="AS329" s="421"/>
      <c r="AT329" s="421"/>
      <c r="AU329" s="421"/>
      <c r="AV329" s="421"/>
      <c r="AW329" s="421"/>
      <c r="AX329" s="421"/>
      <c r="AY329" s="421"/>
      <c r="AZ329" s="421"/>
      <c r="BA329" s="421"/>
      <c r="BC329" s="115"/>
      <c r="BD329" s="115"/>
      <c r="BE329" s="115"/>
      <c r="BF329" s="115"/>
      <c r="BG329" s="115"/>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115"/>
    </row>
    <row r="330" spans="2:111" customFormat="1" ht="9" customHeight="1">
      <c r="B330" s="143"/>
      <c r="C330" s="143"/>
      <c r="D330" s="143"/>
      <c r="E330" s="143"/>
      <c r="F330" s="143"/>
      <c r="G330" s="143"/>
      <c r="H330" s="143"/>
      <c r="I330" s="143"/>
      <c r="J330" s="143"/>
      <c r="K330" s="143"/>
      <c r="L330" s="143"/>
      <c r="M330" s="143"/>
      <c r="N330" s="143"/>
      <c r="O330" s="421"/>
      <c r="P330" s="421"/>
      <c r="Q330" s="421"/>
      <c r="R330" s="421"/>
      <c r="S330" s="421"/>
      <c r="T330" s="421"/>
      <c r="U330" s="421"/>
      <c r="V330" s="421"/>
      <c r="W330" s="421"/>
      <c r="X330" s="421"/>
      <c r="Y330" s="421"/>
      <c r="Z330" s="421"/>
      <c r="AA330" s="421"/>
      <c r="AB330" s="421"/>
      <c r="AC330" s="421"/>
      <c r="AD330" s="421"/>
      <c r="AE330" s="421"/>
      <c r="AF330" s="421"/>
      <c r="AG330" s="421"/>
      <c r="AH330" s="421"/>
      <c r="AI330" s="421"/>
      <c r="AJ330" s="421"/>
      <c r="AK330" s="421"/>
      <c r="AL330" s="421"/>
      <c r="AM330" s="421"/>
      <c r="AN330" s="421"/>
      <c r="AO330" s="421"/>
      <c r="AP330" s="421"/>
      <c r="AQ330" s="421"/>
      <c r="AR330" s="421"/>
      <c r="AS330" s="421"/>
      <c r="AT330" s="421"/>
      <c r="AU330" s="421"/>
      <c r="AV330" s="421"/>
      <c r="AW330" s="421"/>
      <c r="AX330" s="421"/>
      <c r="AY330" s="421"/>
      <c r="AZ330" s="421"/>
      <c r="BA330" s="421"/>
      <c r="BC330" s="115"/>
      <c r="BD330" s="115"/>
      <c r="BE330" s="115"/>
      <c r="BF330" s="115"/>
      <c r="BG330" s="115"/>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115"/>
    </row>
    <row r="331" spans="2:111" customFormat="1" ht="9" customHeight="1">
      <c r="B331" s="143"/>
      <c r="C331" s="143"/>
      <c r="D331" s="143"/>
      <c r="E331" s="143"/>
      <c r="F331" s="143"/>
      <c r="G331" s="143"/>
      <c r="H331" s="143"/>
      <c r="I331" s="143"/>
      <c r="J331" s="143"/>
      <c r="K331" s="143"/>
      <c r="L331" s="143"/>
      <c r="M331" s="143"/>
      <c r="N331" s="143"/>
      <c r="O331" s="421"/>
      <c r="P331" s="421"/>
      <c r="Q331" s="421"/>
      <c r="R331" s="421"/>
      <c r="S331" s="421"/>
      <c r="T331" s="421"/>
      <c r="U331" s="421"/>
      <c r="V331" s="421"/>
      <c r="W331" s="421"/>
      <c r="X331" s="421"/>
      <c r="Y331" s="421"/>
      <c r="Z331" s="421"/>
      <c r="AA331" s="421"/>
      <c r="AB331" s="421"/>
      <c r="AC331" s="421"/>
      <c r="AD331" s="421"/>
      <c r="AE331" s="421"/>
      <c r="AF331" s="421"/>
      <c r="AG331" s="421"/>
      <c r="AH331" s="421"/>
      <c r="AI331" s="421"/>
      <c r="AJ331" s="421"/>
      <c r="AK331" s="421"/>
      <c r="AL331" s="421"/>
      <c r="AM331" s="421"/>
      <c r="AN331" s="421"/>
      <c r="AO331" s="421"/>
      <c r="AP331" s="421"/>
      <c r="AQ331" s="421"/>
      <c r="AR331" s="421"/>
      <c r="AS331" s="421"/>
      <c r="AT331" s="421"/>
      <c r="AU331" s="421"/>
      <c r="AV331" s="421"/>
      <c r="AW331" s="421"/>
      <c r="AX331" s="421"/>
      <c r="AY331" s="421"/>
      <c r="AZ331" s="421"/>
      <c r="BA331" s="421"/>
      <c r="BC331" s="115"/>
      <c r="BD331" s="115"/>
      <c r="BE331" s="115"/>
      <c r="BF331" s="115"/>
      <c r="BG331" s="115"/>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115"/>
    </row>
    <row r="332" spans="2:111" customFormat="1" ht="9" customHeight="1">
      <c r="B332" s="143"/>
      <c r="C332" s="143"/>
      <c r="D332" s="143"/>
      <c r="E332" s="143"/>
      <c r="F332" s="143"/>
      <c r="G332" s="143"/>
      <c r="H332" s="143"/>
      <c r="I332" s="143"/>
      <c r="J332" s="143"/>
      <c r="K332" s="143"/>
      <c r="L332" s="143"/>
      <c r="M332" s="143"/>
      <c r="N332" s="143"/>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1"/>
      <c r="AL332" s="421"/>
      <c r="AM332" s="421"/>
      <c r="AN332" s="421"/>
      <c r="AO332" s="421"/>
      <c r="AP332" s="421"/>
      <c r="AQ332" s="421"/>
      <c r="AR332" s="421"/>
      <c r="AS332" s="421"/>
      <c r="AT332" s="421"/>
      <c r="AU332" s="421"/>
      <c r="AV332" s="421"/>
      <c r="AW332" s="421"/>
      <c r="AX332" s="421"/>
      <c r="AY332" s="421"/>
      <c r="AZ332" s="421"/>
      <c r="BA332" s="421"/>
      <c r="BC332" s="115"/>
      <c r="BD332" s="115"/>
      <c r="BE332" s="115"/>
      <c r="BF332" s="115"/>
      <c r="BG332" s="115"/>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115"/>
    </row>
    <row r="333" spans="2:111" customFormat="1" ht="9" customHeight="1">
      <c r="B333" s="143"/>
      <c r="C333" s="143"/>
      <c r="D333" s="143"/>
      <c r="E333" s="143"/>
      <c r="F333" s="143"/>
      <c r="G333" s="143"/>
      <c r="H333" s="143"/>
      <c r="I333" s="143"/>
      <c r="J333" s="143"/>
      <c r="K333" s="143"/>
      <c r="L333" s="143"/>
      <c r="M333" s="143"/>
      <c r="N333" s="143"/>
      <c r="O333" s="421"/>
      <c r="P333" s="421"/>
      <c r="Q333" s="421"/>
      <c r="R333" s="421"/>
      <c r="S333" s="421"/>
      <c r="T333" s="421"/>
      <c r="U333" s="421"/>
      <c r="V333" s="421"/>
      <c r="W333" s="421"/>
      <c r="X333" s="421"/>
      <c r="Y333" s="421"/>
      <c r="Z333" s="421"/>
      <c r="AA333" s="421"/>
      <c r="AB333" s="421"/>
      <c r="AC333" s="421"/>
      <c r="AD333" s="421"/>
      <c r="AE333" s="421"/>
      <c r="AF333" s="421"/>
      <c r="AG333" s="421"/>
      <c r="AH333" s="421"/>
      <c r="AI333" s="421"/>
      <c r="AJ333" s="421"/>
      <c r="AK333" s="421"/>
      <c r="AL333" s="421"/>
      <c r="AM333" s="421"/>
      <c r="AN333" s="421"/>
      <c r="AO333" s="421"/>
      <c r="AP333" s="421"/>
      <c r="AQ333" s="421"/>
      <c r="AR333" s="421"/>
      <c r="AS333" s="421"/>
      <c r="AT333" s="421"/>
      <c r="AU333" s="421"/>
      <c r="AV333" s="421"/>
      <c r="AW333" s="421"/>
      <c r="AX333" s="421"/>
      <c r="AY333" s="421"/>
      <c r="AZ333" s="421"/>
      <c r="BA333" s="421"/>
      <c r="BC333" s="115"/>
      <c r="BD333" s="115"/>
      <c r="BE333" s="115"/>
      <c r="BF333" s="115"/>
      <c r="BG333" s="115"/>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115"/>
    </row>
    <row r="334" spans="2:111" customFormat="1" ht="9" customHeight="1">
      <c r="B334" s="49"/>
      <c r="C334" s="49"/>
      <c r="D334" s="49"/>
      <c r="E334" s="49"/>
      <c r="F334" s="49"/>
      <c r="G334" s="49"/>
      <c r="H334" s="49"/>
      <c r="I334" s="49"/>
      <c r="J334" s="49"/>
      <c r="K334" s="49"/>
      <c r="L334" s="49"/>
      <c r="M334" s="49"/>
      <c r="N334" s="49"/>
      <c r="O334" s="421"/>
      <c r="P334" s="421"/>
      <c r="Q334" s="421"/>
      <c r="R334" s="421"/>
      <c r="S334" s="421"/>
      <c r="T334" s="421"/>
      <c r="U334" s="421"/>
      <c r="V334" s="421"/>
      <c r="W334" s="421"/>
      <c r="X334" s="421"/>
      <c r="Y334" s="421"/>
      <c r="Z334" s="421"/>
      <c r="AA334" s="421"/>
      <c r="AB334" s="421"/>
      <c r="AC334" s="421"/>
      <c r="AD334" s="421"/>
      <c r="AE334" s="421"/>
      <c r="AF334" s="421"/>
      <c r="AG334" s="421"/>
      <c r="AH334" s="421"/>
      <c r="AI334" s="421"/>
      <c r="AJ334" s="421"/>
      <c r="AK334" s="421"/>
      <c r="AL334" s="421"/>
      <c r="AM334" s="421"/>
      <c r="AN334" s="421"/>
      <c r="AO334" s="421"/>
      <c r="AP334" s="421"/>
      <c r="AQ334" s="421"/>
      <c r="AR334" s="421"/>
      <c r="AS334" s="421"/>
      <c r="AT334" s="421"/>
      <c r="AU334" s="421"/>
      <c r="AV334" s="421"/>
      <c r="AW334" s="421"/>
      <c r="AX334" s="421"/>
      <c r="AY334" s="421"/>
      <c r="AZ334" s="421"/>
      <c r="BA334" s="421"/>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row>
    <row r="335" spans="2:111" customFormat="1" ht="4.5" customHeight="1">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49"/>
      <c r="AY335" s="49"/>
      <c r="AZ335" s="49"/>
      <c r="BA335" s="49"/>
      <c r="BC335" s="115"/>
      <c r="BD335" s="115"/>
      <c r="BE335" s="115"/>
      <c r="BF335" s="115"/>
      <c r="BG335" s="115"/>
      <c r="BH335" s="124"/>
      <c r="BI335" s="124"/>
      <c r="BJ335" s="124"/>
      <c r="BK335" s="124"/>
      <c r="BL335" s="124"/>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4"/>
      <c r="CY335" s="124"/>
      <c r="CZ335" s="124"/>
      <c r="DA335" s="124"/>
      <c r="DB335" s="124"/>
      <c r="DC335" s="124"/>
      <c r="DD335" s="124"/>
      <c r="DE335" s="124"/>
      <c r="DF335" s="124"/>
      <c r="DG335" s="115"/>
    </row>
    <row r="336" spans="2:111" customFormat="1" ht="9" customHeight="1">
      <c r="B336" s="493" t="str">
        <f>IF(B316="","","Justificativa:")</f>
        <v>Justificativa:</v>
      </c>
      <c r="C336" s="493"/>
      <c r="D336" s="493"/>
      <c r="E336" s="493"/>
      <c r="F336" s="493"/>
      <c r="G336" s="493"/>
      <c r="H336" s="493"/>
      <c r="I336" s="493"/>
      <c r="J336" s="493"/>
      <c r="K336" s="493"/>
      <c r="L336" s="493"/>
      <c r="M336" s="493"/>
      <c r="N336" s="493"/>
      <c r="O336" s="421" t="s">
        <v>685</v>
      </c>
      <c r="P336" s="421"/>
      <c r="Q336" s="421"/>
      <c r="R336" s="421"/>
      <c r="S336" s="421"/>
      <c r="T336" s="421"/>
      <c r="U336" s="421"/>
      <c r="V336" s="421"/>
      <c r="W336" s="421"/>
      <c r="X336" s="421"/>
      <c r="Y336" s="421"/>
      <c r="Z336" s="421"/>
      <c r="AA336" s="421"/>
      <c r="AB336" s="421"/>
      <c r="AC336" s="421"/>
      <c r="AD336" s="421"/>
      <c r="AE336" s="421"/>
      <c r="AF336" s="421"/>
      <c r="AG336" s="421"/>
      <c r="AH336" s="421"/>
      <c r="AI336" s="421"/>
      <c r="AJ336" s="421"/>
      <c r="AK336" s="421"/>
      <c r="AL336" s="421"/>
      <c r="AM336" s="421"/>
      <c r="AN336" s="421"/>
      <c r="AO336" s="421"/>
      <c r="AP336" s="421"/>
      <c r="AQ336" s="421"/>
      <c r="AR336" s="421"/>
      <c r="AS336" s="421"/>
      <c r="AT336" s="421"/>
      <c r="AU336" s="421"/>
      <c r="AV336" s="421"/>
      <c r="AW336" s="421"/>
      <c r="AX336" s="421"/>
      <c r="AY336" s="421"/>
      <c r="AZ336" s="421"/>
      <c r="BA336" s="421"/>
      <c r="BC336" s="115"/>
      <c r="BD336" s="115"/>
      <c r="BE336" s="115"/>
      <c r="BF336" s="115"/>
      <c r="BG336" s="115"/>
      <c r="BH336" s="124"/>
      <c r="BI336" s="124"/>
      <c r="BJ336" s="124"/>
      <c r="BK336" s="124"/>
      <c r="BL336" s="124"/>
      <c r="BM336" s="124"/>
      <c r="BN336" s="124"/>
      <c r="BO336" s="124"/>
      <c r="BP336" s="124"/>
      <c r="BQ336" s="124"/>
      <c r="BR336" s="124"/>
      <c r="BS336" s="124"/>
      <c r="BT336" s="124"/>
      <c r="BU336" s="124"/>
      <c r="BV336" s="124"/>
      <c r="BW336" s="124"/>
      <c r="BX336" s="124"/>
      <c r="BY336" s="124"/>
      <c r="BZ336" s="124"/>
      <c r="CA336" s="124"/>
      <c r="CB336" s="124"/>
      <c r="CC336" s="124"/>
      <c r="CD336" s="124"/>
      <c r="CE336" s="124"/>
      <c r="CF336" s="124"/>
      <c r="CG336" s="124"/>
      <c r="CH336" s="124"/>
      <c r="CI336" s="124"/>
      <c r="CJ336" s="124"/>
      <c r="CK336" s="124"/>
      <c r="CL336" s="124"/>
      <c r="CM336" s="124"/>
      <c r="CN336" s="124"/>
      <c r="CO336" s="124"/>
      <c r="CP336" s="124"/>
      <c r="CQ336" s="124"/>
      <c r="CR336" s="124"/>
      <c r="CS336" s="124"/>
      <c r="CT336" s="124"/>
      <c r="CU336" s="124"/>
      <c r="CV336" s="124"/>
      <c r="CW336" s="124"/>
      <c r="CX336" s="124"/>
      <c r="CY336" s="124"/>
      <c r="CZ336" s="124"/>
      <c r="DA336" s="124"/>
      <c r="DB336" s="124"/>
      <c r="DC336" s="124"/>
      <c r="DD336" s="124"/>
      <c r="DE336" s="124"/>
      <c r="DF336" s="124"/>
      <c r="DG336" s="115"/>
    </row>
    <row r="337" spans="2:111" customFormat="1" ht="9" customHeight="1">
      <c r="B337" s="493"/>
      <c r="C337" s="493"/>
      <c r="D337" s="493"/>
      <c r="E337" s="493"/>
      <c r="F337" s="493"/>
      <c r="G337" s="493"/>
      <c r="H337" s="493"/>
      <c r="I337" s="493"/>
      <c r="J337" s="493"/>
      <c r="K337" s="493"/>
      <c r="L337" s="493"/>
      <c r="M337" s="493"/>
      <c r="N337" s="493"/>
      <c r="O337" s="421"/>
      <c r="P337" s="421"/>
      <c r="Q337" s="421"/>
      <c r="R337" s="421"/>
      <c r="S337" s="421"/>
      <c r="T337" s="421"/>
      <c r="U337" s="421"/>
      <c r="V337" s="421"/>
      <c r="W337" s="421"/>
      <c r="X337" s="421"/>
      <c r="Y337" s="421"/>
      <c r="Z337" s="421"/>
      <c r="AA337" s="421"/>
      <c r="AB337" s="421"/>
      <c r="AC337" s="421"/>
      <c r="AD337" s="421"/>
      <c r="AE337" s="421"/>
      <c r="AF337" s="421"/>
      <c r="AG337" s="421"/>
      <c r="AH337" s="421"/>
      <c r="AI337" s="421"/>
      <c r="AJ337" s="421"/>
      <c r="AK337" s="421"/>
      <c r="AL337" s="421"/>
      <c r="AM337" s="421"/>
      <c r="AN337" s="421"/>
      <c r="AO337" s="421"/>
      <c r="AP337" s="421"/>
      <c r="AQ337" s="421"/>
      <c r="AR337" s="421"/>
      <c r="AS337" s="421"/>
      <c r="AT337" s="421"/>
      <c r="AU337" s="421"/>
      <c r="AV337" s="421"/>
      <c r="AW337" s="421"/>
      <c r="AX337" s="421"/>
      <c r="AY337" s="421"/>
      <c r="AZ337" s="421"/>
      <c r="BA337" s="421"/>
      <c r="BC337" s="115"/>
      <c r="BD337" s="115"/>
      <c r="BE337" s="115"/>
      <c r="BF337" s="115"/>
      <c r="BG337" s="115"/>
      <c r="BH337" s="124"/>
      <c r="BI337" s="124"/>
      <c r="BJ337" s="124"/>
      <c r="BK337" s="124"/>
      <c r="BL337" s="124"/>
      <c r="BM337" s="124"/>
      <c r="BN337" s="124"/>
      <c r="BO337" s="124"/>
      <c r="BP337" s="124"/>
      <c r="BQ337" s="124"/>
      <c r="BR337" s="124"/>
      <c r="BS337" s="124"/>
      <c r="BT337" s="124"/>
      <c r="BU337" s="124"/>
      <c r="BV337" s="124"/>
      <c r="BW337" s="124"/>
      <c r="BX337" s="124"/>
      <c r="BY337" s="124"/>
      <c r="BZ337" s="124"/>
      <c r="CA337" s="124"/>
      <c r="CB337" s="124"/>
      <c r="CC337" s="124"/>
      <c r="CD337" s="124"/>
      <c r="CE337" s="124"/>
      <c r="CF337" s="124"/>
      <c r="CG337" s="124"/>
      <c r="CH337" s="124"/>
      <c r="CI337" s="124"/>
      <c r="CJ337" s="124"/>
      <c r="CK337" s="124"/>
      <c r="CL337" s="124"/>
      <c r="CM337" s="124"/>
      <c r="CN337" s="124"/>
      <c r="CO337" s="124"/>
      <c r="CP337" s="124"/>
      <c r="CQ337" s="124"/>
      <c r="CR337" s="124"/>
      <c r="CS337" s="124"/>
      <c r="CT337" s="124"/>
      <c r="CU337" s="124"/>
      <c r="CV337" s="124"/>
      <c r="CW337" s="124"/>
      <c r="CX337" s="124"/>
      <c r="CY337" s="124"/>
      <c r="CZ337" s="124"/>
      <c r="DA337" s="124"/>
      <c r="DB337" s="124"/>
      <c r="DC337" s="124"/>
      <c r="DD337" s="124"/>
      <c r="DE337" s="124"/>
      <c r="DF337" s="124"/>
      <c r="DG337" s="115"/>
    </row>
    <row r="338" spans="2:111" customFormat="1" ht="9" customHeight="1">
      <c r="B338" s="143"/>
      <c r="C338" s="143"/>
      <c r="D338" s="143"/>
      <c r="E338" s="143"/>
      <c r="F338" s="143"/>
      <c r="G338" s="143"/>
      <c r="H338" s="143"/>
      <c r="I338" s="143"/>
      <c r="J338" s="143"/>
      <c r="K338" s="143"/>
      <c r="L338" s="143"/>
      <c r="M338" s="143"/>
      <c r="N338" s="143"/>
      <c r="O338" s="421"/>
      <c r="P338" s="421"/>
      <c r="Q338" s="421"/>
      <c r="R338" s="421"/>
      <c r="S338" s="421"/>
      <c r="T338" s="421"/>
      <c r="U338" s="421"/>
      <c r="V338" s="421"/>
      <c r="W338" s="421"/>
      <c r="X338" s="421"/>
      <c r="Y338" s="421"/>
      <c r="Z338" s="421"/>
      <c r="AA338" s="421"/>
      <c r="AB338" s="421"/>
      <c r="AC338" s="421"/>
      <c r="AD338" s="421"/>
      <c r="AE338" s="421"/>
      <c r="AF338" s="421"/>
      <c r="AG338" s="421"/>
      <c r="AH338" s="421"/>
      <c r="AI338" s="421"/>
      <c r="AJ338" s="421"/>
      <c r="AK338" s="421"/>
      <c r="AL338" s="421"/>
      <c r="AM338" s="421"/>
      <c r="AN338" s="421"/>
      <c r="AO338" s="421"/>
      <c r="AP338" s="421"/>
      <c r="AQ338" s="421"/>
      <c r="AR338" s="421"/>
      <c r="AS338" s="421"/>
      <c r="AT338" s="421"/>
      <c r="AU338" s="421"/>
      <c r="AV338" s="421"/>
      <c r="AW338" s="421"/>
      <c r="AX338" s="421"/>
      <c r="AY338" s="421"/>
      <c r="AZ338" s="421"/>
      <c r="BA338" s="421"/>
      <c r="BC338" s="115"/>
      <c r="BD338" s="115"/>
      <c r="BE338" s="115"/>
      <c r="BF338" s="115"/>
      <c r="BG338" s="115"/>
      <c r="BH338" s="124"/>
      <c r="BI338" s="124"/>
      <c r="BJ338" s="124"/>
      <c r="BK338" s="124"/>
      <c r="BL338" s="124"/>
      <c r="BM338" s="124"/>
      <c r="BN338" s="124"/>
      <c r="BO338" s="124"/>
      <c r="BP338" s="124"/>
      <c r="BQ338" s="124"/>
      <c r="BR338" s="124"/>
      <c r="BS338" s="124"/>
      <c r="BT338" s="124"/>
      <c r="BU338" s="124"/>
      <c r="BV338" s="124"/>
      <c r="BW338" s="124"/>
      <c r="BX338" s="124"/>
      <c r="BY338" s="124"/>
      <c r="BZ338" s="124"/>
      <c r="CA338" s="124"/>
      <c r="CB338" s="124"/>
      <c r="CC338" s="124"/>
      <c r="CD338" s="124"/>
      <c r="CE338" s="124"/>
      <c r="CF338" s="124"/>
      <c r="CG338" s="124"/>
      <c r="CH338" s="124"/>
      <c r="CI338" s="124"/>
      <c r="CJ338" s="124"/>
      <c r="CK338" s="124"/>
      <c r="CL338" s="124"/>
      <c r="CM338" s="124"/>
      <c r="CN338" s="124"/>
      <c r="CO338" s="124"/>
      <c r="CP338" s="124"/>
      <c r="CQ338" s="124"/>
      <c r="CR338" s="124"/>
      <c r="CS338" s="124"/>
      <c r="CT338" s="124"/>
      <c r="CU338" s="124"/>
      <c r="CV338" s="124"/>
      <c r="CW338" s="124"/>
      <c r="CX338" s="124"/>
      <c r="CY338" s="124"/>
      <c r="CZ338" s="124"/>
      <c r="DA338" s="124"/>
      <c r="DB338" s="124"/>
      <c r="DC338" s="124"/>
      <c r="DD338" s="124"/>
      <c r="DE338" s="124"/>
      <c r="DF338" s="124"/>
      <c r="DG338" s="115"/>
    </row>
    <row r="339" spans="2:111" customFormat="1" ht="9" customHeight="1">
      <c r="B339" s="143"/>
      <c r="C339" s="143"/>
      <c r="D339" s="143"/>
      <c r="E339" s="143"/>
      <c r="F339" s="143"/>
      <c r="G339" s="143"/>
      <c r="H339" s="143"/>
      <c r="I339" s="143"/>
      <c r="J339" s="143"/>
      <c r="K339" s="143"/>
      <c r="L339" s="143"/>
      <c r="M339" s="143"/>
      <c r="N339" s="143"/>
      <c r="O339" s="421"/>
      <c r="P339" s="421"/>
      <c r="Q339" s="421"/>
      <c r="R339" s="421"/>
      <c r="S339" s="421"/>
      <c r="T339" s="421"/>
      <c r="U339" s="421"/>
      <c r="V339" s="421"/>
      <c r="W339" s="421"/>
      <c r="X339" s="421"/>
      <c r="Y339" s="421"/>
      <c r="Z339" s="421"/>
      <c r="AA339" s="421"/>
      <c r="AB339" s="421"/>
      <c r="AC339" s="421"/>
      <c r="AD339" s="421"/>
      <c r="AE339" s="421"/>
      <c r="AF339" s="421"/>
      <c r="AG339" s="421"/>
      <c r="AH339" s="421"/>
      <c r="AI339" s="421"/>
      <c r="AJ339" s="421"/>
      <c r="AK339" s="421"/>
      <c r="AL339" s="421"/>
      <c r="AM339" s="421"/>
      <c r="AN339" s="421"/>
      <c r="AO339" s="421"/>
      <c r="AP339" s="421"/>
      <c r="AQ339" s="421"/>
      <c r="AR339" s="421"/>
      <c r="AS339" s="421"/>
      <c r="AT339" s="421"/>
      <c r="AU339" s="421"/>
      <c r="AV339" s="421"/>
      <c r="AW339" s="421"/>
      <c r="AX339" s="421"/>
      <c r="AY339" s="421"/>
      <c r="AZ339" s="421"/>
      <c r="BA339" s="421"/>
      <c r="BC339" s="115"/>
      <c r="BD339" s="115"/>
      <c r="BE339" s="115"/>
      <c r="BF339" s="115"/>
      <c r="BG339" s="115"/>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115"/>
    </row>
    <row r="340" spans="2:111" customFormat="1" ht="9" customHeight="1">
      <c r="B340" s="143"/>
      <c r="C340" s="143"/>
      <c r="D340" s="143"/>
      <c r="E340" s="143"/>
      <c r="F340" s="143"/>
      <c r="G340" s="143"/>
      <c r="H340" s="143"/>
      <c r="I340" s="143"/>
      <c r="J340" s="143"/>
      <c r="K340" s="143"/>
      <c r="L340" s="143"/>
      <c r="M340" s="143"/>
      <c r="N340" s="143"/>
      <c r="O340" s="421"/>
      <c r="P340" s="421"/>
      <c r="Q340" s="421"/>
      <c r="R340" s="421"/>
      <c r="S340" s="421"/>
      <c r="T340" s="421"/>
      <c r="U340" s="421"/>
      <c r="V340" s="421"/>
      <c r="W340" s="421"/>
      <c r="X340" s="421"/>
      <c r="Y340" s="421"/>
      <c r="Z340" s="421"/>
      <c r="AA340" s="421"/>
      <c r="AB340" s="421"/>
      <c r="AC340" s="421"/>
      <c r="AD340" s="421"/>
      <c r="AE340" s="421"/>
      <c r="AF340" s="421"/>
      <c r="AG340" s="421"/>
      <c r="AH340" s="421"/>
      <c r="AI340" s="421"/>
      <c r="AJ340" s="421"/>
      <c r="AK340" s="421"/>
      <c r="AL340" s="421"/>
      <c r="AM340" s="421"/>
      <c r="AN340" s="421"/>
      <c r="AO340" s="421"/>
      <c r="AP340" s="421"/>
      <c r="AQ340" s="421"/>
      <c r="AR340" s="421"/>
      <c r="AS340" s="421"/>
      <c r="AT340" s="421"/>
      <c r="AU340" s="421"/>
      <c r="AV340" s="421"/>
      <c r="AW340" s="421"/>
      <c r="AX340" s="421"/>
      <c r="AY340" s="421"/>
      <c r="AZ340" s="421"/>
      <c r="BA340" s="421"/>
      <c r="BC340" s="115"/>
      <c r="BD340" s="115"/>
      <c r="BE340" s="115"/>
      <c r="BF340" s="115"/>
      <c r="BG340" s="115"/>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115"/>
    </row>
    <row r="341" spans="2:111" customFormat="1" ht="9" customHeight="1">
      <c r="B341" s="49"/>
      <c r="C341" s="49"/>
      <c r="D341" s="49"/>
      <c r="E341" s="49"/>
      <c r="F341" s="49"/>
      <c r="G341" s="49"/>
      <c r="H341" s="49"/>
      <c r="I341" s="49"/>
      <c r="J341" s="49"/>
      <c r="K341" s="49"/>
      <c r="L341" s="49"/>
      <c r="M341" s="49"/>
      <c r="N341" s="49"/>
      <c r="O341" s="421"/>
      <c r="P341" s="421"/>
      <c r="Q341" s="421"/>
      <c r="R341" s="421"/>
      <c r="S341" s="421"/>
      <c r="T341" s="421"/>
      <c r="U341" s="421"/>
      <c r="V341" s="421"/>
      <c r="W341" s="421"/>
      <c r="X341" s="421"/>
      <c r="Y341" s="421"/>
      <c r="Z341" s="421"/>
      <c r="AA341" s="421"/>
      <c r="AB341" s="421"/>
      <c r="AC341" s="421"/>
      <c r="AD341" s="421"/>
      <c r="AE341" s="421"/>
      <c r="AF341" s="421"/>
      <c r="AG341" s="421"/>
      <c r="AH341" s="421"/>
      <c r="AI341" s="421"/>
      <c r="AJ341" s="421"/>
      <c r="AK341" s="421"/>
      <c r="AL341" s="421"/>
      <c r="AM341" s="421"/>
      <c r="AN341" s="421"/>
      <c r="AO341" s="421"/>
      <c r="AP341" s="421"/>
      <c r="AQ341" s="421"/>
      <c r="AR341" s="421"/>
      <c r="AS341" s="421"/>
      <c r="AT341" s="421"/>
      <c r="AU341" s="421"/>
      <c r="AV341" s="421"/>
      <c r="AW341" s="421"/>
      <c r="AX341" s="421"/>
      <c r="AY341" s="421"/>
      <c r="AZ341" s="421"/>
      <c r="BA341" s="421"/>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row>
    <row r="342" spans="2:111" customFormat="1" ht="4.5" customHeight="1">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49"/>
      <c r="AY342" s="49"/>
      <c r="AZ342" s="49"/>
      <c r="BA342" s="49"/>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row>
    <row r="343" spans="2:111" customFormat="1" ht="9" customHeight="1">
      <c r="B343" s="493" t="str">
        <f>IF(B316="","","Metas Vinculadas:")</f>
        <v>Metas Vinculadas:</v>
      </c>
      <c r="C343" s="493"/>
      <c r="D343" s="493"/>
      <c r="E343" s="493"/>
      <c r="F343" s="493"/>
      <c r="G343" s="493"/>
      <c r="H343" s="493"/>
      <c r="I343" s="493"/>
      <c r="J343" s="493"/>
      <c r="K343" s="493"/>
      <c r="L343" s="493"/>
      <c r="M343" s="493"/>
      <c r="N343" s="493"/>
      <c r="O343" s="421">
        <v>4</v>
      </c>
      <c r="P343" s="421"/>
      <c r="Q343" s="421"/>
      <c r="R343" s="421"/>
      <c r="S343" s="421"/>
      <c r="T343" s="421"/>
      <c r="U343" s="421"/>
      <c r="V343" s="421"/>
      <c r="W343" s="421"/>
      <c r="X343" s="421"/>
      <c r="Y343" s="421"/>
      <c r="Z343" s="421"/>
      <c r="AA343" s="421"/>
      <c r="AB343" s="421"/>
      <c r="AC343" s="421"/>
      <c r="AD343" s="421"/>
      <c r="AE343" s="421"/>
      <c r="AF343" s="421"/>
      <c r="AG343" s="421"/>
      <c r="AH343" s="421"/>
      <c r="AI343" s="421"/>
      <c r="AJ343" s="421"/>
      <c r="AK343" s="421"/>
      <c r="AL343" s="421"/>
      <c r="AM343" s="421"/>
      <c r="AN343" s="421"/>
      <c r="AO343" s="421"/>
      <c r="AP343" s="421"/>
      <c r="AQ343" s="421"/>
      <c r="AR343" s="421"/>
      <c r="AS343" s="421"/>
      <c r="AT343" s="421"/>
      <c r="AU343" s="421"/>
      <c r="AV343" s="421"/>
      <c r="AW343" s="421"/>
      <c r="AX343" s="421"/>
      <c r="AY343" s="421"/>
      <c r="AZ343" s="421"/>
      <c r="BA343" s="421"/>
      <c r="BC343" s="115"/>
      <c r="BD343" s="115"/>
      <c r="BE343" s="115"/>
      <c r="BF343" s="115"/>
      <c r="BG343" s="115"/>
      <c r="BH343" s="124"/>
      <c r="BI343" s="124"/>
      <c r="BJ343" s="124"/>
      <c r="BK343" s="124"/>
      <c r="BL343" s="124"/>
      <c r="BM343" s="124"/>
      <c r="BN343" s="12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4"/>
      <c r="CT343" s="124"/>
      <c r="CU343" s="124"/>
      <c r="CV343" s="124"/>
      <c r="CW343" s="124"/>
      <c r="CX343" s="124"/>
      <c r="CY343" s="124"/>
      <c r="CZ343" s="124"/>
      <c r="DA343" s="124"/>
      <c r="DB343" s="124"/>
      <c r="DC343" s="124"/>
      <c r="DD343" s="124"/>
      <c r="DE343" s="124"/>
      <c r="DF343" s="124"/>
      <c r="DG343" s="115"/>
    </row>
    <row r="344" spans="2:111" customFormat="1" ht="9" customHeight="1">
      <c r="B344" s="493"/>
      <c r="C344" s="493"/>
      <c r="D344" s="493"/>
      <c r="E344" s="493"/>
      <c r="F344" s="493"/>
      <c r="G344" s="493"/>
      <c r="H344" s="493"/>
      <c r="I344" s="493"/>
      <c r="J344" s="493"/>
      <c r="K344" s="493"/>
      <c r="L344" s="493"/>
      <c r="M344" s="493"/>
      <c r="N344" s="493"/>
      <c r="O344" s="421"/>
      <c r="P344" s="421"/>
      <c r="Q344" s="421"/>
      <c r="R344" s="421"/>
      <c r="S344" s="421"/>
      <c r="T344" s="421"/>
      <c r="U344" s="421"/>
      <c r="V344" s="421"/>
      <c r="W344" s="421"/>
      <c r="X344" s="421"/>
      <c r="Y344" s="421"/>
      <c r="Z344" s="421"/>
      <c r="AA344" s="421"/>
      <c r="AB344" s="421"/>
      <c r="AC344" s="421"/>
      <c r="AD344" s="421"/>
      <c r="AE344" s="421"/>
      <c r="AF344" s="421"/>
      <c r="AG344" s="421"/>
      <c r="AH344" s="421"/>
      <c r="AI344" s="421"/>
      <c r="AJ344" s="421"/>
      <c r="AK344" s="421"/>
      <c r="AL344" s="421"/>
      <c r="AM344" s="421"/>
      <c r="AN344" s="421"/>
      <c r="AO344" s="421"/>
      <c r="AP344" s="421"/>
      <c r="AQ344" s="421"/>
      <c r="AR344" s="421"/>
      <c r="AS344" s="421"/>
      <c r="AT344" s="421"/>
      <c r="AU344" s="421"/>
      <c r="AV344" s="421"/>
      <c r="AW344" s="421"/>
      <c r="AX344" s="421"/>
      <c r="AY344" s="421"/>
      <c r="AZ344" s="421"/>
      <c r="BA344" s="421"/>
      <c r="BC344" s="115"/>
      <c r="BD344" s="115"/>
      <c r="BE344" s="115"/>
      <c r="BF344" s="115"/>
      <c r="BG344" s="115"/>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115"/>
    </row>
    <row r="345" spans="2:111" customFormat="1" ht="4.5" customHeight="1">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row>
    <row r="346" spans="2:111" customFormat="1" ht="9" customHeight="1">
      <c r="B346" s="125"/>
      <c r="C346" s="125"/>
      <c r="D346" s="125"/>
      <c r="E346" s="125"/>
      <c r="F346" s="125"/>
      <c r="G346" s="125"/>
      <c r="H346" s="125"/>
      <c r="I346" s="125"/>
      <c r="J346" s="125"/>
      <c r="K346" s="125"/>
      <c r="L346" s="125"/>
      <c r="M346" s="125"/>
      <c r="N346" s="125"/>
      <c r="O346" s="496" t="str">
        <f>IF(B316="","","Quantidade:")</f>
        <v>Quantidade:</v>
      </c>
      <c r="P346" s="496"/>
      <c r="Q346" s="496"/>
      <c r="R346" s="496"/>
      <c r="S346" s="496"/>
      <c r="T346" s="496"/>
      <c r="U346" s="496"/>
      <c r="V346" s="417">
        <v>16</v>
      </c>
      <c r="W346" s="417"/>
      <c r="X346" s="417"/>
      <c r="Y346" s="417"/>
      <c r="Z346" s="417"/>
      <c r="AA346" s="417"/>
      <c r="AB346" s="417"/>
      <c r="AC346" s="417"/>
      <c r="AD346" s="417"/>
      <c r="AE346" s="417"/>
      <c r="AF346" s="125"/>
      <c r="AG346" s="497" t="str">
        <f>IF(B316="","","Unidade:")</f>
        <v>Unidade:</v>
      </c>
      <c r="AH346" s="497"/>
      <c r="AI346" s="497"/>
      <c r="AJ346" s="497"/>
      <c r="AK346" s="497"/>
      <c r="AL346" s="497"/>
      <c r="AM346" s="497"/>
      <c r="AN346" s="125"/>
      <c r="AO346" s="417" t="s">
        <v>582</v>
      </c>
      <c r="AP346" s="417"/>
      <c r="AQ346" s="417"/>
      <c r="AR346" s="417"/>
      <c r="AS346" s="417"/>
      <c r="AT346" s="417"/>
      <c r="AU346" s="417"/>
      <c r="AV346" s="417"/>
      <c r="AW346" s="417"/>
      <c r="AX346" s="417"/>
      <c r="AY346" s="417"/>
      <c r="AZ346" s="417"/>
      <c r="BA346" s="417"/>
      <c r="BC346" s="115"/>
      <c r="BD346" s="115"/>
      <c r="BE346" s="115"/>
      <c r="BF346" s="115"/>
      <c r="BG346" s="115"/>
      <c r="BH346" s="124"/>
      <c r="BI346" s="124"/>
      <c r="BJ346" s="124"/>
      <c r="BK346" s="124"/>
      <c r="BL346" s="124"/>
      <c r="BM346" s="124"/>
      <c r="BN346" s="124"/>
      <c r="BO346" s="124"/>
      <c r="BP346" s="124"/>
      <c r="BQ346" s="124"/>
      <c r="BR346" s="124"/>
      <c r="BS346" s="124"/>
      <c r="BT346" s="124"/>
      <c r="BU346" s="124"/>
      <c r="BV346" s="124"/>
      <c r="BW346" s="124"/>
      <c r="BX346" s="124"/>
      <c r="BY346" s="124"/>
      <c r="BZ346" s="124"/>
      <c r="CA346" s="124"/>
      <c r="CB346" s="124"/>
      <c r="CC346" s="124"/>
      <c r="CD346" s="124"/>
      <c r="CE346" s="124"/>
      <c r="CF346" s="124"/>
      <c r="CG346" s="124"/>
      <c r="CH346" s="124"/>
      <c r="CI346" s="124"/>
      <c r="CJ346" s="124"/>
      <c r="CK346" s="124"/>
      <c r="CL346" s="124"/>
      <c r="CM346" s="124"/>
      <c r="CN346" s="124"/>
      <c r="CO346" s="124"/>
      <c r="CP346" s="124"/>
      <c r="CQ346" s="124"/>
      <c r="CR346" s="124"/>
      <c r="CS346" s="124"/>
      <c r="CT346" s="124"/>
      <c r="CU346" s="124"/>
      <c r="CV346" s="124"/>
      <c r="CW346" s="124"/>
      <c r="CX346" s="124"/>
      <c r="CY346" s="124"/>
      <c r="CZ346" s="124"/>
      <c r="DA346" s="124"/>
      <c r="DB346" s="124"/>
      <c r="DC346" s="124"/>
      <c r="DD346" s="124"/>
      <c r="DE346" s="124"/>
      <c r="DF346" s="124"/>
      <c r="DG346" s="115"/>
    </row>
    <row r="347" spans="2:111" customFormat="1" ht="9" customHeight="1">
      <c r="B347" s="125"/>
      <c r="C347" s="125"/>
      <c r="D347" s="125"/>
      <c r="E347" s="125"/>
      <c r="F347" s="125"/>
      <c r="G347" s="125"/>
      <c r="H347" s="125"/>
      <c r="I347" s="125"/>
      <c r="J347" s="125"/>
      <c r="K347" s="125"/>
      <c r="L347" s="125"/>
      <c r="M347" s="125"/>
      <c r="N347" s="125"/>
      <c r="O347" s="496"/>
      <c r="P347" s="496"/>
      <c r="Q347" s="496"/>
      <c r="R347" s="496"/>
      <c r="S347" s="496"/>
      <c r="T347" s="496"/>
      <c r="U347" s="496"/>
      <c r="V347" s="417"/>
      <c r="W347" s="417"/>
      <c r="X347" s="417"/>
      <c r="Y347" s="417"/>
      <c r="Z347" s="417"/>
      <c r="AA347" s="417"/>
      <c r="AB347" s="417"/>
      <c r="AC347" s="417"/>
      <c r="AD347" s="417"/>
      <c r="AE347" s="417"/>
      <c r="AF347" s="125"/>
      <c r="AG347" s="497"/>
      <c r="AH347" s="497"/>
      <c r="AI347" s="497"/>
      <c r="AJ347" s="497"/>
      <c r="AK347" s="497"/>
      <c r="AL347" s="497"/>
      <c r="AM347" s="497"/>
      <c r="AN347" s="125"/>
      <c r="AO347" s="417"/>
      <c r="AP347" s="417"/>
      <c r="AQ347" s="417"/>
      <c r="AR347" s="417"/>
      <c r="AS347" s="417"/>
      <c r="AT347" s="417"/>
      <c r="AU347" s="417"/>
      <c r="AV347" s="417"/>
      <c r="AW347" s="417"/>
      <c r="AX347" s="417"/>
      <c r="AY347" s="417"/>
      <c r="AZ347" s="417"/>
      <c r="BA347" s="417"/>
      <c r="BC347" s="115"/>
      <c r="BD347" s="115"/>
      <c r="BE347" s="115"/>
      <c r="BF347" s="115"/>
      <c r="BG347" s="115"/>
      <c r="BH347" s="124"/>
      <c r="BI347" s="124"/>
      <c r="BJ347" s="124"/>
      <c r="BK347" s="124"/>
      <c r="BL347" s="124"/>
      <c r="BM347" s="124"/>
      <c r="BN347" s="12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4"/>
      <c r="CT347" s="124"/>
      <c r="CU347" s="124"/>
      <c r="CV347" s="124"/>
      <c r="CW347" s="124"/>
      <c r="CX347" s="124"/>
      <c r="CY347" s="124"/>
      <c r="CZ347" s="124"/>
      <c r="DA347" s="124"/>
      <c r="DB347" s="124"/>
      <c r="DC347" s="124"/>
      <c r="DD347" s="124"/>
      <c r="DE347" s="124"/>
      <c r="DF347" s="124"/>
      <c r="DG347" s="115"/>
    </row>
    <row r="348" spans="2:111" customFormat="1" ht="9" customHeight="1">
      <c r="BC348" s="115"/>
      <c r="BD348" s="115"/>
      <c r="BE348" s="115"/>
      <c r="BF348" s="115"/>
      <c r="BG348" s="115"/>
      <c r="BH348" s="498"/>
      <c r="BI348" s="498"/>
      <c r="BJ348" s="498"/>
      <c r="BK348" s="498"/>
      <c r="BL348" s="498"/>
      <c r="BM348" s="498"/>
      <c r="BN348" s="498"/>
      <c r="BO348" s="498"/>
      <c r="BP348" s="498"/>
      <c r="BQ348" s="498"/>
      <c r="BR348" s="498"/>
      <c r="BS348" s="498"/>
      <c r="BT348" s="498"/>
      <c r="BU348" s="498"/>
      <c r="BV348" s="498"/>
      <c r="BW348" s="498"/>
      <c r="BX348" s="498"/>
      <c r="BY348" s="498"/>
      <c r="BZ348" s="498"/>
      <c r="CA348" s="498"/>
      <c r="CB348" s="498"/>
      <c r="CC348" s="498"/>
      <c r="CD348" s="498"/>
      <c r="CE348" s="498"/>
      <c r="CF348" s="498"/>
      <c r="CG348" s="498"/>
      <c r="CH348" s="498"/>
      <c r="CI348" s="498"/>
      <c r="CJ348" s="498"/>
      <c r="CK348" s="498"/>
      <c r="CL348" s="498"/>
      <c r="CM348" s="498"/>
      <c r="CN348" s="498"/>
      <c r="CO348" s="498"/>
      <c r="CP348" s="498"/>
      <c r="CQ348" s="498"/>
      <c r="CR348" s="498"/>
      <c r="CS348" s="498"/>
      <c r="CT348" s="498"/>
      <c r="CU348" s="498"/>
      <c r="CV348" s="498"/>
      <c r="CW348" s="498"/>
      <c r="CX348" s="498"/>
      <c r="CY348" s="498"/>
      <c r="CZ348" s="498"/>
      <c r="DA348" s="498"/>
      <c r="DB348" s="498"/>
      <c r="DC348" s="498"/>
      <c r="DD348" s="498"/>
      <c r="DE348" s="498"/>
      <c r="DF348" s="498"/>
      <c r="DG348" s="115"/>
    </row>
    <row r="349" spans="2:111" customFormat="1" ht="9" customHeight="1">
      <c r="B349" s="499" t="str">
        <f>IF($Z$32&gt;=8,"Nome da Empresa ou Nº da Ata","")</f>
        <v>Nome da Empresa ou Nº da Ata</v>
      </c>
      <c r="C349" s="499"/>
      <c r="D349" s="499"/>
      <c r="E349" s="499"/>
      <c r="F349" s="499"/>
      <c r="G349" s="499"/>
      <c r="H349" s="499"/>
      <c r="I349" s="499"/>
      <c r="J349" s="499"/>
      <c r="K349" s="499"/>
      <c r="L349" s="499"/>
      <c r="M349" s="499"/>
      <c r="N349" s="499"/>
      <c r="O349" s="499"/>
      <c r="P349" s="499"/>
      <c r="Q349" s="499"/>
      <c r="R349" s="499"/>
      <c r="S349" s="499"/>
      <c r="T349" s="499"/>
      <c r="U349" s="499"/>
      <c r="V349" s="499"/>
      <c r="W349" s="499"/>
      <c r="X349" s="499" t="str">
        <f>IF($Z$32&gt;=8,"CNPJ / CPF","")</f>
        <v>CNPJ / CPF</v>
      </c>
      <c r="Y349" s="499"/>
      <c r="Z349" s="499"/>
      <c r="AA349" s="499"/>
      <c r="AB349" s="499"/>
      <c r="AC349" s="499"/>
      <c r="AD349" s="499"/>
      <c r="AE349" s="499"/>
      <c r="AF349" s="499"/>
      <c r="AG349" s="499"/>
      <c r="AH349" s="499" t="str">
        <f>IF($Z$32&gt;=8,"Qtde","")</f>
        <v>Qtde</v>
      </c>
      <c r="AI349" s="499"/>
      <c r="AJ349" s="499"/>
      <c r="AK349" s="499"/>
      <c r="AL349" s="499" t="str">
        <f>IF($Z$32&gt;=8,"Valor Unitário (R$)","")</f>
        <v>Valor Unitário (R$)</v>
      </c>
      <c r="AM349" s="499"/>
      <c r="AN349" s="499"/>
      <c r="AO349" s="499"/>
      <c r="AP349" s="499"/>
      <c r="AQ349" s="499"/>
      <c r="AR349" s="499"/>
      <c r="AS349" s="499"/>
      <c r="AT349" s="499" t="str">
        <f>IF($Z$32&gt;=8,"Valor Total (R$)","")</f>
        <v>Valor Total (R$)</v>
      </c>
      <c r="AU349" s="499"/>
      <c r="AV349" s="499"/>
      <c r="AW349" s="499"/>
      <c r="AX349" s="499"/>
      <c r="AY349" s="499"/>
      <c r="AZ349" s="499"/>
      <c r="BA349" s="499"/>
      <c r="BC349" s="115"/>
      <c r="BD349" s="115"/>
      <c r="BE349" s="115"/>
      <c r="BF349" s="115"/>
      <c r="BG349" s="115"/>
      <c r="BH349" s="498"/>
      <c r="BI349" s="498"/>
      <c r="BJ349" s="498"/>
      <c r="BK349" s="498"/>
      <c r="BL349" s="498"/>
      <c r="BM349" s="498"/>
      <c r="BN349" s="498"/>
      <c r="BO349" s="498"/>
      <c r="BP349" s="498"/>
      <c r="BQ349" s="498"/>
      <c r="BR349" s="498"/>
      <c r="BS349" s="498"/>
      <c r="BT349" s="498"/>
      <c r="BU349" s="498"/>
      <c r="BV349" s="498"/>
      <c r="BW349" s="498"/>
      <c r="BX349" s="498"/>
      <c r="BY349" s="498"/>
      <c r="BZ349" s="498"/>
      <c r="CA349" s="498"/>
      <c r="CB349" s="498"/>
      <c r="CC349" s="498"/>
      <c r="CD349" s="498"/>
      <c r="CE349" s="498"/>
      <c r="CF349" s="498"/>
      <c r="CG349" s="498"/>
      <c r="CH349" s="498"/>
      <c r="CI349" s="498"/>
      <c r="CJ349" s="498"/>
      <c r="CK349" s="498"/>
      <c r="CL349" s="498"/>
      <c r="CM349" s="498"/>
      <c r="CN349" s="498"/>
      <c r="CO349" s="498"/>
      <c r="CP349" s="498"/>
      <c r="CQ349" s="498"/>
      <c r="CR349" s="498"/>
      <c r="CS349" s="498"/>
      <c r="CT349" s="498"/>
      <c r="CU349" s="498"/>
      <c r="CV349" s="498"/>
      <c r="CW349" s="498"/>
      <c r="CX349" s="498"/>
      <c r="CY349" s="498"/>
      <c r="CZ349" s="498"/>
      <c r="DA349" s="498"/>
      <c r="DB349" s="498"/>
      <c r="DC349" s="498"/>
      <c r="DD349" s="498"/>
      <c r="DE349" s="498"/>
      <c r="DF349" s="498"/>
      <c r="DG349" s="115"/>
    </row>
    <row r="350" spans="2:111" customFormat="1" ht="9" customHeight="1">
      <c r="B350" s="499"/>
      <c r="C350" s="499"/>
      <c r="D350" s="499"/>
      <c r="E350" s="499"/>
      <c r="F350" s="499"/>
      <c r="G350" s="499"/>
      <c r="H350" s="499"/>
      <c r="I350" s="499"/>
      <c r="J350" s="499"/>
      <c r="K350" s="499"/>
      <c r="L350" s="499"/>
      <c r="M350" s="499"/>
      <c r="N350" s="499"/>
      <c r="O350" s="499"/>
      <c r="P350" s="499"/>
      <c r="Q350" s="499"/>
      <c r="R350" s="499"/>
      <c r="S350" s="499"/>
      <c r="T350" s="499"/>
      <c r="U350" s="499"/>
      <c r="V350" s="499"/>
      <c r="W350" s="499"/>
      <c r="X350" s="499"/>
      <c r="Y350" s="499"/>
      <c r="Z350" s="499"/>
      <c r="AA350" s="499"/>
      <c r="AB350" s="499"/>
      <c r="AC350" s="499"/>
      <c r="AD350" s="499"/>
      <c r="AE350" s="499"/>
      <c r="AF350" s="499"/>
      <c r="AG350" s="499"/>
      <c r="AH350" s="499"/>
      <c r="AI350" s="499"/>
      <c r="AJ350" s="499"/>
      <c r="AK350" s="499"/>
      <c r="AL350" s="499"/>
      <c r="AM350" s="499"/>
      <c r="AN350" s="499"/>
      <c r="AO350" s="499"/>
      <c r="AP350" s="499"/>
      <c r="AQ350" s="499"/>
      <c r="AR350" s="499"/>
      <c r="AS350" s="499"/>
      <c r="AT350" s="499"/>
      <c r="AU350" s="499"/>
      <c r="AV350" s="499"/>
      <c r="AW350" s="499"/>
      <c r="AX350" s="499"/>
      <c r="AY350" s="499"/>
      <c r="AZ350" s="499"/>
      <c r="BA350" s="499"/>
      <c r="BB350" s="176">
        <f>AVERAGE(AL351:AS353)</f>
        <v>213.23000000000002</v>
      </c>
      <c r="BC350" s="115"/>
      <c r="BD350" s="115"/>
      <c r="BE350" s="115"/>
      <c r="BF350" s="115"/>
      <c r="BG350" s="115"/>
      <c r="BH350" s="498"/>
      <c r="BI350" s="498"/>
      <c r="BJ350" s="498"/>
      <c r="BK350" s="498"/>
      <c r="BL350" s="498"/>
      <c r="BM350" s="498"/>
      <c r="BN350" s="498"/>
      <c r="BO350" s="498"/>
      <c r="BP350" s="498"/>
      <c r="BQ350" s="498"/>
      <c r="BR350" s="498"/>
      <c r="BS350" s="498"/>
      <c r="BT350" s="498"/>
      <c r="BU350" s="498"/>
      <c r="BV350" s="498"/>
      <c r="BW350" s="498"/>
      <c r="BX350" s="498"/>
      <c r="BY350" s="498"/>
      <c r="BZ350" s="498"/>
      <c r="CA350" s="498"/>
      <c r="CB350" s="498"/>
      <c r="CC350" s="498"/>
      <c r="CD350" s="498"/>
      <c r="CE350" s="498"/>
      <c r="CF350" s="498"/>
      <c r="CG350" s="498"/>
      <c r="CH350" s="498"/>
      <c r="CI350" s="498"/>
      <c r="CJ350" s="498"/>
      <c r="CK350" s="498"/>
      <c r="CL350" s="498"/>
      <c r="CM350" s="498"/>
      <c r="CN350" s="498"/>
      <c r="CO350" s="498"/>
      <c r="CP350" s="498"/>
      <c r="CQ350" s="498"/>
      <c r="CR350" s="498"/>
      <c r="CS350" s="498"/>
      <c r="CT350" s="498"/>
      <c r="CU350" s="498"/>
      <c r="CV350" s="498"/>
      <c r="CW350" s="498"/>
      <c r="CX350" s="498"/>
      <c r="CY350" s="498"/>
      <c r="CZ350" s="498"/>
      <c r="DA350" s="498"/>
      <c r="DB350" s="498"/>
      <c r="DC350" s="498"/>
      <c r="DD350" s="498"/>
      <c r="DE350" s="498"/>
      <c r="DF350" s="498"/>
      <c r="DG350" s="115"/>
    </row>
    <row r="351" spans="2:111" customFormat="1" ht="18" customHeight="1">
      <c r="B351" s="233" t="s">
        <v>653</v>
      </c>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486" t="s">
        <v>656</v>
      </c>
      <c r="Y351" s="486"/>
      <c r="Z351" s="486"/>
      <c r="AA351" s="486"/>
      <c r="AB351" s="486"/>
      <c r="AC351" s="486"/>
      <c r="AD351" s="486"/>
      <c r="AE351" s="486"/>
      <c r="AF351" s="486"/>
      <c r="AG351" s="486"/>
      <c r="AH351" s="417">
        <v>16</v>
      </c>
      <c r="AI351" s="417"/>
      <c r="AJ351" s="417"/>
      <c r="AK351" s="417"/>
      <c r="AL351" s="419">
        <v>179.9</v>
      </c>
      <c r="AM351" s="419"/>
      <c r="AN351" s="419"/>
      <c r="AO351" s="419"/>
      <c r="AP351" s="419"/>
      <c r="AQ351" s="419"/>
      <c r="AR351" s="419"/>
      <c r="AS351" s="419"/>
      <c r="AT351" s="487">
        <f>IF($Z$32&gt;=8,(AH351*AL351),"")</f>
        <v>2878.4</v>
      </c>
      <c r="AU351" s="487"/>
      <c r="AV351" s="487"/>
      <c r="AW351" s="487"/>
      <c r="AX351" s="487"/>
      <c r="AY351" s="487"/>
      <c r="AZ351" s="487"/>
      <c r="BA351" s="487"/>
      <c r="BC351" s="115"/>
      <c r="BD351" s="115"/>
      <c r="BE351" s="115"/>
      <c r="BF351" s="115"/>
      <c r="BG351" s="115"/>
      <c r="BH351" s="498"/>
      <c r="BI351" s="498"/>
      <c r="BJ351" s="498"/>
      <c r="BK351" s="498"/>
      <c r="BL351" s="498"/>
      <c r="BM351" s="498"/>
      <c r="BN351" s="498"/>
      <c r="BO351" s="498"/>
      <c r="BP351" s="498"/>
      <c r="BQ351" s="498"/>
      <c r="BR351" s="498"/>
      <c r="BS351" s="498"/>
      <c r="BT351" s="498"/>
      <c r="BU351" s="498"/>
      <c r="BV351" s="498"/>
      <c r="BW351" s="498"/>
      <c r="BX351" s="498"/>
      <c r="BY351" s="498"/>
      <c r="BZ351" s="498"/>
      <c r="CA351" s="498"/>
      <c r="CB351" s="498"/>
      <c r="CC351" s="498"/>
      <c r="CD351" s="498"/>
      <c r="CE351" s="498"/>
      <c r="CF351" s="498"/>
      <c r="CG351" s="498"/>
      <c r="CH351" s="498"/>
      <c r="CI351" s="498"/>
      <c r="CJ351" s="498"/>
      <c r="CK351" s="498"/>
      <c r="CL351" s="498"/>
      <c r="CM351" s="498"/>
      <c r="CN351" s="498"/>
      <c r="CO351" s="498"/>
      <c r="CP351" s="498"/>
      <c r="CQ351" s="498"/>
      <c r="CR351" s="498"/>
      <c r="CS351" s="498"/>
      <c r="CT351" s="498"/>
      <c r="CU351" s="498"/>
      <c r="CV351" s="498"/>
      <c r="CW351" s="498"/>
      <c r="CX351" s="498"/>
      <c r="CY351" s="498"/>
      <c r="CZ351" s="498"/>
      <c r="DA351" s="498"/>
      <c r="DB351" s="498"/>
      <c r="DC351" s="498"/>
      <c r="DD351" s="498"/>
      <c r="DE351" s="498"/>
      <c r="DF351" s="498"/>
      <c r="DG351" s="115"/>
    </row>
    <row r="352" spans="2:111" customFormat="1" ht="18" customHeight="1">
      <c r="B352" s="233" t="s">
        <v>654</v>
      </c>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486" t="s">
        <v>657</v>
      </c>
      <c r="Y352" s="486"/>
      <c r="Z352" s="486"/>
      <c r="AA352" s="486"/>
      <c r="AB352" s="486"/>
      <c r="AC352" s="486"/>
      <c r="AD352" s="486"/>
      <c r="AE352" s="486"/>
      <c r="AF352" s="486"/>
      <c r="AG352" s="486"/>
      <c r="AH352" s="417">
        <v>16</v>
      </c>
      <c r="AI352" s="417"/>
      <c r="AJ352" s="417"/>
      <c r="AK352" s="417"/>
      <c r="AL352" s="419">
        <v>226.1</v>
      </c>
      <c r="AM352" s="419"/>
      <c r="AN352" s="419"/>
      <c r="AO352" s="419"/>
      <c r="AP352" s="419"/>
      <c r="AQ352" s="419"/>
      <c r="AR352" s="419"/>
      <c r="AS352" s="419"/>
      <c r="AT352" s="487">
        <f>IF($Z$32&gt;=8,(AH352*AL352),"")</f>
        <v>3617.6</v>
      </c>
      <c r="AU352" s="487"/>
      <c r="AV352" s="487"/>
      <c r="AW352" s="487"/>
      <c r="AX352" s="487"/>
      <c r="AY352" s="487"/>
      <c r="AZ352" s="487"/>
      <c r="BA352" s="487"/>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row>
    <row r="353" spans="2:111" customFormat="1" ht="18" customHeight="1">
      <c r="B353" s="233" t="s">
        <v>655</v>
      </c>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486" t="s">
        <v>658</v>
      </c>
      <c r="Y353" s="486"/>
      <c r="Z353" s="486"/>
      <c r="AA353" s="486"/>
      <c r="AB353" s="486"/>
      <c r="AC353" s="486"/>
      <c r="AD353" s="486"/>
      <c r="AE353" s="486"/>
      <c r="AF353" s="486"/>
      <c r="AG353" s="486"/>
      <c r="AH353" s="417">
        <v>16</v>
      </c>
      <c r="AI353" s="417"/>
      <c r="AJ353" s="417"/>
      <c r="AK353" s="417"/>
      <c r="AL353" s="419">
        <v>233.69</v>
      </c>
      <c r="AM353" s="419"/>
      <c r="AN353" s="419"/>
      <c r="AO353" s="419"/>
      <c r="AP353" s="419"/>
      <c r="AQ353" s="419"/>
      <c r="AR353" s="419"/>
      <c r="AS353" s="419"/>
      <c r="AT353" s="487">
        <f>IF($Z$32&gt;=8,(AH353*AL353),"")</f>
        <v>3739.04</v>
      </c>
      <c r="AU353" s="487"/>
      <c r="AV353" s="487"/>
      <c r="AW353" s="487"/>
      <c r="AX353" s="487"/>
      <c r="AY353" s="487"/>
      <c r="AZ353" s="487"/>
      <c r="BA353" s="487"/>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row>
    <row r="354" spans="2:111" customFormat="1" ht="15" customHeight="1">
      <c r="AT354" s="500">
        <f>IF(B351="","",IF(AL352="",AT351,IF(AL353="",AVERAGE(AT351:BA352),AVERAGE(AT351:AT353))))</f>
        <v>3411.6800000000003</v>
      </c>
      <c r="AU354" s="500"/>
      <c r="AV354" s="500"/>
      <c r="AW354" s="500"/>
      <c r="AX354" s="500"/>
      <c r="AY354" s="500"/>
      <c r="AZ354" s="500"/>
      <c r="BA354" s="500"/>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row>
    <row r="355" spans="2:111" customFormat="1" ht="15" customHeight="1">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row>
    <row r="356" spans="2:111" customFormat="1" ht="9" customHeight="1">
      <c r="B356" s="494" t="str">
        <f>IF($Z$32&gt;=9,"Item 9","")</f>
        <v>Item 9</v>
      </c>
      <c r="C356" s="495"/>
      <c r="D356" s="495"/>
      <c r="E356" s="495"/>
      <c r="F356" s="495"/>
      <c r="G356" s="495"/>
      <c r="H356" s="495"/>
      <c r="I356" s="495"/>
      <c r="J356" s="495"/>
      <c r="K356" s="495"/>
      <c r="L356" s="495"/>
      <c r="M356" s="49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row>
    <row r="357" spans="2:111" customFormat="1" ht="9" customHeight="1">
      <c r="B357" s="495"/>
      <c r="C357" s="495"/>
      <c r="D357" s="495"/>
      <c r="E357" s="495"/>
      <c r="F357" s="495"/>
      <c r="G357" s="495"/>
      <c r="H357" s="495"/>
      <c r="I357" s="495"/>
      <c r="J357" s="495"/>
      <c r="K357" s="495"/>
      <c r="L357" s="495"/>
      <c r="M357" s="49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row>
    <row r="358" spans="2:111" customFormat="1" ht="4.5" customHeight="1">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row>
    <row r="359" spans="2:111" customFormat="1" ht="9" customHeight="1">
      <c r="B359" s="493" t="str">
        <f>IF(B356="","","Elemento de Despesa:")</f>
        <v>Elemento de Despesa:</v>
      </c>
      <c r="C359" s="493"/>
      <c r="D359" s="493"/>
      <c r="E359" s="493"/>
      <c r="F359" s="493"/>
      <c r="G359" s="493"/>
      <c r="H359" s="493"/>
      <c r="I359" s="493"/>
      <c r="J359" s="493"/>
      <c r="K359" s="493"/>
      <c r="L359" s="493"/>
      <c r="M359" s="493"/>
      <c r="N359" s="493"/>
      <c r="O359" s="241" t="s">
        <v>276</v>
      </c>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C359" s="115"/>
      <c r="BD359" s="115"/>
      <c r="BE359" s="115"/>
      <c r="BF359" s="115"/>
      <c r="BG359" s="115"/>
      <c r="BH359" s="124"/>
      <c r="BI359" s="124"/>
      <c r="BJ359" s="124"/>
      <c r="BK359" s="124"/>
      <c r="BL359" s="124"/>
      <c r="BM359" s="124"/>
      <c r="BN359" s="124"/>
      <c r="BO359" s="124"/>
      <c r="BP359" s="124"/>
      <c r="BQ359" s="124"/>
      <c r="BR359" s="124"/>
      <c r="BS359" s="124"/>
      <c r="BT359" s="124"/>
      <c r="BU359" s="124"/>
      <c r="BV359" s="124"/>
      <c r="BW359" s="124"/>
      <c r="BX359" s="124"/>
      <c r="BY359" s="124"/>
      <c r="BZ359" s="124"/>
      <c r="CA359" s="124"/>
      <c r="CB359" s="124"/>
      <c r="CC359" s="124"/>
      <c r="CD359" s="124"/>
      <c r="CE359" s="124"/>
      <c r="CF359" s="124"/>
      <c r="CG359" s="124"/>
      <c r="CH359" s="124"/>
      <c r="CI359" s="124"/>
      <c r="CJ359" s="124"/>
      <c r="CK359" s="124"/>
      <c r="CL359" s="124"/>
      <c r="CM359" s="124"/>
      <c r="CN359" s="124"/>
      <c r="CO359" s="124"/>
      <c r="CP359" s="124"/>
      <c r="CQ359" s="124"/>
      <c r="CR359" s="124"/>
      <c r="CS359" s="124"/>
      <c r="CT359" s="124"/>
      <c r="CU359" s="124"/>
      <c r="CV359" s="124"/>
      <c r="CW359" s="124"/>
      <c r="CX359" s="124"/>
      <c r="CY359" s="124"/>
      <c r="CZ359" s="124"/>
      <c r="DA359" s="124"/>
      <c r="DB359" s="124"/>
      <c r="DC359" s="124"/>
      <c r="DD359" s="124"/>
      <c r="DE359" s="124"/>
      <c r="DF359" s="124"/>
      <c r="DG359" s="115"/>
    </row>
    <row r="360" spans="2:111" customFormat="1" ht="9" customHeight="1">
      <c r="B360" s="493"/>
      <c r="C360" s="493"/>
      <c r="D360" s="493"/>
      <c r="E360" s="493"/>
      <c r="F360" s="493"/>
      <c r="G360" s="493"/>
      <c r="H360" s="493"/>
      <c r="I360" s="493"/>
      <c r="J360" s="493"/>
      <c r="K360" s="493"/>
      <c r="L360" s="493"/>
      <c r="M360" s="493"/>
      <c r="N360" s="493"/>
      <c r="O360" s="241"/>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C360" s="115"/>
      <c r="BD360" s="115"/>
      <c r="BE360" s="115"/>
      <c r="BF360" s="115"/>
      <c r="BG360" s="115"/>
      <c r="BH360" s="124"/>
      <c r="BI360" s="124"/>
      <c r="BJ360" s="124"/>
      <c r="BK360" s="124"/>
      <c r="BL360" s="124"/>
      <c r="BM360" s="124"/>
      <c r="BN360" s="124"/>
      <c r="BO360" s="124"/>
      <c r="BP360" s="124"/>
      <c r="BQ360" s="124"/>
      <c r="BR360" s="124"/>
      <c r="BS360" s="124"/>
      <c r="BT360" s="124"/>
      <c r="BU360" s="124"/>
      <c r="BV360" s="124"/>
      <c r="BW360" s="124"/>
      <c r="BX360" s="124"/>
      <c r="BY360" s="124"/>
      <c r="BZ360" s="124"/>
      <c r="CA360" s="124"/>
      <c r="CB360" s="124"/>
      <c r="CC360" s="124"/>
      <c r="CD360" s="124"/>
      <c r="CE360" s="124"/>
      <c r="CF360" s="124"/>
      <c r="CG360" s="124"/>
      <c r="CH360" s="124"/>
      <c r="CI360" s="124"/>
      <c r="CJ360" s="124"/>
      <c r="CK360" s="124"/>
      <c r="CL360" s="124"/>
      <c r="CM360" s="124"/>
      <c r="CN360" s="124"/>
      <c r="CO360" s="124"/>
      <c r="CP360" s="124"/>
      <c r="CQ360" s="124"/>
      <c r="CR360" s="124"/>
      <c r="CS360" s="124"/>
      <c r="CT360" s="124"/>
      <c r="CU360" s="124"/>
      <c r="CV360" s="124"/>
      <c r="CW360" s="124"/>
      <c r="CX360" s="124"/>
      <c r="CY360" s="124"/>
      <c r="CZ360" s="124"/>
      <c r="DA360" s="124"/>
      <c r="DB360" s="124"/>
      <c r="DC360" s="124"/>
      <c r="DD360" s="124"/>
      <c r="DE360" s="124"/>
      <c r="DF360" s="124"/>
      <c r="DG360" s="115"/>
    </row>
    <row r="361" spans="2:111" customFormat="1" ht="4.5" customHeight="1">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C361" s="115"/>
      <c r="BD361" s="115"/>
      <c r="BE361" s="115"/>
      <c r="BF361" s="115"/>
      <c r="BG361" s="115"/>
      <c r="BH361" s="124"/>
      <c r="BI361" s="124"/>
      <c r="BJ361" s="124"/>
      <c r="BK361" s="124"/>
      <c r="BL361" s="124"/>
      <c r="BM361" s="124"/>
      <c r="BN361" s="124"/>
      <c r="BO361" s="124"/>
      <c r="BP361" s="124"/>
      <c r="BQ361" s="124"/>
      <c r="BR361" s="124"/>
      <c r="BS361" s="124"/>
      <c r="BT361" s="124"/>
      <c r="BU361" s="124"/>
      <c r="BV361" s="124"/>
      <c r="BW361" s="124"/>
      <c r="BX361" s="124"/>
      <c r="BY361" s="124"/>
      <c r="BZ361" s="124"/>
      <c r="CA361" s="124"/>
      <c r="CB361" s="124"/>
      <c r="CC361" s="124"/>
      <c r="CD361" s="124"/>
      <c r="CE361" s="124"/>
      <c r="CF361" s="124"/>
      <c r="CG361" s="124"/>
      <c r="CH361" s="124"/>
      <c r="CI361" s="124"/>
      <c r="CJ361" s="124"/>
      <c r="CK361" s="124"/>
      <c r="CL361" s="124"/>
      <c r="CM361" s="124"/>
      <c r="CN361" s="124"/>
      <c r="CO361" s="124"/>
      <c r="CP361" s="124"/>
      <c r="CQ361" s="124"/>
      <c r="CR361" s="124"/>
      <c r="CS361" s="124"/>
      <c r="CT361" s="124"/>
      <c r="CU361" s="124"/>
      <c r="CV361" s="124"/>
      <c r="CW361" s="124"/>
      <c r="CX361" s="124"/>
      <c r="CY361" s="124"/>
      <c r="CZ361" s="124"/>
      <c r="DA361" s="124"/>
      <c r="DB361" s="124"/>
      <c r="DC361" s="124"/>
      <c r="DD361" s="124"/>
      <c r="DE361" s="124"/>
      <c r="DF361" s="124"/>
      <c r="DG361" s="115"/>
    </row>
    <row r="362" spans="2:111" customFormat="1" ht="9" customHeight="1">
      <c r="B362" s="493" t="str">
        <f>IF(B356="","","Objeto:")</f>
        <v>Objeto:</v>
      </c>
      <c r="C362" s="493"/>
      <c r="D362" s="493"/>
      <c r="E362" s="493"/>
      <c r="F362" s="493"/>
      <c r="G362" s="493"/>
      <c r="H362" s="493"/>
      <c r="I362" s="493"/>
      <c r="J362" s="493"/>
      <c r="K362" s="493"/>
      <c r="L362" s="493"/>
      <c r="M362" s="493"/>
      <c r="N362" s="493"/>
      <c r="O362" s="421" t="s">
        <v>659</v>
      </c>
      <c r="P362" s="421"/>
      <c r="Q362" s="421"/>
      <c r="R362" s="421"/>
      <c r="S362" s="421"/>
      <c r="T362" s="421"/>
      <c r="U362" s="421"/>
      <c r="V362" s="421"/>
      <c r="W362" s="421"/>
      <c r="X362" s="421"/>
      <c r="Y362" s="421"/>
      <c r="Z362" s="421"/>
      <c r="AA362" s="421"/>
      <c r="AB362" s="421"/>
      <c r="AC362" s="421"/>
      <c r="AD362" s="421"/>
      <c r="AE362" s="421"/>
      <c r="AF362" s="421"/>
      <c r="AG362" s="421"/>
      <c r="AH362" s="421"/>
      <c r="AI362" s="421"/>
      <c r="AJ362" s="421"/>
      <c r="AK362" s="421"/>
      <c r="AL362" s="421"/>
      <c r="AM362" s="421"/>
      <c r="AN362" s="421"/>
      <c r="AO362" s="421"/>
      <c r="AP362" s="421"/>
      <c r="AQ362" s="421"/>
      <c r="AR362" s="421"/>
      <c r="AS362" s="421"/>
      <c r="AT362" s="421"/>
      <c r="AU362" s="421"/>
      <c r="AV362" s="421"/>
      <c r="AW362" s="421"/>
      <c r="AX362" s="421"/>
      <c r="AY362" s="421"/>
      <c r="AZ362" s="421"/>
      <c r="BA362" s="421"/>
      <c r="BC362" s="115"/>
      <c r="BD362" s="115"/>
      <c r="BE362" s="115"/>
      <c r="BF362" s="115"/>
      <c r="BG362" s="115"/>
      <c r="BH362" s="124"/>
      <c r="BI362" s="124"/>
      <c r="BJ362" s="124"/>
      <c r="BK362" s="124"/>
      <c r="BL362" s="124"/>
      <c r="BM362" s="124"/>
      <c r="BN362" s="124"/>
      <c r="BO362" s="124"/>
      <c r="BP362" s="124"/>
      <c r="BQ362" s="124"/>
      <c r="BR362" s="124"/>
      <c r="BS362" s="124"/>
      <c r="BT362" s="124"/>
      <c r="BU362" s="124"/>
      <c r="BV362" s="124"/>
      <c r="BW362" s="124"/>
      <c r="BX362" s="124"/>
      <c r="BY362" s="124"/>
      <c r="BZ362" s="124"/>
      <c r="CA362" s="124"/>
      <c r="CB362" s="124"/>
      <c r="CC362" s="124"/>
      <c r="CD362" s="124"/>
      <c r="CE362" s="124"/>
      <c r="CF362" s="124"/>
      <c r="CG362" s="124"/>
      <c r="CH362" s="124"/>
      <c r="CI362" s="124"/>
      <c r="CJ362" s="124"/>
      <c r="CK362" s="124"/>
      <c r="CL362" s="124"/>
      <c r="CM362" s="124"/>
      <c r="CN362" s="124"/>
      <c r="CO362" s="124"/>
      <c r="CP362" s="124"/>
      <c r="CQ362" s="124"/>
      <c r="CR362" s="124"/>
      <c r="CS362" s="124"/>
      <c r="CT362" s="124"/>
      <c r="CU362" s="124"/>
      <c r="CV362" s="124"/>
      <c r="CW362" s="124"/>
      <c r="CX362" s="124"/>
      <c r="CY362" s="124"/>
      <c r="CZ362" s="124"/>
      <c r="DA362" s="124"/>
      <c r="DB362" s="124"/>
      <c r="DC362" s="124"/>
      <c r="DD362" s="124"/>
      <c r="DE362" s="124"/>
      <c r="DF362" s="124"/>
      <c r="DG362" s="115"/>
    </row>
    <row r="363" spans="2:111" customFormat="1" ht="9" customHeight="1">
      <c r="B363" s="493"/>
      <c r="C363" s="493"/>
      <c r="D363" s="493"/>
      <c r="E363" s="493"/>
      <c r="F363" s="493"/>
      <c r="G363" s="493"/>
      <c r="H363" s="493"/>
      <c r="I363" s="493"/>
      <c r="J363" s="493"/>
      <c r="K363" s="493"/>
      <c r="L363" s="493"/>
      <c r="M363" s="493"/>
      <c r="N363" s="493"/>
      <c r="O363" s="421"/>
      <c r="P363" s="421"/>
      <c r="Q363" s="421"/>
      <c r="R363" s="421"/>
      <c r="S363" s="421"/>
      <c r="T363" s="421"/>
      <c r="U363" s="421"/>
      <c r="V363" s="421"/>
      <c r="W363" s="421"/>
      <c r="X363" s="421"/>
      <c r="Y363" s="421"/>
      <c r="Z363" s="421"/>
      <c r="AA363" s="421"/>
      <c r="AB363" s="421"/>
      <c r="AC363" s="421"/>
      <c r="AD363" s="421"/>
      <c r="AE363" s="421"/>
      <c r="AF363" s="421"/>
      <c r="AG363" s="421"/>
      <c r="AH363" s="421"/>
      <c r="AI363" s="421"/>
      <c r="AJ363" s="421"/>
      <c r="AK363" s="421"/>
      <c r="AL363" s="421"/>
      <c r="AM363" s="421"/>
      <c r="AN363" s="421"/>
      <c r="AO363" s="421"/>
      <c r="AP363" s="421"/>
      <c r="AQ363" s="421"/>
      <c r="AR363" s="421"/>
      <c r="AS363" s="421"/>
      <c r="AT363" s="421"/>
      <c r="AU363" s="421"/>
      <c r="AV363" s="421"/>
      <c r="AW363" s="421"/>
      <c r="AX363" s="421"/>
      <c r="AY363" s="421"/>
      <c r="AZ363" s="421"/>
      <c r="BA363" s="421"/>
      <c r="BC363" s="115"/>
      <c r="BD363" s="115"/>
      <c r="BE363" s="115"/>
      <c r="BF363" s="115"/>
      <c r="BG363" s="115"/>
      <c r="BH363" s="124"/>
      <c r="BI363" s="124"/>
      <c r="BJ363" s="124"/>
      <c r="BK363" s="124"/>
      <c r="BL363" s="124"/>
      <c r="BM363" s="124"/>
      <c r="BN363" s="124"/>
      <c r="BO363" s="124"/>
      <c r="BP363" s="124"/>
      <c r="BQ363" s="124"/>
      <c r="BR363" s="124"/>
      <c r="BS363" s="124"/>
      <c r="BT363" s="124"/>
      <c r="BU363" s="124"/>
      <c r="BV363" s="124"/>
      <c r="BW363" s="124"/>
      <c r="BX363" s="124"/>
      <c r="BY363" s="124"/>
      <c r="BZ363" s="124"/>
      <c r="CA363" s="124"/>
      <c r="CB363" s="124"/>
      <c r="CC363" s="124"/>
      <c r="CD363" s="124"/>
      <c r="CE363" s="124"/>
      <c r="CF363" s="124"/>
      <c r="CG363" s="124"/>
      <c r="CH363" s="124"/>
      <c r="CI363" s="124"/>
      <c r="CJ363" s="124"/>
      <c r="CK363" s="124"/>
      <c r="CL363" s="124"/>
      <c r="CM363" s="124"/>
      <c r="CN363" s="124"/>
      <c r="CO363" s="124"/>
      <c r="CP363" s="124"/>
      <c r="CQ363" s="124"/>
      <c r="CR363" s="124"/>
      <c r="CS363" s="124"/>
      <c r="CT363" s="124"/>
      <c r="CU363" s="124"/>
      <c r="CV363" s="124"/>
      <c r="CW363" s="124"/>
      <c r="CX363" s="124"/>
      <c r="CY363" s="124"/>
      <c r="CZ363" s="124"/>
      <c r="DA363" s="124"/>
      <c r="DB363" s="124"/>
      <c r="DC363" s="124"/>
      <c r="DD363" s="124"/>
      <c r="DE363" s="124"/>
      <c r="DF363" s="124"/>
      <c r="DG363" s="115"/>
    </row>
    <row r="364" spans="2:111" customFormat="1" ht="9" customHeight="1">
      <c r="B364" s="143"/>
      <c r="C364" s="143"/>
      <c r="D364" s="143"/>
      <c r="E364" s="143"/>
      <c r="F364" s="143"/>
      <c r="G364" s="143"/>
      <c r="H364" s="143"/>
      <c r="I364" s="143"/>
      <c r="J364" s="143"/>
      <c r="K364" s="143"/>
      <c r="L364" s="143"/>
      <c r="M364" s="143"/>
      <c r="N364" s="143"/>
      <c r="O364" s="421"/>
      <c r="P364" s="421"/>
      <c r="Q364" s="421"/>
      <c r="R364" s="421"/>
      <c r="S364" s="421"/>
      <c r="T364" s="421"/>
      <c r="U364" s="421"/>
      <c r="V364" s="421"/>
      <c r="W364" s="421"/>
      <c r="X364" s="421"/>
      <c r="Y364" s="421"/>
      <c r="Z364" s="421"/>
      <c r="AA364" s="421"/>
      <c r="AB364" s="421"/>
      <c r="AC364" s="421"/>
      <c r="AD364" s="421"/>
      <c r="AE364" s="421"/>
      <c r="AF364" s="421"/>
      <c r="AG364" s="421"/>
      <c r="AH364" s="421"/>
      <c r="AI364" s="421"/>
      <c r="AJ364" s="421"/>
      <c r="AK364" s="421"/>
      <c r="AL364" s="421"/>
      <c r="AM364" s="421"/>
      <c r="AN364" s="421"/>
      <c r="AO364" s="421"/>
      <c r="AP364" s="421"/>
      <c r="AQ364" s="421"/>
      <c r="AR364" s="421"/>
      <c r="AS364" s="421"/>
      <c r="AT364" s="421"/>
      <c r="AU364" s="421"/>
      <c r="AV364" s="421"/>
      <c r="AW364" s="421"/>
      <c r="AX364" s="421"/>
      <c r="AY364" s="421"/>
      <c r="AZ364" s="421"/>
      <c r="BA364" s="421"/>
      <c r="BC364" s="115"/>
      <c r="BD364" s="115"/>
      <c r="BE364" s="115"/>
      <c r="BF364" s="115"/>
      <c r="BG364" s="115"/>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115"/>
    </row>
    <row r="365" spans="2:111" customFormat="1" ht="9" customHeight="1">
      <c r="B365" s="49"/>
      <c r="C365" s="49"/>
      <c r="D365" s="49"/>
      <c r="E365" s="49"/>
      <c r="F365" s="49"/>
      <c r="G365" s="49"/>
      <c r="H365" s="49"/>
      <c r="I365" s="49"/>
      <c r="J365" s="49"/>
      <c r="K365" s="49"/>
      <c r="L365" s="49"/>
      <c r="M365" s="49"/>
      <c r="N365" s="49"/>
      <c r="O365" s="421"/>
      <c r="P365" s="421"/>
      <c r="Q365" s="421"/>
      <c r="R365" s="421"/>
      <c r="S365" s="421"/>
      <c r="T365" s="421"/>
      <c r="U365" s="421"/>
      <c r="V365" s="421"/>
      <c r="W365" s="421"/>
      <c r="X365" s="421"/>
      <c r="Y365" s="421"/>
      <c r="Z365" s="421"/>
      <c r="AA365" s="421"/>
      <c r="AB365" s="421"/>
      <c r="AC365" s="421"/>
      <c r="AD365" s="421"/>
      <c r="AE365" s="421"/>
      <c r="AF365" s="421"/>
      <c r="AG365" s="421"/>
      <c r="AH365" s="421"/>
      <c r="AI365" s="421"/>
      <c r="AJ365" s="421"/>
      <c r="AK365" s="421"/>
      <c r="AL365" s="421"/>
      <c r="AM365" s="421"/>
      <c r="AN365" s="421"/>
      <c r="AO365" s="421"/>
      <c r="AP365" s="421"/>
      <c r="AQ365" s="421"/>
      <c r="AR365" s="421"/>
      <c r="AS365" s="421"/>
      <c r="AT365" s="421"/>
      <c r="AU365" s="421"/>
      <c r="AV365" s="421"/>
      <c r="AW365" s="421"/>
      <c r="AX365" s="421"/>
      <c r="AY365" s="421"/>
      <c r="AZ365" s="421"/>
      <c r="BA365" s="421"/>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row>
    <row r="366" spans="2:111" customFormat="1" ht="4.5" customHeight="1">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C366" s="115"/>
      <c r="BD366" s="115"/>
      <c r="BE366" s="115"/>
      <c r="BF366" s="115"/>
      <c r="BG366" s="115"/>
      <c r="BH366" s="124"/>
      <c r="BI366" s="124"/>
      <c r="BJ366" s="124"/>
      <c r="BK366" s="124"/>
      <c r="BL366" s="124"/>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4"/>
      <c r="CY366" s="124"/>
      <c r="CZ366" s="124"/>
      <c r="DA366" s="124"/>
      <c r="DB366" s="124"/>
      <c r="DC366" s="124"/>
      <c r="DD366" s="124"/>
      <c r="DE366" s="124"/>
      <c r="DF366" s="124"/>
      <c r="DG366" s="115"/>
    </row>
    <row r="367" spans="2:111" customFormat="1" ht="9" customHeight="1">
      <c r="B367" s="493" t="str">
        <f>IF(B356="","","Detalhamento do Objeto:")</f>
        <v>Detalhamento do Objeto:</v>
      </c>
      <c r="C367" s="493"/>
      <c r="D367" s="493"/>
      <c r="E367" s="493"/>
      <c r="F367" s="493"/>
      <c r="G367" s="493"/>
      <c r="H367" s="493"/>
      <c r="I367" s="493"/>
      <c r="J367" s="493"/>
      <c r="K367" s="493"/>
      <c r="L367" s="493"/>
      <c r="M367" s="493"/>
      <c r="N367" s="493"/>
      <c r="O367" s="421" t="s">
        <v>660</v>
      </c>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1"/>
      <c r="AY367" s="421"/>
      <c r="AZ367" s="421"/>
      <c r="BA367" s="421"/>
      <c r="BC367" s="115"/>
      <c r="BD367" s="115"/>
      <c r="BE367" s="115"/>
      <c r="BF367" s="115"/>
      <c r="BG367" s="115"/>
      <c r="BH367" s="124"/>
      <c r="BI367" s="124"/>
      <c r="BJ367" s="124"/>
      <c r="BK367" s="124"/>
      <c r="BL367" s="124"/>
      <c r="BM367" s="124"/>
      <c r="BN367" s="124"/>
      <c r="BO367" s="124"/>
      <c r="BP367" s="124"/>
      <c r="BQ367" s="124"/>
      <c r="BR367" s="124"/>
      <c r="BS367" s="124"/>
      <c r="BT367" s="124"/>
      <c r="BU367" s="124"/>
      <c r="BV367" s="124"/>
      <c r="BW367" s="124"/>
      <c r="BX367" s="124"/>
      <c r="BY367" s="124"/>
      <c r="BZ367" s="124"/>
      <c r="CA367" s="124"/>
      <c r="CB367" s="124"/>
      <c r="CC367" s="124"/>
      <c r="CD367" s="124"/>
      <c r="CE367" s="124"/>
      <c r="CF367" s="124"/>
      <c r="CG367" s="124"/>
      <c r="CH367" s="124"/>
      <c r="CI367" s="124"/>
      <c r="CJ367" s="124"/>
      <c r="CK367" s="124"/>
      <c r="CL367" s="124"/>
      <c r="CM367" s="124"/>
      <c r="CN367" s="124"/>
      <c r="CO367" s="124"/>
      <c r="CP367" s="124"/>
      <c r="CQ367" s="124"/>
      <c r="CR367" s="124"/>
      <c r="CS367" s="124"/>
      <c r="CT367" s="124"/>
      <c r="CU367" s="124"/>
      <c r="CV367" s="124"/>
      <c r="CW367" s="124"/>
      <c r="CX367" s="124"/>
      <c r="CY367" s="124"/>
      <c r="CZ367" s="124"/>
      <c r="DA367" s="124"/>
      <c r="DB367" s="124"/>
      <c r="DC367" s="124"/>
      <c r="DD367" s="124"/>
      <c r="DE367" s="124"/>
      <c r="DF367" s="124"/>
      <c r="DG367" s="115"/>
    </row>
    <row r="368" spans="2:111" customFormat="1" ht="9" customHeight="1">
      <c r="B368" s="493"/>
      <c r="C368" s="493"/>
      <c r="D368" s="493"/>
      <c r="E368" s="493"/>
      <c r="F368" s="493"/>
      <c r="G368" s="493"/>
      <c r="H368" s="493"/>
      <c r="I368" s="493"/>
      <c r="J368" s="493"/>
      <c r="K368" s="493"/>
      <c r="L368" s="493"/>
      <c r="M368" s="493"/>
      <c r="N368" s="493"/>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21"/>
      <c r="AY368" s="421"/>
      <c r="AZ368" s="421"/>
      <c r="BA368" s="421"/>
      <c r="BC368" s="115"/>
      <c r="BD368" s="115"/>
      <c r="BE368" s="115"/>
      <c r="BF368" s="115"/>
      <c r="BG368" s="115"/>
      <c r="BH368" s="124"/>
      <c r="BI368" s="124"/>
      <c r="BJ368" s="124"/>
      <c r="BK368" s="124"/>
      <c r="BL368" s="124"/>
      <c r="BM368" s="124"/>
      <c r="BN368" s="124"/>
      <c r="BO368" s="124"/>
      <c r="BP368" s="124"/>
      <c r="BQ368" s="124"/>
      <c r="BR368" s="124"/>
      <c r="BS368" s="124"/>
      <c r="BT368" s="124"/>
      <c r="BU368" s="124"/>
      <c r="BV368" s="124"/>
      <c r="BW368" s="124"/>
      <c r="BX368" s="124"/>
      <c r="BY368" s="124"/>
      <c r="BZ368" s="124"/>
      <c r="CA368" s="124"/>
      <c r="CB368" s="124"/>
      <c r="CC368" s="124"/>
      <c r="CD368" s="124"/>
      <c r="CE368" s="124"/>
      <c r="CF368" s="124"/>
      <c r="CG368" s="124"/>
      <c r="CH368" s="124"/>
      <c r="CI368" s="124"/>
      <c r="CJ368" s="124"/>
      <c r="CK368" s="124"/>
      <c r="CL368" s="124"/>
      <c r="CM368" s="124"/>
      <c r="CN368" s="124"/>
      <c r="CO368" s="124"/>
      <c r="CP368" s="124"/>
      <c r="CQ368" s="124"/>
      <c r="CR368" s="124"/>
      <c r="CS368" s="124"/>
      <c r="CT368" s="124"/>
      <c r="CU368" s="124"/>
      <c r="CV368" s="124"/>
      <c r="CW368" s="124"/>
      <c r="CX368" s="124"/>
      <c r="CY368" s="124"/>
      <c r="CZ368" s="124"/>
      <c r="DA368" s="124"/>
      <c r="DB368" s="124"/>
      <c r="DC368" s="124"/>
      <c r="DD368" s="124"/>
      <c r="DE368" s="124"/>
      <c r="DF368" s="124"/>
      <c r="DG368" s="115"/>
    </row>
    <row r="369" spans="2:111" customFormat="1" ht="9" customHeight="1">
      <c r="B369" s="143"/>
      <c r="C369" s="143"/>
      <c r="D369" s="143"/>
      <c r="E369" s="143"/>
      <c r="F369" s="143"/>
      <c r="G369" s="143"/>
      <c r="H369" s="143"/>
      <c r="I369" s="143"/>
      <c r="J369" s="143"/>
      <c r="K369" s="143"/>
      <c r="L369" s="143"/>
      <c r="M369" s="143"/>
      <c r="N369" s="143"/>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21"/>
      <c r="AY369" s="421"/>
      <c r="AZ369" s="421"/>
      <c r="BA369" s="421"/>
      <c r="BC369" s="115"/>
      <c r="BD369" s="115"/>
      <c r="BE369" s="115"/>
      <c r="BF369" s="115"/>
      <c r="BG369" s="115"/>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115"/>
    </row>
    <row r="370" spans="2:111" customFormat="1" ht="9" customHeight="1">
      <c r="B370" s="143"/>
      <c r="C370" s="143"/>
      <c r="D370" s="143"/>
      <c r="E370" s="143"/>
      <c r="F370" s="143"/>
      <c r="G370" s="143"/>
      <c r="H370" s="143"/>
      <c r="I370" s="143"/>
      <c r="J370" s="143"/>
      <c r="K370" s="143"/>
      <c r="L370" s="143"/>
      <c r="M370" s="143"/>
      <c r="N370" s="143"/>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c r="AN370" s="421"/>
      <c r="AO370" s="421"/>
      <c r="AP370" s="421"/>
      <c r="AQ370" s="421"/>
      <c r="AR370" s="421"/>
      <c r="AS370" s="421"/>
      <c r="AT370" s="421"/>
      <c r="AU370" s="421"/>
      <c r="AV370" s="421"/>
      <c r="AW370" s="421"/>
      <c r="AX370" s="421"/>
      <c r="AY370" s="421"/>
      <c r="AZ370" s="421"/>
      <c r="BA370" s="421"/>
      <c r="BC370" s="115"/>
      <c r="BD370" s="115"/>
      <c r="BE370" s="115"/>
      <c r="BF370" s="115"/>
      <c r="BG370" s="115"/>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115"/>
    </row>
    <row r="371" spans="2:111" customFormat="1" ht="9" customHeight="1">
      <c r="B371" s="143"/>
      <c r="C371" s="143"/>
      <c r="D371" s="143"/>
      <c r="E371" s="143"/>
      <c r="F371" s="143"/>
      <c r="G371" s="143"/>
      <c r="H371" s="143"/>
      <c r="I371" s="143"/>
      <c r="J371" s="143"/>
      <c r="K371" s="143"/>
      <c r="L371" s="143"/>
      <c r="M371" s="143"/>
      <c r="N371" s="143"/>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c r="AN371" s="421"/>
      <c r="AO371" s="421"/>
      <c r="AP371" s="421"/>
      <c r="AQ371" s="421"/>
      <c r="AR371" s="421"/>
      <c r="AS371" s="421"/>
      <c r="AT371" s="421"/>
      <c r="AU371" s="421"/>
      <c r="AV371" s="421"/>
      <c r="AW371" s="421"/>
      <c r="AX371" s="421"/>
      <c r="AY371" s="421"/>
      <c r="AZ371" s="421"/>
      <c r="BA371" s="421"/>
      <c r="BC371" s="115"/>
      <c r="BD371" s="115"/>
      <c r="BE371" s="115"/>
      <c r="BF371" s="115"/>
      <c r="BG371" s="115"/>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115"/>
    </row>
    <row r="372" spans="2:111" customFormat="1" ht="9" customHeight="1">
      <c r="B372" s="143"/>
      <c r="C372" s="143"/>
      <c r="D372" s="143"/>
      <c r="E372" s="143"/>
      <c r="F372" s="143"/>
      <c r="G372" s="143"/>
      <c r="H372" s="143"/>
      <c r="I372" s="143"/>
      <c r="J372" s="143"/>
      <c r="K372" s="143"/>
      <c r="L372" s="143"/>
      <c r="M372" s="143"/>
      <c r="N372" s="143"/>
      <c r="O372" s="421"/>
      <c r="P372" s="421"/>
      <c r="Q372" s="421"/>
      <c r="R372" s="421"/>
      <c r="S372" s="421"/>
      <c r="T372" s="421"/>
      <c r="U372" s="421"/>
      <c r="V372" s="421"/>
      <c r="W372" s="421"/>
      <c r="X372" s="421"/>
      <c r="Y372" s="421"/>
      <c r="Z372" s="421"/>
      <c r="AA372" s="421"/>
      <c r="AB372" s="421"/>
      <c r="AC372" s="421"/>
      <c r="AD372" s="421"/>
      <c r="AE372" s="421"/>
      <c r="AF372" s="421"/>
      <c r="AG372" s="421"/>
      <c r="AH372" s="421"/>
      <c r="AI372" s="421"/>
      <c r="AJ372" s="421"/>
      <c r="AK372" s="421"/>
      <c r="AL372" s="421"/>
      <c r="AM372" s="421"/>
      <c r="AN372" s="421"/>
      <c r="AO372" s="421"/>
      <c r="AP372" s="421"/>
      <c r="AQ372" s="421"/>
      <c r="AR372" s="421"/>
      <c r="AS372" s="421"/>
      <c r="AT372" s="421"/>
      <c r="AU372" s="421"/>
      <c r="AV372" s="421"/>
      <c r="AW372" s="421"/>
      <c r="AX372" s="421"/>
      <c r="AY372" s="421"/>
      <c r="AZ372" s="421"/>
      <c r="BA372" s="421"/>
      <c r="BC372" s="115"/>
      <c r="BD372" s="115"/>
      <c r="BE372" s="115"/>
      <c r="BF372" s="115"/>
      <c r="BG372" s="115"/>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115"/>
    </row>
    <row r="373" spans="2:111" customFormat="1" ht="9" customHeight="1">
      <c r="B373" s="143"/>
      <c r="C373" s="143"/>
      <c r="D373" s="143"/>
      <c r="E373" s="143"/>
      <c r="F373" s="143"/>
      <c r="G373" s="143"/>
      <c r="H373" s="143"/>
      <c r="I373" s="143"/>
      <c r="J373" s="143"/>
      <c r="K373" s="143"/>
      <c r="L373" s="143"/>
      <c r="M373" s="143"/>
      <c r="N373" s="143"/>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c r="AN373" s="421"/>
      <c r="AO373" s="421"/>
      <c r="AP373" s="421"/>
      <c r="AQ373" s="421"/>
      <c r="AR373" s="421"/>
      <c r="AS373" s="421"/>
      <c r="AT373" s="421"/>
      <c r="AU373" s="421"/>
      <c r="AV373" s="421"/>
      <c r="AW373" s="421"/>
      <c r="AX373" s="421"/>
      <c r="AY373" s="421"/>
      <c r="AZ373" s="421"/>
      <c r="BA373" s="421"/>
      <c r="BC373" s="115"/>
      <c r="BD373" s="115"/>
      <c r="BE373" s="115"/>
      <c r="BF373" s="115"/>
      <c r="BG373" s="115"/>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115"/>
    </row>
    <row r="374" spans="2:111" customFormat="1" ht="9" customHeight="1">
      <c r="B374" s="49"/>
      <c r="C374" s="49"/>
      <c r="D374" s="49"/>
      <c r="E374" s="49"/>
      <c r="F374" s="49"/>
      <c r="G374" s="49"/>
      <c r="H374" s="49"/>
      <c r="I374" s="49"/>
      <c r="J374" s="49"/>
      <c r="K374" s="49"/>
      <c r="L374" s="49"/>
      <c r="M374" s="49"/>
      <c r="N374" s="49"/>
      <c r="O374" s="421"/>
      <c r="P374" s="421"/>
      <c r="Q374" s="421"/>
      <c r="R374" s="421"/>
      <c r="S374" s="421"/>
      <c r="T374" s="421"/>
      <c r="U374" s="421"/>
      <c r="V374" s="421"/>
      <c r="W374" s="421"/>
      <c r="X374" s="421"/>
      <c r="Y374" s="421"/>
      <c r="Z374" s="421"/>
      <c r="AA374" s="421"/>
      <c r="AB374" s="421"/>
      <c r="AC374" s="421"/>
      <c r="AD374" s="421"/>
      <c r="AE374" s="421"/>
      <c r="AF374" s="421"/>
      <c r="AG374" s="421"/>
      <c r="AH374" s="421"/>
      <c r="AI374" s="421"/>
      <c r="AJ374" s="421"/>
      <c r="AK374" s="421"/>
      <c r="AL374" s="421"/>
      <c r="AM374" s="421"/>
      <c r="AN374" s="421"/>
      <c r="AO374" s="421"/>
      <c r="AP374" s="421"/>
      <c r="AQ374" s="421"/>
      <c r="AR374" s="421"/>
      <c r="AS374" s="421"/>
      <c r="AT374" s="421"/>
      <c r="AU374" s="421"/>
      <c r="AV374" s="421"/>
      <c r="AW374" s="421"/>
      <c r="AX374" s="421"/>
      <c r="AY374" s="421"/>
      <c r="AZ374" s="421"/>
      <c r="BA374" s="421"/>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row>
    <row r="375" spans="2:111" customFormat="1" ht="4.5" customHeight="1">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C375" s="115"/>
      <c r="BD375" s="115"/>
      <c r="BE375" s="115"/>
      <c r="BF375" s="115"/>
      <c r="BG375" s="115"/>
      <c r="BH375" s="124"/>
      <c r="BI375" s="124"/>
      <c r="BJ375" s="124"/>
      <c r="BK375" s="124"/>
      <c r="BL375" s="124"/>
      <c r="BM375" s="124"/>
      <c r="BN375" s="124"/>
      <c r="BO375" s="124"/>
      <c r="BP375" s="124"/>
      <c r="BQ375" s="124"/>
      <c r="BR375" s="124"/>
      <c r="BS375" s="124"/>
      <c r="BT375" s="124"/>
      <c r="BU375" s="124"/>
      <c r="BV375" s="124"/>
      <c r="BW375" s="124"/>
      <c r="BX375" s="124"/>
      <c r="BY375" s="124"/>
      <c r="BZ375" s="124"/>
      <c r="CA375" s="124"/>
      <c r="CB375" s="124"/>
      <c r="CC375" s="124"/>
      <c r="CD375" s="124"/>
      <c r="CE375" s="124"/>
      <c r="CF375" s="124"/>
      <c r="CG375" s="124"/>
      <c r="CH375" s="124"/>
      <c r="CI375" s="124"/>
      <c r="CJ375" s="124"/>
      <c r="CK375" s="124"/>
      <c r="CL375" s="124"/>
      <c r="CM375" s="124"/>
      <c r="CN375" s="124"/>
      <c r="CO375" s="124"/>
      <c r="CP375" s="124"/>
      <c r="CQ375" s="124"/>
      <c r="CR375" s="124"/>
      <c r="CS375" s="124"/>
      <c r="CT375" s="124"/>
      <c r="CU375" s="124"/>
      <c r="CV375" s="124"/>
      <c r="CW375" s="124"/>
      <c r="CX375" s="124"/>
      <c r="CY375" s="124"/>
      <c r="CZ375" s="124"/>
      <c r="DA375" s="124"/>
      <c r="DB375" s="124"/>
      <c r="DC375" s="124"/>
      <c r="DD375" s="124"/>
      <c r="DE375" s="124"/>
      <c r="DF375" s="124"/>
      <c r="DG375" s="115"/>
    </row>
    <row r="376" spans="2:111" customFormat="1" ht="9" customHeight="1">
      <c r="B376" s="493" t="str">
        <f>IF(B356="","","Justificativa:")</f>
        <v>Justificativa:</v>
      </c>
      <c r="C376" s="493"/>
      <c r="D376" s="493"/>
      <c r="E376" s="493"/>
      <c r="F376" s="493"/>
      <c r="G376" s="493"/>
      <c r="H376" s="493"/>
      <c r="I376" s="493"/>
      <c r="J376" s="493"/>
      <c r="K376" s="493"/>
      <c r="L376" s="493"/>
      <c r="M376" s="493"/>
      <c r="N376" s="493"/>
      <c r="O376" s="421" t="s">
        <v>685</v>
      </c>
      <c r="P376" s="421"/>
      <c r="Q376" s="421"/>
      <c r="R376" s="421"/>
      <c r="S376" s="421"/>
      <c r="T376" s="421"/>
      <c r="U376" s="421"/>
      <c r="V376" s="421"/>
      <c r="W376" s="421"/>
      <c r="X376" s="421"/>
      <c r="Y376" s="421"/>
      <c r="Z376" s="421"/>
      <c r="AA376" s="421"/>
      <c r="AB376" s="421"/>
      <c r="AC376" s="421"/>
      <c r="AD376" s="421"/>
      <c r="AE376" s="421"/>
      <c r="AF376" s="421"/>
      <c r="AG376" s="421"/>
      <c r="AH376" s="421"/>
      <c r="AI376" s="421"/>
      <c r="AJ376" s="421"/>
      <c r="AK376" s="421"/>
      <c r="AL376" s="421"/>
      <c r="AM376" s="421"/>
      <c r="AN376" s="421"/>
      <c r="AO376" s="421"/>
      <c r="AP376" s="421"/>
      <c r="AQ376" s="421"/>
      <c r="AR376" s="421"/>
      <c r="AS376" s="421"/>
      <c r="AT376" s="421"/>
      <c r="AU376" s="421"/>
      <c r="AV376" s="421"/>
      <c r="AW376" s="421"/>
      <c r="AX376" s="421"/>
      <c r="AY376" s="421"/>
      <c r="AZ376" s="421"/>
      <c r="BA376" s="421"/>
      <c r="BC376" s="115"/>
      <c r="BD376" s="115"/>
      <c r="BE376" s="115"/>
      <c r="BF376" s="115"/>
      <c r="BG376" s="115"/>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c r="CT376" s="124"/>
      <c r="CU376" s="124"/>
      <c r="CV376" s="124"/>
      <c r="CW376" s="124"/>
      <c r="CX376" s="124"/>
      <c r="CY376" s="124"/>
      <c r="CZ376" s="124"/>
      <c r="DA376" s="124"/>
      <c r="DB376" s="124"/>
      <c r="DC376" s="124"/>
      <c r="DD376" s="124"/>
      <c r="DE376" s="124"/>
      <c r="DF376" s="124"/>
      <c r="DG376" s="115"/>
    </row>
    <row r="377" spans="2:111" customFormat="1" ht="9" customHeight="1">
      <c r="B377" s="493"/>
      <c r="C377" s="493"/>
      <c r="D377" s="493"/>
      <c r="E377" s="493"/>
      <c r="F377" s="493"/>
      <c r="G377" s="493"/>
      <c r="H377" s="493"/>
      <c r="I377" s="493"/>
      <c r="J377" s="493"/>
      <c r="K377" s="493"/>
      <c r="L377" s="493"/>
      <c r="M377" s="493"/>
      <c r="N377" s="493"/>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c r="AN377" s="421"/>
      <c r="AO377" s="421"/>
      <c r="AP377" s="421"/>
      <c r="AQ377" s="421"/>
      <c r="AR377" s="421"/>
      <c r="AS377" s="421"/>
      <c r="AT377" s="421"/>
      <c r="AU377" s="421"/>
      <c r="AV377" s="421"/>
      <c r="AW377" s="421"/>
      <c r="AX377" s="421"/>
      <c r="AY377" s="421"/>
      <c r="AZ377" s="421"/>
      <c r="BA377" s="421"/>
      <c r="BC377" s="115"/>
      <c r="BD377" s="115"/>
      <c r="BE377" s="115"/>
      <c r="BF377" s="115"/>
      <c r="BG377" s="115"/>
      <c r="BH377" s="124"/>
      <c r="BI377" s="124"/>
      <c r="BJ377" s="124"/>
      <c r="BK377" s="124"/>
      <c r="BL377" s="124"/>
      <c r="BM377" s="124"/>
      <c r="BN377" s="124"/>
      <c r="BO377" s="124"/>
      <c r="BP377" s="124"/>
      <c r="BQ377" s="124"/>
      <c r="BR377" s="124"/>
      <c r="BS377" s="124"/>
      <c r="BT377" s="124"/>
      <c r="BU377" s="124"/>
      <c r="BV377" s="124"/>
      <c r="BW377" s="124"/>
      <c r="BX377" s="124"/>
      <c r="BY377" s="124"/>
      <c r="BZ377" s="124"/>
      <c r="CA377" s="124"/>
      <c r="CB377" s="124"/>
      <c r="CC377" s="124"/>
      <c r="CD377" s="124"/>
      <c r="CE377" s="124"/>
      <c r="CF377" s="124"/>
      <c r="CG377" s="124"/>
      <c r="CH377" s="124"/>
      <c r="CI377" s="124"/>
      <c r="CJ377" s="124"/>
      <c r="CK377" s="124"/>
      <c r="CL377" s="124"/>
      <c r="CM377" s="124"/>
      <c r="CN377" s="124"/>
      <c r="CO377" s="124"/>
      <c r="CP377" s="124"/>
      <c r="CQ377" s="124"/>
      <c r="CR377" s="124"/>
      <c r="CS377" s="124"/>
      <c r="CT377" s="124"/>
      <c r="CU377" s="124"/>
      <c r="CV377" s="124"/>
      <c r="CW377" s="124"/>
      <c r="CX377" s="124"/>
      <c r="CY377" s="124"/>
      <c r="CZ377" s="124"/>
      <c r="DA377" s="124"/>
      <c r="DB377" s="124"/>
      <c r="DC377" s="124"/>
      <c r="DD377" s="124"/>
      <c r="DE377" s="124"/>
      <c r="DF377" s="124"/>
      <c r="DG377" s="115"/>
    </row>
    <row r="378" spans="2:111" customFormat="1" ht="9" customHeight="1">
      <c r="B378" s="143"/>
      <c r="C378" s="143"/>
      <c r="D378" s="143"/>
      <c r="E378" s="143"/>
      <c r="F378" s="143"/>
      <c r="G378" s="143"/>
      <c r="H378" s="143"/>
      <c r="I378" s="143"/>
      <c r="J378" s="143"/>
      <c r="K378" s="143"/>
      <c r="L378" s="143"/>
      <c r="M378" s="143"/>
      <c r="N378" s="143"/>
      <c r="O378" s="421"/>
      <c r="P378" s="421"/>
      <c r="Q378" s="421"/>
      <c r="R378" s="421"/>
      <c r="S378" s="421"/>
      <c r="T378" s="421"/>
      <c r="U378" s="421"/>
      <c r="V378" s="421"/>
      <c r="W378" s="421"/>
      <c r="X378" s="421"/>
      <c r="Y378" s="421"/>
      <c r="Z378" s="421"/>
      <c r="AA378" s="421"/>
      <c r="AB378" s="421"/>
      <c r="AC378" s="421"/>
      <c r="AD378" s="421"/>
      <c r="AE378" s="421"/>
      <c r="AF378" s="421"/>
      <c r="AG378" s="421"/>
      <c r="AH378" s="421"/>
      <c r="AI378" s="421"/>
      <c r="AJ378" s="421"/>
      <c r="AK378" s="421"/>
      <c r="AL378" s="421"/>
      <c r="AM378" s="421"/>
      <c r="AN378" s="421"/>
      <c r="AO378" s="421"/>
      <c r="AP378" s="421"/>
      <c r="AQ378" s="421"/>
      <c r="AR378" s="421"/>
      <c r="AS378" s="421"/>
      <c r="AT378" s="421"/>
      <c r="AU378" s="421"/>
      <c r="AV378" s="421"/>
      <c r="AW378" s="421"/>
      <c r="AX378" s="421"/>
      <c r="AY378" s="421"/>
      <c r="AZ378" s="421"/>
      <c r="BA378" s="421"/>
      <c r="BC378" s="115"/>
      <c r="BD378" s="115"/>
      <c r="BE378" s="115"/>
      <c r="BF378" s="115"/>
      <c r="BG378" s="115"/>
      <c r="BH378" s="124"/>
      <c r="BI378" s="124"/>
      <c r="BJ378" s="124"/>
      <c r="BK378" s="124"/>
      <c r="BL378" s="124"/>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c r="CV378" s="124"/>
      <c r="CW378" s="124"/>
      <c r="CX378" s="124"/>
      <c r="CY378" s="124"/>
      <c r="CZ378" s="124"/>
      <c r="DA378" s="124"/>
      <c r="DB378" s="124"/>
      <c r="DC378" s="124"/>
      <c r="DD378" s="124"/>
      <c r="DE378" s="124"/>
      <c r="DF378" s="124"/>
      <c r="DG378" s="115"/>
    </row>
    <row r="379" spans="2:111" customFormat="1" ht="9" customHeight="1">
      <c r="B379" s="143"/>
      <c r="C379" s="143"/>
      <c r="D379" s="143"/>
      <c r="E379" s="143"/>
      <c r="F379" s="143"/>
      <c r="G379" s="143"/>
      <c r="H379" s="143"/>
      <c r="I379" s="143"/>
      <c r="J379" s="143"/>
      <c r="K379" s="143"/>
      <c r="L379" s="143"/>
      <c r="M379" s="143"/>
      <c r="N379" s="143"/>
      <c r="O379" s="421"/>
      <c r="P379" s="421"/>
      <c r="Q379" s="421"/>
      <c r="R379" s="421"/>
      <c r="S379" s="421"/>
      <c r="T379" s="421"/>
      <c r="U379" s="421"/>
      <c r="V379" s="421"/>
      <c r="W379" s="421"/>
      <c r="X379" s="421"/>
      <c r="Y379" s="421"/>
      <c r="Z379" s="421"/>
      <c r="AA379" s="421"/>
      <c r="AB379" s="421"/>
      <c r="AC379" s="421"/>
      <c r="AD379" s="421"/>
      <c r="AE379" s="421"/>
      <c r="AF379" s="421"/>
      <c r="AG379" s="421"/>
      <c r="AH379" s="421"/>
      <c r="AI379" s="421"/>
      <c r="AJ379" s="421"/>
      <c r="AK379" s="421"/>
      <c r="AL379" s="421"/>
      <c r="AM379" s="421"/>
      <c r="AN379" s="421"/>
      <c r="AO379" s="421"/>
      <c r="AP379" s="421"/>
      <c r="AQ379" s="421"/>
      <c r="AR379" s="421"/>
      <c r="AS379" s="421"/>
      <c r="AT379" s="421"/>
      <c r="AU379" s="421"/>
      <c r="AV379" s="421"/>
      <c r="AW379" s="421"/>
      <c r="AX379" s="421"/>
      <c r="AY379" s="421"/>
      <c r="AZ379" s="421"/>
      <c r="BA379" s="421"/>
      <c r="BC379" s="115"/>
      <c r="BD379" s="115"/>
      <c r="BE379" s="115"/>
      <c r="BF379" s="115"/>
      <c r="BG379" s="115"/>
      <c r="BH379" s="84"/>
      <c r="BI379" s="84"/>
      <c r="BJ379" s="84"/>
      <c r="BK379" s="84"/>
      <c r="BL379" s="84"/>
      <c r="BM379" s="84"/>
      <c r="BN379" s="84"/>
      <c r="BO379" s="84"/>
      <c r="BP379" s="84"/>
      <c r="BQ379" s="84"/>
      <c r="BR379" s="84"/>
      <c r="BS379" s="84"/>
      <c r="BT379" s="84"/>
      <c r="BU379" s="84"/>
      <c r="BV379" s="84"/>
      <c r="BW379" s="84"/>
      <c r="BX379" s="84"/>
      <c r="BY379" s="84"/>
      <c r="BZ379" s="84"/>
      <c r="CA379" s="84"/>
      <c r="CB379" s="84"/>
      <c r="CC379" s="84"/>
      <c r="CD379" s="84"/>
      <c r="CE379" s="84"/>
      <c r="CF379" s="84"/>
      <c r="CG379" s="84"/>
      <c r="CH379" s="84"/>
      <c r="CI379" s="84"/>
      <c r="CJ379" s="84"/>
      <c r="CK379" s="84"/>
      <c r="CL379" s="84"/>
      <c r="CM379" s="84"/>
      <c r="CN379" s="84"/>
      <c r="CO379" s="84"/>
      <c r="CP379" s="84"/>
      <c r="CQ379" s="84"/>
      <c r="CR379" s="84"/>
      <c r="CS379" s="84"/>
      <c r="CT379" s="84"/>
      <c r="CU379" s="84"/>
      <c r="CV379" s="84"/>
      <c r="CW379" s="84"/>
      <c r="CX379" s="84"/>
      <c r="CY379" s="84"/>
      <c r="CZ379" s="84"/>
      <c r="DA379" s="84"/>
      <c r="DB379" s="84"/>
      <c r="DC379" s="84"/>
      <c r="DD379" s="84"/>
      <c r="DE379" s="84"/>
      <c r="DF379" s="84"/>
      <c r="DG379" s="115"/>
    </row>
    <row r="380" spans="2:111" customFormat="1" ht="9" customHeight="1">
      <c r="B380" s="143"/>
      <c r="C380" s="143"/>
      <c r="D380" s="143"/>
      <c r="E380" s="143"/>
      <c r="F380" s="143"/>
      <c r="G380" s="143"/>
      <c r="H380" s="143"/>
      <c r="I380" s="143"/>
      <c r="J380" s="143"/>
      <c r="K380" s="143"/>
      <c r="L380" s="143"/>
      <c r="M380" s="143"/>
      <c r="N380" s="143"/>
      <c r="O380" s="421"/>
      <c r="P380" s="421"/>
      <c r="Q380" s="421"/>
      <c r="R380" s="421"/>
      <c r="S380" s="421"/>
      <c r="T380" s="421"/>
      <c r="U380" s="421"/>
      <c r="V380" s="421"/>
      <c r="W380" s="421"/>
      <c r="X380" s="421"/>
      <c r="Y380" s="421"/>
      <c r="Z380" s="421"/>
      <c r="AA380" s="421"/>
      <c r="AB380" s="421"/>
      <c r="AC380" s="421"/>
      <c r="AD380" s="421"/>
      <c r="AE380" s="421"/>
      <c r="AF380" s="421"/>
      <c r="AG380" s="421"/>
      <c r="AH380" s="421"/>
      <c r="AI380" s="421"/>
      <c r="AJ380" s="421"/>
      <c r="AK380" s="421"/>
      <c r="AL380" s="421"/>
      <c r="AM380" s="421"/>
      <c r="AN380" s="421"/>
      <c r="AO380" s="421"/>
      <c r="AP380" s="421"/>
      <c r="AQ380" s="421"/>
      <c r="AR380" s="421"/>
      <c r="AS380" s="421"/>
      <c r="AT380" s="421"/>
      <c r="AU380" s="421"/>
      <c r="AV380" s="421"/>
      <c r="AW380" s="421"/>
      <c r="AX380" s="421"/>
      <c r="AY380" s="421"/>
      <c r="AZ380" s="421"/>
      <c r="BA380" s="421"/>
      <c r="BC380" s="115"/>
      <c r="BD380" s="115"/>
      <c r="BE380" s="115"/>
      <c r="BF380" s="115"/>
      <c r="BG380" s="115"/>
      <c r="BH380" s="84"/>
      <c r="BI380" s="84"/>
      <c r="BJ380" s="84"/>
      <c r="BK380" s="84"/>
      <c r="BL380" s="84"/>
      <c r="BM380" s="84"/>
      <c r="BN380" s="84"/>
      <c r="BO380" s="84"/>
      <c r="BP380" s="84"/>
      <c r="BQ380" s="84"/>
      <c r="BR380" s="84"/>
      <c r="BS380" s="84"/>
      <c r="BT380" s="84"/>
      <c r="BU380" s="84"/>
      <c r="BV380" s="84"/>
      <c r="BW380" s="84"/>
      <c r="BX380" s="84"/>
      <c r="BY380" s="84"/>
      <c r="BZ380" s="84"/>
      <c r="CA380" s="84"/>
      <c r="CB380" s="84"/>
      <c r="CC380" s="84"/>
      <c r="CD380" s="84"/>
      <c r="CE380" s="84"/>
      <c r="CF380" s="84"/>
      <c r="CG380" s="84"/>
      <c r="CH380" s="84"/>
      <c r="CI380" s="84"/>
      <c r="CJ380" s="84"/>
      <c r="CK380" s="84"/>
      <c r="CL380" s="84"/>
      <c r="CM380" s="84"/>
      <c r="CN380" s="84"/>
      <c r="CO380" s="84"/>
      <c r="CP380" s="84"/>
      <c r="CQ380" s="84"/>
      <c r="CR380" s="84"/>
      <c r="CS380" s="84"/>
      <c r="CT380" s="84"/>
      <c r="CU380" s="84"/>
      <c r="CV380" s="84"/>
      <c r="CW380" s="84"/>
      <c r="CX380" s="84"/>
      <c r="CY380" s="84"/>
      <c r="CZ380" s="84"/>
      <c r="DA380" s="84"/>
      <c r="DB380" s="84"/>
      <c r="DC380" s="84"/>
      <c r="DD380" s="84"/>
      <c r="DE380" s="84"/>
      <c r="DF380" s="84"/>
      <c r="DG380" s="115"/>
    </row>
    <row r="381" spans="2:111" customFormat="1" ht="9" customHeight="1">
      <c r="B381" s="49"/>
      <c r="C381" s="49"/>
      <c r="D381" s="49"/>
      <c r="E381" s="49"/>
      <c r="F381" s="49"/>
      <c r="G381" s="49"/>
      <c r="H381" s="49"/>
      <c r="I381" s="49"/>
      <c r="J381" s="49"/>
      <c r="K381" s="49"/>
      <c r="L381" s="49"/>
      <c r="M381" s="49"/>
      <c r="N381" s="49"/>
      <c r="O381" s="421"/>
      <c r="P381" s="421"/>
      <c r="Q381" s="421"/>
      <c r="R381" s="421"/>
      <c r="S381" s="421"/>
      <c r="T381" s="421"/>
      <c r="U381" s="421"/>
      <c r="V381" s="421"/>
      <c r="W381" s="421"/>
      <c r="X381" s="421"/>
      <c r="Y381" s="421"/>
      <c r="Z381" s="421"/>
      <c r="AA381" s="421"/>
      <c r="AB381" s="421"/>
      <c r="AC381" s="421"/>
      <c r="AD381" s="421"/>
      <c r="AE381" s="421"/>
      <c r="AF381" s="421"/>
      <c r="AG381" s="421"/>
      <c r="AH381" s="421"/>
      <c r="AI381" s="421"/>
      <c r="AJ381" s="421"/>
      <c r="AK381" s="421"/>
      <c r="AL381" s="421"/>
      <c r="AM381" s="421"/>
      <c r="AN381" s="421"/>
      <c r="AO381" s="421"/>
      <c r="AP381" s="421"/>
      <c r="AQ381" s="421"/>
      <c r="AR381" s="421"/>
      <c r="AS381" s="421"/>
      <c r="AT381" s="421"/>
      <c r="AU381" s="421"/>
      <c r="AV381" s="421"/>
      <c r="AW381" s="421"/>
      <c r="AX381" s="421"/>
      <c r="AY381" s="421"/>
      <c r="AZ381" s="421"/>
      <c r="BA381" s="421"/>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row>
    <row r="382" spans="2:111" customFormat="1" ht="4.5" customHeight="1">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row>
    <row r="383" spans="2:111" customFormat="1" ht="9" customHeight="1">
      <c r="B383" s="493" t="str">
        <f>IF(B356="","","Metas Vinculadas:")</f>
        <v>Metas Vinculadas:</v>
      </c>
      <c r="C383" s="493"/>
      <c r="D383" s="493"/>
      <c r="E383" s="493"/>
      <c r="F383" s="493"/>
      <c r="G383" s="493"/>
      <c r="H383" s="493"/>
      <c r="I383" s="493"/>
      <c r="J383" s="493"/>
      <c r="K383" s="493"/>
      <c r="L383" s="493"/>
      <c r="M383" s="493"/>
      <c r="N383" s="493"/>
      <c r="O383" s="421">
        <v>4</v>
      </c>
      <c r="P383" s="421"/>
      <c r="Q383" s="421"/>
      <c r="R383" s="421"/>
      <c r="S383" s="421"/>
      <c r="T383" s="421"/>
      <c r="U383" s="421"/>
      <c r="V383" s="421"/>
      <c r="W383" s="421"/>
      <c r="X383" s="421"/>
      <c r="Y383" s="421"/>
      <c r="Z383" s="421"/>
      <c r="AA383" s="421"/>
      <c r="AB383" s="421"/>
      <c r="AC383" s="421"/>
      <c r="AD383" s="421"/>
      <c r="AE383" s="421"/>
      <c r="AF383" s="421"/>
      <c r="AG383" s="421"/>
      <c r="AH383" s="421"/>
      <c r="AI383" s="421"/>
      <c r="AJ383" s="421"/>
      <c r="AK383" s="421"/>
      <c r="AL383" s="421"/>
      <c r="AM383" s="421"/>
      <c r="AN383" s="421"/>
      <c r="AO383" s="421"/>
      <c r="AP383" s="421"/>
      <c r="AQ383" s="421"/>
      <c r="AR383" s="421"/>
      <c r="AS383" s="421"/>
      <c r="AT383" s="421"/>
      <c r="AU383" s="421"/>
      <c r="AV383" s="421"/>
      <c r="AW383" s="421"/>
      <c r="AX383" s="421"/>
      <c r="AY383" s="421"/>
      <c r="AZ383" s="421"/>
      <c r="BA383" s="421"/>
      <c r="BC383" s="115"/>
      <c r="BD383" s="115"/>
      <c r="BE383" s="115"/>
      <c r="BF383" s="115"/>
      <c r="BG383" s="115"/>
      <c r="BH383" s="124"/>
      <c r="BI383" s="124"/>
      <c r="BJ383" s="124"/>
      <c r="BK383" s="124"/>
      <c r="BL383" s="124"/>
      <c r="BM383" s="124"/>
      <c r="BN383" s="124"/>
      <c r="BO383" s="124"/>
      <c r="BP383" s="124"/>
      <c r="BQ383" s="124"/>
      <c r="BR383" s="124"/>
      <c r="BS383" s="124"/>
      <c r="BT383" s="124"/>
      <c r="BU383" s="124"/>
      <c r="BV383" s="124"/>
      <c r="BW383" s="124"/>
      <c r="BX383" s="124"/>
      <c r="BY383" s="124"/>
      <c r="BZ383" s="124"/>
      <c r="CA383" s="124"/>
      <c r="CB383" s="124"/>
      <c r="CC383" s="124"/>
      <c r="CD383" s="124"/>
      <c r="CE383" s="124"/>
      <c r="CF383" s="124"/>
      <c r="CG383" s="124"/>
      <c r="CH383" s="124"/>
      <c r="CI383" s="124"/>
      <c r="CJ383" s="124"/>
      <c r="CK383" s="124"/>
      <c r="CL383" s="124"/>
      <c r="CM383" s="124"/>
      <c r="CN383" s="124"/>
      <c r="CO383" s="124"/>
      <c r="CP383" s="124"/>
      <c r="CQ383" s="124"/>
      <c r="CR383" s="124"/>
      <c r="CS383" s="124"/>
      <c r="CT383" s="124"/>
      <c r="CU383" s="124"/>
      <c r="CV383" s="124"/>
      <c r="CW383" s="124"/>
      <c r="CX383" s="124"/>
      <c r="CY383" s="124"/>
      <c r="CZ383" s="124"/>
      <c r="DA383" s="124"/>
      <c r="DB383" s="124"/>
      <c r="DC383" s="124"/>
      <c r="DD383" s="124"/>
      <c r="DE383" s="124"/>
      <c r="DF383" s="124"/>
      <c r="DG383" s="115"/>
    </row>
    <row r="384" spans="2:111" customFormat="1" ht="9" customHeight="1">
      <c r="B384" s="493"/>
      <c r="C384" s="493"/>
      <c r="D384" s="493"/>
      <c r="E384" s="493"/>
      <c r="F384" s="493"/>
      <c r="G384" s="493"/>
      <c r="H384" s="493"/>
      <c r="I384" s="493"/>
      <c r="J384" s="493"/>
      <c r="K384" s="493"/>
      <c r="L384" s="493"/>
      <c r="M384" s="493"/>
      <c r="N384" s="493"/>
      <c r="O384" s="421"/>
      <c r="P384" s="421"/>
      <c r="Q384" s="421"/>
      <c r="R384" s="421"/>
      <c r="S384" s="421"/>
      <c r="T384" s="421"/>
      <c r="U384" s="421"/>
      <c r="V384" s="421"/>
      <c r="W384" s="421"/>
      <c r="X384" s="421"/>
      <c r="Y384" s="421"/>
      <c r="Z384" s="421"/>
      <c r="AA384" s="421"/>
      <c r="AB384" s="421"/>
      <c r="AC384" s="421"/>
      <c r="AD384" s="421"/>
      <c r="AE384" s="421"/>
      <c r="AF384" s="421"/>
      <c r="AG384" s="421"/>
      <c r="AH384" s="421"/>
      <c r="AI384" s="421"/>
      <c r="AJ384" s="421"/>
      <c r="AK384" s="421"/>
      <c r="AL384" s="421"/>
      <c r="AM384" s="421"/>
      <c r="AN384" s="421"/>
      <c r="AO384" s="421"/>
      <c r="AP384" s="421"/>
      <c r="AQ384" s="421"/>
      <c r="AR384" s="421"/>
      <c r="AS384" s="421"/>
      <c r="AT384" s="421"/>
      <c r="AU384" s="421"/>
      <c r="AV384" s="421"/>
      <c r="AW384" s="421"/>
      <c r="AX384" s="421"/>
      <c r="AY384" s="421"/>
      <c r="AZ384" s="421"/>
      <c r="BA384" s="421"/>
      <c r="BC384" s="115"/>
      <c r="BD384" s="115"/>
      <c r="BE384" s="115"/>
      <c r="BF384" s="115"/>
      <c r="BG384" s="115"/>
      <c r="BH384" s="84"/>
      <c r="BI384" s="84"/>
      <c r="BJ384" s="84"/>
      <c r="BK384" s="84"/>
      <c r="BL384" s="84"/>
      <c r="BM384" s="84"/>
      <c r="BN384" s="84"/>
      <c r="BO384" s="84"/>
      <c r="BP384" s="84"/>
      <c r="BQ384" s="84"/>
      <c r="BR384" s="84"/>
      <c r="BS384" s="84"/>
      <c r="BT384" s="84"/>
      <c r="BU384" s="84"/>
      <c r="BV384" s="84"/>
      <c r="BW384" s="84"/>
      <c r="BX384" s="84"/>
      <c r="BY384" s="84"/>
      <c r="BZ384" s="84"/>
      <c r="CA384" s="84"/>
      <c r="CB384" s="84"/>
      <c r="CC384" s="84"/>
      <c r="CD384" s="84"/>
      <c r="CE384" s="84"/>
      <c r="CF384" s="84"/>
      <c r="CG384" s="84"/>
      <c r="CH384" s="84"/>
      <c r="CI384" s="84"/>
      <c r="CJ384" s="84"/>
      <c r="CK384" s="84"/>
      <c r="CL384" s="84"/>
      <c r="CM384" s="84"/>
      <c r="CN384" s="84"/>
      <c r="CO384" s="84"/>
      <c r="CP384" s="84"/>
      <c r="CQ384" s="84"/>
      <c r="CR384" s="84"/>
      <c r="CS384" s="84"/>
      <c r="CT384" s="84"/>
      <c r="CU384" s="84"/>
      <c r="CV384" s="84"/>
      <c r="CW384" s="84"/>
      <c r="CX384" s="84"/>
      <c r="CY384" s="84"/>
      <c r="CZ384" s="84"/>
      <c r="DA384" s="84"/>
      <c r="DB384" s="84"/>
      <c r="DC384" s="84"/>
      <c r="DD384" s="84"/>
      <c r="DE384" s="84"/>
      <c r="DF384" s="84"/>
      <c r="DG384" s="115"/>
    </row>
    <row r="385" spans="2:111" customFormat="1" ht="4.5" customHeight="1">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row>
    <row r="386" spans="2:111" customFormat="1" ht="9" customHeight="1">
      <c r="B386" s="125"/>
      <c r="C386" s="125"/>
      <c r="D386" s="125"/>
      <c r="E386" s="125"/>
      <c r="F386" s="125"/>
      <c r="G386" s="125"/>
      <c r="H386" s="125"/>
      <c r="I386" s="125"/>
      <c r="J386" s="125"/>
      <c r="K386" s="125"/>
      <c r="L386" s="125"/>
      <c r="M386" s="125"/>
      <c r="N386" s="125"/>
      <c r="O386" s="496" t="str">
        <f>IF(B356="","","Quantidade:")</f>
        <v>Quantidade:</v>
      </c>
      <c r="P386" s="496"/>
      <c r="Q386" s="496"/>
      <c r="R386" s="496"/>
      <c r="S386" s="496"/>
      <c r="T386" s="496"/>
      <c r="U386" s="496"/>
      <c r="V386" s="417">
        <v>1</v>
      </c>
      <c r="W386" s="417"/>
      <c r="X386" s="417"/>
      <c r="Y386" s="417"/>
      <c r="Z386" s="417"/>
      <c r="AA386" s="417"/>
      <c r="AB386" s="417"/>
      <c r="AC386" s="417"/>
      <c r="AD386" s="417"/>
      <c r="AE386" s="417"/>
      <c r="AF386" s="125"/>
      <c r="AG386" s="497" t="str">
        <f>IF(B356="","","Unidade:")</f>
        <v>Unidade:</v>
      </c>
      <c r="AH386" s="497"/>
      <c r="AI386" s="497"/>
      <c r="AJ386" s="497"/>
      <c r="AK386" s="497"/>
      <c r="AL386" s="497"/>
      <c r="AM386" s="497"/>
      <c r="AN386" s="125"/>
      <c r="AO386" s="417" t="s">
        <v>661</v>
      </c>
      <c r="AP386" s="417"/>
      <c r="AQ386" s="417"/>
      <c r="AR386" s="417"/>
      <c r="AS386" s="417"/>
      <c r="AT386" s="417"/>
      <c r="AU386" s="417"/>
      <c r="AV386" s="417"/>
      <c r="AW386" s="417"/>
      <c r="AX386" s="417"/>
      <c r="AY386" s="417"/>
      <c r="AZ386" s="417"/>
      <c r="BA386" s="417"/>
      <c r="BC386" s="115"/>
      <c r="BD386" s="115"/>
      <c r="BE386" s="115"/>
      <c r="BF386" s="115"/>
      <c r="BG386" s="115"/>
      <c r="BH386" s="124"/>
      <c r="BI386" s="124"/>
      <c r="BJ386" s="124"/>
      <c r="BK386" s="124"/>
      <c r="BL386" s="124"/>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4"/>
      <c r="CY386" s="124"/>
      <c r="CZ386" s="124"/>
      <c r="DA386" s="124"/>
      <c r="DB386" s="124"/>
      <c r="DC386" s="124"/>
      <c r="DD386" s="124"/>
      <c r="DE386" s="124"/>
      <c r="DF386" s="124"/>
      <c r="DG386" s="115"/>
    </row>
    <row r="387" spans="2:111" customFormat="1" ht="9" customHeight="1">
      <c r="B387" s="125"/>
      <c r="C387" s="125"/>
      <c r="D387" s="125"/>
      <c r="E387" s="125"/>
      <c r="F387" s="125"/>
      <c r="G387" s="125"/>
      <c r="H387" s="125"/>
      <c r="I387" s="125"/>
      <c r="J387" s="125"/>
      <c r="K387" s="125"/>
      <c r="L387" s="125"/>
      <c r="M387" s="125"/>
      <c r="N387" s="125"/>
      <c r="O387" s="496"/>
      <c r="P387" s="496"/>
      <c r="Q387" s="496"/>
      <c r="R387" s="496"/>
      <c r="S387" s="496"/>
      <c r="T387" s="496"/>
      <c r="U387" s="496"/>
      <c r="V387" s="417"/>
      <c r="W387" s="417"/>
      <c r="X387" s="417"/>
      <c r="Y387" s="417"/>
      <c r="Z387" s="417"/>
      <c r="AA387" s="417"/>
      <c r="AB387" s="417"/>
      <c r="AC387" s="417"/>
      <c r="AD387" s="417"/>
      <c r="AE387" s="417"/>
      <c r="AF387" s="125"/>
      <c r="AG387" s="497"/>
      <c r="AH387" s="497"/>
      <c r="AI387" s="497"/>
      <c r="AJ387" s="497"/>
      <c r="AK387" s="497"/>
      <c r="AL387" s="497"/>
      <c r="AM387" s="497"/>
      <c r="AN387" s="125"/>
      <c r="AO387" s="417"/>
      <c r="AP387" s="417"/>
      <c r="AQ387" s="417"/>
      <c r="AR387" s="417"/>
      <c r="AS387" s="417"/>
      <c r="AT387" s="417"/>
      <c r="AU387" s="417"/>
      <c r="AV387" s="417"/>
      <c r="AW387" s="417"/>
      <c r="AX387" s="417"/>
      <c r="AY387" s="417"/>
      <c r="AZ387" s="417"/>
      <c r="BA387" s="417"/>
      <c r="BC387" s="115"/>
      <c r="BD387" s="115"/>
      <c r="BE387" s="115"/>
      <c r="BF387" s="115"/>
      <c r="BG387" s="115"/>
      <c r="BH387" s="124"/>
      <c r="BI387" s="124"/>
      <c r="BJ387" s="124"/>
      <c r="BK387" s="124"/>
      <c r="BL387" s="124"/>
      <c r="BM387" s="124"/>
      <c r="BN387" s="124"/>
      <c r="BO387" s="124"/>
      <c r="BP387" s="124"/>
      <c r="BQ387" s="124"/>
      <c r="BR387" s="124"/>
      <c r="BS387" s="124"/>
      <c r="BT387" s="124"/>
      <c r="BU387" s="124"/>
      <c r="BV387" s="124"/>
      <c r="BW387" s="124"/>
      <c r="BX387" s="124"/>
      <c r="BY387" s="124"/>
      <c r="BZ387" s="124"/>
      <c r="CA387" s="124"/>
      <c r="CB387" s="124"/>
      <c r="CC387" s="124"/>
      <c r="CD387" s="124"/>
      <c r="CE387" s="124"/>
      <c r="CF387" s="124"/>
      <c r="CG387" s="124"/>
      <c r="CH387" s="124"/>
      <c r="CI387" s="124"/>
      <c r="CJ387" s="124"/>
      <c r="CK387" s="124"/>
      <c r="CL387" s="124"/>
      <c r="CM387" s="124"/>
      <c r="CN387" s="124"/>
      <c r="CO387" s="124"/>
      <c r="CP387" s="124"/>
      <c r="CQ387" s="124"/>
      <c r="CR387" s="124"/>
      <c r="CS387" s="124"/>
      <c r="CT387" s="124"/>
      <c r="CU387" s="124"/>
      <c r="CV387" s="124"/>
      <c r="CW387" s="124"/>
      <c r="CX387" s="124"/>
      <c r="CY387" s="124"/>
      <c r="CZ387" s="124"/>
      <c r="DA387" s="124"/>
      <c r="DB387" s="124"/>
      <c r="DC387" s="124"/>
      <c r="DD387" s="124"/>
      <c r="DE387" s="124"/>
      <c r="DF387" s="124"/>
      <c r="DG387" s="115"/>
    </row>
    <row r="388" spans="2:111" customFormat="1" ht="9" customHeight="1">
      <c r="BC388" s="115"/>
      <c r="BD388" s="115"/>
      <c r="BE388" s="115"/>
      <c r="BF388" s="115"/>
      <c r="BG388" s="115"/>
      <c r="BH388" s="498"/>
      <c r="BI388" s="498"/>
      <c r="BJ388" s="498"/>
      <c r="BK388" s="498"/>
      <c r="BL388" s="498"/>
      <c r="BM388" s="498"/>
      <c r="BN388" s="498"/>
      <c r="BO388" s="498"/>
      <c r="BP388" s="498"/>
      <c r="BQ388" s="498"/>
      <c r="BR388" s="498"/>
      <c r="BS388" s="498"/>
      <c r="BT388" s="498"/>
      <c r="BU388" s="498"/>
      <c r="BV388" s="498"/>
      <c r="BW388" s="498"/>
      <c r="BX388" s="498"/>
      <c r="BY388" s="498"/>
      <c r="BZ388" s="498"/>
      <c r="CA388" s="498"/>
      <c r="CB388" s="498"/>
      <c r="CC388" s="498"/>
      <c r="CD388" s="498"/>
      <c r="CE388" s="498"/>
      <c r="CF388" s="498"/>
      <c r="CG388" s="498"/>
      <c r="CH388" s="498"/>
      <c r="CI388" s="498"/>
      <c r="CJ388" s="498"/>
      <c r="CK388" s="498"/>
      <c r="CL388" s="498"/>
      <c r="CM388" s="498"/>
      <c r="CN388" s="498"/>
      <c r="CO388" s="498"/>
      <c r="CP388" s="498"/>
      <c r="CQ388" s="498"/>
      <c r="CR388" s="498"/>
      <c r="CS388" s="498"/>
      <c r="CT388" s="498"/>
      <c r="CU388" s="498"/>
      <c r="CV388" s="498"/>
      <c r="CW388" s="498"/>
      <c r="CX388" s="498"/>
      <c r="CY388" s="498"/>
      <c r="CZ388" s="498"/>
      <c r="DA388" s="498"/>
      <c r="DB388" s="498"/>
      <c r="DC388" s="498"/>
      <c r="DD388" s="498"/>
      <c r="DE388" s="498"/>
      <c r="DF388" s="498"/>
      <c r="DG388" s="115"/>
    </row>
    <row r="389" spans="2:111" customFormat="1" ht="9" customHeight="1">
      <c r="B389" s="499" t="str">
        <f>IF($Z$32&gt;=9,"Nome da Empresa ou Nº da Ata","")</f>
        <v>Nome da Empresa ou Nº da Ata</v>
      </c>
      <c r="C389" s="499"/>
      <c r="D389" s="499"/>
      <c r="E389" s="499"/>
      <c r="F389" s="499"/>
      <c r="G389" s="499"/>
      <c r="H389" s="499"/>
      <c r="I389" s="499"/>
      <c r="J389" s="499"/>
      <c r="K389" s="499"/>
      <c r="L389" s="499"/>
      <c r="M389" s="499"/>
      <c r="N389" s="499"/>
      <c r="O389" s="499"/>
      <c r="P389" s="499"/>
      <c r="Q389" s="499"/>
      <c r="R389" s="499"/>
      <c r="S389" s="499"/>
      <c r="T389" s="499"/>
      <c r="U389" s="499"/>
      <c r="V389" s="499"/>
      <c r="W389" s="499"/>
      <c r="X389" s="499" t="str">
        <f>IF($Z$32&gt;=9,"CNPJ / CPF","")</f>
        <v>CNPJ / CPF</v>
      </c>
      <c r="Y389" s="499"/>
      <c r="Z389" s="499"/>
      <c r="AA389" s="499"/>
      <c r="AB389" s="499"/>
      <c r="AC389" s="499"/>
      <c r="AD389" s="499"/>
      <c r="AE389" s="499"/>
      <c r="AF389" s="499"/>
      <c r="AG389" s="499"/>
      <c r="AH389" s="499" t="str">
        <f>IF($Z$32&gt;=9,"Qtde","")</f>
        <v>Qtde</v>
      </c>
      <c r="AI389" s="499"/>
      <c r="AJ389" s="499"/>
      <c r="AK389" s="499"/>
      <c r="AL389" s="499" t="str">
        <f>IF($Z$32&gt;=9,"Valor Unitário (R$)","")</f>
        <v>Valor Unitário (R$)</v>
      </c>
      <c r="AM389" s="499"/>
      <c r="AN389" s="499"/>
      <c r="AO389" s="499"/>
      <c r="AP389" s="499"/>
      <c r="AQ389" s="499"/>
      <c r="AR389" s="499"/>
      <c r="AS389" s="499"/>
      <c r="AT389" s="499" t="str">
        <f>IF($Z$32&gt;=9,"Valor Total (R$)","")</f>
        <v>Valor Total (R$)</v>
      </c>
      <c r="AU389" s="499"/>
      <c r="AV389" s="499"/>
      <c r="AW389" s="499"/>
      <c r="AX389" s="499"/>
      <c r="AY389" s="499"/>
      <c r="AZ389" s="499"/>
      <c r="BA389" s="499"/>
      <c r="BC389" s="115"/>
      <c r="BD389" s="115"/>
      <c r="BE389" s="115"/>
      <c r="BF389" s="115"/>
      <c r="BG389" s="115"/>
      <c r="BH389" s="498"/>
      <c r="BI389" s="498"/>
      <c r="BJ389" s="498"/>
      <c r="BK389" s="498"/>
      <c r="BL389" s="498"/>
      <c r="BM389" s="498"/>
      <c r="BN389" s="498"/>
      <c r="BO389" s="498"/>
      <c r="BP389" s="498"/>
      <c r="BQ389" s="498"/>
      <c r="BR389" s="498"/>
      <c r="BS389" s="498"/>
      <c r="BT389" s="498"/>
      <c r="BU389" s="498"/>
      <c r="BV389" s="498"/>
      <c r="BW389" s="498"/>
      <c r="BX389" s="498"/>
      <c r="BY389" s="498"/>
      <c r="BZ389" s="498"/>
      <c r="CA389" s="498"/>
      <c r="CB389" s="498"/>
      <c r="CC389" s="498"/>
      <c r="CD389" s="498"/>
      <c r="CE389" s="498"/>
      <c r="CF389" s="498"/>
      <c r="CG389" s="498"/>
      <c r="CH389" s="498"/>
      <c r="CI389" s="498"/>
      <c r="CJ389" s="498"/>
      <c r="CK389" s="498"/>
      <c r="CL389" s="498"/>
      <c r="CM389" s="498"/>
      <c r="CN389" s="498"/>
      <c r="CO389" s="498"/>
      <c r="CP389" s="498"/>
      <c r="CQ389" s="498"/>
      <c r="CR389" s="498"/>
      <c r="CS389" s="498"/>
      <c r="CT389" s="498"/>
      <c r="CU389" s="498"/>
      <c r="CV389" s="498"/>
      <c r="CW389" s="498"/>
      <c r="CX389" s="498"/>
      <c r="CY389" s="498"/>
      <c r="CZ389" s="498"/>
      <c r="DA389" s="498"/>
      <c r="DB389" s="498"/>
      <c r="DC389" s="498"/>
      <c r="DD389" s="498"/>
      <c r="DE389" s="498"/>
      <c r="DF389" s="498"/>
      <c r="DG389" s="115"/>
    </row>
    <row r="390" spans="2:111" customFormat="1" ht="9" customHeight="1">
      <c r="B390" s="499"/>
      <c r="C390" s="499"/>
      <c r="D390" s="499"/>
      <c r="E390" s="499"/>
      <c r="F390" s="499"/>
      <c r="G390" s="499"/>
      <c r="H390" s="499"/>
      <c r="I390" s="499"/>
      <c r="J390" s="499"/>
      <c r="K390" s="499"/>
      <c r="L390" s="499"/>
      <c r="M390" s="499"/>
      <c r="N390" s="499"/>
      <c r="O390" s="499"/>
      <c r="P390" s="499"/>
      <c r="Q390" s="499"/>
      <c r="R390" s="499"/>
      <c r="S390" s="499"/>
      <c r="T390" s="499"/>
      <c r="U390" s="499"/>
      <c r="V390" s="499"/>
      <c r="W390" s="499"/>
      <c r="X390" s="499"/>
      <c r="Y390" s="499"/>
      <c r="Z390" s="499"/>
      <c r="AA390" s="499"/>
      <c r="AB390" s="499"/>
      <c r="AC390" s="499"/>
      <c r="AD390" s="499"/>
      <c r="AE390" s="499"/>
      <c r="AF390" s="499"/>
      <c r="AG390" s="499"/>
      <c r="AH390" s="499"/>
      <c r="AI390" s="499"/>
      <c r="AJ390" s="499"/>
      <c r="AK390" s="499"/>
      <c r="AL390" s="499"/>
      <c r="AM390" s="499"/>
      <c r="AN390" s="499"/>
      <c r="AO390" s="499"/>
      <c r="AP390" s="499"/>
      <c r="AQ390" s="499"/>
      <c r="AR390" s="499"/>
      <c r="AS390" s="499"/>
      <c r="AT390" s="499"/>
      <c r="AU390" s="499"/>
      <c r="AV390" s="499"/>
      <c r="AW390" s="499"/>
      <c r="AX390" s="499"/>
      <c r="AY390" s="499"/>
      <c r="AZ390" s="499"/>
      <c r="BA390" s="499"/>
      <c r="BB390" s="176">
        <f>AVERAGE(AL391:AS393)</f>
        <v>25842.383333333331</v>
      </c>
      <c r="BC390" s="115"/>
      <c r="BD390" s="115"/>
      <c r="BE390" s="115"/>
      <c r="BF390" s="115"/>
      <c r="BG390" s="115"/>
      <c r="BH390" s="498"/>
      <c r="BI390" s="498"/>
      <c r="BJ390" s="498"/>
      <c r="BK390" s="498"/>
      <c r="BL390" s="498"/>
      <c r="BM390" s="498"/>
      <c r="BN390" s="498"/>
      <c r="BO390" s="498"/>
      <c r="BP390" s="498"/>
      <c r="BQ390" s="498"/>
      <c r="BR390" s="498"/>
      <c r="BS390" s="498"/>
      <c r="BT390" s="498"/>
      <c r="BU390" s="498"/>
      <c r="BV390" s="498"/>
      <c r="BW390" s="498"/>
      <c r="BX390" s="498"/>
      <c r="BY390" s="498"/>
      <c r="BZ390" s="498"/>
      <c r="CA390" s="498"/>
      <c r="CB390" s="498"/>
      <c r="CC390" s="498"/>
      <c r="CD390" s="498"/>
      <c r="CE390" s="498"/>
      <c r="CF390" s="498"/>
      <c r="CG390" s="498"/>
      <c r="CH390" s="498"/>
      <c r="CI390" s="498"/>
      <c r="CJ390" s="498"/>
      <c r="CK390" s="498"/>
      <c r="CL390" s="498"/>
      <c r="CM390" s="498"/>
      <c r="CN390" s="498"/>
      <c r="CO390" s="498"/>
      <c r="CP390" s="498"/>
      <c r="CQ390" s="498"/>
      <c r="CR390" s="498"/>
      <c r="CS390" s="498"/>
      <c r="CT390" s="498"/>
      <c r="CU390" s="498"/>
      <c r="CV390" s="498"/>
      <c r="CW390" s="498"/>
      <c r="CX390" s="498"/>
      <c r="CY390" s="498"/>
      <c r="CZ390" s="498"/>
      <c r="DA390" s="498"/>
      <c r="DB390" s="498"/>
      <c r="DC390" s="498"/>
      <c r="DD390" s="498"/>
      <c r="DE390" s="498"/>
      <c r="DF390" s="498"/>
      <c r="DG390" s="115"/>
    </row>
    <row r="391" spans="2:111" customFormat="1" ht="18" customHeight="1">
      <c r="B391" s="233" t="s">
        <v>662</v>
      </c>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486" t="s">
        <v>663</v>
      </c>
      <c r="Y391" s="486"/>
      <c r="Z391" s="486"/>
      <c r="AA391" s="486"/>
      <c r="AB391" s="486"/>
      <c r="AC391" s="486"/>
      <c r="AD391" s="486"/>
      <c r="AE391" s="486"/>
      <c r="AF391" s="486"/>
      <c r="AG391" s="486"/>
      <c r="AH391" s="417">
        <v>1</v>
      </c>
      <c r="AI391" s="417"/>
      <c r="AJ391" s="417"/>
      <c r="AK391" s="417"/>
      <c r="AL391" s="419">
        <v>22027.39</v>
      </c>
      <c r="AM391" s="419"/>
      <c r="AN391" s="419"/>
      <c r="AO391" s="419"/>
      <c r="AP391" s="419"/>
      <c r="AQ391" s="419"/>
      <c r="AR391" s="419"/>
      <c r="AS391" s="419"/>
      <c r="AT391" s="487">
        <f>IF($Z$32&gt;=9,(AH391*AL391),"")</f>
        <v>22027.39</v>
      </c>
      <c r="AU391" s="487"/>
      <c r="AV391" s="487"/>
      <c r="AW391" s="487"/>
      <c r="AX391" s="487"/>
      <c r="AY391" s="487"/>
      <c r="AZ391" s="487"/>
      <c r="BA391" s="487"/>
      <c r="BC391" s="115"/>
      <c r="BD391" s="115"/>
      <c r="BE391" s="115"/>
      <c r="BF391" s="115"/>
      <c r="BG391" s="115"/>
      <c r="BH391" s="498"/>
      <c r="BI391" s="498"/>
      <c r="BJ391" s="498"/>
      <c r="BK391" s="498"/>
      <c r="BL391" s="498"/>
      <c r="BM391" s="498"/>
      <c r="BN391" s="498"/>
      <c r="BO391" s="498"/>
      <c r="BP391" s="498"/>
      <c r="BQ391" s="498"/>
      <c r="BR391" s="498"/>
      <c r="BS391" s="498"/>
      <c r="BT391" s="498"/>
      <c r="BU391" s="498"/>
      <c r="BV391" s="498"/>
      <c r="BW391" s="498"/>
      <c r="BX391" s="498"/>
      <c r="BY391" s="498"/>
      <c r="BZ391" s="498"/>
      <c r="CA391" s="498"/>
      <c r="CB391" s="498"/>
      <c r="CC391" s="498"/>
      <c r="CD391" s="498"/>
      <c r="CE391" s="498"/>
      <c r="CF391" s="498"/>
      <c r="CG391" s="498"/>
      <c r="CH391" s="498"/>
      <c r="CI391" s="498"/>
      <c r="CJ391" s="498"/>
      <c r="CK391" s="498"/>
      <c r="CL391" s="498"/>
      <c r="CM391" s="498"/>
      <c r="CN391" s="498"/>
      <c r="CO391" s="498"/>
      <c r="CP391" s="498"/>
      <c r="CQ391" s="498"/>
      <c r="CR391" s="498"/>
      <c r="CS391" s="498"/>
      <c r="CT391" s="498"/>
      <c r="CU391" s="498"/>
      <c r="CV391" s="498"/>
      <c r="CW391" s="498"/>
      <c r="CX391" s="498"/>
      <c r="CY391" s="498"/>
      <c r="CZ391" s="498"/>
      <c r="DA391" s="498"/>
      <c r="DB391" s="498"/>
      <c r="DC391" s="498"/>
      <c r="DD391" s="498"/>
      <c r="DE391" s="498"/>
      <c r="DF391" s="498"/>
      <c r="DG391" s="115"/>
    </row>
    <row r="392" spans="2:111" customFormat="1" ht="18" customHeight="1">
      <c r="B392" s="233" t="s">
        <v>646</v>
      </c>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486" t="s">
        <v>664</v>
      </c>
      <c r="Y392" s="486"/>
      <c r="Z392" s="486"/>
      <c r="AA392" s="486"/>
      <c r="AB392" s="486"/>
      <c r="AC392" s="486"/>
      <c r="AD392" s="486"/>
      <c r="AE392" s="486"/>
      <c r="AF392" s="486"/>
      <c r="AG392" s="486"/>
      <c r="AH392" s="417">
        <v>1</v>
      </c>
      <c r="AI392" s="417"/>
      <c r="AJ392" s="417"/>
      <c r="AK392" s="417"/>
      <c r="AL392" s="419">
        <v>25674.05</v>
      </c>
      <c r="AM392" s="419"/>
      <c r="AN392" s="419"/>
      <c r="AO392" s="419"/>
      <c r="AP392" s="419"/>
      <c r="AQ392" s="419"/>
      <c r="AR392" s="419"/>
      <c r="AS392" s="419"/>
      <c r="AT392" s="487">
        <f>IF($Z$32&gt;=9,(AH392*AL392),"")</f>
        <v>25674.05</v>
      </c>
      <c r="AU392" s="487"/>
      <c r="AV392" s="487"/>
      <c r="AW392" s="487"/>
      <c r="AX392" s="487"/>
      <c r="AY392" s="487"/>
      <c r="AZ392" s="487"/>
      <c r="BA392" s="487"/>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row>
    <row r="393" spans="2:111" customFormat="1" ht="18" customHeight="1">
      <c r="B393" s="233" t="s">
        <v>665</v>
      </c>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486" t="s">
        <v>666</v>
      </c>
      <c r="Y393" s="486"/>
      <c r="Z393" s="486"/>
      <c r="AA393" s="486"/>
      <c r="AB393" s="486"/>
      <c r="AC393" s="486"/>
      <c r="AD393" s="486"/>
      <c r="AE393" s="486"/>
      <c r="AF393" s="486"/>
      <c r="AG393" s="486"/>
      <c r="AH393" s="417">
        <v>1</v>
      </c>
      <c r="AI393" s="417"/>
      <c r="AJ393" s="417"/>
      <c r="AK393" s="417"/>
      <c r="AL393" s="419">
        <v>29825.71</v>
      </c>
      <c r="AM393" s="419"/>
      <c r="AN393" s="419"/>
      <c r="AO393" s="419"/>
      <c r="AP393" s="419"/>
      <c r="AQ393" s="419"/>
      <c r="AR393" s="419"/>
      <c r="AS393" s="419"/>
      <c r="AT393" s="487">
        <f>IF($Z$32&gt;=9,(AH393*AL393),"")</f>
        <v>29825.71</v>
      </c>
      <c r="AU393" s="487"/>
      <c r="AV393" s="487"/>
      <c r="AW393" s="487"/>
      <c r="AX393" s="487"/>
      <c r="AY393" s="487"/>
      <c r="AZ393" s="487"/>
      <c r="BA393" s="487"/>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row>
    <row r="394" spans="2:111" customFormat="1" ht="15" customHeight="1">
      <c r="AT394" s="500">
        <f>IF(B391="","",IF(AL392="",AT391,IF(AL393="",AVERAGE(AT391:BA392),AVERAGE(AT391:AT393))))</f>
        <v>25842.383333333331</v>
      </c>
      <c r="AU394" s="500"/>
      <c r="AV394" s="500"/>
      <c r="AW394" s="500"/>
      <c r="AX394" s="500"/>
      <c r="AY394" s="500"/>
      <c r="AZ394" s="500"/>
      <c r="BA394" s="500"/>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row>
    <row r="395" spans="2:111" customFormat="1" ht="15" customHeight="1">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row>
    <row r="396" spans="2:111" customFormat="1" ht="9" customHeight="1">
      <c r="B396" s="494" t="str">
        <f>IF($Z$32&gt;=10,"Item 10","")</f>
        <v>Item 10</v>
      </c>
      <c r="C396" s="495"/>
      <c r="D396" s="495"/>
      <c r="E396" s="495"/>
      <c r="F396" s="495"/>
      <c r="G396" s="495"/>
      <c r="H396" s="495"/>
      <c r="I396" s="495"/>
      <c r="J396" s="495"/>
      <c r="K396" s="495"/>
      <c r="L396" s="495"/>
      <c r="M396" s="49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row>
    <row r="397" spans="2:111" customFormat="1" ht="9" customHeight="1">
      <c r="B397" s="495"/>
      <c r="C397" s="495"/>
      <c r="D397" s="495"/>
      <c r="E397" s="495"/>
      <c r="F397" s="495"/>
      <c r="G397" s="495"/>
      <c r="H397" s="495"/>
      <c r="I397" s="495"/>
      <c r="J397" s="495"/>
      <c r="K397" s="495"/>
      <c r="L397" s="495"/>
      <c r="M397" s="49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row>
    <row r="398" spans="2:111" customFormat="1" ht="4.5" customHeight="1">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row>
    <row r="399" spans="2:111" customFormat="1" ht="9" customHeight="1">
      <c r="B399" s="493" t="str">
        <f>IF(B396="","","Elemento de Despesa:")</f>
        <v>Elemento de Despesa:</v>
      </c>
      <c r="C399" s="493"/>
      <c r="D399" s="493"/>
      <c r="E399" s="493"/>
      <c r="F399" s="493"/>
      <c r="G399" s="493"/>
      <c r="H399" s="493"/>
      <c r="I399" s="493"/>
      <c r="J399" s="493"/>
      <c r="K399" s="493"/>
      <c r="L399" s="493"/>
      <c r="M399" s="493"/>
      <c r="N399" s="493"/>
      <c r="O399" s="241" t="s">
        <v>276</v>
      </c>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C399" s="115"/>
      <c r="BD399" s="115"/>
      <c r="BE399" s="115"/>
      <c r="BF399" s="115"/>
      <c r="BG399" s="115"/>
      <c r="BH399" s="124"/>
      <c r="BI399" s="124"/>
      <c r="BJ399" s="124"/>
      <c r="BK399" s="124"/>
      <c r="BL399" s="124"/>
      <c r="BM399" s="124"/>
      <c r="BN399" s="124"/>
      <c r="BO399" s="124"/>
      <c r="BP399" s="124"/>
      <c r="BQ399" s="124"/>
      <c r="BR399" s="124"/>
      <c r="BS399" s="124"/>
      <c r="BT399" s="124"/>
      <c r="BU399" s="124"/>
      <c r="BV399" s="124"/>
      <c r="BW399" s="124"/>
      <c r="BX399" s="124"/>
      <c r="BY399" s="124"/>
      <c r="BZ399" s="124"/>
      <c r="CA399" s="124"/>
      <c r="CB399" s="124"/>
      <c r="CC399" s="124"/>
      <c r="CD399" s="124"/>
      <c r="CE399" s="124"/>
      <c r="CF399" s="124"/>
      <c r="CG399" s="124"/>
      <c r="CH399" s="124"/>
      <c r="CI399" s="124"/>
      <c r="CJ399" s="124"/>
      <c r="CK399" s="124"/>
      <c r="CL399" s="124"/>
      <c r="CM399" s="124"/>
      <c r="CN399" s="124"/>
      <c r="CO399" s="124"/>
      <c r="CP399" s="124"/>
      <c r="CQ399" s="124"/>
      <c r="CR399" s="124"/>
      <c r="CS399" s="124"/>
      <c r="CT399" s="124"/>
      <c r="CU399" s="124"/>
      <c r="CV399" s="124"/>
      <c r="CW399" s="124"/>
      <c r="CX399" s="124"/>
      <c r="CY399" s="124"/>
      <c r="CZ399" s="124"/>
      <c r="DA399" s="124"/>
      <c r="DB399" s="124"/>
      <c r="DC399" s="124"/>
      <c r="DD399" s="124"/>
      <c r="DE399" s="124"/>
      <c r="DF399" s="124"/>
      <c r="DG399" s="115"/>
    </row>
    <row r="400" spans="2:111" customFormat="1" ht="9" customHeight="1">
      <c r="B400" s="493"/>
      <c r="C400" s="493"/>
      <c r="D400" s="493"/>
      <c r="E400" s="493"/>
      <c r="F400" s="493"/>
      <c r="G400" s="493"/>
      <c r="H400" s="493"/>
      <c r="I400" s="493"/>
      <c r="J400" s="493"/>
      <c r="K400" s="493"/>
      <c r="L400" s="493"/>
      <c r="M400" s="493"/>
      <c r="N400" s="493"/>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C400" s="115"/>
      <c r="BD400" s="115"/>
      <c r="BE400" s="115"/>
      <c r="BF400" s="115"/>
      <c r="BG400" s="115"/>
      <c r="BH400" s="124"/>
      <c r="BI400" s="124"/>
      <c r="BJ400" s="124"/>
      <c r="BK400" s="124"/>
      <c r="BL400" s="124"/>
      <c r="BM400" s="124"/>
      <c r="BN400" s="124"/>
      <c r="BO400" s="124"/>
      <c r="BP400" s="124"/>
      <c r="BQ400" s="124"/>
      <c r="BR400" s="124"/>
      <c r="BS400" s="124"/>
      <c r="BT400" s="124"/>
      <c r="BU400" s="124"/>
      <c r="BV400" s="124"/>
      <c r="BW400" s="124"/>
      <c r="BX400" s="124"/>
      <c r="BY400" s="124"/>
      <c r="BZ400" s="124"/>
      <c r="CA400" s="124"/>
      <c r="CB400" s="124"/>
      <c r="CC400" s="124"/>
      <c r="CD400" s="124"/>
      <c r="CE400" s="124"/>
      <c r="CF400" s="124"/>
      <c r="CG400" s="124"/>
      <c r="CH400" s="124"/>
      <c r="CI400" s="124"/>
      <c r="CJ400" s="124"/>
      <c r="CK400" s="124"/>
      <c r="CL400" s="124"/>
      <c r="CM400" s="124"/>
      <c r="CN400" s="124"/>
      <c r="CO400" s="124"/>
      <c r="CP400" s="124"/>
      <c r="CQ400" s="124"/>
      <c r="CR400" s="124"/>
      <c r="CS400" s="124"/>
      <c r="CT400" s="124"/>
      <c r="CU400" s="124"/>
      <c r="CV400" s="124"/>
      <c r="CW400" s="124"/>
      <c r="CX400" s="124"/>
      <c r="CY400" s="124"/>
      <c r="CZ400" s="124"/>
      <c r="DA400" s="124"/>
      <c r="DB400" s="124"/>
      <c r="DC400" s="124"/>
      <c r="DD400" s="124"/>
      <c r="DE400" s="124"/>
      <c r="DF400" s="124"/>
      <c r="DG400" s="115"/>
    </row>
    <row r="401" spans="2:111" customFormat="1" ht="4.5" customHeight="1">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C401" s="115"/>
      <c r="BD401" s="115"/>
      <c r="BE401" s="115"/>
      <c r="BF401" s="115"/>
      <c r="BG401" s="115"/>
      <c r="BH401" s="124"/>
      <c r="BI401" s="124"/>
      <c r="BJ401" s="124"/>
      <c r="BK401" s="124"/>
      <c r="BL401" s="124"/>
      <c r="BM401" s="124"/>
      <c r="BN401" s="124"/>
      <c r="BO401" s="124"/>
      <c r="BP401" s="124"/>
      <c r="BQ401" s="124"/>
      <c r="BR401" s="124"/>
      <c r="BS401" s="124"/>
      <c r="BT401" s="124"/>
      <c r="BU401" s="124"/>
      <c r="BV401" s="124"/>
      <c r="BW401" s="124"/>
      <c r="BX401" s="124"/>
      <c r="BY401" s="124"/>
      <c r="BZ401" s="124"/>
      <c r="CA401" s="124"/>
      <c r="CB401" s="124"/>
      <c r="CC401" s="124"/>
      <c r="CD401" s="124"/>
      <c r="CE401" s="124"/>
      <c r="CF401" s="124"/>
      <c r="CG401" s="124"/>
      <c r="CH401" s="124"/>
      <c r="CI401" s="124"/>
      <c r="CJ401" s="124"/>
      <c r="CK401" s="124"/>
      <c r="CL401" s="124"/>
      <c r="CM401" s="124"/>
      <c r="CN401" s="124"/>
      <c r="CO401" s="124"/>
      <c r="CP401" s="124"/>
      <c r="CQ401" s="124"/>
      <c r="CR401" s="124"/>
      <c r="CS401" s="124"/>
      <c r="CT401" s="124"/>
      <c r="CU401" s="124"/>
      <c r="CV401" s="124"/>
      <c r="CW401" s="124"/>
      <c r="CX401" s="124"/>
      <c r="CY401" s="124"/>
      <c r="CZ401" s="124"/>
      <c r="DA401" s="124"/>
      <c r="DB401" s="124"/>
      <c r="DC401" s="124"/>
      <c r="DD401" s="124"/>
      <c r="DE401" s="124"/>
      <c r="DF401" s="124"/>
      <c r="DG401" s="115"/>
    </row>
    <row r="402" spans="2:111" customFormat="1" ht="9" customHeight="1">
      <c r="B402" s="493" t="str">
        <f>IF(B396="","","Objeto:")</f>
        <v>Objeto:</v>
      </c>
      <c r="C402" s="493"/>
      <c r="D402" s="493"/>
      <c r="E402" s="493"/>
      <c r="F402" s="493"/>
      <c r="G402" s="493"/>
      <c r="H402" s="493"/>
      <c r="I402" s="493"/>
      <c r="J402" s="493"/>
      <c r="K402" s="493"/>
      <c r="L402" s="493"/>
      <c r="M402" s="493"/>
      <c r="N402" s="493"/>
      <c r="O402" s="421" t="s">
        <v>667</v>
      </c>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c r="AN402" s="421"/>
      <c r="AO402" s="421"/>
      <c r="AP402" s="421"/>
      <c r="AQ402" s="421"/>
      <c r="AR402" s="421"/>
      <c r="AS402" s="421"/>
      <c r="AT402" s="421"/>
      <c r="AU402" s="421"/>
      <c r="AV402" s="421"/>
      <c r="AW402" s="421"/>
      <c r="AX402" s="421"/>
      <c r="AY402" s="421"/>
      <c r="AZ402" s="421"/>
      <c r="BA402" s="421"/>
      <c r="BC402" s="115"/>
      <c r="BD402" s="115"/>
      <c r="BE402" s="115"/>
      <c r="BF402" s="115"/>
      <c r="BG402" s="115"/>
      <c r="BH402" s="124"/>
      <c r="BI402" s="124"/>
      <c r="BJ402" s="124"/>
      <c r="BK402" s="124"/>
      <c r="BL402" s="124"/>
      <c r="BM402" s="124"/>
      <c r="BN402" s="124"/>
      <c r="BO402" s="124"/>
      <c r="BP402" s="124"/>
      <c r="BQ402" s="124"/>
      <c r="BR402" s="124"/>
      <c r="BS402" s="124"/>
      <c r="BT402" s="124"/>
      <c r="BU402" s="124"/>
      <c r="BV402" s="124"/>
      <c r="BW402" s="124"/>
      <c r="BX402" s="124"/>
      <c r="BY402" s="124"/>
      <c r="BZ402" s="124"/>
      <c r="CA402" s="124"/>
      <c r="CB402" s="124"/>
      <c r="CC402" s="124"/>
      <c r="CD402" s="124"/>
      <c r="CE402" s="124"/>
      <c r="CF402" s="124"/>
      <c r="CG402" s="124"/>
      <c r="CH402" s="124"/>
      <c r="CI402" s="124"/>
      <c r="CJ402" s="124"/>
      <c r="CK402" s="124"/>
      <c r="CL402" s="124"/>
      <c r="CM402" s="124"/>
      <c r="CN402" s="124"/>
      <c r="CO402" s="124"/>
      <c r="CP402" s="124"/>
      <c r="CQ402" s="124"/>
      <c r="CR402" s="124"/>
      <c r="CS402" s="124"/>
      <c r="CT402" s="124"/>
      <c r="CU402" s="124"/>
      <c r="CV402" s="124"/>
      <c r="CW402" s="124"/>
      <c r="CX402" s="124"/>
      <c r="CY402" s="124"/>
      <c r="CZ402" s="124"/>
      <c r="DA402" s="124"/>
      <c r="DB402" s="124"/>
      <c r="DC402" s="124"/>
      <c r="DD402" s="124"/>
      <c r="DE402" s="124"/>
      <c r="DF402" s="124"/>
      <c r="DG402" s="115"/>
    </row>
    <row r="403" spans="2:111" customFormat="1" ht="9" customHeight="1">
      <c r="B403" s="493"/>
      <c r="C403" s="493"/>
      <c r="D403" s="493"/>
      <c r="E403" s="493"/>
      <c r="F403" s="493"/>
      <c r="G403" s="493"/>
      <c r="H403" s="493"/>
      <c r="I403" s="493"/>
      <c r="J403" s="493"/>
      <c r="K403" s="493"/>
      <c r="L403" s="493"/>
      <c r="M403" s="493"/>
      <c r="N403" s="493"/>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c r="AP403" s="421"/>
      <c r="AQ403" s="421"/>
      <c r="AR403" s="421"/>
      <c r="AS403" s="421"/>
      <c r="AT403" s="421"/>
      <c r="AU403" s="421"/>
      <c r="AV403" s="421"/>
      <c r="AW403" s="421"/>
      <c r="AX403" s="421"/>
      <c r="AY403" s="421"/>
      <c r="AZ403" s="421"/>
      <c r="BA403" s="421"/>
      <c r="BC403" s="115"/>
      <c r="BD403" s="115"/>
      <c r="BE403" s="115"/>
      <c r="BF403" s="115"/>
      <c r="BG403" s="115"/>
      <c r="BH403" s="124"/>
      <c r="BI403" s="124"/>
      <c r="BJ403" s="124"/>
      <c r="BK403" s="124"/>
      <c r="BL403" s="124"/>
      <c r="BM403" s="124"/>
      <c r="BN403" s="124"/>
      <c r="BO403" s="124"/>
      <c r="BP403" s="124"/>
      <c r="BQ403" s="124"/>
      <c r="BR403" s="124"/>
      <c r="BS403" s="124"/>
      <c r="BT403" s="124"/>
      <c r="BU403" s="124"/>
      <c r="BV403" s="124"/>
      <c r="BW403" s="124"/>
      <c r="BX403" s="124"/>
      <c r="BY403" s="124"/>
      <c r="BZ403" s="124"/>
      <c r="CA403" s="124"/>
      <c r="CB403" s="124"/>
      <c r="CC403" s="124"/>
      <c r="CD403" s="124"/>
      <c r="CE403" s="124"/>
      <c r="CF403" s="124"/>
      <c r="CG403" s="124"/>
      <c r="CH403" s="124"/>
      <c r="CI403" s="124"/>
      <c r="CJ403" s="124"/>
      <c r="CK403" s="124"/>
      <c r="CL403" s="124"/>
      <c r="CM403" s="124"/>
      <c r="CN403" s="124"/>
      <c r="CO403" s="124"/>
      <c r="CP403" s="124"/>
      <c r="CQ403" s="124"/>
      <c r="CR403" s="124"/>
      <c r="CS403" s="124"/>
      <c r="CT403" s="124"/>
      <c r="CU403" s="124"/>
      <c r="CV403" s="124"/>
      <c r="CW403" s="124"/>
      <c r="CX403" s="124"/>
      <c r="CY403" s="124"/>
      <c r="CZ403" s="124"/>
      <c r="DA403" s="124"/>
      <c r="DB403" s="124"/>
      <c r="DC403" s="124"/>
      <c r="DD403" s="124"/>
      <c r="DE403" s="124"/>
      <c r="DF403" s="124"/>
      <c r="DG403" s="115"/>
    </row>
    <row r="404" spans="2:111" customFormat="1" ht="9" customHeight="1">
      <c r="B404" s="143"/>
      <c r="C404" s="143"/>
      <c r="D404" s="143"/>
      <c r="E404" s="143"/>
      <c r="F404" s="143"/>
      <c r="G404" s="143"/>
      <c r="H404" s="143"/>
      <c r="I404" s="143"/>
      <c r="J404" s="143"/>
      <c r="K404" s="143"/>
      <c r="L404" s="143"/>
      <c r="M404" s="143"/>
      <c r="N404" s="143"/>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c r="AN404" s="421"/>
      <c r="AO404" s="421"/>
      <c r="AP404" s="421"/>
      <c r="AQ404" s="421"/>
      <c r="AR404" s="421"/>
      <c r="AS404" s="421"/>
      <c r="AT404" s="421"/>
      <c r="AU404" s="421"/>
      <c r="AV404" s="421"/>
      <c r="AW404" s="421"/>
      <c r="AX404" s="421"/>
      <c r="AY404" s="421"/>
      <c r="AZ404" s="421"/>
      <c r="BA404" s="421"/>
      <c r="BC404" s="115"/>
      <c r="BD404" s="115"/>
      <c r="BE404" s="115"/>
      <c r="BF404" s="115"/>
      <c r="BG404" s="115"/>
      <c r="BH404" s="84"/>
      <c r="BI404" s="84"/>
      <c r="BJ404" s="84"/>
      <c r="BK404" s="84"/>
      <c r="BL404" s="84"/>
      <c r="BM404" s="84"/>
      <c r="BN404" s="84"/>
      <c r="BO404" s="84"/>
      <c r="BP404" s="84"/>
      <c r="BQ404" s="84"/>
      <c r="BR404" s="84"/>
      <c r="BS404" s="84"/>
      <c r="BT404" s="84"/>
      <c r="BU404" s="84"/>
      <c r="BV404" s="84"/>
      <c r="BW404" s="84"/>
      <c r="BX404" s="84"/>
      <c r="BY404" s="84"/>
      <c r="BZ404" s="84"/>
      <c r="CA404" s="84"/>
      <c r="CB404" s="84"/>
      <c r="CC404" s="84"/>
      <c r="CD404" s="84"/>
      <c r="CE404" s="84"/>
      <c r="CF404" s="84"/>
      <c r="CG404" s="84"/>
      <c r="CH404" s="84"/>
      <c r="CI404" s="84"/>
      <c r="CJ404" s="84"/>
      <c r="CK404" s="84"/>
      <c r="CL404" s="84"/>
      <c r="CM404" s="84"/>
      <c r="CN404" s="84"/>
      <c r="CO404" s="84"/>
      <c r="CP404" s="84"/>
      <c r="CQ404" s="84"/>
      <c r="CR404" s="84"/>
      <c r="CS404" s="84"/>
      <c r="CT404" s="84"/>
      <c r="CU404" s="84"/>
      <c r="CV404" s="84"/>
      <c r="CW404" s="84"/>
      <c r="CX404" s="84"/>
      <c r="CY404" s="84"/>
      <c r="CZ404" s="84"/>
      <c r="DA404" s="84"/>
      <c r="DB404" s="84"/>
      <c r="DC404" s="84"/>
      <c r="DD404" s="84"/>
      <c r="DE404" s="84"/>
      <c r="DF404" s="84"/>
      <c r="DG404" s="115"/>
    </row>
    <row r="405" spans="2:111" customFormat="1" ht="9" customHeight="1">
      <c r="B405" s="49"/>
      <c r="C405" s="49"/>
      <c r="D405" s="49"/>
      <c r="E405" s="49"/>
      <c r="F405" s="49"/>
      <c r="G405" s="49"/>
      <c r="H405" s="49"/>
      <c r="I405" s="49"/>
      <c r="J405" s="49"/>
      <c r="K405" s="49"/>
      <c r="L405" s="49"/>
      <c r="M405" s="49"/>
      <c r="N405" s="49"/>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1"/>
      <c r="AL405" s="421"/>
      <c r="AM405" s="421"/>
      <c r="AN405" s="421"/>
      <c r="AO405" s="421"/>
      <c r="AP405" s="421"/>
      <c r="AQ405" s="421"/>
      <c r="AR405" s="421"/>
      <c r="AS405" s="421"/>
      <c r="AT405" s="421"/>
      <c r="AU405" s="421"/>
      <c r="AV405" s="421"/>
      <c r="AW405" s="421"/>
      <c r="AX405" s="421"/>
      <c r="AY405" s="421"/>
      <c r="AZ405" s="421"/>
      <c r="BA405" s="421"/>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row>
    <row r="406" spans="2:111" customFormat="1" ht="4.5" customHeight="1">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C406" s="115"/>
      <c r="BD406" s="115"/>
      <c r="BE406" s="115"/>
      <c r="BF406" s="115"/>
      <c r="BG406" s="115"/>
      <c r="BH406" s="124"/>
      <c r="BI406" s="124"/>
      <c r="BJ406" s="124"/>
      <c r="BK406" s="124"/>
      <c r="BL406" s="124"/>
      <c r="BM406" s="124"/>
      <c r="BN406" s="124"/>
      <c r="BO406" s="124"/>
      <c r="BP406" s="124"/>
      <c r="BQ406" s="124"/>
      <c r="BR406" s="124"/>
      <c r="BS406" s="124"/>
      <c r="BT406" s="124"/>
      <c r="BU406" s="124"/>
      <c r="BV406" s="124"/>
      <c r="BW406" s="124"/>
      <c r="BX406" s="124"/>
      <c r="BY406" s="124"/>
      <c r="BZ406" s="124"/>
      <c r="CA406" s="124"/>
      <c r="CB406" s="124"/>
      <c r="CC406" s="124"/>
      <c r="CD406" s="124"/>
      <c r="CE406" s="124"/>
      <c r="CF406" s="124"/>
      <c r="CG406" s="124"/>
      <c r="CH406" s="124"/>
      <c r="CI406" s="124"/>
      <c r="CJ406" s="124"/>
      <c r="CK406" s="124"/>
      <c r="CL406" s="124"/>
      <c r="CM406" s="124"/>
      <c r="CN406" s="124"/>
      <c r="CO406" s="124"/>
      <c r="CP406" s="124"/>
      <c r="CQ406" s="124"/>
      <c r="CR406" s="124"/>
      <c r="CS406" s="124"/>
      <c r="CT406" s="124"/>
      <c r="CU406" s="124"/>
      <c r="CV406" s="124"/>
      <c r="CW406" s="124"/>
      <c r="CX406" s="124"/>
      <c r="CY406" s="124"/>
      <c r="CZ406" s="124"/>
      <c r="DA406" s="124"/>
      <c r="DB406" s="124"/>
      <c r="DC406" s="124"/>
      <c r="DD406" s="124"/>
      <c r="DE406" s="124"/>
      <c r="DF406" s="124"/>
      <c r="DG406" s="115"/>
    </row>
    <row r="407" spans="2:111" customFormat="1" ht="9" customHeight="1">
      <c r="B407" s="493" t="str">
        <f>IF(B396="","","Detalhamento do Objeto:")</f>
        <v>Detalhamento do Objeto:</v>
      </c>
      <c r="C407" s="493"/>
      <c r="D407" s="493"/>
      <c r="E407" s="493"/>
      <c r="F407" s="493"/>
      <c r="G407" s="493"/>
      <c r="H407" s="493"/>
      <c r="I407" s="493"/>
      <c r="J407" s="493"/>
      <c r="K407" s="493"/>
      <c r="L407" s="493"/>
      <c r="M407" s="493"/>
      <c r="N407" s="493"/>
      <c r="O407" s="421" t="s">
        <v>668</v>
      </c>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c r="AN407" s="421"/>
      <c r="AO407" s="421"/>
      <c r="AP407" s="421"/>
      <c r="AQ407" s="421"/>
      <c r="AR407" s="421"/>
      <c r="AS407" s="421"/>
      <c r="AT407" s="421"/>
      <c r="AU407" s="421"/>
      <c r="AV407" s="421"/>
      <c r="AW407" s="421"/>
      <c r="AX407" s="421"/>
      <c r="AY407" s="421"/>
      <c r="AZ407" s="421"/>
      <c r="BA407" s="421"/>
      <c r="BC407" s="115"/>
      <c r="BD407" s="115"/>
      <c r="BE407" s="115"/>
      <c r="BF407" s="115"/>
      <c r="BG407" s="115"/>
      <c r="BH407" s="124"/>
      <c r="BI407" s="124"/>
      <c r="BJ407" s="124"/>
      <c r="BK407" s="124"/>
      <c r="BL407" s="124"/>
      <c r="BM407" s="124"/>
      <c r="BN407" s="124"/>
      <c r="BO407" s="124"/>
      <c r="BP407" s="124"/>
      <c r="BQ407" s="124"/>
      <c r="BR407" s="124"/>
      <c r="BS407" s="124"/>
      <c r="BT407" s="124"/>
      <c r="BU407" s="124"/>
      <c r="BV407" s="124"/>
      <c r="BW407" s="124"/>
      <c r="BX407" s="124"/>
      <c r="BY407" s="124"/>
      <c r="BZ407" s="124"/>
      <c r="CA407" s="124"/>
      <c r="CB407" s="124"/>
      <c r="CC407" s="124"/>
      <c r="CD407" s="124"/>
      <c r="CE407" s="124"/>
      <c r="CF407" s="124"/>
      <c r="CG407" s="124"/>
      <c r="CH407" s="124"/>
      <c r="CI407" s="124"/>
      <c r="CJ407" s="124"/>
      <c r="CK407" s="124"/>
      <c r="CL407" s="124"/>
      <c r="CM407" s="124"/>
      <c r="CN407" s="124"/>
      <c r="CO407" s="124"/>
      <c r="CP407" s="124"/>
      <c r="CQ407" s="124"/>
      <c r="CR407" s="124"/>
      <c r="CS407" s="124"/>
      <c r="CT407" s="124"/>
      <c r="CU407" s="124"/>
      <c r="CV407" s="124"/>
      <c r="CW407" s="124"/>
      <c r="CX407" s="124"/>
      <c r="CY407" s="124"/>
      <c r="CZ407" s="124"/>
      <c r="DA407" s="124"/>
      <c r="DB407" s="124"/>
      <c r="DC407" s="124"/>
      <c r="DD407" s="124"/>
      <c r="DE407" s="124"/>
      <c r="DF407" s="124"/>
      <c r="DG407" s="115"/>
    </row>
    <row r="408" spans="2:111" customFormat="1" ht="9" customHeight="1">
      <c r="B408" s="493"/>
      <c r="C408" s="493"/>
      <c r="D408" s="493"/>
      <c r="E408" s="493"/>
      <c r="F408" s="493"/>
      <c r="G408" s="493"/>
      <c r="H408" s="493"/>
      <c r="I408" s="493"/>
      <c r="J408" s="493"/>
      <c r="K408" s="493"/>
      <c r="L408" s="493"/>
      <c r="M408" s="493"/>
      <c r="N408" s="493"/>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c r="AN408" s="421"/>
      <c r="AO408" s="421"/>
      <c r="AP408" s="421"/>
      <c r="AQ408" s="421"/>
      <c r="AR408" s="421"/>
      <c r="AS408" s="421"/>
      <c r="AT408" s="421"/>
      <c r="AU408" s="421"/>
      <c r="AV408" s="421"/>
      <c r="AW408" s="421"/>
      <c r="AX408" s="421"/>
      <c r="AY408" s="421"/>
      <c r="AZ408" s="421"/>
      <c r="BA408" s="421"/>
      <c r="BC408" s="115"/>
      <c r="BD408" s="115"/>
      <c r="BE408" s="115"/>
      <c r="BF408" s="115"/>
      <c r="BG408" s="115"/>
      <c r="BH408" s="124"/>
      <c r="BI408" s="124"/>
      <c r="BJ408" s="124"/>
      <c r="BK408" s="124"/>
      <c r="BL408" s="124"/>
      <c r="BM408" s="124"/>
      <c r="BN408" s="124"/>
      <c r="BO408" s="124"/>
      <c r="BP408" s="124"/>
      <c r="BQ408" s="124"/>
      <c r="BR408" s="124"/>
      <c r="BS408" s="124"/>
      <c r="BT408" s="124"/>
      <c r="BU408" s="124"/>
      <c r="BV408" s="124"/>
      <c r="BW408" s="124"/>
      <c r="BX408" s="124"/>
      <c r="BY408" s="124"/>
      <c r="BZ408" s="124"/>
      <c r="CA408" s="124"/>
      <c r="CB408" s="124"/>
      <c r="CC408" s="124"/>
      <c r="CD408" s="124"/>
      <c r="CE408" s="124"/>
      <c r="CF408" s="124"/>
      <c r="CG408" s="124"/>
      <c r="CH408" s="124"/>
      <c r="CI408" s="124"/>
      <c r="CJ408" s="124"/>
      <c r="CK408" s="124"/>
      <c r="CL408" s="124"/>
      <c r="CM408" s="124"/>
      <c r="CN408" s="124"/>
      <c r="CO408" s="124"/>
      <c r="CP408" s="124"/>
      <c r="CQ408" s="124"/>
      <c r="CR408" s="124"/>
      <c r="CS408" s="124"/>
      <c r="CT408" s="124"/>
      <c r="CU408" s="124"/>
      <c r="CV408" s="124"/>
      <c r="CW408" s="124"/>
      <c r="CX408" s="124"/>
      <c r="CY408" s="124"/>
      <c r="CZ408" s="124"/>
      <c r="DA408" s="124"/>
      <c r="DB408" s="124"/>
      <c r="DC408" s="124"/>
      <c r="DD408" s="124"/>
      <c r="DE408" s="124"/>
      <c r="DF408" s="124"/>
      <c r="DG408" s="115"/>
    </row>
    <row r="409" spans="2:111" customFormat="1" ht="9" customHeight="1">
      <c r="B409" s="143"/>
      <c r="C409" s="143"/>
      <c r="D409" s="143"/>
      <c r="E409" s="143"/>
      <c r="F409" s="143"/>
      <c r="G409" s="143"/>
      <c r="H409" s="143"/>
      <c r="I409" s="143"/>
      <c r="J409" s="143"/>
      <c r="K409" s="143"/>
      <c r="L409" s="143"/>
      <c r="M409" s="143"/>
      <c r="N409" s="143"/>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c r="AN409" s="421"/>
      <c r="AO409" s="421"/>
      <c r="AP409" s="421"/>
      <c r="AQ409" s="421"/>
      <c r="AR409" s="421"/>
      <c r="AS409" s="421"/>
      <c r="AT409" s="421"/>
      <c r="AU409" s="421"/>
      <c r="AV409" s="421"/>
      <c r="AW409" s="421"/>
      <c r="AX409" s="421"/>
      <c r="AY409" s="421"/>
      <c r="AZ409" s="421"/>
      <c r="BA409" s="421"/>
      <c r="BC409" s="115"/>
      <c r="BD409" s="115"/>
      <c r="BE409" s="115"/>
      <c r="BF409" s="115"/>
      <c r="BG409" s="115"/>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115"/>
    </row>
    <row r="410" spans="2:111" customFormat="1" ht="9" customHeight="1">
      <c r="B410" s="143"/>
      <c r="C410" s="143"/>
      <c r="D410" s="143"/>
      <c r="E410" s="143"/>
      <c r="F410" s="143"/>
      <c r="G410" s="143"/>
      <c r="H410" s="143"/>
      <c r="I410" s="143"/>
      <c r="J410" s="143"/>
      <c r="K410" s="143"/>
      <c r="L410" s="143"/>
      <c r="M410" s="143"/>
      <c r="N410" s="143"/>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421"/>
      <c r="AL410" s="421"/>
      <c r="AM410" s="421"/>
      <c r="AN410" s="421"/>
      <c r="AO410" s="421"/>
      <c r="AP410" s="421"/>
      <c r="AQ410" s="421"/>
      <c r="AR410" s="421"/>
      <c r="AS410" s="421"/>
      <c r="AT410" s="421"/>
      <c r="AU410" s="421"/>
      <c r="AV410" s="421"/>
      <c r="AW410" s="421"/>
      <c r="AX410" s="421"/>
      <c r="AY410" s="421"/>
      <c r="AZ410" s="421"/>
      <c r="BA410" s="421"/>
      <c r="BC410" s="115"/>
      <c r="BD410" s="115"/>
      <c r="BE410" s="115"/>
      <c r="BF410" s="115"/>
      <c r="BG410" s="115"/>
      <c r="BH410" s="84"/>
      <c r="BI410" s="84"/>
      <c r="BJ410" s="84"/>
      <c r="BK410" s="84"/>
      <c r="BL410" s="84"/>
      <c r="BM410" s="84"/>
      <c r="BN410" s="84"/>
      <c r="BO410" s="84"/>
      <c r="BP410" s="84"/>
      <c r="BQ410" s="84"/>
      <c r="BR410" s="84"/>
      <c r="BS410" s="84"/>
      <c r="BT410" s="84"/>
      <c r="BU410" s="84"/>
      <c r="BV410" s="84"/>
      <c r="BW410" s="84"/>
      <c r="BX410" s="84"/>
      <c r="BY410" s="84"/>
      <c r="BZ410" s="84"/>
      <c r="CA410" s="8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115"/>
    </row>
    <row r="411" spans="2:111" customFormat="1" ht="9" customHeight="1">
      <c r="B411" s="143"/>
      <c r="C411" s="143"/>
      <c r="D411" s="143"/>
      <c r="E411" s="143"/>
      <c r="F411" s="143"/>
      <c r="G411" s="143"/>
      <c r="H411" s="143"/>
      <c r="I411" s="143"/>
      <c r="J411" s="143"/>
      <c r="K411" s="143"/>
      <c r="L411" s="143"/>
      <c r="M411" s="143"/>
      <c r="N411" s="143"/>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1"/>
      <c r="AY411" s="421"/>
      <c r="AZ411" s="421"/>
      <c r="BA411" s="421"/>
      <c r="BC411" s="115"/>
      <c r="BD411" s="115"/>
      <c r="BE411" s="115"/>
      <c r="BF411" s="115"/>
      <c r="BG411" s="115"/>
      <c r="BH411" s="84"/>
      <c r="BI411" s="84"/>
      <c r="BJ411" s="84"/>
      <c r="BK411" s="84"/>
      <c r="BL411" s="84"/>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115"/>
    </row>
    <row r="412" spans="2:111" customFormat="1" ht="9" customHeight="1">
      <c r="B412" s="143"/>
      <c r="C412" s="143"/>
      <c r="D412" s="143"/>
      <c r="E412" s="143"/>
      <c r="F412" s="143"/>
      <c r="G412" s="143"/>
      <c r="H412" s="143"/>
      <c r="I412" s="143"/>
      <c r="J412" s="143"/>
      <c r="K412" s="143"/>
      <c r="L412" s="143"/>
      <c r="M412" s="143"/>
      <c r="N412" s="143"/>
      <c r="O412" s="421"/>
      <c r="P412" s="421"/>
      <c r="Q412" s="421"/>
      <c r="R412" s="421"/>
      <c r="S412" s="421"/>
      <c r="T412" s="421"/>
      <c r="U412" s="421"/>
      <c r="V412" s="421"/>
      <c r="W412" s="421"/>
      <c r="X412" s="421"/>
      <c r="Y412" s="421"/>
      <c r="Z412" s="421"/>
      <c r="AA412" s="421"/>
      <c r="AB412" s="421"/>
      <c r="AC412" s="421"/>
      <c r="AD412" s="421"/>
      <c r="AE412" s="421"/>
      <c r="AF412" s="421"/>
      <c r="AG412" s="421"/>
      <c r="AH412" s="421"/>
      <c r="AI412" s="421"/>
      <c r="AJ412" s="421"/>
      <c r="AK412" s="421"/>
      <c r="AL412" s="421"/>
      <c r="AM412" s="421"/>
      <c r="AN412" s="421"/>
      <c r="AO412" s="421"/>
      <c r="AP412" s="421"/>
      <c r="AQ412" s="421"/>
      <c r="AR412" s="421"/>
      <c r="AS412" s="421"/>
      <c r="AT412" s="421"/>
      <c r="AU412" s="421"/>
      <c r="AV412" s="421"/>
      <c r="AW412" s="421"/>
      <c r="AX412" s="421"/>
      <c r="AY412" s="421"/>
      <c r="AZ412" s="421"/>
      <c r="BA412" s="421"/>
      <c r="BC412" s="115"/>
      <c r="BD412" s="115"/>
      <c r="BE412" s="115"/>
      <c r="BF412" s="115"/>
      <c r="BG412" s="115"/>
      <c r="BH412" s="84"/>
      <c r="BI412" s="84"/>
      <c r="BJ412" s="84"/>
      <c r="BK412" s="84"/>
      <c r="BL412" s="84"/>
      <c r="BM412" s="84"/>
      <c r="BN412" s="84"/>
      <c r="BO412" s="84"/>
      <c r="BP412" s="84"/>
      <c r="BQ412" s="84"/>
      <c r="BR412" s="84"/>
      <c r="BS412" s="84"/>
      <c r="BT412" s="84"/>
      <c r="BU412" s="84"/>
      <c r="BV412" s="84"/>
      <c r="BW412" s="84"/>
      <c r="BX412" s="84"/>
      <c r="BY412" s="84"/>
      <c r="BZ412" s="84"/>
      <c r="CA412" s="84"/>
      <c r="CB412" s="84"/>
      <c r="CC412" s="84"/>
      <c r="CD412" s="84"/>
      <c r="CE412" s="84"/>
      <c r="CF412" s="84"/>
      <c r="CG412" s="84"/>
      <c r="CH412" s="84"/>
      <c r="CI412" s="84"/>
      <c r="CJ412" s="84"/>
      <c r="CK412" s="84"/>
      <c r="CL412" s="84"/>
      <c r="CM412" s="84"/>
      <c r="CN412" s="84"/>
      <c r="CO412" s="84"/>
      <c r="CP412" s="84"/>
      <c r="CQ412" s="84"/>
      <c r="CR412" s="84"/>
      <c r="CS412" s="84"/>
      <c r="CT412" s="84"/>
      <c r="CU412" s="84"/>
      <c r="CV412" s="84"/>
      <c r="CW412" s="84"/>
      <c r="CX412" s="84"/>
      <c r="CY412" s="84"/>
      <c r="CZ412" s="84"/>
      <c r="DA412" s="84"/>
      <c r="DB412" s="84"/>
      <c r="DC412" s="84"/>
      <c r="DD412" s="84"/>
      <c r="DE412" s="84"/>
      <c r="DF412" s="84"/>
      <c r="DG412" s="115"/>
    </row>
    <row r="413" spans="2:111" customFormat="1" ht="9" customHeight="1">
      <c r="B413" s="143"/>
      <c r="C413" s="143"/>
      <c r="D413" s="143"/>
      <c r="E413" s="143"/>
      <c r="F413" s="143"/>
      <c r="G413" s="143"/>
      <c r="H413" s="143"/>
      <c r="I413" s="143"/>
      <c r="J413" s="143"/>
      <c r="K413" s="143"/>
      <c r="L413" s="143"/>
      <c r="M413" s="143"/>
      <c r="N413" s="143"/>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21"/>
      <c r="AN413" s="421"/>
      <c r="AO413" s="421"/>
      <c r="AP413" s="421"/>
      <c r="AQ413" s="421"/>
      <c r="AR413" s="421"/>
      <c r="AS413" s="421"/>
      <c r="AT413" s="421"/>
      <c r="AU413" s="421"/>
      <c r="AV413" s="421"/>
      <c r="AW413" s="421"/>
      <c r="AX413" s="421"/>
      <c r="AY413" s="421"/>
      <c r="AZ413" s="421"/>
      <c r="BA413" s="421"/>
      <c r="BC413" s="115"/>
      <c r="BD413" s="115"/>
      <c r="BE413" s="115"/>
      <c r="BF413" s="115"/>
      <c r="BG413" s="115"/>
      <c r="BH413" s="84"/>
      <c r="BI413" s="84"/>
      <c r="BJ413" s="84"/>
      <c r="BK413" s="84"/>
      <c r="BL413" s="84"/>
      <c r="BM413" s="84"/>
      <c r="BN413" s="84"/>
      <c r="BO413" s="84"/>
      <c r="BP413" s="84"/>
      <c r="BQ413" s="84"/>
      <c r="BR413" s="84"/>
      <c r="BS413" s="84"/>
      <c r="BT413" s="84"/>
      <c r="BU413" s="84"/>
      <c r="BV413" s="84"/>
      <c r="BW413" s="84"/>
      <c r="BX413" s="84"/>
      <c r="BY413" s="84"/>
      <c r="BZ413" s="84"/>
      <c r="CA413" s="84"/>
      <c r="CB413" s="84"/>
      <c r="CC413" s="84"/>
      <c r="CD413" s="84"/>
      <c r="CE413" s="84"/>
      <c r="CF413" s="84"/>
      <c r="CG413" s="84"/>
      <c r="CH413" s="84"/>
      <c r="CI413" s="84"/>
      <c r="CJ413" s="84"/>
      <c r="CK413" s="84"/>
      <c r="CL413" s="84"/>
      <c r="CM413" s="84"/>
      <c r="CN413" s="84"/>
      <c r="CO413" s="84"/>
      <c r="CP413" s="84"/>
      <c r="CQ413" s="84"/>
      <c r="CR413" s="84"/>
      <c r="CS413" s="84"/>
      <c r="CT413" s="84"/>
      <c r="CU413" s="84"/>
      <c r="CV413" s="84"/>
      <c r="CW413" s="84"/>
      <c r="CX413" s="84"/>
      <c r="CY413" s="84"/>
      <c r="CZ413" s="84"/>
      <c r="DA413" s="84"/>
      <c r="DB413" s="84"/>
      <c r="DC413" s="84"/>
      <c r="DD413" s="84"/>
      <c r="DE413" s="84"/>
      <c r="DF413" s="84"/>
      <c r="DG413" s="115"/>
    </row>
    <row r="414" spans="2:111" customFormat="1" ht="9" customHeight="1">
      <c r="B414" s="49"/>
      <c r="C414" s="49"/>
      <c r="D414" s="49"/>
      <c r="E414" s="49"/>
      <c r="F414" s="49"/>
      <c r="G414" s="49"/>
      <c r="H414" s="49"/>
      <c r="I414" s="49"/>
      <c r="J414" s="49"/>
      <c r="K414" s="49"/>
      <c r="L414" s="49"/>
      <c r="M414" s="49"/>
      <c r="N414" s="49"/>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1"/>
      <c r="AK414" s="421"/>
      <c r="AL414" s="421"/>
      <c r="AM414" s="421"/>
      <c r="AN414" s="421"/>
      <c r="AO414" s="421"/>
      <c r="AP414" s="421"/>
      <c r="AQ414" s="421"/>
      <c r="AR414" s="421"/>
      <c r="AS414" s="421"/>
      <c r="AT414" s="421"/>
      <c r="AU414" s="421"/>
      <c r="AV414" s="421"/>
      <c r="AW414" s="421"/>
      <c r="AX414" s="421"/>
      <c r="AY414" s="421"/>
      <c r="AZ414" s="421"/>
      <c r="BA414" s="421"/>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row>
    <row r="415" spans="2:111" customFormat="1" ht="4.5" customHeight="1">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49"/>
      <c r="AY415" s="49"/>
      <c r="AZ415" s="49"/>
      <c r="BA415" s="49"/>
      <c r="BC415" s="115"/>
      <c r="BD415" s="115"/>
      <c r="BE415" s="115"/>
      <c r="BF415" s="115"/>
      <c r="BG415" s="115"/>
      <c r="BH415" s="124"/>
      <c r="BI415" s="124"/>
      <c r="BJ415" s="124"/>
      <c r="BK415" s="124"/>
      <c r="BL415" s="124"/>
      <c r="BM415" s="124"/>
      <c r="BN415" s="124"/>
      <c r="BO415" s="124"/>
      <c r="BP415" s="124"/>
      <c r="BQ415" s="124"/>
      <c r="BR415" s="124"/>
      <c r="BS415" s="124"/>
      <c r="BT415" s="124"/>
      <c r="BU415" s="124"/>
      <c r="BV415" s="124"/>
      <c r="BW415" s="124"/>
      <c r="BX415" s="124"/>
      <c r="BY415" s="124"/>
      <c r="BZ415" s="124"/>
      <c r="CA415" s="124"/>
      <c r="CB415" s="124"/>
      <c r="CC415" s="124"/>
      <c r="CD415" s="124"/>
      <c r="CE415" s="124"/>
      <c r="CF415" s="124"/>
      <c r="CG415" s="124"/>
      <c r="CH415" s="124"/>
      <c r="CI415" s="124"/>
      <c r="CJ415" s="124"/>
      <c r="CK415" s="124"/>
      <c r="CL415" s="124"/>
      <c r="CM415" s="124"/>
      <c r="CN415" s="124"/>
      <c r="CO415" s="124"/>
      <c r="CP415" s="124"/>
      <c r="CQ415" s="124"/>
      <c r="CR415" s="124"/>
      <c r="CS415" s="124"/>
      <c r="CT415" s="124"/>
      <c r="CU415" s="124"/>
      <c r="CV415" s="124"/>
      <c r="CW415" s="124"/>
      <c r="CX415" s="124"/>
      <c r="CY415" s="124"/>
      <c r="CZ415" s="124"/>
      <c r="DA415" s="124"/>
      <c r="DB415" s="124"/>
      <c r="DC415" s="124"/>
      <c r="DD415" s="124"/>
      <c r="DE415" s="124"/>
      <c r="DF415" s="124"/>
      <c r="DG415" s="115"/>
    </row>
    <row r="416" spans="2:111" customFormat="1" ht="9" customHeight="1">
      <c r="B416" s="493" t="str">
        <f>IF(B396="","","Justificativa:")</f>
        <v>Justificativa:</v>
      </c>
      <c r="C416" s="493"/>
      <c r="D416" s="493"/>
      <c r="E416" s="493"/>
      <c r="F416" s="493"/>
      <c r="G416" s="493"/>
      <c r="H416" s="493"/>
      <c r="I416" s="493"/>
      <c r="J416" s="493"/>
      <c r="K416" s="493"/>
      <c r="L416" s="493"/>
      <c r="M416" s="493"/>
      <c r="N416" s="493"/>
      <c r="O416" s="421" t="s">
        <v>685</v>
      </c>
      <c r="P416" s="421"/>
      <c r="Q416" s="421"/>
      <c r="R416" s="421"/>
      <c r="S416" s="421"/>
      <c r="T416" s="421"/>
      <c r="U416" s="421"/>
      <c r="V416" s="421"/>
      <c r="W416" s="421"/>
      <c r="X416" s="421"/>
      <c r="Y416" s="421"/>
      <c r="Z416" s="421"/>
      <c r="AA416" s="421"/>
      <c r="AB416" s="421"/>
      <c r="AC416" s="421"/>
      <c r="AD416" s="421"/>
      <c r="AE416" s="421"/>
      <c r="AF416" s="421"/>
      <c r="AG416" s="421"/>
      <c r="AH416" s="421"/>
      <c r="AI416" s="421"/>
      <c r="AJ416" s="421"/>
      <c r="AK416" s="421"/>
      <c r="AL416" s="421"/>
      <c r="AM416" s="421"/>
      <c r="AN416" s="421"/>
      <c r="AO416" s="421"/>
      <c r="AP416" s="421"/>
      <c r="AQ416" s="421"/>
      <c r="AR416" s="421"/>
      <c r="AS416" s="421"/>
      <c r="AT416" s="421"/>
      <c r="AU416" s="421"/>
      <c r="AV416" s="421"/>
      <c r="AW416" s="421"/>
      <c r="AX416" s="421"/>
      <c r="AY416" s="421"/>
      <c r="AZ416" s="421"/>
      <c r="BA416" s="421"/>
      <c r="BC416" s="115"/>
      <c r="BD416" s="115"/>
      <c r="BE416" s="115"/>
      <c r="BF416" s="115"/>
      <c r="BG416" s="115"/>
      <c r="BH416" s="124"/>
      <c r="BI416" s="124"/>
      <c r="BJ416" s="124"/>
      <c r="BK416" s="124"/>
      <c r="BL416" s="124"/>
      <c r="BM416" s="124"/>
      <c r="BN416" s="124"/>
      <c r="BO416" s="124"/>
      <c r="BP416" s="124"/>
      <c r="BQ416" s="124"/>
      <c r="BR416" s="124"/>
      <c r="BS416" s="124"/>
      <c r="BT416" s="124"/>
      <c r="BU416" s="124"/>
      <c r="BV416" s="124"/>
      <c r="BW416" s="124"/>
      <c r="BX416" s="124"/>
      <c r="BY416" s="124"/>
      <c r="BZ416" s="124"/>
      <c r="CA416" s="124"/>
      <c r="CB416" s="124"/>
      <c r="CC416" s="124"/>
      <c r="CD416" s="124"/>
      <c r="CE416" s="124"/>
      <c r="CF416" s="124"/>
      <c r="CG416" s="124"/>
      <c r="CH416" s="124"/>
      <c r="CI416" s="124"/>
      <c r="CJ416" s="124"/>
      <c r="CK416" s="124"/>
      <c r="CL416" s="124"/>
      <c r="CM416" s="124"/>
      <c r="CN416" s="124"/>
      <c r="CO416" s="124"/>
      <c r="CP416" s="124"/>
      <c r="CQ416" s="124"/>
      <c r="CR416" s="124"/>
      <c r="CS416" s="124"/>
      <c r="CT416" s="124"/>
      <c r="CU416" s="124"/>
      <c r="CV416" s="124"/>
      <c r="CW416" s="124"/>
      <c r="CX416" s="124"/>
      <c r="CY416" s="124"/>
      <c r="CZ416" s="124"/>
      <c r="DA416" s="124"/>
      <c r="DB416" s="124"/>
      <c r="DC416" s="124"/>
      <c r="DD416" s="124"/>
      <c r="DE416" s="124"/>
      <c r="DF416" s="124"/>
      <c r="DG416" s="115"/>
    </row>
    <row r="417" spans="2:111" customFormat="1" ht="9" customHeight="1">
      <c r="B417" s="493"/>
      <c r="C417" s="493"/>
      <c r="D417" s="493"/>
      <c r="E417" s="493"/>
      <c r="F417" s="493"/>
      <c r="G417" s="493"/>
      <c r="H417" s="493"/>
      <c r="I417" s="493"/>
      <c r="J417" s="493"/>
      <c r="K417" s="493"/>
      <c r="L417" s="493"/>
      <c r="M417" s="493"/>
      <c r="N417" s="493"/>
      <c r="O417" s="421"/>
      <c r="P417" s="421"/>
      <c r="Q417" s="421"/>
      <c r="R417" s="421"/>
      <c r="S417" s="421"/>
      <c r="T417" s="421"/>
      <c r="U417" s="421"/>
      <c r="V417" s="421"/>
      <c r="W417" s="421"/>
      <c r="X417" s="421"/>
      <c r="Y417" s="421"/>
      <c r="Z417" s="421"/>
      <c r="AA417" s="421"/>
      <c r="AB417" s="421"/>
      <c r="AC417" s="421"/>
      <c r="AD417" s="421"/>
      <c r="AE417" s="421"/>
      <c r="AF417" s="421"/>
      <c r="AG417" s="421"/>
      <c r="AH417" s="421"/>
      <c r="AI417" s="421"/>
      <c r="AJ417" s="421"/>
      <c r="AK417" s="421"/>
      <c r="AL417" s="421"/>
      <c r="AM417" s="421"/>
      <c r="AN417" s="421"/>
      <c r="AO417" s="421"/>
      <c r="AP417" s="421"/>
      <c r="AQ417" s="421"/>
      <c r="AR417" s="421"/>
      <c r="AS417" s="421"/>
      <c r="AT417" s="421"/>
      <c r="AU417" s="421"/>
      <c r="AV417" s="421"/>
      <c r="AW417" s="421"/>
      <c r="AX417" s="421"/>
      <c r="AY417" s="421"/>
      <c r="AZ417" s="421"/>
      <c r="BA417" s="421"/>
      <c r="BC417" s="115"/>
      <c r="BD417" s="115"/>
      <c r="BE417" s="115"/>
      <c r="BF417" s="115"/>
      <c r="BG417" s="115"/>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124"/>
      <c r="CD417" s="124"/>
      <c r="CE417" s="124"/>
      <c r="CF417" s="124"/>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15"/>
    </row>
    <row r="418" spans="2:111" customFormat="1" ht="9" customHeight="1">
      <c r="B418" s="143"/>
      <c r="C418" s="143"/>
      <c r="D418" s="143"/>
      <c r="E418" s="143"/>
      <c r="F418" s="143"/>
      <c r="G418" s="143"/>
      <c r="H418" s="143"/>
      <c r="I418" s="143"/>
      <c r="J418" s="143"/>
      <c r="K418" s="143"/>
      <c r="L418" s="143"/>
      <c r="M418" s="143"/>
      <c r="N418" s="143"/>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421"/>
      <c r="AK418" s="421"/>
      <c r="AL418" s="421"/>
      <c r="AM418" s="421"/>
      <c r="AN418" s="421"/>
      <c r="AO418" s="421"/>
      <c r="AP418" s="421"/>
      <c r="AQ418" s="421"/>
      <c r="AR418" s="421"/>
      <c r="AS418" s="421"/>
      <c r="AT418" s="421"/>
      <c r="AU418" s="421"/>
      <c r="AV418" s="421"/>
      <c r="AW418" s="421"/>
      <c r="AX418" s="421"/>
      <c r="AY418" s="421"/>
      <c r="AZ418" s="421"/>
      <c r="BA418" s="421"/>
      <c r="BC418" s="115"/>
      <c r="BD418" s="115"/>
      <c r="BE418" s="115"/>
      <c r="BF418" s="115"/>
      <c r="BG418" s="115"/>
      <c r="BH418" s="124"/>
      <c r="BI418" s="124"/>
      <c r="BJ418" s="124"/>
      <c r="BK418" s="124"/>
      <c r="BL418" s="124"/>
      <c r="BM418" s="124"/>
      <c r="BN418" s="124"/>
      <c r="BO418" s="124"/>
      <c r="BP418" s="124"/>
      <c r="BQ418" s="124"/>
      <c r="BR418" s="124"/>
      <c r="BS418" s="124"/>
      <c r="BT418" s="124"/>
      <c r="BU418" s="124"/>
      <c r="BV418" s="124"/>
      <c r="BW418" s="124"/>
      <c r="BX418" s="124"/>
      <c r="BY418" s="124"/>
      <c r="BZ418" s="124"/>
      <c r="CA418" s="124"/>
      <c r="CB418" s="124"/>
      <c r="CC418" s="124"/>
      <c r="CD418" s="124"/>
      <c r="CE418" s="124"/>
      <c r="CF418" s="124"/>
      <c r="CG418" s="124"/>
      <c r="CH418" s="124"/>
      <c r="CI418" s="124"/>
      <c r="CJ418" s="124"/>
      <c r="CK418" s="124"/>
      <c r="CL418" s="124"/>
      <c r="CM418" s="124"/>
      <c r="CN418" s="124"/>
      <c r="CO418" s="124"/>
      <c r="CP418" s="124"/>
      <c r="CQ418" s="124"/>
      <c r="CR418" s="124"/>
      <c r="CS418" s="124"/>
      <c r="CT418" s="124"/>
      <c r="CU418" s="124"/>
      <c r="CV418" s="124"/>
      <c r="CW418" s="124"/>
      <c r="CX418" s="124"/>
      <c r="CY418" s="124"/>
      <c r="CZ418" s="124"/>
      <c r="DA418" s="124"/>
      <c r="DB418" s="124"/>
      <c r="DC418" s="124"/>
      <c r="DD418" s="124"/>
      <c r="DE418" s="124"/>
      <c r="DF418" s="124"/>
      <c r="DG418" s="115"/>
    </row>
    <row r="419" spans="2:111" customFormat="1" ht="9" customHeight="1">
      <c r="B419" s="143"/>
      <c r="C419" s="143"/>
      <c r="D419" s="143"/>
      <c r="E419" s="143"/>
      <c r="F419" s="143"/>
      <c r="G419" s="143"/>
      <c r="H419" s="143"/>
      <c r="I419" s="143"/>
      <c r="J419" s="143"/>
      <c r="K419" s="143"/>
      <c r="L419" s="143"/>
      <c r="M419" s="143"/>
      <c r="N419" s="143"/>
      <c r="O419" s="421"/>
      <c r="P419" s="421"/>
      <c r="Q419" s="421"/>
      <c r="R419" s="421"/>
      <c r="S419" s="421"/>
      <c r="T419" s="421"/>
      <c r="U419" s="421"/>
      <c r="V419" s="421"/>
      <c r="W419" s="421"/>
      <c r="X419" s="421"/>
      <c r="Y419" s="421"/>
      <c r="Z419" s="421"/>
      <c r="AA419" s="421"/>
      <c r="AB419" s="421"/>
      <c r="AC419" s="421"/>
      <c r="AD419" s="421"/>
      <c r="AE419" s="421"/>
      <c r="AF419" s="421"/>
      <c r="AG419" s="421"/>
      <c r="AH419" s="421"/>
      <c r="AI419" s="421"/>
      <c r="AJ419" s="421"/>
      <c r="AK419" s="421"/>
      <c r="AL419" s="421"/>
      <c r="AM419" s="421"/>
      <c r="AN419" s="421"/>
      <c r="AO419" s="421"/>
      <c r="AP419" s="421"/>
      <c r="AQ419" s="421"/>
      <c r="AR419" s="421"/>
      <c r="AS419" s="421"/>
      <c r="AT419" s="421"/>
      <c r="AU419" s="421"/>
      <c r="AV419" s="421"/>
      <c r="AW419" s="421"/>
      <c r="AX419" s="421"/>
      <c r="AY419" s="421"/>
      <c r="AZ419" s="421"/>
      <c r="BA419" s="421"/>
      <c r="BC419" s="115"/>
      <c r="BD419" s="115"/>
      <c r="BE419" s="115"/>
      <c r="BF419" s="115"/>
      <c r="BG419" s="115"/>
      <c r="BH419" s="84"/>
      <c r="BI419" s="84"/>
      <c r="BJ419" s="84"/>
      <c r="BK419" s="84"/>
      <c r="BL419" s="84"/>
      <c r="BM419" s="84"/>
      <c r="BN419" s="84"/>
      <c r="BO419" s="84"/>
      <c r="BP419" s="84"/>
      <c r="BQ419" s="84"/>
      <c r="BR419" s="84"/>
      <c r="BS419" s="84"/>
      <c r="BT419" s="84"/>
      <c r="BU419" s="84"/>
      <c r="BV419" s="84"/>
      <c r="BW419" s="84"/>
      <c r="BX419" s="84"/>
      <c r="BY419" s="84"/>
      <c r="BZ419" s="84"/>
      <c r="CA419" s="84"/>
      <c r="CB419" s="84"/>
      <c r="CC419" s="84"/>
      <c r="CD419" s="84"/>
      <c r="CE419" s="84"/>
      <c r="CF419" s="84"/>
      <c r="CG419" s="84"/>
      <c r="CH419" s="84"/>
      <c r="CI419" s="84"/>
      <c r="CJ419" s="84"/>
      <c r="CK419" s="84"/>
      <c r="CL419" s="84"/>
      <c r="CM419" s="84"/>
      <c r="CN419" s="84"/>
      <c r="CO419" s="84"/>
      <c r="CP419" s="84"/>
      <c r="CQ419" s="84"/>
      <c r="CR419" s="84"/>
      <c r="CS419" s="84"/>
      <c r="CT419" s="84"/>
      <c r="CU419" s="84"/>
      <c r="CV419" s="84"/>
      <c r="CW419" s="84"/>
      <c r="CX419" s="84"/>
      <c r="CY419" s="84"/>
      <c r="CZ419" s="84"/>
      <c r="DA419" s="84"/>
      <c r="DB419" s="84"/>
      <c r="DC419" s="84"/>
      <c r="DD419" s="84"/>
      <c r="DE419" s="84"/>
      <c r="DF419" s="84"/>
      <c r="DG419" s="115"/>
    </row>
    <row r="420" spans="2:111" customFormat="1" ht="9" customHeight="1">
      <c r="B420" s="143"/>
      <c r="C420" s="143"/>
      <c r="D420" s="143"/>
      <c r="E420" s="143"/>
      <c r="F420" s="143"/>
      <c r="G420" s="143"/>
      <c r="H420" s="143"/>
      <c r="I420" s="143"/>
      <c r="J420" s="143"/>
      <c r="K420" s="143"/>
      <c r="L420" s="143"/>
      <c r="M420" s="143"/>
      <c r="N420" s="143"/>
      <c r="O420" s="421"/>
      <c r="P420" s="421"/>
      <c r="Q420" s="421"/>
      <c r="R420" s="421"/>
      <c r="S420" s="421"/>
      <c r="T420" s="421"/>
      <c r="U420" s="421"/>
      <c r="V420" s="421"/>
      <c r="W420" s="421"/>
      <c r="X420" s="421"/>
      <c r="Y420" s="421"/>
      <c r="Z420" s="421"/>
      <c r="AA420" s="421"/>
      <c r="AB420" s="421"/>
      <c r="AC420" s="421"/>
      <c r="AD420" s="421"/>
      <c r="AE420" s="421"/>
      <c r="AF420" s="421"/>
      <c r="AG420" s="421"/>
      <c r="AH420" s="421"/>
      <c r="AI420" s="421"/>
      <c r="AJ420" s="421"/>
      <c r="AK420" s="421"/>
      <c r="AL420" s="421"/>
      <c r="AM420" s="421"/>
      <c r="AN420" s="421"/>
      <c r="AO420" s="421"/>
      <c r="AP420" s="421"/>
      <c r="AQ420" s="421"/>
      <c r="AR420" s="421"/>
      <c r="AS420" s="421"/>
      <c r="AT420" s="421"/>
      <c r="AU420" s="421"/>
      <c r="AV420" s="421"/>
      <c r="AW420" s="421"/>
      <c r="AX420" s="421"/>
      <c r="AY420" s="421"/>
      <c r="AZ420" s="421"/>
      <c r="BA420" s="421"/>
      <c r="BC420" s="115"/>
      <c r="BD420" s="115"/>
      <c r="BE420" s="115"/>
      <c r="BF420" s="115"/>
      <c r="BG420" s="115"/>
      <c r="BH420" s="84"/>
      <c r="BI420" s="84"/>
      <c r="BJ420" s="84"/>
      <c r="BK420" s="84"/>
      <c r="BL420" s="84"/>
      <c r="BM420" s="84"/>
      <c r="BN420" s="84"/>
      <c r="BO420" s="84"/>
      <c r="BP420" s="84"/>
      <c r="BQ420" s="84"/>
      <c r="BR420" s="84"/>
      <c r="BS420" s="84"/>
      <c r="BT420" s="84"/>
      <c r="BU420" s="84"/>
      <c r="BV420" s="84"/>
      <c r="BW420" s="84"/>
      <c r="BX420" s="84"/>
      <c r="BY420" s="84"/>
      <c r="BZ420" s="84"/>
      <c r="CA420" s="84"/>
      <c r="CB420" s="84"/>
      <c r="CC420" s="84"/>
      <c r="CD420" s="84"/>
      <c r="CE420" s="84"/>
      <c r="CF420" s="84"/>
      <c r="CG420" s="84"/>
      <c r="CH420" s="84"/>
      <c r="CI420" s="84"/>
      <c r="CJ420" s="84"/>
      <c r="CK420" s="84"/>
      <c r="CL420" s="84"/>
      <c r="CM420" s="84"/>
      <c r="CN420" s="84"/>
      <c r="CO420" s="84"/>
      <c r="CP420" s="84"/>
      <c r="CQ420" s="84"/>
      <c r="CR420" s="84"/>
      <c r="CS420" s="84"/>
      <c r="CT420" s="84"/>
      <c r="CU420" s="84"/>
      <c r="CV420" s="84"/>
      <c r="CW420" s="84"/>
      <c r="CX420" s="84"/>
      <c r="CY420" s="84"/>
      <c r="CZ420" s="84"/>
      <c r="DA420" s="84"/>
      <c r="DB420" s="84"/>
      <c r="DC420" s="84"/>
      <c r="DD420" s="84"/>
      <c r="DE420" s="84"/>
      <c r="DF420" s="84"/>
      <c r="DG420" s="115"/>
    </row>
    <row r="421" spans="2:111" customFormat="1" ht="9" customHeight="1">
      <c r="B421" s="49"/>
      <c r="C421" s="49"/>
      <c r="D421" s="49"/>
      <c r="E421" s="49"/>
      <c r="F421" s="49"/>
      <c r="G421" s="49"/>
      <c r="H421" s="49"/>
      <c r="I421" s="49"/>
      <c r="J421" s="49"/>
      <c r="K421" s="49"/>
      <c r="L421" s="49"/>
      <c r="M421" s="49"/>
      <c r="N421" s="49"/>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421"/>
      <c r="AN421" s="421"/>
      <c r="AO421" s="421"/>
      <c r="AP421" s="421"/>
      <c r="AQ421" s="421"/>
      <c r="AR421" s="421"/>
      <c r="AS421" s="421"/>
      <c r="AT421" s="421"/>
      <c r="AU421" s="421"/>
      <c r="AV421" s="421"/>
      <c r="AW421" s="421"/>
      <c r="AX421" s="421"/>
      <c r="AY421" s="421"/>
      <c r="AZ421" s="421"/>
      <c r="BA421" s="421"/>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row>
    <row r="422" spans="2:111" customFormat="1" ht="4.5" customHeight="1">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row>
    <row r="423" spans="2:111" customFormat="1" ht="9" customHeight="1">
      <c r="B423" s="493" t="str">
        <f>IF(B396="","","Metas Vinculadas:")</f>
        <v>Metas Vinculadas:</v>
      </c>
      <c r="C423" s="493"/>
      <c r="D423" s="493"/>
      <c r="E423" s="493"/>
      <c r="F423" s="493"/>
      <c r="G423" s="493"/>
      <c r="H423" s="493"/>
      <c r="I423" s="493"/>
      <c r="J423" s="493"/>
      <c r="K423" s="493"/>
      <c r="L423" s="493"/>
      <c r="M423" s="493"/>
      <c r="N423" s="493"/>
      <c r="O423" s="421">
        <v>4</v>
      </c>
      <c r="P423" s="421"/>
      <c r="Q423" s="421"/>
      <c r="R423" s="421"/>
      <c r="S423" s="421"/>
      <c r="T423" s="421"/>
      <c r="U423" s="421"/>
      <c r="V423" s="421"/>
      <c r="W423" s="421"/>
      <c r="X423" s="421"/>
      <c r="Y423" s="421"/>
      <c r="Z423" s="421"/>
      <c r="AA423" s="421"/>
      <c r="AB423" s="421"/>
      <c r="AC423" s="421"/>
      <c r="AD423" s="421"/>
      <c r="AE423" s="421"/>
      <c r="AF423" s="421"/>
      <c r="AG423" s="421"/>
      <c r="AH423" s="421"/>
      <c r="AI423" s="421"/>
      <c r="AJ423" s="421"/>
      <c r="AK423" s="421"/>
      <c r="AL423" s="421"/>
      <c r="AM423" s="421"/>
      <c r="AN423" s="421"/>
      <c r="AO423" s="421"/>
      <c r="AP423" s="421"/>
      <c r="AQ423" s="421"/>
      <c r="AR423" s="421"/>
      <c r="AS423" s="421"/>
      <c r="AT423" s="421"/>
      <c r="AU423" s="421"/>
      <c r="AV423" s="421"/>
      <c r="AW423" s="421"/>
      <c r="AX423" s="421"/>
      <c r="AY423" s="421"/>
      <c r="AZ423" s="421"/>
      <c r="BA423" s="421"/>
      <c r="BC423" s="115"/>
      <c r="BD423" s="115"/>
      <c r="BE423" s="115"/>
      <c r="BF423" s="115"/>
      <c r="BG423" s="115"/>
      <c r="BH423" s="124"/>
      <c r="BI423" s="124"/>
      <c r="BJ423" s="124"/>
      <c r="BK423" s="124"/>
      <c r="BL423" s="124"/>
      <c r="BM423" s="124"/>
      <c r="BN423" s="124"/>
      <c r="BO423" s="124"/>
      <c r="BP423" s="124"/>
      <c r="BQ423" s="124"/>
      <c r="BR423" s="124"/>
      <c r="BS423" s="124"/>
      <c r="BT423" s="124"/>
      <c r="BU423" s="124"/>
      <c r="BV423" s="124"/>
      <c r="BW423" s="124"/>
      <c r="BX423" s="124"/>
      <c r="BY423" s="124"/>
      <c r="BZ423" s="124"/>
      <c r="CA423" s="124"/>
      <c r="CB423" s="124"/>
      <c r="CC423" s="124"/>
      <c r="CD423" s="124"/>
      <c r="CE423" s="124"/>
      <c r="CF423" s="124"/>
      <c r="CG423" s="124"/>
      <c r="CH423" s="124"/>
      <c r="CI423" s="124"/>
      <c r="CJ423" s="124"/>
      <c r="CK423" s="124"/>
      <c r="CL423" s="124"/>
      <c r="CM423" s="124"/>
      <c r="CN423" s="124"/>
      <c r="CO423" s="124"/>
      <c r="CP423" s="124"/>
      <c r="CQ423" s="124"/>
      <c r="CR423" s="124"/>
      <c r="CS423" s="124"/>
      <c r="CT423" s="124"/>
      <c r="CU423" s="124"/>
      <c r="CV423" s="124"/>
      <c r="CW423" s="124"/>
      <c r="CX423" s="124"/>
      <c r="CY423" s="124"/>
      <c r="CZ423" s="124"/>
      <c r="DA423" s="124"/>
      <c r="DB423" s="124"/>
      <c r="DC423" s="124"/>
      <c r="DD423" s="124"/>
      <c r="DE423" s="124"/>
      <c r="DF423" s="124"/>
      <c r="DG423" s="115"/>
    </row>
    <row r="424" spans="2:111" customFormat="1" ht="9" customHeight="1">
      <c r="B424" s="493"/>
      <c r="C424" s="493"/>
      <c r="D424" s="493"/>
      <c r="E424" s="493"/>
      <c r="F424" s="493"/>
      <c r="G424" s="493"/>
      <c r="H424" s="493"/>
      <c r="I424" s="493"/>
      <c r="J424" s="493"/>
      <c r="K424" s="493"/>
      <c r="L424" s="493"/>
      <c r="M424" s="493"/>
      <c r="N424" s="493"/>
      <c r="O424" s="421"/>
      <c r="P424" s="421"/>
      <c r="Q424" s="421"/>
      <c r="R424" s="421"/>
      <c r="S424" s="421"/>
      <c r="T424" s="421"/>
      <c r="U424" s="421"/>
      <c r="V424" s="421"/>
      <c r="W424" s="421"/>
      <c r="X424" s="421"/>
      <c r="Y424" s="421"/>
      <c r="Z424" s="421"/>
      <c r="AA424" s="421"/>
      <c r="AB424" s="421"/>
      <c r="AC424" s="421"/>
      <c r="AD424" s="421"/>
      <c r="AE424" s="421"/>
      <c r="AF424" s="421"/>
      <c r="AG424" s="421"/>
      <c r="AH424" s="421"/>
      <c r="AI424" s="421"/>
      <c r="AJ424" s="421"/>
      <c r="AK424" s="421"/>
      <c r="AL424" s="421"/>
      <c r="AM424" s="421"/>
      <c r="AN424" s="421"/>
      <c r="AO424" s="421"/>
      <c r="AP424" s="421"/>
      <c r="AQ424" s="421"/>
      <c r="AR424" s="421"/>
      <c r="AS424" s="421"/>
      <c r="AT424" s="421"/>
      <c r="AU424" s="421"/>
      <c r="AV424" s="421"/>
      <c r="AW424" s="421"/>
      <c r="AX424" s="421"/>
      <c r="AY424" s="421"/>
      <c r="AZ424" s="421"/>
      <c r="BA424" s="421"/>
      <c r="BC424" s="115"/>
      <c r="BD424" s="115"/>
      <c r="BE424" s="115"/>
      <c r="BF424" s="115"/>
      <c r="BG424" s="115"/>
      <c r="BH424" s="84"/>
      <c r="BI424" s="84"/>
      <c r="BJ424" s="84"/>
      <c r="BK424" s="84"/>
      <c r="BL424" s="84"/>
      <c r="BM424" s="84"/>
      <c r="BN424" s="84"/>
      <c r="BO424" s="84"/>
      <c r="BP424" s="84"/>
      <c r="BQ424" s="84"/>
      <c r="BR424" s="84"/>
      <c r="BS424" s="84"/>
      <c r="BT424" s="84"/>
      <c r="BU424" s="84"/>
      <c r="BV424" s="84"/>
      <c r="BW424" s="84"/>
      <c r="BX424" s="84"/>
      <c r="BY424" s="84"/>
      <c r="BZ424" s="84"/>
      <c r="CA424" s="84"/>
      <c r="CB424" s="84"/>
      <c r="CC424" s="84"/>
      <c r="CD424" s="84"/>
      <c r="CE424" s="84"/>
      <c r="CF424" s="84"/>
      <c r="CG424" s="84"/>
      <c r="CH424" s="84"/>
      <c r="CI424" s="84"/>
      <c r="CJ424" s="84"/>
      <c r="CK424" s="84"/>
      <c r="CL424" s="84"/>
      <c r="CM424" s="84"/>
      <c r="CN424" s="84"/>
      <c r="CO424" s="84"/>
      <c r="CP424" s="84"/>
      <c r="CQ424" s="84"/>
      <c r="CR424" s="84"/>
      <c r="CS424" s="84"/>
      <c r="CT424" s="84"/>
      <c r="CU424" s="84"/>
      <c r="CV424" s="84"/>
      <c r="CW424" s="84"/>
      <c r="CX424" s="84"/>
      <c r="CY424" s="84"/>
      <c r="CZ424" s="84"/>
      <c r="DA424" s="84"/>
      <c r="DB424" s="84"/>
      <c r="DC424" s="84"/>
      <c r="DD424" s="84"/>
      <c r="DE424" s="84"/>
      <c r="DF424" s="84"/>
      <c r="DG424" s="115"/>
    </row>
    <row r="425" spans="2:111" customFormat="1" ht="4.5" customHeight="1">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AY425" s="49"/>
      <c r="AZ425" s="49"/>
      <c r="BA425" s="49"/>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row>
    <row r="426" spans="2:111" customFormat="1" ht="9" customHeight="1">
      <c r="B426" s="125"/>
      <c r="C426" s="125"/>
      <c r="D426" s="125"/>
      <c r="E426" s="125"/>
      <c r="F426" s="125"/>
      <c r="G426" s="125"/>
      <c r="H426" s="125"/>
      <c r="I426" s="125"/>
      <c r="J426" s="125"/>
      <c r="K426" s="125"/>
      <c r="L426" s="125"/>
      <c r="M426" s="125"/>
      <c r="N426" s="125"/>
      <c r="O426" s="496" t="str">
        <f>IF(B396="","","Quantidade:")</f>
        <v>Quantidade:</v>
      </c>
      <c r="P426" s="496"/>
      <c r="Q426" s="496"/>
      <c r="R426" s="496"/>
      <c r="S426" s="496"/>
      <c r="T426" s="496"/>
      <c r="U426" s="496"/>
      <c r="V426" s="417">
        <v>1</v>
      </c>
      <c r="W426" s="417"/>
      <c r="X426" s="417"/>
      <c r="Y426" s="417"/>
      <c r="Z426" s="417"/>
      <c r="AA426" s="417"/>
      <c r="AB426" s="417"/>
      <c r="AC426" s="417"/>
      <c r="AD426" s="417"/>
      <c r="AE426" s="417"/>
      <c r="AF426" s="125"/>
      <c r="AG426" s="497" t="str">
        <f>IF(B396="","","Unidade:")</f>
        <v>Unidade:</v>
      </c>
      <c r="AH426" s="497"/>
      <c r="AI426" s="497"/>
      <c r="AJ426" s="497"/>
      <c r="AK426" s="497"/>
      <c r="AL426" s="497"/>
      <c r="AM426" s="497"/>
      <c r="AN426" s="125"/>
      <c r="AO426" s="417" t="s">
        <v>669</v>
      </c>
      <c r="AP426" s="417"/>
      <c r="AQ426" s="417"/>
      <c r="AR426" s="417"/>
      <c r="AS426" s="417"/>
      <c r="AT426" s="417"/>
      <c r="AU426" s="417"/>
      <c r="AV426" s="417"/>
      <c r="AW426" s="417"/>
      <c r="AX426" s="417"/>
      <c r="AY426" s="417"/>
      <c r="AZ426" s="417"/>
      <c r="BA426" s="417"/>
      <c r="BC426" s="115"/>
      <c r="BD426" s="115"/>
      <c r="BE426" s="115"/>
      <c r="BF426" s="115"/>
      <c r="BG426" s="115"/>
      <c r="BH426" s="124"/>
      <c r="BI426" s="124"/>
      <c r="BJ426" s="124"/>
      <c r="BK426" s="124"/>
      <c r="BL426" s="124"/>
      <c r="BM426" s="124"/>
      <c r="BN426" s="124"/>
      <c r="BO426" s="124"/>
      <c r="BP426" s="124"/>
      <c r="BQ426" s="124"/>
      <c r="BR426" s="124"/>
      <c r="BS426" s="124"/>
      <c r="BT426" s="124"/>
      <c r="BU426" s="124"/>
      <c r="BV426" s="124"/>
      <c r="BW426" s="124"/>
      <c r="BX426" s="124"/>
      <c r="BY426" s="124"/>
      <c r="BZ426" s="124"/>
      <c r="CA426" s="124"/>
      <c r="CB426" s="124"/>
      <c r="CC426" s="124"/>
      <c r="CD426" s="124"/>
      <c r="CE426" s="124"/>
      <c r="CF426" s="124"/>
      <c r="CG426" s="124"/>
      <c r="CH426" s="124"/>
      <c r="CI426" s="124"/>
      <c r="CJ426" s="124"/>
      <c r="CK426" s="124"/>
      <c r="CL426" s="124"/>
      <c r="CM426" s="124"/>
      <c r="CN426" s="124"/>
      <c r="CO426" s="124"/>
      <c r="CP426" s="124"/>
      <c r="CQ426" s="124"/>
      <c r="CR426" s="124"/>
      <c r="CS426" s="124"/>
      <c r="CT426" s="124"/>
      <c r="CU426" s="124"/>
      <c r="CV426" s="124"/>
      <c r="CW426" s="124"/>
      <c r="CX426" s="124"/>
      <c r="CY426" s="124"/>
      <c r="CZ426" s="124"/>
      <c r="DA426" s="124"/>
      <c r="DB426" s="124"/>
      <c r="DC426" s="124"/>
      <c r="DD426" s="124"/>
      <c r="DE426" s="124"/>
      <c r="DF426" s="124"/>
      <c r="DG426" s="115"/>
    </row>
    <row r="427" spans="2:111" customFormat="1" ht="9" customHeight="1">
      <c r="B427" s="125"/>
      <c r="C427" s="125"/>
      <c r="D427" s="125"/>
      <c r="E427" s="125"/>
      <c r="F427" s="125"/>
      <c r="G427" s="125"/>
      <c r="H427" s="125"/>
      <c r="I427" s="125"/>
      <c r="J427" s="125"/>
      <c r="K427" s="125"/>
      <c r="L427" s="125"/>
      <c r="M427" s="125"/>
      <c r="N427" s="125"/>
      <c r="O427" s="496"/>
      <c r="P427" s="496"/>
      <c r="Q427" s="496"/>
      <c r="R427" s="496"/>
      <c r="S427" s="496"/>
      <c r="T427" s="496"/>
      <c r="U427" s="496"/>
      <c r="V427" s="417"/>
      <c r="W427" s="417"/>
      <c r="X427" s="417"/>
      <c r="Y427" s="417"/>
      <c r="Z427" s="417"/>
      <c r="AA427" s="417"/>
      <c r="AB427" s="417"/>
      <c r="AC427" s="417"/>
      <c r="AD427" s="417"/>
      <c r="AE427" s="417"/>
      <c r="AF427" s="125"/>
      <c r="AG427" s="497"/>
      <c r="AH427" s="497"/>
      <c r="AI427" s="497"/>
      <c r="AJ427" s="497"/>
      <c r="AK427" s="497"/>
      <c r="AL427" s="497"/>
      <c r="AM427" s="497"/>
      <c r="AN427" s="125"/>
      <c r="AO427" s="417"/>
      <c r="AP427" s="417"/>
      <c r="AQ427" s="417"/>
      <c r="AR427" s="417"/>
      <c r="AS427" s="417"/>
      <c r="AT427" s="417"/>
      <c r="AU427" s="417"/>
      <c r="AV427" s="417"/>
      <c r="AW427" s="417"/>
      <c r="AX427" s="417"/>
      <c r="AY427" s="417"/>
      <c r="AZ427" s="417"/>
      <c r="BA427" s="417"/>
      <c r="BC427" s="115"/>
      <c r="BD427" s="115"/>
      <c r="BE427" s="115"/>
      <c r="BF427" s="115"/>
      <c r="BG427" s="115"/>
      <c r="BH427" s="124"/>
      <c r="BI427" s="124"/>
      <c r="BJ427" s="124"/>
      <c r="BK427" s="124"/>
      <c r="BL427" s="124"/>
      <c r="BM427" s="124"/>
      <c r="BN427" s="124"/>
      <c r="BO427" s="124"/>
      <c r="BP427" s="124"/>
      <c r="BQ427" s="124"/>
      <c r="BR427" s="124"/>
      <c r="BS427" s="124"/>
      <c r="BT427" s="124"/>
      <c r="BU427" s="124"/>
      <c r="BV427" s="124"/>
      <c r="BW427" s="124"/>
      <c r="BX427" s="124"/>
      <c r="BY427" s="124"/>
      <c r="BZ427" s="124"/>
      <c r="CA427" s="124"/>
      <c r="CB427" s="124"/>
      <c r="CC427" s="124"/>
      <c r="CD427" s="124"/>
      <c r="CE427" s="124"/>
      <c r="CF427" s="124"/>
      <c r="CG427" s="124"/>
      <c r="CH427" s="124"/>
      <c r="CI427" s="124"/>
      <c r="CJ427" s="124"/>
      <c r="CK427" s="124"/>
      <c r="CL427" s="124"/>
      <c r="CM427" s="124"/>
      <c r="CN427" s="124"/>
      <c r="CO427" s="124"/>
      <c r="CP427" s="124"/>
      <c r="CQ427" s="124"/>
      <c r="CR427" s="124"/>
      <c r="CS427" s="124"/>
      <c r="CT427" s="124"/>
      <c r="CU427" s="124"/>
      <c r="CV427" s="124"/>
      <c r="CW427" s="124"/>
      <c r="CX427" s="124"/>
      <c r="CY427" s="124"/>
      <c r="CZ427" s="124"/>
      <c r="DA427" s="124"/>
      <c r="DB427" s="124"/>
      <c r="DC427" s="124"/>
      <c r="DD427" s="124"/>
      <c r="DE427" s="124"/>
      <c r="DF427" s="124"/>
      <c r="DG427" s="115"/>
    </row>
    <row r="428" spans="2:111" customFormat="1" ht="9" customHeight="1">
      <c r="BC428" s="115"/>
      <c r="BD428" s="115"/>
      <c r="BE428" s="115"/>
      <c r="BF428" s="115"/>
      <c r="BG428" s="115"/>
      <c r="BH428" s="498"/>
      <c r="BI428" s="498"/>
      <c r="BJ428" s="498"/>
      <c r="BK428" s="498"/>
      <c r="BL428" s="498"/>
      <c r="BM428" s="498"/>
      <c r="BN428" s="498"/>
      <c r="BO428" s="498"/>
      <c r="BP428" s="498"/>
      <c r="BQ428" s="498"/>
      <c r="BR428" s="498"/>
      <c r="BS428" s="498"/>
      <c r="BT428" s="498"/>
      <c r="BU428" s="498"/>
      <c r="BV428" s="498"/>
      <c r="BW428" s="498"/>
      <c r="BX428" s="498"/>
      <c r="BY428" s="498"/>
      <c r="BZ428" s="498"/>
      <c r="CA428" s="498"/>
      <c r="CB428" s="498"/>
      <c r="CC428" s="498"/>
      <c r="CD428" s="498"/>
      <c r="CE428" s="498"/>
      <c r="CF428" s="498"/>
      <c r="CG428" s="498"/>
      <c r="CH428" s="498"/>
      <c r="CI428" s="498"/>
      <c r="CJ428" s="498"/>
      <c r="CK428" s="498"/>
      <c r="CL428" s="498"/>
      <c r="CM428" s="498"/>
      <c r="CN428" s="498"/>
      <c r="CO428" s="498"/>
      <c r="CP428" s="498"/>
      <c r="CQ428" s="498"/>
      <c r="CR428" s="498"/>
      <c r="CS428" s="498"/>
      <c r="CT428" s="498"/>
      <c r="CU428" s="498"/>
      <c r="CV428" s="498"/>
      <c r="CW428" s="498"/>
      <c r="CX428" s="498"/>
      <c r="CY428" s="498"/>
      <c r="CZ428" s="498"/>
      <c r="DA428" s="498"/>
      <c r="DB428" s="498"/>
      <c r="DC428" s="498"/>
      <c r="DD428" s="498"/>
      <c r="DE428" s="498"/>
      <c r="DF428" s="498"/>
      <c r="DG428" s="115"/>
    </row>
    <row r="429" spans="2:111" customFormat="1" ht="9" customHeight="1">
      <c r="B429" s="499" t="str">
        <f>IF($Z$32&gt;=10,"Nome da Empresa ou Nº da Ata","")</f>
        <v>Nome da Empresa ou Nº da Ata</v>
      </c>
      <c r="C429" s="499"/>
      <c r="D429" s="499"/>
      <c r="E429" s="499"/>
      <c r="F429" s="499"/>
      <c r="G429" s="499"/>
      <c r="H429" s="499"/>
      <c r="I429" s="499"/>
      <c r="J429" s="499"/>
      <c r="K429" s="499"/>
      <c r="L429" s="499"/>
      <c r="M429" s="499"/>
      <c r="N429" s="499"/>
      <c r="O429" s="499"/>
      <c r="P429" s="499"/>
      <c r="Q429" s="499"/>
      <c r="R429" s="499"/>
      <c r="S429" s="499"/>
      <c r="T429" s="499"/>
      <c r="U429" s="499"/>
      <c r="V429" s="499"/>
      <c r="W429" s="499"/>
      <c r="X429" s="499" t="str">
        <f>IF($Z$32&gt;=10,"CNPJ / CPF","")</f>
        <v>CNPJ / CPF</v>
      </c>
      <c r="Y429" s="499"/>
      <c r="Z429" s="499"/>
      <c r="AA429" s="499"/>
      <c r="AB429" s="499"/>
      <c r="AC429" s="499"/>
      <c r="AD429" s="499"/>
      <c r="AE429" s="499"/>
      <c r="AF429" s="499"/>
      <c r="AG429" s="499"/>
      <c r="AH429" s="499" t="str">
        <f>IF($Z$32&gt;=10,"Qtde","")</f>
        <v>Qtde</v>
      </c>
      <c r="AI429" s="499"/>
      <c r="AJ429" s="499"/>
      <c r="AK429" s="499"/>
      <c r="AL429" s="499" t="str">
        <f>IF($Z$32&gt;=10,"Valor Unitário (R$)","")</f>
        <v>Valor Unitário (R$)</v>
      </c>
      <c r="AM429" s="499"/>
      <c r="AN429" s="499"/>
      <c r="AO429" s="499"/>
      <c r="AP429" s="499"/>
      <c r="AQ429" s="499"/>
      <c r="AR429" s="499"/>
      <c r="AS429" s="499"/>
      <c r="AT429" s="499" t="str">
        <f>IF($Z$32&gt;=10,"Valor Total (R$)","")</f>
        <v>Valor Total (R$)</v>
      </c>
      <c r="AU429" s="499"/>
      <c r="AV429" s="499"/>
      <c r="AW429" s="499"/>
      <c r="AX429" s="499"/>
      <c r="AY429" s="499"/>
      <c r="AZ429" s="499"/>
      <c r="BA429" s="499"/>
      <c r="BC429" s="115"/>
      <c r="BD429" s="115"/>
      <c r="BE429" s="115"/>
      <c r="BF429" s="115"/>
      <c r="BG429" s="115"/>
      <c r="BH429" s="498"/>
      <c r="BI429" s="498"/>
      <c r="BJ429" s="498"/>
      <c r="BK429" s="498"/>
      <c r="BL429" s="498"/>
      <c r="BM429" s="498"/>
      <c r="BN429" s="498"/>
      <c r="BO429" s="498"/>
      <c r="BP429" s="498"/>
      <c r="BQ429" s="498"/>
      <c r="BR429" s="498"/>
      <c r="BS429" s="498"/>
      <c r="BT429" s="498"/>
      <c r="BU429" s="498"/>
      <c r="BV429" s="498"/>
      <c r="BW429" s="498"/>
      <c r="BX429" s="498"/>
      <c r="BY429" s="498"/>
      <c r="BZ429" s="498"/>
      <c r="CA429" s="498"/>
      <c r="CB429" s="498"/>
      <c r="CC429" s="498"/>
      <c r="CD429" s="498"/>
      <c r="CE429" s="498"/>
      <c r="CF429" s="498"/>
      <c r="CG429" s="498"/>
      <c r="CH429" s="498"/>
      <c r="CI429" s="498"/>
      <c r="CJ429" s="498"/>
      <c r="CK429" s="498"/>
      <c r="CL429" s="498"/>
      <c r="CM429" s="498"/>
      <c r="CN429" s="498"/>
      <c r="CO429" s="498"/>
      <c r="CP429" s="498"/>
      <c r="CQ429" s="498"/>
      <c r="CR429" s="498"/>
      <c r="CS429" s="498"/>
      <c r="CT429" s="498"/>
      <c r="CU429" s="498"/>
      <c r="CV429" s="498"/>
      <c r="CW429" s="498"/>
      <c r="CX429" s="498"/>
      <c r="CY429" s="498"/>
      <c r="CZ429" s="498"/>
      <c r="DA429" s="498"/>
      <c r="DB429" s="498"/>
      <c r="DC429" s="498"/>
      <c r="DD429" s="498"/>
      <c r="DE429" s="498"/>
      <c r="DF429" s="498"/>
      <c r="DG429" s="115"/>
    </row>
    <row r="430" spans="2:111" customFormat="1" ht="9" customHeight="1">
      <c r="B430" s="499"/>
      <c r="C430" s="499"/>
      <c r="D430" s="499"/>
      <c r="E430" s="499"/>
      <c r="F430" s="499"/>
      <c r="G430" s="499"/>
      <c r="H430" s="499"/>
      <c r="I430" s="499"/>
      <c r="J430" s="499"/>
      <c r="K430" s="499"/>
      <c r="L430" s="499"/>
      <c r="M430" s="499"/>
      <c r="N430" s="499"/>
      <c r="O430" s="499"/>
      <c r="P430" s="499"/>
      <c r="Q430" s="499"/>
      <c r="R430" s="499"/>
      <c r="S430" s="499"/>
      <c r="T430" s="499"/>
      <c r="U430" s="499"/>
      <c r="V430" s="499"/>
      <c r="W430" s="499"/>
      <c r="X430" s="499"/>
      <c r="Y430" s="499"/>
      <c r="Z430" s="499"/>
      <c r="AA430" s="499"/>
      <c r="AB430" s="499"/>
      <c r="AC430" s="499"/>
      <c r="AD430" s="499"/>
      <c r="AE430" s="499"/>
      <c r="AF430" s="499"/>
      <c r="AG430" s="499"/>
      <c r="AH430" s="499"/>
      <c r="AI430" s="499"/>
      <c r="AJ430" s="499"/>
      <c r="AK430" s="499"/>
      <c r="AL430" s="499"/>
      <c r="AM430" s="499"/>
      <c r="AN430" s="499"/>
      <c r="AO430" s="499"/>
      <c r="AP430" s="499"/>
      <c r="AQ430" s="499"/>
      <c r="AR430" s="499"/>
      <c r="AS430" s="499"/>
      <c r="AT430" s="499"/>
      <c r="AU430" s="499"/>
      <c r="AV430" s="499"/>
      <c r="AW430" s="499"/>
      <c r="AX430" s="499"/>
      <c r="AY430" s="499"/>
      <c r="AZ430" s="499"/>
      <c r="BA430" s="499"/>
      <c r="BB430" s="176">
        <f>AVERAGE(AL431:AS433)</f>
        <v>6297.4066666666668</v>
      </c>
      <c r="BC430" s="115"/>
      <c r="BD430" s="115"/>
      <c r="BE430" s="115"/>
      <c r="BF430" s="115"/>
      <c r="BG430" s="115"/>
      <c r="BH430" s="498"/>
      <c r="BI430" s="498"/>
      <c r="BJ430" s="498"/>
      <c r="BK430" s="498"/>
      <c r="BL430" s="498"/>
      <c r="BM430" s="498"/>
      <c r="BN430" s="498"/>
      <c r="BO430" s="498"/>
      <c r="BP430" s="498"/>
      <c r="BQ430" s="498"/>
      <c r="BR430" s="498"/>
      <c r="BS430" s="498"/>
      <c r="BT430" s="498"/>
      <c r="BU430" s="498"/>
      <c r="BV430" s="498"/>
      <c r="BW430" s="498"/>
      <c r="BX430" s="498"/>
      <c r="BY430" s="498"/>
      <c r="BZ430" s="498"/>
      <c r="CA430" s="498"/>
      <c r="CB430" s="498"/>
      <c r="CC430" s="498"/>
      <c r="CD430" s="498"/>
      <c r="CE430" s="498"/>
      <c r="CF430" s="498"/>
      <c r="CG430" s="498"/>
      <c r="CH430" s="498"/>
      <c r="CI430" s="498"/>
      <c r="CJ430" s="498"/>
      <c r="CK430" s="498"/>
      <c r="CL430" s="498"/>
      <c r="CM430" s="498"/>
      <c r="CN430" s="498"/>
      <c r="CO430" s="498"/>
      <c r="CP430" s="498"/>
      <c r="CQ430" s="498"/>
      <c r="CR430" s="498"/>
      <c r="CS430" s="498"/>
      <c r="CT430" s="498"/>
      <c r="CU430" s="498"/>
      <c r="CV430" s="498"/>
      <c r="CW430" s="498"/>
      <c r="CX430" s="498"/>
      <c r="CY430" s="498"/>
      <c r="CZ430" s="498"/>
      <c r="DA430" s="498"/>
      <c r="DB430" s="498"/>
      <c r="DC430" s="498"/>
      <c r="DD430" s="498"/>
      <c r="DE430" s="498"/>
      <c r="DF430" s="498"/>
      <c r="DG430" s="115"/>
    </row>
    <row r="431" spans="2:111" customFormat="1" ht="18" customHeight="1">
      <c r="B431" s="233" t="s">
        <v>670</v>
      </c>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486" t="s">
        <v>674</v>
      </c>
      <c r="Y431" s="486"/>
      <c r="Z431" s="486"/>
      <c r="AA431" s="486"/>
      <c r="AB431" s="486"/>
      <c r="AC431" s="486"/>
      <c r="AD431" s="486"/>
      <c r="AE431" s="486"/>
      <c r="AF431" s="486"/>
      <c r="AG431" s="486"/>
      <c r="AH431" s="417">
        <v>1</v>
      </c>
      <c r="AI431" s="417"/>
      <c r="AJ431" s="417"/>
      <c r="AK431" s="417"/>
      <c r="AL431" s="419">
        <v>5322.22</v>
      </c>
      <c r="AM431" s="419"/>
      <c r="AN431" s="419"/>
      <c r="AO431" s="419"/>
      <c r="AP431" s="419"/>
      <c r="AQ431" s="419"/>
      <c r="AR431" s="419"/>
      <c r="AS431" s="419"/>
      <c r="AT431" s="487">
        <f>IF($Z$32&gt;=10,(AH431*AL431),"")</f>
        <v>5322.22</v>
      </c>
      <c r="AU431" s="487"/>
      <c r="AV431" s="487"/>
      <c r="AW431" s="487"/>
      <c r="AX431" s="487"/>
      <c r="AY431" s="487"/>
      <c r="AZ431" s="487"/>
      <c r="BA431" s="487"/>
      <c r="BC431" s="115"/>
      <c r="BD431" s="115"/>
      <c r="BE431" s="115"/>
      <c r="BF431" s="115"/>
      <c r="BG431" s="115"/>
      <c r="BH431" s="498"/>
      <c r="BI431" s="498"/>
      <c r="BJ431" s="498"/>
      <c r="BK431" s="498"/>
      <c r="BL431" s="498"/>
      <c r="BM431" s="498"/>
      <c r="BN431" s="498"/>
      <c r="BO431" s="498"/>
      <c r="BP431" s="498"/>
      <c r="BQ431" s="498"/>
      <c r="BR431" s="498"/>
      <c r="BS431" s="498"/>
      <c r="BT431" s="498"/>
      <c r="BU431" s="498"/>
      <c r="BV431" s="498"/>
      <c r="BW431" s="498"/>
      <c r="BX431" s="498"/>
      <c r="BY431" s="498"/>
      <c r="BZ431" s="498"/>
      <c r="CA431" s="498"/>
      <c r="CB431" s="498"/>
      <c r="CC431" s="498"/>
      <c r="CD431" s="498"/>
      <c r="CE431" s="498"/>
      <c r="CF431" s="498"/>
      <c r="CG431" s="498"/>
      <c r="CH431" s="498"/>
      <c r="CI431" s="498"/>
      <c r="CJ431" s="498"/>
      <c r="CK431" s="498"/>
      <c r="CL431" s="498"/>
      <c r="CM431" s="498"/>
      <c r="CN431" s="498"/>
      <c r="CO431" s="498"/>
      <c r="CP431" s="498"/>
      <c r="CQ431" s="498"/>
      <c r="CR431" s="498"/>
      <c r="CS431" s="498"/>
      <c r="CT431" s="498"/>
      <c r="CU431" s="498"/>
      <c r="CV431" s="498"/>
      <c r="CW431" s="498"/>
      <c r="CX431" s="498"/>
      <c r="CY431" s="498"/>
      <c r="CZ431" s="498"/>
      <c r="DA431" s="498"/>
      <c r="DB431" s="498"/>
      <c r="DC431" s="498"/>
      <c r="DD431" s="498"/>
      <c r="DE431" s="498"/>
      <c r="DF431" s="498"/>
      <c r="DG431" s="115"/>
    </row>
    <row r="432" spans="2:111" customFormat="1" ht="18" customHeight="1">
      <c r="B432" s="233" t="s">
        <v>671</v>
      </c>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486" t="s">
        <v>691</v>
      </c>
      <c r="Y432" s="486"/>
      <c r="Z432" s="486"/>
      <c r="AA432" s="486"/>
      <c r="AB432" s="486"/>
      <c r="AC432" s="486"/>
      <c r="AD432" s="486"/>
      <c r="AE432" s="486"/>
      <c r="AF432" s="486"/>
      <c r="AG432" s="486"/>
      <c r="AH432" s="417">
        <v>1</v>
      </c>
      <c r="AI432" s="417"/>
      <c r="AJ432" s="417"/>
      <c r="AK432" s="417"/>
      <c r="AL432" s="419">
        <v>8590</v>
      </c>
      <c r="AM432" s="419"/>
      <c r="AN432" s="419"/>
      <c r="AO432" s="419"/>
      <c r="AP432" s="419"/>
      <c r="AQ432" s="419"/>
      <c r="AR432" s="419"/>
      <c r="AS432" s="419"/>
      <c r="AT432" s="487">
        <f>IF($Z$32&gt;=10,(AH432*AL432),"")</f>
        <v>8590</v>
      </c>
      <c r="AU432" s="487"/>
      <c r="AV432" s="487"/>
      <c r="AW432" s="487"/>
      <c r="AX432" s="487"/>
      <c r="AY432" s="487"/>
      <c r="AZ432" s="487"/>
      <c r="BA432" s="487"/>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row>
    <row r="433" spans="2:111" customFormat="1" ht="18" customHeight="1">
      <c r="B433" s="233" t="s">
        <v>672</v>
      </c>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486" t="s">
        <v>690</v>
      </c>
      <c r="Y433" s="486"/>
      <c r="Z433" s="486"/>
      <c r="AA433" s="486"/>
      <c r="AB433" s="486"/>
      <c r="AC433" s="486"/>
      <c r="AD433" s="486"/>
      <c r="AE433" s="486"/>
      <c r="AF433" s="486"/>
      <c r="AG433" s="486"/>
      <c r="AH433" s="417">
        <v>1</v>
      </c>
      <c r="AI433" s="417"/>
      <c r="AJ433" s="417"/>
      <c r="AK433" s="417"/>
      <c r="AL433" s="419">
        <v>4980</v>
      </c>
      <c r="AM433" s="419"/>
      <c r="AN433" s="419"/>
      <c r="AO433" s="419"/>
      <c r="AP433" s="419"/>
      <c r="AQ433" s="419"/>
      <c r="AR433" s="419"/>
      <c r="AS433" s="419"/>
      <c r="AT433" s="487">
        <f>IF($Z$32&gt;=10,(AH433*AL433),"")</f>
        <v>4980</v>
      </c>
      <c r="AU433" s="487"/>
      <c r="AV433" s="487"/>
      <c r="AW433" s="487"/>
      <c r="AX433" s="487"/>
      <c r="AY433" s="487"/>
      <c r="AZ433" s="487"/>
      <c r="BA433" s="487"/>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row>
    <row r="434" spans="2:111" customFormat="1" ht="15" customHeight="1">
      <c r="AT434" s="500">
        <f>IF(B431="","",IF(AL432="",AT431,IF(AL433="",AVERAGE(AT431:BA432),AVERAGE(AT431:AT433))))</f>
        <v>6297.4066666666668</v>
      </c>
      <c r="AU434" s="500"/>
      <c r="AV434" s="500"/>
      <c r="AW434" s="500"/>
      <c r="AX434" s="500"/>
      <c r="AY434" s="500"/>
      <c r="AZ434" s="500"/>
      <c r="BA434" s="500"/>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row>
    <row r="435" spans="2:111" customFormat="1" ht="15" customHeight="1">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row>
    <row r="436" spans="2:111" customFormat="1" ht="9" customHeight="1">
      <c r="B436" s="494" t="str">
        <f>IF($Z$32&gt;=11,"Item 11","")</f>
        <v>Item 11</v>
      </c>
      <c r="C436" s="495"/>
      <c r="D436" s="495"/>
      <c r="E436" s="495"/>
      <c r="F436" s="495"/>
      <c r="G436" s="495"/>
      <c r="H436" s="495"/>
      <c r="I436" s="495"/>
      <c r="J436" s="495"/>
      <c r="K436" s="495"/>
      <c r="L436" s="495"/>
      <c r="M436" s="49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row>
    <row r="437" spans="2:111" customFormat="1" ht="9" customHeight="1">
      <c r="B437" s="495"/>
      <c r="C437" s="495"/>
      <c r="D437" s="495"/>
      <c r="E437" s="495"/>
      <c r="F437" s="495"/>
      <c r="G437" s="495"/>
      <c r="H437" s="495"/>
      <c r="I437" s="495"/>
      <c r="J437" s="495"/>
      <c r="K437" s="495"/>
      <c r="L437" s="495"/>
      <c r="M437" s="49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row>
    <row r="438" spans="2:111" customFormat="1" ht="4.5" customHeight="1">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row>
    <row r="439" spans="2:111" customFormat="1" ht="9" customHeight="1">
      <c r="B439" s="493" t="str">
        <f>IF(B436="","","Elemento de Despesa:")</f>
        <v>Elemento de Despesa:</v>
      </c>
      <c r="C439" s="493"/>
      <c r="D439" s="493"/>
      <c r="E439" s="493"/>
      <c r="F439" s="493"/>
      <c r="G439" s="493"/>
      <c r="H439" s="493"/>
      <c r="I439" s="493"/>
      <c r="J439" s="493"/>
      <c r="K439" s="493"/>
      <c r="L439" s="493"/>
      <c r="M439" s="493"/>
      <c r="N439" s="493"/>
      <c r="O439" s="241" t="s">
        <v>276</v>
      </c>
      <c r="P439" s="241"/>
      <c r="Q439" s="241"/>
      <c r="R439" s="241"/>
      <c r="S439" s="241"/>
      <c r="T439" s="241"/>
      <c r="U439" s="241"/>
      <c r="V439" s="241"/>
      <c r="W439" s="241"/>
      <c r="X439" s="241"/>
      <c r="Y439" s="241"/>
      <c r="Z439" s="241"/>
      <c r="AA439" s="241"/>
      <c r="AB439" s="241"/>
      <c r="AC439" s="241"/>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C439" s="115"/>
      <c r="BD439" s="115"/>
      <c r="BE439" s="115"/>
      <c r="BF439" s="115"/>
      <c r="BG439" s="115"/>
      <c r="BH439" s="124"/>
      <c r="BI439" s="124"/>
      <c r="BJ439" s="124"/>
      <c r="BK439" s="124"/>
      <c r="BL439" s="124"/>
      <c r="BM439" s="124"/>
      <c r="BN439" s="124"/>
      <c r="BO439" s="124"/>
      <c r="BP439" s="124"/>
      <c r="BQ439" s="124"/>
      <c r="BR439" s="124"/>
      <c r="BS439" s="124"/>
      <c r="BT439" s="124"/>
      <c r="BU439" s="124"/>
      <c r="BV439" s="124"/>
      <c r="BW439" s="124"/>
      <c r="BX439" s="124"/>
      <c r="BY439" s="124"/>
      <c r="BZ439" s="124"/>
      <c r="CA439" s="124"/>
      <c r="CB439" s="124"/>
      <c r="CC439" s="124"/>
      <c r="CD439" s="124"/>
      <c r="CE439" s="124"/>
      <c r="CF439" s="124"/>
      <c r="CG439" s="124"/>
      <c r="CH439" s="124"/>
      <c r="CI439" s="124"/>
      <c r="CJ439" s="124"/>
      <c r="CK439" s="124"/>
      <c r="CL439" s="124"/>
      <c r="CM439" s="124"/>
      <c r="CN439" s="124"/>
      <c r="CO439" s="124"/>
      <c r="CP439" s="124"/>
      <c r="CQ439" s="124"/>
      <c r="CR439" s="124"/>
      <c r="CS439" s="124"/>
      <c r="CT439" s="124"/>
      <c r="CU439" s="124"/>
      <c r="CV439" s="124"/>
      <c r="CW439" s="124"/>
      <c r="CX439" s="124"/>
      <c r="CY439" s="124"/>
      <c r="CZ439" s="124"/>
      <c r="DA439" s="124"/>
      <c r="DB439" s="124"/>
      <c r="DC439" s="124"/>
      <c r="DD439" s="124"/>
      <c r="DE439" s="124"/>
      <c r="DF439" s="124"/>
      <c r="DG439" s="115"/>
    </row>
    <row r="440" spans="2:111" customFormat="1" ht="9" customHeight="1">
      <c r="B440" s="493"/>
      <c r="C440" s="493"/>
      <c r="D440" s="493"/>
      <c r="E440" s="493"/>
      <c r="F440" s="493"/>
      <c r="G440" s="493"/>
      <c r="H440" s="493"/>
      <c r="I440" s="493"/>
      <c r="J440" s="493"/>
      <c r="K440" s="493"/>
      <c r="L440" s="493"/>
      <c r="M440" s="493"/>
      <c r="N440" s="493"/>
      <c r="O440" s="241"/>
      <c r="P440" s="241"/>
      <c r="Q440" s="241"/>
      <c r="R440" s="241"/>
      <c r="S440" s="241"/>
      <c r="T440" s="241"/>
      <c r="U440" s="241"/>
      <c r="V440" s="241"/>
      <c r="W440" s="241"/>
      <c r="X440" s="241"/>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C440" s="115"/>
      <c r="BD440" s="115"/>
      <c r="BE440" s="115"/>
      <c r="BF440" s="115"/>
      <c r="BG440" s="115"/>
      <c r="BH440" s="124"/>
      <c r="BI440" s="124"/>
      <c r="BJ440" s="124"/>
      <c r="BK440" s="124"/>
      <c r="BL440" s="124"/>
      <c r="BM440" s="124"/>
      <c r="BN440" s="124"/>
      <c r="BO440" s="124"/>
      <c r="BP440" s="124"/>
      <c r="BQ440" s="124"/>
      <c r="BR440" s="124"/>
      <c r="BS440" s="124"/>
      <c r="BT440" s="124"/>
      <c r="BU440" s="124"/>
      <c r="BV440" s="124"/>
      <c r="BW440" s="124"/>
      <c r="BX440" s="124"/>
      <c r="BY440" s="124"/>
      <c r="BZ440" s="124"/>
      <c r="CA440" s="124"/>
      <c r="CB440" s="124"/>
      <c r="CC440" s="124"/>
      <c r="CD440" s="124"/>
      <c r="CE440" s="124"/>
      <c r="CF440" s="124"/>
      <c r="CG440" s="124"/>
      <c r="CH440" s="124"/>
      <c r="CI440" s="124"/>
      <c r="CJ440" s="124"/>
      <c r="CK440" s="124"/>
      <c r="CL440" s="124"/>
      <c r="CM440" s="124"/>
      <c r="CN440" s="124"/>
      <c r="CO440" s="124"/>
      <c r="CP440" s="124"/>
      <c r="CQ440" s="124"/>
      <c r="CR440" s="124"/>
      <c r="CS440" s="124"/>
      <c r="CT440" s="124"/>
      <c r="CU440" s="124"/>
      <c r="CV440" s="124"/>
      <c r="CW440" s="124"/>
      <c r="CX440" s="124"/>
      <c r="CY440" s="124"/>
      <c r="CZ440" s="124"/>
      <c r="DA440" s="124"/>
      <c r="DB440" s="124"/>
      <c r="DC440" s="124"/>
      <c r="DD440" s="124"/>
      <c r="DE440" s="124"/>
      <c r="DF440" s="124"/>
      <c r="DG440" s="115"/>
    </row>
    <row r="441" spans="2:111" customFormat="1" ht="4.5" customHeight="1">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C441" s="115"/>
      <c r="BD441" s="115"/>
      <c r="BE441" s="115"/>
      <c r="BF441" s="115"/>
      <c r="BG441" s="115"/>
      <c r="BH441" s="124"/>
      <c r="BI441" s="124"/>
      <c r="BJ441" s="124"/>
      <c r="BK441" s="124"/>
      <c r="BL441" s="124"/>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4"/>
      <c r="CY441" s="124"/>
      <c r="CZ441" s="124"/>
      <c r="DA441" s="124"/>
      <c r="DB441" s="124"/>
      <c r="DC441" s="124"/>
      <c r="DD441" s="124"/>
      <c r="DE441" s="124"/>
      <c r="DF441" s="124"/>
      <c r="DG441" s="115"/>
    </row>
    <row r="442" spans="2:111" customFormat="1" ht="9" customHeight="1">
      <c r="B442" s="493" t="str">
        <f>IF(B436="","","Objeto:")</f>
        <v>Objeto:</v>
      </c>
      <c r="C442" s="493"/>
      <c r="D442" s="493"/>
      <c r="E442" s="493"/>
      <c r="F442" s="493"/>
      <c r="G442" s="493"/>
      <c r="H442" s="493"/>
      <c r="I442" s="493"/>
      <c r="J442" s="493"/>
      <c r="K442" s="493"/>
      <c r="L442" s="493"/>
      <c r="M442" s="493"/>
      <c r="N442" s="493"/>
      <c r="O442" s="421" t="s">
        <v>673</v>
      </c>
      <c r="P442" s="421"/>
      <c r="Q442" s="421"/>
      <c r="R442" s="421"/>
      <c r="S442" s="421"/>
      <c r="T442" s="421"/>
      <c r="U442" s="421"/>
      <c r="V442" s="421"/>
      <c r="W442" s="421"/>
      <c r="X442" s="421"/>
      <c r="Y442" s="421"/>
      <c r="Z442" s="421"/>
      <c r="AA442" s="421"/>
      <c r="AB442" s="421"/>
      <c r="AC442" s="421"/>
      <c r="AD442" s="421"/>
      <c r="AE442" s="421"/>
      <c r="AF442" s="421"/>
      <c r="AG442" s="421"/>
      <c r="AH442" s="421"/>
      <c r="AI442" s="421"/>
      <c r="AJ442" s="421"/>
      <c r="AK442" s="421"/>
      <c r="AL442" s="421"/>
      <c r="AM442" s="421"/>
      <c r="AN442" s="421"/>
      <c r="AO442" s="421"/>
      <c r="AP442" s="421"/>
      <c r="AQ442" s="421"/>
      <c r="AR442" s="421"/>
      <c r="AS442" s="421"/>
      <c r="AT442" s="421"/>
      <c r="AU442" s="421"/>
      <c r="AV442" s="421"/>
      <c r="AW442" s="421"/>
      <c r="AX442" s="421"/>
      <c r="AY442" s="421"/>
      <c r="AZ442" s="421"/>
      <c r="BA442" s="421"/>
      <c r="BC442" s="115"/>
      <c r="BD442" s="115"/>
      <c r="BE442" s="115"/>
      <c r="BF442" s="115"/>
      <c r="BG442" s="115"/>
      <c r="BH442" s="124"/>
      <c r="BI442" s="124"/>
      <c r="BJ442" s="124"/>
      <c r="BK442" s="124"/>
      <c r="BL442" s="124"/>
      <c r="BM442" s="124"/>
      <c r="BN442" s="124"/>
      <c r="BO442" s="124"/>
      <c r="BP442" s="124"/>
      <c r="BQ442" s="124"/>
      <c r="BR442" s="124"/>
      <c r="BS442" s="124"/>
      <c r="BT442" s="124"/>
      <c r="BU442" s="124"/>
      <c r="BV442" s="124"/>
      <c r="BW442" s="124"/>
      <c r="BX442" s="124"/>
      <c r="BY442" s="124"/>
      <c r="BZ442" s="124"/>
      <c r="CA442" s="124"/>
      <c r="CB442" s="124"/>
      <c r="CC442" s="124"/>
      <c r="CD442" s="124"/>
      <c r="CE442" s="124"/>
      <c r="CF442" s="124"/>
      <c r="CG442" s="124"/>
      <c r="CH442" s="124"/>
      <c r="CI442" s="124"/>
      <c r="CJ442" s="124"/>
      <c r="CK442" s="124"/>
      <c r="CL442" s="124"/>
      <c r="CM442" s="124"/>
      <c r="CN442" s="124"/>
      <c r="CO442" s="124"/>
      <c r="CP442" s="124"/>
      <c r="CQ442" s="124"/>
      <c r="CR442" s="124"/>
      <c r="CS442" s="124"/>
      <c r="CT442" s="124"/>
      <c r="CU442" s="124"/>
      <c r="CV442" s="124"/>
      <c r="CW442" s="124"/>
      <c r="CX442" s="124"/>
      <c r="CY442" s="124"/>
      <c r="CZ442" s="124"/>
      <c r="DA442" s="124"/>
      <c r="DB442" s="124"/>
      <c r="DC442" s="124"/>
      <c r="DD442" s="124"/>
      <c r="DE442" s="124"/>
      <c r="DF442" s="124"/>
      <c r="DG442" s="115"/>
    </row>
    <row r="443" spans="2:111" customFormat="1" ht="9" customHeight="1">
      <c r="B443" s="493"/>
      <c r="C443" s="493"/>
      <c r="D443" s="493"/>
      <c r="E443" s="493"/>
      <c r="F443" s="493"/>
      <c r="G443" s="493"/>
      <c r="H443" s="493"/>
      <c r="I443" s="493"/>
      <c r="J443" s="493"/>
      <c r="K443" s="493"/>
      <c r="L443" s="493"/>
      <c r="M443" s="493"/>
      <c r="N443" s="493"/>
      <c r="O443" s="421"/>
      <c r="P443" s="421"/>
      <c r="Q443" s="421"/>
      <c r="R443" s="421"/>
      <c r="S443" s="421"/>
      <c r="T443" s="421"/>
      <c r="U443" s="421"/>
      <c r="V443" s="421"/>
      <c r="W443" s="421"/>
      <c r="X443" s="421"/>
      <c r="Y443" s="421"/>
      <c r="Z443" s="421"/>
      <c r="AA443" s="421"/>
      <c r="AB443" s="421"/>
      <c r="AC443" s="421"/>
      <c r="AD443" s="421"/>
      <c r="AE443" s="421"/>
      <c r="AF443" s="421"/>
      <c r="AG443" s="421"/>
      <c r="AH443" s="421"/>
      <c r="AI443" s="421"/>
      <c r="AJ443" s="421"/>
      <c r="AK443" s="421"/>
      <c r="AL443" s="421"/>
      <c r="AM443" s="421"/>
      <c r="AN443" s="421"/>
      <c r="AO443" s="421"/>
      <c r="AP443" s="421"/>
      <c r="AQ443" s="421"/>
      <c r="AR443" s="421"/>
      <c r="AS443" s="421"/>
      <c r="AT443" s="421"/>
      <c r="AU443" s="421"/>
      <c r="AV443" s="421"/>
      <c r="AW443" s="421"/>
      <c r="AX443" s="421"/>
      <c r="AY443" s="421"/>
      <c r="AZ443" s="421"/>
      <c r="BA443" s="421"/>
      <c r="BC443" s="115"/>
      <c r="BD443" s="115"/>
      <c r="BE443" s="115"/>
      <c r="BF443" s="115"/>
      <c r="BG443" s="115"/>
      <c r="BH443" s="124"/>
      <c r="BI443" s="124"/>
      <c r="BJ443" s="124"/>
      <c r="BK443" s="124"/>
      <c r="BL443" s="124"/>
      <c r="BM443" s="124"/>
      <c r="BN443" s="124"/>
      <c r="BO443" s="124"/>
      <c r="BP443" s="124"/>
      <c r="BQ443" s="124"/>
      <c r="BR443" s="124"/>
      <c r="BS443" s="124"/>
      <c r="BT443" s="124"/>
      <c r="BU443" s="124"/>
      <c r="BV443" s="124"/>
      <c r="BW443" s="124"/>
      <c r="BX443" s="124"/>
      <c r="BY443" s="124"/>
      <c r="BZ443" s="124"/>
      <c r="CA443" s="124"/>
      <c r="CB443" s="124"/>
      <c r="CC443" s="124"/>
      <c r="CD443" s="124"/>
      <c r="CE443" s="124"/>
      <c r="CF443" s="124"/>
      <c r="CG443" s="124"/>
      <c r="CH443" s="124"/>
      <c r="CI443" s="124"/>
      <c r="CJ443" s="124"/>
      <c r="CK443" s="124"/>
      <c r="CL443" s="124"/>
      <c r="CM443" s="124"/>
      <c r="CN443" s="124"/>
      <c r="CO443" s="124"/>
      <c r="CP443" s="124"/>
      <c r="CQ443" s="124"/>
      <c r="CR443" s="124"/>
      <c r="CS443" s="124"/>
      <c r="CT443" s="124"/>
      <c r="CU443" s="124"/>
      <c r="CV443" s="124"/>
      <c r="CW443" s="124"/>
      <c r="CX443" s="124"/>
      <c r="CY443" s="124"/>
      <c r="CZ443" s="124"/>
      <c r="DA443" s="124"/>
      <c r="DB443" s="124"/>
      <c r="DC443" s="124"/>
      <c r="DD443" s="124"/>
      <c r="DE443" s="124"/>
      <c r="DF443" s="124"/>
      <c r="DG443" s="115"/>
    </row>
    <row r="444" spans="2:111" customFormat="1" ht="9" customHeight="1">
      <c r="B444" s="143"/>
      <c r="C444" s="143"/>
      <c r="D444" s="143"/>
      <c r="E444" s="143"/>
      <c r="F444" s="143"/>
      <c r="G444" s="143"/>
      <c r="H444" s="143"/>
      <c r="I444" s="143"/>
      <c r="J444" s="143"/>
      <c r="K444" s="143"/>
      <c r="L444" s="143"/>
      <c r="M444" s="143"/>
      <c r="N444" s="143"/>
      <c r="O444" s="421"/>
      <c r="P444" s="421"/>
      <c r="Q444" s="421"/>
      <c r="R444" s="421"/>
      <c r="S444" s="421"/>
      <c r="T444" s="421"/>
      <c r="U444" s="421"/>
      <c r="V444" s="421"/>
      <c r="W444" s="421"/>
      <c r="X444" s="421"/>
      <c r="Y444" s="421"/>
      <c r="Z444" s="421"/>
      <c r="AA444" s="421"/>
      <c r="AB444" s="421"/>
      <c r="AC444" s="421"/>
      <c r="AD444" s="421"/>
      <c r="AE444" s="421"/>
      <c r="AF444" s="421"/>
      <c r="AG444" s="421"/>
      <c r="AH444" s="421"/>
      <c r="AI444" s="421"/>
      <c r="AJ444" s="421"/>
      <c r="AK444" s="421"/>
      <c r="AL444" s="421"/>
      <c r="AM444" s="421"/>
      <c r="AN444" s="421"/>
      <c r="AO444" s="421"/>
      <c r="AP444" s="421"/>
      <c r="AQ444" s="421"/>
      <c r="AR444" s="421"/>
      <c r="AS444" s="421"/>
      <c r="AT444" s="421"/>
      <c r="AU444" s="421"/>
      <c r="AV444" s="421"/>
      <c r="AW444" s="421"/>
      <c r="AX444" s="421"/>
      <c r="AY444" s="421"/>
      <c r="AZ444" s="421"/>
      <c r="BA444" s="421"/>
      <c r="BC444" s="115"/>
      <c r="BD444" s="115"/>
      <c r="BE444" s="115"/>
      <c r="BF444" s="115"/>
      <c r="BG444" s="115"/>
      <c r="BH444" s="84"/>
      <c r="BI444" s="84"/>
      <c r="BJ444" s="84"/>
      <c r="BK444" s="84"/>
      <c r="BL444" s="84"/>
      <c r="BM444" s="84"/>
      <c r="BN444" s="84"/>
      <c r="BO444" s="84"/>
      <c r="BP444" s="84"/>
      <c r="BQ444" s="84"/>
      <c r="BR444" s="84"/>
      <c r="BS444" s="84"/>
      <c r="BT444" s="84"/>
      <c r="BU444" s="84"/>
      <c r="BV444" s="84"/>
      <c r="BW444" s="84"/>
      <c r="BX444" s="84"/>
      <c r="BY444" s="84"/>
      <c r="BZ444" s="84"/>
      <c r="CA444" s="84"/>
      <c r="CB444" s="84"/>
      <c r="CC444" s="84"/>
      <c r="CD444" s="84"/>
      <c r="CE444" s="84"/>
      <c r="CF444" s="84"/>
      <c r="CG444" s="84"/>
      <c r="CH444" s="84"/>
      <c r="CI444" s="84"/>
      <c r="CJ444" s="84"/>
      <c r="CK444" s="84"/>
      <c r="CL444" s="84"/>
      <c r="CM444" s="84"/>
      <c r="CN444" s="84"/>
      <c r="CO444" s="84"/>
      <c r="CP444" s="84"/>
      <c r="CQ444" s="84"/>
      <c r="CR444" s="84"/>
      <c r="CS444" s="84"/>
      <c r="CT444" s="84"/>
      <c r="CU444" s="84"/>
      <c r="CV444" s="84"/>
      <c r="CW444" s="84"/>
      <c r="CX444" s="84"/>
      <c r="CY444" s="84"/>
      <c r="CZ444" s="84"/>
      <c r="DA444" s="84"/>
      <c r="DB444" s="84"/>
      <c r="DC444" s="84"/>
      <c r="DD444" s="84"/>
      <c r="DE444" s="84"/>
      <c r="DF444" s="84"/>
      <c r="DG444" s="115"/>
    </row>
    <row r="445" spans="2:111" customFormat="1" ht="9" customHeight="1">
      <c r="B445" s="49"/>
      <c r="C445" s="49"/>
      <c r="D445" s="49"/>
      <c r="E445" s="49"/>
      <c r="F445" s="49"/>
      <c r="G445" s="49"/>
      <c r="H445" s="49"/>
      <c r="I445" s="49"/>
      <c r="J445" s="49"/>
      <c r="K445" s="49"/>
      <c r="L445" s="49"/>
      <c r="M445" s="49"/>
      <c r="N445" s="49"/>
      <c r="O445" s="421"/>
      <c r="P445" s="421"/>
      <c r="Q445" s="421"/>
      <c r="R445" s="421"/>
      <c r="S445" s="421"/>
      <c r="T445" s="421"/>
      <c r="U445" s="421"/>
      <c r="V445" s="421"/>
      <c r="W445" s="421"/>
      <c r="X445" s="421"/>
      <c r="Y445" s="421"/>
      <c r="Z445" s="421"/>
      <c r="AA445" s="421"/>
      <c r="AB445" s="421"/>
      <c r="AC445" s="421"/>
      <c r="AD445" s="421"/>
      <c r="AE445" s="421"/>
      <c r="AF445" s="421"/>
      <c r="AG445" s="421"/>
      <c r="AH445" s="421"/>
      <c r="AI445" s="421"/>
      <c r="AJ445" s="421"/>
      <c r="AK445" s="421"/>
      <c r="AL445" s="421"/>
      <c r="AM445" s="421"/>
      <c r="AN445" s="421"/>
      <c r="AO445" s="421"/>
      <c r="AP445" s="421"/>
      <c r="AQ445" s="421"/>
      <c r="AR445" s="421"/>
      <c r="AS445" s="421"/>
      <c r="AT445" s="421"/>
      <c r="AU445" s="421"/>
      <c r="AV445" s="421"/>
      <c r="AW445" s="421"/>
      <c r="AX445" s="421"/>
      <c r="AY445" s="421"/>
      <c r="AZ445" s="421"/>
      <c r="BA445" s="421"/>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row>
    <row r="446" spans="2:111" customFormat="1" ht="4.5" customHeight="1">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C446" s="115"/>
      <c r="BD446" s="115"/>
      <c r="BE446" s="115"/>
      <c r="BF446" s="115"/>
      <c r="BG446" s="115"/>
      <c r="BH446" s="124"/>
      <c r="BI446" s="124"/>
      <c r="BJ446" s="124"/>
      <c r="BK446" s="124"/>
      <c r="BL446" s="124"/>
      <c r="BM446" s="124"/>
      <c r="BN446" s="124"/>
      <c r="BO446" s="124"/>
      <c r="BP446" s="124"/>
      <c r="BQ446" s="124"/>
      <c r="BR446" s="124"/>
      <c r="BS446" s="124"/>
      <c r="BT446" s="124"/>
      <c r="BU446" s="124"/>
      <c r="BV446" s="124"/>
      <c r="BW446" s="124"/>
      <c r="BX446" s="124"/>
      <c r="BY446" s="124"/>
      <c r="BZ446" s="124"/>
      <c r="CA446" s="124"/>
      <c r="CB446" s="124"/>
      <c r="CC446" s="124"/>
      <c r="CD446" s="124"/>
      <c r="CE446" s="124"/>
      <c r="CF446" s="124"/>
      <c r="CG446" s="124"/>
      <c r="CH446" s="124"/>
      <c r="CI446" s="124"/>
      <c r="CJ446" s="124"/>
      <c r="CK446" s="124"/>
      <c r="CL446" s="124"/>
      <c r="CM446" s="124"/>
      <c r="CN446" s="124"/>
      <c r="CO446" s="124"/>
      <c r="CP446" s="124"/>
      <c r="CQ446" s="124"/>
      <c r="CR446" s="124"/>
      <c r="CS446" s="124"/>
      <c r="CT446" s="124"/>
      <c r="CU446" s="124"/>
      <c r="CV446" s="124"/>
      <c r="CW446" s="124"/>
      <c r="CX446" s="124"/>
      <c r="CY446" s="124"/>
      <c r="CZ446" s="124"/>
      <c r="DA446" s="124"/>
      <c r="DB446" s="124"/>
      <c r="DC446" s="124"/>
      <c r="DD446" s="124"/>
      <c r="DE446" s="124"/>
      <c r="DF446" s="124"/>
      <c r="DG446" s="115"/>
    </row>
    <row r="447" spans="2:111" customFormat="1" ht="9" customHeight="1">
      <c r="B447" s="493" t="str">
        <f>IF(B436="","","Detalhamento do Objeto:")</f>
        <v>Detalhamento do Objeto:</v>
      </c>
      <c r="C447" s="493"/>
      <c r="D447" s="493"/>
      <c r="E447" s="493"/>
      <c r="F447" s="493"/>
      <c r="G447" s="493"/>
      <c r="H447" s="493"/>
      <c r="I447" s="493"/>
      <c r="J447" s="493"/>
      <c r="K447" s="493"/>
      <c r="L447" s="493"/>
      <c r="M447" s="493"/>
      <c r="N447" s="493"/>
      <c r="O447" s="421" t="s">
        <v>675</v>
      </c>
      <c r="P447" s="421"/>
      <c r="Q447" s="421"/>
      <c r="R447" s="421"/>
      <c r="S447" s="421"/>
      <c r="T447" s="421"/>
      <c r="U447" s="421"/>
      <c r="V447" s="421"/>
      <c r="W447" s="421"/>
      <c r="X447" s="421"/>
      <c r="Y447" s="421"/>
      <c r="Z447" s="421"/>
      <c r="AA447" s="421"/>
      <c r="AB447" s="421"/>
      <c r="AC447" s="421"/>
      <c r="AD447" s="421"/>
      <c r="AE447" s="421"/>
      <c r="AF447" s="421"/>
      <c r="AG447" s="421"/>
      <c r="AH447" s="421"/>
      <c r="AI447" s="421"/>
      <c r="AJ447" s="421"/>
      <c r="AK447" s="421"/>
      <c r="AL447" s="421"/>
      <c r="AM447" s="421"/>
      <c r="AN447" s="421"/>
      <c r="AO447" s="421"/>
      <c r="AP447" s="421"/>
      <c r="AQ447" s="421"/>
      <c r="AR447" s="421"/>
      <c r="AS447" s="421"/>
      <c r="AT447" s="421"/>
      <c r="AU447" s="421"/>
      <c r="AV447" s="421"/>
      <c r="AW447" s="421"/>
      <c r="AX447" s="421"/>
      <c r="AY447" s="421"/>
      <c r="AZ447" s="421"/>
      <c r="BA447" s="421"/>
      <c r="BC447" s="115"/>
      <c r="BD447" s="115"/>
      <c r="BE447" s="115"/>
      <c r="BF447" s="115"/>
      <c r="BG447" s="115"/>
      <c r="BH447" s="124"/>
      <c r="BI447" s="124"/>
      <c r="BJ447" s="124"/>
      <c r="BK447" s="124"/>
      <c r="BL447" s="124"/>
      <c r="BM447" s="124"/>
      <c r="BN447" s="124"/>
      <c r="BO447" s="124"/>
      <c r="BP447" s="124"/>
      <c r="BQ447" s="124"/>
      <c r="BR447" s="124"/>
      <c r="BS447" s="124"/>
      <c r="BT447" s="124"/>
      <c r="BU447" s="124"/>
      <c r="BV447" s="124"/>
      <c r="BW447" s="124"/>
      <c r="BX447" s="124"/>
      <c r="BY447" s="124"/>
      <c r="BZ447" s="124"/>
      <c r="CA447" s="124"/>
      <c r="CB447" s="124"/>
      <c r="CC447" s="124"/>
      <c r="CD447" s="124"/>
      <c r="CE447" s="124"/>
      <c r="CF447" s="124"/>
      <c r="CG447" s="124"/>
      <c r="CH447" s="124"/>
      <c r="CI447" s="124"/>
      <c r="CJ447" s="124"/>
      <c r="CK447" s="124"/>
      <c r="CL447" s="124"/>
      <c r="CM447" s="124"/>
      <c r="CN447" s="124"/>
      <c r="CO447" s="124"/>
      <c r="CP447" s="124"/>
      <c r="CQ447" s="124"/>
      <c r="CR447" s="124"/>
      <c r="CS447" s="124"/>
      <c r="CT447" s="124"/>
      <c r="CU447" s="124"/>
      <c r="CV447" s="124"/>
      <c r="CW447" s="124"/>
      <c r="CX447" s="124"/>
      <c r="CY447" s="124"/>
      <c r="CZ447" s="124"/>
      <c r="DA447" s="124"/>
      <c r="DB447" s="124"/>
      <c r="DC447" s="124"/>
      <c r="DD447" s="124"/>
      <c r="DE447" s="124"/>
      <c r="DF447" s="124"/>
      <c r="DG447" s="115"/>
    </row>
    <row r="448" spans="2:111" customFormat="1" ht="9" customHeight="1">
      <c r="B448" s="493"/>
      <c r="C448" s="493"/>
      <c r="D448" s="493"/>
      <c r="E448" s="493"/>
      <c r="F448" s="493"/>
      <c r="G448" s="493"/>
      <c r="H448" s="493"/>
      <c r="I448" s="493"/>
      <c r="J448" s="493"/>
      <c r="K448" s="493"/>
      <c r="L448" s="493"/>
      <c r="M448" s="493"/>
      <c r="N448" s="493"/>
      <c r="O448" s="421"/>
      <c r="P448" s="421"/>
      <c r="Q448" s="421"/>
      <c r="R448" s="421"/>
      <c r="S448" s="421"/>
      <c r="T448" s="421"/>
      <c r="U448" s="421"/>
      <c r="V448" s="421"/>
      <c r="W448" s="421"/>
      <c r="X448" s="421"/>
      <c r="Y448" s="421"/>
      <c r="Z448" s="421"/>
      <c r="AA448" s="421"/>
      <c r="AB448" s="421"/>
      <c r="AC448" s="421"/>
      <c r="AD448" s="421"/>
      <c r="AE448" s="421"/>
      <c r="AF448" s="421"/>
      <c r="AG448" s="421"/>
      <c r="AH448" s="421"/>
      <c r="AI448" s="421"/>
      <c r="AJ448" s="421"/>
      <c r="AK448" s="421"/>
      <c r="AL448" s="421"/>
      <c r="AM448" s="421"/>
      <c r="AN448" s="421"/>
      <c r="AO448" s="421"/>
      <c r="AP448" s="421"/>
      <c r="AQ448" s="421"/>
      <c r="AR448" s="421"/>
      <c r="AS448" s="421"/>
      <c r="AT448" s="421"/>
      <c r="AU448" s="421"/>
      <c r="AV448" s="421"/>
      <c r="AW448" s="421"/>
      <c r="AX448" s="421"/>
      <c r="AY448" s="421"/>
      <c r="AZ448" s="421"/>
      <c r="BA448" s="421"/>
      <c r="BC448" s="115"/>
      <c r="BD448" s="115"/>
      <c r="BE448" s="115"/>
      <c r="BF448" s="115"/>
      <c r="BG448" s="115"/>
      <c r="BH448" s="124"/>
      <c r="BI448" s="124"/>
      <c r="BJ448" s="124"/>
      <c r="BK448" s="124"/>
      <c r="BL448" s="124"/>
      <c r="BM448" s="124"/>
      <c r="BN448" s="124"/>
      <c r="BO448" s="124"/>
      <c r="BP448" s="124"/>
      <c r="BQ448" s="124"/>
      <c r="BR448" s="124"/>
      <c r="BS448" s="124"/>
      <c r="BT448" s="124"/>
      <c r="BU448" s="124"/>
      <c r="BV448" s="124"/>
      <c r="BW448" s="124"/>
      <c r="BX448" s="124"/>
      <c r="BY448" s="124"/>
      <c r="BZ448" s="124"/>
      <c r="CA448" s="124"/>
      <c r="CB448" s="124"/>
      <c r="CC448" s="124"/>
      <c r="CD448" s="124"/>
      <c r="CE448" s="124"/>
      <c r="CF448" s="124"/>
      <c r="CG448" s="124"/>
      <c r="CH448" s="124"/>
      <c r="CI448" s="124"/>
      <c r="CJ448" s="124"/>
      <c r="CK448" s="124"/>
      <c r="CL448" s="124"/>
      <c r="CM448" s="124"/>
      <c r="CN448" s="124"/>
      <c r="CO448" s="124"/>
      <c r="CP448" s="124"/>
      <c r="CQ448" s="124"/>
      <c r="CR448" s="124"/>
      <c r="CS448" s="124"/>
      <c r="CT448" s="124"/>
      <c r="CU448" s="124"/>
      <c r="CV448" s="124"/>
      <c r="CW448" s="124"/>
      <c r="CX448" s="124"/>
      <c r="CY448" s="124"/>
      <c r="CZ448" s="124"/>
      <c r="DA448" s="124"/>
      <c r="DB448" s="124"/>
      <c r="DC448" s="124"/>
      <c r="DD448" s="124"/>
      <c r="DE448" s="124"/>
      <c r="DF448" s="124"/>
      <c r="DG448" s="115"/>
    </row>
    <row r="449" spans="2:111" customFormat="1" ht="9" customHeight="1">
      <c r="B449" s="143"/>
      <c r="C449" s="143"/>
      <c r="D449" s="143"/>
      <c r="E449" s="143"/>
      <c r="F449" s="143"/>
      <c r="G449" s="143"/>
      <c r="H449" s="143"/>
      <c r="I449" s="143"/>
      <c r="J449" s="143"/>
      <c r="K449" s="143"/>
      <c r="L449" s="143"/>
      <c r="M449" s="143"/>
      <c r="N449" s="143"/>
      <c r="O449" s="421"/>
      <c r="P449" s="421"/>
      <c r="Q449" s="421"/>
      <c r="R449" s="421"/>
      <c r="S449" s="421"/>
      <c r="T449" s="421"/>
      <c r="U449" s="421"/>
      <c r="V449" s="421"/>
      <c r="W449" s="421"/>
      <c r="X449" s="421"/>
      <c r="Y449" s="421"/>
      <c r="Z449" s="421"/>
      <c r="AA449" s="421"/>
      <c r="AB449" s="421"/>
      <c r="AC449" s="421"/>
      <c r="AD449" s="421"/>
      <c r="AE449" s="421"/>
      <c r="AF449" s="421"/>
      <c r="AG449" s="421"/>
      <c r="AH449" s="421"/>
      <c r="AI449" s="421"/>
      <c r="AJ449" s="421"/>
      <c r="AK449" s="421"/>
      <c r="AL449" s="421"/>
      <c r="AM449" s="421"/>
      <c r="AN449" s="421"/>
      <c r="AO449" s="421"/>
      <c r="AP449" s="421"/>
      <c r="AQ449" s="421"/>
      <c r="AR449" s="421"/>
      <c r="AS449" s="421"/>
      <c r="AT449" s="421"/>
      <c r="AU449" s="421"/>
      <c r="AV449" s="421"/>
      <c r="AW449" s="421"/>
      <c r="AX449" s="421"/>
      <c r="AY449" s="421"/>
      <c r="AZ449" s="421"/>
      <c r="BA449" s="421"/>
      <c r="BC449" s="115"/>
      <c r="BD449" s="115"/>
      <c r="BE449" s="115"/>
      <c r="BF449" s="115"/>
      <c r="BG449" s="115"/>
      <c r="BH449" s="84"/>
      <c r="BI449" s="84"/>
      <c r="BJ449" s="84"/>
      <c r="BK449" s="84"/>
      <c r="BL449" s="84"/>
      <c r="BM449" s="84"/>
      <c r="BN449" s="84"/>
      <c r="BO449" s="84"/>
      <c r="BP449" s="84"/>
      <c r="BQ449" s="84"/>
      <c r="BR449" s="84"/>
      <c r="BS449" s="84"/>
      <c r="BT449" s="84"/>
      <c r="BU449" s="84"/>
      <c r="BV449" s="84"/>
      <c r="BW449" s="84"/>
      <c r="BX449" s="84"/>
      <c r="BY449" s="84"/>
      <c r="BZ449" s="84"/>
      <c r="CA449" s="84"/>
      <c r="CB449" s="84"/>
      <c r="CC449" s="84"/>
      <c r="CD449" s="84"/>
      <c r="CE449" s="84"/>
      <c r="CF449" s="84"/>
      <c r="CG449" s="84"/>
      <c r="CH449" s="84"/>
      <c r="CI449" s="84"/>
      <c r="CJ449" s="84"/>
      <c r="CK449" s="84"/>
      <c r="CL449" s="84"/>
      <c r="CM449" s="84"/>
      <c r="CN449" s="84"/>
      <c r="CO449" s="84"/>
      <c r="CP449" s="84"/>
      <c r="CQ449" s="84"/>
      <c r="CR449" s="84"/>
      <c r="CS449" s="84"/>
      <c r="CT449" s="84"/>
      <c r="CU449" s="84"/>
      <c r="CV449" s="84"/>
      <c r="CW449" s="84"/>
      <c r="CX449" s="84"/>
      <c r="CY449" s="84"/>
      <c r="CZ449" s="84"/>
      <c r="DA449" s="84"/>
      <c r="DB449" s="84"/>
      <c r="DC449" s="84"/>
      <c r="DD449" s="84"/>
      <c r="DE449" s="84"/>
      <c r="DF449" s="84"/>
      <c r="DG449" s="115"/>
    </row>
    <row r="450" spans="2:111" customFormat="1" ht="9" customHeight="1">
      <c r="B450" s="143"/>
      <c r="C450" s="143"/>
      <c r="D450" s="143"/>
      <c r="E450" s="143"/>
      <c r="F450" s="143"/>
      <c r="G450" s="143"/>
      <c r="H450" s="143"/>
      <c r="I450" s="143"/>
      <c r="J450" s="143"/>
      <c r="K450" s="143"/>
      <c r="L450" s="143"/>
      <c r="M450" s="143"/>
      <c r="N450" s="143"/>
      <c r="O450" s="421"/>
      <c r="P450" s="421"/>
      <c r="Q450" s="421"/>
      <c r="R450" s="421"/>
      <c r="S450" s="421"/>
      <c r="T450" s="421"/>
      <c r="U450" s="421"/>
      <c r="V450" s="421"/>
      <c r="W450" s="421"/>
      <c r="X450" s="421"/>
      <c r="Y450" s="421"/>
      <c r="Z450" s="421"/>
      <c r="AA450" s="421"/>
      <c r="AB450" s="421"/>
      <c r="AC450" s="421"/>
      <c r="AD450" s="421"/>
      <c r="AE450" s="421"/>
      <c r="AF450" s="421"/>
      <c r="AG450" s="421"/>
      <c r="AH450" s="421"/>
      <c r="AI450" s="421"/>
      <c r="AJ450" s="421"/>
      <c r="AK450" s="421"/>
      <c r="AL450" s="421"/>
      <c r="AM450" s="421"/>
      <c r="AN450" s="421"/>
      <c r="AO450" s="421"/>
      <c r="AP450" s="421"/>
      <c r="AQ450" s="421"/>
      <c r="AR450" s="421"/>
      <c r="AS450" s="421"/>
      <c r="AT450" s="421"/>
      <c r="AU450" s="421"/>
      <c r="AV450" s="421"/>
      <c r="AW450" s="421"/>
      <c r="AX450" s="421"/>
      <c r="AY450" s="421"/>
      <c r="AZ450" s="421"/>
      <c r="BA450" s="421"/>
      <c r="BC450" s="115"/>
      <c r="BD450" s="115"/>
      <c r="BE450" s="115"/>
      <c r="BF450" s="115"/>
      <c r="BG450" s="115"/>
      <c r="BH450" s="84"/>
      <c r="BI450" s="84"/>
      <c r="BJ450" s="84"/>
      <c r="BK450" s="84"/>
      <c r="BL450" s="84"/>
      <c r="BM450" s="84"/>
      <c r="BN450" s="84"/>
      <c r="BO450" s="84"/>
      <c r="BP450" s="84"/>
      <c r="BQ450" s="84"/>
      <c r="BR450" s="84"/>
      <c r="BS450" s="84"/>
      <c r="BT450" s="84"/>
      <c r="BU450" s="84"/>
      <c r="BV450" s="84"/>
      <c r="BW450" s="84"/>
      <c r="BX450" s="84"/>
      <c r="BY450" s="84"/>
      <c r="BZ450" s="84"/>
      <c r="CA450" s="84"/>
      <c r="CB450" s="84"/>
      <c r="CC450" s="84"/>
      <c r="CD450" s="84"/>
      <c r="CE450" s="84"/>
      <c r="CF450" s="84"/>
      <c r="CG450" s="84"/>
      <c r="CH450" s="84"/>
      <c r="CI450" s="84"/>
      <c r="CJ450" s="84"/>
      <c r="CK450" s="84"/>
      <c r="CL450" s="84"/>
      <c r="CM450" s="84"/>
      <c r="CN450" s="84"/>
      <c r="CO450" s="84"/>
      <c r="CP450" s="84"/>
      <c r="CQ450" s="84"/>
      <c r="CR450" s="84"/>
      <c r="CS450" s="84"/>
      <c r="CT450" s="84"/>
      <c r="CU450" s="84"/>
      <c r="CV450" s="84"/>
      <c r="CW450" s="84"/>
      <c r="CX450" s="84"/>
      <c r="CY450" s="84"/>
      <c r="CZ450" s="84"/>
      <c r="DA450" s="84"/>
      <c r="DB450" s="84"/>
      <c r="DC450" s="84"/>
      <c r="DD450" s="84"/>
      <c r="DE450" s="84"/>
      <c r="DF450" s="84"/>
      <c r="DG450" s="115"/>
    </row>
    <row r="451" spans="2:111" customFormat="1" ht="9" customHeight="1">
      <c r="B451" s="143"/>
      <c r="C451" s="143"/>
      <c r="D451" s="143"/>
      <c r="E451" s="143"/>
      <c r="F451" s="143"/>
      <c r="G451" s="143"/>
      <c r="H451" s="143"/>
      <c r="I451" s="143"/>
      <c r="J451" s="143"/>
      <c r="K451" s="143"/>
      <c r="L451" s="143"/>
      <c r="M451" s="143"/>
      <c r="N451" s="143"/>
      <c r="O451" s="421"/>
      <c r="P451" s="421"/>
      <c r="Q451" s="421"/>
      <c r="R451" s="421"/>
      <c r="S451" s="421"/>
      <c r="T451" s="421"/>
      <c r="U451" s="421"/>
      <c r="V451" s="421"/>
      <c r="W451" s="421"/>
      <c r="X451" s="421"/>
      <c r="Y451" s="421"/>
      <c r="Z451" s="421"/>
      <c r="AA451" s="421"/>
      <c r="AB451" s="421"/>
      <c r="AC451" s="421"/>
      <c r="AD451" s="421"/>
      <c r="AE451" s="421"/>
      <c r="AF451" s="421"/>
      <c r="AG451" s="421"/>
      <c r="AH451" s="421"/>
      <c r="AI451" s="421"/>
      <c r="AJ451" s="421"/>
      <c r="AK451" s="421"/>
      <c r="AL451" s="421"/>
      <c r="AM451" s="421"/>
      <c r="AN451" s="421"/>
      <c r="AO451" s="421"/>
      <c r="AP451" s="421"/>
      <c r="AQ451" s="421"/>
      <c r="AR451" s="421"/>
      <c r="AS451" s="421"/>
      <c r="AT451" s="421"/>
      <c r="AU451" s="421"/>
      <c r="AV451" s="421"/>
      <c r="AW451" s="421"/>
      <c r="AX451" s="421"/>
      <c r="AY451" s="421"/>
      <c r="AZ451" s="421"/>
      <c r="BA451" s="421"/>
      <c r="BC451" s="115"/>
      <c r="BD451" s="115"/>
      <c r="BE451" s="115"/>
      <c r="BF451" s="115"/>
      <c r="BG451" s="115"/>
      <c r="BH451" s="84"/>
      <c r="BI451" s="84"/>
      <c r="BJ451" s="84"/>
      <c r="BK451" s="84"/>
      <c r="BL451" s="84"/>
      <c r="BM451" s="84"/>
      <c r="BN451" s="84"/>
      <c r="BO451" s="84"/>
      <c r="BP451" s="84"/>
      <c r="BQ451" s="84"/>
      <c r="BR451" s="84"/>
      <c r="BS451" s="84"/>
      <c r="BT451" s="84"/>
      <c r="BU451" s="84"/>
      <c r="BV451" s="84"/>
      <c r="BW451" s="84"/>
      <c r="BX451" s="84"/>
      <c r="BY451" s="84"/>
      <c r="BZ451" s="84"/>
      <c r="CA451" s="84"/>
      <c r="CB451" s="84"/>
      <c r="CC451" s="84"/>
      <c r="CD451" s="84"/>
      <c r="CE451" s="84"/>
      <c r="CF451" s="84"/>
      <c r="CG451" s="84"/>
      <c r="CH451" s="84"/>
      <c r="CI451" s="84"/>
      <c r="CJ451" s="84"/>
      <c r="CK451" s="84"/>
      <c r="CL451" s="84"/>
      <c r="CM451" s="84"/>
      <c r="CN451" s="84"/>
      <c r="CO451" s="84"/>
      <c r="CP451" s="84"/>
      <c r="CQ451" s="84"/>
      <c r="CR451" s="84"/>
      <c r="CS451" s="84"/>
      <c r="CT451" s="84"/>
      <c r="CU451" s="84"/>
      <c r="CV451" s="84"/>
      <c r="CW451" s="84"/>
      <c r="CX451" s="84"/>
      <c r="CY451" s="84"/>
      <c r="CZ451" s="84"/>
      <c r="DA451" s="84"/>
      <c r="DB451" s="84"/>
      <c r="DC451" s="84"/>
      <c r="DD451" s="84"/>
      <c r="DE451" s="84"/>
      <c r="DF451" s="84"/>
      <c r="DG451" s="115"/>
    </row>
    <row r="452" spans="2:111" customFormat="1" ht="9" customHeight="1">
      <c r="B452" s="143"/>
      <c r="C452" s="143"/>
      <c r="D452" s="143"/>
      <c r="E452" s="143"/>
      <c r="F452" s="143"/>
      <c r="G452" s="143"/>
      <c r="H452" s="143"/>
      <c r="I452" s="143"/>
      <c r="J452" s="143"/>
      <c r="K452" s="143"/>
      <c r="L452" s="143"/>
      <c r="M452" s="143"/>
      <c r="N452" s="143"/>
      <c r="O452" s="421"/>
      <c r="P452" s="421"/>
      <c r="Q452" s="421"/>
      <c r="R452" s="421"/>
      <c r="S452" s="421"/>
      <c r="T452" s="421"/>
      <c r="U452" s="421"/>
      <c r="V452" s="421"/>
      <c r="W452" s="421"/>
      <c r="X452" s="421"/>
      <c r="Y452" s="421"/>
      <c r="Z452" s="421"/>
      <c r="AA452" s="421"/>
      <c r="AB452" s="421"/>
      <c r="AC452" s="421"/>
      <c r="AD452" s="421"/>
      <c r="AE452" s="421"/>
      <c r="AF452" s="421"/>
      <c r="AG452" s="421"/>
      <c r="AH452" s="421"/>
      <c r="AI452" s="421"/>
      <c r="AJ452" s="421"/>
      <c r="AK452" s="421"/>
      <c r="AL452" s="421"/>
      <c r="AM452" s="421"/>
      <c r="AN452" s="421"/>
      <c r="AO452" s="421"/>
      <c r="AP452" s="421"/>
      <c r="AQ452" s="421"/>
      <c r="AR452" s="421"/>
      <c r="AS452" s="421"/>
      <c r="AT452" s="421"/>
      <c r="AU452" s="421"/>
      <c r="AV452" s="421"/>
      <c r="AW452" s="421"/>
      <c r="AX452" s="421"/>
      <c r="AY452" s="421"/>
      <c r="AZ452" s="421"/>
      <c r="BA452" s="421"/>
      <c r="BC452" s="115"/>
      <c r="BD452" s="115"/>
      <c r="BE452" s="115"/>
      <c r="BF452" s="115"/>
      <c r="BG452" s="115"/>
      <c r="BH452" s="84"/>
      <c r="BI452" s="84"/>
      <c r="BJ452" s="84"/>
      <c r="BK452" s="84"/>
      <c r="BL452" s="84"/>
      <c r="BM452" s="84"/>
      <c r="BN452" s="84"/>
      <c r="BO452" s="84"/>
      <c r="BP452" s="84"/>
      <c r="BQ452" s="84"/>
      <c r="BR452" s="84"/>
      <c r="BS452" s="84"/>
      <c r="BT452" s="84"/>
      <c r="BU452" s="84"/>
      <c r="BV452" s="84"/>
      <c r="BW452" s="84"/>
      <c r="BX452" s="84"/>
      <c r="BY452" s="84"/>
      <c r="BZ452" s="84"/>
      <c r="CA452" s="84"/>
      <c r="CB452" s="84"/>
      <c r="CC452" s="84"/>
      <c r="CD452" s="84"/>
      <c r="CE452" s="84"/>
      <c r="CF452" s="84"/>
      <c r="CG452" s="84"/>
      <c r="CH452" s="84"/>
      <c r="CI452" s="84"/>
      <c r="CJ452" s="84"/>
      <c r="CK452" s="84"/>
      <c r="CL452" s="84"/>
      <c r="CM452" s="84"/>
      <c r="CN452" s="84"/>
      <c r="CO452" s="84"/>
      <c r="CP452" s="84"/>
      <c r="CQ452" s="84"/>
      <c r="CR452" s="84"/>
      <c r="CS452" s="84"/>
      <c r="CT452" s="84"/>
      <c r="CU452" s="84"/>
      <c r="CV452" s="84"/>
      <c r="CW452" s="84"/>
      <c r="CX452" s="84"/>
      <c r="CY452" s="84"/>
      <c r="CZ452" s="84"/>
      <c r="DA452" s="84"/>
      <c r="DB452" s="84"/>
      <c r="DC452" s="84"/>
      <c r="DD452" s="84"/>
      <c r="DE452" s="84"/>
      <c r="DF452" s="84"/>
      <c r="DG452" s="115"/>
    </row>
    <row r="453" spans="2:111" customFormat="1" ht="9" customHeight="1">
      <c r="B453" s="143"/>
      <c r="C453" s="143"/>
      <c r="D453" s="143"/>
      <c r="E453" s="143"/>
      <c r="F453" s="143"/>
      <c r="G453" s="143"/>
      <c r="H453" s="143"/>
      <c r="I453" s="143"/>
      <c r="J453" s="143"/>
      <c r="K453" s="143"/>
      <c r="L453" s="143"/>
      <c r="M453" s="143"/>
      <c r="N453" s="143"/>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1"/>
      <c r="AM453" s="421"/>
      <c r="AN453" s="421"/>
      <c r="AO453" s="421"/>
      <c r="AP453" s="421"/>
      <c r="AQ453" s="421"/>
      <c r="AR453" s="421"/>
      <c r="AS453" s="421"/>
      <c r="AT453" s="421"/>
      <c r="AU453" s="421"/>
      <c r="AV453" s="421"/>
      <c r="AW453" s="421"/>
      <c r="AX453" s="421"/>
      <c r="AY453" s="421"/>
      <c r="AZ453" s="421"/>
      <c r="BA453" s="421"/>
      <c r="BC453" s="115"/>
      <c r="BD453" s="115"/>
      <c r="BE453" s="115"/>
      <c r="BF453" s="115"/>
      <c r="BG453" s="115"/>
      <c r="BH453" s="84"/>
      <c r="BI453" s="84"/>
      <c r="BJ453" s="84"/>
      <c r="BK453" s="84"/>
      <c r="BL453" s="84"/>
      <c r="BM453" s="84"/>
      <c r="BN453" s="84"/>
      <c r="BO453" s="84"/>
      <c r="BP453" s="84"/>
      <c r="BQ453" s="84"/>
      <c r="BR453" s="84"/>
      <c r="BS453" s="84"/>
      <c r="BT453" s="84"/>
      <c r="BU453" s="84"/>
      <c r="BV453" s="84"/>
      <c r="BW453" s="84"/>
      <c r="BX453" s="84"/>
      <c r="BY453" s="84"/>
      <c r="BZ453" s="84"/>
      <c r="CA453" s="84"/>
      <c r="CB453" s="84"/>
      <c r="CC453" s="84"/>
      <c r="CD453" s="84"/>
      <c r="CE453" s="84"/>
      <c r="CF453" s="84"/>
      <c r="CG453" s="84"/>
      <c r="CH453" s="84"/>
      <c r="CI453" s="84"/>
      <c r="CJ453" s="84"/>
      <c r="CK453" s="84"/>
      <c r="CL453" s="84"/>
      <c r="CM453" s="84"/>
      <c r="CN453" s="84"/>
      <c r="CO453" s="84"/>
      <c r="CP453" s="84"/>
      <c r="CQ453" s="84"/>
      <c r="CR453" s="84"/>
      <c r="CS453" s="84"/>
      <c r="CT453" s="84"/>
      <c r="CU453" s="84"/>
      <c r="CV453" s="84"/>
      <c r="CW453" s="84"/>
      <c r="CX453" s="84"/>
      <c r="CY453" s="84"/>
      <c r="CZ453" s="84"/>
      <c r="DA453" s="84"/>
      <c r="DB453" s="84"/>
      <c r="DC453" s="84"/>
      <c r="DD453" s="84"/>
      <c r="DE453" s="84"/>
      <c r="DF453" s="84"/>
      <c r="DG453" s="115"/>
    </row>
    <row r="454" spans="2:111" customFormat="1" ht="9" customHeight="1">
      <c r="B454" s="49"/>
      <c r="C454" s="49"/>
      <c r="D454" s="49"/>
      <c r="E454" s="49"/>
      <c r="F454" s="49"/>
      <c r="G454" s="49"/>
      <c r="H454" s="49"/>
      <c r="I454" s="49"/>
      <c r="J454" s="49"/>
      <c r="K454" s="49"/>
      <c r="L454" s="49"/>
      <c r="M454" s="49"/>
      <c r="N454" s="49"/>
      <c r="O454" s="421"/>
      <c r="P454" s="421"/>
      <c r="Q454" s="421"/>
      <c r="R454" s="421"/>
      <c r="S454" s="421"/>
      <c r="T454" s="421"/>
      <c r="U454" s="421"/>
      <c r="V454" s="421"/>
      <c r="W454" s="421"/>
      <c r="X454" s="421"/>
      <c r="Y454" s="421"/>
      <c r="Z454" s="421"/>
      <c r="AA454" s="421"/>
      <c r="AB454" s="421"/>
      <c r="AC454" s="421"/>
      <c r="AD454" s="421"/>
      <c r="AE454" s="421"/>
      <c r="AF454" s="421"/>
      <c r="AG454" s="421"/>
      <c r="AH454" s="421"/>
      <c r="AI454" s="421"/>
      <c r="AJ454" s="421"/>
      <c r="AK454" s="421"/>
      <c r="AL454" s="421"/>
      <c r="AM454" s="421"/>
      <c r="AN454" s="421"/>
      <c r="AO454" s="421"/>
      <c r="AP454" s="421"/>
      <c r="AQ454" s="421"/>
      <c r="AR454" s="421"/>
      <c r="AS454" s="421"/>
      <c r="AT454" s="421"/>
      <c r="AU454" s="421"/>
      <c r="AV454" s="421"/>
      <c r="AW454" s="421"/>
      <c r="AX454" s="421"/>
      <c r="AY454" s="421"/>
      <c r="AZ454" s="421"/>
      <c r="BA454" s="421"/>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row>
    <row r="455" spans="2:111" customFormat="1" ht="4.5" customHeight="1">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C455" s="115"/>
      <c r="BD455" s="115"/>
      <c r="BE455" s="115"/>
      <c r="BF455" s="115"/>
      <c r="BG455" s="115"/>
      <c r="BH455" s="124"/>
      <c r="BI455" s="124"/>
      <c r="BJ455" s="124"/>
      <c r="BK455" s="124"/>
      <c r="BL455" s="124"/>
      <c r="BM455" s="124"/>
      <c r="BN455" s="124"/>
      <c r="BO455" s="124"/>
      <c r="BP455" s="124"/>
      <c r="BQ455" s="124"/>
      <c r="BR455" s="124"/>
      <c r="BS455" s="124"/>
      <c r="BT455" s="124"/>
      <c r="BU455" s="124"/>
      <c r="BV455" s="124"/>
      <c r="BW455" s="124"/>
      <c r="BX455" s="124"/>
      <c r="BY455" s="124"/>
      <c r="BZ455" s="124"/>
      <c r="CA455" s="124"/>
      <c r="CB455" s="124"/>
      <c r="CC455" s="124"/>
      <c r="CD455" s="124"/>
      <c r="CE455" s="124"/>
      <c r="CF455" s="124"/>
      <c r="CG455" s="124"/>
      <c r="CH455" s="124"/>
      <c r="CI455" s="124"/>
      <c r="CJ455" s="124"/>
      <c r="CK455" s="124"/>
      <c r="CL455" s="124"/>
      <c r="CM455" s="124"/>
      <c r="CN455" s="124"/>
      <c r="CO455" s="124"/>
      <c r="CP455" s="124"/>
      <c r="CQ455" s="124"/>
      <c r="CR455" s="124"/>
      <c r="CS455" s="124"/>
      <c r="CT455" s="124"/>
      <c r="CU455" s="124"/>
      <c r="CV455" s="124"/>
      <c r="CW455" s="124"/>
      <c r="CX455" s="124"/>
      <c r="CY455" s="124"/>
      <c r="CZ455" s="124"/>
      <c r="DA455" s="124"/>
      <c r="DB455" s="124"/>
      <c r="DC455" s="124"/>
      <c r="DD455" s="124"/>
      <c r="DE455" s="124"/>
      <c r="DF455" s="124"/>
      <c r="DG455" s="115"/>
    </row>
    <row r="456" spans="2:111" customFormat="1" ht="9" customHeight="1">
      <c r="B456" s="493" t="str">
        <f>IF(B436="","","Justificativa:")</f>
        <v>Justificativa:</v>
      </c>
      <c r="C456" s="493"/>
      <c r="D456" s="493"/>
      <c r="E456" s="493"/>
      <c r="F456" s="493"/>
      <c r="G456" s="493"/>
      <c r="H456" s="493"/>
      <c r="I456" s="493"/>
      <c r="J456" s="493"/>
      <c r="K456" s="493"/>
      <c r="L456" s="493"/>
      <c r="M456" s="493"/>
      <c r="N456" s="493"/>
      <c r="O456" s="421" t="s">
        <v>685</v>
      </c>
      <c r="P456" s="421"/>
      <c r="Q456" s="421"/>
      <c r="R456" s="421"/>
      <c r="S456" s="421"/>
      <c r="T456" s="421"/>
      <c r="U456" s="421"/>
      <c r="V456" s="421"/>
      <c r="W456" s="421"/>
      <c r="X456" s="421"/>
      <c r="Y456" s="421"/>
      <c r="Z456" s="421"/>
      <c r="AA456" s="421"/>
      <c r="AB456" s="421"/>
      <c r="AC456" s="421"/>
      <c r="AD456" s="421"/>
      <c r="AE456" s="421"/>
      <c r="AF456" s="421"/>
      <c r="AG456" s="421"/>
      <c r="AH456" s="421"/>
      <c r="AI456" s="421"/>
      <c r="AJ456" s="421"/>
      <c r="AK456" s="421"/>
      <c r="AL456" s="421"/>
      <c r="AM456" s="421"/>
      <c r="AN456" s="421"/>
      <c r="AO456" s="421"/>
      <c r="AP456" s="421"/>
      <c r="AQ456" s="421"/>
      <c r="AR456" s="421"/>
      <c r="AS456" s="421"/>
      <c r="AT456" s="421"/>
      <c r="AU456" s="421"/>
      <c r="AV456" s="421"/>
      <c r="AW456" s="421"/>
      <c r="AX456" s="421"/>
      <c r="AY456" s="421"/>
      <c r="AZ456" s="421"/>
      <c r="BA456" s="421"/>
      <c r="BC456" s="115"/>
      <c r="BD456" s="115"/>
      <c r="BE456" s="115"/>
      <c r="BF456" s="115"/>
      <c r="BG456" s="115"/>
      <c r="BH456" s="124"/>
      <c r="BI456" s="124"/>
      <c r="BJ456" s="124"/>
      <c r="BK456" s="124"/>
      <c r="BL456" s="124"/>
      <c r="BM456" s="124"/>
      <c r="BN456" s="124"/>
      <c r="BO456" s="124"/>
      <c r="BP456" s="124"/>
      <c r="BQ456" s="124"/>
      <c r="BR456" s="124"/>
      <c r="BS456" s="124"/>
      <c r="BT456" s="124"/>
      <c r="BU456" s="124"/>
      <c r="BV456" s="124"/>
      <c r="BW456" s="124"/>
      <c r="BX456" s="124"/>
      <c r="BY456" s="124"/>
      <c r="BZ456" s="124"/>
      <c r="CA456" s="124"/>
      <c r="CB456" s="124"/>
      <c r="CC456" s="124"/>
      <c r="CD456" s="124"/>
      <c r="CE456" s="124"/>
      <c r="CF456" s="124"/>
      <c r="CG456" s="124"/>
      <c r="CH456" s="124"/>
      <c r="CI456" s="124"/>
      <c r="CJ456" s="124"/>
      <c r="CK456" s="124"/>
      <c r="CL456" s="124"/>
      <c r="CM456" s="124"/>
      <c r="CN456" s="124"/>
      <c r="CO456" s="124"/>
      <c r="CP456" s="124"/>
      <c r="CQ456" s="124"/>
      <c r="CR456" s="124"/>
      <c r="CS456" s="124"/>
      <c r="CT456" s="124"/>
      <c r="CU456" s="124"/>
      <c r="CV456" s="124"/>
      <c r="CW456" s="124"/>
      <c r="CX456" s="124"/>
      <c r="CY456" s="124"/>
      <c r="CZ456" s="124"/>
      <c r="DA456" s="124"/>
      <c r="DB456" s="124"/>
      <c r="DC456" s="124"/>
      <c r="DD456" s="124"/>
      <c r="DE456" s="124"/>
      <c r="DF456" s="124"/>
      <c r="DG456" s="115"/>
    </row>
    <row r="457" spans="2:111" customFormat="1" ht="9" customHeight="1">
      <c r="B457" s="493"/>
      <c r="C457" s="493"/>
      <c r="D457" s="493"/>
      <c r="E457" s="493"/>
      <c r="F457" s="493"/>
      <c r="G457" s="493"/>
      <c r="H457" s="493"/>
      <c r="I457" s="493"/>
      <c r="J457" s="493"/>
      <c r="K457" s="493"/>
      <c r="L457" s="493"/>
      <c r="M457" s="493"/>
      <c r="N457" s="493"/>
      <c r="O457" s="421"/>
      <c r="P457" s="421"/>
      <c r="Q457" s="421"/>
      <c r="R457" s="421"/>
      <c r="S457" s="421"/>
      <c r="T457" s="421"/>
      <c r="U457" s="421"/>
      <c r="V457" s="421"/>
      <c r="W457" s="421"/>
      <c r="X457" s="421"/>
      <c r="Y457" s="421"/>
      <c r="Z457" s="421"/>
      <c r="AA457" s="421"/>
      <c r="AB457" s="421"/>
      <c r="AC457" s="421"/>
      <c r="AD457" s="421"/>
      <c r="AE457" s="421"/>
      <c r="AF457" s="421"/>
      <c r="AG457" s="421"/>
      <c r="AH457" s="421"/>
      <c r="AI457" s="421"/>
      <c r="AJ457" s="421"/>
      <c r="AK457" s="421"/>
      <c r="AL457" s="421"/>
      <c r="AM457" s="421"/>
      <c r="AN457" s="421"/>
      <c r="AO457" s="421"/>
      <c r="AP457" s="421"/>
      <c r="AQ457" s="421"/>
      <c r="AR457" s="421"/>
      <c r="AS457" s="421"/>
      <c r="AT457" s="421"/>
      <c r="AU457" s="421"/>
      <c r="AV457" s="421"/>
      <c r="AW457" s="421"/>
      <c r="AX457" s="421"/>
      <c r="AY457" s="421"/>
      <c r="AZ457" s="421"/>
      <c r="BA457" s="421"/>
      <c r="BC457" s="115"/>
      <c r="BD457" s="115"/>
      <c r="BE457" s="115"/>
      <c r="BF457" s="115"/>
      <c r="BG457" s="115"/>
      <c r="BH457" s="124"/>
      <c r="BI457" s="124"/>
      <c r="BJ457" s="124"/>
      <c r="BK457" s="124"/>
      <c r="BL457" s="124"/>
      <c r="BM457" s="124"/>
      <c r="BN457" s="12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4"/>
      <c r="CU457" s="124"/>
      <c r="CV457" s="124"/>
      <c r="CW457" s="124"/>
      <c r="CX457" s="124"/>
      <c r="CY457" s="124"/>
      <c r="CZ457" s="124"/>
      <c r="DA457" s="124"/>
      <c r="DB457" s="124"/>
      <c r="DC457" s="124"/>
      <c r="DD457" s="124"/>
      <c r="DE457" s="124"/>
      <c r="DF457" s="124"/>
      <c r="DG457" s="115"/>
    </row>
    <row r="458" spans="2:111" customFormat="1" ht="9" customHeight="1">
      <c r="B458" s="143"/>
      <c r="C458" s="143"/>
      <c r="D458" s="143"/>
      <c r="E458" s="143"/>
      <c r="F458" s="143"/>
      <c r="G458" s="143"/>
      <c r="H458" s="143"/>
      <c r="I458" s="143"/>
      <c r="J458" s="143"/>
      <c r="K458" s="143"/>
      <c r="L458" s="143"/>
      <c r="M458" s="143"/>
      <c r="N458" s="143"/>
      <c r="O458" s="421"/>
      <c r="P458" s="421"/>
      <c r="Q458" s="421"/>
      <c r="R458" s="421"/>
      <c r="S458" s="421"/>
      <c r="T458" s="421"/>
      <c r="U458" s="421"/>
      <c r="V458" s="421"/>
      <c r="W458" s="421"/>
      <c r="X458" s="421"/>
      <c r="Y458" s="421"/>
      <c r="Z458" s="421"/>
      <c r="AA458" s="421"/>
      <c r="AB458" s="421"/>
      <c r="AC458" s="421"/>
      <c r="AD458" s="421"/>
      <c r="AE458" s="421"/>
      <c r="AF458" s="421"/>
      <c r="AG458" s="421"/>
      <c r="AH458" s="421"/>
      <c r="AI458" s="421"/>
      <c r="AJ458" s="421"/>
      <c r="AK458" s="421"/>
      <c r="AL458" s="421"/>
      <c r="AM458" s="421"/>
      <c r="AN458" s="421"/>
      <c r="AO458" s="421"/>
      <c r="AP458" s="421"/>
      <c r="AQ458" s="421"/>
      <c r="AR458" s="421"/>
      <c r="AS458" s="421"/>
      <c r="AT458" s="421"/>
      <c r="AU458" s="421"/>
      <c r="AV458" s="421"/>
      <c r="AW458" s="421"/>
      <c r="AX458" s="421"/>
      <c r="AY458" s="421"/>
      <c r="AZ458" s="421"/>
      <c r="BA458" s="421"/>
      <c r="BC458" s="115"/>
      <c r="BD458" s="115"/>
      <c r="BE458" s="115"/>
      <c r="BF458" s="115"/>
      <c r="BG458" s="115"/>
      <c r="BH458" s="124"/>
      <c r="BI458" s="124"/>
      <c r="BJ458" s="124"/>
      <c r="BK458" s="124"/>
      <c r="BL458" s="124"/>
      <c r="BM458" s="124"/>
      <c r="BN458" s="124"/>
      <c r="BO458" s="124"/>
      <c r="BP458" s="124"/>
      <c r="BQ458" s="124"/>
      <c r="BR458" s="124"/>
      <c r="BS458" s="124"/>
      <c r="BT458" s="124"/>
      <c r="BU458" s="124"/>
      <c r="BV458" s="124"/>
      <c r="BW458" s="124"/>
      <c r="BX458" s="124"/>
      <c r="BY458" s="124"/>
      <c r="BZ458" s="124"/>
      <c r="CA458" s="124"/>
      <c r="CB458" s="124"/>
      <c r="CC458" s="124"/>
      <c r="CD458" s="124"/>
      <c r="CE458" s="124"/>
      <c r="CF458" s="124"/>
      <c r="CG458" s="124"/>
      <c r="CH458" s="124"/>
      <c r="CI458" s="124"/>
      <c r="CJ458" s="124"/>
      <c r="CK458" s="124"/>
      <c r="CL458" s="124"/>
      <c r="CM458" s="124"/>
      <c r="CN458" s="124"/>
      <c r="CO458" s="124"/>
      <c r="CP458" s="124"/>
      <c r="CQ458" s="124"/>
      <c r="CR458" s="124"/>
      <c r="CS458" s="124"/>
      <c r="CT458" s="124"/>
      <c r="CU458" s="124"/>
      <c r="CV458" s="124"/>
      <c r="CW458" s="124"/>
      <c r="CX458" s="124"/>
      <c r="CY458" s="124"/>
      <c r="CZ458" s="124"/>
      <c r="DA458" s="124"/>
      <c r="DB458" s="124"/>
      <c r="DC458" s="124"/>
      <c r="DD458" s="124"/>
      <c r="DE458" s="124"/>
      <c r="DF458" s="124"/>
      <c r="DG458" s="115"/>
    </row>
    <row r="459" spans="2:111" customFormat="1" ht="9" customHeight="1">
      <c r="B459" s="143"/>
      <c r="C459" s="143"/>
      <c r="D459" s="143"/>
      <c r="E459" s="143"/>
      <c r="F459" s="143"/>
      <c r="G459" s="143"/>
      <c r="H459" s="143"/>
      <c r="I459" s="143"/>
      <c r="J459" s="143"/>
      <c r="K459" s="143"/>
      <c r="L459" s="143"/>
      <c r="M459" s="143"/>
      <c r="N459" s="143"/>
      <c r="O459" s="421"/>
      <c r="P459" s="421"/>
      <c r="Q459" s="421"/>
      <c r="R459" s="421"/>
      <c r="S459" s="421"/>
      <c r="T459" s="421"/>
      <c r="U459" s="421"/>
      <c r="V459" s="421"/>
      <c r="W459" s="421"/>
      <c r="X459" s="421"/>
      <c r="Y459" s="421"/>
      <c r="Z459" s="421"/>
      <c r="AA459" s="421"/>
      <c r="AB459" s="421"/>
      <c r="AC459" s="421"/>
      <c r="AD459" s="421"/>
      <c r="AE459" s="421"/>
      <c r="AF459" s="421"/>
      <c r="AG459" s="421"/>
      <c r="AH459" s="421"/>
      <c r="AI459" s="421"/>
      <c r="AJ459" s="421"/>
      <c r="AK459" s="421"/>
      <c r="AL459" s="421"/>
      <c r="AM459" s="421"/>
      <c r="AN459" s="421"/>
      <c r="AO459" s="421"/>
      <c r="AP459" s="421"/>
      <c r="AQ459" s="421"/>
      <c r="AR459" s="421"/>
      <c r="AS459" s="421"/>
      <c r="AT459" s="421"/>
      <c r="AU459" s="421"/>
      <c r="AV459" s="421"/>
      <c r="AW459" s="421"/>
      <c r="AX459" s="421"/>
      <c r="AY459" s="421"/>
      <c r="AZ459" s="421"/>
      <c r="BA459" s="421"/>
      <c r="BC459" s="115"/>
      <c r="BD459" s="115"/>
      <c r="BE459" s="115"/>
      <c r="BF459" s="115"/>
      <c r="BG459" s="115"/>
      <c r="BH459" s="84"/>
      <c r="BI459" s="84"/>
      <c r="BJ459" s="84"/>
      <c r="BK459" s="84"/>
      <c r="BL459" s="84"/>
      <c r="BM459" s="84"/>
      <c r="BN459" s="84"/>
      <c r="BO459" s="84"/>
      <c r="BP459" s="84"/>
      <c r="BQ459" s="84"/>
      <c r="BR459" s="84"/>
      <c r="BS459" s="84"/>
      <c r="BT459" s="84"/>
      <c r="BU459" s="84"/>
      <c r="BV459" s="84"/>
      <c r="BW459" s="84"/>
      <c r="BX459" s="84"/>
      <c r="BY459" s="84"/>
      <c r="BZ459" s="84"/>
      <c r="CA459" s="84"/>
      <c r="CB459" s="84"/>
      <c r="CC459" s="84"/>
      <c r="CD459" s="84"/>
      <c r="CE459" s="84"/>
      <c r="CF459" s="84"/>
      <c r="CG459" s="84"/>
      <c r="CH459" s="84"/>
      <c r="CI459" s="84"/>
      <c r="CJ459" s="84"/>
      <c r="CK459" s="84"/>
      <c r="CL459" s="84"/>
      <c r="CM459" s="84"/>
      <c r="CN459" s="84"/>
      <c r="CO459" s="84"/>
      <c r="CP459" s="84"/>
      <c r="CQ459" s="84"/>
      <c r="CR459" s="84"/>
      <c r="CS459" s="84"/>
      <c r="CT459" s="84"/>
      <c r="CU459" s="84"/>
      <c r="CV459" s="84"/>
      <c r="CW459" s="84"/>
      <c r="CX459" s="84"/>
      <c r="CY459" s="84"/>
      <c r="CZ459" s="84"/>
      <c r="DA459" s="84"/>
      <c r="DB459" s="84"/>
      <c r="DC459" s="84"/>
      <c r="DD459" s="84"/>
      <c r="DE459" s="84"/>
      <c r="DF459" s="84"/>
      <c r="DG459" s="115"/>
    </row>
    <row r="460" spans="2:111" customFormat="1" ht="9" customHeight="1">
      <c r="B460" s="143"/>
      <c r="C460" s="143"/>
      <c r="D460" s="143"/>
      <c r="E460" s="143"/>
      <c r="F460" s="143"/>
      <c r="G460" s="143"/>
      <c r="H460" s="143"/>
      <c r="I460" s="143"/>
      <c r="J460" s="143"/>
      <c r="K460" s="143"/>
      <c r="L460" s="143"/>
      <c r="M460" s="143"/>
      <c r="N460" s="143"/>
      <c r="O460" s="421"/>
      <c r="P460" s="421"/>
      <c r="Q460" s="421"/>
      <c r="R460" s="421"/>
      <c r="S460" s="421"/>
      <c r="T460" s="421"/>
      <c r="U460" s="421"/>
      <c r="V460" s="421"/>
      <c r="W460" s="421"/>
      <c r="X460" s="421"/>
      <c r="Y460" s="421"/>
      <c r="Z460" s="421"/>
      <c r="AA460" s="421"/>
      <c r="AB460" s="421"/>
      <c r="AC460" s="421"/>
      <c r="AD460" s="421"/>
      <c r="AE460" s="421"/>
      <c r="AF460" s="421"/>
      <c r="AG460" s="421"/>
      <c r="AH460" s="421"/>
      <c r="AI460" s="421"/>
      <c r="AJ460" s="421"/>
      <c r="AK460" s="421"/>
      <c r="AL460" s="421"/>
      <c r="AM460" s="421"/>
      <c r="AN460" s="421"/>
      <c r="AO460" s="421"/>
      <c r="AP460" s="421"/>
      <c r="AQ460" s="421"/>
      <c r="AR460" s="421"/>
      <c r="AS460" s="421"/>
      <c r="AT460" s="421"/>
      <c r="AU460" s="421"/>
      <c r="AV460" s="421"/>
      <c r="AW460" s="421"/>
      <c r="AX460" s="421"/>
      <c r="AY460" s="421"/>
      <c r="AZ460" s="421"/>
      <c r="BA460" s="421"/>
      <c r="BC460" s="115"/>
      <c r="BD460" s="115"/>
      <c r="BE460" s="115"/>
      <c r="BF460" s="115"/>
      <c r="BG460" s="115"/>
      <c r="BH460" s="84"/>
      <c r="BI460" s="84"/>
      <c r="BJ460" s="84"/>
      <c r="BK460" s="84"/>
      <c r="BL460" s="84"/>
      <c r="BM460" s="84"/>
      <c r="BN460" s="84"/>
      <c r="BO460" s="84"/>
      <c r="BP460" s="84"/>
      <c r="BQ460" s="84"/>
      <c r="BR460" s="84"/>
      <c r="BS460" s="84"/>
      <c r="BT460" s="84"/>
      <c r="BU460" s="84"/>
      <c r="BV460" s="84"/>
      <c r="BW460" s="84"/>
      <c r="BX460" s="84"/>
      <c r="BY460" s="84"/>
      <c r="BZ460" s="84"/>
      <c r="CA460" s="84"/>
      <c r="CB460" s="84"/>
      <c r="CC460" s="84"/>
      <c r="CD460" s="84"/>
      <c r="CE460" s="84"/>
      <c r="CF460" s="84"/>
      <c r="CG460" s="84"/>
      <c r="CH460" s="84"/>
      <c r="CI460" s="84"/>
      <c r="CJ460" s="84"/>
      <c r="CK460" s="84"/>
      <c r="CL460" s="84"/>
      <c r="CM460" s="84"/>
      <c r="CN460" s="84"/>
      <c r="CO460" s="84"/>
      <c r="CP460" s="84"/>
      <c r="CQ460" s="84"/>
      <c r="CR460" s="84"/>
      <c r="CS460" s="84"/>
      <c r="CT460" s="84"/>
      <c r="CU460" s="84"/>
      <c r="CV460" s="84"/>
      <c r="CW460" s="84"/>
      <c r="CX460" s="84"/>
      <c r="CY460" s="84"/>
      <c r="CZ460" s="84"/>
      <c r="DA460" s="84"/>
      <c r="DB460" s="84"/>
      <c r="DC460" s="84"/>
      <c r="DD460" s="84"/>
      <c r="DE460" s="84"/>
      <c r="DF460" s="84"/>
      <c r="DG460" s="115"/>
    </row>
    <row r="461" spans="2:111" customFormat="1" ht="9" customHeight="1">
      <c r="B461" s="49"/>
      <c r="C461" s="49"/>
      <c r="D461" s="49"/>
      <c r="E461" s="49"/>
      <c r="F461" s="49"/>
      <c r="G461" s="49"/>
      <c r="H461" s="49"/>
      <c r="I461" s="49"/>
      <c r="J461" s="49"/>
      <c r="K461" s="49"/>
      <c r="L461" s="49"/>
      <c r="M461" s="49"/>
      <c r="N461" s="49"/>
      <c r="O461" s="421"/>
      <c r="P461" s="421"/>
      <c r="Q461" s="421"/>
      <c r="R461" s="421"/>
      <c r="S461" s="421"/>
      <c r="T461" s="421"/>
      <c r="U461" s="421"/>
      <c r="V461" s="421"/>
      <c r="W461" s="421"/>
      <c r="X461" s="421"/>
      <c r="Y461" s="421"/>
      <c r="Z461" s="421"/>
      <c r="AA461" s="421"/>
      <c r="AB461" s="421"/>
      <c r="AC461" s="421"/>
      <c r="AD461" s="421"/>
      <c r="AE461" s="421"/>
      <c r="AF461" s="421"/>
      <c r="AG461" s="421"/>
      <c r="AH461" s="421"/>
      <c r="AI461" s="421"/>
      <c r="AJ461" s="421"/>
      <c r="AK461" s="421"/>
      <c r="AL461" s="421"/>
      <c r="AM461" s="421"/>
      <c r="AN461" s="421"/>
      <c r="AO461" s="421"/>
      <c r="AP461" s="421"/>
      <c r="AQ461" s="421"/>
      <c r="AR461" s="421"/>
      <c r="AS461" s="421"/>
      <c r="AT461" s="421"/>
      <c r="AU461" s="421"/>
      <c r="AV461" s="421"/>
      <c r="AW461" s="421"/>
      <c r="AX461" s="421"/>
      <c r="AY461" s="421"/>
      <c r="AZ461" s="421"/>
      <c r="BA461" s="421"/>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row>
    <row r="462" spans="2:111" customFormat="1" ht="4.5" customHeight="1">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row>
    <row r="463" spans="2:111" customFormat="1" ht="9" customHeight="1">
      <c r="B463" s="493" t="str">
        <f>IF(B436="","","Metas Vinculadas:")</f>
        <v>Metas Vinculadas:</v>
      </c>
      <c r="C463" s="493"/>
      <c r="D463" s="493"/>
      <c r="E463" s="493"/>
      <c r="F463" s="493"/>
      <c r="G463" s="493"/>
      <c r="H463" s="493"/>
      <c r="I463" s="493"/>
      <c r="J463" s="493"/>
      <c r="K463" s="493"/>
      <c r="L463" s="493"/>
      <c r="M463" s="493"/>
      <c r="N463" s="493"/>
      <c r="O463" s="421">
        <v>4</v>
      </c>
      <c r="P463" s="421"/>
      <c r="Q463" s="421"/>
      <c r="R463" s="421"/>
      <c r="S463" s="421"/>
      <c r="T463" s="421"/>
      <c r="U463" s="421"/>
      <c r="V463" s="421"/>
      <c r="W463" s="421"/>
      <c r="X463" s="421"/>
      <c r="Y463" s="421"/>
      <c r="Z463" s="421"/>
      <c r="AA463" s="421"/>
      <c r="AB463" s="421"/>
      <c r="AC463" s="421"/>
      <c r="AD463" s="421"/>
      <c r="AE463" s="421"/>
      <c r="AF463" s="421"/>
      <c r="AG463" s="421"/>
      <c r="AH463" s="421"/>
      <c r="AI463" s="421"/>
      <c r="AJ463" s="421"/>
      <c r="AK463" s="421"/>
      <c r="AL463" s="421"/>
      <c r="AM463" s="421"/>
      <c r="AN463" s="421"/>
      <c r="AO463" s="421"/>
      <c r="AP463" s="421"/>
      <c r="AQ463" s="421"/>
      <c r="AR463" s="421"/>
      <c r="AS463" s="421"/>
      <c r="AT463" s="421"/>
      <c r="AU463" s="421"/>
      <c r="AV463" s="421"/>
      <c r="AW463" s="421"/>
      <c r="AX463" s="421"/>
      <c r="AY463" s="421"/>
      <c r="AZ463" s="421"/>
      <c r="BA463" s="421"/>
      <c r="BC463" s="115"/>
      <c r="BD463" s="115"/>
      <c r="BE463" s="115"/>
      <c r="BF463" s="115"/>
      <c r="BG463" s="115"/>
      <c r="BH463" s="124"/>
      <c r="BI463" s="124"/>
      <c r="BJ463" s="124"/>
      <c r="BK463" s="124"/>
      <c r="BL463" s="124"/>
      <c r="BM463" s="124"/>
      <c r="BN463" s="124"/>
      <c r="BO463" s="124"/>
      <c r="BP463" s="124"/>
      <c r="BQ463" s="124"/>
      <c r="BR463" s="124"/>
      <c r="BS463" s="124"/>
      <c r="BT463" s="124"/>
      <c r="BU463" s="124"/>
      <c r="BV463" s="124"/>
      <c r="BW463" s="124"/>
      <c r="BX463" s="124"/>
      <c r="BY463" s="124"/>
      <c r="BZ463" s="124"/>
      <c r="CA463" s="124"/>
      <c r="CB463" s="124"/>
      <c r="CC463" s="124"/>
      <c r="CD463" s="124"/>
      <c r="CE463" s="124"/>
      <c r="CF463" s="124"/>
      <c r="CG463" s="124"/>
      <c r="CH463" s="124"/>
      <c r="CI463" s="124"/>
      <c r="CJ463" s="124"/>
      <c r="CK463" s="124"/>
      <c r="CL463" s="124"/>
      <c r="CM463" s="124"/>
      <c r="CN463" s="124"/>
      <c r="CO463" s="124"/>
      <c r="CP463" s="124"/>
      <c r="CQ463" s="124"/>
      <c r="CR463" s="124"/>
      <c r="CS463" s="124"/>
      <c r="CT463" s="124"/>
      <c r="CU463" s="124"/>
      <c r="CV463" s="124"/>
      <c r="CW463" s="124"/>
      <c r="CX463" s="124"/>
      <c r="CY463" s="124"/>
      <c r="CZ463" s="124"/>
      <c r="DA463" s="124"/>
      <c r="DB463" s="124"/>
      <c r="DC463" s="124"/>
      <c r="DD463" s="124"/>
      <c r="DE463" s="124"/>
      <c r="DF463" s="124"/>
      <c r="DG463" s="115"/>
    </row>
    <row r="464" spans="2:111" customFormat="1" ht="9" customHeight="1">
      <c r="B464" s="493"/>
      <c r="C464" s="493"/>
      <c r="D464" s="493"/>
      <c r="E464" s="493"/>
      <c r="F464" s="493"/>
      <c r="G464" s="493"/>
      <c r="H464" s="493"/>
      <c r="I464" s="493"/>
      <c r="J464" s="493"/>
      <c r="K464" s="493"/>
      <c r="L464" s="493"/>
      <c r="M464" s="493"/>
      <c r="N464" s="493"/>
      <c r="O464" s="421"/>
      <c r="P464" s="421"/>
      <c r="Q464" s="421"/>
      <c r="R464" s="421"/>
      <c r="S464" s="421"/>
      <c r="T464" s="421"/>
      <c r="U464" s="421"/>
      <c r="V464" s="421"/>
      <c r="W464" s="421"/>
      <c r="X464" s="421"/>
      <c r="Y464" s="421"/>
      <c r="Z464" s="421"/>
      <c r="AA464" s="421"/>
      <c r="AB464" s="421"/>
      <c r="AC464" s="421"/>
      <c r="AD464" s="421"/>
      <c r="AE464" s="421"/>
      <c r="AF464" s="421"/>
      <c r="AG464" s="421"/>
      <c r="AH464" s="421"/>
      <c r="AI464" s="421"/>
      <c r="AJ464" s="421"/>
      <c r="AK464" s="421"/>
      <c r="AL464" s="421"/>
      <c r="AM464" s="421"/>
      <c r="AN464" s="421"/>
      <c r="AO464" s="421"/>
      <c r="AP464" s="421"/>
      <c r="AQ464" s="421"/>
      <c r="AR464" s="421"/>
      <c r="AS464" s="421"/>
      <c r="AT464" s="421"/>
      <c r="AU464" s="421"/>
      <c r="AV464" s="421"/>
      <c r="AW464" s="421"/>
      <c r="AX464" s="421"/>
      <c r="AY464" s="421"/>
      <c r="AZ464" s="421"/>
      <c r="BA464" s="421"/>
      <c r="BC464" s="115"/>
      <c r="BD464" s="115"/>
      <c r="BE464" s="115"/>
      <c r="BF464" s="115"/>
      <c r="BG464" s="115"/>
      <c r="BH464" s="84"/>
      <c r="BI464" s="84"/>
      <c r="BJ464" s="84"/>
      <c r="BK464" s="84"/>
      <c r="BL464" s="84"/>
      <c r="BM464" s="84"/>
      <c r="BN464" s="84"/>
      <c r="BO464" s="84"/>
      <c r="BP464" s="84"/>
      <c r="BQ464" s="84"/>
      <c r="BR464" s="84"/>
      <c r="BS464" s="84"/>
      <c r="BT464" s="84"/>
      <c r="BU464" s="84"/>
      <c r="BV464" s="84"/>
      <c r="BW464" s="84"/>
      <c r="BX464" s="84"/>
      <c r="BY464" s="84"/>
      <c r="BZ464" s="84"/>
      <c r="CA464" s="84"/>
      <c r="CB464" s="84"/>
      <c r="CC464" s="84"/>
      <c r="CD464" s="84"/>
      <c r="CE464" s="84"/>
      <c r="CF464" s="84"/>
      <c r="CG464" s="84"/>
      <c r="CH464" s="84"/>
      <c r="CI464" s="84"/>
      <c r="CJ464" s="84"/>
      <c r="CK464" s="84"/>
      <c r="CL464" s="84"/>
      <c r="CM464" s="84"/>
      <c r="CN464" s="84"/>
      <c r="CO464" s="84"/>
      <c r="CP464" s="84"/>
      <c r="CQ464" s="84"/>
      <c r="CR464" s="84"/>
      <c r="CS464" s="84"/>
      <c r="CT464" s="84"/>
      <c r="CU464" s="84"/>
      <c r="CV464" s="84"/>
      <c r="CW464" s="84"/>
      <c r="CX464" s="84"/>
      <c r="CY464" s="84"/>
      <c r="CZ464" s="84"/>
      <c r="DA464" s="84"/>
      <c r="DB464" s="84"/>
      <c r="DC464" s="84"/>
      <c r="DD464" s="84"/>
      <c r="DE464" s="84"/>
      <c r="DF464" s="84"/>
      <c r="DG464" s="115"/>
    </row>
    <row r="465" spans="2:111" customFormat="1" ht="4.5" customHeight="1">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row>
    <row r="466" spans="2:111" customFormat="1" ht="9" customHeight="1">
      <c r="B466" s="125"/>
      <c r="C466" s="125"/>
      <c r="D466" s="125"/>
      <c r="E466" s="125"/>
      <c r="F466" s="125"/>
      <c r="G466" s="125"/>
      <c r="H466" s="125"/>
      <c r="I466" s="125"/>
      <c r="J466" s="125"/>
      <c r="K466" s="125"/>
      <c r="L466" s="125"/>
      <c r="M466" s="125"/>
      <c r="N466" s="125"/>
      <c r="O466" s="496" t="str">
        <f>IF(B436="","","Quantidade:")</f>
        <v>Quantidade:</v>
      </c>
      <c r="P466" s="496"/>
      <c r="Q466" s="496"/>
      <c r="R466" s="496"/>
      <c r="S466" s="496"/>
      <c r="T466" s="496"/>
      <c r="U466" s="496"/>
      <c r="V466" s="417">
        <v>1</v>
      </c>
      <c r="W466" s="417"/>
      <c r="X466" s="417"/>
      <c r="Y466" s="417"/>
      <c r="Z466" s="417"/>
      <c r="AA466" s="417"/>
      <c r="AB466" s="417"/>
      <c r="AC466" s="417"/>
      <c r="AD466" s="417"/>
      <c r="AE466" s="417"/>
      <c r="AF466" s="125"/>
      <c r="AG466" s="497" t="str">
        <f>IF(B436="","","Unidade:")</f>
        <v>Unidade:</v>
      </c>
      <c r="AH466" s="497"/>
      <c r="AI466" s="497"/>
      <c r="AJ466" s="497"/>
      <c r="AK466" s="497"/>
      <c r="AL466" s="497"/>
      <c r="AM466" s="497"/>
      <c r="AN466" s="125"/>
      <c r="AO466" s="417" t="s">
        <v>676</v>
      </c>
      <c r="AP466" s="417"/>
      <c r="AQ466" s="417"/>
      <c r="AR466" s="417"/>
      <c r="AS466" s="417"/>
      <c r="AT466" s="417"/>
      <c r="AU466" s="417"/>
      <c r="AV466" s="417"/>
      <c r="AW466" s="417"/>
      <c r="AX466" s="417"/>
      <c r="AY466" s="417"/>
      <c r="AZ466" s="417"/>
      <c r="BA466" s="417"/>
      <c r="BC466" s="115"/>
      <c r="BD466" s="115"/>
      <c r="BE466" s="115"/>
      <c r="BF466" s="115"/>
      <c r="BG466" s="115"/>
      <c r="BH466" s="124"/>
      <c r="BI466" s="124"/>
      <c r="BJ466" s="124"/>
      <c r="BK466" s="124"/>
      <c r="BL466" s="124"/>
      <c r="BM466" s="124"/>
      <c r="BN466" s="124"/>
      <c r="BO466" s="124"/>
      <c r="BP466" s="124"/>
      <c r="BQ466" s="124"/>
      <c r="BR466" s="124"/>
      <c r="BS466" s="124"/>
      <c r="BT466" s="124"/>
      <c r="BU466" s="124"/>
      <c r="BV466" s="124"/>
      <c r="BW466" s="124"/>
      <c r="BX466" s="124"/>
      <c r="BY466" s="124"/>
      <c r="BZ466" s="124"/>
      <c r="CA466" s="124"/>
      <c r="CB466" s="124"/>
      <c r="CC466" s="124"/>
      <c r="CD466" s="124"/>
      <c r="CE466" s="124"/>
      <c r="CF466" s="124"/>
      <c r="CG466" s="124"/>
      <c r="CH466" s="124"/>
      <c r="CI466" s="124"/>
      <c r="CJ466" s="124"/>
      <c r="CK466" s="124"/>
      <c r="CL466" s="124"/>
      <c r="CM466" s="124"/>
      <c r="CN466" s="124"/>
      <c r="CO466" s="124"/>
      <c r="CP466" s="124"/>
      <c r="CQ466" s="124"/>
      <c r="CR466" s="124"/>
      <c r="CS466" s="124"/>
      <c r="CT466" s="124"/>
      <c r="CU466" s="124"/>
      <c r="CV466" s="124"/>
      <c r="CW466" s="124"/>
      <c r="CX466" s="124"/>
      <c r="CY466" s="124"/>
      <c r="CZ466" s="124"/>
      <c r="DA466" s="124"/>
      <c r="DB466" s="124"/>
      <c r="DC466" s="124"/>
      <c r="DD466" s="124"/>
      <c r="DE466" s="124"/>
      <c r="DF466" s="124"/>
      <c r="DG466" s="115"/>
    </row>
    <row r="467" spans="2:111" customFormat="1" ht="9" customHeight="1">
      <c r="B467" s="125"/>
      <c r="C467" s="125"/>
      <c r="D467" s="125"/>
      <c r="E467" s="125"/>
      <c r="F467" s="125"/>
      <c r="G467" s="125"/>
      <c r="H467" s="125"/>
      <c r="I467" s="125"/>
      <c r="J467" s="125"/>
      <c r="K467" s="125"/>
      <c r="L467" s="125"/>
      <c r="M467" s="125"/>
      <c r="N467" s="125"/>
      <c r="O467" s="496"/>
      <c r="P467" s="496"/>
      <c r="Q467" s="496"/>
      <c r="R467" s="496"/>
      <c r="S467" s="496"/>
      <c r="T467" s="496"/>
      <c r="U467" s="496"/>
      <c r="V467" s="417"/>
      <c r="W467" s="417"/>
      <c r="X467" s="417"/>
      <c r="Y467" s="417"/>
      <c r="Z467" s="417"/>
      <c r="AA467" s="417"/>
      <c r="AB467" s="417"/>
      <c r="AC467" s="417"/>
      <c r="AD467" s="417"/>
      <c r="AE467" s="417"/>
      <c r="AF467" s="125"/>
      <c r="AG467" s="497"/>
      <c r="AH467" s="497"/>
      <c r="AI467" s="497"/>
      <c r="AJ467" s="497"/>
      <c r="AK467" s="497"/>
      <c r="AL467" s="497"/>
      <c r="AM467" s="497"/>
      <c r="AN467" s="125"/>
      <c r="AO467" s="417"/>
      <c r="AP467" s="417"/>
      <c r="AQ467" s="417"/>
      <c r="AR467" s="417"/>
      <c r="AS467" s="417"/>
      <c r="AT467" s="417"/>
      <c r="AU467" s="417"/>
      <c r="AV467" s="417"/>
      <c r="AW467" s="417"/>
      <c r="AX467" s="417"/>
      <c r="AY467" s="417"/>
      <c r="AZ467" s="417"/>
      <c r="BA467" s="417"/>
      <c r="BC467" s="115"/>
      <c r="BD467" s="115"/>
      <c r="BE467" s="115"/>
      <c r="BF467" s="115"/>
      <c r="BG467" s="115"/>
      <c r="BH467" s="124"/>
      <c r="BI467" s="124"/>
      <c r="BJ467" s="124"/>
      <c r="BK467" s="124"/>
      <c r="BL467" s="124"/>
      <c r="BM467" s="124"/>
      <c r="BN467" s="124"/>
      <c r="BO467" s="124"/>
      <c r="BP467" s="124"/>
      <c r="BQ467" s="124"/>
      <c r="BR467" s="124"/>
      <c r="BS467" s="124"/>
      <c r="BT467" s="124"/>
      <c r="BU467" s="124"/>
      <c r="BV467" s="124"/>
      <c r="BW467" s="124"/>
      <c r="BX467" s="124"/>
      <c r="BY467" s="124"/>
      <c r="BZ467" s="124"/>
      <c r="CA467" s="124"/>
      <c r="CB467" s="124"/>
      <c r="CC467" s="124"/>
      <c r="CD467" s="124"/>
      <c r="CE467" s="124"/>
      <c r="CF467" s="124"/>
      <c r="CG467" s="124"/>
      <c r="CH467" s="124"/>
      <c r="CI467" s="124"/>
      <c r="CJ467" s="124"/>
      <c r="CK467" s="124"/>
      <c r="CL467" s="124"/>
      <c r="CM467" s="124"/>
      <c r="CN467" s="124"/>
      <c r="CO467" s="124"/>
      <c r="CP467" s="124"/>
      <c r="CQ467" s="124"/>
      <c r="CR467" s="124"/>
      <c r="CS467" s="124"/>
      <c r="CT467" s="124"/>
      <c r="CU467" s="124"/>
      <c r="CV467" s="124"/>
      <c r="CW467" s="124"/>
      <c r="CX467" s="124"/>
      <c r="CY467" s="124"/>
      <c r="CZ467" s="124"/>
      <c r="DA467" s="124"/>
      <c r="DB467" s="124"/>
      <c r="DC467" s="124"/>
      <c r="DD467" s="124"/>
      <c r="DE467" s="124"/>
      <c r="DF467" s="124"/>
      <c r="DG467" s="115"/>
    </row>
    <row r="468" spans="2:111" customFormat="1" ht="9" customHeight="1">
      <c r="BC468" s="115"/>
      <c r="BD468" s="115"/>
      <c r="BE468" s="115"/>
      <c r="BF468" s="115"/>
      <c r="BG468" s="115"/>
      <c r="BH468" s="498"/>
      <c r="BI468" s="498"/>
      <c r="BJ468" s="498"/>
      <c r="BK468" s="498"/>
      <c r="BL468" s="498"/>
      <c r="BM468" s="498"/>
      <c r="BN468" s="498"/>
      <c r="BO468" s="498"/>
      <c r="BP468" s="498"/>
      <c r="BQ468" s="498"/>
      <c r="BR468" s="498"/>
      <c r="BS468" s="498"/>
      <c r="BT468" s="498"/>
      <c r="BU468" s="498"/>
      <c r="BV468" s="498"/>
      <c r="BW468" s="498"/>
      <c r="BX468" s="498"/>
      <c r="BY468" s="498"/>
      <c r="BZ468" s="498"/>
      <c r="CA468" s="498"/>
      <c r="CB468" s="498"/>
      <c r="CC468" s="498"/>
      <c r="CD468" s="498"/>
      <c r="CE468" s="498"/>
      <c r="CF468" s="498"/>
      <c r="CG468" s="498"/>
      <c r="CH468" s="498"/>
      <c r="CI468" s="498"/>
      <c r="CJ468" s="498"/>
      <c r="CK468" s="498"/>
      <c r="CL468" s="498"/>
      <c r="CM468" s="498"/>
      <c r="CN468" s="498"/>
      <c r="CO468" s="498"/>
      <c r="CP468" s="498"/>
      <c r="CQ468" s="498"/>
      <c r="CR468" s="498"/>
      <c r="CS468" s="498"/>
      <c r="CT468" s="498"/>
      <c r="CU468" s="498"/>
      <c r="CV468" s="498"/>
      <c r="CW468" s="498"/>
      <c r="CX468" s="498"/>
      <c r="CY468" s="498"/>
      <c r="CZ468" s="498"/>
      <c r="DA468" s="498"/>
      <c r="DB468" s="498"/>
      <c r="DC468" s="498"/>
      <c r="DD468" s="498"/>
      <c r="DE468" s="498"/>
      <c r="DF468" s="498"/>
      <c r="DG468" s="115"/>
    </row>
    <row r="469" spans="2:111" customFormat="1" ht="9" customHeight="1">
      <c r="B469" s="499" t="str">
        <f>IF($Z$32&gt;=11,"Nome da Empresa ou Nº da Ata","")</f>
        <v>Nome da Empresa ou Nº da Ata</v>
      </c>
      <c r="C469" s="499"/>
      <c r="D469" s="499"/>
      <c r="E469" s="499"/>
      <c r="F469" s="499"/>
      <c r="G469" s="499"/>
      <c r="H469" s="499"/>
      <c r="I469" s="499"/>
      <c r="J469" s="499"/>
      <c r="K469" s="499"/>
      <c r="L469" s="499"/>
      <c r="M469" s="499"/>
      <c r="N469" s="499"/>
      <c r="O469" s="499"/>
      <c r="P469" s="499"/>
      <c r="Q469" s="499"/>
      <c r="R469" s="499"/>
      <c r="S469" s="499"/>
      <c r="T469" s="499"/>
      <c r="U469" s="499"/>
      <c r="V469" s="499"/>
      <c r="W469" s="499"/>
      <c r="X469" s="499" t="str">
        <f>IF($Z$32&gt;=11,"CNPJ / CPF","")</f>
        <v>CNPJ / CPF</v>
      </c>
      <c r="Y469" s="499"/>
      <c r="Z469" s="499"/>
      <c r="AA469" s="499"/>
      <c r="AB469" s="499"/>
      <c r="AC469" s="499"/>
      <c r="AD469" s="499"/>
      <c r="AE469" s="499"/>
      <c r="AF469" s="499"/>
      <c r="AG469" s="499"/>
      <c r="AH469" s="499" t="str">
        <f>IF($Z$32&gt;=11,"Qtde","")</f>
        <v>Qtde</v>
      </c>
      <c r="AI469" s="499"/>
      <c r="AJ469" s="499"/>
      <c r="AK469" s="499"/>
      <c r="AL469" s="499" t="str">
        <f>IF($Z$32&gt;=11,"Valor Unitário (R$)","")</f>
        <v>Valor Unitário (R$)</v>
      </c>
      <c r="AM469" s="499"/>
      <c r="AN469" s="499"/>
      <c r="AO469" s="499"/>
      <c r="AP469" s="499"/>
      <c r="AQ469" s="499"/>
      <c r="AR469" s="499"/>
      <c r="AS469" s="499"/>
      <c r="AT469" s="499" t="str">
        <f>IF($Z$32&gt;=11,"Valor Total (R$)","")</f>
        <v>Valor Total (R$)</v>
      </c>
      <c r="AU469" s="499"/>
      <c r="AV469" s="499"/>
      <c r="AW469" s="499"/>
      <c r="AX469" s="499"/>
      <c r="AY469" s="499"/>
      <c r="AZ469" s="499"/>
      <c r="BA469" s="499"/>
      <c r="BC469" s="115"/>
      <c r="BD469" s="115"/>
      <c r="BE469" s="115"/>
      <c r="BF469" s="115"/>
      <c r="BG469" s="115"/>
      <c r="BH469" s="498"/>
      <c r="BI469" s="498"/>
      <c r="BJ469" s="498"/>
      <c r="BK469" s="498"/>
      <c r="BL469" s="498"/>
      <c r="BM469" s="498"/>
      <c r="BN469" s="498"/>
      <c r="BO469" s="498"/>
      <c r="BP469" s="498"/>
      <c r="BQ469" s="498"/>
      <c r="BR469" s="498"/>
      <c r="BS469" s="498"/>
      <c r="BT469" s="498"/>
      <c r="BU469" s="498"/>
      <c r="BV469" s="498"/>
      <c r="BW469" s="498"/>
      <c r="BX469" s="498"/>
      <c r="BY469" s="498"/>
      <c r="BZ469" s="498"/>
      <c r="CA469" s="498"/>
      <c r="CB469" s="498"/>
      <c r="CC469" s="498"/>
      <c r="CD469" s="498"/>
      <c r="CE469" s="498"/>
      <c r="CF469" s="498"/>
      <c r="CG469" s="498"/>
      <c r="CH469" s="498"/>
      <c r="CI469" s="498"/>
      <c r="CJ469" s="498"/>
      <c r="CK469" s="498"/>
      <c r="CL469" s="498"/>
      <c r="CM469" s="498"/>
      <c r="CN469" s="498"/>
      <c r="CO469" s="498"/>
      <c r="CP469" s="498"/>
      <c r="CQ469" s="498"/>
      <c r="CR469" s="498"/>
      <c r="CS469" s="498"/>
      <c r="CT469" s="498"/>
      <c r="CU469" s="498"/>
      <c r="CV469" s="498"/>
      <c r="CW469" s="498"/>
      <c r="CX469" s="498"/>
      <c r="CY469" s="498"/>
      <c r="CZ469" s="498"/>
      <c r="DA469" s="498"/>
      <c r="DB469" s="498"/>
      <c r="DC469" s="498"/>
      <c r="DD469" s="498"/>
      <c r="DE469" s="498"/>
      <c r="DF469" s="498"/>
      <c r="DG469" s="115"/>
    </row>
    <row r="470" spans="2:111" customFormat="1" ht="9" customHeight="1">
      <c r="B470" s="499"/>
      <c r="C470" s="499"/>
      <c r="D470" s="499"/>
      <c r="E470" s="499"/>
      <c r="F470" s="499"/>
      <c r="G470" s="499"/>
      <c r="H470" s="499"/>
      <c r="I470" s="499"/>
      <c r="J470" s="499"/>
      <c r="K470" s="499"/>
      <c r="L470" s="499"/>
      <c r="M470" s="499"/>
      <c r="N470" s="499"/>
      <c r="O470" s="499"/>
      <c r="P470" s="499"/>
      <c r="Q470" s="499"/>
      <c r="R470" s="499"/>
      <c r="S470" s="499"/>
      <c r="T470" s="499"/>
      <c r="U470" s="499"/>
      <c r="V470" s="499"/>
      <c r="W470" s="499"/>
      <c r="X470" s="499"/>
      <c r="Y470" s="499"/>
      <c r="Z470" s="499"/>
      <c r="AA470" s="499"/>
      <c r="AB470" s="499"/>
      <c r="AC470" s="499"/>
      <c r="AD470" s="499"/>
      <c r="AE470" s="499"/>
      <c r="AF470" s="499"/>
      <c r="AG470" s="499"/>
      <c r="AH470" s="499"/>
      <c r="AI470" s="499"/>
      <c r="AJ470" s="499"/>
      <c r="AK470" s="499"/>
      <c r="AL470" s="499"/>
      <c r="AM470" s="499"/>
      <c r="AN470" s="499"/>
      <c r="AO470" s="499"/>
      <c r="AP470" s="499"/>
      <c r="AQ470" s="499"/>
      <c r="AR470" s="499"/>
      <c r="AS470" s="499"/>
      <c r="AT470" s="499"/>
      <c r="AU470" s="499"/>
      <c r="AV470" s="499"/>
      <c r="AW470" s="499"/>
      <c r="AX470" s="499"/>
      <c r="AY470" s="499"/>
      <c r="AZ470" s="499"/>
      <c r="BA470" s="499"/>
      <c r="BB470" s="176">
        <f>AVERAGE(AL471:AS473)</f>
        <v>16791.403333333332</v>
      </c>
      <c r="BC470" s="115"/>
      <c r="BD470" s="115"/>
      <c r="BE470" s="115"/>
      <c r="BF470" s="115"/>
      <c r="BG470" s="115"/>
      <c r="BH470" s="498"/>
      <c r="BI470" s="498"/>
      <c r="BJ470" s="498"/>
      <c r="BK470" s="498"/>
      <c r="BL470" s="498"/>
      <c r="BM470" s="498"/>
      <c r="BN470" s="498"/>
      <c r="BO470" s="498"/>
      <c r="BP470" s="498"/>
      <c r="BQ470" s="498"/>
      <c r="BR470" s="498"/>
      <c r="BS470" s="498"/>
      <c r="BT470" s="498"/>
      <c r="BU470" s="498"/>
      <c r="BV470" s="498"/>
      <c r="BW470" s="498"/>
      <c r="BX470" s="498"/>
      <c r="BY470" s="498"/>
      <c r="BZ470" s="498"/>
      <c r="CA470" s="498"/>
      <c r="CB470" s="498"/>
      <c r="CC470" s="498"/>
      <c r="CD470" s="498"/>
      <c r="CE470" s="498"/>
      <c r="CF470" s="498"/>
      <c r="CG470" s="498"/>
      <c r="CH470" s="498"/>
      <c r="CI470" s="498"/>
      <c r="CJ470" s="498"/>
      <c r="CK470" s="498"/>
      <c r="CL470" s="498"/>
      <c r="CM470" s="498"/>
      <c r="CN470" s="498"/>
      <c r="CO470" s="498"/>
      <c r="CP470" s="498"/>
      <c r="CQ470" s="498"/>
      <c r="CR470" s="498"/>
      <c r="CS470" s="498"/>
      <c r="CT470" s="498"/>
      <c r="CU470" s="498"/>
      <c r="CV470" s="498"/>
      <c r="CW470" s="498"/>
      <c r="CX470" s="498"/>
      <c r="CY470" s="498"/>
      <c r="CZ470" s="498"/>
      <c r="DA470" s="498"/>
      <c r="DB470" s="498"/>
      <c r="DC470" s="498"/>
      <c r="DD470" s="498"/>
      <c r="DE470" s="498"/>
      <c r="DF470" s="498"/>
      <c r="DG470" s="115"/>
    </row>
    <row r="471" spans="2:111" customFormat="1" ht="18" customHeight="1">
      <c r="B471" s="233" t="s">
        <v>677</v>
      </c>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486" t="s">
        <v>680</v>
      </c>
      <c r="Y471" s="486"/>
      <c r="Z471" s="486"/>
      <c r="AA471" s="486"/>
      <c r="AB471" s="486"/>
      <c r="AC471" s="486"/>
      <c r="AD471" s="486"/>
      <c r="AE471" s="486"/>
      <c r="AF471" s="486"/>
      <c r="AG471" s="486"/>
      <c r="AH471" s="417">
        <v>1</v>
      </c>
      <c r="AI471" s="417"/>
      <c r="AJ471" s="417"/>
      <c r="AK471" s="417"/>
      <c r="AL471" s="419">
        <v>16874.21</v>
      </c>
      <c r="AM471" s="419"/>
      <c r="AN471" s="419"/>
      <c r="AO471" s="419"/>
      <c r="AP471" s="419"/>
      <c r="AQ471" s="419"/>
      <c r="AR471" s="419"/>
      <c r="AS471" s="419"/>
      <c r="AT471" s="487">
        <f>IF($Z$32&gt;=11,(AH471*AL471),"")</f>
        <v>16874.21</v>
      </c>
      <c r="AU471" s="487"/>
      <c r="AV471" s="487"/>
      <c r="AW471" s="487"/>
      <c r="AX471" s="487"/>
      <c r="AY471" s="487"/>
      <c r="AZ471" s="487"/>
      <c r="BA471" s="487"/>
      <c r="BC471" s="115"/>
      <c r="BD471" s="115"/>
      <c r="BE471" s="115"/>
      <c r="BF471" s="115"/>
      <c r="BG471" s="115"/>
      <c r="BH471" s="498"/>
      <c r="BI471" s="498"/>
      <c r="BJ471" s="498"/>
      <c r="BK471" s="498"/>
      <c r="BL471" s="498"/>
      <c r="BM471" s="498"/>
      <c r="BN471" s="498"/>
      <c r="BO471" s="498"/>
      <c r="BP471" s="498"/>
      <c r="BQ471" s="498"/>
      <c r="BR471" s="498"/>
      <c r="BS471" s="498"/>
      <c r="BT471" s="498"/>
      <c r="BU471" s="498"/>
      <c r="BV471" s="498"/>
      <c r="BW471" s="498"/>
      <c r="BX471" s="498"/>
      <c r="BY471" s="498"/>
      <c r="BZ471" s="498"/>
      <c r="CA471" s="498"/>
      <c r="CB471" s="498"/>
      <c r="CC471" s="498"/>
      <c r="CD471" s="498"/>
      <c r="CE471" s="498"/>
      <c r="CF471" s="498"/>
      <c r="CG471" s="498"/>
      <c r="CH471" s="498"/>
      <c r="CI471" s="498"/>
      <c r="CJ471" s="498"/>
      <c r="CK471" s="498"/>
      <c r="CL471" s="498"/>
      <c r="CM471" s="498"/>
      <c r="CN471" s="498"/>
      <c r="CO471" s="498"/>
      <c r="CP471" s="498"/>
      <c r="CQ471" s="498"/>
      <c r="CR471" s="498"/>
      <c r="CS471" s="498"/>
      <c r="CT471" s="498"/>
      <c r="CU471" s="498"/>
      <c r="CV471" s="498"/>
      <c r="CW471" s="498"/>
      <c r="CX471" s="498"/>
      <c r="CY471" s="498"/>
      <c r="CZ471" s="498"/>
      <c r="DA471" s="498"/>
      <c r="DB471" s="498"/>
      <c r="DC471" s="498"/>
      <c r="DD471" s="498"/>
      <c r="DE471" s="498"/>
      <c r="DF471" s="498"/>
      <c r="DG471" s="115"/>
    </row>
    <row r="472" spans="2:111" customFormat="1" ht="18" customHeight="1">
      <c r="B472" s="233" t="s">
        <v>678</v>
      </c>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486" t="s">
        <v>681</v>
      </c>
      <c r="Y472" s="486"/>
      <c r="Z472" s="486"/>
      <c r="AA472" s="486"/>
      <c r="AB472" s="486"/>
      <c r="AC472" s="486"/>
      <c r="AD472" s="486"/>
      <c r="AE472" s="486"/>
      <c r="AF472" s="486"/>
      <c r="AG472" s="486"/>
      <c r="AH472" s="417">
        <v>1</v>
      </c>
      <c r="AI472" s="417"/>
      <c r="AJ472" s="417"/>
      <c r="AK472" s="417"/>
      <c r="AL472" s="419">
        <v>17500</v>
      </c>
      <c r="AM472" s="419"/>
      <c r="AN472" s="419"/>
      <c r="AO472" s="419"/>
      <c r="AP472" s="419"/>
      <c r="AQ472" s="419"/>
      <c r="AR472" s="419"/>
      <c r="AS472" s="419"/>
      <c r="AT472" s="487">
        <f>IF($Z$32&gt;=11,(AH472*AL472),"")</f>
        <v>17500</v>
      </c>
      <c r="AU472" s="487"/>
      <c r="AV472" s="487"/>
      <c r="AW472" s="487"/>
      <c r="AX472" s="487"/>
      <c r="AY472" s="487"/>
      <c r="AZ472" s="487"/>
      <c r="BA472" s="487"/>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row>
    <row r="473" spans="2:111" customFormat="1" ht="18" customHeight="1">
      <c r="B473" s="233" t="s">
        <v>679</v>
      </c>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486" t="s">
        <v>682</v>
      </c>
      <c r="Y473" s="486"/>
      <c r="Z473" s="486"/>
      <c r="AA473" s="486"/>
      <c r="AB473" s="486"/>
      <c r="AC473" s="486"/>
      <c r="AD473" s="486"/>
      <c r="AE473" s="486"/>
      <c r="AF473" s="486"/>
      <c r="AG473" s="486"/>
      <c r="AH473" s="417">
        <v>1</v>
      </c>
      <c r="AI473" s="417"/>
      <c r="AJ473" s="417"/>
      <c r="AK473" s="417"/>
      <c r="AL473" s="419">
        <v>16000</v>
      </c>
      <c r="AM473" s="419"/>
      <c r="AN473" s="419"/>
      <c r="AO473" s="419"/>
      <c r="AP473" s="419"/>
      <c r="AQ473" s="419"/>
      <c r="AR473" s="419"/>
      <c r="AS473" s="419"/>
      <c r="AT473" s="487">
        <f>IF($Z$32&gt;=11,(AH473*AL473),"")</f>
        <v>16000</v>
      </c>
      <c r="AU473" s="487"/>
      <c r="AV473" s="487"/>
      <c r="AW473" s="487"/>
      <c r="AX473" s="487"/>
      <c r="AY473" s="487"/>
      <c r="AZ473" s="487"/>
      <c r="BA473" s="487"/>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row>
    <row r="474" spans="2:111" customFormat="1" ht="15" customHeight="1">
      <c r="AT474" s="500">
        <f>IF(B471="","",IF(AL472="",AT471,IF(AL473="",AVERAGE(AT471:BA472),AVERAGE(AT471:AT473))))</f>
        <v>16791.403333333332</v>
      </c>
      <c r="AU474" s="500"/>
      <c r="AV474" s="500"/>
      <c r="AW474" s="500"/>
      <c r="AX474" s="500"/>
      <c r="AY474" s="500"/>
      <c r="AZ474" s="500"/>
      <c r="BA474" s="500"/>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row>
    <row r="475" spans="2:111" customFormat="1" ht="15" customHeight="1">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row>
    <row r="476" spans="2:111" customFormat="1" ht="9" customHeight="1">
      <c r="B476" s="494" t="str">
        <f>IF($Z$32&gt;=12,"Item 12","")</f>
        <v>Item 12</v>
      </c>
      <c r="C476" s="495"/>
      <c r="D476" s="495"/>
      <c r="E476" s="495"/>
      <c r="F476" s="495"/>
      <c r="G476" s="495"/>
      <c r="H476" s="495"/>
      <c r="I476" s="495"/>
      <c r="J476" s="495"/>
      <c r="K476" s="495"/>
      <c r="L476" s="495"/>
      <c r="M476" s="49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row>
    <row r="477" spans="2:111" customFormat="1" ht="9" customHeight="1">
      <c r="B477" s="495"/>
      <c r="C477" s="495"/>
      <c r="D477" s="495"/>
      <c r="E477" s="495"/>
      <c r="F477" s="495"/>
      <c r="G477" s="495"/>
      <c r="H477" s="495"/>
      <c r="I477" s="495"/>
      <c r="J477" s="495"/>
      <c r="K477" s="495"/>
      <c r="L477" s="495"/>
      <c r="M477" s="49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row>
    <row r="478" spans="2:111" customFormat="1" ht="4.5" customHeight="1">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row>
    <row r="479" spans="2:111" customFormat="1" ht="9" customHeight="1">
      <c r="B479" s="493" t="str">
        <f>IF(B476="","","Elemento de Despesa:")</f>
        <v>Elemento de Despesa:</v>
      </c>
      <c r="C479" s="493"/>
      <c r="D479" s="493"/>
      <c r="E479" s="493"/>
      <c r="F479" s="493"/>
      <c r="G479" s="493"/>
      <c r="H479" s="493"/>
      <c r="I479" s="493"/>
      <c r="J479" s="493"/>
      <c r="K479" s="493"/>
      <c r="L479" s="493"/>
      <c r="M479" s="493"/>
      <c r="N479" s="493"/>
      <c r="O479" s="241" t="s">
        <v>272</v>
      </c>
      <c r="P479" s="241"/>
      <c r="Q479" s="241"/>
      <c r="R479" s="241"/>
      <c r="S479" s="241"/>
      <c r="T479" s="241"/>
      <c r="U479" s="241"/>
      <c r="V479" s="241"/>
      <c r="W479" s="241"/>
      <c r="X479" s="241"/>
      <c r="Y479" s="241"/>
      <c r="Z479" s="241"/>
      <c r="AA479" s="241"/>
      <c r="AB479" s="241"/>
      <c r="AC479" s="241"/>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C479" s="115"/>
      <c r="BD479" s="115"/>
      <c r="BE479" s="115"/>
      <c r="BF479" s="115"/>
      <c r="BG479" s="115"/>
      <c r="BH479" s="124"/>
      <c r="BI479" s="124"/>
      <c r="BJ479" s="124"/>
      <c r="BK479" s="124"/>
      <c r="BL479" s="124"/>
      <c r="BM479" s="124"/>
      <c r="BN479" s="124"/>
      <c r="BO479" s="124"/>
      <c r="BP479" s="124"/>
      <c r="BQ479" s="124"/>
      <c r="BR479" s="124"/>
      <c r="BS479" s="124"/>
      <c r="BT479" s="124"/>
      <c r="BU479" s="124"/>
      <c r="BV479" s="124"/>
      <c r="BW479" s="124"/>
      <c r="BX479" s="124"/>
      <c r="BY479" s="124"/>
      <c r="BZ479" s="124"/>
      <c r="CA479" s="124"/>
      <c r="CB479" s="124"/>
      <c r="CC479" s="124"/>
      <c r="CD479" s="124"/>
      <c r="CE479" s="124"/>
      <c r="CF479" s="124"/>
      <c r="CG479" s="124"/>
      <c r="CH479" s="124"/>
      <c r="CI479" s="124"/>
      <c r="CJ479" s="124"/>
      <c r="CK479" s="124"/>
      <c r="CL479" s="124"/>
      <c r="CM479" s="124"/>
      <c r="CN479" s="124"/>
      <c r="CO479" s="124"/>
      <c r="CP479" s="124"/>
      <c r="CQ479" s="124"/>
      <c r="CR479" s="124"/>
      <c r="CS479" s="124"/>
      <c r="CT479" s="124"/>
      <c r="CU479" s="124"/>
      <c r="CV479" s="124"/>
      <c r="CW479" s="124"/>
      <c r="CX479" s="124"/>
      <c r="CY479" s="124"/>
      <c r="CZ479" s="124"/>
      <c r="DA479" s="124"/>
      <c r="DB479" s="124"/>
      <c r="DC479" s="124"/>
      <c r="DD479" s="124"/>
      <c r="DE479" s="124"/>
      <c r="DF479" s="124"/>
      <c r="DG479" s="115"/>
    </row>
    <row r="480" spans="2:111" customFormat="1" ht="9" customHeight="1">
      <c r="B480" s="493"/>
      <c r="C480" s="493"/>
      <c r="D480" s="493"/>
      <c r="E480" s="493"/>
      <c r="F480" s="493"/>
      <c r="G480" s="493"/>
      <c r="H480" s="493"/>
      <c r="I480" s="493"/>
      <c r="J480" s="493"/>
      <c r="K480" s="493"/>
      <c r="L480" s="493"/>
      <c r="M480" s="493"/>
      <c r="N480" s="493"/>
      <c r="O480" s="241"/>
      <c r="P480" s="241"/>
      <c r="Q480" s="241"/>
      <c r="R480" s="241"/>
      <c r="S480" s="241"/>
      <c r="T480" s="241"/>
      <c r="U480" s="241"/>
      <c r="V480" s="241"/>
      <c r="W480" s="241"/>
      <c r="X480" s="241"/>
      <c r="Y480" s="241"/>
      <c r="Z480" s="241"/>
      <c r="AA480" s="241"/>
      <c r="AB480" s="241"/>
      <c r="AC480" s="241"/>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C480" s="115"/>
      <c r="BD480" s="115"/>
      <c r="BE480" s="115"/>
      <c r="BF480" s="115"/>
      <c r="BG480" s="115"/>
      <c r="BH480" s="124"/>
      <c r="BI480" s="124"/>
      <c r="BJ480" s="124"/>
      <c r="BK480" s="124"/>
      <c r="BL480" s="124"/>
      <c r="BM480" s="124"/>
      <c r="BN480" s="124"/>
      <c r="BO480" s="124"/>
      <c r="BP480" s="124"/>
      <c r="BQ480" s="124"/>
      <c r="BR480" s="124"/>
      <c r="BS480" s="124"/>
      <c r="BT480" s="124"/>
      <c r="BU480" s="124"/>
      <c r="BV480" s="124"/>
      <c r="BW480" s="124"/>
      <c r="BX480" s="124"/>
      <c r="BY480" s="124"/>
      <c r="BZ480" s="124"/>
      <c r="CA480" s="124"/>
      <c r="CB480" s="124"/>
      <c r="CC480" s="124"/>
      <c r="CD480" s="124"/>
      <c r="CE480" s="124"/>
      <c r="CF480" s="124"/>
      <c r="CG480" s="124"/>
      <c r="CH480" s="124"/>
      <c r="CI480" s="124"/>
      <c r="CJ480" s="124"/>
      <c r="CK480" s="124"/>
      <c r="CL480" s="124"/>
      <c r="CM480" s="124"/>
      <c r="CN480" s="124"/>
      <c r="CO480" s="124"/>
      <c r="CP480" s="124"/>
      <c r="CQ480" s="124"/>
      <c r="CR480" s="124"/>
      <c r="CS480" s="124"/>
      <c r="CT480" s="124"/>
      <c r="CU480" s="124"/>
      <c r="CV480" s="124"/>
      <c r="CW480" s="124"/>
      <c r="CX480" s="124"/>
      <c r="CY480" s="124"/>
      <c r="CZ480" s="124"/>
      <c r="DA480" s="124"/>
      <c r="DB480" s="124"/>
      <c r="DC480" s="124"/>
      <c r="DD480" s="124"/>
      <c r="DE480" s="124"/>
      <c r="DF480" s="124"/>
      <c r="DG480" s="115"/>
    </row>
    <row r="481" spans="2:111" customFormat="1" ht="4.5" customHeight="1">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C481" s="115"/>
      <c r="BD481" s="115"/>
      <c r="BE481" s="115"/>
      <c r="BF481" s="115"/>
      <c r="BG481" s="115"/>
      <c r="BH481" s="124"/>
      <c r="BI481" s="124"/>
      <c r="BJ481" s="124"/>
      <c r="BK481" s="124"/>
      <c r="BL481" s="124"/>
      <c r="BM481" s="124"/>
      <c r="BN481" s="124"/>
      <c r="BO481" s="124"/>
      <c r="BP481" s="124"/>
      <c r="BQ481" s="124"/>
      <c r="BR481" s="124"/>
      <c r="BS481" s="124"/>
      <c r="BT481" s="124"/>
      <c r="BU481" s="124"/>
      <c r="BV481" s="124"/>
      <c r="BW481" s="124"/>
      <c r="BX481" s="124"/>
      <c r="BY481" s="124"/>
      <c r="BZ481" s="124"/>
      <c r="CA481" s="124"/>
      <c r="CB481" s="124"/>
      <c r="CC481" s="124"/>
      <c r="CD481" s="124"/>
      <c r="CE481" s="124"/>
      <c r="CF481" s="124"/>
      <c r="CG481" s="124"/>
      <c r="CH481" s="124"/>
      <c r="CI481" s="124"/>
      <c r="CJ481" s="124"/>
      <c r="CK481" s="124"/>
      <c r="CL481" s="124"/>
      <c r="CM481" s="124"/>
      <c r="CN481" s="124"/>
      <c r="CO481" s="124"/>
      <c r="CP481" s="124"/>
      <c r="CQ481" s="124"/>
      <c r="CR481" s="124"/>
      <c r="CS481" s="124"/>
      <c r="CT481" s="124"/>
      <c r="CU481" s="124"/>
      <c r="CV481" s="124"/>
      <c r="CW481" s="124"/>
      <c r="CX481" s="124"/>
      <c r="CY481" s="124"/>
      <c r="CZ481" s="124"/>
      <c r="DA481" s="124"/>
      <c r="DB481" s="124"/>
      <c r="DC481" s="124"/>
      <c r="DD481" s="124"/>
      <c r="DE481" s="124"/>
      <c r="DF481" s="124"/>
      <c r="DG481" s="115"/>
    </row>
    <row r="482" spans="2:111" customFormat="1" ht="9" customHeight="1">
      <c r="B482" s="493" t="str">
        <f>IF(B476="","","Objeto:")</f>
        <v>Objeto:</v>
      </c>
      <c r="C482" s="493"/>
      <c r="D482" s="493"/>
      <c r="E482" s="493"/>
      <c r="F482" s="493"/>
      <c r="G482" s="493"/>
      <c r="H482" s="493"/>
      <c r="I482" s="493"/>
      <c r="J482" s="493"/>
      <c r="K482" s="493"/>
      <c r="L482" s="493"/>
      <c r="M482" s="493"/>
      <c r="N482" s="493"/>
      <c r="O482" s="421" t="s">
        <v>683</v>
      </c>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21"/>
      <c r="AY482" s="421"/>
      <c r="AZ482" s="421"/>
      <c r="BA482" s="421"/>
      <c r="BC482" s="115"/>
      <c r="BD482" s="115"/>
      <c r="BE482" s="115"/>
      <c r="BF482" s="115"/>
      <c r="BG482" s="115"/>
      <c r="BH482" s="124"/>
      <c r="BI482" s="124"/>
      <c r="BJ482" s="124"/>
      <c r="BK482" s="124"/>
      <c r="BL482" s="124"/>
      <c r="BM482" s="124"/>
      <c r="BN482" s="124"/>
      <c r="BO482" s="124"/>
      <c r="BP482" s="124"/>
      <c r="BQ482" s="124"/>
      <c r="BR482" s="124"/>
      <c r="BS482" s="124"/>
      <c r="BT482" s="124"/>
      <c r="BU482" s="124"/>
      <c r="BV482" s="124"/>
      <c r="BW482" s="124"/>
      <c r="BX482" s="124"/>
      <c r="BY482" s="124"/>
      <c r="BZ482" s="124"/>
      <c r="CA482" s="124"/>
      <c r="CB482" s="124"/>
      <c r="CC482" s="124"/>
      <c r="CD482" s="124"/>
      <c r="CE482" s="124"/>
      <c r="CF482" s="124"/>
      <c r="CG482" s="124"/>
      <c r="CH482" s="124"/>
      <c r="CI482" s="124"/>
      <c r="CJ482" s="124"/>
      <c r="CK482" s="124"/>
      <c r="CL482" s="124"/>
      <c r="CM482" s="124"/>
      <c r="CN482" s="124"/>
      <c r="CO482" s="124"/>
      <c r="CP482" s="124"/>
      <c r="CQ482" s="124"/>
      <c r="CR482" s="124"/>
      <c r="CS482" s="124"/>
      <c r="CT482" s="124"/>
      <c r="CU482" s="124"/>
      <c r="CV482" s="124"/>
      <c r="CW482" s="124"/>
      <c r="CX482" s="124"/>
      <c r="CY482" s="124"/>
      <c r="CZ482" s="124"/>
      <c r="DA482" s="124"/>
      <c r="DB482" s="124"/>
      <c r="DC482" s="124"/>
      <c r="DD482" s="124"/>
      <c r="DE482" s="124"/>
      <c r="DF482" s="124"/>
      <c r="DG482" s="115"/>
    </row>
    <row r="483" spans="2:111" customFormat="1" ht="9" customHeight="1">
      <c r="B483" s="493"/>
      <c r="C483" s="493"/>
      <c r="D483" s="493"/>
      <c r="E483" s="493"/>
      <c r="F483" s="493"/>
      <c r="G483" s="493"/>
      <c r="H483" s="493"/>
      <c r="I483" s="493"/>
      <c r="J483" s="493"/>
      <c r="K483" s="493"/>
      <c r="L483" s="493"/>
      <c r="M483" s="493"/>
      <c r="N483" s="493"/>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21"/>
      <c r="AY483" s="421"/>
      <c r="AZ483" s="421"/>
      <c r="BA483" s="421"/>
      <c r="BC483" s="115"/>
      <c r="BD483" s="115"/>
      <c r="BE483" s="115"/>
      <c r="BF483" s="115"/>
      <c r="BG483" s="115"/>
      <c r="BH483" s="124"/>
      <c r="BI483" s="124"/>
      <c r="BJ483" s="124"/>
      <c r="BK483" s="124"/>
      <c r="BL483" s="124"/>
      <c r="BM483" s="124"/>
      <c r="BN483" s="124"/>
      <c r="BO483" s="124"/>
      <c r="BP483" s="124"/>
      <c r="BQ483" s="124"/>
      <c r="BR483" s="124"/>
      <c r="BS483" s="124"/>
      <c r="BT483" s="124"/>
      <c r="BU483" s="124"/>
      <c r="BV483" s="124"/>
      <c r="BW483" s="124"/>
      <c r="BX483" s="124"/>
      <c r="BY483" s="124"/>
      <c r="BZ483" s="124"/>
      <c r="CA483" s="124"/>
      <c r="CB483" s="124"/>
      <c r="CC483" s="124"/>
      <c r="CD483" s="124"/>
      <c r="CE483" s="124"/>
      <c r="CF483" s="124"/>
      <c r="CG483" s="124"/>
      <c r="CH483" s="124"/>
      <c r="CI483" s="124"/>
      <c r="CJ483" s="124"/>
      <c r="CK483" s="124"/>
      <c r="CL483" s="124"/>
      <c r="CM483" s="124"/>
      <c r="CN483" s="124"/>
      <c r="CO483" s="124"/>
      <c r="CP483" s="124"/>
      <c r="CQ483" s="124"/>
      <c r="CR483" s="124"/>
      <c r="CS483" s="124"/>
      <c r="CT483" s="124"/>
      <c r="CU483" s="124"/>
      <c r="CV483" s="124"/>
      <c r="CW483" s="124"/>
      <c r="CX483" s="124"/>
      <c r="CY483" s="124"/>
      <c r="CZ483" s="124"/>
      <c r="DA483" s="124"/>
      <c r="DB483" s="124"/>
      <c r="DC483" s="124"/>
      <c r="DD483" s="124"/>
      <c r="DE483" s="124"/>
      <c r="DF483" s="124"/>
      <c r="DG483" s="115"/>
    </row>
    <row r="484" spans="2:111" customFormat="1" ht="9" customHeight="1">
      <c r="B484" s="143"/>
      <c r="C484" s="143"/>
      <c r="D484" s="143"/>
      <c r="E484" s="143"/>
      <c r="F484" s="143"/>
      <c r="G484" s="143"/>
      <c r="H484" s="143"/>
      <c r="I484" s="143"/>
      <c r="J484" s="143"/>
      <c r="K484" s="143"/>
      <c r="L484" s="143"/>
      <c r="M484" s="143"/>
      <c r="N484" s="143"/>
      <c r="O484" s="421"/>
      <c r="P484" s="421"/>
      <c r="Q484" s="421"/>
      <c r="R484" s="421"/>
      <c r="S484" s="421"/>
      <c r="T484" s="421"/>
      <c r="U484" s="421"/>
      <c r="V484" s="421"/>
      <c r="W484" s="421"/>
      <c r="X484" s="421"/>
      <c r="Y484" s="421"/>
      <c r="Z484" s="421"/>
      <c r="AA484" s="421"/>
      <c r="AB484" s="421"/>
      <c r="AC484" s="421"/>
      <c r="AD484" s="421"/>
      <c r="AE484" s="421"/>
      <c r="AF484" s="421"/>
      <c r="AG484" s="421"/>
      <c r="AH484" s="421"/>
      <c r="AI484" s="421"/>
      <c r="AJ484" s="421"/>
      <c r="AK484" s="421"/>
      <c r="AL484" s="421"/>
      <c r="AM484" s="421"/>
      <c r="AN484" s="421"/>
      <c r="AO484" s="421"/>
      <c r="AP484" s="421"/>
      <c r="AQ484" s="421"/>
      <c r="AR484" s="421"/>
      <c r="AS484" s="421"/>
      <c r="AT484" s="421"/>
      <c r="AU484" s="421"/>
      <c r="AV484" s="421"/>
      <c r="AW484" s="421"/>
      <c r="AX484" s="421"/>
      <c r="AY484" s="421"/>
      <c r="AZ484" s="421"/>
      <c r="BA484" s="421"/>
      <c r="BC484" s="115"/>
      <c r="BD484" s="115"/>
      <c r="BE484" s="115"/>
      <c r="BF484" s="115"/>
      <c r="BG484" s="115"/>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115"/>
    </row>
    <row r="485" spans="2:111" customFormat="1" ht="9" customHeight="1">
      <c r="B485" s="49"/>
      <c r="C485" s="49"/>
      <c r="D485" s="49"/>
      <c r="E485" s="49"/>
      <c r="F485" s="49"/>
      <c r="G485" s="49"/>
      <c r="H485" s="49"/>
      <c r="I485" s="49"/>
      <c r="J485" s="49"/>
      <c r="K485" s="49"/>
      <c r="L485" s="49"/>
      <c r="M485" s="49"/>
      <c r="N485" s="49"/>
      <c r="O485" s="421"/>
      <c r="P485" s="421"/>
      <c r="Q485" s="421"/>
      <c r="R485" s="421"/>
      <c r="S485" s="421"/>
      <c r="T485" s="421"/>
      <c r="U485" s="421"/>
      <c r="V485" s="421"/>
      <c r="W485" s="421"/>
      <c r="X485" s="421"/>
      <c r="Y485" s="421"/>
      <c r="Z485" s="421"/>
      <c r="AA485" s="421"/>
      <c r="AB485" s="421"/>
      <c r="AC485" s="421"/>
      <c r="AD485" s="421"/>
      <c r="AE485" s="421"/>
      <c r="AF485" s="421"/>
      <c r="AG485" s="421"/>
      <c r="AH485" s="421"/>
      <c r="AI485" s="421"/>
      <c r="AJ485" s="421"/>
      <c r="AK485" s="421"/>
      <c r="AL485" s="421"/>
      <c r="AM485" s="421"/>
      <c r="AN485" s="421"/>
      <c r="AO485" s="421"/>
      <c r="AP485" s="421"/>
      <c r="AQ485" s="421"/>
      <c r="AR485" s="421"/>
      <c r="AS485" s="421"/>
      <c r="AT485" s="421"/>
      <c r="AU485" s="421"/>
      <c r="AV485" s="421"/>
      <c r="AW485" s="421"/>
      <c r="AX485" s="421"/>
      <c r="AY485" s="421"/>
      <c r="AZ485" s="421"/>
      <c r="BA485" s="421"/>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row>
    <row r="486" spans="2:111" customFormat="1" ht="4.5" customHeight="1">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C486" s="115"/>
      <c r="BD486" s="115"/>
      <c r="BE486" s="115"/>
      <c r="BF486" s="115"/>
      <c r="BG486" s="115"/>
      <c r="BH486" s="124"/>
      <c r="BI486" s="124"/>
      <c r="BJ486" s="124"/>
      <c r="BK486" s="124"/>
      <c r="BL486" s="124"/>
      <c r="BM486" s="124"/>
      <c r="BN486" s="124"/>
      <c r="BO486" s="124"/>
      <c r="BP486" s="124"/>
      <c r="BQ486" s="124"/>
      <c r="BR486" s="124"/>
      <c r="BS486" s="124"/>
      <c r="BT486" s="124"/>
      <c r="BU486" s="124"/>
      <c r="BV486" s="124"/>
      <c r="BW486" s="124"/>
      <c r="BX486" s="124"/>
      <c r="BY486" s="124"/>
      <c r="BZ486" s="124"/>
      <c r="CA486" s="124"/>
      <c r="CB486" s="124"/>
      <c r="CC486" s="124"/>
      <c r="CD486" s="124"/>
      <c r="CE486" s="124"/>
      <c r="CF486" s="124"/>
      <c r="CG486" s="124"/>
      <c r="CH486" s="124"/>
      <c r="CI486" s="124"/>
      <c r="CJ486" s="124"/>
      <c r="CK486" s="124"/>
      <c r="CL486" s="124"/>
      <c r="CM486" s="124"/>
      <c r="CN486" s="124"/>
      <c r="CO486" s="124"/>
      <c r="CP486" s="124"/>
      <c r="CQ486" s="124"/>
      <c r="CR486" s="124"/>
      <c r="CS486" s="124"/>
      <c r="CT486" s="124"/>
      <c r="CU486" s="124"/>
      <c r="CV486" s="124"/>
      <c r="CW486" s="124"/>
      <c r="CX486" s="124"/>
      <c r="CY486" s="124"/>
      <c r="CZ486" s="124"/>
      <c r="DA486" s="124"/>
      <c r="DB486" s="124"/>
      <c r="DC486" s="124"/>
      <c r="DD486" s="124"/>
      <c r="DE486" s="124"/>
      <c r="DF486" s="124"/>
      <c r="DG486" s="115"/>
    </row>
    <row r="487" spans="2:111" customFormat="1" ht="9" customHeight="1">
      <c r="B487" s="493" t="str">
        <f>IF(B476="","","Detalhamento do Objeto:")</f>
        <v>Detalhamento do Objeto:</v>
      </c>
      <c r="C487" s="493"/>
      <c r="D487" s="493"/>
      <c r="E487" s="493"/>
      <c r="F487" s="493"/>
      <c r="G487" s="493"/>
      <c r="H487" s="493"/>
      <c r="I487" s="493"/>
      <c r="J487" s="493"/>
      <c r="K487" s="493"/>
      <c r="L487" s="493"/>
      <c r="M487" s="493"/>
      <c r="N487" s="493"/>
      <c r="O487" s="421" t="s">
        <v>684</v>
      </c>
      <c r="P487" s="421"/>
      <c r="Q487" s="421"/>
      <c r="R487" s="421"/>
      <c r="S487" s="421"/>
      <c r="T487" s="421"/>
      <c r="U487" s="421"/>
      <c r="V487" s="421"/>
      <c r="W487" s="421"/>
      <c r="X487" s="421"/>
      <c r="Y487" s="421"/>
      <c r="Z487" s="421"/>
      <c r="AA487" s="421"/>
      <c r="AB487" s="421"/>
      <c r="AC487" s="421"/>
      <c r="AD487" s="421"/>
      <c r="AE487" s="421"/>
      <c r="AF487" s="421"/>
      <c r="AG487" s="421"/>
      <c r="AH487" s="421"/>
      <c r="AI487" s="421"/>
      <c r="AJ487" s="421"/>
      <c r="AK487" s="421"/>
      <c r="AL487" s="421"/>
      <c r="AM487" s="421"/>
      <c r="AN487" s="421"/>
      <c r="AO487" s="421"/>
      <c r="AP487" s="421"/>
      <c r="AQ487" s="421"/>
      <c r="AR487" s="421"/>
      <c r="AS487" s="421"/>
      <c r="AT487" s="421"/>
      <c r="AU487" s="421"/>
      <c r="AV487" s="421"/>
      <c r="AW487" s="421"/>
      <c r="AX487" s="421"/>
      <c r="AY487" s="421"/>
      <c r="AZ487" s="421"/>
      <c r="BA487" s="421"/>
      <c r="BC487" s="115"/>
      <c r="BD487" s="115"/>
      <c r="BE487" s="115"/>
      <c r="BF487" s="115"/>
      <c r="BG487" s="115"/>
      <c r="BH487" s="124"/>
      <c r="BI487" s="124"/>
      <c r="BJ487" s="124"/>
      <c r="BK487" s="124"/>
      <c r="BL487" s="124"/>
      <c r="BM487" s="124"/>
      <c r="BN487" s="124"/>
      <c r="BO487" s="124"/>
      <c r="BP487" s="124"/>
      <c r="BQ487" s="124"/>
      <c r="BR487" s="124"/>
      <c r="BS487" s="124"/>
      <c r="BT487" s="124"/>
      <c r="BU487" s="124"/>
      <c r="BV487" s="124"/>
      <c r="BW487" s="124"/>
      <c r="BX487" s="124"/>
      <c r="BY487" s="124"/>
      <c r="BZ487" s="124"/>
      <c r="CA487" s="124"/>
      <c r="CB487" s="124"/>
      <c r="CC487" s="124"/>
      <c r="CD487" s="124"/>
      <c r="CE487" s="124"/>
      <c r="CF487" s="124"/>
      <c r="CG487" s="124"/>
      <c r="CH487" s="124"/>
      <c r="CI487" s="124"/>
      <c r="CJ487" s="124"/>
      <c r="CK487" s="124"/>
      <c r="CL487" s="124"/>
      <c r="CM487" s="124"/>
      <c r="CN487" s="124"/>
      <c r="CO487" s="124"/>
      <c r="CP487" s="124"/>
      <c r="CQ487" s="124"/>
      <c r="CR487" s="124"/>
      <c r="CS487" s="124"/>
      <c r="CT487" s="124"/>
      <c r="CU487" s="124"/>
      <c r="CV487" s="124"/>
      <c r="CW487" s="124"/>
      <c r="CX487" s="124"/>
      <c r="CY487" s="124"/>
      <c r="CZ487" s="124"/>
      <c r="DA487" s="124"/>
      <c r="DB487" s="124"/>
      <c r="DC487" s="124"/>
      <c r="DD487" s="124"/>
      <c r="DE487" s="124"/>
      <c r="DF487" s="124"/>
      <c r="DG487" s="115"/>
    </row>
    <row r="488" spans="2:111" customFormat="1" ht="9" customHeight="1">
      <c r="B488" s="493"/>
      <c r="C488" s="493"/>
      <c r="D488" s="493"/>
      <c r="E488" s="493"/>
      <c r="F488" s="493"/>
      <c r="G488" s="493"/>
      <c r="H488" s="493"/>
      <c r="I488" s="493"/>
      <c r="J488" s="493"/>
      <c r="K488" s="493"/>
      <c r="L488" s="493"/>
      <c r="M488" s="493"/>
      <c r="N488" s="493"/>
      <c r="O488" s="421"/>
      <c r="P488" s="421"/>
      <c r="Q488" s="421"/>
      <c r="R488" s="421"/>
      <c r="S488" s="421"/>
      <c r="T488" s="421"/>
      <c r="U488" s="421"/>
      <c r="V488" s="421"/>
      <c r="W488" s="421"/>
      <c r="X488" s="421"/>
      <c r="Y488" s="421"/>
      <c r="Z488" s="421"/>
      <c r="AA488" s="421"/>
      <c r="AB488" s="421"/>
      <c r="AC488" s="421"/>
      <c r="AD488" s="421"/>
      <c r="AE488" s="421"/>
      <c r="AF488" s="421"/>
      <c r="AG488" s="421"/>
      <c r="AH488" s="421"/>
      <c r="AI488" s="421"/>
      <c r="AJ488" s="421"/>
      <c r="AK488" s="421"/>
      <c r="AL488" s="421"/>
      <c r="AM488" s="421"/>
      <c r="AN488" s="421"/>
      <c r="AO488" s="421"/>
      <c r="AP488" s="421"/>
      <c r="AQ488" s="421"/>
      <c r="AR488" s="421"/>
      <c r="AS488" s="421"/>
      <c r="AT488" s="421"/>
      <c r="AU488" s="421"/>
      <c r="AV488" s="421"/>
      <c r="AW488" s="421"/>
      <c r="AX488" s="421"/>
      <c r="AY488" s="421"/>
      <c r="AZ488" s="421"/>
      <c r="BA488" s="421"/>
      <c r="BC488" s="115"/>
      <c r="BD488" s="115"/>
      <c r="BE488" s="115"/>
      <c r="BF488" s="115"/>
      <c r="BG488" s="115"/>
      <c r="BH488" s="124"/>
      <c r="BI488" s="124"/>
      <c r="BJ488" s="124"/>
      <c r="BK488" s="124"/>
      <c r="BL488" s="124"/>
      <c r="BM488" s="124"/>
      <c r="BN488" s="124"/>
      <c r="BO488" s="124"/>
      <c r="BP488" s="124"/>
      <c r="BQ488" s="124"/>
      <c r="BR488" s="124"/>
      <c r="BS488" s="124"/>
      <c r="BT488" s="124"/>
      <c r="BU488" s="124"/>
      <c r="BV488" s="124"/>
      <c r="BW488" s="124"/>
      <c r="BX488" s="124"/>
      <c r="BY488" s="124"/>
      <c r="BZ488" s="124"/>
      <c r="CA488" s="124"/>
      <c r="CB488" s="124"/>
      <c r="CC488" s="124"/>
      <c r="CD488" s="124"/>
      <c r="CE488" s="124"/>
      <c r="CF488" s="124"/>
      <c r="CG488" s="124"/>
      <c r="CH488" s="124"/>
      <c r="CI488" s="124"/>
      <c r="CJ488" s="124"/>
      <c r="CK488" s="124"/>
      <c r="CL488" s="124"/>
      <c r="CM488" s="124"/>
      <c r="CN488" s="124"/>
      <c r="CO488" s="124"/>
      <c r="CP488" s="124"/>
      <c r="CQ488" s="124"/>
      <c r="CR488" s="124"/>
      <c r="CS488" s="124"/>
      <c r="CT488" s="124"/>
      <c r="CU488" s="124"/>
      <c r="CV488" s="124"/>
      <c r="CW488" s="124"/>
      <c r="CX488" s="124"/>
      <c r="CY488" s="124"/>
      <c r="CZ488" s="124"/>
      <c r="DA488" s="124"/>
      <c r="DB488" s="124"/>
      <c r="DC488" s="124"/>
      <c r="DD488" s="124"/>
      <c r="DE488" s="124"/>
      <c r="DF488" s="124"/>
      <c r="DG488" s="115"/>
    </row>
    <row r="489" spans="2:111" customFormat="1" ht="9" customHeight="1">
      <c r="B489" s="143"/>
      <c r="C489" s="143"/>
      <c r="D489" s="143"/>
      <c r="E489" s="143"/>
      <c r="F489" s="143"/>
      <c r="G489" s="143"/>
      <c r="H489" s="143"/>
      <c r="I489" s="143"/>
      <c r="J489" s="143"/>
      <c r="K489" s="143"/>
      <c r="L489" s="143"/>
      <c r="M489" s="143"/>
      <c r="N489" s="143"/>
      <c r="O489" s="421"/>
      <c r="P489" s="421"/>
      <c r="Q489" s="421"/>
      <c r="R489" s="421"/>
      <c r="S489" s="421"/>
      <c r="T489" s="421"/>
      <c r="U489" s="421"/>
      <c r="V489" s="421"/>
      <c r="W489" s="421"/>
      <c r="X489" s="421"/>
      <c r="Y489" s="421"/>
      <c r="Z489" s="421"/>
      <c r="AA489" s="421"/>
      <c r="AB489" s="421"/>
      <c r="AC489" s="421"/>
      <c r="AD489" s="421"/>
      <c r="AE489" s="421"/>
      <c r="AF489" s="421"/>
      <c r="AG489" s="421"/>
      <c r="AH489" s="421"/>
      <c r="AI489" s="421"/>
      <c r="AJ489" s="421"/>
      <c r="AK489" s="421"/>
      <c r="AL489" s="421"/>
      <c r="AM489" s="421"/>
      <c r="AN489" s="421"/>
      <c r="AO489" s="421"/>
      <c r="AP489" s="421"/>
      <c r="AQ489" s="421"/>
      <c r="AR489" s="421"/>
      <c r="AS489" s="421"/>
      <c r="AT489" s="421"/>
      <c r="AU489" s="421"/>
      <c r="AV489" s="421"/>
      <c r="AW489" s="421"/>
      <c r="AX489" s="421"/>
      <c r="AY489" s="421"/>
      <c r="AZ489" s="421"/>
      <c r="BA489" s="421"/>
      <c r="BC489" s="115"/>
      <c r="BD489" s="115"/>
      <c r="BE489" s="115"/>
      <c r="BF489" s="115"/>
      <c r="BG489" s="115"/>
      <c r="BH489" s="84"/>
      <c r="BI489" s="84"/>
      <c r="BJ489" s="84"/>
      <c r="BK489" s="84"/>
      <c r="BL489" s="84"/>
      <c r="BM489" s="84"/>
      <c r="BN489" s="84"/>
      <c r="BO489" s="84"/>
      <c r="BP489" s="84"/>
      <c r="BQ489" s="84"/>
      <c r="BR489" s="84"/>
      <c r="BS489" s="84"/>
      <c r="BT489" s="84"/>
      <c r="BU489" s="84"/>
      <c r="BV489" s="84"/>
      <c r="BW489" s="84"/>
      <c r="BX489" s="84"/>
      <c r="BY489" s="84"/>
      <c r="BZ489" s="84"/>
      <c r="CA489" s="84"/>
      <c r="CB489" s="84"/>
      <c r="CC489" s="84"/>
      <c r="CD489" s="84"/>
      <c r="CE489" s="84"/>
      <c r="CF489" s="84"/>
      <c r="CG489" s="84"/>
      <c r="CH489" s="84"/>
      <c r="CI489" s="84"/>
      <c r="CJ489" s="84"/>
      <c r="CK489" s="84"/>
      <c r="CL489" s="84"/>
      <c r="CM489" s="84"/>
      <c r="CN489" s="84"/>
      <c r="CO489" s="84"/>
      <c r="CP489" s="84"/>
      <c r="CQ489" s="84"/>
      <c r="CR489" s="84"/>
      <c r="CS489" s="84"/>
      <c r="CT489" s="84"/>
      <c r="CU489" s="84"/>
      <c r="CV489" s="84"/>
      <c r="CW489" s="84"/>
      <c r="CX489" s="84"/>
      <c r="CY489" s="84"/>
      <c r="CZ489" s="84"/>
      <c r="DA489" s="84"/>
      <c r="DB489" s="84"/>
      <c r="DC489" s="84"/>
      <c r="DD489" s="84"/>
      <c r="DE489" s="84"/>
      <c r="DF489" s="84"/>
      <c r="DG489" s="115"/>
    </row>
    <row r="490" spans="2:111" customFormat="1" ht="9" customHeight="1">
      <c r="B490" s="143"/>
      <c r="C490" s="143"/>
      <c r="D490" s="143"/>
      <c r="E490" s="143"/>
      <c r="F490" s="143"/>
      <c r="G490" s="143"/>
      <c r="H490" s="143"/>
      <c r="I490" s="143"/>
      <c r="J490" s="143"/>
      <c r="K490" s="143"/>
      <c r="L490" s="143"/>
      <c r="M490" s="143"/>
      <c r="N490" s="143"/>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421"/>
      <c r="AL490" s="421"/>
      <c r="AM490" s="421"/>
      <c r="AN490" s="421"/>
      <c r="AO490" s="421"/>
      <c r="AP490" s="421"/>
      <c r="AQ490" s="421"/>
      <c r="AR490" s="421"/>
      <c r="AS490" s="421"/>
      <c r="AT490" s="421"/>
      <c r="AU490" s="421"/>
      <c r="AV490" s="421"/>
      <c r="AW490" s="421"/>
      <c r="AX490" s="421"/>
      <c r="AY490" s="421"/>
      <c r="AZ490" s="421"/>
      <c r="BA490" s="421"/>
      <c r="BC490" s="115"/>
      <c r="BD490" s="115"/>
      <c r="BE490" s="115"/>
      <c r="BF490" s="115"/>
      <c r="BG490" s="115"/>
      <c r="BH490" s="84"/>
      <c r="BI490" s="84"/>
      <c r="BJ490" s="84"/>
      <c r="BK490" s="84"/>
      <c r="BL490" s="84"/>
      <c r="BM490" s="84"/>
      <c r="BN490" s="84"/>
      <c r="BO490" s="84"/>
      <c r="BP490" s="84"/>
      <c r="BQ490" s="84"/>
      <c r="BR490" s="84"/>
      <c r="BS490" s="84"/>
      <c r="BT490" s="84"/>
      <c r="BU490" s="84"/>
      <c r="BV490" s="84"/>
      <c r="BW490" s="84"/>
      <c r="BX490" s="84"/>
      <c r="BY490" s="84"/>
      <c r="BZ490" s="84"/>
      <c r="CA490" s="84"/>
      <c r="CB490" s="84"/>
      <c r="CC490" s="84"/>
      <c r="CD490" s="84"/>
      <c r="CE490" s="84"/>
      <c r="CF490" s="84"/>
      <c r="CG490" s="84"/>
      <c r="CH490" s="84"/>
      <c r="CI490" s="84"/>
      <c r="CJ490" s="84"/>
      <c r="CK490" s="84"/>
      <c r="CL490" s="84"/>
      <c r="CM490" s="84"/>
      <c r="CN490" s="84"/>
      <c r="CO490" s="84"/>
      <c r="CP490" s="84"/>
      <c r="CQ490" s="84"/>
      <c r="CR490" s="84"/>
      <c r="CS490" s="84"/>
      <c r="CT490" s="84"/>
      <c r="CU490" s="84"/>
      <c r="CV490" s="84"/>
      <c r="CW490" s="84"/>
      <c r="CX490" s="84"/>
      <c r="CY490" s="84"/>
      <c r="CZ490" s="84"/>
      <c r="DA490" s="84"/>
      <c r="DB490" s="84"/>
      <c r="DC490" s="84"/>
      <c r="DD490" s="84"/>
      <c r="DE490" s="84"/>
      <c r="DF490" s="84"/>
      <c r="DG490" s="115"/>
    </row>
    <row r="491" spans="2:111" customFormat="1" ht="9" customHeight="1">
      <c r="B491" s="143"/>
      <c r="C491" s="143"/>
      <c r="D491" s="143"/>
      <c r="E491" s="143"/>
      <c r="F491" s="143"/>
      <c r="G491" s="143"/>
      <c r="H491" s="143"/>
      <c r="I491" s="143"/>
      <c r="J491" s="143"/>
      <c r="K491" s="143"/>
      <c r="L491" s="143"/>
      <c r="M491" s="143"/>
      <c r="N491" s="143"/>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c r="AN491" s="421"/>
      <c r="AO491" s="421"/>
      <c r="AP491" s="421"/>
      <c r="AQ491" s="421"/>
      <c r="AR491" s="421"/>
      <c r="AS491" s="421"/>
      <c r="AT491" s="421"/>
      <c r="AU491" s="421"/>
      <c r="AV491" s="421"/>
      <c r="AW491" s="421"/>
      <c r="AX491" s="421"/>
      <c r="AY491" s="421"/>
      <c r="AZ491" s="421"/>
      <c r="BA491" s="421"/>
      <c r="BC491" s="115"/>
      <c r="BD491" s="115"/>
      <c r="BE491" s="115"/>
      <c r="BF491" s="115"/>
      <c r="BG491" s="115"/>
      <c r="BH491" s="84"/>
      <c r="BI491" s="84"/>
      <c r="BJ491" s="84"/>
      <c r="BK491" s="84"/>
      <c r="BL491" s="84"/>
      <c r="BM491" s="84"/>
      <c r="BN491" s="84"/>
      <c r="BO491" s="84"/>
      <c r="BP491" s="84"/>
      <c r="BQ491" s="84"/>
      <c r="BR491" s="84"/>
      <c r="BS491" s="84"/>
      <c r="BT491" s="84"/>
      <c r="BU491" s="84"/>
      <c r="BV491" s="84"/>
      <c r="BW491" s="84"/>
      <c r="BX491" s="84"/>
      <c r="BY491" s="84"/>
      <c r="BZ491" s="84"/>
      <c r="CA491" s="84"/>
      <c r="CB491" s="84"/>
      <c r="CC491" s="84"/>
      <c r="CD491" s="84"/>
      <c r="CE491" s="84"/>
      <c r="CF491" s="84"/>
      <c r="CG491" s="84"/>
      <c r="CH491" s="84"/>
      <c r="CI491" s="84"/>
      <c r="CJ491" s="84"/>
      <c r="CK491" s="84"/>
      <c r="CL491" s="84"/>
      <c r="CM491" s="84"/>
      <c r="CN491" s="84"/>
      <c r="CO491" s="84"/>
      <c r="CP491" s="84"/>
      <c r="CQ491" s="84"/>
      <c r="CR491" s="84"/>
      <c r="CS491" s="84"/>
      <c r="CT491" s="84"/>
      <c r="CU491" s="84"/>
      <c r="CV491" s="84"/>
      <c r="CW491" s="84"/>
      <c r="CX491" s="84"/>
      <c r="CY491" s="84"/>
      <c r="CZ491" s="84"/>
      <c r="DA491" s="84"/>
      <c r="DB491" s="84"/>
      <c r="DC491" s="84"/>
      <c r="DD491" s="84"/>
      <c r="DE491" s="84"/>
      <c r="DF491" s="84"/>
      <c r="DG491" s="115"/>
    </row>
    <row r="492" spans="2:111" customFormat="1" ht="9" customHeight="1">
      <c r="B492" s="143"/>
      <c r="C492" s="143"/>
      <c r="D492" s="143"/>
      <c r="E492" s="143"/>
      <c r="F492" s="143"/>
      <c r="G492" s="143"/>
      <c r="H492" s="143"/>
      <c r="I492" s="143"/>
      <c r="J492" s="143"/>
      <c r="K492" s="143"/>
      <c r="L492" s="143"/>
      <c r="M492" s="143"/>
      <c r="N492" s="143"/>
      <c r="O492" s="421"/>
      <c r="P492" s="421"/>
      <c r="Q492" s="421"/>
      <c r="R492" s="421"/>
      <c r="S492" s="421"/>
      <c r="T492" s="421"/>
      <c r="U492" s="421"/>
      <c r="V492" s="421"/>
      <c r="W492" s="421"/>
      <c r="X492" s="421"/>
      <c r="Y492" s="421"/>
      <c r="Z492" s="421"/>
      <c r="AA492" s="421"/>
      <c r="AB492" s="421"/>
      <c r="AC492" s="421"/>
      <c r="AD492" s="421"/>
      <c r="AE492" s="421"/>
      <c r="AF492" s="421"/>
      <c r="AG492" s="421"/>
      <c r="AH492" s="421"/>
      <c r="AI492" s="421"/>
      <c r="AJ492" s="421"/>
      <c r="AK492" s="421"/>
      <c r="AL492" s="421"/>
      <c r="AM492" s="421"/>
      <c r="AN492" s="421"/>
      <c r="AO492" s="421"/>
      <c r="AP492" s="421"/>
      <c r="AQ492" s="421"/>
      <c r="AR492" s="421"/>
      <c r="AS492" s="421"/>
      <c r="AT492" s="421"/>
      <c r="AU492" s="421"/>
      <c r="AV492" s="421"/>
      <c r="AW492" s="421"/>
      <c r="AX492" s="421"/>
      <c r="AY492" s="421"/>
      <c r="AZ492" s="421"/>
      <c r="BA492" s="421"/>
      <c r="BC492" s="115"/>
      <c r="BD492" s="115"/>
      <c r="BE492" s="115"/>
      <c r="BF492" s="115"/>
      <c r="BG492" s="115"/>
      <c r="BH492" s="84"/>
      <c r="BI492" s="84"/>
      <c r="BJ492" s="84"/>
      <c r="BK492" s="84"/>
      <c r="BL492" s="84"/>
      <c r="BM492" s="84"/>
      <c r="BN492" s="84"/>
      <c r="BO492" s="84"/>
      <c r="BP492" s="84"/>
      <c r="BQ492" s="84"/>
      <c r="BR492" s="84"/>
      <c r="BS492" s="84"/>
      <c r="BT492" s="84"/>
      <c r="BU492" s="84"/>
      <c r="BV492" s="84"/>
      <c r="BW492" s="84"/>
      <c r="BX492" s="84"/>
      <c r="BY492" s="84"/>
      <c r="BZ492" s="84"/>
      <c r="CA492" s="84"/>
      <c r="CB492" s="84"/>
      <c r="CC492" s="84"/>
      <c r="CD492" s="84"/>
      <c r="CE492" s="84"/>
      <c r="CF492" s="84"/>
      <c r="CG492" s="84"/>
      <c r="CH492" s="84"/>
      <c r="CI492" s="84"/>
      <c r="CJ492" s="84"/>
      <c r="CK492" s="84"/>
      <c r="CL492" s="84"/>
      <c r="CM492" s="84"/>
      <c r="CN492" s="84"/>
      <c r="CO492" s="84"/>
      <c r="CP492" s="84"/>
      <c r="CQ492" s="84"/>
      <c r="CR492" s="84"/>
      <c r="CS492" s="84"/>
      <c r="CT492" s="84"/>
      <c r="CU492" s="84"/>
      <c r="CV492" s="84"/>
      <c r="CW492" s="84"/>
      <c r="CX492" s="84"/>
      <c r="CY492" s="84"/>
      <c r="CZ492" s="84"/>
      <c r="DA492" s="84"/>
      <c r="DB492" s="84"/>
      <c r="DC492" s="84"/>
      <c r="DD492" s="84"/>
      <c r="DE492" s="84"/>
      <c r="DF492" s="84"/>
      <c r="DG492" s="115"/>
    </row>
    <row r="493" spans="2:111" customFormat="1" ht="9" customHeight="1">
      <c r="B493" s="143"/>
      <c r="C493" s="143"/>
      <c r="D493" s="143"/>
      <c r="E493" s="143"/>
      <c r="F493" s="143"/>
      <c r="G493" s="143"/>
      <c r="H493" s="143"/>
      <c r="I493" s="143"/>
      <c r="J493" s="143"/>
      <c r="K493" s="143"/>
      <c r="L493" s="143"/>
      <c r="M493" s="143"/>
      <c r="N493" s="143"/>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421"/>
      <c r="AM493" s="421"/>
      <c r="AN493" s="421"/>
      <c r="AO493" s="421"/>
      <c r="AP493" s="421"/>
      <c r="AQ493" s="421"/>
      <c r="AR493" s="421"/>
      <c r="AS493" s="421"/>
      <c r="AT493" s="421"/>
      <c r="AU493" s="421"/>
      <c r="AV493" s="421"/>
      <c r="AW493" s="421"/>
      <c r="AX493" s="421"/>
      <c r="AY493" s="421"/>
      <c r="AZ493" s="421"/>
      <c r="BA493" s="421"/>
      <c r="BC493" s="115"/>
      <c r="BD493" s="115"/>
      <c r="BE493" s="115"/>
      <c r="BF493" s="115"/>
      <c r="BG493" s="115"/>
      <c r="BH493" s="84"/>
      <c r="BI493" s="84"/>
      <c r="BJ493" s="84"/>
      <c r="BK493" s="84"/>
      <c r="BL493" s="84"/>
      <c r="BM493" s="84"/>
      <c r="BN493" s="84"/>
      <c r="BO493" s="84"/>
      <c r="BP493" s="84"/>
      <c r="BQ493" s="84"/>
      <c r="BR493" s="84"/>
      <c r="BS493" s="84"/>
      <c r="BT493" s="84"/>
      <c r="BU493" s="84"/>
      <c r="BV493" s="84"/>
      <c r="BW493" s="84"/>
      <c r="BX493" s="84"/>
      <c r="BY493" s="84"/>
      <c r="BZ493" s="84"/>
      <c r="CA493" s="84"/>
      <c r="CB493" s="84"/>
      <c r="CC493" s="84"/>
      <c r="CD493" s="84"/>
      <c r="CE493" s="84"/>
      <c r="CF493" s="84"/>
      <c r="CG493" s="84"/>
      <c r="CH493" s="84"/>
      <c r="CI493" s="84"/>
      <c r="CJ493" s="84"/>
      <c r="CK493" s="84"/>
      <c r="CL493" s="84"/>
      <c r="CM493" s="84"/>
      <c r="CN493" s="84"/>
      <c r="CO493" s="84"/>
      <c r="CP493" s="84"/>
      <c r="CQ493" s="84"/>
      <c r="CR493" s="84"/>
      <c r="CS493" s="84"/>
      <c r="CT493" s="84"/>
      <c r="CU493" s="84"/>
      <c r="CV493" s="84"/>
      <c r="CW493" s="84"/>
      <c r="CX493" s="84"/>
      <c r="CY493" s="84"/>
      <c r="CZ493" s="84"/>
      <c r="DA493" s="84"/>
      <c r="DB493" s="84"/>
      <c r="DC493" s="84"/>
      <c r="DD493" s="84"/>
      <c r="DE493" s="84"/>
      <c r="DF493" s="84"/>
      <c r="DG493" s="115"/>
    </row>
    <row r="494" spans="2:111" customFormat="1" ht="9" customHeight="1">
      <c r="B494" s="49"/>
      <c r="C494" s="49"/>
      <c r="D494" s="49"/>
      <c r="E494" s="49"/>
      <c r="F494" s="49"/>
      <c r="G494" s="49"/>
      <c r="H494" s="49"/>
      <c r="I494" s="49"/>
      <c r="J494" s="49"/>
      <c r="K494" s="49"/>
      <c r="L494" s="49"/>
      <c r="M494" s="49"/>
      <c r="N494" s="49"/>
      <c r="O494" s="421"/>
      <c r="P494" s="421"/>
      <c r="Q494" s="421"/>
      <c r="R494" s="421"/>
      <c r="S494" s="421"/>
      <c r="T494" s="421"/>
      <c r="U494" s="421"/>
      <c r="V494" s="421"/>
      <c r="W494" s="421"/>
      <c r="X494" s="421"/>
      <c r="Y494" s="421"/>
      <c r="Z494" s="421"/>
      <c r="AA494" s="421"/>
      <c r="AB494" s="421"/>
      <c r="AC494" s="421"/>
      <c r="AD494" s="421"/>
      <c r="AE494" s="421"/>
      <c r="AF494" s="421"/>
      <c r="AG494" s="421"/>
      <c r="AH494" s="421"/>
      <c r="AI494" s="421"/>
      <c r="AJ494" s="421"/>
      <c r="AK494" s="421"/>
      <c r="AL494" s="421"/>
      <c r="AM494" s="421"/>
      <c r="AN494" s="421"/>
      <c r="AO494" s="421"/>
      <c r="AP494" s="421"/>
      <c r="AQ494" s="421"/>
      <c r="AR494" s="421"/>
      <c r="AS494" s="421"/>
      <c r="AT494" s="421"/>
      <c r="AU494" s="421"/>
      <c r="AV494" s="421"/>
      <c r="AW494" s="421"/>
      <c r="AX494" s="421"/>
      <c r="AY494" s="421"/>
      <c r="AZ494" s="421"/>
      <c r="BA494" s="421"/>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row>
    <row r="495" spans="2:111" customFormat="1" ht="4.5" customHeight="1">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C495" s="115"/>
      <c r="BD495" s="115"/>
      <c r="BE495" s="115"/>
      <c r="BF495" s="115"/>
      <c r="BG495" s="115"/>
      <c r="BH495" s="124"/>
      <c r="BI495" s="124"/>
      <c r="BJ495" s="124"/>
      <c r="BK495" s="124"/>
      <c r="BL495" s="124"/>
      <c r="BM495" s="124"/>
      <c r="BN495" s="124"/>
      <c r="BO495" s="124"/>
      <c r="BP495" s="124"/>
      <c r="BQ495" s="124"/>
      <c r="BR495" s="124"/>
      <c r="BS495" s="124"/>
      <c r="BT495" s="124"/>
      <c r="BU495" s="124"/>
      <c r="BV495" s="124"/>
      <c r="BW495" s="124"/>
      <c r="BX495" s="124"/>
      <c r="BY495" s="124"/>
      <c r="BZ495" s="124"/>
      <c r="CA495" s="124"/>
      <c r="CB495" s="124"/>
      <c r="CC495" s="124"/>
      <c r="CD495" s="124"/>
      <c r="CE495" s="124"/>
      <c r="CF495" s="124"/>
      <c r="CG495" s="124"/>
      <c r="CH495" s="124"/>
      <c r="CI495" s="124"/>
      <c r="CJ495" s="124"/>
      <c r="CK495" s="124"/>
      <c r="CL495" s="124"/>
      <c r="CM495" s="124"/>
      <c r="CN495" s="124"/>
      <c r="CO495" s="124"/>
      <c r="CP495" s="124"/>
      <c r="CQ495" s="124"/>
      <c r="CR495" s="124"/>
      <c r="CS495" s="124"/>
      <c r="CT495" s="124"/>
      <c r="CU495" s="124"/>
      <c r="CV495" s="124"/>
      <c r="CW495" s="124"/>
      <c r="CX495" s="124"/>
      <c r="CY495" s="124"/>
      <c r="CZ495" s="124"/>
      <c r="DA495" s="124"/>
      <c r="DB495" s="124"/>
      <c r="DC495" s="124"/>
      <c r="DD495" s="124"/>
      <c r="DE495" s="124"/>
      <c r="DF495" s="124"/>
      <c r="DG495" s="115"/>
    </row>
    <row r="496" spans="2:111" customFormat="1" ht="9" customHeight="1">
      <c r="B496" s="493" t="str">
        <f>IF(B476="","","Justificativa:")</f>
        <v>Justificativa:</v>
      </c>
      <c r="C496" s="493"/>
      <c r="D496" s="493"/>
      <c r="E496" s="493"/>
      <c r="F496" s="493"/>
      <c r="G496" s="493"/>
      <c r="H496" s="493"/>
      <c r="I496" s="493"/>
      <c r="J496" s="493"/>
      <c r="K496" s="493"/>
      <c r="L496" s="493"/>
      <c r="M496" s="493"/>
      <c r="N496" s="493"/>
      <c r="O496" s="421" t="s">
        <v>686</v>
      </c>
      <c r="P496" s="421"/>
      <c r="Q496" s="421"/>
      <c r="R496" s="421"/>
      <c r="S496" s="421"/>
      <c r="T496" s="421"/>
      <c r="U496" s="421"/>
      <c r="V496" s="421"/>
      <c r="W496" s="421"/>
      <c r="X496" s="421"/>
      <c r="Y496" s="421"/>
      <c r="Z496" s="421"/>
      <c r="AA496" s="421"/>
      <c r="AB496" s="421"/>
      <c r="AC496" s="421"/>
      <c r="AD496" s="421"/>
      <c r="AE496" s="421"/>
      <c r="AF496" s="421"/>
      <c r="AG496" s="421"/>
      <c r="AH496" s="421"/>
      <c r="AI496" s="421"/>
      <c r="AJ496" s="421"/>
      <c r="AK496" s="421"/>
      <c r="AL496" s="421"/>
      <c r="AM496" s="421"/>
      <c r="AN496" s="421"/>
      <c r="AO496" s="421"/>
      <c r="AP496" s="421"/>
      <c r="AQ496" s="421"/>
      <c r="AR496" s="421"/>
      <c r="AS496" s="421"/>
      <c r="AT496" s="421"/>
      <c r="AU496" s="421"/>
      <c r="AV496" s="421"/>
      <c r="AW496" s="421"/>
      <c r="AX496" s="421"/>
      <c r="AY496" s="421"/>
      <c r="AZ496" s="421"/>
      <c r="BA496" s="421"/>
      <c r="BC496" s="115"/>
      <c r="BD496" s="115"/>
      <c r="BE496" s="115"/>
      <c r="BF496" s="115"/>
      <c r="BG496" s="115"/>
      <c r="BH496" s="124"/>
      <c r="BI496" s="124"/>
      <c r="BJ496" s="124"/>
      <c r="BK496" s="124"/>
      <c r="BL496" s="124"/>
      <c r="BM496" s="124"/>
      <c r="BN496" s="124"/>
      <c r="BO496" s="124"/>
      <c r="BP496" s="124"/>
      <c r="BQ496" s="124"/>
      <c r="BR496" s="124"/>
      <c r="BS496" s="124"/>
      <c r="BT496" s="124"/>
      <c r="BU496" s="124"/>
      <c r="BV496" s="124"/>
      <c r="BW496" s="124"/>
      <c r="BX496" s="124"/>
      <c r="BY496" s="124"/>
      <c r="BZ496" s="124"/>
      <c r="CA496" s="124"/>
      <c r="CB496" s="124"/>
      <c r="CC496" s="124"/>
      <c r="CD496" s="124"/>
      <c r="CE496" s="124"/>
      <c r="CF496" s="124"/>
      <c r="CG496" s="124"/>
      <c r="CH496" s="124"/>
      <c r="CI496" s="124"/>
      <c r="CJ496" s="124"/>
      <c r="CK496" s="124"/>
      <c r="CL496" s="124"/>
      <c r="CM496" s="124"/>
      <c r="CN496" s="124"/>
      <c r="CO496" s="124"/>
      <c r="CP496" s="124"/>
      <c r="CQ496" s="124"/>
      <c r="CR496" s="124"/>
      <c r="CS496" s="124"/>
      <c r="CT496" s="124"/>
      <c r="CU496" s="124"/>
      <c r="CV496" s="124"/>
      <c r="CW496" s="124"/>
      <c r="CX496" s="124"/>
      <c r="CY496" s="124"/>
      <c r="CZ496" s="124"/>
      <c r="DA496" s="124"/>
      <c r="DB496" s="124"/>
      <c r="DC496" s="124"/>
      <c r="DD496" s="124"/>
      <c r="DE496" s="124"/>
      <c r="DF496" s="124"/>
      <c r="DG496" s="115"/>
    </row>
    <row r="497" spans="2:111" customFormat="1" ht="9" customHeight="1">
      <c r="B497" s="493"/>
      <c r="C497" s="493"/>
      <c r="D497" s="493"/>
      <c r="E497" s="493"/>
      <c r="F497" s="493"/>
      <c r="G497" s="493"/>
      <c r="H497" s="493"/>
      <c r="I497" s="493"/>
      <c r="J497" s="493"/>
      <c r="K497" s="493"/>
      <c r="L497" s="493"/>
      <c r="M497" s="493"/>
      <c r="N497" s="493"/>
      <c r="O497" s="421"/>
      <c r="P497" s="421"/>
      <c r="Q497" s="421"/>
      <c r="R497" s="421"/>
      <c r="S497" s="421"/>
      <c r="T497" s="421"/>
      <c r="U497" s="421"/>
      <c r="V497" s="421"/>
      <c r="W497" s="421"/>
      <c r="X497" s="421"/>
      <c r="Y497" s="421"/>
      <c r="Z497" s="421"/>
      <c r="AA497" s="421"/>
      <c r="AB497" s="421"/>
      <c r="AC497" s="421"/>
      <c r="AD497" s="421"/>
      <c r="AE497" s="421"/>
      <c r="AF497" s="421"/>
      <c r="AG497" s="421"/>
      <c r="AH497" s="421"/>
      <c r="AI497" s="421"/>
      <c r="AJ497" s="421"/>
      <c r="AK497" s="421"/>
      <c r="AL497" s="421"/>
      <c r="AM497" s="421"/>
      <c r="AN497" s="421"/>
      <c r="AO497" s="421"/>
      <c r="AP497" s="421"/>
      <c r="AQ497" s="421"/>
      <c r="AR497" s="421"/>
      <c r="AS497" s="421"/>
      <c r="AT497" s="421"/>
      <c r="AU497" s="421"/>
      <c r="AV497" s="421"/>
      <c r="AW497" s="421"/>
      <c r="AX497" s="421"/>
      <c r="AY497" s="421"/>
      <c r="AZ497" s="421"/>
      <c r="BA497" s="421"/>
      <c r="BC497" s="115"/>
      <c r="BD497" s="115"/>
      <c r="BE497" s="115"/>
      <c r="BF497" s="115"/>
      <c r="BG497" s="115"/>
      <c r="BH497" s="124"/>
      <c r="BI497" s="124"/>
      <c r="BJ497" s="124"/>
      <c r="BK497" s="124"/>
      <c r="BL497" s="124"/>
      <c r="BM497" s="124"/>
      <c r="BN497" s="124"/>
      <c r="BO497" s="124"/>
      <c r="BP497" s="124"/>
      <c r="BQ497" s="124"/>
      <c r="BR497" s="124"/>
      <c r="BS497" s="124"/>
      <c r="BT497" s="124"/>
      <c r="BU497" s="124"/>
      <c r="BV497" s="124"/>
      <c r="BW497" s="124"/>
      <c r="BX497" s="124"/>
      <c r="BY497" s="124"/>
      <c r="BZ497" s="124"/>
      <c r="CA497" s="124"/>
      <c r="CB497" s="124"/>
      <c r="CC497" s="124"/>
      <c r="CD497" s="124"/>
      <c r="CE497" s="124"/>
      <c r="CF497" s="124"/>
      <c r="CG497" s="124"/>
      <c r="CH497" s="124"/>
      <c r="CI497" s="124"/>
      <c r="CJ497" s="124"/>
      <c r="CK497" s="124"/>
      <c r="CL497" s="124"/>
      <c r="CM497" s="124"/>
      <c r="CN497" s="124"/>
      <c r="CO497" s="124"/>
      <c r="CP497" s="124"/>
      <c r="CQ497" s="124"/>
      <c r="CR497" s="124"/>
      <c r="CS497" s="124"/>
      <c r="CT497" s="124"/>
      <c r="CU497" s="124"/>
      <c r="CV497" s="124"/>
      <c r="CW497" s="124"/>
      <c r="CX497" s="124"/>
      <c r="CY497" s="124"/>
      <c r="CZ497" s="124"/>
      <c r="DA497" s="124"/>
      <c r="DB497" s="124"/>
      <c r="DC497" s="124"/>
      <c r="DD497" s="124"/>
      <c r="DE497" s="124"/>
      <c r="DF497" s="124"/>
      <c r="DG497" s="115"/>
    </row>
    <row r="498" spans="2:111" customFormat="1" ht="9" customHeight="1">
      <c r="B498" s="143"/>
      <c r="C498" s="143"/>
      <c r="D498" s="143"/>
      <c r="E498" s="143"/>
      <c r="F498" s="143"/>
      <c r="G498" s="143"/>
      <c r="H498" s="143"/>
      <c r="I498" s="143"/>
      <c r="J498" s="143"/>
      <c r="K498" s="143"/>
      <c r="L498" s="143"/>
      <c r="M498" s="143"/>
      <c r="N498" s="143"/>
      <c r="O498" s="421"/>
      <c r="P498" s="421"/>
      <c r="Q498" s="421"/>
      <c r="R498" s="421"/>
      <c r="S498" s="421"/>
      <c r="T498" s="421"/>
      <c r="U498" s="421"/>
      <c r="V498" s="421"/>
      <c r="W498" s="421"/>
      <c r="X498" s="421"/>
      <c r="Y498" s="421"/>
      <c r="Z498" s="421"/>
      <c r="AA498" s="421"/>
      <c r="AB498" s="421"/>
      <c r="AC498" s="421"/>
      <c r="AD498" s="421"/>
      <c r="AE498" s="421"/>
      <c r="AF498" s="421"/>
      <c r="AG498" s="421"/>
      <c r="AH498" s="421"/>
      <c r="AI498" s="421"/>
      <c r="AJ498" s="421"/>
      <c r="AK498" s="421"/>
      <c r="AL498" s="421"/>
      <c r="AM498" s="421"/>
      <c r="AN498" s="421"/>
      <c r="AO498" s="421"/>
      <c r="AP498" s="421"/>
      <c r="AQ498" s="421"/>
      <c r="AR498" s="421"/>
      <c r="AS498" s="421"/>
      <c r="AT498" s="421"/>
      <c r="AU498" s="421"/>
      <c r="AV498" s="421"/>
      <c r="AW498" s="421"/>
      <c r="AX498" s="421"/>
      <c r="AY498" s="421"/>
      <c r="AZ498" s="421"/>
      <c r="BA498" s="421"/>
      <c r="BC498" s="115"/>
      <c r="BD498" s="115"/>
      <c r="BE498" s="115"/>
      <c r="BF498" s="115"/>
      <c r="BG498" s="115"/>
      <c r="BH498" s="124"/>
      <c r="BI498" s="124"/>
      <c r="BJ498" s="124"/>
      <c r="BK498" s="124"/>
      <c r="BL498" s="124"/>
      <c r="BM498" s="124"/>
      <c r="BN498" s="124"/>
      <c r="BO498" s="124"/>
      <c r="BP498" s="124"/>
      <c r="BQ498" s="124"/>
      <c r="BR498" s="124"/>
      <c r="BS498" s="124"/>
      <c r="BT498" s="124"/>
      <c r="BU498" s="124"/>
      <c r="BV498" s="124"/>
      <c r="BW498" s="124"/>
      <c r="BX498" s="124"/>
      <c r="BY498" s="124"/>
      <c r="BZ498" s="124"/>
      <c r="CA498" s="124"/>
      <c r="CB498" s="124"/>
      <c r="CC498" s="124"/>
      <c r="CD498" s="124"/>
      <c r="CE498" s="124"/>
      <c r="CF498" s="124"/>
      <c r="CG498" s="124"/>
      <c r="CH498" s="124"/>
      <c r="CI498" s="124"/>
      <c r="CJ498" s="124"/>
      <c r="CK498" s="124"/>
      <c r="CL498" s="124"/>
      <c r="CM498" s="124"/>
      <c r="CN498" s="124"/>
      <c r="CO498" s="124"/>
      <c r="CP498" s="124"/>
      <c r="CQ498" s="124"/>
      <c r="CR498" s="124"/>
      <c r="CS498" s="124"/>
      <c r="CT498" s="124"/>
      <c r="CU498" s="124"/>
      <c r="CV498" s="124"/>
      <c r="CW498" s="124"/>
      <c r="CX498" s="124"/>
      <c r="CY498" s="124"/>
      <c r="CZ498" s="124"/>
      <c r="DA498" s="124"/>
      <c r="DB498" s="124"/>
      <c r="DC498" s="124"/>
      <c r="DD498" s="124"/>
      <c r="DE498" s="124"/>
      <c r="DF498" s="124"/>
      <c r="DG498" s="115"/>
    </row>
    <row r="499" spans="2:111" customFormat="1" ht="9" customHeight="1">
      <c r="B499" s="143"/>
      <c r="C499" s="143"/>
      <c r="D499" s="143"/>
      <c r="E499" s="143"/>
      <c r="F499" s="143"/>
      <c r="G499" s="143"/>
      <c r="H499" s="143"/>
      <c r="I499" s="143"/>
      <c r="J499" s="143"/>
      <c r="K499" s="143"/>
      <c r="L499" s="143"/>
      <c r="M499" s="143"/>
      <c r="N499" s="143"/>
      <c r="O499" s="421"/>
      <c r="P499" s="421"/>
      <c r="Q499" s="421"/>
      <c r="R499" s="421"/>
      <c r="S499" s="421"/>
      <c r="T499" s="421"/>
      <c r="U499" s="421"/>
      <c r="V499" s="421"/>
      <c r="W499" s="421"/>
      <c r="X499" s="421"/>
      <c r="Y499" s="421"/>
      <c r="Z499" s="421"/>
      <c r="AA499" s="421"/>
      <c r="AB499" s="421"/>
      <c r="AC499" s="421"/>
      <c r="AD499" s="421"/>
      <c r="AE499" s="421"/>
      <c r="AF499" s="421"/>
      <c r="AG499" s="421"/>
      <c r="AH499" s="421"/>
      <c r="AI499" s="421"/>
      <c r="AJ499" s="421"/>
      <c r="AK499" s="421"/>
      <c r="AL499" s="421"/>
      <c r="AM499" s="421"/>
      <c r="AN499" s="421"/>
      <c r="AO499" s="421"/>
      <c r="AP499" s="421"/>
      <c r="AQ499" s="421"/>
      <c r="AR499" s="421"/>
      <c r="AS499" s="421"/>
      <c r="AT499" s="421"/>
      <c r="AU499" s="421"/>
      <c r="AV499" s="421"/>
      <c r="AW499" s="421"/>
      <c r="AX499" s="421"/>
      <c r="AY499" s="421"/>
      <c r="AZ499" s="421"/>
      <c r="BA499" s="421"/>
      <c r="BC499" s="115"/>
      <c r="BD499" s="115"/>
      <c r="BE499" s="115"/>
      <c r="BF499" s="115"/>
      <c r="BG499" s="115"/>
      <c r="BH499" s="84"/>
      <c r="BI499" s="84"/>
      <c r="BJ499" s="84"/>
      <c r="BK499" s="84"/>
      <c r="BL499" s="84"/>
      <c r="BM499" s="84"/>
      <c r="BN499" s="84"/>
      <c r="BO499" s="84"/>
      <c r="BP499" s="84"/>
      <c r="BQ499" s="84"/>
      <c r="BR499" s="84"/>
      <c r="BS499" s="84"/>
      <c r="BT499" s="84"/>
      <c r="BU499" s="84"/>
      <c r="BV499" s="84"/>
      <c r="BW499" s="84"/>
      <c r="BX499" s="84"/>
      <c r="BY499" s="84"/>
      <c r="BZ499" s="84"/>
      <c r="CA499" s="84"/>
      <c r="CB499" s="84"/>
      <c r="CC499" s="84"/>
      <c r="CD499" s="84"/>
      <c r="CE499" s="84"/>
      <c r="CF499" s="84"/>
      <c r="CG499" s="84"/>
      <c r="CH499" s="84"/>
      <c r="CI499" s="84"/>
      <c r="CJ499" s="84"/>
      <c r="CK499" s="84"/>
      <c r="CL499" s="84"/>
      <c r="CM499" s="84"/>
      <c r="CN499" s="84"/>
      <c r="CO499" s="84"/>
      <c r="CP499" s="84"/>
      <c r="CQ499" s="84"/>
      <c r="CR499" s="84"/>
      <c r="CS499" s="84"/>
      <c r="CT499" s="84"/>
      <c r="CU499" s="84"/>
      <c r="CV499" s="84"/>
      <c r="CW499" s="84"/>
      <c r="CX499" s="84"/>
      <c r="CY499" s="84"/>
      <c r="CZ499" s="84"/>
      <c r="DA499" s="84"/>
      <c r="DB499" s="84"/>
      <c r="DC499" s="84"/>
      <c r="DD499" s="84"/>
      <c r="DE499" s="84"/>
      <c r="DF499" s="84"/>
      <c r="DG499" s="115"/>
    </row>
    <row r="500" spans="2:111" customFormat="1" ht="9" customHeight="1">
      <c r="B500" s="143"/>
      <c r="C500" s="143"/>
      <c r="D500" s="143"/>
      <c r="E500" s="143"/>
      <c r="F500" s="143"/>
      <c r="G500" s="143"/>
      <c r="H500" s="143"/>
      <c r="I500" s="143"/>
      <c r="J500" s="143"/>
      <c r="K500" s="143"/>
      <c r="L500" s="143"/>
      <c r="M500" s="143"/>
      <c r="N500" s="143"/>
      <c r="O500" s="421"/>
      <c r="P500" s="421"/>
      <c r="Q500" s="421"/>
      <c r="R500" s="421"/>
      <c r="S500" s="421"/>
      <c r="T500" s="421"/>
      <c r="U500" s="421"/>
      <c r="V500" s="421"/>
      <c r="W500" s="421"/>
      <c r="X500" s="421"/>
      <c r="Y500" s="421"/>
      <c r="Z500" s="421"/>
      <c r="AA500" s="421"/>
      <c r="AB500" s="421"/>
      <c r="AC500" s="421"/>
      <c r="AD500" s="421"/>
      <c r="AE500" s="421"/>
      <c r="AF500" s="421"/>
      <c r="AG500" s="421"/>
      <c r="AH500" s="421"/>
      <c r="AI500" s="421"/>
      <c r="AJ500" s="421"/>
      <c r="AK500" s="421"/>
      <c r="AL500" s="421"/>
      <c r="AM500" s="421"/>
      <c r="AN500" s="421"/>
      <c r="AO500" s="421"/>
      <c r="AP500" s="421"/>
      <c r="AQ500" s="421"/>
      <c r="AR500" s="421"/>
      <c r="AS500" s="421"/>
      <c r="AT500" s="421"/>
      <c r="AU500" s="421"/>
      <c r="AV500" s="421"/>
      <c r="AW500" s="421"/>
      <c r="AX500" s="421"/>
      <c r="AY500" s="421"/>
      <c r="AZ500" s="421"/>
      <c r="BA500" s="421"/>
      <c r="BC500" s="115"/>
      <c r="BD500" s="115"/>
      <c r="BE500" s="115"/>
      <c r="BF500" s="115"/>
      <c r="BG500" s="115"/>
      <c r="BH500" s="84"/>
      <c r="BI500" s="84"/>
      <c r="BJ500" s="84"/>
      <c r="BK500" s="84"/>
      <c r="BL500" s="84"/>
      <c r="BM500" s="84"/>
      <c r="BN500" s="84"/>
      <c r="BO500" s="84"/>
      <c r="BP500" s="84"/>
      <c r="BQ500" s="84"/>
      <c r="BR500" s="84"/>
      <c r="BS500" s="84"/>
      <c r="BT500" s="84"/>
      <c r="BU500" s="84"/>
      <c r="BV500" s="84"/>
      <c r="BW500" s="84"/>
      <c r="BX500" s="84"/>
      <c r="BY500" s="84"/>
      <c r="BZ500" s="84"/>
      <c r="CA500" s="84"/>
      <c r="CB500" s="84"/>
      <c r="CC500" s="84"/>
      <c r="CD500" s="84"/>
      <c r="CE500" s="84"/>
      <c r="CF500" s="84"/>
      <c r="CG500" s="84"/>
      <c r="CH500" s="84"/>
      <c r="CI500" s="84"/>
      <c r="CJ500" s="84"/>
      <c r="CK500" s="84"/>
      <c r="CL500" s="84"/>
      <c r="CM500" s="84"/>
      <c r="CN500" s="84"/>
      <c r="CO500" s="84"/>
      <c r="CP500" s="84"/>
      <c r="CQ500" s="84"/>
      <c r="CR500" s="84"/>
      <c r="CS500" s="84"/>
      <c r="CT500" s="84"/>
      <c r="CU500" s="84"/>
      <c r="CV500" s="84"/>
      <c r="CW500" s="84"/>
      <c r="CX500" s="84"/>
      <c r="CY500" s="84"/>
      <c r="CZ500" s="84"/>
      <c r="DA500" s="84"/>
      <c r="DB500" s="84"/>
      <c r="DC500" s="84"/>
      <c r="DD500" s="84"/>
      <c r="DE500" s="84"/>
      <c r="DF500" s="84"/>
      <c r="DG500" s="115"/>
    </row>
    <row r="501" spans="2:111" customFormat="1" ht="9" customHeight="1">
      <c r="B501" s="49"/>
      <c r="C501" s="49"/>
      <c r="D501" s="49"/>
      <c r="E501" s="49"/>
      <c r="F501" s="49"/>
      <c r="G501" s="49"/>
      <c r="H501" s="49"/>
      <c r="I501" s="49"/>
      <c r="J501" s="49"/>
      <c r="K501" s="49"/>
      <c r="L501" s="49"/>
      <c r="M501" s="49"/>
      <c r="N501" s="49"/>
      <c r="O501" s="421"/>
      <c r="P501" s="421"/>
      <c r="Q501" s="421"/>
      <c r="R501" s="421"/>
      <c r="S501" s="421"/>
      <c r="T501" s="421"/>
      <c r="U501" s="421"/>
      <c r="V501" s="421"/>
      <c r="W501" s="421"/>
      <c r="X501" s="421"/>
      <c r="Y501" s="421"/>
      <c r="Z501" s="421"/>
      <c r="AA501" s="421"/>
      <c r="AB501" s="421"/>
      <c r="AC501" s="421"/>
      <c r="AD501" s="421"/>
      <c r="AE501" s="421"/>
      <c r="AF501" s="421"/>
      <c r="AG501" s="421"/>
      <c r="AH501" s="421"/>
      <c r="AI501" s="421"/>
      <c r="AJ501" s="421"/>
      <c r="AK501" s="421"/>
      <c r="AL501" s="421"/>
      <c r="AM501" s="421"/>
      <c r="AN501" s="421"/>
      <c r="AO501" s="421"/>
      <c r="AP501" s="421"/>
      <c r="AQ501" s="421"/>
      <c r="AR501" s="421"/>
      <c r="AS501" s="421"/>
      <c r="AT501" s="421"/>
      <c r="AU501" s="421"/>
      <c r="AV501" s="421"/>
      <c r="AW501" s="421"/>
      <c r="AX501" s="421"/>
      <c r="AY501" s="421"/>
      <c r="AZ501" s="421"/>
      <c r="BA501" s="421"/>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row>
    <row r="502" spans="2:111" customFormat="1" ht="4.5" customHeight="1">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row>
    <row r="503" spans="2:111" customFormat="1" ht="9" customHeight="1">
      <c r="B503" s="493" t="str">
        <f>IF(B476="","","Metas Vinculadas:")</f>
        <v>Metas Vinculadas:</v>
      </c>
      <c r="C503" s="493"/>
      <c r="D503" s="493"/>
      <c r="E503" s="493"/>
      <c r="F503" s="493"/>
      <c r="G503" s="493"/>
      <c r="H503" s="493"/>
      <c r="I503" s="493"/>
      <c r="J503" s="493"/>
      <c r="K503" s="493"/>
      <c r="L503" s="493"/>
      <c r="M503" s="493"/>
      <c r="N503" s="493"/>
      <c r="O503" s="421">
        <v>5</v>
      </c>
      <c r="P503" s="421"/>
      <c r="Q503" s="421"/>
      <c r="R503" s="421"/>
      <c r="S503" s="421"/>
      <c r="T503" s="421"/>
      <c r="U503" s="421"/>
      <c r="V503" s="421"/>
      <c r="W503" s="421"/>
      <c r="X503" s="421"/>
      <c r="Y503" s="421"/>
      <c r="Z503" s="421"/>
      <c r="AA503" s="421"/>
      <c r="AB503" s="421"/>
      <c r="AC503" s="421"/>
      <c r="AD503" s="421"/>
      <c r="AE503" s="421"/>
      <c r="AF503" s="421"/>
      <c r="AG503" s="421"/>
      <c r="AH503" s="421"/>
      <c r="AI503" s="421"/>
      <c r="AJ503" s="421"/>
      <c r="AK503" s="421"/>
      <c r="AL503" s="421"/>
      <c r="AM503" s="421"/>
      <c r="AN503" s="421"/>
      <c r="AO503" s="421"/>
      <c r="AP503" s="421"/>
      <c r="AQ503" s="421"/>
      <c r="AR503" s="421"/>
      <c r="AS503" s="421"/>
      <c r="AT503" s="421"/>
      <c r="AU503" s="421"/>
      <c r="AV503" s="421"/>
      <c r="AW503" s="421"/>
      <c r="AX503" s="421"/>
      <c r="AY503" s="421"/>
      <c r="AZ503" s="421"/>
      <c r="BA503" s="421"/>
      <c r="BC503" s="115"/>
      <c r="BD503" s="115"/>
      <c r="BE503" s="115"/>
      <c r="BF503" s="115"/>
      <c r="BG503" s="115"/>
      <c r="BH503" s="124"/>
      <c r="BI503" s="124"/>
      <c r="BJ503" s="124"/>
      <c r="BK503" s="124"/>
      <c r="BL503" s="124"/>
      <c r="BM503" s="124"/>
      <c r="BN503" s="124"/>
      <c r="BO503" s="124"/>
      <c r="BP503" s="124"/>
      <c r="BQ503" s="124"/>
      <c r="BR503" s="124"/>
      <c r="BS503" s="124"/>
      <c r="BT503" s="124"/>
      <c r="BU503" s="124"/>
      <c r="BV503" s="124"/>
      <c r="BW503" s="124"/>
      <c r="BX503" s="124"/>
      <c r="BY503" s="124"/>
      <c r="BZ503" s="124"/>
      <c r="CA503" s="124"/>
      <c r="CB503" s="124"/>
      <c r="CC503" s="124"/>
      <c r="CD503" s="124"/>
      <c r="CE503" s="124"/>
      <c r="CF503" s="124"/>
      <c r="CG503" s="124"/>
      <c r="CH503" s="124"/>
      <c r="CI503" s="124"/>
      <c r="CJ503" s="124"/>
      <c r="CK503" s="124"/>
      <c r="CL503" s="124"/>
      <c r="CM503" s="124"/>
      <c r="CN503" s="124"/>
      <c r="CO503" s="124"/>
      <c r="CP503" s="124"/>
      <c r="CQ503" s="124"/>
      <c r="CR503" s="124"/>
      <c r="CS503" s="124"/>
      <c r="CT503" s="124"/>
      <c r="CU503" s="124"/>
      <c r="CV503" s="124"/>
      <c r="CW503" s="124"/>
      <c r="CX503" s="124"/>
      <c r="CY503" s="124"/>
      <c r="CZ503" s="124"/>
      <c r="DA503" s="124"/>
      <c r="DB503" s="124"/>
      <c r="DC503" s="124"/>
      <c r="DD503" s="124"/>
      <c r="DE503" s="124"/>
      <c r="DF503" s="124"/>
      <c r="DG503" s="115"/>
    </row>
    <row r="504" spans="2:111" customFormat="1" ht="9" customHeight="1">
      <c r="B504" s="493"/>
      <c r="C504" s="493"/>
      <c r="D504" s="493"/>
      <c r="E504" s="493"/>
      <c r="F504" s="493"/>
      <c r="G504" s="493"/>
      <c r="H504" s="493"/>
      <c r="I504" s="493"/>
      <c r="J504" s="493"/>
      <c r="K504" s="493"/>
      <c r="L504" s="493"/>
      <c r="M504" s="493"/>
      <c r="N504" s="493"/>
      <c r="O504" s="421"/>
      <c r="P504" s="421"/>
      <c r="Q504" s="421"/>
      <c r="R504" s="421"/>
      <c r="S504" s="421"/>
      <c r="T504" s="421"/>
      <c r="U504" s="421"/>
      <c r="V504" s="421"/>
      <c r="W504" s="421"/>
      <c r="X504" s="421"/>
      <c r="Y504" s="421"/>
      <c r="Z504" s="421"/>
      <c r="AA504" s="421"/>
      <c r="AB504" s="421"/>
      <c r="AC504" s="421"/>
      <c r="AD504" s="421"/>
      <c r="AE504" s="421"/>
      <c r="AF504" s="421"/>
      <c r="AG504" s="421"/>
      <c r="AH504" s="421"/>
      <c r="AI504" s="421"/>
      <c r="AJ504" s="421"/>
      <c r="AK504" s="421"/>
      <c r="AL504" s="421"/>
      <c r="AM504" s="421"/>
      <c r="AN504" s="421"/>
      <c r="AO504" s="421"/>
      <c r="AP504" s="421"/>
      <c r="AQ504" s="421"/>
      <c r="AR504" s="421"/>
      <c r="AS504" s="421"/>
      <c r="AT504" s="421"/>
      <c r="AU504" s="421"/>
      <c r="AV504" s="421"/>
      <c r="AW504" s="421"/>
      <c r="AX504" s="421"/>
      <c r="AY504" s="421"/>
      <c r="AZ504" s="421"/>
      <c r="BA504" s="421"/>
      <c r="BC504" s="115"/>
      <c r="BD504" s="115"/>
      <c r="BE504" s="115"/>
      <c r="BF504" s="115"/>
      <c r="BG504" s="115"/>
      <c r="BH504" s="84"/>
      <c r="BI504" s="84"/>
      <c r="BJ504" s="84"/>
      <c r="BK504" s="84"/>
      <c r="BL504" s="84"/>
      <c r="BM504" s="84"/>
      <c r="BN504" s="84"/>
      <c r="BO504" s="84"/>
      <c r="BP504" s="84"/>
      <c r="BQ504" s="84"/>
      <c r="BR504" s="84"/>
      <c r="BS504" s="84"/>
      <c r="BT504" s="84"/>
      <c r="BU504" s="84"/>
      <c r="BV504" s="84"/>
      <c r="BW504" s="84"/>
      <c r="BX504" s="84"/>
      <c r="BY504" s="84"/>
      <c r="BZ504" s="84"/>
      <c r="CA504" s="84"/>
      <c r="CB504" s="84"/>
      <c r="CC504" s="84"/>
      <c r="CD504" s="84"/>
      <c r="CE504" s="84"/>
      <c r="CF504" s="84"/>
      <c r="CG504" s="84"/>
      <c r="CH504" s="84"/>
      <c r="CI504" s="84"/>
      <c r="CJ504" s="84"/>
      <c r="CK504" s="84"/>
      <c r="CL504" s="84"/>
      <c r="CM504" s="84"/>
      <c r="CN504" s="84"/>
      <c r="CO504" s="84"/>
      <c r="CP504" s="84"/>
      <c r="CQ504" s="84"/>
      <c r="CR504" s="84"/>
      <c r="CS504" s="84"/>
      <c r="CT504" s="84"/>
      <c r="CU504" s="84"/>
      <c r="CV504" s="84"/>
      <c r="CW504" s="84"/>
      <c r="CX504" s="84"/>
      <c r="CY504" s="84"/>
      <c r="CZ504" s="84"/>
      <c r="DA504" s="84"/>
      <c r="DB504" s="84"/>
      <c r="DC504" s="84"/>
      <c r="DD504" s="84"/>
      <c r="DE504" s="84"/>
      <c r="DF504" s="84"/>
      <c r="DG504" s="115"/>
    </row>
    <row r="505" spans="2:111" customFormat="1" ht="4.5" customHeight="1">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row>
    <row r="506" spans="2:111" customFormat="1" ht="9" customHeight="1">
      <c r="B506" s="125"/>
      <c r="C506" s="125"/>
      <c r="D506" s="125"/>
      <c r="E506" s="125"/>
      <c r="F506" s="125"/>
      <c r="G506" s="125"/>
      <c r="H506" s="125"/>
      <c r="I506" s="125"/>
      <c r="J506" s="125"/>
      <c r="K506" s="125"/>
      <c r="L506" s="125"/>
      <c r="M506" s="125"/>
      <c r="N506" s="125"/>
      <c r="O506" s="496" t="str">
        <f>IF(B476="","","Quantidade:")</f>
        <v>Quantidade:</v>
      </c>
      <c r="P506" s="496"/>
      <c r="Q506" s="496"/>
      <c r="R506" s="496"/>
      <c r="S506" s="496"/>
      <c r="T506" s="496"/>
      <c r="U506" s="496"/>
      <c r="V506" s="417">
        <v>300</v>
      </c>
      <c r="W506" s="417"/>
      <c r="X506" s="417"/>
      <c r="Y506" s="417"/>
      <c r="Z506" s="417"/>
      <c r="AA506" s="417"/>
      <c r="AB506" s="417"/>
      <c r="AC506" s="417"/>
      <c r="AD506" s="417"/>
      <c r="AE506" s="417"/>
      <c r="AF506" s="125"/>
      <c r="AG506" s="497" t="str">
        <f>IF(B476="","","Unidade:")</f>
        <v>Unidade:</v>
      </c>
      <c r="AH506" s="497"/>
      <c r="AI506" s="497"/>
      <c r="AJ506" s="497"/>
      <c r="AK506" s="497"/>
      <c r="AL506" s="497"/>
      <c r="AM506" s="497"/>
      <c r="AN506" s="125"/>
      <c r="AO506" s="417" t="s">
        <v>689</v>
      </c>
      <c r="AP506" s="417"/>
      <c r="AQ506" s="417"/>
      <c r="AR506" s="417"/>
      <c r="AS506" s="417"/>
      <c r="AT506" s="417"/>
      <c r="AU506" s="417"/>
      <c r="AV506" s="417"/>
      <c r="AW506" s="417"/>
      <c r="AX506" s="417"/>
      <c r="AY506" s="417"/>
      <c r="AZ506" s="417"/>
      <c r="BA506" s="417"/>
      <c r="BC506" s="115"/>
      <c r="BD506" s="115"/>
      <c r="BE506" s="115"/>
      <c r="BF506" s="115"/>
      <c r="BG506" s="115"/>
      <c r="BH506" s="124"/>
      <c r="BI506" s="124"/>
      <c r="BJ506" s="124"/>
      <c r="BK506" s="124"/>
      <c r="BL506" s="124"/>
      <c r="BM506" s="124"/>
      <c r="BN506" s="124"/>
      <c r="BO506" s="124"/>
      <c r="BP506" s="124"/>
      <c r="BQ506" s="124"/>
      <c r="BR506" s="124"/>
      <c r="BS506" s="124"/>
      <c r="BT506" s="124"/>
      <c r="BU506" s="124"/>
      <c r="BV506" s="124"/>
      <c r="BW506" s="124"/>
      <c r="BX506" s="124"/>
      <c r="BY506" s="124"/>
      <c r="BZ506" s="124"/>
      <c r="CA506" s="124"/>
      <c r="CB506" s="124"/>
      <c r="CC506" s="124"/>
      <c r="CD506" s="124"/>
      <c r="CE506" s="124"/>
      <c r="CF506" s="124"/>
      <c r="CG506" s="124"/>
      <c r="CH506" s="124"/>
      <c r="CI506" s="124"/>
      <c r="CJ506" s="124"/>
      <c r="CK506" s="124"/>
      <c r="CL506" s="124"/>
      <c r="CM506" s="124"/>
      <c r="CN506" s="124"/>
      <c r="CO506" s="124"/>
      <c r="CP506" s="124"/>
      <c r="CQ506" s="124"/>
      <c r="CR506" s="124"/>
      <c r="CS506" s="124"/>
      <c r="CT506" s="124"/>
      <c r="CU506" s="124"/>
      <c r="CV506" s="124"/>
      <c r="CW506" s="124"/>
      <c r="CX506" s="124"/>
      <c r="CY506" s="124"/>
      <c r="CZ506" s="124"/>
      <c r="DA506" s="124"/>
      <c r="DB506" s="124"/>
      <c r="DC506" s="124"/>
      <c r="DD506" s="124"/>
      <c r="DE506" s="124"/>
      <c r="DF506" s="124"/>
      <c r="DG506" s="115"/>
    </row>
    <row r="507" spans="2:111" customFormat="1" ht="9" customHeight="1">
      <c r="B507" s="125"/>
      <c r="C507" s="125"/>
      <c r="D507" s="125"/>
      <c r="E507" s="125"/>
      <c r="F507" s="125"/>
      <c r="G507" s="125"/>
      <c r="H507" s="125"/>
      <c r="I507" s="125"/>
      <c r="J507" s="125"/>
      <c r="K507" s="125"/>
      <c r="L507" s="125"/>
      <c r="M507" s="125"/>
      <c r="N507" s="125"/>
      <c r="O507" s="496"/>
      <c r="P507" s="496"/>
      <c r="Q507" s="496"/>
      <c r="R507" s="496"/>
      <c r="S507" s="496"/>
      <c r="T507" s="496"/>
      <c r="U507" s="496"/>
      <c r="V507" s="417"/>
      <c r="W507" s="417"/>
      <c r="X507" s="417"/>
      <c r="Y507" s="417"/>
      <c r="Z507" s="417"/>
      <c r="AA507" s="417"/>
      <c r="AB507" s="417"/>
      <c r="AC507" s="417"/>
      <c r="AD507" s="417"/>
      <c r="AE507" s="417"/>
      <c r="AF507" s="125"/>
      <c r="AG507" s="497"/>
      <c r="AH507" s="497"/>
      <c r="AI507" s="497"/>
      <c r="AJ507" s="497"/>
      <c r="AK507" s="497"/>
      <c r="AL507" s="497"/>
      <c r="AM507" s="497"/>
      <c r="AN507" s="125"/>
      <c r="AO507" s="417"/>
      <c r="AP507" s="417"/>
      <c r="AQ507" s="417"/>
      <c r="AR507" s="417"/>
      <c r="AS507" s="417"/>
      <c r="AT507" s="417"/>
      <c r="AU507" s="417"/>
      <c r="AV507" s="417"/>
      <c r="AW507" s="417"/>
      <c r="AX507" s="417"/>
      <c r="AY507" s="417"/>
      <c r="AZ507" s="417"/>
      <c r="BA507" s="417"/>
      <c r="BC507" s="115"/>
      <c r="BD507" s="115"/>
      <c r="BE507" s="115"/>
      <c r="BF507" s="115"/>
      <c r="BG507" s="115"/>
      <c r="BH507" s="124"/>
      <c r="BI507" s="124"/>
      <c r="BJ507" s="124"/>
      <c r="BK507" s="124"/>
      <c r="BL507" s="124"/>
      <c r="BM507" s="124"/>
      <c r="BN507" s="124"/>
      <c r="BO507" s="124"/>
      <c r="BP507" s="124"/>
      <c r="BQ507" s="124"/>
      <c r="BR507" s="124"/>
      <c r="BS507" s="124"/>
      <c r="BT507" s="124"/>
      <c r="BU507" s="124"/>
      <c r="BV507" s="124"/>
      <c r="BW507" s="124"/>
      <c r="BX507" s="124"/>
      <c r="BY507" s="124"/>
      <c r="BZ507" s="124"/>
      <c r="CA507" s="124"/>
      <c r="CB507" s="124"/>
      <c r="CC507" s="124"/>
      <c r="CD507" s="124"/>
      <c r="CE507" s="124"/>
      <c r="CF507" s="124"/>
      <c r="CG507" s="124"/>
      <c r="CH507" s="124"/>
      <c r="CI507" s="124"/>
      <c r="CJ507" s="124"/>
      <c r="CK507" s="124"/>
      <c r="CL507" s="124"/>
      <c r="CM507" s="124"/>
      <c r="CN507" s="124"/>
      <c r="CO507" s="124"/>
      <c r="CP507" s="124"/>
      <c r="CQ507" s="124"/>
      <c r="CR507" s="124"/>
      <c r="CS507" s="124"/>
      <c r="CT507" s="124"/>
      <c r="CU507" s="124"/>
      <c r="CV507" s="124"/>
      <c r="CW507" s="124"/>
      <c r="CX507" s="124"/>
      <c r="CY507" s="124"/>
      <c r="CZ507" s="124"/>
      <c r="DA507" s="124"/>
      <c r="DB507" s="124"/>
      <c r="DC507" s="124"/>
      <c r="DD507" s="124"/>
      <c r="DE507" s="124"/>
      <c r="DF507" s="124"/>
      <c r="DG507" s="115"/>
    </row>
    <row r="508" spans="2:111" customFormat="1" ht="9" customHeight="1">
      <c r="BC508" s="115"/>
      <c r="BD508" s="115"/>
      <c r="BE508" s="115"/>
      <c r="BF508" s="115"/>
      <c r="BG508" s="115"/>
      <c r="BH508" s="498"/>
      <c r="BI508" s="498"/>
      <c r="BJ508" s="498"/>
      <c r="BK508" s="498"/>
      <c r="BL508" s="498"/>
      <c r="BM508" s="498"/>
      <c r="BN508" s="498"/>
      <c r="BO508" s="498"/>
      <c r="BP508" s="498"/>
      <c r="BQ508" s="498"/>
      <c r="BR508" s="498"/>
      <c r="BS508" s="498"/>
      <c r="BT508" s="498"/>
      <c r="BU508" s="498"/>
      <c r="BV508" s="498"/>
      <c r="BW508" s="498"/>
      <c r="BX508" s="498"/>
      <c r="BY508" s="498"/>
      <c r="BZ508" s="498"/>
      <c r="CA508" s="498"/>
      <c r="CB508" s="498"/>
      <c r="CC508" s="498"/>
      <c r="CD508" s="498"/>
      <c r="CE508" s="498"/>
      <c r="CF508" s="498"/>
      <c r="CG508" s="498"/>
      <c r="CH508" s="498"/>
      <c r="CI508" s="498"/>
      <c r="CJ508" s="498"/>
      <c r="CK508" s="498"/>
      <c r="CL508" s="498"/>
      <c r="CM508" s="498"/>
      <c r="CN508" s="498"/>
      <c r="CO508" s="498"/>
      <c r="CP508" s="498"/>
      <c r="CQ508" s="498"/>
      <c r="CR508" s="498"/>
      <c r="CS508" s="498"/>
      <c r="CT508" s="498"/>
      <c r="CU508" s="498"/>
      <c r="CV508" s="498"/>
      <c r="CW508" s="498"/>
      <c r="CX508" s="498"/>
      <c r="CY508" s="498"/>
      <c r="CZ508" s="498"/>
      <c r="DA508" s="498"/>
      <c r="DB508" s="498"/>
      <c r="DC508" s="498"/>
      <c r="DD508" s="498"/>
      <c r="DE508" s="498"/>
      <c r="DF508" s="498"/>
      <c r="DG508" s="115"/>
    </row>
    <row r="509" spans="2:111" customFormat="1" ht="9" customHeight="1">
      <c r="B509" s="499" t="str">
        <f>IF($Z$32&gt;=12,"Nome da Empresa ou Nº da Ata","")</f>
        <v>Nome da Empresa ou Nº da Ata</v>
      </c>
      <c r="C509" s="499"/>
      <c r="D509" s="499"/>
      <c r="E509" s="499"/>
      <c r="F509" s="499"/>
      <c r="G509" s="499"/>
      <c r="H509" s="499"/>
      <c r="I509" s="499"/>
      <c r="J509" s="499"/>
      <c r="K509" s="499"/>
      <c r="L509" s="499"/>
      <c r="M509" s="499"/>
      <c r="N509" s="499"/>
      <c r="O509" s="499"/>
      <c r="P509" s="499"/>
      <c r="Q509" s="499"/>
      <c r="R509" s="499"/>
      <c r="S509" s="499"/>
      <c r="T509" s="499"/>
      <c r="U509" s="499"/>
      <c r="V509" s="499"/>
      <c r="W509" s="499"/>
      <c r="X509" s="499" t="str">
        <f>IF($Z$32&gt;=12,"CNPJ / CPF","")</f>
        <v>CNPJ / CPF</v>
      </c>
      <c r="Y509" s="499"/>
      <c r="Z509" s="499"/>
      <c r="AA509" s="499"/>
      <c r="AB509" s="499"/>
      <c r="AC509" s="499"/>
      <c r="AD509" s="499"/>
      <c r="AE509" s="499"/>
      <c r="AF509" s="499"/>
      <c r="AG509" s="499"/>
      <c r="AH509" s="499" t="str">
        <f>IF($Z$32&gt;=12,"Qtde","")</f>
        <v>Qtde</v>
      </c>
      <c r="AI509" s="499"/>
      <c r="AJ509" s="499"/>
      <c r="AK509" s="499"/>
      <c r="AL509" s="499" t="str">
        <f>IF($Z$32&gt;=12,"Valor Unitário (R$)","")</f>
        <v>Valor Unitário (R$)</v>
      </c>
      <c r="AM509" s="499"/>
      <c r="AN509" s="499"/>
      <c r="AO509" s="499"/>
      <c r="AP509" s="499"/>
      <c r="AQ509" s="499"/>
      <c r="AR509" s="499"/>
      <c r="AS509" s="499"/>
      <c r="AT509" s="499" t="str">
        <f>IF($Z$32&gt;=12,"Valor Total (R$)","")</f>
        <v>Valor Total (R$)</v>
      </c>
      <c r="AU509" s="499"/>
      <c r="AV509" s="499"/>
      <c r="AW509" s="499"/>
      <c r="AX509" s="499"/>
      <c r="AY509" s="499"/>
      <c r="AZ509" s="499"/>
      <c r="BA509" s="499"/>
      <c r="BC509" s="115"/>
      <c r="BD509" s="115"/>
      <c r="BE509" s="115"/>
      <c r="BF509" s="115"/>
      <c r="BG509" s="115"/>
      <c r="BH509" s="498"/>
      <c r="BI509" s="498"/>
      <c r="BJ509" s="498"/>
      <c r="BK509" s="498"/>
      <c r="BL509" s="498"/>
      <c r="BM509" s="498"/>
      <c r="BN509" s="498"/>
      <c r="BO509" s="498"/>
      <c r="BP509" s="498"/>
      <c r="BQ509" s="498"/>
      <c r="BR509" s="498"/>
      <c r="BS509" s="498"/>
      <c r="BT509" s="498"/>
      <c r="BU509" s="498"/>
      <c r="BV509" s="498"/>
      <c r="BW509" s="498"/>
      <c r="BX509" s="498"/>
      <c r="BY509" s="498"/>
      <c r="BZ509" s="498"/>
      <c r="CA509" s="498"/>
      <c r="CB509" s="498"/>
      <c r="CC509" s="498"/>
      <c r="CD509" s="498"/>
      <c r="CE509" s="498"/>
      <c r="CF509" s="498"/>
      <c r="CG509" s="498"/>
      <c r="CH509" s="498"/>
      <c r="CI509" s="498"/>
      <c r="CJ509" s="498"/>
      <c r="CK509" s="498"/>
      <c r="CL509" s="498"/>
      <c r="CM509" s="498"/>
      <c r="CN509" s="498"/>
      <c r="CO509" s="498"/>
      <c r="CP509" s="498"/>
      <c r="CQ509" s="498"/>
      <c r="CR509" s="498"/>
      <c r="CS509" s="498"/>
      <c r="CT509" s="498"/>
      <c r="CU509" s="498"/>
      <c r="CV509" s="498"/>
      <c r="CW509" s="498"/>
      <c r="CX509" s="498"/>
      <c r="CY509" s="498"/>
      <c r="CZ509" s="498"/>
      <c r="DA509" s="498"/>
      <c r="DB509" s="498"/>
      <c r="DC509" s="498"/>
      <c r="DD509" s="498"/>
      <c r="DE509" s="498"/>
      <c r="DF509" s="498"/>
      <c r="DG509" s="115"/>
    </row>
    <row r="510" spans="2:111" customFormat="1" ht="9" customHeight="1">
      <c r="B510" s="499"/>
      <c r="C510" s="499"/>
      <c r="D510" s="499"/>
      <c r="E510" s="499"/>
      <c r="F510" s="499"/>
      <c r="G510" s="499"/>
      <c r="H510" s="499"/>
      <c r="I510" s="499"/>
      <c r="J510" s="499"/>
      <c r="K510" s="499"/>
      <c r="L510" s="499"/>
      <c r="M510" s="499"/>
      <c r="N510" s="499"/>
      <c r="O510" s="499"/>
      <c r="P510" s="499"/>
      <c r="Q510" s="499"/>
      <c r="R510" s="499"/>
      <c r="S510" s="499"/>
      <c r="T510" s="499"/>
      <c r="U510" s="499"/>
      <c r="V510" s="499"/>
      <c r="W510" s="499"/>
      <c r="X510" s="499"/>
      <c r="Y510" s="499"/>
      <c r="Z510" s="499"/>
      <c r="AA510" s="499"/>
      <c r="AB510" s="499"/>
      <c r="AC510" s="499"/>
      <c r="AD510" s="499"/>
      <c r="AE510" s="499"/>
      <c r="AF510" s="499"/>
      <c r="AG510" s="499"/>
      <c r="AH510" s="499"/>
      <c r="AI510" s="499"/>
      <c r="AJ510" s="499"/>
      <c r="AK510" s="499"/>
      <c r="AL510" s="499"/>
      <c r="AM510" s="499"/>
      <c r="AN510" s="499"/>
      <c r="AO510" s="499"/>
      <c r="AP510" s="499"/>
      <c r="AQ510" s="499"/>
      <c r="AR510" s="499"/>
      <c r="AS510" s="499"/>
      <c r="AT510" s="499"/>
      <c r="AU510" s="499"/>
      <c r="AV510" s="499"/>
      <c r="AW510" s="499"/>
      <c r="AX510" s="499"/>
      <c r="AY510" s="499"/>
      <c r="AZ510" s="499"/>
      <c r="BA510" s="499"/>
      <c r="BB510" s="176">
        <f>AVERAGE(AL511:AS513)</f>
        <v>86.45</v>
      </c>
      <c r="BC510" s="115"/>
      <c r="BD510" s="115"/>
      <c r="BE510" s="115"/>
      <c r="BF510" s="115"/>
      <c r="BG510" s="115"/>
      <c r="BH510" s="498"/>
      <c r="BI510" s="498"/>
      <c r="BJ510" s="498"/>
      <c r="BK510" s="498"/>
      <c r="BL510" s="498"/>
      <c r="BM510" s="498"/>
      <c r="BN510" s="498"/>
      <c r="BO510" s="498"/>
      <c r="BP510" s="498"/>
      <c r="BQ510" s="498"/>
      <c r="BR510" s="498"/>
      <c r="BS510" s="498"/>
      <c r="BT510" s="498"/>
      <c r="BU510" s="498"/>
      <c r="BV510" s="498"/>
      <c r="BW510" s="498"/>
      <c r="BX510" s="498"/>
      <c r="BY510" s="498"/>
      <c r="BZ510" s="498"/>
      <c r="CA510" s="498"/>
      <c r="CB510" s="498"/>
      <c r="CC510" s="498"/>
      <c r="CD510" s="498"/>
      <c r="CE510" s="498"/>
      <c r="CF510" s="498"/>
      <c r="CG510" s="498"/>
      <c r="CH510" s="498"/>
      <c r="CI510" s="498"/>
      <c r="CJ510" s="498"/>
      <c r="CK510" s="498"/>
      <c r="CL510" s="498"/>
      <c r="CM510" s="498"/>
      <c r="CN510" s="498"/>
      <c r="CO510" s="498"/>
      <c r="CP510" s="498"/>
      <c r="CQ510" s="498"/>
      <c r="CR510" s="498"/>
      <c r="CS510" s="498"/>
      <c r="CT510" s="498"/>
      <c r="CU510" s="498"/>
      <c r="CV510" s="498"/>
      <c r="CW510" s="498"/>
      <c r="CX510" s="498"/>
      <c r="CY510" s="498"/>
      <c r="CZ510" s="498"/>
      <c r="DA510" s="498"/>
      <c r="DB510" s="498"/>
      <c r="DC510" s="498"/>
      <c r="DD510" s="498"/>
      <c r="DE510" s="498"/>
      <c r="DF510" s="498"/>
      <c r="DG510" s="115"/>
    </row>
    <row r="511" spans="2:111" customFormat="1" ht="18" customHeight="1">
      <c r="B511" s="233" t="s">
        <v>687</v>
      </c>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486" t="s">
        <v>688</v>
      </c>
      <c r="Y511" s="486"/>
      <c r="Z511" s="486"/>
      <c r="AA511" s="486"/>
      <c r="AB511" s="486"/>
      <c r="AC511" s="486"/>
      <c r="AD511" s="486"/>
      <c r="AE511" s="486"/>
      <c r="AF511" s="486"/>
      <c r="AG511" s="486"/>
      <c r="AH511" s="417">
        <v>300</v>
      </c>
      <c r="AI511" s="417"/>
      <c r="AJ511" s="417"/>
      <c r="AK511" s="417"/>
      <c r="AL511" s="419">
        <v>86.45</v>
      </c>
      <c r="AM511" s="419"/>
      <c r="AN511" s="419"/>
      <c r="AO511" s="419"/>
      <c r="AP511" s="419"/>
      <c r="AQ511" s="419"/>
      <c r="AR511" s="419"/>
      <c r="AS511" s="419"/>
      <c r="AT511" s="487">
        <f>IF($Z$32&gt;=12,(AH511*AL511),"")</f>
        <v>25935</v>
      </c>
      <c r="AU511" s="487"/>
      <c r="AV511" s="487"/>
      <c r="AW511" s="487"/>
      <c r="AX511" s="487"/>
      <c r="AY511" s="487"/>
      <c r="AZ511" s="487"/>
      <c r="BA511" s="487"/>
      <c r="BC511" s="115"/>
      <c r="BD511" s="115"/>
      <c r="BE511" s="115"/>
      <c r="BF511" s="115"/>
      <c r="BG511" s="115"/>
      <c r="BH511" s="498"/>
      <c r="BI511" s="498"/>
      <c r="BJ511" s="498"/>
      <c r="BK511" s="498"/>
      <c r="BL511" s="498"/>
      <c r="BM511" s="498"/>
      <c r="BN511" s="498"/>
      <c r="BO511" s="498"/>
      <c r="BP511" s="498"/>
      <c r="BQ511" s="498"/>
      <c r="BR511" s="498"/>
      <c r="BS511" s="498"/>
      <c r="BT511" s="498"/>
      <c r="BU511" s="498"/>
      <c r="BV511" s="498"/>
      <c r="BW511" s="498"/>
      <c r="BX511" s="498"/>
      <c r="BY511" s="498"/>
      <c r="BZ511" s="498"/>
      <c r="CA511" s="498"/>
      <c r="CB511" s="498"/>
      <c r="CC511" s="498"/>
      <c r="CD511" s="498"/>
      <c r="CE511" s="498"/>
      <c r="CF511" s="498"/>
      <c r="CG511" s="498"/>
      <c r="CH511" s="498"/>
      <c r="CI511" s="498"/>
      <c r="CJ511" s="498"/>
      <c r="CK511" s="498"/>
      <c r="CL511" s="498"/>
      <c r="CM511" s="498"/>
      <c r="CN511" s="498"/>
      <c r="CO511" s="498"/>
      <c r="CP511" s="498"/>
      <c r="CQ511" s="498"/>
      <c r="CR511" s="498"/>
      <c r="CS511" s="498"/>
      <c r="CT511" s="498"/>
      <c r="CU511" s="498"/>
      <c r="CV511" s="498"/>
      <c r="CW511" s="498"/>
      <c r="CX511" s="498"/>
      <c r="CY511" s="498"/>
      <c r="CZ511" s="498"/>
      <c r="DA511" s="498"/>
      <c r="DB511" s="498"/>
      <c r="DC511" s="498"/>
      <c r="DD511" s="498"/>
      <c r="DE511" s="498"/>
      <c r="DF511" s="498"/>
      <c r="DG511" s="115"/>
    </row>
    <row r="512" spans="2:111" customFormat="1" ht="18" customHeight="1">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486"/>
      <c r="Y512" s="486"/>
      <c r="Z512" s="486"/>
      <c r="AA512" s="486"/>
      <c r="AB512" s="486"/>
      <c r="AC512" s="486"/>
      <c r="AD512" s="486"/>
      <c r="AE512" s="486"/>
      <c r="AF512" s="486"/>
      <c r="AG512" s="486"/>
      <c r="AH512" s="417"/>
      <c r="AI512" s="417"/>
      <c r="AJ512" s="417"/>
      <c r="AK512" s="417"/>
      <c r="AL512" s="419"/>
      <c r="AM512" s="419"/>
      <c r="AN512" s="419"/>
      <c r="AO512" s="419"/>
      <c r="AP512" s="419"/>
      <c r="AQ512" s="419"/>
      <c r="AR512" s="419"/>
      <c r="AS512" s="419"/>
      <c r="AT512" s="487">
        <f>IF($Z$32&gt;=12,(AH512*AL512),"")</f>
        <v>0</v>
      </c>
      <c r="AU512" s="487"/>
      <c r="AV512" s="487"/>
      <c r="AW512" s="487"/>
      <c r="AX512" s="487"/>
      <c r="AY512" s="487"/>
      <c r="AZ512" s="487"/>
      <c r="BA512" s="487"/>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row>
    <row r="513" spans="2:111" customFormat="1" ht="18" customHeight="1">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486"/>
      <c r="Y513" s="486"/>
      <c r="Z513" s="486"/>
      <c r="AA513" s="486"/>
      <c r="AB513" s="486"/>
      <c r="AC513" s="486"/>
      <c r="AD513" s="486"/>
      <c r="AE513" s="486"/>
      <c r="AF513" s="486"/>
      <c r="AG513" s="486"/>
      <c r="AH513" s="417"/>
      <c r="AI513" s="417"/>
      <c r="AJ513" s="417"/>
      <c r="AK513" s="417"/>
      <c r="AL513" s="419"/>
      <c r="AM513" s="419"/>
      <c r="AN513" s="419"/>
      <c r="AO513" s="419"/>
      <c r="AP513" s="419"/>
      <c r="AQ513" s="419"/>
      <c r="AR513" s="419"/>
      <c r="AS513" s="419"/>
      <c r="AT513" s="487">
        <f>IF($Z$32&gt;=12,(AH513*AL513),"")</f>
        <v>0</v>
      </c>
      <c r="AU513" s="487"/>
      <c r="AV513" s="487"/>
      <c r="AW513" s="487"/>
      <c r="AX513" s="487"/>
      <c r="AY513" s="487"/>
      <c r="AZ513" s="487"/>
      <c r="BA513" s="487"/>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row>
    <row r="514" spans="2:111" customFormat="1" ht="15" customHeight="1">
      <c r="AT514" s="500">
        <f>IF(B511="","",IF(AL512="",AT511,IF(AL513="",AVERAGE(AT511:BA512),AVERAGE(AT511:AT513))))</f>
        <v>25935</v>
      </c>
      <c r="AU514" s="500"/>
      <c r="AV514" s="500"/>
      <c r="AW514" s="500"/>
      <c r="AX514" s="500"/>
      <c r="AY514" s="500"/>
      <c r="AZ514" s="500"/>
      <c r="BA514" s="500"/>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row>
    <row r="515" spans="2:111" customFormat="1" ht="15" customHeight="1">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row>
    <row r="516" spans="2:111" customFormat="1" ht="9" customHeight="1">
      <c r="B516" s="494" t="str">
        <f>IF($Z$32&gt;=13,"Item 13","")</f>
        <v/>
      </c>
      <c r="C516" s="495"/>
      <c r="D516" s="495"/>
      <c r="E516" s="495"/>
      <c r="F516" s="495"/>
      <c r="G516" s="495"/>
      <c r="H516" s="495"/>
      <c r="I516" s="495"/>
      <c r="J516" s="495"/>
      <c r="K516" s="495"/>
      <c r="L516" s="495"/>
      <c r="M516" s="49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row>
    <row r="517" spans="2:111" customFormat="1" ht="9" customHeight="1">
      <c r="B517" s="495"/>
      <c r="C517" s="495"/>
      <c r="D517" s="495"/>
      <c r="E517" s="495"/>
      <c r="F517" s="495"/>
      <c r="G517" s="495"/>
      <c r="H517" s="495"/>
      <c r="I517" s="495"/>
      <c r="J517" s="495"/>
      <c r="K517" s="495"/>
      <c r="L517" s="495"/>
      <c r="M517" s="49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row>
    <row r="518" spans="2:111" customFormat="1" ht="4.5" customHeight="1">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row>
    <row r="519" spans="2:111" customFormat="1" ht="9" customHeight="1">
      <c r="B519" s="493" t="str">
        <f>IF(B516="","","Elemento de Despesa:")</f>
        <v/>
      </c>
      <c r="C519" s="493"/>
      <c r="D519" s="493"/>
      <c r="E519" s="493"/>
      <c r="F519" s="493"/>
      <c r="G519" s="493"/>
      <c r="H519" s="493"/>
      <c r="I519" s="493"/>
      <c r="J519" s="493"/>
      <c r="K519" s="493"/>
      <c r="L519" s="493"/>
      <c r="M519" s="493"/>
      <c r="N519" s="493"/>
      <c r="O519" s="241"/>
      <c r="P519" s="241"/>
      <c r="Q519" s="241"/>
      <c r="R519" s="241"/>
      <c r="S519" s="241"/>
      <c r="T519" s="241"/>
      <c r="U519" s="241"/>
      <c r="V519" s="241"/>
      <c r="W519" s="241"/>
      <c r="X519" s="241"/>
      <c r="Y519" s="241"/>
      <c r="Z519" s="241"/>
      <c r="AA519" s="241"/>
      <c r="AB519" s="241"/>
      <c r="AC519" s="241"/>
      <c r="AD519" s="241"/>
      <c r="AE519" s="241"/>
      <c r="AF519" s="241"/>
      <c r="AG519" s="241"/>
      <c r="AH519" s="241"/>
      <c r="AI519" s="241"/>
      <c r="AJ519" s="241"/>
      <c r="AK519" s="241"/>
      <c r="AL519" s="241"/>
      <c r="AM519" s="241"/>
      <c r="AN519" s="241"/>
      <c r="AO519" s="241"/>
      <c r="AP519" s="241"/>
      <c r="AQ519" s="241"/>
      <c r="AR519" s="241"/>
      <c r="AS519" s="241"/>
      <c r="AT519" s="241"/>
      <c r="AU519" s="241"/>
      <c r="AV519" s="241"/>
      <c r="AW519" s="241"/>
      <c r="AX519" s="241"/>
      <c r="AY519" s="241"/>
      <c r="AZ519" s="241"/>
      <c r="BA519" s="241"/>
      <c r="BC519" s="115"/>
      <c r="BD519" s="115"/>
      <c r="BE519" s="115"/>
      <c r="BF519" s="115"/>
      <c r="BG519" s="115"/>
      <c r="BH519" s="124"/>
      <c r="BI519" s="124"/>
      <c r="BJ519" s="124"/>
      <c r="BK519" s="124"/>
      <c r="BL519" s="124"/>
      <c r="BM519" s="124"/>
      <c r="BN519" s="124"/>
      <c r="BO519" s="124"/>
      <c r="BP519" s="124"/>
      <c r="BQ519" s="124"/>
      <c r="BR519" s="124"/>
      <c r="BS519" s="124"/>
      <c r="BT519" s="124"/>
      <c r="BU519" s="124"/>
      <c r="BV519" s="124"/>
      <c r="BW519" s="124"/>
      <c r="BX519" s="124"/>
      <c r="BY519" s="124"/>
      <c r="BZ519" s="124"/>
      <c r="CA519" s="124"/>
      <c r="CB519" s="124"/>
      <c r="CC519" s="124"/>
      <c r="CD519" s="124"/>
      <c r="CE519" s="124"/>
      <c r="CF519" s="124"/>
      <c r="CG519" s="124"/>
      <c r="CH519" s="124"/>
      <c r="CI519" s="124"/>
      <c r="CJ519" s="124"/>
      <c r="CK519" s="124"/>
      <c r="CL519" s="124"/>
      <c r="CM519" s="124"/>
      <c r="CN519" s="124"/>
      <c r="CO519" s="124"/>
      <c r="CP519" s="124"/>
      <c r="CQ519" s="124"/>
      <c r="CR519" s="124"/>
      <c r="CS519" s="124"/>
      <c r="CT519" s="124"/>
      <c r="CU519" s="124"/>
      <c r="CV519" s="124"/>
      <c r="CW519" s="124"/>
      <c r="CX519" s="124"/>
      <c r="CY519" s="124"/>
      <c r="CZ519" s="124"/>
      <c r="DA519" s="124"/>
      <c r="DB519" s="124"/>
      <c r="DC519" s="124"/>
      <c r="DD519" s="124"/>
      <c r="DE519" s="124"/>
      <c r="DF519" s="124"/>
      <c r="DG519" s="115"/>
    </row>
    <row r="520" spans="2:111" customFormat="1" ht="9" customHeight="1">
      <c r="B520" s="493"/>
      <c r="C520" s="493"/>
      <c r="D520" s="493"/>
      <c r="E520" s="493"/>
      <c r="F520" s="493"/>
      <c r="G520" s="493"/>
      <c r="H520" s="493"/>
      <c r="I520" s="493"/>
      <c r="J520" s="493"/>
      <c r="K520" s="493"/>
      <c r="L520" s="493"/>
      <c r="M520" s="493"/>
      <c r="N520" s="493"/>
      <c r="O520" s="241"/>
      <c r="P520" s="241"/>
      <c r="Q520" s="241"/>
      <c r="R520" s="241"/>
      <c r="S520" s="241"/>
      <c r="T520" s="241"/>
      <c r="U520" s="241"/>
      <c r="V520" s="241"/>
      <c r="W520" s="241"/>
      <c r="X520" s="241"/>
      <c r="Y520" s="241"/>
      <c r="Z520" s="241"/>
      <c r="AA520" s="241"/>
      <c r="AB520" s="241"/>
      <c r="AC520" s="241"/>
      <c r="AD520" s="241"/>
      <c r="AE520" s="241"/>
      <c r="AF520" s="241"/>
      <c r="AG520" s="241"/>
      <c r="AH520" s="241"/>
      <c r="AI520" s="241"/>
      <c r="AJ520" s="241"/>
      <c r="AK520" s="241"/>
      <c r="AL520" s="241"/>
      <c r="AM520" s="241"/>
      <c r="AN520" s="241"/>
      <c r="AO520" s="241"/>
      <c r="AP520" s="241"/>
      <c r="AQ520" s="241"/>
      <c r="AR520" s="241"/>
      <c r="AS520" s="241"/>
      <c r="AT520" s="241"/>
      <c r="AU520" s="241"/>
      <c r="AV520" s="241"/>
      <c r="AW520" s="241"/>
      <c r="AX520" s="241"/>
      <c r="AY520" s="241"/>
      <c r="AZ520" s="241"/>
      <c r="BA520" s="241"/>
      <c r="BC520" s="115"/>
      <c r="BD520" s="115"/>
      <c r="BE520" s="115"/>
      <c r="BF520" s="115"/>
      <c r="BG520" s="115"/>
      <c r="BH520" s="124"/>
      <c r="BI520" s="124"/>
      <c r="BJ520" s="124"/>
      <c r="BK520" s="124"/>
      <c r="BL520" s="124"/>
      <c r="BM520" s="124"/>
      <c r="BN520" s="124"/>
      <c r="BO520" s="124"/>
      <c r="BP520" s="124"/>
      <c r="BQ520" s="124"/>
      <c r="BR520" s="124"/>
      <c r="BS520" s="124"/>
      <c r="BT520" s="124"/>
      <c r="BU520" s="124"/>
      <c r="BV520" s="124"/>
      <c r="BW520" s="124"/>
      <c r="BX520" s="124"/>
      <c r="BY520" s="124"/>
      <c r="BZ520" s="124"/>
      <c r="CA520" s="124"/>
      <c r="CB520" s="124"/>
      <c r="CC520" s="124"/>
      <c r="CD520" s="124"/>
      <c r="CE520" s="124"/>
      <c r="CF520" s="124"/>
      <c r="CG520" s="124"/>
      <c r="CH520" s="124"/>
      <c r="CI520" s="124"/>
      <c r="CJ520" s="124"/>
      <c r="CK520" s="124"/>
      <c r="CL520" s="124"/>
      <c r="CM520" s="124"/>
      <c r="CN520" s="124"/>
      <c r="CO520" s="124"/>
      <c r="CP520" s="124"/>
      <c r="CQ520" s="124"/>
      <c r="CR520" s="124"/>
      <c r="CS520" s="124"/>
      <c r="CT520" s="124"/>
      <c r="CU520" s="124"/>
      <c r="CV520" s="124"/>
      <c r="CW520" s="124"/>
      <c r="CX520" s="124"/>
      <c r="CY520" s="124"/>
      <c r="CZ520" s="124"/>
      <c r="DA520" s="124"/>
      <c r="DB520" s="124"/>
      <c r="DC520" s="124"/>
      <c r="DD520" s="124"/>
      <c r="DE520" s="124"/>
      <c r="DF520" s="124"/>
      <c r="DG520" s="115"/>
    </row>
    <row r="521" spans="2:111" customFormat="1" ht="4.5" customHeight="1">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C521" s="115"/>
      <c r="BD521" s="115"/>
      <c r="BE521" s="115"/>
      <c r="BF521" s="115"/>
      <c r="BG521" s="115"/>
      <c r="BH521" s="124"/>
      <c r="BI521" s="124"/>
      <c r="BJ521" s="124"/>
      <c r="BK521" s="124"/>
      <c r="BL521" s="124"/>
      <c r="BM521" s="124"/>
      <c r="BN521" s="124"/>
      <c r="BO521" s="124"/>
      <c r="BP521" s="124"/>
      <c r="BQ521" s="124"/>
      <c r="BR521" s="124"/>
      <c r="BS521" s="124"/>
      <c r="BT521" s="124"/>
      <c r="BU521" s="124"/>
      <c r="BV521" s="124"/>
      <c r="BW521" s="124"/>
      <c r="BX521" s="124"/>
      <c r="BY521" s="124"/>
      <c r="BZ521" s="124"/>
      <c r="CA521" s="124"/>
      <c r="CB521" s="124"/>
      <c r="CC521" s="124"/>
      <c r="CD521" s="124"/>
      <c r="CE521" s="124"/>
      <c r="CF521" s="124"/>
      <c r="CG521" s="124"/>
      <c r="CH521" s="124"/>
      <c r="CI521" s="124"/>
      <c r="CJ521" s="124"/>
      <c r="CK521" s="124"/>
      <c r="CL521" s="124"/>
      <c r="CM521" s="124"/>
      <c r="CN521" s="124"/>
      <c r="CO521" s="124"/>
      <c r="CP521" s="124"/>
      <c r="CQ521" s="124"/>
      <c r="CR521" s="124"/>
      <c r="CS521" s="124"/>
      <c r="CT521" s="124"/>
      <c r="CU521" s="124"/>
      <c r="CV521" s="124"/>
      <c r="CW521" s="124"/>
      <c r="CX521" s="124"/>
      <c r="CY521" s="124"/>
      <c r="CZ521" s="124"/>
      <c r="DA521" s="124"/>
      <c r="DB521" s="124"/>
      <c r="DC521" s="124"/>
      <c r="DD521" s="124"/>
      <c r="DE521" s="124"/>
      <c r="DF521" s="124"/>
      <c r="DG521" s="115"/>
    </row>
    <row r="522" spans="2:111" customFormat="1" ht="9" customHeight="1">
      <c r="B522" s="493" t="str">
        <f>IF(B516="","","Objeto:")</f>
        <v/>
      </c>
      <c r="C522" s="493"/>
      <c r="D522" s="493"/>
      <c r="E522" s="493"/>
      <c r="F522" s="493"/>
      <c r="G522" s="493"/>
      <c r="H522" s="493"/>
      <c r="I522" s="493"/>
      <c r="J522" s="493"/>
      <c r="K522" s="493"/>
      <c r="L522" s="493"/>
      <c r="M522" s="493"/>
      <c r="N522" s="493"/>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c r="AN522" s="421"/>
      <c r="AO522" s="421"/>
      <c r="AP522" s="421"/>
      <c r="AQ522" s="421"/>
      <c r="AR522" s="421"/>
      <c r="AS522" s="421"/>
      <c r="AT522" s="421"/>
      <c r="AU522" s="421"/>
      <c r="AV522" s="421"/>
      <c r="AW522" s="421"/>
      <c r="AX522" s="421"/>
      <c r="AY522" s="421"/>
      <c r="AZ522" s="421"/>
      <c r="BA522" s="421"/>
      <c r="BC522" s="115"/>
      <c r="BD522" s="115"/>
      <c r="BE522" s="115"/>
      <c r="BF522" s="115"/>
      <c r="BG522" s="115"/>
      <c r="BH522" s="124"/>
      <c r="BI522" s="124"/>
      <c r="BJ522" s="124"/>
      <c r="BK522" s="124"/>
      <c r="BL522" s="124"/>
      <c r="BM522" s="124"/>
      <c r="BN522" s="124"/>
      <c r="BO522" s="124"/>
      <c r="BP522" s="124"/>
      <c r="BQ522" s="124"/>
      <c r="BR522" s="124"/>
      <c r="BS522" s="124"/>
      <c r="BT522" s="124"/>
      <c r="BU522" s="124"/>
      <c r="BV522" s="124"/>
      <c r="BW522" s="124"/>
      <c r="BX522" s="124"/>
      <c r="BY522" s="124"/>
      <c r="BZ522" s="124"/>
      <c r="CA522" s="124"/>
      <c r="CB522" s="124"/>
      <c r="CC522" s="124"/>
      <c r="CD522" s="124"/>
      <c r="CE522" s="124"/>
      <c r="CF522" s="124"/>
      <c r="CG522" s="124"/>
      <c r="CH522" s="124"/>
      <c r="CI522" s="124"/>
      <c r="CJ522" s="124"/>
      <c r="CK522" s="124"/>
      <c r="CL522" s="124"/>
      <c r="CM522" s="124"/>
      <c r="CN522" s="124"/>
      <c r="CO522" s="124"/>
      <c r="CP522" s="124"/>
      <c r="CQ522" s="124"/>
      <c r="CR522" s="124"/>
      <c r="CS522" s="124"/>
      <c r="CT522" s="124"/>
      <c r="CU522" s="124"/>
      <c r="CV522" s="124"/>
      <c r="CW522" s="124"/>
      <c r="CX522" s="124"/>
      <c r="CY522" s="124"/>
      <c r="CZ522" s="124"/>
      <c r="DA522" s="124"/>
      <c r="DB522" s="124"/>
      <c r="DC522" s="124"/>
      <c r="DD522" s="124"/>
      <c r="DE522" s="124"/>
      <c r="DF522" s="124"/>
      <c r="DG522" s="115"/>
    </row>
    <row r="523" spans="2:111" customFormat="1" ht="9" customHeight="1">
      <c r="B523" s="493"/>
      <c r="C523" s="493"/>
      <c r="D523" s="493"/>
      <c r="E523" s="493"/>
      <c r="F523" s="493"/>
      <c r="G523" s="493"/>
      <c r="H523" s="493"/>
      <c r="I523" s="493"/>
      <c r="J523" s="493"/>
      <c r="K523" s="493"/>
      <c r="L523" s="493"/>
      <c r="M523" s="493"/>
      <c r="N523" s="493"/>
      <c r="O523" s="421"/>
      <c r="P523" s="421"/>
      <c r="Q523" s="421"/>
      <c r="R523" s="421"/>
      <c r="S523" s="421"/>
      <c r="T523" s="421"/>
      <c r="U523" s="421"/>
      <c r="V523" s="421"/>
      <c r="W523" s="421"/>
      <c r="X523" s="421"/>
      <c r="Y523" s="421"/>
      <c r="Z523" s="421"/>
      <c r="AA523" s="421"/>
      <c r="AB523" s="421"/>
      <c r="AC523" s="421"/>
      <c r="AD523" s="421"/>
      <c r="AE523" s="421"/>
      <c r="AF523" s="421"/>
      <c r="AG523" s="421"/>
      <c r="AH523" s="421"/>
      <c r="AI523" s="421"/>
      <c r="AJ523" s="421"/>
      <c r="AK523" s="421"/>
      <c r="AL523" s="421"/>
      <c r="AM523" s="421"/>
      <c r="AN523" s="421"/>
      <c r="AO523" s="421"/>
      <c r="AP523" s="421"/>
      <c r="AQ523" s="421"/>
      <c r="AR523" s="421"/>
      <c r="AS523" s="421"/>
      <c r="AT523" s="421"/>
      <c r="AU523" s="421"/>
      <c r="AV523" s="421"/>
      <c r="AW523" s="421"/>
      <c r="AX523" s="421"/>
      <c r="AY523" s="421"/>
      <c r="AZ523" s="421"/>
      <c r="BA523" s="421"/>
      <c r="BC523" s="115"/>
      <c r="BD523" s="115"/>
      <c r="BE523" s="115"/>
      <c r="BF523" s="115"/>
      <c r="BG523" s="115"/>
      <c r="BH523" s="124"/>
      <c r="BI523" s="124"/>
      <c r="BJ523" s="124"/>
      <c r="BK523" s="124"/>
      <c r="BL523" s="124"/>
      <c r="BM523" s="124"/>
      <c r="BN523" s="124"/>
      <c r="BO523" s="124"/>
      <c r="BP523" s="124"/>
      <c r="BQ523" s="124"/>
      <c r="BR523" s="124"/>
      <c r="BS523" s="124"/>
      <c r="BT523" s="124"/>
      <c r="BU523" s="124"/>
      <c r="BV523" s="124"/>
      <c r="BW523" s="124"/>
      <c r="BX523" s="124"/>
      <c r="BY523" s="124"/>
      <c r="BZ523" s="124"/>
      <c r="CA523" s="124"/>
      <c r="CB523" s="124"/>
      <c r="CC523" s="124"/>
      <c r="CD523" s="124"/>
      <c r="CE523" s="124"/>
      <c r="CF523" s="124"/>
      <c r="CG523" s="124"/>
      <c r="CH523" s="124"/>
      <c r="CI523" s="124"/>
      <c r="CJ523" s="124"/>
      <c r="CK523" s="124"/>
      <c r="CL523" s="124"/>
      <c r="CM523" s="124"/>
      <c r="CN523" s="124"/>
      <c r="CO523" s="124"/>
      <c r="CP523" s="124"/>
      <c r="CQ523" s="124"/>
      <c r="CR523" s="124"/>
      <c r="CS523" s="124"/>
      <c r="CT523" s="124"/>
      <c r="CU523" s="124"/>
      <c r="CV523" s="124"/>
      <c r="CW523" s="124"/>
      <c r="CX523" s="124"/>
      <c r="CY523" s="124"/>
      <c r="CZ523" s="124"/>
      <c r="DA523" s="124"/>
      <c r="DB523" s="124"/>
      <c r="DC523" s="124"/>
      <c r="DD523" s="124"/>
      <c r="DE523" s="124"/>
      <c r="DF523" s="124"/>
      <c r="DG523" s="115"/>
    </row>
    <row r="524" spans="2:111" customFormat="1" ht="9" customHeight="1">
      <c r="B524" s="143"/>
      <c r="C524" s="143"/>
      <c r="D524" s="143"/>
      <c r="E524" s="143"/>
      <c r="F524" s="143"/>
      <c r="G524" s="143"/>
      <c r="H524" s="143"/>
      <c r="I524" s="143"/>
      <c r="J524" s="143"/>
      <c r="K524" s="143"/>
      <c r="L524" s="143"/>
      <c r="M524" s="143"/>
      <c r="N524" s="143"/>
      <c r="O524" s="421"/>
      <c r="P524" s="421"/>
      <c r="Q524" s="421"/>
      <c r="R524" s="421"/>
      <c r="S524" s="421"/>
      <c r="T524" s="421"/>
      <c r="U524" s="421"/>
      <c r="V524" s="421"/>
      <c r="W524" s="421"/>
      <c r="X524" s="421"/>
      <c r="Y524" s="421"/>
      <c r="Z524" s="421"/>
      <c r="AA524" s="421"/>
      <c r="AB524" s="421"/>
      <c r="AC524" s="421"/>
      <c r="AD524" s="421"/>
      <c r="AE524" s="421"/>
      <c r="AF524" s="421"/>
      <c r="AG524" s="421"/>
      <c r="AH524" s="421"/>
      <c r="AI524" s="421"/>
      <c r="AJ524" s="421"/>
      <c r="AK524" s="421"/>
      <c r="AL524" s="421"/>
      <c r="AM524" s="421"/>
      <c r="AN524" s="421"/>
      <c r="AO524" s="421"/>
      <c r="AP524" s="421"/>
      <c r="AQ524" s="421"/>
      <c r="AR524" s="421"/>
      <c r="AS524" s="421"/>
      <c r="AT524" s="421"/>
      <c r="AU524" s="421"/>
      <c r="AV524" s="421"/>
      <c r="AW524" s="421"/>
      <c r="AX524" s="421"/>
      <c r="AY524" s="421"/>
      <c r="AZ524" s="421"/>
      <c r="BA524" s="421"/>
      <c r="BC524" s="115"/>
      <c r="BD524" s="115"/>
      <c r="BE524" s="115"/>
      <c r="BF524" s="115"/>
      <c r="BG524" s="115"/>
      <c r="BH524" s="84"/>
      <c r="BI524" s="84"/>
      <c r="BJ524" s="84"/>
      <c r="BK524" s="84"/>
      <c r="BL524" s="84"/>
      <c r="BM524" s="84"/>
      <c r="BN524" s="84"/>
      <c r="BO524" s="84"/>
      <c r="BP524" s="84"/>
      <c r="BQ524" s="84"/>
      <c r="BR524" s="84"/>
      <c r="BS524" s="84"/>
      <c r="BT524" s="84"/>
      <c r="BU524" s="84"/>
      <c r="BV524" s="84"/>
      <c r="BW524" s="84"/>
      <c r="BX524" s="84"/>
      <c r="BY524" s="84"/>
      <c r="BZ524" s="84"/>
      <c r="CA524" s="84"/>
      <c r="CB524" s="84"/>
      <c r="CC524" s="84"/>
      <c r="CD524" s="84"/>
      <c r="CE524" s="84"/>
      <c r="CF524" s="84"/>
      <c r="CG524" s="84"/>
      <c r="CH524" s="84"/>
      <c r="CI524" s="84"/>
      <c r="CJ524" s="84"/>
      <c r="CK524" s="84"/>
      <c r="CL524" s="84"/>
      <c r="CM524" s="84"/>
      <c r="CN524" s="84"/>
      <c r="CO524" s="84"/>
      <c r="CP524" s="84"/>
      <c r="CQ524" s="84"/>
      <c r="CR524" s="84"/>
      <c r="CS524" s="84"/>
      <c r="CT524" s="84"/>
      <c r="CU524" s="84"/>
      <c r="CV524" s="84"/>
      <c r="CW524" s="84"/>
      <c r="CX524" s="84"/>
      <c r="CY524" s="84"/>
      <c r="CZ524" s="84"/>
      <c r="DA524" s="84"/>
      <c r="DB524" s="84"/>
      <c r="DC524" s="84"/>
      <c r="DD524" s="84"/>
      <c r="DE524" s="84"/>
      <c r="DF524" s="84"/>
      <c r="DG524" s="115"/>
    </row>
    <row r="525" spans="2:111" customFormat="1" ht="9" customHeight="1">
      <c r="B525" s="49"/>
      <c r="C525" s="49"/>
      <c r="D525" s="49"/>
      <c r="E525" s="49"/>
      <c r="F525" s="49"/>
      <c r="G525" s="49"/>
      <c r="H525" s="49"/>
      <c r="I525" s="49"/>
      <c r="J525" s="49"/>
      <c r="K525" s="49"/>
      <c r="L525" s="49"/>
      <c r="M525" s="49"/>
      <c r="N525" s="49"/>
      <c r="O525" s="421"/>
      <c r="P525" s="421"/>
      <c r="Q525" s="421"/>
      <c r="R525" s="421"/>
      <c r="S525" s="421"/>
      <c r="T525" s="421"/>
      <c r="U525" s="421"/>
      <c r="V525" s="421"/>
      <c r="W525" s="421"/>
      <c r="X525" s="421"/>
      <c r="Y525" s="421"/>
      <c r="Z525" s="421"/>
      <c r="AA525" s="421"/>
      <c r="AB525" s="421"/>
      <c r="AC525" s="421"/>
      <c r="AD525" s="421"/>
      <c r="AE525" s="421"/>
      <c r="AF525" s="421"/>
      <c r="AG525" s="421"/>
      <c r="AH525" s="421"/>
      <c r="AI525" s="421"/>
      <c r="AJ525" s="421"/>
      <c r="AK525" s="421"/>
      <c r="AL525" s="421"/>
      <c r="AM525" s="421"/>
      <c r="AN525" s="421"/>
      <c r="AO525" s="421"/>
      <c r="AP525" s="421"/>
      <c r="AQ525" s="421"/>
      <c r="AR525" s="421"/>
      <c r="AS525" s="421"/>
      <c r="AT525" s="421"/>
      <c r="AU525" s="421"/>
      <c r="AV525" s="421"/>
      <c r="AW525" s="421"/>
      <c r="AX525" s="421"/>
      <c r="AY525" s="421"/>
      <c r="AZ525" s="421"/>
      <c r="BA525" s="421"/>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row>
    <row r="526" spans="2:111" customFormat="1" ht="4.5" customHeight="1">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C526" s="115"/>
      <c r="BD526" s="115"/>
      <c r="BE526" s="115"/>
      <c r="BF526" s="115"/>
      <c r="BG526" s="115"/>
      <c r="BH526" s="124"/>
      <c r="BI526" s="124"/>
      <c r="BJ526" s="124"/>
      <c r="BK526" s="124"/>
      <c r="BL526" s="124"/>
      <c r="BM526" s="124"/>
      <c r="BN526" s="124"/>
      <c r="BO526" s="124"/>
      <c r="BP526" s="124"/>
      <c r="BQ526" s="124"/>
      <c r="BR526" s="124"/>
      <c r="BS526" s="124"/>
      <c r="BT526" s="124"/>
      <c r="BU526" s="124"/>
      <c r="BV526" s="124"/>
      <c r="BW526" s="124"/>
      <c r="BX526" s="124"/>
      <c r="BY526" s="124"/>
      <c r="BZ526" s="124"/>
      <c r="CA526" s="124"/>
      <c r="CB526" s="124"/>
      <c r="CC526" s="124"/>
      <c r="CD526" s="124"/>
      <c r="CE526" s="124"/>
      <c r="CF526" s="124"/>
      <c r="CG526" s="124"/>
      <c r="CH526" s="124"/>
      <c r="CI526" s="124"/>
      <c r="CJ526" s="124"/>
      <c r="CK526" s="124"/>
      <c r="CL526" s="124"/>
      <c r="CM526" s="124"/>
      <c r="CN526" s="124"/>
      <c r="CO526" s="124"/>
      <c r="CP526" s="124"/>
      <c r="CQ526" s="124"/>
      <c r="CR526" s="124"/>
      <c r="CS526" s="124"/>
      <c r="CT526" s="124"/>
      <c r="CU526" s="124"/>
      <c r="CV526" s="124"/>
      <c r="CW526" s="124"/>
      <c r="CX526" s="124"/>
      <c r="CY526" s="124"/>
      <c r="CZ526" s="124"/>
      <c r="DA526" s="124"/>
      <c r="DB526" s="124"/>
      <c r="DC526" s="124"/>
      <c r="DD526" s="124"/>
      <c r="DE526" s="124"/>
      <c r="DF526" s="124"/>
      <c r="DG526" s="115"/>
    </row>
    <row r="527" spans="2:111" customFormat="1" ht="9" customHeight="1">
      <c r="B527" s="493" t="str">
        <f>IF(B516="","","Detalhamento do Objeto:")</f>
        <v/>
      </c>
      <c r="C527" s="493"/>
      <c r="D527" s="493"/>
      <c r="E527" s="493"/>
      <c r="F527" s="493"/>
      <c r="G527" s="493"/>
      <c r="H527" s="493"/>
      <c r="I527" s="493"/>
      <c r="J527" s="493"/>
      <c r="K527" s="493"/>
      <c r="L527" s="493"/>
      <c r="M527" s="493"/>
      <c r="N527" s="493"/>
      <c r="O527" s="421"/>
      <c r="P527" s="421"/>
      <c r="Q527" s="421"/>
      <c r="R527" s="421"/>
      <c r="S527" s="421"/>
      <c r="T527" s="421"/>
      <c r="U527" s="421"/>
      <c r="V527" s="421"/>
      <c r="W527" s="421"/>
      <c r="X527" s="421"/>
      <c r="Y527" s="421"/>
      <c r="Z527" s="421"/>
      <c r="AA527" s="421"/>
      <c r="AB527" s="421"/>
      <c r="AC527" s="421"/>
      <c r="AD527" s="421"/>
      <c r="AE527" s="421"/>
      <c r="AF527" s="421"/>
      <c r="AG527" s="421"/>
      <c r="AH527" s="421"/>
      <c r="AI527" s="421"/>
      <c r="AJ527" s="421"/>
      <c r="AK527" s="421"/>
      <c r="AL527" s="421"/>
      <c r="AM527" s="421"/>
      <c r="AN527" s="421"/>
      <c r="AO527" s="421"/>
      <c r="AP527" s="421"/>
      <c r="AQ527" s="421"/>
      <c r="AR527" s="421"/>
      <c r="AS527" s="421"/>
      <c r="AT527" s="421"/>
      <c r="AU527" s="421"/>
      <c r="AV527" s="421"/>
      <c r="AW527" s="421"/>
      <c r="AX527" s="421"/>
      <c r="AY527" s="421"/>
      <c r="AZ527" s="421"/>
      <c r="BA527" s="421"/>
      <c r="BC527" s="115"/>
      <c r="BD527" s="115"/>
      <c r="BE527" s="115"/>
      <c r="BF527" s="115"/>
      <c r="BG527" s="115"/>
      <c r="BH527" s="124"/>
      <c r="BI527" s="124"/>
      <c r="BJ527" s="124"/>
      <c r="BK527" s="124"/>
      <c r="BL527" s="124"/>
      <c r="BM527" s="124"/>
      <c r="BN527" s="124"/>
      <c r="BO527" s="124"/>
      <c r="BP527" s="124"/>
      <c r="BQ527" s="124"/>
      <c r="BR527" s="124"/>
      <c r="BS527" s="124"/>
      <c r="BT527" s="124"/>
      <c r="BU527" s="124"/>
      <c r="BV527" s="124"/>
      <c r="BW527" s="124"/>
      <c r="BX527" s="124"/>
      <c r="BY527" s="124"/>
      <c r="BZ527" s="124"/>
      <c r="CA527" s="124"/>
      <c r="CB527" s="124"/>
      <c r="CC527" s="124"/>
      <c r="CD527" s="124"/>
      <c r="CE527" s="124"/>
      <c r="CF527" s="124"/>
      <c r="CG527" s="124"/>
      <c r="CH527" s="124"/>
      <c r="CI527" s="124"/>
      <c r="CJ527" s="124"/>
      <c r="CK527" s="124"/>
      <c r="CL527" s="124"/>
      <c r="CM527" s="124"/>
      <c r="CN527" s="124"/>
      <c r="CO527" s="124"/>
      <c r="CP527" s="124"/>
      <c r="CQ527" s="124"/>
      <c r="CR527" s="124"/>
      <c r="CS527" s="124"/>
      <c r="CT527" s="124"/>
      <c r="CU527" s="124"/>
      <c r="CV527" s="124"/>
      <c r="CW527" s="124"/>
      <c r="CX527" s="124"/>
      <c r="CY527" s="124"/>
      <c r="CZ527" s="124"/>
      <c r="DA527" s="124"/>
      <c r="DB527" s="124"/>
      <c r="DC527" s="124"/>
      <c r="DD527" s="124"/>
      <c r="DE527" s="124"/>
      <c r="DF527" s="124"/>
      <c r="DG527" s="115"/>
    </row>
    <row r="528" spans="2:111" customFormat="1" ht="9" customHeight="1">
      <c r="B528" s="493"/>
      <c r="C528" s="493"/>
      <c r="D528" s="493"/>
      <c r="E528" s="493"/>
      <c r="F528" s="493"/>
      <c r="G528" s="493"/>
      <c r="H528" s="493"/>
      <c r="I528" s="493"/>
      <c r="J528" s="493"/>
      <c r="K528" s="493"/>
      <c r="L528" s="493"/>
      <c r="M528" s="493"/>
      <c r="N528" s="493"/>
      <c r="O528" s="421"/>
      <c r="P528" s="421"/>
      <c r="Q528" s="421"/>
      <c r="R528" s="421"/>
      <c r="S528" s="421"/>
      <c r="T528" s="421"/>
      <c r="U528" s="421"/>
      <c r="V528" s="421"/>
      <c r="W528" s="421"/>
      <c r="X528" s="421"/>
      <c r="Y528" s="421"/>
      <c r="Z528" s="421"/>
      <c r="AA528" s="421"/>
      <c r="AB528" s="421"/>
      <c r="AC528" s="421"/>
      <c r="AD528" s="421"/>
      <c r="AE528" s="421"/>
      <c r="AF528" s="421"/>
      <c r="AG528" s="421"/>
      <c r="AH528" s="421"/>
      <c r="AI528" s="421"/>
      <c r="AJ528" s="421"/>
      <c r="AK528" s="421"/>
      <c r="AL528" s="421"/>
      <c r="AM528" s="421"/>
      <c r="AN528" s="421"/>
      <c r="AO528" s="421"/>
      <c r="AP528" s="421"/>
      <c r="AQ528" s="421"/>
      <c r="AR528" s="421"/>
      <c r="AS528" s="421"/>
      <c r="AT528" s="421"/>
      <c r="AU528" s="421"/>
      <c r="AV528" s="421"/>
      <c r="AW528" s="421"/>
      <c r="AX528" s="421"/>
      <c r="AY528" s="421"/>
      <c r="AZ528" s="421"/>
      <c r="BA528" s="421"/>
      <c r="BC528" s="115"/>
      <c r="BD528" s="115"/>
      <c r="BE528" s="115"/>
      <c r="BF528" s="115"/>
      <c r="BG528" s="115"/>
      <c r="BH528" s="124"/>
      <c r="BI528" s="124"/>
      <c r="BJ528" s="124"/>
      <c r="BK528" s="124"/>
      <c r="BL528" s="124"/>
      <c r="BM528" s="124"/>
      <c r="BN528" s="124"/>
      <c r="BO528" s="124"/>
      <c r="BP528" s="124"/>
      <c r="BQ528" s="124"/>
      <c r="BR528" s="124"/>
      <c r="BS528" s="124"/>
      <c r="BT528" s="124"/>
      <c r="BU528" s="124"/>
      <c r="BV528" s="124"/>
      <c r="BW528" s="124"/>
      <c r="BX528" s="124"/>
      <c r="BY528" s="124"/>
      <c r="BZ528" s="124"/>
      <c r="CA528" s="124"/>
      <c r="CB528" s="124"/>
      <c r="CC528" s="124"/>
      <c r="CD528" s="124"/>
      <c r="CE528" s="124"/>
      <c r="CF528" s="124"/>
      <c r="CG528" s="124"/>
      <c r="CH528" s="124"/>
      <c r="CI528" s="124"/>
      <c r="CJ528" s="124"/>
      <c r="CK528" s="124"/>
      <c r="CL528" s="124"/>
      <c r="CM528" s="124"/>
      <c r="CN528" s="124"/>
      <c r="CO528" s="124"/>
      <c r="CP528" s="124"/>
      <c r="CQ528" s="124"/>
      <c r="CR528" s="124"/>
      <c r="CS528" s="124"/>
      <c r="CT528" s="124"/>
      <c r="CU528" s="124"/>
      <c r="CV528" s="124"/>
      <c r="CW528" s="124"/>
      <c r="CX528" s="124"/>
      <c r="CY528" s="124"/>
      <c r="CZ528" s="124"/>
      <c r="DA528" s="124"/>
      <c r="DB528" s="124"/>
      <c r="DC528" s="124"/>
      <c r="DD528" s="124"/>
      <c r="DE528" s="124"/>
      <c r="DF528" s="124"/>
      <c r="DG528" s="115"/>
    </row>
    <row r="529" spans="2:111" customFormat="1" ht="9" customHeight="1">
      <c r="B529" s="143"/>
      <c r="C529" s="143"/>
      <c r="D529" s="143"/>
      <c r="E529" s="143"/>
      <c r="F529" s="143"/>
      <c r="G529" s="143"/>
      <c r="H529" s="143"/>
      <c r="I529" s="143"/>
      <c r="J529" s="143"/>
      <c r="K529" s="143"/>
      <c r="L529" s="143"/>
      <c r="M529" s="143"/>
      <c r="N529" s="143"/>
      <c r="O529" s="421"/>
      <c r="P529" s="421"/>
      <c r="Q529" s="421"/>
      <c r="R529" s="421"/>
      <c r="S529" s="421"/>
      <c r="T529" s="421"/>
      <c r="U529" s="421"/>
      <c r="V529" s="421"/>
      <c r="W529" s="421"/>
      <c r="X529" s="421"/>
      <c r="Y529" s="421"/>
      <c r="Z529" s="421"/>
      <c r="AA529" s="421"/>
      <c r="AB529" s="421"/>
      <c r="AC529" s="421"/>
      <c r="AD529" s="421"/>
      <c r="AE529" s="421"/>
      <c r="AF529" s="421"/>
      <c r="AG529" s="421"/>
      <c r="AH529" s="421"/>
      <c r="AI529" s="421"/>
      <c r="AJ529" s="421"/>
      <c r="AK529" s="421"/>
      <c r="AL529" s="421"/>
      <c r="AM529" s="421"/>
      <c r="AN529" s="421"/>
      <c r="AO529" s="421"/>
      <c r="AP529" s="421"/>
      <c r="AQ529" s="421"/>
      <c r="AR529" s="421"/>
      <c r="AS529" s="421"/>
      <c r="AT529" s="421"/>
      <c r="AU529" s="421"/>
      <c r="AV529" s="421"/>
      <c r="AW529" s="421"/>
      <c r="AX529" s="421"/>
      <c r="AY529" s="421"/>
      <c r="AZ529" s="421"/>
      <c r="BA529" s="421"/>
      <c r="BC529" s="115"/>
      <c r="BD529" s="115"/>
      <c r="BE529" s="115"/>
      <c r="BF529" s="115"/>
      <c r="BG529" s="115"/>
      <c r="BH529" s="84"/>
      <c r="BI529" s="84"/>
      <c r="BJ529" s="84"/>
      <c r="BK529" s="84"/>
      <c r="BL529" s="84"/>
      <c r="BM529" s="84"/>
      <c r="BN529" s="84"/>
      <c r="BO529" s="84"/>
      <c r="BP529" s="84"/>
      <c r="BQ529" s="84"/>
      <c r="BR529" s="84"/>
      <c r="BS529" s="84"/>
      <c r="BT529" s="84"/>
      <c r="BU529" s="84"/>
      <c r="BV529" s="84"/>
      <c r="BW529" s="84"/>
      <c r="BX529" s="84"/>
      <c r="BY529" s="84"/>
      <c r="BZ529" s="84"/>
      <c r="CA529" s="84"/>
      <c r="CB529" s="84"/>
      <c r="CC529" s="84"/>
      <c r="CD529" s="84"/>
      <c r="CE529" s="84"/>
      <c r="CF529" s="84"/>
      <c r="CG529" s="84"/>
      <c r="CH529" s="84"/>
      <c r="CI529" s="84"/>
      <c r="CJ529" s="84"/>
      <c r="CK529" s="84"/>
      <c r="CL529" s="84"/>
      <c r="CM529" s="84"/>
      <c r="CN529" s="84"/>
      <c r="CO529" s="84"/>
      <c r="CP529" s="84"/>
      <c r="CQ529" s="84"/>
      <c r="CR529" s="84"/>
      <c r="CS529" s="84"/>
      <c r="CT529" s="84"/>
      <c r="CU529" s="84"/>
      <c r="CV529" s="84"/>
      <c r="CW529" s="84"/>
      <c r="CX529" s="84"/>
      <c r="CY529" s="84"/>
      <c r="CZ529" s="84"/>
      <c r="DA529" s="84"/>
      <c r="DB529" s="84"/>
      <c r="DC529" s="84"/>
      <c r="DD529" s="84"/>
      <c r="DE529" s="84"/>
      <c r="DF529" s="84"/>
      <c r="DG529" s="115"/>
    </row>
    <row r="530" spans="2:111" customFormat="1" ht="9" customHeight="1">
      <c r="B530" s="143"/>
      <c r="C530" s="143"/>
      <c r="D530" s="143"/>
      <c r="E530" s="143"/>
      <c r="F530" s="143"/>
      <c r="G530" s="143"/>
      <c r="H530" s="143"/>
      <c r="I530" s="143"/>
      <c r="J530" s="143"/>
      <c r="K530" s="143"/>
      <c r="L530" s="143"/>
      <c r="M530" s="143"/>
      <c r="N530" s="143"/>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c r="AN530" s="421"/>
      <c r="AO530" s="421"/>
      <c r="AP530" s="421"/>
      <c r="AQ530" s="421"/>
      <c r="AR530" s="421"/>
      <c r="AS530" s="421"/>
      <c r="AT530" s="421"/>
      <c r="AU530" s="421"/>
      <c r="AV530" s="421"/>
      <c r="AW530" s="421"/>
      <c r="AX530" s="421"/>
      <c r="AY530" s="421"/>
      <c r="AZ530" s="421"/>
      <c r="BA530" s="421"/>
      <c r="BC530" s="115"/>
      <c r="BD530" s="115"/>
      <c r="BE530" s="115"/>
      <c r="BF530" s="115"/>
      <c r="BG530" s="115"/>
      <c r="BH530" s="84"/>
      <c r="BI530" s="84"/>
      <c r="BJ530" s="84"/>
      <c r="BK530" s="84"/>
      <c r="BL530" s="84"/>
      <c r="BM530" s="84"/>
      <c r="BN530" s="84"/>
      <c r="BO530" s="84"/>
      <c r="BP530" s="84"/>
      <c r="BQ530" s="84"/>
      <c r="BR530" s="84"/>
      <c r="BS530" s="84"/>
      <c r="BT530" s="84"/>
      <c r="BU530" s="84"/>
      <c r="BV530" s="84"/>
      <c r="BW530" s="84"/>
      <c r="BX530" s="84"/>
      <c r="BY530" s="84"/>
      <c r="BZ530" s="84"/>
      <c r="CA530" s="84"/>
      <c r="CB530" s="84"/>
      <c r="CC530" s="84"/>
      <c r="CD530" s="84"/>
      <c r="CE530" s="84"/>
      <c r="CF530" s="84"/>
      <c r="CG530" s="84"/>
      <c r="CH530" s="84"/>
      <c r="CI530" s="84"/>
      <c r="CJ530" s="84"/>
      <c r="CK530" s="84"/>
      <c r="CL530" s="84"/>
      <c r="CM530" s="84"/>
      <c r="CN530" s="84"/>
      <c r="CO530" s="84"/>
      <c r="CP530" s="84"/>
      <c r="CQ530" s="84"/>
      <c r="CR530" s="84"/>
      <c r="CS530" s="84"/>
      <c r="CT530" s="84"/>
      <c r="CU530" s="84"/>
      <c r="CV530" s="84"/>
      <c r="CW530" s="84"/>
      <c r="CX530" s="84"/>
      <c r="CY530" s="84"/>
      <c r="CZ530" s="84"/>
      <c r="DA530" s="84"/>
      <c r="DB530" s="84"/>
      <c r="DC530" s="84"/>
      <c r="DD530" s="84"/>
      <c r="DE530" s="84"/>
      <c r="DF530" s="84"/>
      <c r="DG530" s="115"/>
    </row>
    <row r="531" spans="2:111" customFormat="1" ht="9" customHeight="1">
      <c r="B531" s="143"/>
      <c r="C531" s="143"/>
      <c r="D531" s="143"/>
      <c r="E531" s="143"/>
      <c r="F531" s="143"/>
      <c r="G531" s="143"/>
      <c r="H531" s="143"/>
      <c r="I531" s="143"/>
      <c r="J531" s="143"/>
      <c r="K531" s="143"/>
      <c r="L531" s="143"/>
      <c r="M531" s="143"/>
      <c r="N531" s="143"/>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1"/>
      <c r="AK531" s="421"/>
      <c r="AL531" s="421"/>
      <c r="AM531" s="421"/>
      <c r="AN531" s="421"/>
      <c r="AO531" s="421"/>
      <c r="AP531" s="421"/>
      <c r="AQ531" s="421"/>
      <c r="AR531" s="421"/>
      <c r="AS531" s="421"/>
      <c r="AT531" s="421"/>
      <c r="AU531" s="421"/>
      <c r="AV531" s="421"/>
      <c r="AW531" s="421"/>
      <c r="AX531" s="421"/>
      <c r="AY531" s="421"/>
      <c r="AZ531" s="421"/>
      <c r="BA531" s="421"/>
      <c r="BC531" s="115"/>
      <c r="BD531" s="115"/>
      <c r="BE531" s="115"/>
      <c r="BF531" s="115"/>
      <c r="BG531" s="115"/>
      <c r="BH531" s="84"/>
      <c r="BI531" s="84"/>
      <c r="BJ531" s="84"/>
      <c r="BK531" s="84"/>
      <c r="BL531" s="84"/>
      <c r="BM531" s="84"/>
      <c r="BN531" s="84"/>
      <c r="BO531" s="84"/>
      <c r="BP531" s="84"/>
      <c r="BQ531" s="84"/>
      <c r="BR531" s="84"/>
      <c r="BS531" s="84"/>
      <c r="BT531" s="84"/>
      <c r="BU531" s="84"/>
      <c r="BV531" s="84"/>
      <c r="BW531" s="84"/>
      <c r="BX531" s="84"/>
      <c r="BY531" s="84"/>
      <c r="BZ531" s="84"/>
      <c r="CA531" s="84"/>
      <c r="CB531" s="84"/>
      <c r="CC531" s="84"/>
      <c r="CD531" s="84"/>
      <c r="CE531" s="84"/>
      <c r="CF531" s="84"/>
      <c r="CG531" s="84"/>
      <c r="CH531" s="84"/>
      <c r="CI531" s="84"/>
      <c r="CJ531" s="84"/>
      <c r="CK531" s="84"/>
      <c r="CL531" s="84"/>
      <c r="CM531" s="84"/>
      <c r="CN531" s="84"/>
      <c r="CO531" s="84"/>
      <c r="CP531" s="84"/>
      <c r="CQ531" s="84"/>
      <c r="CR531" s="84"/>
      <c r="CS531" s="84"/>
      <c r="CT531" s="84"/>
      <c r="CU531" s="84"/>
      <c r="CV531" s="84"/>
      <c r="CW531" s="84"/>
      <c r="CX531" s="84"/>
      <c r="CY531" s="84"/>
      <c r="CZ531" s="84"/>
      <c r="DA531" s="84"/>
      <c r="DB531" s="84"/>
      <c r="DC531" s="84"/>
      <c r="DD531" s="84"/>
      <c r="DE531" s="84"/>
      <c r="DF531" s="84"/>
      <c r="DG531" s="115"/>
    </row>
    <row r="532" spans="2:111" customFormat="1" ht="9" customHeight="1">
      <c r="B532" s="143"/>
      <c r="C532" s="143"/>
      <c r="D532" s="143"/>
      <c r="E532" s="143"/>
      <c r="F532" s="143"/>
      <c r="G532" s="143"/>
      <c r="H532" s="143"/>
      <c r="I532" s="143"/>
      <c r="J532" s="143"/>
      <c r="K532" s="143"/>
      <c r="L532" s="143"/>
      <c r="M532" s="143"/>
      <c r="N532" s="143"/>
      <c r="O532" s="421"/>
      <c r="P532" s="421"/>
      <c r="Q532" s="421"/>
      <c r="R532" s="421"/>
      <c r="S532" s="421"/>
      <c r="T532" s="421"/>
      <c r="U532" s="421"/>
      <c r="V532" s="421"/>
      <c r="W532" s="421"/>
      <c r="X532" s="421"/>
      <c r="Y532" s="421"/>
      <c r="Z532" s="421"/>
      <c r="AA532" s="421"/>
      <c r="AB532" s="421"/>
      <c r="AC532" s="421"/>
      <c r="AD532" s="421"/>
      <c r="AE532" s="421"/>
      <c r="AF532" s="421"/>
      <c r="AG532" s="421"/>
      <c r="AH532" s="421"/>
      <c r="AI532" s="421"/>
      <c r="AJ532" s="421"/>
      <c r="AK532" s="421"/>
      <c r="AL532" s="421"/>
      <c r="AM532" s="421"/>
      <c r="AN532" s="421"/>
      <c r="AO532" s="421"/>
      <c r="AP532" s="421"/>
      <c r="AQ532" s="421"/>
      <c r="AR532" s="421"/>
      <c r="AS532" s="421"/>
      <c r="AT532" s="421"/>
      <c r="AU532" s="421"/>
      <c r="AV532" s="421"/>
      <c r="AW532" s="421"/>
      <c r="AX532" s="421"/>
      <c r="AY532" s="421"/>
      <c r="AZ532" s="421"/>
      <c r="BA532" s="421"/>
      <c r="BC532" s="115"/>
      <c r="BD532" s="115"/>
      <c r="BE532" s="115"/>
      <c r="BF532" s="115"/>
      <c r="BG532" s="115"/>
      <c r="BH532" s="84"/>
      <c r="BI532" s="84"/>
      <c r="BJ532" s="84"/>
      <c r="BK532" s="84"/>
      <c r="BL532" s="84"/>
      <c r="BM532" s="84"/>
      <c r="BN532" s="84"/>
      <c r="BO532" s="84"/>
      <c r="BP532" s="84"/>
      <c r="BQ532" s="84"/>
      <c r="BR532" s="84"/>
      <c r="BS532" s="84"/>
      <c r="BT532" s="84"/>
      <c r="BU532" s="84"/>
      <c r="BV532" s="84"/>
      <c r="BW532" s="84"/>
      <c r="BX532" s="84"/>
      <c r="BY532" s="84"/>
      <c r="BZ532" s="84"/>
      <c r="CA532" s="84"/>
      <c r="CB532" s="84"/>
      <c r="CC532" s="84"/>
      <c r="CD532" s="84"/>
      <c r="CE532" s="84"/>
      <c r="CF532" s="84"/>
      <c r="CG532" s="84"/>
      <c r="CH532" s="84"/>
      <c r="CI532" s="84"/>
      <c r="CJ532" s="84"/>
      <c r="CK532" s="84"/>
      <c r="CL532" s="84"/>
      <c r="CM532" s="84"/>
      <c r="CN532" s="84"/>
      <c r="CO532" s="84"/>
      <c r="CP532" s="84"/>
      <c r="CQ532" s="84"/>
      <c r="CR532" s="84"/>
      <c r="CS532" s="84"/>
      <c r="CT532" s="84"/>
      <c r="CU532" s="84"/>
      <c r="CV532" s="84"/>
      <c r="CW532" s="84"/>
      <c r="CX532" s="84"/>
      <c r="CY532" s="84"/>
      <c r="CZ532" s="84"/>
      <c r="DA532" s="84"/>
      <c r="DB532" s="84"/>
      <c r="DC532" s="84"/>
      <c r="DD532" s="84"/>
      <c r="DE532" s="84"/>
      <c r="DF532" s="84"/>
      <c r="DG532" s="115"/>
    </row>
    <row r="533" spans="2:111" customFormat="1" ht="9" customHeight="1">
      <c r="B533" s="143"/>
      <c r="C533" s="143"/>
      <c r="D533" s="143"/>
      <c r="E533" s="143"/>
      <c r="F533" s="143"/>
      <c r="G533" s="143"/>
      <c r="H533" s="143"/>
      <c r="I533" s="143"/>
      <c r="J533" s="143"/>
      <c r="K533" s="143"/>
      <c r="L533" s="143"/>
      <c r="M533" s="143"/>
      <c r="N533" s="143"/>
      <c r="O533" s="421"/>
      <c r="P533" s="421"/>
      <c r="Q533" s="421"/>
      <c r="R533" s="421"/>
      <c r="S533" s="421"/>
      <c r="T533" s="421"/>
      <c r="U533" s="421"/>
      <c r="V533" s="421"/>
      <c r="W533" s="421"/>
      <c r="X533" s="421"/>
      <c r="Y533" s="421"/>
      <c r="Z533" s="421"/>
      <c r="AA533" s="421"/>
      <c r="AB533" s="421"/>
      <c r="AC533" s="421"/>
      <c r="AD533" s="421"/>
      <c r="AE533" s="421"/>
      <c r="AF533" s="421"/>
      <c r="AG533" s="421"/>
      <c r="AH533" s="421"/>
      <c r="AI533" s="421"/>
      <c r="AJ533" s="421"/>
      <c r="AK533" s="421"/>
      <c r="AL533" s="421"/>
      <c r="AM533" s="421"/>
      <c r="AN533" s="421"/>
      <c r="AO533" s="421"/>
      <c r="AP533" s="421"/>
      <c r="AQ533" s="421"/>
      <c r="AR533" s="421"/>
      <c r="AS533" s="421"/>
      <c r="AT533" s="421"/>
      <c r="AU533" s="421"/>
      <c r="AV533" s="421"/>
      <c r="AW533" s="421"/>
      <c r="AX533" s="421"/>
      <c r="AY533" s="421"/>
      <c r="AZ533" s="421"/>
      <c r="BA533" s="421"/>
      <c r="BC533" s="115"/>
      <c r="BD533" s="115"/>
      <c r="BE533" s="115"/>
      <c r="BF533" s="115"/>
      <c r="BG533" s="115"/>
      <c r="BH533" s="84"/>
      <c r="BI533" s="84"/>
      <c r="BJ533" s="84"/>
      <c r="BK533" s="84"/>
      <c r="BL533" s="84"/>
      <c r="BM533" s="84"/>
      <c r="BN533" s="84"/>
      <c r="BO533" s="84"/>
      <c r="BP533" s="84"/>
      <c r="BQ533" s="84"/>
      <c r="BR533" s="84"/>
      <c r="BS533" s="84"/>
      <c r="BT533" s="84"/>
      <c r="BU533" s="84"/>
      <c r="BV533" s="84"/>
      <c r="BW533" s="84"/>
      <c r="BX533" s="84"/>
      <c r="BY533" s="84"/>
      <c r="BZ533" s="84"/>
      <c r="CA533" s="84"/>
      <c r="CB533" s="84"/>
      <c r="CC533" s="84"/>
      <c r="CD533" s="84"/>
      <c r="CE533" s="84"/>
      <c r="CF533" s="84"/>
      <c r="CG533" s="84"/>
      <c r="CH533" s="84"/>
      <c r="CI533" s="84"/>
      <c r="CJ533" s="84"/>
      <c r="CK533" s="84"/>
      <c r="CL533" s="84"/>
      <c r="CM533" s="84"/>
      <c r="CN533" s="84"/>
      <c r="CO533" s="84"/>
      <c r="CP533" s="84"/>
      <c r="CQ533" s="84"/>
      <c r="CR533" s="84"/>
      <c r="CS533" s="84"/>
      <c r="CT533" s="84"/>
      <c r="CU533" s="84"/>
      <c r="CV533" s="84"/>
      <c r="CW533" s="84"/>
      <c r="CX533" s="84"/>
      <c r="CY533" s="84"/>
      <c r="CZ533" s="84"/>
      <c r="DA533" s="84"/>
      <c r="DB533" s="84"/>
      <c r="DC533" s="84"/>
      <c r="DD533" s="84"/>
      <c r="DE533" s="84"/>
      <c r="DF533" s="84"/>
      <c r="DG533" s="115"/>
    </row>
    <row r="534" spans="2:111" customFormat="1" ht="9" customHeight="1">
      <c r="B534" s="49"/>
      <c r="C534" s="49"/>
      <c r="D534" s="49"/>
      <c r="E534" s="49"/>
      <c r="F534" s="49"/>
      <c r="G534" s="49"/>
      <c r="H534" s="49"/>
      <c r="I534" s="49"/>
      <c r="J534" s="49"/>
      <c r="K534" s="49"/>
      <c r="L534" s="49"/>
      <c r="M534" s="49"/>
      <c r="N534" s="49"/>
      <c r="O534" s="421"/>
      <c r="P534" s="421"/>
      <c r="Q534" s="421"/>
      <c r="R534" s="421"/>
      <c r="S534" s="421"/>
      <c r="T534" s="421"/>
      <c r="U534" s="421"/>
      <c r="V534" s="421"/>
      <c r="W534" s="421"/>
      <c r="X534" s="421"/>
      <c r="Y534" s="421"/>
      <c r="Z534" s="421"/>
      <c r="AA534" s="421"/>
      <c r="AB534" s="421"/>
      <c r="AC534" s="421"/>
      <c r="AD534" s="421"/>
      <c r="AE534" s="421"/>
      <c r="AF534" s="421"/>
      <c r="AG534" s="421"/>
      <c r="AH534" s="421"/>
      <c r="AI534" s="421"/>
      <c r="AJ534" s="421"/>
      <c r="AK534" s="421"/>
      <c r="AL534" s="421"/>
      <c r="AM534" s="421"/>
      <c r="AN534" s="421"/>
      <c r="AO534" s="421"/>
      <c r="AP534" s="421"/>
      <c r="AQ534" s="421"/>
      <c r="AR534" s="421"/>
      <c r="AS534" s="421"/>
      <c r="AT534" s="421"/>
      <c r="AU534" s="421"/>
      <c r="AV534" s="421"/>
      <c r="AW534" s="421"/>
      <c r="AX534" s="421"/>
      <c r="AY534" s="421"/>
      <c r="AZ534" s="421"/>
      <c r="BA534" s="421"/>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row>
    <row r="535" spans="2:111" customFormat="1" ht="4.5" customHeight="1">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49"/>
      <c r="AY535" s="49"/>
      <c r="AZ535" s="49"/>
      <c r="BA535" s="49"/>
      <c r="BC535" s="115"/>
      <c r="BD535" s="115"/>
      <c r="BE535" s="115"/>
      <c r="BF535" s="115"/>
      <c r="BG535" s="115"/>
      <c r="BH535" s="124"/>
      <c r="BI535" s="124"/>
      <c r="BJ535" s="124"/>
      <c r="BK535" s="124"/>
      <c r="BL535" s="124"/>
      <c r="BM535" s="124"/>
      <c r="BN535" s="124"/>
      <c r="BO535" s="124"/>
      <c r="BP535" s="124"/>
      <c r="BQ535" s="124"/>
      <c r="BR535" s="124"/>
      <c r="BS535" s="124"/>
      <c r="BT535" s="124"/>
      <c r="BU535" s="124"/>
      <c r="BV535" s="124"/>
      <c r="BW535" s="124"/>
      <c r="BX535" s="124"/>
      <c r="BY535" s="124"/>
      <c r="BZ535" s="124"/>
      <c r="CA535" s="124"/>
      <c r="CB535" s="124"/>
      <c r="CC535" s="124"/>
      <c r="CD535" s="124"/>
      <c r="CE535" s="124"/>
      <c r="CF535" s="124"/>
      <c r="CG535" s="124"/>
      <c r="CH535" s="124"/>
      <c r="CI535" s="124"/>
      <c r="CJ535" s="124"/>
      <c r="CK535" s="124"/>
      <c r="CL535" s="124"/>
      <c r="CM535" s="124"/>
      <c r="CN535" s="124"/>
      <c r="CO535" s="124"/>
      <c r="CP535" s="124"/>
      <c r="CQ535" s="124"/>
      <c r="CR535" s="124"/>
      <c r="CS535" s="124"/>
      <c r="CT535" s="124"/>
      <c r="CU535" s="124"/>
      <c r="CV535" s="124"/>
      <c r="CW535" s="124"/>
      <c r="CX535" s="124"/>
      <c r="CY535" s="124"/>
      <c r="CZ535" s="124"/>
      <c r="DA535" s="124"/>
      <c r="DB535" s="124"/>
      <c r="DC535" s="124"/>
      <c r="DD535" s="124"/>
      <c r="DE535" s="124"/>
      <c r="DF535" s="124"/>
      <c r="DG535" s="115"/>
    </row>
    <row r="536" spans="2:111" customFormat="1" ht="9" customHeight="1">
      <c r="B536" s="493" t="str">
        <f>IF(B516="","","Justificativa:")</f>
        <v/>
      </c>
      <c r="C536" s="493"/>
      <c r="D536" s="493"/>
      <c r="E536" s="493"/>
      <c r="F536" s="493"/>
      <c r="G536" s="493"/>
      <c r="H536" s="493"/>
      <c r="I536" s="493"/>
      <c r="J536" s="493"/>
      <c r="K536" s="493"/>
      <c r="L536" s="493"/>
      <c r="M536" s="493"/>
      <c r="N536" s="493"/>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21"/>
      <c r="AY536" s="421"/>
      <c r="AZ536" s="421"/>
      <c r="BA536" s="421"/>
      <c r="BC536" s="115"/>
      <c r="BD536" s="115"/>
      <c r="BE536" s="115"/>
      <c r="BF536" s="115"/>
      <c r="BG536" s="115"/>
      <c r="BH536" s="124"/>
      <c r="BI536" s="124"/>
      <c r="BJ536" s="124"/>
      <c r="BK536" s="124"/>
      <c r="BL536" s="124"/>
      <c r="BM536" s="124"/>
      <c r="BN536" s="124"/>
      <c r="BO536" s="124"/>
      <c r="BP536" s="124"/>
      <c r="BQ536" s="124"/>
      <c r="BR536" s="124"/>
      <c r="BS536" s="124"/>
      <c r="BT536" s="124"/>
      <c r="BU536" s="124"/>
      <c r="BV536" s="124"/>
      <c r="BW536" s="124"/>
      <c r="BX536" s="124"/>
      <c r="BY536" s="124"/>
      <c r="BZ536" s="124"/>
      <c r="CA536" s="124"/>
      <c r="CB536" s="124"/>
      <c r="CC536" s="124"/>
      <c r="CD536" s="124"/>
      <c r="CE536" s="124"/>
      <c r="CF536" s="124"/>
      <c r="CG536" s="124"/>
      <c r="CH536" s="124"/>
      <c r="CI536" s="124"/>
      <c r="CJ536" s="124"/>
      <c r="CK536" s="124"/>
      <c r="CL536" s="124"/>
      <c r="CM536" s="124"/>
      <c r="CN536" s="124"/>
      <c r="CO536" s="124"/>
      <c r="CP536" s="124"/>
      <c r="CQ536" s="124"/>
      <c r="CR536" s="124"/>
      <c r="CS536" s="124"/>
      <c r="CT536" s="124"/>
      <c r="CU536" s="124"/>
      <c r="CV536" s="124"/>
      <c r="CW536" s="124"/>
      <c r="CX536" s="124"/>
      <c r="CY536" s="124"/>
      <c r="CZ536" s="124"/>
      <c r="DA536" s="124"/>
      <c r="DB536" s="124"/>
      <c r="DC536" s="124"/>
      <c r="DD536" s="124"/>
      <c r="DE536" s="124"/>
      <c r="DF536" s="124"/>
      <c r="DG536" s="115"/>
    </row>
    <row r="537" spans="2:111" customFormat="1" ht="9" customHeight="1">
      <c r="B537" s="493"/>
      <c r="C537" s="493"/>
      <c r="D537" s="493"/>
      <c r="E537" s="493"/>
      <c r="F537" s="493"/>
      <c r="G537" s="493"/>
      <c r="H537" s="493"/>
      <c r="I537" s="493"/>
      <c r="J537" s="493"/>
      <c r="K537" s="493"/>
      <c r="L537" s="493"/>
      <c r="M537" s="493"/>
      <c r="N537" s="493"/>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21"/>
      <c r="AY537" s="421"/>
      <c r="AZ537" s="421"/>
      <c r="BA537" s="421"/>
      <c r="BC537" s="115"/>
      <c r="BD537" s="115"/>
      <c r="BE537" s="115"/>
      <c r="BF537" s="115"/>
      <c r="BG537" s="115"/>
      <c r="BH537" s="124"/>
      <c r="BI537" s="124"/>
      <c r="BJ537" s="124"/>
      <c r="BK537" s="124"/>
      <c r="BL537" s="124"/>
      <c r="BM537" s="124"/>
      <c r="BN537" s="124"/>
      <c r="BO537" s="124"/>
      <c r="BP537" s="124"/>
      <c r="BQ537" s="124"/>
      <c r="BR537" s="124"/>
      <c r="BS537" s="124"/>
      <c r="BT537" s="124"/>
      <c r="BU537" s="124"/>
      <c r="BV537" s="124"/>
      <c r="BW537" s="124"/>
      <c r="BX537" s="124"/>
      <c r="BY537" s="124"/>
      <c r="BZ537" s="124"/>
      <c r="CA537" s="124"/>
      <c r="CB537" s="124"/>
      <c r="CC537" s="124"/>
      <c r="CD537" s="124"/>
      <c r="CE537" s="124"/>
      <c r="CF537" s="124"/>
      <c r="CG537" s="124"/>
      <c r="CH537" s="124"/>
      <c r="CI537" s="124"/>
      <c r="CJ537" s="124"/>
      <c r="CK537" s="124"/>
      <c r="CL537" s="124"/>
      <c r="CM537" s="124"/>
      <c r="CN537" s="124"/>
      <c r="CO537" s="124"/>
      <c r="CP537" s="124"/>
      <c r="CQ537" s="124"/>
      <c r="CR537" s="124"/>
      <c r="CS537" s="124"/>
      <c r="CT537" s="124"/>
      <c r="CU537" s="124"/>
      <c r="CV537" s="124"/>
      <c r="CW537" s="124"/>
      <c r="CX537" s="124"/>
      <c r="CY537" s="124"/>
      <c r="CZ537" s="124"/>
      <c r="DA537" s="124"/>
      <c r="DB537" s="124"/>
      <c r="DC537" s="124"/>
      <c r="DD537" s="124"/>
      <c r="DE537" s="124"/>
      <c r="DF537" s="124"/>
      <c r="DG537" s="115"/>
    </row>
    <row r="538" spans="2:111" customFormat="1" ht="9" customHeight="1">
      <c r="B538" s="143"/>
      <c r="C538" s="143"/>
      <c r="D538" s="143"/>
      <c r="E538" s="143"/>
      <c r="F538" s="143"/>
      <c r="G538" s="143"/>
      <c r="H538" s="143"/>
      <c r="I538" s="143"/>
      <c r="J538" s="143"/>
      <c r="K538" s="143"/>
      <c r="L538" s="143"/>
      <c r="M538" s="143"/>
      <c r="N538" s="143"/>
      <c r="O538" s="421"/>
      <c r="P538" s="421"/>
      <c r="Q538" s="421"/>
      <c r="R538" s="421"/>
      <c r="S538" s="421"/>
      <c r="T538" s="421"/>
      <c r="U538" s="421"/>
      <c r="V538" s="421"/>
      <c r="W538" s="421"/>
      <c r="X538" s="421"/>
      <c r="Y538" s="421"/>
      <c r="Z538" s="421"/>
      <c r="AA538" s="421"/>
      <c r="AB538" s="421"/>
      <c r="AC538" s="421"/>
      <c r="AD538" s="421"/>
      <c r="AE538" s="421"/>
      <c r="AF538" s="421"/>
      <c r="AG538" s="421"/>
      <c r="AH538" s="421"/>
      <c r="AI538" s="421"/>
      <c r="AJ538" s="421"/>
      <c r="AK538" s="421"/>
      <c r="AL538" s="421"/>
      <c r="AM538" s="421"/>
      <c r="AN538" s="421"/>
      <c r="AO538" s="421"/>
      <c r="AP538" s="421"/>
      <c r="AQ538" s="421"/>
      <c r="AR538" s="421"/>
      <c r="AS538" s="421"/>
      <c r="AT538" s="421"/>
      <c r="AU538" s="421"/>
      <c r="AV538" s="421"/>
      <c r="AW538" s="421"/>
      <c r="AX538" s="421"/>
      <c r="AY538" s="421"/>
      <c r="AZ538" s="421"/>
      <c r="BA538" s="421"/>
      <c r="BC538" s="115"/>
      <c r="BD538" s="115"/>
      <c r="BE538" s="115"/>
      <c r="BF538" s="115"/>
      <c r="BG538" s="115"/>
      <c r="BH538" s="124"/>
      <c r="BI538" s="124"/>
      <c r="BJ538" s="124"/>
      <c r="BK538" s="124"/>
      <c r="BL538" s="124"/>
      <c r="BM538" s="124"/>
      <c r="BN538" s="124"/>
      <c r="BO538" s="124"/>
      <c r="BP538" s="124"/>
      <c r="BQ538" s="124"/>
      <c r="BR538" s="124"/>
      <c r="BS538" s="124"/>
      <c r="BT538" s="124"/>
      <c r="BU538" s="124"/>
      <c r="BV538" s="124"/>
      <c r="BW538" s="124"/>
      <c r="BX538" s="124"/>
      <c r="BY538" s="124"/>
      <c r="BZ538" s="124"/>
      <c r="CA538" s="124"/>
      <c r="CB538" s="124"/>
      <c r="CC538" s="124"/>
      <c r="CD538" s="124"/>
      <c r="CE538" s="124"/>
      <c r="CF538" s="124"/>
      <c r="CG538" s="124"/>
      <c r="CH538" s="124"/>
      <c r="CI538" s="124"/>
      <c r="CJ538" s="124"/>
      <c r="CK538" s="124"/>
      <c r="CL538" s="124"/>
      <c r="CM538" s="124"/>
      <c r="CN538" s="124"/>
      <c r="CO538" s="124"/>
      <c r="CP538" s="124"/>
      <c r="CQ538" s="124"/>
      <c r="CR538" s="124"/>
      <c r="CS538" s="124"/>
      <c r="CT538" s="124"/>
      <c r="CU538" s="124"/>
      <c r="CV538" s="124"/>
      <c r="CW538" s="124"/>
      <c r="CX538" s="124"/>
      <c r="CY538" s="124"/>
      <c r="CZ538" s="124"/>
      <c r="DA538" s="124"/>
      <c r="DB538" s="124"/>
      <c r="DC538" s="124"/>
      <c r="DD538" s="124"/>
      <c r="DE538" s="124"/>
      <c r="DF538" s="124"/>
      <c r="DG538" s="115"/>
    </row>
    <row r="539" spans="2:111" customFormat="1" ht="9" customHeight="1">
      <c r="B539" s="143"/>
      <c r="C539" s="143"/>
      <c r="D539" s="143"/>
      <c r="E539" s="143"/>
      <c r="F539" s="143"/>
      <c r="G539" s="143"/>
      <c r="H539" s="143"/>
      <c r="I539" s="143"/>
      <c r="J539" s="143"/>
      <c r="K539" s="143"/>
      <c r="L539" s="143"/>
      <c r="M539" s="143"/>
      <c r="N539" s="143"/>
      <c r="O539" s="421"/>
      <c r="P539" s="421"/>
      <c r="Q539" s="421"/>
      <c r="R539" s="421"/>
      <c r="S539" s="421"/>
      <c r="T539" s="421"/>
      <c r="U539" s="421"/>
      <c r="V539" s="421"/>
      <c r="W539" s="421"/>
      <c r="X539" s="421"/>
      <c r="Y539" s="421"/>
      <c r="Z539" s="421"/>
      <c r="AA539" s="421"/>
      <c r="AB539" s="421"/>
      <c r="AC539" s="421"/>
      <c r="AD539" s="421"/>
      <c r="AE539" s="421"/>
      <c r="AF539" s="421"/>
      <c r="AG539" s="421"/>
      <c r="AH539" s="421"/>
      <c r="AI539" s="421"/>
      <c r="AJ539" s="421"/>
      <c r="AK539" s="421"/>
      <c r="AL539" s="421"/>
      <c r="AM539" s="421"/>
      <c r="AN539" s="421"/>
      <c r="AO539" s="421"/>
      <c r="AP539" s="421"/>
      <c r="AQ539" s="421"/>
      <c r="AR539" s="421"/>
      <c r="AS539" s="421"/>
      <c r="AT539" s="421"/>
      <c r="AU539" s="421"/>
      <c r="AV539" s="421"/>
      <c r="AW539" s="421"/>
      <c r="AX539" s="421"/>
      <c r="AY539" s="421"/>
      <c r="AZ539" s="421"/>
      <c r="BA539" s="421"/>
      <c r="BC539" s="115"/>
      <c r="BD539" s="115"/>
      <c r="BE539" s="115"/>
      <c r="BF539" s="115"/>
      <c r="BG539" s="115"/>
      <c r="BH539" s="84"/>
      <c r="BI539" s="84"/>
      <c r="BJ539" s="84"/>
      <c r="BK539" s="84"/>
      <c r="BL539" s="84"/>
      <c r="BM539" s="84"/>
      <c r="BN539" s="84"/>
      <c r="BO539" s="84"/>
      <c r="BP539" s="84"/>
      <c r="BQ539" s="84"/>
      <c r="BR539" s="84"/>
      <c r="BS539" s="84"/>
      <c r="BT539" s="84"/>
      <c r="BU539" s="84"/>
      <c r="BV539" s="84"/>
      <c r="BW539" s="84"/>
      <c r="BX539" s="84"/>
      <c r="BY539" s="84"/>
      <c r="BZ539" s="84"/>
      <c r="CA539" s="84"/>
      <c r="CB539" s="84"/>
      <c r="CC539" s="84"/>
      <c r="CD539" s="84"/>
      <c r="CE539" s="84"/>
      <c r="CF539" s="84"/>
      <c r="CG539" s="84"/>
      <c r="CH539" s="84"/>
      <c r="CI539" s="84"/>
      <c r="CJ539" s="84"/>
      <c r="CK539" s="84"/>
      <c r="CL539" s="84"/>
      <c r="CM539" s="84"/>
      <c r="CN539" s="84"/>
      <c r="CO539" s="84"/>
      <c r="CP539" s="84"/>
      <c r="CQ539" s="84"/>
      <c r="CR539" s="84"/>
      <c r="CS539" s="84"/>
      <c r="CT539" s="84"/>
      <c r="CU539" s="84"/>
      <c r="CV539" s="84"/>
      <c r="CW539" s="84"/>
      <c r="CX539" s="84"/>
      <c r="CY539" s="84"/>
      <c r="CZ539" s="84"/>
      <c r="DA539" s="84"/>
      <c r="DB539" s="84"/>
      <c r="DC539" s="84"/>
      <c r="DD539" s="84"/>
      <c r="DE539" s="84"/>
      <c r="DF539" s="84"/>
      <c r="DG539" s="115"/>
    </row>
    <row r="540" spans="2:111" customFormat="1" ht="9" customHeight="1">
      <c r="B540" s="143"/>
      <c r="C540" s="143"/>
      <c r="D540" s="143"/>
      <c r="E540" s="143"/>
      <c r="F540" s="143"/>
      <c r="G540" s="143"/>
      <c r="H540" s="143"/>
      <c r="I540" s="143"/>
      <c r="J540" s="143"/>
      <c r="K540" s="143"/>
      <c r="L540" s="143"/>
      <c r="M540" s="143"/>
      <c r="N540" s="143"/>
      <c r="O540" s="421"/>
      <c r="P540" s="421"/>
      <c r="Q540" s="421"/>
      <c r="R540" s="421"/>
      <c r="S540" s="421"/>
      <c r="T540" s="421"/>
      <c r="U540" s="421"/>
      <c r="V540" s="421"/>
      <c r="W540" s="421"/>
      <c r="X540" s="421"/>
      <c r="Y540" s="421"/>
      <c r="Z540" s="421"/>
      <c r="AA540" s="421"/>
      <c r="AB540" s="421"/>
      <c r="AC540" s="421"/>
      <c r="AD540" s="421"/>
      <c r="AE540" s="421"/>
      <c r="AF540" s="421"/>
      <c r="AG540" s="421"/>
      <c r="AH540" s="421"/>
      <c r="AI540" s="421"/>
      <c r="AJ540" s="421"/>
      <c r="AK540" s="421"/>
      <c r="AL540" s="421"/>
      <c r="AM540" s="421"/>
      <c r="AN540" s="421"/>
      <c r="AO540" s="421"/>
      <c r="AP540" s="421"/>
      <c r="AQ540" s="421"/>
      <c r="AR540" s="421"/>
      <c r="AS540" s="421"/>
      <c r="AT540" s="421"/>
      <c r="AU540" s="421"/>
      <c r="AV540" s="421"/>
      <c r="AW540" s="421"/>
      <c r="AX540" s="421"/>
      <c r="AY540" s="421"/>
      <c r="AZ540" s="421"/>
      <c r="BA540" s="421"/>
      <c r="BC540" s="115"/>
      <c r="BD540" s="115"/>
      <c r="BE540" s="115"/>
      <c r="BF540" s="115"/>
      <c r="BG540" s="115"/>
      <c r="BH540" s="84"/>
      <c r="BI540" s="84"/>
      <c r="BJ540" s="84"/>
      <c r="BK540" s="84"/>
      <c r="BL540" s="84"/>
      <c r="BM540" s="84"/>
      <c r="BN540" s="84"/>
      <c r="BO540" s="84"/>
      <c r="BP540" s="84"/>
      <c r="BQ540" s="84"/>
      <c r="BR540" s="84"/>
      <c r="BS540" s="84"/>
      <c r="BT540" s="84"/>
      <c r="BU540" s="84"/>
      <c r="BV540" s="84"/>
      <c r="BW540" s="84"/>
      <c r="BX540" s="84"/>
      <c r="BY540" s="84"/>
      <c r="BZ540" s="84"/>
      <c r="CA540" s="84"/>
      <c r="CB540" s="84"/>
      <c r="CC540" s="84"/>
      <c r="CD540" s="84"/>
      <c r="CE540" s="84"/>
      <c r="CF540" s="84"/>
      <c r="CG540" s="84"/>
      <c r="CH540" s="84"/>
      <c r="CI540" s="84"/>
      <c r="CJ540" s="84"/>
      <c r="CK540" s="84"/>
      <c r="CL540" s="84"/>
      <c r="CM540" s="84"/>
      <c r="CN540" s="84"/>
      <c r="CO540" s="84"/>
      <c r="CP540" s="84"/>
      <c r="CQ540" s="84"/>
      <c r="CR540" s="84"/>
      <c r="CS540" s="84"/>
      <c r="CT540" s="84"/>
      <c r="CU540" s="84"/>
      <c r="CV540" s="84"/>
      <c r="CW540" s="84"/>
      <c r="CX540" s="84"/>
      <c r="CY540" s="84"/>
      <c r="CZ540" s="84"/>
      <c r="DA540" s="84"/>
      <c r="DB540" s="84"/>
      <c r="DC540" s="84"/>
      <c r="DD540" s="84"/>
      <c r="DE540" s="84"/>
      <c r="DF540" s="84"/>
      <c r="DG540" s="115"/>
    </row>
    <row r="541" spans="2:111" customFormat="1" ht="9" customHeight="1">
      <c r="B541" s="49"/>
      <c r="C541" s="49"/>
      <c r="D541" s="49"/>
      <c r="E541" s="49"/>
      <c r="F541" s="49"/>
      <c r="G541" s="49"/>
      <c r="H541" s="49"/>
      <c r="I541" s="49"/>
      <c r="J541" s="49"/>
      <c r="K541" s="49"/>
      <c r="L541" s="49"/>
      <c r="M541" s="49"/>
      <c r="N541" s="49"/>
      <c r="O541" s="421"/>
      <c r="P541" s="421"/>
      <c r="Q541" s="421"/>
      <c r="R541" s="421"/>
      <c r="S541" s="421"/>
      <c r="T541" s="421"/>
      <c r="U541" s="421"/>
      <c r="V541" s="421"/>
      <c r="W541" s="421"/>
      <c r="X541" s="421"/>
      <c r="Y541" s="421"/>
      <c r="Z541" s="421"/>
      <c r="AA541" s="421"/>
      <c r="AB541" s="421"/>
      <c r="AC541" s="421"/>
      <c r="AD541" s="421"/>
      <c r="AE541" s="421"/>
      <c r="AF541" s="421"/>
      <c r="AG541" s="421"/>
      <c r="AH541" s="421"/>
      <c r="AI541" s="421"/>
      <c r="AJ541" s="421"/>
      <c r="AK541" s="421"/>
      <c r="AL541" s="421"/>
      <c r="AM541" s="421"/>
      <c r="AN541" s="421"/>
      <c r="AO541" s="421"/>
      <c r="AP541" s="421"/>
      <c r="AQ541" s="421"/>
      <c r="AR541" s="421"/>
      <c r="AS541" s="421"/>
      <c r="AT541" s="421"/>
      <c r="AU541" s="421"/>
      <c r="AV541" s="421"/>
      <c r="AW541" s="421"/>
      <c r="AX541" s="421"/>
      <c r="AY541" s="421"/>
      <c r="AZ541" s="421"/>
      <c r="BA541" s="421"/>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row>
    <row r="542" spans="2:111" customFormat="1" ht="4.5" customHeight="1">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49"/>
      <c r="AY542" s="49"/>
      <c r="AZ542" s="49"/>
      <c r="BA542" s="49"/>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row>
    <row r="543" spans="2:111" customFormat="1" ht="9" customHeight="1">
      <c r="B543" s="493" t="str">
        <f>IF(B516="","","Metas Vinculadas:")</f>
        <v/>
      </c>
      <c r="C543" s="493"/>
      <c r="D543" s="493"/>
      <c r="E543" s="493"/>
      <c r="F543" s="493"/>
      <c r="G543" s="493"/>
      <c r="H543" s="493"/>
      <c r="I543" s="493"/>
      <c r="J543" s="493"/>
      <c r="K543" s="493"/>
      <c r="L543" s="493"/>
      <c r="M543" s="493"/>
      <c r="N543" s="493"/>
      <c r="O543" s="421"/>
      <c r="P543" s="421"/>
      <c r="Q543" s="421"/>
      <c r="R543" s="421"/>
      <c r="S543" s="421"/>
      <c r="T543" s="421"/>
      <c r="U543" s="421"/>
      <c r="V543" s="421"/>
      <c r="W543" s="421"/>
      <c r="X543" s="421"/>
      <c r="Y543" s="421"/>
      <c r="Z543" s="421"/>
      <c r="AA543" s="421"/>
      <c r="AB543" s="421"/>
      <c r="AC543" s="421"/>
      <c r="AD543" s="421"/>
      <c r="AE543" s="421"/>
      <c r="AF543" s="421"/>
      <c r="AG543" s="421"/>
      <c r="AH543" s="421"/>
      <c r="AI543" s="421"/>
      <c r="AJ543" s="421"/>
      <c r="AK543" s="421"/>
      <c r="AL543" s="421"/>
      <c r="AM543" s="421"/>
      <c r="AN543" s="421"/>
      <c r="AO543" s="421"/>
      <c r="AP543" s="421"/>
      <c r="AQ543" s="421"/>
      <c r="AR543" s="421"/>
      <c r="AS543" s="421"/>
      <c r="AT543" s="421"/>
      <c r="AU543" s="421"/>
      <c r="AV543" s="421"/>
      <c r="AW543" s="421"/>
      <c r="AX543" s="421"/>
      <c r="AY543" s="421"/>
      <c r="AZ543" s="421"/>
      <c r="BA543" s="421"/>
      <c r="BC543" s="115"/>
      <c r="BD543" s="115"/>
      <c r="BE543" s="115"/>
      <c r="BF543" s="115"/>
      <c r="BG543" s="115"/>
      <c r="BH543" s="124"/>
      <c r="BI543" s="124"/>
      <c r="BJ543" s="124"/>
      <c r="BK543" s="124"/>
      <c r="BL543" s="124"/>
      <c r="BM543" s="124"/>
      <c r="BN543" s="124"/>
      <c r="BO543" s="124"/>
      <c r="BP543" s="124"/>
      <c r="BQ543" s="124"/>
      <c r="BR543" s="124"/>
      <c r="BS543" s="124"/>
      <c r="BT543" s="124"/>
      <c r="BU543" s="124"/>
      <c r="BV543" s="124"/>
      <c r="BW543" s="124"/>
      <c r="BX543" s="124"/>
      <c r="BY543" s="124"/>
      <c r="BZ543" s="124"/>
      <c r="CA543" s="124"/>
      <c r="CB543" s="124"/>
      <c r="CC543" s="124"/>
      <c r="CD543" s="124"/>
      <c r="CE543" s="124"/>
      <c r="CF543" s="124"/>
      <c r="CG543" s="124"/>
      <c r="CH543" s="124"/>
      <c r="CI543" s="124"/>
      <c r="CJ543" s="124"/>
      <c r="CK543" s="124"/>
      <c r="CL543" s="124"/>
      <c r="CM543" s="124"/>
      <c r="CN543" s="124"/>
      <c r="CO543" s="124"/>
      <c r="CP543" s="124"/>
      <c r="CQ543" s="124"/>
      <c r="CR543" s="124"/>
      <c r="CS543" s="124"/>
      <c r="CT543" s="124"/>
      <c r="CU543" s="124"/>
      <c r="CV543" s="124"/>
      <c r="CW543" s="124"/>
      <c r="CX543" s="124"/>
      <c r="CY543" s="124"/>
      <c r="CZ543" s="124"/>
      <c r="DA543" s="124"/>
      <c r="DB543" s="124"/>
      <c r="DC543" s="124"/>
      <c r="DD543" s="124"/>
      <c r="DE543" s="124"/>
      <c r="DF543" s="124"/>
      <c r="DG543" s="115"/>
    </row>
    <row r="544" spans="2:111" customFormat="1" ht="9" customHeight="1">
      <c r="B544" s="493"/>
      <c r="C544" s="493"/>
      <c r="D544" s="493"/>
      <c r="E544" s="493"/>
      <c r="F544" s="493"/>
      <c r="G544" s="493"/>
      <c r="H544" s="493"/>
      <c r="I544" s="493"/>
      <c r="J544" s="493"/>
      <c r="K544" s="493"/>
      <c r="L544" s="493"/>
      <c r="M544" s="493"/>
      <c r="N544" s="493"/>
      <c r="O544" s="421"/>
      <c r="P544" s="421"/>
      <c r="Q544" s="421"/>
      <c r="R544" s="421"/>
      <c r="S544" s="421"/>
      <c r="T544" s="421"/>
      <c r="U544" s="421"/>
      <c r="V544" s="421"/>
      <c r="W544" s="421"/>
      <c r="X544" s="421"/>
      <c r="Y544" s="421"/>
      <c r="Z544" s="421"/>
      <c r="AA544" s="421"/>
      <c r="AB544" s="421"/>
      <c r="AC544" s="421"/>
      <c r="AD544" s="421"/>
      <c r="AE544" s="421"/>
      <c r="AF544" s="421"/>
      <c r="AG544" s="421"/>
      <c r="AH544" s="421"/>
      <c r="AI544" s="421"/>
      <c r="AJ544" s="421"/>
      <c r="AK544" s="421"/>
      <c r="AL544" s="421"/>
      <c r="AM544" s="421"/>
      <c r="AN544" s="421"/>
      <c r="AO544" s="421"/>
      <c r="AP544" s="421"/>
      <c r="AQ544" s="421"/>
      <c r="AR544" s="421"/>
      <c r="AS544" s="421"/>
      <c r="AT544" s="421"/>
      <c r="AU544" s="421"/>
      <c r="AV544" s="421"/>
      <c r="AW544" s="421"/>
      <c r="AX544" s="421"/>
      <c r="AY544" s="421"/>
      <c r="AZ544" s="421"/>
      <c r="BA544" s="421"/>
      <c r="BC544" s="115"/>
      <c r="BD544" s="115"/>
      <c r="BE544" s="115"/>
      <c r="BF544" s="115"/>
      <c r="BG544" s="115"/>
      <c r="BH544" s="84"/>
      <c r="BI544" s="84"/>
      <c r="BJ544" s="84"/>
      <c r="BK544" s="84"/>
      <c r="BL544" s="84"/>
      <c r="BM544" s="84"/>
      <c r="BN544" s="84"/>
      <c r="BO544" s="84"/>
      <c r="BP544" s="84"/>
      <c r="BQ544" s="84"/>
      <c r="BR544" s="84"/>
      <c r="BS544" s="84"/>
      <c r="BT544" s="84"/>
      <c r="BU544" s="84"/>
      <c r="BV544" s="84"/>
      <c r="BW544" s="84"/>
      <c r="BX544" s="84"/>
      <c r="BY544" s="84"/>
      <c r="BZ544" s="84"/>
      <c r="CA544" s="84"/>
      <c r="CB544" s="84"/>
      <c r="CC544" s="84"/>
      <c r="CD544" s="84"/>
      <c r="CE544" s="84"/>
      <c r="CF544" s="84"/>
      <c r="CG544" s="84"/>
      <c r="CH544" s="84"/>
      <c r="CI544" s="84"/>
      <c r="CJ544" s="84"/>
      <c r="CK544" s="84"/>
      <c r="CL544" s="84"/>
      <c r="CM544" s="84"/>
      <c r="CN544" s="84"/>
      <c r="CO544" s="84"/>
      <c r="CP544" s="84"/>
      <c r="CQ544" s="84"/>
      <c r="CR544" s="84"/>
      <c r="CS544" s="84"/>
      <c r="CT544" s="84"/>
      <c r="CU544" s="84"/>
      <c r="CV544" s="84"/>
      <c r="CW544" s="84"/>
      <c r="CX544" s="84"/>
      <c r="CY544" s="84"/>
      <c r="CZ544" s="84"/>
      <c r="DA544" s="84"/>
      <c r="DB544" s="84"/>
      <c r="DC544" s="84"/>
      <c r="DD544" s="84"/>
      <c r="DE544" s="84"/>
      <c r="DF544" s="84"/>
      <c r="DG544" s="115"/>
    </row>
    <row r="545" spans="2:111" customFormat="1" ht="4.5" customHeight="1">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49"/>
      <c r="AY545" s="49"/>
      <c r="AZ545" s="49"/>
      <c r="BA545" s="49"/>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row>
    <row r="546" spans="2:111" customFormat="1" ht="9" customHeight="1">
      <c r="B546" s="125"/>
      <c r="C546" s="125"/>
      <c r="D546" s="125"/>
      <c r="E546" s="125"/>
      <c r="F546" s="125"/>
      <c r="G546" s="125"/>
      <c r="H546" s="125"/>
      <c r="I546" s="125"/>
      <c r="J546" s="125"/>
      <c r="K546" s="125"/>
      <c r="L546" s="125"/>
      <c r="M546" s="125"/>
      <c r="N546" s="125"/>
      <c r="O546" s="496" t="str">
        <f>IF(B516="","","Quantidade:")</f>
        <v/>
      </c>
      <c r="P546" s="496"/>
      <c r="Q546" s="496"/>
      <c r="R546" s="496"/>
      <c r="S546" s="496"/>
      <c r="T546" s="496"/>
      <c r="U546" s="496"/>
      <c r="V546" s="417"/>
      <c r="W546" s="417"/>
      <c r="X546" s="417"/>
      <c r="Y546" s="417"/>
      <c r="Z546" s="417"/>
      <c r="AA546" s="417"/>
      <c r="AB546" s="417"/>
      <c r="AC546" s="417"/>
      <c r="AD546" s="417"/>
      <c r="AE546" s="417"/>
      <c r="AF546" s="125"/>
      <c r="AG546" s="497" t="str">
        <f>IF(B516="","","Unidade:")</f>
        <v/>
      </c>
      <c r="AH546" s="497"/>
      <c r="AI546" s="497"/>
      <c r="AJ546" s="497"/>
      <c r="AK546" s="497"/>
      <c r="AL546" s="497"/>
      <c r="AM546" s="497"/>
      <c r="AN546" s="125"/>
      <c r="AO546" s="417"/>
      <c r="AP546" s="417"/>
      <c r="AQ546" s="417"/>
      <c r="AR546" s="417"/>
      <c r="AS546" s="417"/>
      <c r="AT546" s="417"/>
      <c r="AU546" s="417"/>
      <c r="AV546" s="417"/>
      <c r="AW546" s="417"/>
      <c r="AX546" s="417"/>
      <c r="AY546" s="417"/>
      <c r="AZ546" s="417"/>
      <c r="BA546" s="417"/>
      <c r="BC546" s="115"/>
      <c r="BD546" s="115"/>
      <c r="BE546" s="115"/>
      <c r="BF546" s="115"/>
      <c r="BG546" s="115"/>
      <c r="BH546" s="124"/>
      <c r="BI546" s="124"/>
      <c r="BJ546" s="124"/>
      <c r="BK546" s="124"/>
      <c r="BL546" s="124"/>
      <c r="BM546" s="124"/>
      <c r="BN546" s="124"/>
      <c r="BO546" s="124"/>
      <c r="BP546" s="124"/>
      <c r="BQ546" s="124"/>
      <c r="BR546" s="124"/>
      <c r="BS546" s="124"/>
      <c r="BT546" s="124"/>
      <c r="BU546" s="124"/>
      <c r="BV546" s="124"/>
      <c r="BW546" s="124"/>
      <c r="BX546" s="124"/>
      <c r="BY546" s="124"/>
      <c r="BZ546" s="124"/>
      <c r="CA546" s="124"/>
      <c r="CB546" s="124"/>
      <c r="CC546" s="124"/>
      <c r="CD546" s="124"/>
      <c r="CE546" s="124"/>
      <c r="CF546" s="124"/>
      <c r="CG546" s="124"/>
      <c r="CH546" s="124"/>
      <c r="CI546" s="124"/>
      <c r="CJ546" s="124"/>
      <c r="CK546" s="124"/>
      <c r="CL546" s="124"/>
      <c r="CM546" s="124"/>
      <c r="CN546" s="124"/>
      <c r="CO546" s="124"/>
      <c r="CP546" s="124"/>
      <c r="CQ546" s="124"/>
      <c r="CR546" s="124"/>
      <c r="CS546" s="124"/>
      <c r="CT546" s="124"/>
      <c r="CU546" s="124"/>
      <c r="CV546" s="124"/>
      <c r="CW546" s="124"/>
      <c r="CX546" s="124"/>
      <c r="CY546" s="124"/>
      <c r="CZ546" s="124"/>
      <c r="DA546" s="124"/>
      <c r="DB546" s="124"/>
      <c r="DC546" s="124"/>
      <c r="DD546" s="124"/>
      <c r="DE546" s="124"/>
      <c r="DF546" s="124"/>
      <c r="DG546" s="115"/>
    </row>
    <row r="547" spans="2:111" customFormat="1" ht="9" customHeight="1">
      <c r="B547" s="125"/>
      <c r="C547" s="125"/>
      <c r="D547" s="125"/>
      <c r="E547" s="125"/>
      <c r="F547" s="125"/>
      <c r="G547" s="125"/>
      <c r="H547" s="125"/>
      <c r="I547" s="125"/>
      <c r="J547" s="125"/>
      <c r="K547" s="125"/>
      <c r="L547" s="125"/>
      <c r="M547" s="125"/>
      <c r="N547" s="125"/>
      <c r="O547" s="496"/>
      <c r="P547" s="496"/>
      <c r="Q547" s="496"/>
      <c r="R547" s="496"/>
      <c r="S547" s="496"/>
      <c r="T547" s="496"/>
      <c r="U547" s="496"/>
      <c r="V547" s="417"/>
      <c r="W547" s="417"/>
      <c r="X547" s="417"/>
      <c r="Y547" s="417"/>
      <c r="Z547" s="417"/>
      <c r="AA547" s="417"/>
      <c r="AB547" s="417"/>
      <c r="AC547" s="417"/>
      <c r="AD547" s="417"/>
      <c r="AE547" s="417"/>
      <c r="AF547" s="125"/>
      <c r="AG547" s="497"/>
      <c r="AH547" s="497"/>
      <c r="AI547" s="497"/>
      <c r="AJ547" s="497"/>
      <c r="AK547" s="497"/>
      <c r="AL547" s="497"/>
      <c r="AM547" s="497"/>
      <c r="AN547" s="125"/>
      <c r="AO547" s="417"/>
      <c r="AP547" s="417"/>
      <c r="AQ547" s="417"/>
      <c r="AR547" s="417"/>
      <c r="AS547" s="417"/>
      <c r="AT547" s="417"/>
      <c r="AU547" s="417"/>
      <c r="AV547" s="417"/>
      <c r="AW547" s="417"/>
      <c r="AX547" s="417"/>
      <c r="AY547" s="417"/>
      <c r="AZ547" s="417"/>
      <c r="BA547" s="417"/>
      <c r="BC547" s="115"/>
      <c r="BD547" s="115"/>
      <c r="BE547" s="115"/>
      <c r="BF547" s="115"/>
      <c r="BG547" s="115"/>
      <c r="BH547" s="124"/>
      <c r="BI547" s="124"/>
      <c r="BJ547" s="124"/>
      <c r="BK547" s="124"/>
      <c r="BL547" s="124"/>
      <c r="BM547" s="124"/>
      <c r="BN547" s="124"/>
      <c r="BO547" s="124"/>
      <c r="BP547" s="124"/>
      <c r="BQ547" s="124"/>
      <c r="BR547" s="124"/>
      <c r="BS547" s="124"/>
      <c r="BT547" s="124"/>
      <c r="BU547" s="124"/>
      <c r="BV547" s="124"/>
      <c r="BW547" s="124"/>
      <c r="BX547" s="124"/>
      <c r="BY547" s="124"/>
      <c r="BZ547" s="124"/>
      <c r="CA547" s="124"/>
      <c r="CB547" s="124"/>
      <c r="CC547" s="124"/>
      <c r="CD547" s="124"/>
      <c r="CE547" s="124"/>
      <c r="CF547" s="124"/>
      <c r="CG547" s="124"/>
      <c r="CH547" s="124"/>
      <c r="CI547" s="124"/>
      <c r="CJ547" s="124"/>
      <c r="CK547" s="124"/>
      <c r="CL547" s="124"/>
      <c r="CM547" s="124"/>
      <c r="CN547" s="124"/>
      <c r="CO547" s="124"/>
      <c r="CP547" s="124"/>
      <c r="CQ547" s="124"/>
      <c r="CR547" s="124"/>
      <c r="CS547" s="124"/>
      <c r="CT547" s="124"/>
      <c r="CU547" s="124"/>
      <c r="CV547" s="124"/>
      <c r="CW547" s="124"/>
      <c r="CX547" s="124"/>
      <c r="CY547" s="124"/>
      <c r="CZ547" s="124"/>
      <c r="DA547" s="124"/>
      <c r="DB547" s="124"/>
      <c r="DC547" s="124"/>
      <c r="DD547" s="124"/>
      <c r="DE547" s="124"/>
      <c r="DF547" s="124"/>
      <c r="DG547" s="115"/>
    </row>
    <row r="548" spans="2:111" customFormat="1" ht="9" customHeight="1">
      <c r="BC548" s="115"/>
      <c r="BD548" s="115"/>
      <c r="BE548" s="115"/>
      <c r="BF548" s="115"/>
      <c r="BG548" s="115"/>
      <c r="BH548" s="498"/>
      <c r="BI548" s="498"/>
      <c r="BJ548" s="498"/>
      <c r="BK548" s="498"/>
      <c r="BL548" s="498"/>
      <c r="BM548" s="498"/>
      <c r="BN548" s="498"/>
      <c r="BO548" s="498"/>
      <c r="BP548" s="498"/>
      <c r="BQ548" s="498"/>
      <c r="BR548" s="498"/>
      <c r="BS548" s="498"/>
      <c r="BT548" s="498"/>
      <c r="BU548" s="498"/>
      <c r="BV548" s="498"/>
      <c r="BW548" s="498"/>
      <c r="BX548" s="498"/>
      <c r="BY548" s="498"/>
      <c r="BZ548" s="498"/>
      <c r="CA548" s="498"/>
      <c r="CB548" s="498"/>
      <c r="CC548" s="498"/>
      <c r="CD548" s="498"/>
      <c r="CE548" s="498"/>
      <c r="CF548" s="498"/>
      <c r="CG548" s="498"/>
      <c r="CH548" s="498"/>
      <c r="CI548" s="498"/>
      <c r="CJ548" s="498"/>
      <c r="CK548" s="498"/>
      <c r="CL548" s="498"/>
      <c r="CM548" s="498"/>
      <c r="CN548" s="498"/>
      <c r="CO548" s="498"/>
      <c r="CP548" s="498"/>
      <c r="CQ548" s="498"/>
      <c r="CR548" s="498"/>
      <c r="CS548" s="498"/>
      <c r="CT548" s="498"/>
      <c r="CU548" s="498"/>
      <c r="CV548" s="498"/>
      <c r="CW548" s="498"/>
      <c r="CX548" s="498"/>
      <c r="CY548" s="498"/>
      <c r="CZ548" s="498"/>
      <c r="DA548" s="498"/>
      <c r="DB548" s="498"/>
      <c r="DC548" s="498"/>
      <c r="DD548" s="498"/>
      <c r="DE548" s="498"/>
      <c r="DF548" s="498"/>
      <c r="DG548" s="115"/>
    </row>
    <row r="549" spans="2:111" customFormat="1" ht="9" customHeight="1">
      <c r="B549" s="499" t="str">
        <f>IF($Z$32&gt;=13,"Nome da Empresa ou Nº da Ata","")</f>
        <v/>
      </c>
      <c r="C549" s="499"/>
      <c r="D549" s="499"/>
      <c r="E549" s="499"/>
      <c r="F549" s="499"/>
      <c r="G549" s="499"/>
      <c r="H549" s="499"/>
      <c r="I549" s="499"/>
      <c r="J549" s="499"/>
      <c r="K549" s="499"/>
      <c r="L549" s="499"/>
      <c r="M549" s="499"/>
      <c r="N549" s="499"/>
      <c r="O549" s="499"/>
      <c r="P549" s="499"/>
      <c r="Q549" s="499"/>
      <c r="R549" s="499"/>
      <c r="S549" s="499"/>
      <c r="T549" s="499"/>
      <c r="U549" s="499"/>
      <c r="V549" s="499"/>
      <c r="W549" s="499"/>
      <c r="X549" s="499" t="str">
        <f>IF($Z$32&gt;=13,"CNPJ / CPF","")</f>
        <v/>
      </c>
      <c r="Y549" s="499"/>
      <c r="Z549" s="499"/>
      <c r="AA549" s="499"/>
      <c r="AB549" s="499"/>
      <c r="AC549" s="499"/>
      <c r="AD549" s="499"/>
      <c r="AE549" s="499"/>
      <c r="AF549" s="499"/>
      <c r="AG549" s="499"/>
      <c r="AH549" s="499" t="str">
        <f>IF($Z$32&gt;=13,"Qtde","")</f>
        <v/>
      </c>
      <c r="AI549" s="499"/>
      <c r="AJ549" s="499"/>
      <c r="AK549" s="499"/>
      <c r="AL549" s="499" t="str">
        <f>IF($Z$32&gt;=13,"Valor Unitário (R$)","")</f>
        <v/>
      </c>
      <c r="AM549" s="499"/>
      <c r="AN549" s="499"/>
      <c r="AO549" s="499"/>
      <c r="AP549" s="499"/>
      <c r="AQ549" s="499"/>
      <c r="AR549" s="499"/>
      <c r="AS549" s="499"/>
      <c r="AT549" s="499" t="str">
        <f>IF($Z$32&gt;=13,"Valor Total (R$)","")</f>
        <v/>
      </c>
      <c r="AU549" s="499"/>
      <c r="AV549" s="499"/>
      <c r="AW549" s="499"/>
      <c r="AX549" s="499"/>
      <c r="AY549" s="499"/>
      <c r="AZ549" s="499"/>
      <c r="BA549" s="499"/>
      <c r="BC549" s="115"/>
      <c r="BD549" s="115"/>
      <c r="BE549" s="115"/>
      <c r="BF549" s="115"/>
      <c r="BG549" s="115"/>
      <c r="BH549" s="498"/>
      <c r="BI549" s="498"/>
      <c r="BJ549" s="498"/>
      <c r="BK549" s="498"/>
      <c r="BL549" s="498"/>
      <c r="BM549" s="498"/>
      <c r="BN549" s="498"/>
      <c r="BO549" s="498"/>
      <c r="BP549" s="498"/>
      <c r="BQ549" s="498"/>
      <c r="BR549" s="498"/>
      <c r="BS549" s="498"/>
      <c r="BT549" s="498"/>
      <c r="BU549" s="498"/>
      <c r="BV549" s="498"/>
      <c r="BW549" s="498"/>
      <c r="BX549" s="498"/>
      <c r="BY549" s="498"/>
      <c r="BZ549" s="498"/>
      <c r="CA549" s="498"/>
      <c r="CB549" s="498"/>
      <c r="CC549" s="498"/>
      <c r="CD549" s="498"/>
      <c r="CE549" s="498"/>
      <c r="CF549" s="498"/>
      <c r="CG549" s="498"/>
      <c r="CH549" s="498"/>
      <c r="CI549" s="498"/>
      <c r="CJ549" s="498"/>
      <c r="CK549" s="498"/>
      <c r="CL549" s="498"/>
      <c r="CM549" s="498"/>
      <c r="CN549" s="498"/>
      <c r="CO549" s="498"/>
      <c r="CP549" s="498"/>
      <c r="CQ549" s="498"/>
      <c r="CR549" s="498"/>
      <c r="CS549" s="498"/>
      <c r="CT549" s="498"/>
      <c r="CU549" s="498"/>
      <c r="CV549" s="498"/>
      <c r="CW549" s="498"/>
      <c r="CX549" s="498"/>
      <c r="CY549" s="498"/>
      <c r="CZ549" s="498"/>
      <c r="DA549" s="498"/>
      <c r="DB549" s="498"/>
      <c r="DC549" s="498"/>
      <c r="DD549" s="498"/>
      <c r="DE549" s="498"/>
      <c r="DF549" s="498"/>
      <c r="DG549" s="115"/>
    </row>
    <row r="550" spans="2:111" customFormat="1" ht="9" customHeight="1">
      <c r="B550" s="499"/>
      <c r="C550" s="499"/>
      <c r="D550" s="499"/>
      <c r="E550" s="499"/>
      <c r="F550" s="499"/>
      <c r="G550" s="499"/>
      <c r="H550" s="499"/>
      <c r="I550" s="499"/>
      <c r="J550" s="499"/>
      <c r="K550" s="499"/>
      <c r="L550" s="499"/>
      <c r="M550" s="499"/>
      <c r="N550" s="499"/>
      <c r="O550" s="499"/>
      <c r="P550" s="499"/>
      <c r="Q550" s="499"/>
      <c r="R550" s="499"/>
      <c r="S550" s="499"/>
      <c r="T550" s="499"/>
      <c r="U550" s="499"/>
      <c r="V550" s="499"/>
      <c r="W550" s="499"/>
      <c r="X550" s="499"/>
      <c r="Y550" s="499"/>
      <c r="Z550" s="499"/>
      <c r="AA550" s="499"/>
      <c r="AB550" s="499"/>
      <c r="AC550" s="499"/>
      <c r="AD550" s="499"/>
      <c r="AE550" s="499"/>
      <c r="AF550" s="499"/>
      <c r="AG550" s="499"/>
      <c r="AH550" s="499"/>
      <c r="AI550" s="499"/>
      <c r="AJ550" s="499"/>
      <c r="AK550" s="499"/>
      <c r="AL550" s="499"/>
      <c r="AM550" s="499"/>
      <c r="AN550" s="499"/>
      <c r="AO550" s="499"/>
      <c r="AP550" s="499"/>
      <c r="AQ550" s="499"/>
      <c r="AR550" s="499"/>
      <c r="AS550" s="499"/>
      <c r="AT550" s="499"/>
      <c r="AU550" s="499"/>
      <c r="AV550" s="499"/>
      <c r="AW550" s="499"/>
      <c r="AX550" s="499"/>
      <c r="AY550" s="499"/>
      <c r="AZ550" s="499"/>
      <c r="BA550" s="499"/>
      <c r="BB550" s="176" t="e">
        <f>AVERAGE(AL551:AS553)</f>
        <v>#DIV/0!</v>
      </c>
      <c r="BC550" s="115"/>
      <c r="BD550" s="115"/>
      <c r="BE550" s="115"/>
      <c r="BF550" s="115"/>
      <c r="BG550" s="115"/>
      <c r="BH550" s="498"/>
      <c r="BI550" s="498"/>
      <c r="BJ550" s="498"/>
      <c r="BK550" s="498"/>
      <c r="BL550" s="498"/>
      <c r="BM550" s="498"/>
      <c r="BN550" s="498"/>
      <c r="BO550" s="498"/>
      <c r="BP550" s="498"/>
      <c r="BQ550" s="498"/>
      <c r="BR550" s="498"/>
      <c r="BS550" s="498"/>
      <c r="BT550" s="498"/>
      <c r="BU550" s="498"/>
      <c r="BV550" s="498"/>
      <c r="BW550" s="498"/>
      <c r="BX550" s="498"/>
      <c r="BY550" s="498"/>
      <c r="BZ550" s="498"/>
      <c r="CA550" s="498"/>
      <c r="CB550" s="498"/>
      <c r="CC550" s="498"/>
      <c r="CD550" s="498"/>
      <c r="CE550" s="498"/>
      <c r="CF550" s="498"/>
      <c r="CG550" s="498"/>
      <c r="CH550" s="498"/>
      <c r="CI550" s="498"/>
      <c r="CJ550" s="498"/>
      <c r="CK550" s="498"/>
      <c r="CL550" s="498"/>
      <c r="CM550" s="498"/>
      <c r="CN550" s="498"/>
      <c r="CO550" s="498"/>
      <c r="CP550" s="498"/>
      <c r="CQ550" s="498"/>
      <c r="CR550" s="498"/>
      <c r="CS550" s="498"/>
      <c r="CT550" s="498"/>
      <c r="CU550" s="498"/>
      <c r="CV550" s="498"/>
      <c r="CW550" s="498"/>
      <c r="CX550" s="498"/>
      <c r="CY550" s="498"/>
      <c r="CZ550" s="498"/>
      <c r="DA550" s="498"/>
      <c r="DB550" s="498"/>
      <c r="DC550" s="498"/>
      <c r="DD550" s="498"/>
      <c r="DE550" s="498"/>
      <c r="DF550" s="498"/>
      <c r="DG550" s="115"/>
    </row>
    <row r="551" spans="2:111" customFormat="1" ht="18" customHeight="1">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486"/>
      <c r="Y551" s="486"/>
      <c r="Z551" s="486"/>
      <c r="AA551" s="486"/>
      <c r="AB551" s="486"/>
      <c r="AC551" s="486"/>
      <c r="AD551" s="486"/>
      <c r="AE551" s="486"/>
      <c r="AF551" s="486"/>
      <c r="AG551" s="486"/>
      <c r="AH551" s="417"/>
      <c r="AI551" s="417"/>
      <c r="AJ551" s="417"/>
      <c r="AK551" s="417"/>
      <c r="AL551" s="419"/>
      <c r="AM551" s="419"/>
      <c r="AN551" s="419"/>
      <c r="AO551" s="419"/>
      <c r="AP551" s="419"/>
      <c r="AQ551" s="419"/>
      <c r="AR551" s="419"/>
      <c r="AS551" s="419"/>
      <c r="AT551" s="487" t="str">
        <f>IF($Z$32&gt;=13,(AH551*AL551),"")</f>
        <v/>
      </c>
      <c r="AU551" s="487"/>
      <c r="AV551" s="487"/>
      <c r="AW551" s="487"/>
      <c r="AX551" s="487"/>
      <c r="AY551" s="487"/>
      <c r="AZ551" s="487"/>
      <c r="BA551" s="487"/>
      <c r="BC551" s="115"/>
      <c r="BD551" s="115"/>
      <c r="BE551" s="115"/>
      <c r="BF551" s="115"/>
      <c r="BG551" s="115"/>
      <c r="BH551" s="498"/>
      <c r="BI551" s="498"/>
      <c r="BJ551" s="498"/>
      <c r="BK551" s="498"/>
      <c r="BL551" s="498"/>
      <c r="BM551" s="498"/>
      <c r="BN551" s="498"/>
      <c r="BO551" s="498"/>
      <c r="BP551" s="498"/>
      <c r="BQ551" s="498"/>
      <c r="BR551" s="498"/>
      <c r="BS551" s="498"/>
      <c r="BT551" s="498"/>
      <c r="BU551" s="498"/>
      <c r="BV551" s="498"/>
      <c r="BW551" s="498"/>
      <c r="BX551" s="498"/>
      <c r="BY551" s="498"/>
      <c r="BZ551" s="498"/>
      <c r="CA551" s="498"/>
      <c r="CB551" s="498"/>
      <c r="CC551" s="498"/>
      <c r="CD551" s="498"/>
      <c r="CE551" s="498"/>
      <c r="CF551" s="498"/>
      <c r="CG551" s="498"/>
      <c r="CH551" s="498"/>
      <c r="CI551" s="498"/>
      <c r="CJ551" s="498"/>
      <c r="CK551" s="498"/>
      <c r="CL551" s="498"/>
      <c r="CM551" s="498"/>
      <c r="CN551" s="498"/>
      <c r="CO551" s="498"/>
      <c r="CP551" s="498"/>
      <c r="CQ551" s="498"/>
      <c r="CR551" s="498"/>
      <c r="CS551" s="498"/>
      <c r="CT551" s="498"/>
      <c r="CU551" s="498"/>
      <c r="CV551" s="498"/>
      <c r="CW551" s="498"/>
      <c r="CX551" s="498"/>
      <c r="CY551" s="498"/>
      <c r="CZ551" s="498"/>
      <c r="DA551" s="498"/>
      <c r="DB551" s="498"/>
      <c r="DC551" s="498"/>
      <c r="DD551" s="498"/>
      <c r="DE551" s="498"/>
      <c r="DF551" s="498"/>
      <c r="DG551" s="115"/>
    </row>
    <row r="552" spans="2:111" customFormat="1" ht="18" customHeight="1">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486"/>
      <c r="Y552" s="486"/>
      <c r="Z552" s="486"/>
      <c r="AA552" s="486"/>
      <c r="AB552" s="486"/>
      <c r="AC552" s="486"/>
      <c r="AD552" s="486"/>
      <c r="AE552" s="486"/>
      <c r="AF552" s="486"/>
      <c r="AG552" s="486"/>
      <c r="AH552" s="417"/>
      <c r="AI552" s="417"/>
      <c r="AJ552" s="417"/>
      <c r="AK552" s="417"/>
      <c r="AL552" s="419"/>
      <c r="AM552" s="419"/>
      <c r="AN552" s="419"/>
      <c r="AO552" s="419"/>
      <c r="AP552" s="419"/>
      <c r="AQ552" s="419"/>
      <c r="AR552" s="419"/>
      <c r="AS552" s="419"/>
      <c r="AT552" s="487" t="str">
        <f>IF($Z$32&gt;=13,(AH552*AL552),"")</f>
        <v/>
      </c>
      <c r="AU552" s="487"/>
      <c r="AV552" s="487"/>
      <c r="AW552" s="487"/>
      <c r="AX552" s="487"/>
      <c r="AY552" s="487"/>
      <c r="AZ552" s="487"/>
      <c r="BA552" s="487"/>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row>
    <row r="553" spans="2:111" customFormat="1" ht="18" customHeight="1">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486"/>
      <c r="Y553" s="486"/>
      <c r="Z553" s="486"/>
      <c r="AA553" s="486"/>
      <c r="AB553" s="486"/>
      <c r="AC553" s="486"/>
      <c r="AD553" s="486"/>
      <c r="AE553" s="486"/>
      <c r="AF553" s="486"/>
      <c r="AG553" s="486"/>
      <c r="AH553" s="417"/>
      <c r="AI553" s="417"/>
      <c r="AJ553" s="417"/>
      <c r="AK553" s="417"/>
      <c r="AL553" s="419"/>
      <c r="AM553" s="419"/>
      <c r="AN553" s="419"/>
      <c r="AO553" s="419"/>
      <c r="AP553" s="419"/>
      <c r="AQ553" s="419"/>
      <c r="AR553" s="419"/>
      <c r="AS553" s="419"/>
      <c r="AT553" s="487" t="str">
        <f>IF($Z$32&gt;=13,(AH553*AL553),"")</f>
        <v/>
      </c>
      <c r="AU553" s="487"/>
      <c r="AV553" s="487"/>
      <c r="AW553" s="487"/>
      <c r="AX553" s="487"/>
      <c r="AY553" s="487"/>
      <c r="AZ553" s="487"/>
      <c r="BA553" s="487"/>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row>
    <row r="554" spans="2:111" customFormat="1" ht="15" customHeight="1">
      <c r="AT554" s="500" t="str">
        <f>IF(B551="","",IF(AL552="",AT551,IF(AL553="",AVERAGE(AT551:BA552),AVERAGE(AT551:AT553))))</f>
        <v/>
      </c>
      <c r="AU554" s="500"/>
      <c r="AV554" s="500"/>
      <c r="AW554" s="500"/>
      <c r="AX554" s="500"/>
      <c r="AY554" s="500"/>
      <c r="AZ554" s="500"/>
      <c r="BA554" s="500"/>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row>
    <row r="555" spans="2:111" customFormat="1" ht="15" customHeight="1">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row>
    <row r="556" spans="2:111" customFormat="1" ht="9" customHeight="1">
      <c r="B556" s="494" t="str">
        <f>IF($Z$32&gt;=14,"Item 14","")</f>
        <v/>
      </c>
      <c r="C556" s="495"/>
      <c r="D556" s="495"/>
      <c r="E556" s="495"/>
      <c r="F556" s="495"/>
      <c r="G556" s="495"/>
      <c r="H556" s="495"/>
      <c r="I556" s="495"/>
      <c r="J556" s="495"/>
      <c r="K556" s="495"/>
      <c r="L556" s="495"/>
      <c r="M556" s="49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row>
    <row r="557" spans="2:111" customFormat="1" ht="9" customHeight="1">
      <c r="B557" s="495"/>
      <c r="C557" s="495"/>
      <c r="D557" s="495"/>
      <c r="E557" s="495"/>
      <c r="F557" s="495"/>
      <c r="G557" s="495"/>
      <c r="H557" s="495"/>
      <c r="I557" s="495"/>
      <c r="J557" s="495"/>
      <c r="K557" s="495"/>
      <c r="L557" s="495"/>
      <c r="M557" s="49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row>
    <row r="558" spans="2:111" customFormat="1" ht="4.5" customHeight="1">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row>
    <row r="559" spans="2:111" customFormat="1" ht="9" customHeight="1">
      <c r="B559" s="493" t="str">
        <f>IF(B556="","","Elemento de Despesa:")</f>
        <v/>
      </c>
      <c r="C559" s="493"/>
      <c r="D559" s="493"/>
      <c r="E559" s="493"/>
      <c r="F559" s="493"/>
      <c r="G559" s="493"/>
      <c r="H559" s="493"/>
      <c r="I559" s="493"/>
      <c r="J559" s="493"/>
      <c r="K559" s="493"/>
      <c r="L559" s="493"/>
      <c r="M559" s="493"/>
      <c r="N559" s="493"/>
      <c r="O559" s="241"/>
      <c r="P559" s="241"/>
      <c r="Q559" s="241"/>
      <c r="R559" s="241"/>
      <c r="S559" s="241"/>
      <c r="T559" s="241"/>
      <c r="U559" s="241"/>
      <c r="V559" s="241"/>
      <c r="W559" s="241"/>
      <c r="X559" s="241"/>
      <c r="Y559" s="241"/>
      <c r="Z559" s="241"/>
      <c r="AA559" s="241"/>
      <c r="AB559" s="241"/>
      <c r="AC559" s="241"/>
      <c r="AD559" s="241"/>
      <c r="AE559" s="241"/>
      <c r="AF559" s="241"/>
      <c r="AG559" s="241"/>
      <c r="AH559" s="241"/>
      <c r="AI559" s="241"/>
      <c r="AJ559" s="241"/>
      <c r="AK559" s="241"/>
      <c r="AL559" s="241"/>
      <c r="AM559" s="241"/>
      <c r="AN559" s="241"/>
      <c r="AO559" s="241"/>
      <c r="AP559" s="241"/>
      <c r="AQ559" s="241"/>
      <c r="AR559" s="241"/>
      <c r="AS559" s="241"/>
      <c r="AT559" s="241"/>
      <c r="AU559" s="241"/>
      <c r="AV559" s="241"/>
      <c r="AW559" s="241"/>
      <c r="AX559" s="241"/>
      <c r="AY559" s="241"/>
      <c r="AZ559" s="241"/>
      <c r="BA559" s="241"/>
      <c r="BC559" s="115"/>
      <c r="BD559" s="115"/>
      <c r="BE559" s="115"/>
      <c r="BF559" s="115"/>
      <c r="BG559" s="115"/>
      <c r="BH559" s="124"/>
      <c r="BI559" s="124"/>
      <c r="BJ559" s="124"/>
      <c r="BK559" s="124"/>
      <c r="BL559" s="124"/>
      <c r="BM559" s="124"/>
      <c r="BN559" s="124"/>
      <c r="BO559" s="124"/>
      <c r="BP559" s="124"/>
      <c r="BQ559" s="124"/>
      <c r="BR559" s="124"/>
      <c r="BS559" s="124"/>
      <c r="BT559" s="124"/>
      <c r="BU559" s="124"/>
      <c r="BV559" s="124"/>
      <c r="BW559" s="124"/>
      <c r="BX559" s="124"/>
      <c r="BY559" s="124"/>
      <c r="BZ559" s="124"/>
      <c r="CA559" s="124"/>
      <c r="CB559" s="124"/>
      <c r="CC559" s="124"/>
      <c r="CD559" s="124"/>
      <c r="CE559" s="124"/>
      <c r="CF559" s="124"/>
      <c r="CG559" s="124"/>
      <c r="CH559" s="124"/>
      <c r="CI559" s="124"/>
      <c r="CJ559" s="124"/>
      <c r="CK559" s="124"/>
      <c r="CL559" s="124"/>
      <c r="CM559" s="124"/>
      <c r="CN559" s="124"/>
      <c r="CO559" s="124"/>
      <c r="CP559" s="124"/>
      <c r="CQ559" s="124"/>
      <c r="CR559" s="124"/>
      <c r="CS559" s="124"/>
      <c r="CT559" s="124"/>
      <c r="CU559" s="124"/>
      <c r="CV559" s="124"/>
      <c r="CW559" s="124"/>
      <c r="CX559" s="124"/>
      <c r="CY559" s="124"/>
      <c r="CZ559" s="124"/>
      <c r="DA559" s="124"/>
      <c r="DB559" s="124"/>
      <c r="DC559" s="124"/>
      <c r="DD559" s="124"/>
      <c r="DE559" s="124"/>
      <c r="DF559" s="124"/>
      <c r="DG559" s="115"/>
    </row>
    <row r="560" spans="2:111" customFormat="1" ht="9" customHeight="1">
      <c r="B560" s="493"/>
      <c r="C560" s="493"/>
      <c r="D560" s="493"/>
      <c r="E560" s="493"/>
      <c r="F560" s="493"/>
      <c r="G560" s="493"/>
      <c r="H560" s="493"/>
      <c r="I560" s="493"/>
      <c r="J560" s="493"/>
      <c r="K560" s="493"/>
      <c r="L560" s="493"/>
      <c r="M560" s="493"/>
      <c r="N560" s="493"/>
      <c r="O560" s="241"/>
      <c r="P560" s="241"/>
      <c r="Q560" s="241"/>
      <c r="R560" s="241"/>
      <c r="S560" s="241"/>
      <c r="T560" s="241"/>
      <c r="U560" s="241"/>
      <c r="V560" s="241"/>
      <c r="W560" s="241"/>
      <c r="X560" s="241"/>
      <c r="Y560" s="241"/>
      <c r="Z560" s="241"/>
      <c r="AA560" s="241"/>
      <c r="AB560" s="241"/>
      <c r="AC560" s="241"/>
      <c r="AD560" s="241"/>
      <c r="AE560" s="241"/>
      <c r="AF560" s="241"/>
      <c r="AG560" s="241"/>
      <c r="AH560" s="241"/>
      <c r="AI560" s="241"/>
      <c r="AJ560" s="241"/>
      <c r="AK560" s="241"/>
      <c r="AL560" s="241"/>
      <c r="AM560" s="241"/>
      <c r="AN560" s="241"/>
      <c r="AO560" s="241"/>
      <c r="AP560" s="241"/>
      <c r="AQ560" s="241"/>
      <c r="AR560" s="241"/>
      <c r="AS560" s="241"/>
      <c r="AT560" s="241"/>
      <c r="AU560" s="241"/>
      <c r="AV560" s="241"/>
      <c r="AW560" s="241"/>
      <c r="AX560" s="241"/>
      <c r="AY560" s="241"/>
      <c r="AZ560" s="241"/>
      <c r="BA560" s="241"/>
      <c r="BC560" s="115"/>
      <c r="BD560" s="115"/>
      <c r="BE560" s="115"/>
      <c r="BF560" s="115"/>
      <c r="BG560" s="115"/>
      <c r="BH560" s="124"/>
      <c r="BI560" s="124"/>
      <c r="BJ560" s="124"/>
      <c r="BK560" s="124"/>
      <c r="BL560" s="124"/>
      <c r="BM560" s="124"/>
      <c r="BN560" s="124"/>
      <c r="BO560" s="124"/>
      <c r="BP560" s="124"/>
      <c r="BQ560" s="124"/>
      <c r="BR560" s="124"/>
      <c r="BS560" s="124"/>
      <c r="BT560" s="124"/>
      <c r="BU560" s="124"/>
      <c r="BV560" s="124"/>
      <c r="BW560" s="124"/>
      <c r="BX560" s="124"/>
      <c r="BY560" s="124"/>
      <c r="BZ560" s="124"/>
      <c r="CA560" s="124"/>
      <c r="CB560" s="124"/>
      <c r="CC560" s="124"/>
      <c r="CD560" s="124"/>
      <c r="CE560" s="124"/>
      <c r="CF560" s="124"/>
      <c r="CG560" s="124"/>
      <c r="CH560" s="124"/>
      <c r="CI560" s="124"/>
      <c r="CJ560" s="124"/>
      <c r="CK560" s="124"/>
      <c r="CL560" s="124"/>
      <c r="CM560" s="124"/>
      <c r="CN560" s="124"/>
      <c r="CO560" s="124"/>
      <c r="CP560" s="124"/>
      <c r="CQ560" s="124"/>
      <c r="CR560" s="124"/>
      <c r="CS560" s="124"/>
      <c r="CT560" s="124"/>
      <c r="CU560" s="124"/>
      <c r="CV560" s="124"/>
      <c r="CW560" s="124"/>
      <c r="CX560" s="124"/>
      <c r="CY560" s="124"/>
      <c r="CZ560" s="124"/>
      <c r="DA560" s="124"/>
      <c r="DB560" s="124"/>
      <c r="DC560" s="124"/>
      <c r="DD560" s="124"/>
      <c r="DE560" s="124"/>
      <c r="DF560" s="124"/>
      <c r="DG560" s="115"/>
    </row>
    <row r="561" spans="2:111" customFormat="1" ht="4.5" customHeight="1">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C561" s="115"/>
      <c r="BD561" s="115"/>
      <c r="BE561" s="115"/>
      <c r="BF561" s="115"/>
      <c r="BG561" s="115"/>
      <c r="BH561" s="124"/>
      <c r="BI561" s="124"/>
      <c r="BJ561" s="124"/>
      <c r="BK561" s="124"/>
      <c r="BL561" s="124"/>
      <c r="BM561" s="124"/>
      <c r="BN561" s="124"/>
      <c r="BO561" s="124"/>
      <c r="BP561" s="124"/>
      <c r="BQ561" s="124"/>
      <c r="BR561" s="124"/>
      <c r="BS561" s="124"/>
      <c r="BT561" s="124"/>
      <c r="BU561" s="124"/>
      <c r="BV561" s="124"/>
      <c r="BW561" s="124"/>
      <c r="BX561" s="124"/>
      <c r="BY561" s="124"/>
      <c r="BZ561" s="124"/>
      <c r="CA561" s="124"/>
      <c r="CB561" s="124"/>
      <c r="CC561" s="124"/>
      <c r="CD561" s="124"/>
      <c r="CE561" s="124"/>
      <c r="CF561" s="124"/>
      <c r="CG561" s="124"/>
      <c r="CH561" s="124"/>
      <c r="CI561" s="124"/>
      <c r="CJ561" s="124"/>
      <c r="CK561" s="124"/>
      <c r="CL561" s="124"/>
      <c r="CM561" s="124"/>
      <c r="CN561" s="124"/>
      <c r="CO561" s="124"/>
      <c r="CP561" s="124"/>
      <c r="CQ561" s="124"/>
      <c r="CR561" s="124"/>
      <c r="CS561" s="124"/>
      <c r="CT561" s="124"/>
      <c r="CU561" s="124"/>
      <c r="CV561" s="124"/>
      <c r="CW561" s="124"/>
      <c r="CX561" s="124"/>
      <c r="CY561" s="124"/>
      <c r="CZ561" s="124"/>
      <c r="DA561" s="124"/>
      <c r="DB561" s="124"/>
      <c r="DC561" s="124"/>
      <c r="DD561" s="124"/>
      <c r="DE561" s="124"/>
      <c r="DF561" s="124"/>
      <c r="DG561" s="115"/>
    </row>
    <row r="562" spans="2:111" customFormat="1" ht="9" customHeight="1">
      <c r="B562" s="493" t="str">
        <f>IF(B556="","","Objeto:")</f>
        <v/>
      </c>
      <c r="C562" s="493"/>
      <c r="D562" s="493"/>
      <c r="E562" s="493"/>
      <c r="F562" s="493"/>
      <c r="G562" s="493"/>
      <c r="H562" s="493"/>
      <c r="I562" s="493"/>
      <c r="J562" s="493"/>
      <c r="K562" s="493"/>
      <c r="L562" s="493"/>
      <c r="M562" s="493"/>
      <c r="N562" s="493"/>
      <c r="O562" s="421"/>
      <c r="P562" s="421"/>
      <c r="Q562" s="421"/>
      <c r="R562" s="421"/>
      <c r="S562" s="421"/>
      <c r="T562" s="421"/>
      <c r="U562" s="421"/>
      <c r="V562" s="421"/>
      <c r="W562" s="421"/>
      <c r="X562" s="421"/>
      <c r="Y562" s="421"/>
      <c r="Z562" s="421"/>
      <c r="AA562" s="421"/>
      <c r="AB562" s="421"/>
      <c r="AC562" s="421"/>
      <c r="AD562" s="421"/>
      <c r="AE562" s="421"/>
      <c r="AF562" s="421"/>
      <c r="AG562" s="421"/>
      <c r="AH562" s="421"/>
      <c r="AI562" s="421"/>
      <c r="AJ562" s="421"/>
      <c r="AK562" s="421"/>
      <c r="AL562" s="421"/>
      <c r="AM562" s="421"/>
      <c r="AN562" s="421"/>
      <c r="AO562" s="421"/>
      <c r="AP562" s="421"/>
      <c r="AQ562" s="421"/>
      <c r="AR562" s="421"/>
      <c r="AS562" s="421"/>
      <c r="AT562" s="421"/>
      <c r="AU562" s="421"/>
      <c r="AV562" s="421"/>
      <c r="AW562" s="421"/>
      <c r="AX562" s="421"/>
      <c r="AY562" s="421"/>
      <c r="AZ562" s="421"/>
      <c r="BA562" s="421"/>
      <c r="BC562" s="115"/>
      <c r="BD562" s="115"/>
      <c r="BE562" s="115"/>
      <c r="BF562" s="115"/>
      <c r="BG562" s="115"/>
      <c r="BH562" s="124"/>
      <c r="BI562" s="124"/>
      <c r="BJ562" s="124"/>
      <c r="BK562" s="124"/>
      <c r="BL562" s="124"/>
      <c r="BM562" s="124"/>
      <c r="BN562" s="124"/>
      <c r="BO562" s="124"/>
      <c r="BP562" s="124"/>
      <c r="BQ562" s="124"/>
      <c r="BR562" s="124"/>
      <c r="BS562" s="124"/>
      <c r="BT562" s="124"/>
      <c r="BU562" s="124"/>
      <c r="BV562" s="124"/>
      <c r="BW562" s="124"/>
      <c r="BX562" s="124"/>
      <c r="BY562" s="124"/>
      <c r="BZ562" s="124"/>
      <c r="CA562" s="124"/>
      <c r="CB562" s="124"/>
      <c r="CC562" s="124"/>
      <c r="CD562" s="124"/>
      <c r="CE562" s="124"/>
      <c r="CF562" s="124"/>
      <c r="CG562" s="124"/>
      <c r="CH562" s="124"/>
      <c r="CI562" s="124"/>
      <c r="CJ562" s="124"/>
      <c r="CK562" s="124"/>
      <c r="CL562" s="124"/>
      <c r="CM562" s="124"/>
      <c r="CN562" s="124"/>
      <c r="CO562" s="124"/>
      <c r="CP562" s="124"/>
      <c r="CQ562" s="124"/>
      <c r="CR562" s="124"/>
      <c r="CS562" s="124"/>
      <c r="CT562" s="124"/>
      <c r="CU562" s="124"/>
      <c r="CV562" s="124"/>
      <c r="CW562" s="124"/>
      <c r="CX562" s="124"/>
      <c r="CY562" s="124"/>
      <c r="CZ562" s="124"/>
      <c r="DA562" s="124"/>
      <c r="DB562" s="124"/>
      <c r="DC562" s="124"/>
      <c r="DD562" s="124"/>
      <c r="DE562" s="124"/>
      <c r="DF562" s="124"/>
      <c r="DG562" s="115"/>
    </row>
    <row r="563" spans="2:111" customFormat="1" ht="9" customHeight="1">
      <c r="B563" s="493"/>
      <c r="C563" s="493"/>
      <c r="D563" s="493"/>
      <c r="E563" s="493"/>
      <c r="F563" s="493"/>
      <c r="G563" s="493"/>
      <c r="H563" s="493"/>
      <c r="I563" s="493"/>
      <c r="J563" s="493"/>
      <c r="K563" s="493"/>
      <c r="L563" s="493"/>
      <c r="M563" s="493"/>
      <c r="N563" s="493"/>
      <c r="O563" s="421"/>
      <c r="P563" s="421"/>
      <c r="Q563" s="421"/>
      <c r="R563" s="421"/>
      <c r="S563" s="421"/>
      <c r="T563" s="421"/>
      <c r="U563" s="421"/>
      <c r="V563" s="421"/>
      <c r="W563" s="421"/>
      <c r="X563" s="421"/>
      <c r="Y563" s="421"/>
      <c r="Z563" s="421"/>
      <c r="AA563" s="421"/>
      <c r="AB563" s="421"/>
      <c r="AC563" s="421"/>
      <c r="AD563" s="421"/>
      <c r="AE563" s="421"/>
      <c r="AF563" s="421"/>
      <c r="AG563" s="421"/>
      <c r="AH563" s="421"/>
      <c r="AI563" s="421"/>
      <c r="AJ563" s="421"/>
      <c r="AK563" s="421"/>
      <c r="AL563" s="421"/>
      <c r="AM563" s="421"/>
      <c r="AN563" s="421"/>
      <c r="AO563" s="421"/>
      <c r="AP563" s="421"/>
      <c r="AQ563" s="421"/>
      <c r="AR563" s="421"/>
      <c r="AS563" s="421"/>
      <c r="AT563" s="421"/>
      <c r="AU563" s="421"/>
      <c r="AV563" s="421"/>
      <c r="AW563" s="421"/>
      <c r="AX563" s="421"/>
      <c r="AY563" s="421"/>
      <c r="AZ563" s="421"/>
      <c r="BA563" s="421"/>
      <c r="BC563" s="115"/>
      <c r="BD563" s="115"/>
      <c r="BE563" s="115"/>
      <c r="BF563" s="115"/>
      <c r="BG563" s="115"/>
      <c r="BH563" s="124"/>
      <c r="BI563" s="124"/>
      <c r="BJ563" s="124"/>
      <c r="BK563" s="124"/>
      <c r="BL563" s="124"/>
      <c r="BM563" s="124"/>
      <c r="BN563" s="124"/>
      <c r="BO563" s="124"/>
      <c r="BP563" s="124"/>
      <c r="BQ563" s="124"/>
      <c r="BR563" s="124"/>
      <c r="BS563" s="124"/>
      <c r="BT563" s="124"/>
      <c r="BU563" s="124"/>
      <c r="BV563" s="124"/>
      <c r="BW563" s="124"/>
      <c r="BX563" s="124"/>
      <c r="BY563" s="124"/>
      <c r="BZ563" s="124"/>
      <c r="CA563" s="124"/>
      <c r="CB563" s="124"/>
      <c r="CC563" s="124"/>
      <c r="CD563" s="124"/>
      <c r="CE563" s="124"/>
      <c r="CF563" s="124"/>
      <c r="CG563" s="124"/>
      <c r="CH563" s="124"/>
      <c r="CI563" s="124"/>
      <c r="CJ563" s="124"/>
      <c r="CK563" s="124"/>
      <c r="CL563" s="124"/>
      <c r="CM563" s="124"/>
      <c r="CN563" s="124"/>
      <c r="CO563" s="124"/>
      <c r="CP563" s="124"/>
      <c r="CQ563" s="124"/>
      <c r="CR563" s="124"/>
      <c r="CS563" s="124"/>
      <c r="CT563" s="124"/>
      <c r="CU563" s="124"/>
      <c r="CV563" s="124"/>
      <c r="CW563" s="124"/>
      <c r="CX563" s="124"/>
      <c r="CY563" s="124"/>
      <c r="CZ563" s="124"/>
      <c r="DA563" s="124"/>
      <c r="DB563" s="124"/>
      <c r="DC563" s="124"/>
      <c r="DD563" s="124"/>
      <c r="DE563" s="124"/>
      <c r="DF563" s="124"/>
      <c r="DG563" s="115"/>
    </row>
    <row r="564" spans="2:111" customFormat="1" ht="9" customHeight="1">
      <c r="B564" s="143"/>
      <c r="C564" s="143"/>
      <c r="D564" s="143"/>
      <c r="E564" s="143"/>
      <c r="F564" s="143"/>
      <c r="G564" s="143"/>
      <c r="H564" s="143"/>
      <c r="I564" s="143"/>
      <c r="J564" s="143"/>
      <c r="K564" s="143"/>
      <c r="L564" s="143"/>
      <c r="M564" s="143"/>
      <c r="N564" s="143"/>
      <c r="O564" s="421"/>
      <c r="P564" s="421"/>
      <c r="Q564" s="421"/>
      <c r="R564" s="421"/>
      <c r="S564" s="421"/>
      <c r="T564" s="421"/>
      <c r="U564" s="421"/>
      <c r="V564" s="421"/>
      <c r="W564" s="421"/>
      <c r="X564" s="421"/>
      <c r="Y564" s="421"/>
      <c r="Z564" s="421"/>
      <c r="AA564" s="421"/>
      <c r="AB564" s="421"/>
      <c r="AC564" s="421"/>
      <c r="AD564" s="421"/>
      <c r="AE564" s="421"/>
      <c r="AF564" s="421"/>
      <c r="AG564" s="421"/>
      <c r="AH564" s="421"/>
      <c r="AI564" s="421"/>
      <c r="AJ564" s="421"/>
      <c r="AK564" s="421"/>
      <c r="AL564" s="421"/>
      <c r="AM564" s="421"/>
      <c r="AN564" s="421"/>
      <c r="AO564" s="421"/>
      <c r="AP564" s="421"/>
      <c r="AQ564" s="421"/>
      <c r="AR564" s="421"/>
      <c r="AS564" s="421"/>
      <c r="AT564" s="421"/>
      <c r="AU564" s="421"/>
      <c r="AV564" s="421"/>
      <c r="AW564" s="421"/>
      <c r="AX564" s="421"/>
      <c r="AY564" s="421"/>
      <c r="AZ564" s="421"/>
      <c r="BA564" s="421"/>
      <c r="BC564" s="115"/>
      <c r="BD564" s="115"/>
      <c r="BE564" s="115"/>
      <c r="BF564" s="115"/>
      <c r="BG564" s="115"/>
      <c r="BH564" s="84"/>
      <c r="BI564" s="84"/>
      <c r="BJ564" s="84"/>
      <c r="BK564" s="84"/>
      <c r="BL564" s="84"/>
      <c r="BM564" s="84"/>
      <c r="BN564" s="84"/>
      <c r="BO564" s="84"/>
      <c r="BP564" s="84"/>
      <c r="BQ564" s="84"/>
      <c r="BR564" s="84"/>
      <c r="BS564" s="84"/>
      <c r="BT564" s="84"/>
      <c r="BU564" s="84"/>
      <c r="BV564" s="84"/>
      <c r="BW564" s="84"/>
      <c r="BX564" s="84"/>
      <c r="BY564" s="84"/>
      <c r="BZ564" s="84"/>
      <c r="CA564" s="84"/>
      <c r="CB564" s="84"/>
      <c r="CC564" s="84"/>
      <c r="CD564" s="84"/>
      <c r="CE564" s="84"/>
      <c r="CF564" s="84"/>
      <c r="CG564" s="84"/>
      <c r="CH564" s="84"/>
      <c r="CI564" s="84"/>
      <c r="CJ564" s="84"/>
      <c r="CK564" s="84"/>
      <c r="CL564" s="84"/>
      <c r="CM564" s="84"/>
      <c r="CN564" s="84"/>
      <c r="CO564" s="84"/>
      <c r="CP564" s="84"/>
      <c r="CQ564" s="84"/>
      <c r="CR564" s="84"/>
      <c r="CS564" s="84"/>
      <c r="CT564" s="84"/>
      <c r="CU564" s="84"/>
      <c r="CV564" s="84"/>
      <c r="CW564" s="84"/>
      <c r="CX564" s="84"/>
      <c r="CY564" s="84"/>
      <c r="CZ564" s="84"/>
      <c r="DA564" s="84"/>
      <c r="DB564" s="84"/>
      <c r="DC564" s="84"/>
      <c r="DD564" s="84"/>
      <c r="DE564" s="84"/>
      <c r="DF564" s="84"/>
      <c r="DG564" s="115"/>
    </row>
    <row r="565" spans="2:111" customFormat="1" ht="9" customHeight="1">
      <c r="B565" s="49"/>
      <c r="C565" s="49"/>
      <c r="D565" s="49"/>
      <c r="E565" s="49"/>
      <c r="F565" s="49"/>
      <c r="G565" s="49"/>
      <c r="H565" s="49"/>
      <c r="I565" s="49"/>
      <c r="J565" s="49"/>
      <c r="K565" s="49"/>
      <c r="L565" s="49"/>
      <c r="M565" s="49"/>
      <c r="N565" s="49"/>
      <c r="O565" s="421"/>
      <c r="P565" s="421"/>
      <c r="Q565" s="421"/>
      <c r="R565" s="421"/>
      <c r="S565" s="421"/>
      <c r="T565" s="421"/>
      <c r="U565" s="421"/>
      <c r="V565" s="421"/>
      <c r="W565" s="421"/>
      <c r="X565" s="421"/>
      <c r="Y565" s="421"/>
      <c r="Z565" s="421"/>
      <c r="AA565" s="421"/>
      <c r="AB565" s="421"/>
      <c r="AC565" s="421"/>
      <c r="AD565" s="421"/>
      <c r="AE565" s="421"/>
      <c r="AF565" s="421"/>
      <c r="AG565" s="421"/>
      <c r="AH565" s="421"/>
      <c r="AI565" s="421"/>
      <c r="AJ565" s="421"/>
      <c r="AK565" s="421"/>
      <c r="AL565" s="421"/>
      <c r="AM565" s="421"/>
      <c r="AN565" s="421"/>
      <c r="AO565" s="421"/>
      <c r="AP565" s="421"/>
      <c r="AQ565" s="421"/>
      <c r="AR565" s="421"/>
      <c r="AS565" s="421"/>
      <c r="AT565" s="421"/>
      <c r="AU565" s="421"/>
      <c r="AV565" s="421"/>
      <c r="AW565" s="421"/>
      <c r="AX565" s="421"/>
      <c r="AY565" s="421"/>
      <c r="AZ565" s="421"/>
      <c r="BA565" s="421"/>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row>
    <row r="566" spans="2:111" customFormat="1" ht="4.5" customHeight="1">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C566" s="115"/>
      <c r="BD566" s="115"/>
      <c r="BE566" s="115"/>
      <c r="BF566" s="115"/>
      <c r="BG566" s="115"/>
      <c r="BH566" s="124"/>
      <c r="BI566" s="124"/>
      <c r="BJ566" s="124"/>
      <c r="BK566" s="124"/>
      <c r="BL566" s="124"/>
      <c r="BM566" s="124"/>
      <c r="BN566" s="124"/>
      <c r="BO566" s="124"/>
      <c r="BP566" s="124"/>
      <c r="BQ566" s="124"/>
      <c r="BR566" s="124"/>
      <c r="BS566" s="124"/>
      <c r="BT566" s="124"/>
      <c r="BU566" s="124"/>
      <c r="BV566" s="124"/>
      <c r="BW566" s="124"/>
      <c r="BX566" s="124"/>
      <c r="BY566" s="124"/>
      <c r="BZ566" s="124"/>
      <c r="CA566" s="124"/>
      <c r="CB566" s="124"/>
      <c r="CC566" s="124"/>
      <c r="CD566" s="124"/>
      <c r="CE566" s="124"/>
      <c r="CF566" s="124"/>
      <c r="CG566" s="124"/>
      <c r="CH566" s="124"/>
      <c r="CI566" s="124"/>
      <c r="CJ566" s="124"/>
      <c r="CK566" s="124"/>
      <c r="CL566" s="124"/>
      <c r="CM566" s="124"/>
      <c r="CN566" s="124"/>
      <c r="CO566" s="124"/>
      <c r="CP566" s="124"/>
      <c r="CQ566" s="124"/>
      <c r="CR566" s="124"/>
      <c r="CS566" s="124"/>
      <c r="CT566" s="124"/>
      <c r="CU566" s="124"/>
      <c r="CV566" s="124"/>
      <c r="CW566" s="124"/>
      <c r="CX566" s="124"/>
      <c r="CY566" s="124"/>
      <c r="CZ566" s="124"/>
      <c r="DA566" s="124"/>
      <c r="DB566" s="124"/>
      <c r="DC566" s="124"/>
      <c r="DD566" s="124"/>
      <c r="DE566" s="124"/>
      <c r="DF566" s="124"/>
      <c r="DG566" s="115"/>
    </row>
    <row r="567" spans="2:111" customFormat="1" ht="9" customHeight="1">
      <c r="B567" s="493" t="str">
        <f>IF(B556="","","Detalhamento do Objeto:")</f>
        <v/>
      </c>
      <c r="C567" s="493"/>
      <c r="D567" s="493"/>
      <c r="E567" s="493"/>
      <c r="F567" s="493"/>
      <c r="G567" s="493"/>
      <c r="H567" s="493"/>
      <c r="I567" s="493"/>
      <c r="J567" s="493"/>
      <c r="K567" s="493"/>
      <c r="L567" s="493"/>
      <c r="M567" s="493"/>
      <c r="N567" s="493"/>
      <c r="O567" s="421"/>
      <c r="P567" s="421"/>
      <c r="Q567" s="421"/>
      <c r="R567" s="421"/>
      <c r="S567" s="421"/>
      <c r="T567" s="421"/>
      <c r="U567" s="421"/>
      <c r="V567" s="421"/>
      <c r="W567" s="421"/>
      <c r="X567" s="421"/>
      <c r="Y567" s="421"/>
      <c r="Z567" s="421"/>
      <c r="AA567" s="421"/>
      <c r="AB567" s="421"/>
      <c r="AC567" s="421"/>
      <c r="AD567" s="421"/>
      <c r="AE567" s="421"/>
      <c r="AF567" s="421"/>
      <c r="AG567" s="421"/>
      <c r="AH567" s="421"/>
      <c r="AI567" s="421"/>
      <c r="AJ567" s="421"/>
      <c r="AK567" s="421"/>
      <c r="AL567" s="421"/>
      <c r="AM567" s="421"/>
      <c r="AN567" s="421"/>
      <c r="AO567" s="421"/>
      <c r="AP567" s="421"/>
      <c r="AQ567" s="421"/>
      <c r="AR567" s="421"/>
      <c r="AS567" s="421"/>
      <c r="AT567" s="421"/>
      <c r="AU567" s="421"/>
      <c r="AV567" s="421"/>
      <c r="AW567" s="421"/>
      <c r="AX567" s="421"/>
      <c r="AY567" s="421"/>
      <c r="AZ567" s="421"/>
      <c r="BA567" s="421"/>
      <c r="BC567" s="115"/>
      <c r="BD567" s="115"/>
      <c r="BE567" s="115"/>
      <c r="BF567" s="115"/>
      <c r="BG567" s="115"/>
      <c r="BH567" s="124"/>
      <c r="BI567" s="124"/>
      <c r="BJ567" s="124"/>
      <c r="BK567" s="124"/>
      <c r="BL567" s="124"/>
      <c r="BM567" s="124"/>
      <c r="BN567" s="124"/>
      <c r="BO567" s="124"/>
      <c r="BP567" s="124"/>
      <c r="BQ567" s="124"/>
      <c r="BR567" s="124"/>
      <c r="BS567" s="124"/>
      <c r="BT567" s="124"/>
      <c r="BU567" s="124"/>
      <c r="BV567" s="124"/>
      <c r="BW567" s="124"/>
      <c r="BX567" s="124"/>
      <c r="BY567" s="124"/>
      <c r="BZ567" s="124"/>
      <c r="CA567" s="124"/>
      <c r="CB567" s="124"/>
      <c r="CC567" s="124"/>
      <c r="CD567" s="124"/>
      <c r="CE567" s="124"/>
      <c r="CF567" s="124"/>
      <c r="CG567" s="124"/>
      <c r="CH567" s="124"/>
      <c r="CI567" s="124"/>
      <c r="CJ567" s="124"/>
      <c r="CK567" s="124"/>
      <c r="CL567" s="124"/>
      <c r="CM567" s="124"/>
      <c r="CN567" s="124"/>
      <c r="CO567" s="124"/>
      <c r="CP567" s="124"/>
      <c r="CQ567" s="124"/>
      <c r="CR567" s="124"/>
      <c r="CS567" s="124"/>
      <c r="CT567" s="124"/>
      <c r="CU567" s="124"/>
      <c r="CV567" s="124"/>
      <c r="CW567" s="124"/>
      <c r="CX567" s="124"/>
      <c r="CY567" s="124"/>
      <c r="CZ567" s="124"/>
      <c r="DA567" s="124"/>
      <c r="DB567" s="124"/>
      <c r="DC567" s="124"/>
      <c r="DD567" s="124"/>
      <c r="DE567" s="124"/>
      <c r="DF567" s="124"/>
      <c r="DG567" s="115"/>
    </row>
    <row r="568" spans="2:111" customFormat="1" ht="9" customHeight="1">
      <c r="B568" s="493"/>
      <c r="C568" s="493"/>
      <c r="D568" s="493"/>
      <c r="E568" s="493"/>
      <c r="F568" s="493"/>
      <c r="G568" s="493"/>
      <c r="H568" s="493"/>
      <c r="I568" s="493"/>
      <c r="J568" s="493"/>
      <c r="K568" s="493"/>
      <c r="L568" s="493"/>
      <c r="M568" s="493"/>
      <c r="N568" s="493"/>
      <c r="O568" s="421"/>
      <c r="P568" s="421"/>
      <c r="Q568" s="421"/>
      <c r="R568" s="421"/>
      <c r="S568" s="421"/>
      <c r="T568" s="421"/>
      <c r="U568" s="421"/>
      <c r="V568" s="421"/>
      <c r="W568" s="421"/>
      <c r="X568" s="421"/>
      <c r="Y568" s="421"/>
      <c r="Z568" s="421"/>
      <c r="AA568" s="421"/>
      <c r="AB568" s="421"/>
      <c r="AC568" s="421"/>
      <c r="AD568" s="421"/>
      <c r="AE568" s="421"/>
      <c r="AF568" s="421"/>
      <c r="AG568" s="421"/>
      <c r="AH568" s="421"/>
      <c r="AI568" s="421"/>
      <c r="AJ568" s="421"/>
      <c r="AK568" s="421"/>
      <c r="AL568" s="421"/>
      <c r="AM568" s="421"/>
      <c r="AN568" s="421"/>
      <c r="AO568" s="421"/>
      <c r="AP568" s="421"/>
      <c r="AQ568" s="421"/>
      <c r="AR568" s="421"/>
      <c r="AS568" s="421"/>
      <c r="AT568" s="421"/>
      <c r="AU568" s="421"/>
      <c r="AV568" s="421"/>
      <c r="AW568" s="421"/>
      <c r="AX568" s="421"/>
      <c r="AY568" s="421"/>
      <c r="AZ568" s="421"/>
      <c r="BA568" s="421"/>
      <c r="BC568" s="115"/>
      <c r="BD568" s="115"/>
      <c r="BE568" s="115"/>
      <c r="BF568" s="115"/>
      <c r="BG568" s="115"/>
      <c r="BH568" s="124"/>
      <c r="BI568" s="124"/>
      <c r="BJ568" s="124"/>
      <c r="BK568" s="124"/>
      <c r="BL568" s="124"/>
      <c r="BM568" s="124"/>
      <c r="BN568" s="124"/>
      <c r="BO568" s="124"/>
      <c r="BP568" s="124"/>
      <c r="BQ568" s="124"/>
      <c r="BR568" s="124"/>
      <c r="BS568" s="124"/>
      <c r="BT568" s="124"/>
      <c r="BU568" s="124"/>
      <c r="BV568" s="124"/>
      <c r="BW568" s="124"/>
      <c r="BX568" s="124"/>
      <c r="BY568" s="124"/>
      <c r="BZ568" s="124"/>
      <c r="CA568" s="124"/>
      <c r="CB568" s="124"/>
      <c r="CC568" s="124"/>
      <c r="CD568" s="124"/>
      <c r="CE568" s="124"/>
      <c r="CF568" s="124"/>
      <c r="CG568" s="124"/>
      <c r="CH568" s="124"/>
      <c r="CI568" s="124"/>
      <c r="CJ568" s="124"/>
      <c r="CK568" s="124"/>
      <c r="CL568" s="124"/>
      <c r="CM568" s="124"/>
      <c r="CN568" s="124"/>
      <c r="CO568" s="124"/>
      <c r="CP568" s="124"/>
      <c r="CQ568" s="124"/>
      <c r="CR568" s="124"/>
      <c r="CS568" s="124"/>
      <c r="CT568" s="124"/>
      <c r="CU568" s="124"/>
      <c r="CV568" s="124"/>
      <c r="CW568" s="124"/>
      <c r="CX568" s="124"/>
      <c r="CY568" s="124"/>
      <c r="CZ568" s="124"/>
      <c r="DA568" s="124"/>
      <c r="DB568" s="124"/>
      <c r="DC568" s="124"/>
      <c r="DD568" s="124"/>
      <c r="DE568" s="124"/>
      <c r="DF568" s="124"/>
      <c r="DG568" s="115"/>
    </row>
    <row r="569" spans="2:111" customFormat="1" ht="9" customHeight="1">
      <c r="B569" s="143"/>
      <c r="C569" s="143"/>
      <c r="D569" s="143"/>
      <c r="E569" s="143"/>
      <c r="F569" s="143"/>
      <c r="G569" s="143"/>
      <c r="H569" s="143"/>
      <c r="I569" s="143"/>
      <c r="J569" s="143"/>
      <c r="K569" s="143"/>
      <c r="L569" s="143"/>
      <c r="M569" s="143"/>
      <c r="N569" s="143"/>
      <c r="O569" s="421"/>
      <c r="P569" s="421"/>
      <c r="Q569" s="421"/>
      <c r="R569" s="421"/>
      <c r="S569" s="421"/>
      <c r="T569" s="421"/>
      <c r="U569" s="421"/>
      <c r="V569" s="421"/>
      <c r="W569" s="421"/>
      <c r="X569" s="421"/>
      <c r="Y569" s="421"/>
      <c r="Z569" s="421"/>
      <c r="AA569" s="421"/>
      <c r="AB569" s="421"/>
      <c r="AC569" s="421"/>
      <c r="AD569" s="421"/>
      <c r="AE569" s="421"/>
      <c r="AF569" s="421"/>
      <c r="AG569" s="421"/>
      <c r="AH569" s="421"/>
      <c r="AI569" s="421"/>
      <c r="AJ569" s="421"/>
      <c r="AK569" s="421"/>
      <c r="AL569" s="421"/>
      <c r="AM569" s="421"/>
      <c r="AN569" s="421"/>
      <c r="AO569" s="421"/>
      <c r="AP569" s="421"/>
      <c r="AQ569" s="421"/>
      <c r="AR569" s="421"/>
      <c r="AS569" s="421"/>
      <c r="AT569" s="421"/>
      <c r="AU569" s="421"/>
      <c r="AV569" s="421"/>
      <c r="AW569" s="421"/>
      <c r="AX569" s="421"/>
      <c r="AY569" s="421"/>
      <c r="AZ569" s="421"/>
      <c r="BA569" s="421"/>
      <c r="BC569" s="115"/>
      <c r="BD569" s="115"/>
      <c r="BE569" s="115"/>
      <c r="BF569" s="115"/>
      <c r="BG569" s="115"/>
      <c r="BH569" s="84"/>
      <c r="BI569" s="84"/>
      <c r="BJ569" s="84"/>
      <c r="BK569" s="84"/>
      <c r="BL569" s="84"/>
      <c r="BM569" s="84"/>
      <c r="BN569" s="84"/>
      <c r="BO569" s="84"/>
      <c r="BP569" s="84"/>
      <c r="BQ569" s="84"/>
      <c r="BR569" s="84"/>
      <c r="BS569" s="84"/>
      <c r="BT569" s="84"/>
      <c r="BU569" s="84"/>
      <c r="BV569" s="84"/>
      <c r="BW569" s="84"/>
      <c r="BX569" s="84"/>
      <c r="BY569" s="84"/>
      <c r="BZ569" s="84"/>
      <c r="CA569" s="84"/>
      <c r="CB569" s="84"/>
      <c r="CC569" s="84"/>
      <c r="CD569" s="84"/>
      <c r="CE569" s="84"/>
      <c r="CF569" s="84"/>
      <c r="CG569" s="84"/>
      <c r="CH569" s="84"/>
      <c r="CI569" s="84"/>
      <c r="CJ569" s="84"/>
      <c r="CK569" s="84"/>
      <c r="CL569" s="84"/>
      <c r="CM569" s="84"/>
      <c r="CN569" s="84"/>
      <c r="CO569" s="84"/>
      <c r="CP569" s="84"/>
      <c r="CQ569" s="84"/>
      <c r="CR569" s="84"/>
      <c r="CS569" s="84"/>
      <c r="CT569" s="84"/>
      <c r="CU569" s="84"/>
      <c r="CV569" s="84"/>
      <c r="CW569" s="84"/>
      <c r="CX569" s="84"/>
      <c r="CY569" s="84"/>
      <c r="CZ569" s="84"/>
      <c r="DA569" s="84"/>
      <c r="DB569" s="84"/>
      <c r="DC569" s="84"/>
      <c r="DD569" s="84"/>
      <c r="DE569" s="84"/>
      <c r="DF569" s="84"/>
      <c r="DG569" s="115"/>
    </row>
    <row r="570" spans="2:111" customFormat="1" ht="9" customHeight="1">
      <c r="B570" s="143"/>
      <c r="C570" s="143"/>
      <c r="D570" s="143"/>
      <c r="E570" s="143"/>
      <c r="F570" s="143"/>
      <c r="G570" s="143"/>
      <c r="H570" s="143"/>
      <c r="I570" s="143"/>
      <c r="J570" s="143"/>
      <c r="K570" s="143"/>
      <c r="L570" s="143"/>
      <c r="M570" s="143"/>
      <c r="N570" s="143"/>
      <c r="O570" s="421"/>
      <c r="P570" s="421"/>
      <c r="Q570" s="421"/>
      <c r="R570" s="421"/>
      <c r="S570" s="421"/>
      <c r="T570" s="421"/>
      <c r="U570" s="421"/>
      <c r="V570" s="421"/>
      <c r="W570" s="421"/>
      <c r="X570" s="421"/>
      <c r="Y570" s="421"/>
      <c r="Z570" s="421"/>
      <c r="AA570" s="421"/>
      <c r="AB570" s="421"/>
      <c r="AC570" s="421"/>
      <c r="AD570" s="421"/>
      <c r="AE570" s="421"/>
      <c r="AF570" s="421"/>
      <c r="AG570" s="421"/>
      <c r="AH570" s="421"/>
      <c r="AI570" s="421"/>
      <c r="AJ570" s="421"/>
      <c r="AK570" s="421"/>
      <c r="AL570" s="421"/>
      <c r="AM570" s="421"/>
      <c r="AN570" s="421"/>
      <c r="AO570" s="421"/>
      <c r="AP570" s="421"/>
      <c r="AQ570" s="421"/>
      <c r="AR570" s="421"/>
      <c r="AS570" s="421"/>
      <c r="AT570" s="421"/>
      <c r="AU570" s="421"/>
      <c r="AV570" s="421"/>
      <c r="AW570" s="421"/>
      <c r="AX570" s="421"/>
      <c r="AY570" s="421"/>
      <c r="AZ570" s="421"/>
      <c r="BA570" s="421"/>
      <c r="BC570" s="115"/>
      <c r="BD570" s="115"/>
      <c r="BE570" s="115"/>
      <c r="BF570" s="115"/>
      <c r="BG570" s="115"/>
      <c r="BH570" s="84"/>
      <c r="BI570" s="84"/>
      <c r="BJ570" s="84"/>
      <c r="BK570" s="84"/>
      <c r="BL570" s="84"/>
      <c r="BM570" s="84"/>
      <c r="BN570" s="84"/>
      <c r="BO570" s="84"/>
      <c r="BP570" s="84"/>
      <c r="BQ570" s="84"/>
      <c r="BR570" s="84"/>
      <c r="BS570" s="84"/>
      <c r="BT570" s="84"/>
      <c r="BU570" s="84"/>
      <c r="BV570" s="84"/>
      <c r="BW570" s="84"/>
      <c r="BX570" s="84"/>
      <c r="BY570" s="84"/>
      <c r="BZ570" s="84"/>
      <c r="CA570" s="84"/>
      <c r="CB570" s="84"/>
      <c r="CC570" s="84"/>
      <c r="CD570" s="84"/>
      <c r="CE570" s="84"/>
      <c r="CF570" s="84"/>
      <c r="CG570" s="84"/>
      <c r="CH570" s="84"/>
      <c r="CI570" s="84"/>
      <c r="CJ570" s="84"/>
      <c r="CK570" s="84"/>
      <c r="CL570" s="84"/>
      <c r="CM570" s="84"/>
      <c r="CN570" s="84"/>
      <c r="CO570" s="84"/>
      <c r="CP570" s="84"/>
      <c r="CQ570" s="84"/>
      <c r="CR570" s="84"/>
      <c r="CS570" s="84"/>
      <c r="CT570" s="84"/>
      <c r="CU570" s="84"/>
      <c r="CV570" s="84"/>
      <c r="CW570" s="84"/>
      <c r="CX570" s="84"/>
      <c r="CY570" s="84"/>
      <c r="CZ570" s="84"/>
      <c r="DA570" s="84"/>
      <c r="DB570" s="84"/>
      <c r="DC570" s="84"/>
      <c r="DD570" s="84"/>
      <c r="DE570" s="84"/>
      <c r="DF570" s="84"/>
      <c r="DG570" s="115"/>
    </row>
    <row r="571" spans="2:111" customFormat="1" ht="9" customHeight="1">
      <c r="B571" s="143"/>
      <c r="C571" s="143"/>
      <c r="D571" s="143"/>
      <c r="E571" s="143"/>
      <c r="F571" s="143"/>
      <c r="G571" s="143"/>
      <c r="H571" s="143"/>
      <c r="I571" s="143"/>
      <c r="J571" s="143"/>
      <c r="K571" s="143"/>
      <c r="L571" s="143"/>
      <c r="M571" s="143"/>
      <c r="N571" s="143"/>
      <c r="O571" s="421"/>
      <c r="P571" s="421"/>
      <c r="Q571" s="421"/>
      <c r="R571" s="421"/>
      <c r="S571" s="421"/>
      <c r="T571" s="421"/>
      <c r="U571" s="421"/>
      <c r="V571" s="421"/>
      <c r="W571" s="421"/>
      <c r="X571" s="421"/>
      <c r="Y571" s="421"/>
      <c r="Z571" s="421"/>
      <c r="AA571" s="421"/>
      <c r="AB571" s="421"/>
      <c r="AC571" s="421"/>
      <c r="AD571" s="421"/>
      <c r="AE571" s="421"/>
      <c r="AF571" s="421"/>
      <c r="AG571" s="421"/>
      <c r="AH571" s="421"/>
      <c r="AI571" s="421"/>
      <c r="AJ571" s="421"/>
      <c r="AK571" s="421"/>
      <c r="AL571" s="421"/>
      <c r="AM571" s="421"/>
      <c r="AN571" s="421"/>
      <c r="AO571" s="421"/>
      <c r="AP571" s="421"/>
      <c r="AQ571" s="421"/>
      <c r="AR571" s="421"/>
      <c r="AS571" s="421"/>
      <c r="AT571" s="421"/>
      <c r="AU571" s="421"/>
      <c r="AV571" s="421"/>
      <c r="AW571" s="421"/>
      <c r="AX571" s="421"/>
      <c r="AY571" s="421"/>
      <c r="AZ571" s="421"/>
      <c r="BA571" s="421"/>
      <c r="BC571" s="115"/>
      <c r="BD571" s="115"/>
      <c r="BE571" s="115"/>
      <c r="BF571" s="115"/>
      <c r="BG571" s="115"/>
      <c r="BH571" s="84"/>
      <c r="BI571" s="84"/>
      <c r="BJ571" s="84"/>
      <c r="BK571" s="84"/>
      <c r="BL571" s="84"/>
      <c r="BM571" s="84"/>
      <c r="BN571" s="84"/>
      <c r="BO571" s="84"/>
      <c r="BP571" s="84"/>
      <c r="BQ571" s="84"/>
      <c r="BR571" s="84"/>
      <c r="BS571" s="84"/>
      <c r="BT571" s="84"/>
      <c r="BU571" s="84"/>
      <c r="BV571" s="84"/>
      <c r="BW571" s="84"/>
      <c r="BX571" s="84"/>
      <c r="BY571" s="84"/>
      <c r="BZ571" s="84"/>
      <c r="CA571" s="84"/>
      <c r="CB571" s="84"/>
      <c r="CC571" s="84"/>
      <c r="CD571" s="84"/>
      <c r="CE571" s="84"/>
      <c r="CF571" s="84"/>
      <c r="CG571" s="84"/>
      <c r="CH571" s="84"/>
      <c r="CI571" s="84"/>
      <c r="CJ571" s="84"/>
      <c r="CK571" s="84"/>
      <c r="CL571" s="84"/>
      <c r="CM571" s="84"/>
      <c r="CN571" s="84"/>
      <c r="CO571" s="84"/>
      <c r="CP571" s="84"/>
      <c r="CQ571" s="84"/>
      <c r="CR571" s="84"/>
      <c r="CS571" s="84"/>
      <c r="CT571" s="84"/>
      <c r="CU571" s="84"/>
      <c r="CV571" s="84"/>
      <c r="CW571" s="84"/>
      <c r="CX571" s="84"/>
      <c r="CY571" s="84"/>
      <c r="CZ571" s="84"/>
      <c r="DA571" s="84"/>
      <c r="DB571" s="84"/>
      <c r="DC571" s="84"/>
      <c r="DD571" s="84"/>
      <c r="DE571" s="84"/>
      <c r="DF571" s="84"/>
      <c r="DG571" s="115"/>
    </row>
    <row r="572" spans="2:111" customFormat="1" ht="9" customHeight="1">
      <c r="B572" s="143"/>
      <c r="C572" s="143"/>
      <c r="D572" s="143"/>
      <c r="E572" s="143"/>
      <c r="F572" s="143"/>
      <c r="G572" s="143"/>
      <c r="H572" s="143"/>
      <c r="I572" s="143"/>
      <c r="J572" s="143"/>
      <c r="K572" s="143"/>
      <c r="L572" s="143"/>
      <c r="M572" s="143"/>
      <c r="N572" s="143"/>
      <c r="O572" s="421"/>
      <c r="P572" s="421"/>
      <c r="Q572" s="421"/>
      <c r="R572" s="421"/>
      <c r="S572" s="421"/>
      <c r="T572" s="421"/>
      <c r="U572" s="421"/>
      <c r="V572" s="421"/>
      <c r="W572" s="421"/>
      <c r="X572" s="421"/>
      <c r="Y572" s="421"/>
      <c r="Z572" s="421"/>
      <c r="AA572" s="421"/>
      <c r="AB572" s="421"/>
      <c r="AC572" s="421"/>
      <c r="AD572" s="421"/>
      <c r="AE572" s="421"/>
      <c r="AF572" s="421"/>
      <c r="AG572" s="421"/>
      <c r="AH572" s="421"/>
      <c r="AI572" s="421"/>
      <c r="AJ572" s="421"/>
      <c r="AK572" s="421"/>
      <c r="AL572" s="421"/>
      <c r="AM572" s="421"/>
      <c r="AN572" s="421"/>
      <c r="AO572" s="421"/>
      <c r="AP572" s="421"/>
      <c r="AQ572" s="421"/>
      <c r="AR572" s="421"/>
      <c r="AS572" s="421"/>
      <c r="AT572" s="421"/>
      <c r="AU572" s="421"/>
      <c r="AV572" s="421"/>
      <c r="AW572" s="421"/>
      <c r="AX572" s="421"/>
      <c r="AY572" s="421"/>
      <c r="AZ572" s="421"/>
      <c r="BA572" s="421"/>
      <c r="BC572" s="115"/>
      <c r="BD572" s="115"/>
      <c r="BE572" s="115"/>
      <c r="BF572" s="115"/>
      <c r="BG572" s="115"/>
      <c r="BH572" s="84"/>
      <c r="BI572" s="84"/>
      <c r="BJ572" s="84"/>
      <c r="BK572" s="84"/>
      <c r="BL572" s="84"/>
      <c r="BM572" s="84"/>
      <c r="BN572" s="84"/>
      <c r="BO572" s="84"/>
      <c r="BP572" s="84"/>
      <c r="BQ572" s="84"/>
      <c r="BR572" s="84"/>
      <c r="BS572" s="84"/>
      <c r="BT572" s="84"/>
      <c r="BU572" s="84"/>
      <c r="BV572" s="84"/>
      <c r="BW572" s="84"/>
      <c r="BX572" s="84"/>
      <c r="BY572" s="84"/>
      <c r="BZ572" s="84"/>
      <c r="CA572" s="84"/>
      <c r="CB572" s="84"/>
      <c r="CC572" s="84"/>
      <c r="CD572" s="84"/>
      <c r="CE572" s="84"/>
      <c r="CF572" s="84"/>
      <c r="CG572" s="84"/>
      <c r="CH572" s="84"/>
      <c r="CI572" s="84"/>
      <c r="CJ572" s="84"/>
      <c r="CK572" s="84"/>
      <c r="CL572" s="84"/>
      <c r="CM572" s="84"/>
      <c r="CN572" s="84"/>
      <c r="CO572" s="84"/>
      <c r="CP572" s="84"/>
      <c r="CQ572" s="84"/>
      <c r="CR572" s="84"/>
      <c r="CS572" s="84"/>
      <c r="CT572" s="84"/>
      <c r="CU572" s="84"/>
      <c r="CV572" s="84"/>
      <c r="CW572" s="84"/>
      <c r="CX572" s="84"/>
      <c r="CY572" s="84"/>
      <c r="CZ572" s="84"/>
      <c r="DA572" s="84"/>
      <c r="DB572" s="84"/>
      <c r="DC572" s="84"/>
      <c r="DD572" s="84"/>
      <c r="DE572" s="84"/>
      <c r="DF572" s="84"/>
      <c r="DG572" s="115"/>
    </row>
    <row r="573" spans="2:111" customFormat="1" ht="9" customHeight="1">
      <c r="B573" s="143"/>
      <c r="C573" s="143"/>
      <c r="D573" s="143"/>
      <c r="E573" s="143"/>
      <c r="F573" s="143"/>
      <c r="G573" s="143"/>
      <c r="H573" s="143"/>
      <c r="I573" s="143"/>
      <c r="J573" s="143"/>
      <c r="K573" s="143"/>
      <c r="L573" s="143"/>
      <c r="M573" s="143"/>
      <c r="N573" s="143"/>
      <c r="O573" s="421"/>
      <c r="P573" s="421"/>
      <c r="Q573" s="421"/>
      <c r="R573" s="421"/>
      <c r="S573" s="421"/>
      <c r="T573" s="421"/>
      <c r="U573" s="421"/>
      <c r="V573" s="421"/>
      <c r="W573" s="421"/>
      <c r="X573" s="421"/>
      <c r="Y573" s="421"/>
      <c r="Z573" s="421"/>
      <c r="AA573" s="421"/>
      <c r="AB573" s="421"/>
      <c r="AC573" s="421"/>
      <c r="AD573" s="421"/>
      <c r="AE573" s="421"/>
      <c r="AF573" s="421"/>
      <c r="AG573" s="421"/>
      <c r="AH573" s="421"/>
      <c r="AI573" s="421"/>
      <c r="AJ573" s="421"/>
      <c r="AK573" s="421"/>
      <c r="AL573" s="421"/>
      <c r="AM573" s="421"/>
      <c r="AN573" s="421"/>
      <c r="AO573" s="421"/>
      <c r="AP573" s="421"/>
      <c r="AQ573" s="421"/>
      <c r="AR573" s="421"/>
      <c r="AS573" s="421"/>
      <c r="AT573" s="421"/>
      <c r="AU573" s="421"/>
      <c r="AV573" s="421"/>
      <c r="AW573" s="421"/>
      <c r="AX573" s="421"/>
      <c r="AY573" s="421"/>
      <c r="AZ573" s="421"/>
      <c r="BA573" s="421"/>
      <c r="BC573" s="115"/>
      <c r="BD573" s="115"/>
      <c r="BE573" s="115"/>
      <c r="BF573" s="115"/>
      <c r="BG573" s="115"/>
      <c r="BH573" s="84"/>
      <c r="BI573" s="84"/>
      <c r="BJ573" s="84"/>
      <c r="BK573" s="84"/>
      <c r="BL573" s="84"/>
      <c r="BM573" s="84"/>
      <c r="BN573" s="84"/>
      <c r="BO573" s="84"/>
      <c r="BP573" s="84"/>
      <c r="BQ573" s="84"/>
      <c r="BR573" s="84"/>
      <c r="BS573" s="84"/>
      <c r="BT573" s="84"/>
      <c r="BU573" s="84"/>
      <c r="BV573" s="84"/>
      <c r="BW573" s="84"/>
      <c r="BX573" s="84"/>
      <c r="BY573" s="84"/>
      <c r="BZ573" s="84"/>
      <c r="CA573" s="84"/>
      <c r="CB573" s="84"/>
      <c r="CC573" s="84"/>
      <c r="CD573" s="84"/>
      <c r="CE573" s="84"/>
      <c r="CF573" s="84"/>
      <c r="CG573" s="84"/>
      <c r="CH573" s="84"/>
      <c r="CI573" s="84"/>
      <c r="CJ573" s="84"/>
      <c r="CK573" s="84"/>
      <c r="CL573" s="84"/>
      <c r="CM573" s="84"/>
      <c r="CN573" s="84"/>
      <c r="CO573" s="84"/>
      <c r="CP573" s="84"/>
      <c r="CQ573" s="84"/>
      <c r="CR573" s="84"/>
      <c r="CS573" s="84"/>
      <c r="CT573" s="84"/>
      <c r="CU573" s="84"/>
      <c r="CV573" s="84"/>
      <c r="CW573" s="84"/>
      <c r="CX573" s="84"/>
      <c r="CY573" s="84"/>
      <c r="CZ573" s="84"/>
      <c r="DA573" s="84"/>
      <c r="DB573" s="84"/>
      <c r="DC573" s="84"/>
      <c r="DD573" s="84"/>
      <c r="DE573" s="84"/>
      <c r="DF573" s="84"/>
      <c r="DG573" s="115"/>
    </row>
    <row r="574" spans="2:111" customFormat="1" ht="9" customHeight="1">
      <c r="B574" s="49"/>
      <c r="C574" s="49"/>
      <c r="D574" s="49"/>
      <c r="E574" s="49"/>
      <c r="F574" s="49"/>
      <c r="G574" s="49"/>
      <c r="H574" s="49"/>
      <c r="I574" s="49"/>
      <c r="J574" s="49"/>
      <c r="K574" s="49"/>
      <c r="L574" s="49"/>
      <c r="M574" s="49"/>
      <c r="N574" s="49"/>
      <c r="O574" s="421"/>
      <c r="P574" s="421"/>
      <c r="Q574" s="421"/>
      <c r="R574" s="421"/>
      <c r="S574" s="421"/>
      <c r="T574" s="421"/>
      <c r="U574" s="421"/>
      <c r="V574" s="421"/>
      <c r="W574" s="421"/>
      <c r="X574" s="421"/>
      <c r="Y574" s="421"/>
      <c r="Z574" s="421"/>
      <c r="AA574" s="421"/>
      <c r="AB574" s="421"/>
      <c r="AC574" s="421"/>
      <c r="AD574" s="421"/>
      <c r="AE574" s="421"/>
      <c r="AF574" s="421"/>
      <c r="AG574" s="421"/>
      <c r="AH574" s="421"/>
      <c r="AI574" s="421"/>
      <c r="AJ574" s="421"/>
      <c r="AK574" s="421"/>
      <c r="AL574" s="421"/>
      <c r="AM574" s="421"/>
      <c r="AN574" s="421"/>
      <c r="AO574" s="421"/>
      <c r="AP574" s="421"/>
      <c r="AQ574" s="421"/>
      <c r="AR574" s="421"/>
      <c r="AS574" s="421"/>
      <c r="AT574" s="421"/>
      <c r="AU574" s="421"/>
      <c r="AV574" s="421"/>
      <c r="AW574" s="421"/>
      <c r="AX574" s="421"/>
      <c r="AY574" s="421"/>
      <c r="AZ574" s="421"/>
      <c r="BA574" s="421"/>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row>
    <row r="575" spans="2:111" customFormat="1" ht="4.5" customHeight="1">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C575" s="115"/>
      <c r="BD575" s="115"/>
      <c r="BE575" s="115"/>
      <c r="BF575" s="115"/>
      <c r="BG575" s="115"/>
      <c r="BH575" s="124"/>
      <c r="BI575" s="124"/>
      <c r="BJ575" s="124"/>
      <c r="BK575" s="124"/>
      <c r="BL575" s="124"/>
      <c r="BM575" s="124"/>
      <c r="BN575" s="124"/>
      <c r="BO575" s="124"/>
      <c r="BP575" s="124"/>
      <c r="BQ575" s="124"/>
      <c r="BR575" s="124"/>
      <c r="BS575" s="124"/>
      <c r="BT575" s="124"/>
      <c r="BU575" s="124"/>
      <c r="BV575" s="124"/>
      <c r="BW575" s="124"/>
      <c r="BX575" s="124"/>
      <c r="BY575" s="124"/>
      <c r="BZ575" s="124"/>
      <c r="CA575" s="124"/>
      <c r="CB575" s="124"/>
      <c r="CC575" s="124"/>
      <c r="CD575" s="124"/>
      <c r="CE575" s="124"/>
      <c r="CF575" s="124"/>
      <c r="CG575" s="124"/>
      <c r="CH575" s="124"/>
      <c r="CI575" s="124"/>
      <c r="CJ575" s="124"/>
      <c r="CK575" s="124"/>
      <c r="CL575" s="124"/>
      <c r="CM575" s="124"/>
      <c r="CN575" s="124"/>
      <c r="CO575" s="124"/>
      <c r="CP575" s="124"/>
      <c r="CQ575" s="124"/>
      <c r="CR575" s="124"/>
      <c r="CS575" s="124"/>
      <c r="CT575" s="124"/>
      <c r="CU575" s="124"/>
      <c r="CV575" s="124"/>
      <c r="CW575" s="124"/>
      <c r="CX575" s="124"/>
      <c r="CY575" s="124"/>
      <c r="CZ575" s="124"/>
      <c r="DA575" s="124"/>
      <c r="DB575" s="124"/>
      <c r="DC575" s="124"/>
      <c r="DD575" s="124"/>
      <c r="DE575" s="124"/>
      <c r="DF575" s="124"/>
      <c r="DG575" s="115"/>
    </row>
    <row r="576" spans="2:111" customFormat="1" ht="9" customHeight="1">
      <c r="B576" s="493" t="str">
        <f>IF(B556="","","Justificativa:")</f>
        <v/>
      </c>
      <c r="C576" s="493"/>
      <c r="D576" s="493"/>
      <c r="E576" s="493"/>
      <c r="F576" s="493"/>
      <c r="G576" s="493"/>
      <c r="H576" s="493"/>
      <c r="I576" s="493"/>
      <c r="J576" s="493"/>
      <c r="K576" s="493"/>
      <c r="L576" s="493"/>
      <c r="M576" s="493"/>
      <c r="N576" s="493"/>
      <c r="O576" s="421"/>
      <c r="P576" s="421"/>
      <c r="Q576" s="421"/>
      <c r="R576" s="421"/>
      <c r="S576" s="421"/>
      <c r="T576" s="421"/>
      <c r="U576" s="421"/>
      <c r="V576" s="421"/>
      <c r="W576" s="421"/>
      <c r="X576" s="421"/>
      <c r="Y576" s="421"/>
      <c r="Z576" s="421"/>
      <c r="AA576" s="421"/>
      <c r="AB576" s="421"/>
      <c r="AC576" s="421"/>
      <c r="AD576" s="421"/>
      <c r="AE576" s="421"/>
      <c r="AF576" s="421"/>
      <c r="AG576" s="421"/>
      <c r="AH576" s="421"/>
      <c r="AI576" s="421"/>
      <c r="AJ576" s="421"/>
      <c r="AK576" s="421"/>
      <c r="AL576" s="421"/>
      <c r="AM576" s="421"/>
      <c r="AN576" s="421"/>
      <c r="AO576" s="421"/>
      <c r="AP576" s="421"/>
      <c r="AQ576" s="421"/>
      <c r="AR576" s="421"/>
      <c r="AS576" s="421"/>
      <c r="AT576" s="421"/>
      <c r="AU576" s="421"/>
      <c r="AV576" s="421"/>
      <c r="AW576" s="421"/>
      <c r="AX576" s="421"/>
      <c r="AY576" s="421"/>
      <c r="AZ576" s="421"/>
      <c r="BA576" s="421"/>
      <c r="BC576" s="115"/>
      <c r="BD576" s="115"/>
      <c r="BE576" s="115"/>
      <c r="BF576" s="115"/>
      <c r="BG576" s="115"/>
      <c r="BH576" s="124"/>
      <c r="BI576" s="124"/>
      <c r="BJ576" s="124"/>
      <c r="BK576" s="124"/>
      <c r="BL576" s="124"/>
      <c r="BM576" s="124"/>
      <c r="BN576" s="124"/>
      <c r="BO576" s="124"/>
      <c r="BP576" s="124"/>
      <c r="BQ576" s="124"/>
      <c r="BR576" s="124"/>
      <c r="BS576" s="124"/>
      <c r="BT576" s="124"/>
      <c r="BU576" s="124"/>
      <c r="BV576" s="124"/>
      <c r="BW576" s="124"/>
      <c r="BX576" s="124"/>
      <c r="BY576" s="124"/>
      <c r="BZ576" s="124"/>
      <c r="CA576" s="124"/>
      <c r="CB576" s="124"/>
      <c r="CC576" s="124"/>
      <c r="CD576" s="124"/>
      <c r="CE576" s="124"/>
      <c r="CF576" s="124"/>
      <c r="CG576" s="124"/>
      <c r="CH576" s="124"/>
      <c r="CI576" s="124"/>
      <c r="CJ576" s="124"/>
      <c r="CK576" s="124"/>
      <c r="CL576" s="124"/>
      <c r="CM576" s="124"/>
      <c r="CN576" s="124"/>
      <c r="CO576" s="124"/>
      <c r="CP576" s="124"/>
      <c r="CQ576" s="124"/>
      <c r="CR576" s="124"/>
      <c r="CS576" s="124"/>
      <c r="CT576" s="124"/>
      <c r="CU576" s="124"/>
      <c r="CV576" s="124"/>
      <c r="CW576" s="124"/>
      <c r="CX576" s="124"/>
      <c r="CY576" s="124"/>
      <c r="CZ576" s="124"/>
      <c r="DA576" s="124"/>
      <c r="DB576" s="124"/>
      <c r="DC576" s="124"/>
      <c r="DD576" s="124"/>
      <c r="DE576" s="124"/>
      <c r="DF576" s="124"/>
      <c r="DG576" s="115"/>
    </row>
    <row r="577" spans="2:111" customFormat="1" ht="9" customHeight="1">
      <c r="B577" s="493"/>
      <c r="C577" s="493"/>
      <c r="D577" s="493"/>
      <c r="E577" s="493"/>
      <c r="F577" s="493"/>
      <c r="G577" s="493"/>
      <c r="H577" s="493"/>
      <c r="I577" s="493"/>
      <c r="J577" s="493"/>
      <c r="K577" s="493"/>
      <c r="L577" s="493"/>
      <c r="M577" s="493"/>
      <c r="N577" s="493"/>
      <c r="O577" s="421"/>
      <c r="P577" s="421"/>
      <c r="Q577" s="421"/>
      <c r="R577" s="421"/>
      <c r="S577" s="421"/>
      <c r="T577" s="421"/>
      <c r="U577" s="421"/>
      <c r="V577" s="421"/>
      <c r="W577" s="421"/>
      <c r="X577" s="421"/>
      <c r="Y577" s="421"/>
      <c r="Z577" s="421"/>
      <c r="AA577" s="421"/>
      <c r="AB577" s="421"/>
      <c r="AC577" s="421"/>
      <c r="AD577" s="421"/>
      <c r="AE577" s="421"/>
      <c r="AF577" s="421"/>
      <c r="AG577" s="421"/>
      <c r="AH577" s="421"/>
      <c r="AI577" s="421"/>
      <c r="AJ577" s="421"/>
      <c r="AK577" s="421"/>
      <c r="AL577" s="421"/>
      <c r="AM577" s="421"/>
      <c r="AN577" s="421"/>
      <c r="AO577" s="421"/>
      <c r="AP577" s="421"/>
      <c r="AQ577" s="421"/>
      <c r="AR577" s="421"/>
      <c r="AS577" s="421"/>
      <c r="AT577" s="421"/>
      <c r="AU577" s="421"/>
      <c r="AV577" s="421"/>
      <c r="AW577" s="421"/>
      <c r="AX577" s="421"/>
      <c r="AY577" s="421"/>
      <c r="AZ577" s="421"/>
      <c r="BA577" s="421"/>
      <c r="BC577" s="115"/>
      <c r="BD577" s="115"/>
      <c r="BE577" s="115"/>
      <c r="BF577" s="115"/>
      <c r="BG577" s="115"/>
      <c r="BH577" s="124"/>
      <c r="BI577" s="124"/>
      <c r="BJ577" s="124"/>
      <c r="BK577" s="124"/>
      <c r="BL577" s="124"/>
      <c r="BM577" s="124"/>
      <c r="BN577" s="124"/>
      <c r="BO577" s="124"/>
      <c r="BP577" s="124"/>
      <c r="BQ577" s="124"/>
      <c r="BR577" s="124"/>
      <c r="BS577" s="124"/>
      <c r="BT577" s="124"/>
      <c r="BU577" s="124"/>
      <c r="BV577" s="124"/>
      <c r="BW577" s="124"/>
      <c r="BX577" s="124"/>
      <c r="BY577" s="124"/>
      <c r="BZ577" s="124"/>
      <c r="CA577" s="124"/>
      <c r="CB577" s="124"/>
      <c r="CC577" s="124"/>
      <c r="CD577" s="124"/>
      <c r="CE577" s="124"/>
      <c r="CF577" s="124"/>
      <c r="CG577" s="124"/>
      <c r="CH577" s="124"/>
      <c r="CI577" s="124"/>
      <c r="CJ577" s="124"/>
      <c r="CK577" s="124"/>
      <c r="CL577" s="124"/>
      <c r="CM577" s="124"/>
      <c r="CN577" s="124"/>
      <c r="CO577" s="124"/>
      <c r="CP577" s="124"/>
      <c r="CQ577" s="124"/>
      <c r="CR577" s="124"/>
      <c r="CS577" s="124"/>
      <c r="CT577" s="124"/>
      <c r="CU577" s="124"/>
      <c r="CV577" s="124"/>
      <c r="CW577" s="124"/>
      <c r="CX577" s="124"/>
      <c r="CY577" s="124"/>
      <c r="CZ577" s="124"/>
      <c r="DA577" s="124"/>
      <c r="DB577" s="124"/>
      <c r="DC577" s="124"/>
      <c r="DD577" s="124"/>
      <c r="DE577" s="124"/>
      <c r="DF577" s="124"/>
      <c r="DG577" s="115"/>
    </row>
    <row r="578" spans="2:111" customFormat="1" ht="9" customHeight="1">
      <c r="B578" s="143"/>
      <c r="C578" s="143"/>
      <c r="D578" s="143"/>
      <c r="E578" s="143"/>
      <c r="F578" s="143"/>
      <c r="G578" s="143"/>
      <c r="H578" s="143"/>
      <c r="I578" s="143"/>
      <c r="J578" s="143"/>
      <c r="K578" s="143"/>
      <c r="L578" s="143"/>
      <c r="M578" s="143"/>
      <c r="N578" s="143"/>
      <c r="O578" s="421"/>
      <c r="P578" s="421"/>
      <c r="Q578" s="421"/>
      <c r="R578" s="421"/>
      <c r="S578" s="421"/>
      <c r="T578" s="421"/>
      <c r="U578" s="421"/>
      <c r="V578" s="421"/>
      <c r="W578" s="421"/>
      <c r="X578" s="421"/>
      <c r="Y578" s="421"/>
      <c r="Z578" s="421"/>
      <c r="AA578" s="421"/>
      <c r="AB578" s="421"/>
      <c r="AC578" s="421"/>
      <c r="AD578" s="421"/>
      <c r="AE578" s="421"/>
      <c r="AF578" s="421"/>
      <c r="AG578" s="421"/>
      <c r="AH578" s="421"/>
      <c r="AI578" s="421"/>
      <c r="AJ578" s="421"/>
      <c r="AK578" s="421"/>
      <c r="AL578" s="421"/>
      <c r="AM578" s="421"/>
      <c r="AN578" s="421"/>
      <c r="AO578" s="421"/>
      <c r="AP578" s="421"/>
      <c r="AQ578" s="421"/>
      <c r="AR578" s="421"/>
      <c r="AS578" s="421"/>
      <c r="AT578" s="421"/>
      <c r="AU578" s="421"/>
      <c r="AV578" s="421"/>
      <c r="AW578" s="421"/>
      <c r="AX578" s="421"/>
      <c r="AY578" s="421"/>
      <c r="AZ578" s="421"/>
      <c r="BA578" s="421"/>
      <c r="BC578" s="115"/>
      <c r="BD578" s="115"/>
      <c r="BE578" s="115"/>
      <c r="BF578" s="115"/>
      <c r="BG578" s="115"/>
      <c r="BH578" s="124"/>
      <c r="BI578" s="124"/>
      <c r="BJ578" s="124"/>
      <c r="BK578" s="124"/>
      <c r="BL578" s="124"/>
      <c r="BM578" s="124"/>
      <c r="BN578" s="124"/>
      <c r="BO578" s="124"/>
      <c r="BP578" s="124"/>
      <c r="BQ578" s="124"/>
      <c r="BR578" s="124"/>
      <c r="BS578" s="124"/>
      <c r="BT578" s="124"/>
      <c r="BU578" s="124"/>
      <c r="BV578" s="124"/>
      <c r="BW578" s="124"/>
      <c r="BX578" s="124"/>
      <c r="BY578" s="124"/>
      <c r="BZ578" s="124"/>
      <c r="CA578" s="124"/>
      <c r="CB578" s="124"/>
      <c r="CC578" s="124"/>
      <c r="CD578" s="124"/>
      <c r="CE578" s="124"/>
      <c r="CF578" s="124"/>
      <c r="CG578" s="124"/>
      <c r="CH578" s="124"/>
      <c r="CI578" s="124"/>
      <c r="CJ578" s="124"/>
      <c r="CK578" s="124"/>
      <c r="CL578" s="124"/>
      <c r="CM578" s="124"/>
      <c r="CN578" s="124"/>
      <c r="CO578" s="124"/>
      <c r="CP578" s="124"/>
      <c r="CQ578" s="124"/>
      <c r="CR578" s="124"/>
      <c r="CS578" s="124"/>
      <c r="CT578" s="124"/>
      <c r="CU578" s="124"/>
      <c r="CV578" s="124"/>
      <c r="CW578" s="124"/>
      <c r="CX578" s="124"/>
      <c r="CY578" s="124"/>
      <c r="CZ578" s="124"/>
      <c r="DA578" s="124"/>
      <c r="DB578" s="124"/>
      <c r="DC578" s="124"/>
      <c r="DD578" s="124"/>
      <c r="DE578" s="124"/>
      <c r="DF578" s="124"/>
      <c r="DG578" s="115"/>
    </row>
    <row r="579" spans="2:111" customFormat="1" ht="9" customHeight="1">
      <c r="B579" s="143"/>
      <c r="C579" s="143"/>
      <c r="D579" s="143"/>
      <c r="E579" s="143"/>
      <c r="F579" s="143"/>
      <c r="G579" s="143"/>
      <c r="H579" s="143"/>
      <c r="I579" s="143"/>
      <c r="J579" s="143"/>
      <c r="K579" s="143"/>
      <c r="L579" s="143"/>
      <c r="M579" s="143"/>
      <c r="N579" s="143"/>
      <c r="O579" s="421"/>
      <c r="P579" s="421"/>
      <c r="Q579" s="421"/>
      <c r="R579" s="421"/>
      <c r="S579" s="421"/>
      <c r="T579" s="421"/>
      <c r="U579" s="421"/>
      <c r="V579" s="421"/>
      <c r="W579" s="421"/>
      <c r="X579" s="421"/>
      <c r="Y579" s="421"/>
      <c r="Z579" s="421"/>
      <c r="AA579" s="421"/>
      <c r="AB579" s="421"/>
      <c r="AC579" s="421"/>
      <c r="AD579" s="421"/>
      <c r="AE579" s="421"/>
      <c r="AF579" s="421"/>
      <c r="AG579" s="421"/>
      <c r="AH579" s="421"/>
      <c r="AI579" s="421"/>
      <c r="AJ579" s="421"/>
      <c r="AK579" s="421"/>
      <c r="AL579" s="421"/>
      <c r="AM579" s="421"/>
      <c r="AN579" s="421"/>
      <c r="AO579" s="421"/>
      <c r="AP579" s="421"/>
      <c r="AQ579" s="421"/>
      <c r="AR579" s="421"/>
      <c r="AS579" s="421"/>
      <c r="AT579" s="421"/>
      <c r="AU579" s="421"/>
      <c r="AV579" s="421"/>
      <c r="AW579" s="421"/>
      <c r="AX579" s="421"/>
      <c r="AY579" s="421"/>
      <c r="AZ579" s="421"/>
      <c r="BA579" s="421"/>
      <c r="BC579" s="115"/>
      <c r="BD579" s="115"/>
      <c r="BE579" s="115"/>
      <c r="BF579" s="115"/>
      <c r="BG579" s="115"/>
      <c r="BH579" s="84"/>
      <c r="BI579" s="84"/>
      <c r="BJ579" s="84"/>
      <c r="BK579" s="84"/>
      <c r="BL579" s="84"/>
      <c r="BM579" s="84"/>
      <c r="BN579" s="84"/>
      <c r="BO579" s="84"/>
      <c r="BP579" s="84"/>
      <c r="BQ579" s="84"/>
      <c r="BR579" s="84"/>
      <c r="BS579" s="84"/>
      <c r="BT579" s="84"/>
      <c r="BU579" s="84"/>
      <c r="BV579" s="84"/>
      <c r="BW579" s="84"/>
      <c r="BX579" s="84"/>
      <c r="BY579" s="84"/>
      <c r="BZ579" s="84"/>
      <c r="CA579" s="84"/>
      <c r="CB579" s="84"/>
      <c r="CC579" s="84"/>
      <c r="CD579" s="84"/>
      <c r="CE579" s="84"/>
      <c r="CF579" s="84"/>
      <c r="CG579" s="84"/>
      <c r="CH579" s="84"/>
      <c r="CI579" s="84"/>
      <c r="CJ579" s="84"/>
      <c r="CK579" s="84"/>
      <c r="CL579" s="84"/>
      <c r="CM579" s="84"/>
      <c r="CN579" s="84"/>
      <c r="CO579" s="84"/>
      <c r="CP579" s="84"/>
      <c r="CQ579" s="84"/>
      <c r="CR579" s="84"/>
      <c r="CS579" s="84"/>
      <c r="CT579" s="84"/>
      <c r="CU579" s="84"/>
      <c r="CV579" s="84"/>
      <c r="CW579" s="84"/>
      <c r="CX579" s="84"/>
      <c r="CY579" s="84"/>
      <c r="CZ579" s="84"/>
      <c r="DA579" s="84"/>
      <c r="DB579" s="84"/>
      <c r="DC579" s="84"/>
      <c r="DD579" s="84"/>
      <c r="DE579" s="84"/>
      <c r="DF579" s="84"/>
      <c r="DG579" s="115"/>
    </row>
    <row r="580" spans="2:111" customFormat="1" ht="9" customHeight="1">
      <c r="B580" s="143"/>
      <c r="C580" s="143"/>
      <c r="D580" s="143"/>
      <c r="E580" s="143"/>
      <c r="F580" s="143"/>
      <c r="G580" s="143"/>
      <c r="H580" s="143"/>
      <c r="I580" s="143"/>
      <c r="J580" s="143"/>
      <c r="K580" s="143"/>
      <c r="L580" s="143"/>
      <c r="M580" s="143"/>
      <c r="N580" s="143"/>
      <c r="O580" s="421"/>
      <c r="P580" s="421"/>
      <c r="Q580" s="421"/>
      <c r="R580" s="421"/>
      <c r="S580" s="421"/>
      <c r="T580" s="421"/>
      <c r="U580" s="421"/>
      <c r="V580" s="421"/>
      <c r="W580" s="421"/>
      <c r="X580" s="421"/>
      <c r="Y580" s="421"/>
      <c r="Z580" s="421"/>
      <c r="AA580" s="421"/>
      <c r="AB580" s="421"/>
      <c r="AC580" s="421"/>
      <c r="AD580" s="421"/>
      <c r="AE580" s="421"/>
      <c r="AF580" s="421"/>
      <c r="AG580" s="421"/>
      <c r="AH580" s="421"/>
      <c r="AI580" s="421"/>
      <c r="AJ580" s="421"/>
      <c r="AK580" s="421"/>
      <c r="AL580" s="421"/>
      <c r="AM580" s="421"/>
      <c r="AN580" s="421"/>
      <c r="AO580" s="421"/>
      <c r="AP580" s="421"/>
      <c r="AQ580" s="421"/>
      <c r="AR580" s="421"/>
      <c r="AS580" s="421"/>
      <c r="AT580" s="421"/>
      <c r="AU580" s="421"/>
      <c r="AV580" s="421"/>
      <c r="AW580" s="421"/>
      <c r="AX580" s="421"/>
      <c r="AY580" s="421"/>
      <c r="AZ580" s="421"/>
      <c r="BA580" s="421"/>
      <c r="BC580" s="115"/>
      <c r="BD580" s="115"/>
      <c r="BE580" s="115"/>
      <c r="BF580" s="115"/>
      <c r="BG580" s="115"/>
      <c r="BH580" s="84"/>
      <c r="BI580" s="84"/>
      <c r="BJ580" s="84"/>
      <c r="BK580" s="84"/>
      <c r="BL580" s="84"/>
      <c r="BM580" s="84"/>
      <c r="BN580" s="84"/>
      <c r="BO580" s="84"/>
      <c r="BP580" s="84"/>
      <c r="BQ580" s="84"/>
      <c r="BR580" s="84"/>
      <c r="BS580" s="84"/>
      <c r="BT580" s="84"/>
      <c r="BU580" s="84"/>
      <c r="BV580" s="84"/>
      <c r="BW580" s="84"/>
      <c r="BX580" s="84"/>
      <c r="BY580" s="84"/>
      <c r="BZ580" s="84"/>
      <c r="CA580" s="84"/>
      <c r="CB580" s="84"/>
      <c r="CC580" s="84"/>
      <c r="CD580" s="84"/>
      <c r="CE580" s="84"/>
      <c r="CF580" s="84"/>
      <c r="CG580" s="84"/>
      <c r="CH580" s="84"/>
      <c r="CI580" s="84"/>
      <c r="CJ580" s="84"/>
      <c r="CK580" s="84"/>
      <c r="CL580" s="84"/>
      <c r="CM580" s="84"/>
      <c r="CN580" s="84"/>
      <c r="CO580" s="84"/>
      <c r="CP580" s="84"/>
      <c r="CQ580" s="84"/>
      <c r="CR580" s="84"/>
      <c r="CS580" s="84"/>
      <c r="CT580" s="84"/>
      <c r="CU580" s="84"/>
      <c r="CV580" s="84"/>
      <c r="CW580" s="84"/>
      <c r="CX580" s="84"/>
      <c r="CY580" s="84"/>
      <c r="CZ580" s="84"/>
      <c r="DA580" s="84"/>
      <c r="DB580" s="84"/>
      <c r="DC580" s="84"/>
      <c r="DD580" s="84"/>
      <c r="DE580" s="84"/>
      <c r="DF580" s="84"/>
      <c r="DG580" s="115"/>
    </row>
    <row r="581" spans="2:111" customFormat="1" ht="9" customHeight="1">
      <c r="B581" s="49"/>
      <c r="C581" s="49"/>
      <c r="D581" s="49"/>
      <c r="E581" s="49"/>
      <c r="F581" s="49"/>
      <c r="G581" s="49"/>
      <c r="H581" s="49"/>
      <c r="I581" s="49"/>
      <c r="J581" s="49"/>
      <c r="K581" s="49"/>
      <c r="L581" s="49"/>
      <c r="M581" s="49"/>
      <c r="N581" s="49"/>
      <c r="O581" s="421"/>
      <c r="P581" s="421"/>
      <c r="Q581" s="421"/>
      <c r="R581" s="421"/>
      <c r="S581" s="421"/>
      <c r="T581" s="421"/>
      <c r="U581" s="421"/>
      <c r="V581" s="421"/>
      <c r="W581" s="421"/>
      <c r="X581" s="421"/>
      <c r="Y581" s="421"/>
      <c r="Z581" s="421"/>
      <c r="AA581" s="421"/>
      <c r="AB581" s="421"/>
      <c r="AC581" s="421"/>
      <c r="AD581" s="421"/>
      <c r="AE581" s="421"/>
      <c r="AF581" s="421"/>
      <c r="AG581" s="421"/>
      <c r="AH581" s="421"/>
      <c r="AI581" s="421"/>
      <c r="AJ581" s="421"/>
      <c r="AK581" s="421"/>
      <c r="AL581" s="421"/>
      <c r="AM581" s="421"/>
      <c r="AN581" s="421"/>
      <c r="AO581" s="421"/>
      <c r="AP581" s="421"/>
      <c r="AQ581" s="421"/>
      <c r="AR581" s="421"/>
      <c r="AS581" s="421"/>
      <c r="AT581" s="421"/>
      <c r="AU581" s="421"/>
      <c r="AV581" s="421"/>
      <c r="AW581" s="421"/>
      <c r="AX581" s="421"/>
      <c r="AY581" s="421"/>
      <c r="AZ581" s="421"/>
      <c r="BA581" s="421"/>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row>
    <row r="582" spans="2:111" customFormat="1" ht="4.5" customHeight="1">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row>
    <row r="583" spans="2:111" customFormat="1" ht="9" customHeight="1">
      <c r="B583" s="493" t="str">
        <f>IF(B556="","","Metas Vinculadas:")</f>
        <v/>
      </c>
      <c r="C583" s="493"/>
      <c r="D583" s="493"/>
      <c r="E583" s="493"/>
      <c r="F583" s="493"/>
      <c r="G583" s="493"/>
      <c r="H583" s="493"/>
      <c r="I583" s="493"/>
      <c r="J583" s="493"/>
      <c r="K583" s="493"/>
      <c r="L583" s="493"/>
      <c r="M583" s="493"/>
      <c r="N583" s="493"/>
      <c r="O583" s="421"/>
      <c r="P583" s="421"/>
      <c r="Q583" s="421"/>
      <c r="R583" s="421"/>
      <c r="S583" s="421"/>
      <c r="T583" s="421"/>
      <c r="U583" s="421"/>
      <c r="V583" s="421"/>
      <c r="W583" s="421"/>
      <c r="X583" s="421"/>
      <c r="Y583" s="421"/>
      <c r="Z583" s="421"/>
      <c r="AA583" s="421"/>
      <c r="AB583" s="421"/>
      <c r="AC583" s="421"/>
      <c r="AD583" s="421"/>
      <c r="AE583" s="421"/>
      <c r="AF583" s="421"/>
      <c r="AG583" s="421"/>
      <c r="AH583" s="421"/>
      <c r="AI583" s="421"/>
      <c r="AJ583" s="421"/>
      <c r="AK583" s="421"/>
      <c r="AL583" s="421"/>
      <c r="AM583" s="421"/>
      <c r="AN583" s="421"/>
      <c r="AO583" s="421"/>
      <c r="AP583" s="421"/>
      <c r="AQ583" s="421"/>
      <c r="AR583" s="421"/>
      <c r="AS583" s="421"/>
      <c r="AT583" s="421"/>
      <c r="AU583" s="421"/>
      <c r="AV583" s="421"/>
      <c r="AW583" s="421"/>
      <c r="AX583" s="421"/>
      <c r="AY583" s="421"/>
      <c r="AZ583" s="421"/>
      <c r="BA583" s="421"/>
      <c r="BC583" s="115"/>
      <c r="BD583" s="115"/>
      <c r="BE583" s="115"/>
      <c r="BF583" s="115"/>
      <c r="BG583" s="115"/>
      <c r="BH583" s="124"/>
      <c r="BI583" s="124"/>
      <c r="BJ583" s="124"/>
      <c r="BK583" s="124"/>
      <c r="BL583" s="124"/>
      <c r="BM583" s="124"/>
      <c r="BN583" s="124"/>
      <c r="BO583" s="124"/>
      <c r="BP583" s="124"/>
      <c r="BQ583" s="124"/>
      <c r="BR583" s="124"/>
      <c r="BS583" s="124"/>
      <c r="BT583" s="124"/>
      <c r="BU583" s="124"/>
      <c r="BV583" s="124"/>
      <c r="BW583" s="124"/>
      <c r="BX583" s="124"/>
      <c r="BY583" s="124"/>
      <c r="BZ583" s="124"/>
      <c r="CA583" s="124"/>
      <c r="CB583" s="124"/>
      <c r="CC583" s="124"/>
      <c r="CD583" s="124"/>
      <c r="CE583" s="124"/>
      <c r="CF583" s="124"/>
      <c r="CG583" s="124"/>
      <c r="CH583" s="124"/>
      <c r="CI583" s="124"/>
      <c r="CJ583" s="124"/>
      <c r="CK583" s="124"/>
      <c r="CL583" s="124"/>
      <c r="CM583" s="124"/>
      <c r="CN583" s="124"/>
      <c r="CO583" s="124"/>
      <c r="CP583" s="124"/>
      <c r="CQ583" s="124"/>
      <c r="CR583" s="124"/>
      <c r="CS583" s="124"/>
      <c r="CT583" s="124"/>
      <c r="CU583" s="124"/>
      <c r="CV583" s="124"/>
      <c r="CW583" s="124"/>
      <c r="CX583" s="124"/>
      <c r="CY583" s="124"/>
      <c r="CZ583" s="124"/>
      <c r="DA583" s="124"/>
      <c r="DB583" s="124"/>
      <c r="DC583" s="124"/>
      <c r="DD583" s="124"/>
      <c r="DE583" s="124"/>
      <c r="DF583" s="124"/>
      <c r="DG583" s="115"/>
    </row>
    <row r="584" spans="2:111" customFormat="1" ht="9" customHeight="1">
      <c r="B584" s="493"/>
      <c r="C584" s="493"/>
      <c r="D584" s="493"/>
      <c r="E584" s="493"/>
      <c r="F584" s="493"/>
      <c r="G584" s="493"/>
      <c r="H584" s="493"/>
      <c r="I584" s="493"/>
      <c r="J584" s="493"/>
      <c r="K584" s="493"/>
      <c r="L584" s="493"/>
      <c r="M584" s="493"/>
      <c r="N584" s="493"/>
      <c r="O584" s="421"/>
      <c r="P584" s="421"/>
      <c r="Q584" s="421"/>
      <c r="R584" s="421"/>
      <c r="S584" s="421"/>
      <c r="T584" s="421"/>
      <c r="U584" s="421"/>
      <c r="V584" s="421"/>
      <c r="W584" s="421"/>
      <c r="X584" s="421"/>
      <c r="Y584" s="421"/>
      <c r="Z584" s="421"/>
      <c r="AA584" s="421"/>
      <c r="AB584" s="421"/>
      <c r="AC584" s="421"/>
      <c r="AD584" s="421"/>
      <c r="AE584" s="421"/>
      <c r="AF584" s="421"/>
      <c r="AG584" s="421"/>
      <c r="AH584" s="421"/>
      <c r="AI584" s="421"/>
      <c r="AJ584" s="421"/>
      <c r="AK584" s="421"/>
      <c r="AL584" s="421"/>
      <c r="AM584" s="421"/>
      <c r="AN584" s="421"/>
      <c r="AO584" s="421"/>
      <c r="AP584" s="421"/>
      <c r="AQ584" s="421"/>
      <c r="AR584" s="421"/>
      <c r="AS584" s="421"/>
      <c r="AT584" s="421"/>
      <c r="AU584" s="421"/>
      <c r="AV584" s="421"/>
      <c r="AW584" s="421"/>
      <c r="AX584" s="421"/>
      <c r="AY584" s="421"/>
      <c r="AZ584" s="421"/>
      <c r="BA584" s="421"/>
      <c r="BC584" s="115"/>
      <c r="BD584" s="115"/>
      <c r="BE584" s="115"/>
      <c r="BF584" s="115"/>
      <c r="BG584" s="115"/>
      <c r="BH584" s="84"/>
      <c r="BI584" s="84"/>
      <c r="BJ584" s="84"/>
      <c r="BK584" s="84"/>
      <c r="BL584" s="84"/>
      <c r="BM584" s="84"/>
      <c r="BN584" s="84"/>
      <c r="BO584" s="84"/>
      <c r="BP584" s="84"/>
      <c r="BQ584" s="84"/>
      <c r="BR584" s="84"/>
      <c r="BS584" s="84"/>
      <c r="BT584" s="84"/>
      <c r="BU584" s="84"/>
      <c r="BV584" s="84"/>
      <c r="BW584" s="84"/>
      <c r="BX584" s="84"/>
      <c r="BY584" s="84"/>
      <c r="BZ584" s="84"/>
      <c r="CA584" s="84"/>
      <c r="CB584" s="84"/>
      <c r="CC584" s="84"/>
      <c r="CD584" s="84"/>
      <c r="CE584" s="84"/>
      <c r="CF584" s="84"/>
      <c r="CG584" s="84"/>
      <c r="CH584" s="84"/>
      <c r="CI584" s="84"/>
      <c r="CJ584" s="84"/>
      <c r="CK584" s="84"/>
      <c r="CL584" s="84"/>
      <c r="CM584" s="84"/>
      <c r="CN584" s="84"/>
      <c r="CO584" s="84"/>
      <c r="CP584" s="84"/>
      <c r="CQ584" s="84"/>
      <c r="CR584" s="84"/>
      <c r="CS584" s="84"/>
      <c r="CT584" s="84"/>
      <c r="CU584" s="84"/>
      <c r="CV584" s="84"/>
      <c r="CW584" s="84"/>
      <c r="CX584" s="84"/>
      <c r="CY584" s="84"/>
      <c r="CZ584" s="84"/>
      <c r="DA584" s="84"/>
      <c r="DB584" s="84"/>
      <c r="DC584" s="84"/>
      <c r="DD584" s="84"/>
      <c r="DE584" s="84"/>
      <c r="DF584" s="84"/>
      <c r="DG584" s="115"/>
    </row>
    <row r="585" spans="2:111" customFormat="1" ht="4.5" customHeight="1">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49"/>
      <c r="AY585" s="49"/>
      <c r="AZ585" s="49"/>
      <c r="BA585" s="49"/>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row>
    <row r="586" spans="2:111" customFormat="1" ht="9" customHeight="1">
      <c r="B586" s="125"/>
      <c r="C586" s="125"/>
      <c r="D586" s="125"/>
      <c r="E586" s="125"/>
      <c r="F586" s="125"/>
      <c r="G586" s="125"/>
      <c r="H586" s="125"/>
      <c r="I586" s="125"/>
      <c r="J586" s="125"/>
      <c r="K586" s="125"/>
      <c r="L586" s="125"/>
      <c r="M586" s="125"/>
      <c r="N586" s="125"/>
      <c r="O586" s="496" t="str">
        <f>IF(B556="","","Quantidade:")</f>
        <v/>
      </c>
      <c r="P586" s="496"/>
      <c r="Q586" s="496"/>
      <c r="R586" s="496"/>
      <c r="S586" s="496"/>
      <c r="T586" s="496"/>
      <c r="U586" s="496"/>
      <c r="V586" s="417"/>
      <c r="W586" s="417"/>
      <c r="X586" s="417"/>
      <c r="Y586" s="417"/>
      <c r="Z586" s="417"/>
      <c r="AA586" s="417"/>
      <c r="AB586" s="417"/>
      <c r="AC586" s="417"/>
      <c r="AD586" s="417"/>
      <c r="AE586" s="417"/>
      <c r="AF586" s="125"/>
      <c r="AG586" s="497" t="str">
        <f>IF(B556="","","Unidade:")</f>
        <v/>
      </c>
      <c r="AH586" s="497"/>
      <c r="AI586" s="497"/>
      <c r="AJ586" s="497"/>
      <c r="AK586" s="497"/>
      <c r="AL586" s="497"/>
      <c r="AM586" s="497"/>
      <c r="AN586" s="125"/>
      <c r="AO586" s="417"/>
      <c r="AP586" s="417"/>
      <c r="AQ586" s="417"/>
      <c r="AR586" s="417"/>
      <c r="AS586" s="417"/>
      <c r="AT586" s="417"/>
      <c r="AU586" s="417"/>
      <c r="AV586" s="417"/>
      <c r="AW586" s="417"/>
      <c r="AX586" s="417"/>
      <c r="AY586" s="417"/>
      <c r="AZ586" s="417"/>
      <c r="BA586" s="417"/>
      <c r="BC586" s="115"/>
      <c r="BD586" s="115"/>
      <c r="BE586" s="115"/>
      <c r="BF586" s="115"/>
      <c r="BG586" s="115"/>
      <c r="BH586" s="124"/>
      <c r="BI586" s="124"/>
      <c r="BJ586" s="124"/>
      <c r="BK586" s="124"/>
      <c r="BL586" s="124"/>
      <c r="BM586" s="124"/>
      <c r="BN586" s="124"/>
      <c r="BO586" s="124"/>
      <c r="BP586" s="124"/>
      <c r="BQ586" s="124"/>
      <c r="BR586" s="124"/>
      <c r="BS586" s="124"/>
      <c r="BT586" s="124"/>
      <c r="BU586" s="124"/>
      <c r="BV586" s="124"/>
      <c r="BW586" s="124"/>
      <c r="BX586" s="124"/>
      <c r="BY586" s="124"/>
      <c r="BZ586" s="124"/>
      <c r="CA586" s="124"/>
      <c r="CB586" s="124"/>
      <c r="CC586" s="124"/>
      <c r="CD586" s="124"/>
      <c r="CE586" s="124"/>
      <c r="CF586" s="124"/>
      <c r="CG586" s="124"/>
      <c r="CH586" s="124"/>
      <c r="CI586" s="124"/>
      <c r="CJ586" s="124"/>
      <c r="CK586" s="124"/>
      <c r="CL586" s="124"/>
      <c r="CM586" s="124"/>
      <c r="CN586" s="124"/>
      <c r="CO586" s="124"/>
      <c r="CP586" s="124"/>
      <c r="CQ586" s="124"/>
      <c r="CR586" s="124"/>
      <c r="CS586" s="124"/>
      <c r="CT586" s="124"/>
      <c r="CU586" s="124"/>
      <c r="CV586" s="124"/>
      <c r="CW586" s="124"/>
      <c r="CX586" s="124"/>
      <c r="CY586" s="124"/>
      <c r="CZ586" s="124"/>
      <c r="DA586" s="124"/>
      <c r="DB586" s="124"/>
      <c r="DC586" s="124"/>
      <c r="DD586" s="124"/>
      <c r="DE586" s="124"/>
      <c r="DF586" s="124"/>
      <c r="DG586" s="115"/>
    </row>
    <row r="587" spans="2:111" customFormat="1" ht="9" customHeight="1">
      <c r="B587" s="125"/>
      <c r="C587" s="125"/>
      <c r="D587" s="125"/>
      <c r="E587" s="125"/>
      <c r="F587" s="125"/>
      <c r="G587" s="125"/>
      <c r="H587" s="125"/>
      <c r="I587" s="125"/>
      <c r="J587" s="125"/>
      <c r="K587" s="125"/>
      <c r="L587" s="125"/>
      <c r="M587" s="125"/>
      <c r="N587" s="125"/>
      <c r="O587" s="496"/>
      <c r="P587" s="496"/>
      <c r="Q587" s="496"/>
      <c r="R587" s="496"/>
      <c r="S587" s="496"/>
      <c r="T587" s="496"/>
      <c r="U587" s="496"/>
      <c r="V587" s="417"/>
      <c r="W587" s="417"/>
      <c r="X587" s="417"/>
      <c r="Y587" s="417"/>
      <c r="Z587" s="417"/>
      <c r="AA587" s="417"/>
      <c r="AB587" s="417"/>
      <c r="AC587" s="417"/>
      <c r="AD587" s="417"/>
      <c r="AE587" s="417"/>
      <c r="AF587" s="125"/>
      <c r="AG587" s="497"/>
      <c r="AH587" s="497"/>
      <c r="AI587" s="497"/>
      <c r="AJ587" s="497"/>
      <c r="AK587" s="497"/>
      <c r="AL587" s="497"/>
      <c r="AM587" s="497"/>
      <c r="AN587" s="125"/>
      <c r="AO587" s="417"/>
      <c r="AP587" s="417"/>
      <c r="AQ587" s="417"/>
      <c r="AR587" s="417"/>
      <c r="AS587" s="417"/>
      <c r="AT587" s="417"/>
      <c r="AU587" s="417"/>
      <c r="AV587" s="417"/>
      <c r="AW587" s="417"/>
      <c r="AX587" s="417"/>
      <c r="AY587" s="417"/>
      <c r="AZ587" s="417"/>
      <c r="BA587" s="417"/>
      <c r="BC587" s="115"/>
      <c r="BD587" s="115"/>
      <c r="BE587" s="115"/>
      <c r="BF587" s="115"/>
      <c r="BG587" s="115"/>
      <c r="BH587" s="124"/>
      <c r="BI587" s="124"/>
      <c r="BJ587" s="124"/>
      <c r="BK587" s="124"/>
      <c r="BL587" s="124"/>
      <c r="BM587" s="124"/>
      <c r="BN587" s="124"/>
      <c r="BO587" s="124"/>
      <c r="BP587" s="124"/>
      <c r="BQ587" s="124"/>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4"/>
      <c r="CY587" s="124"/>
      <c r="CZ587" s="124"/>
      <c r="DA587" s="124"/>
      <c r="DB587" s="124"/>
      <c r="DC587" s="124"/>
      <c r="DD587" s="124"/>
      <c r="DE587" s="124"/>
      <c r="DF587" s="124"/>
      <c r="DG587" s="115"/>
    </row>
    <row r="588" spans="2:111" customFormat="1" ht="9" customHeight="1">
      <c r="BC588" s="115"/>
      <c r="BD588" s="115"/>
      <c r="BE588" s="115"/>
      <c r="BF588" s="115"/>
      <c r="BG588" s="115"/>
      <c r="BH588" s="498"/>
      <c r="BI588" s="498"/>
      <c r="BJ588" s="498"/>
      <c r="BK588" s="498"/>
      <c r="BL588" s="498"/>
      <c r="BM588" s="498"/>
      <c r="BN588" s="498"/>
      <c r="BO588" s="498"/>
      <c r="BP588" s="498"/>
      <c r="BQ588" s="498"/>
      <c r="BR588" s="498"/>
      <c r="BS588" s="498"/>
      <c r="BT588" s="498"/>
      <c r="BU588" s="498"/>
      <c r="BV588" s="498"/>
      <c r="BW588" s="498"/>
      <c r="BX588" s="498"/>
      <c r="BY588" s="498"/>
      <c r="BZ588" s="498"/>
      <c r="CA588" s="498"/>
      <c r="CB588" s="498"/>
      <c r="CC588" s="498"/>
      <c r="CD588" s="498"/>
      <c r="CE588" s="498"/>
      <c r="CF588" s="498"/>
      <c r="CG588" s="498"/>
      <c r="CH588" s="498"/>
      <c r="CI588" s="498"/>
      <c r="CJ588" s="498"/>
      <c r="CK588" s="498"/>
      <c r="CL588" s="498"/>
      <c r="CM588" s="498"/>
      <c r="CN588" s="498"/>
      <c r="CO588" s="498"/>
      <c r="CP588" s="498"/>
      <c r="CQ588" s="498"/>
      <c r="CR588" s="498"/>
      <c r="CS588" s="498"/>
      <c r="CT588" s="498"/>
      <c r="CU588" s="498"/>
      <c r="CV588" s="498"/>
      <c r="CW588" s="498"/>
      <c r="CX588" s="498"/>
      <c r="CY588" s="498"/>
      <c r="CZ588" s="498"/>
      <c r="DA588" s="498"/>
      <c r="DB588" s="498"/>
      <c r="DC588" s="498"/>
      <c r="DD588" s="498"/>
      <c r="DE588" s="498"/>
      <c r="DF588" s="498"/>
      <c r="DG588" s="115"/>
    </row>
    <row r="589" spans="2:111" customFormat="1" ht="9" customHeight="1">
      <c r="B589" s="499" t="str">
        <f>IF($Z$32&gt;=14,"Nome da Empresa ou Nº da Ata","")</f>
        <v/>
      </c>
      <c r="C589" s="499"/>
      <c r="D589" s="499"/>
      <c r="E589" s="499"/>
      <c r="F589" s="499"/>
      <c r="G589" s="499"/>
      <c r="H589" s="499"/>
      <c r="I589" s="499"/>
      <c r="J589" s="499"/>
      <c r="K589" s="499"/>
      <c r="L589" s="499"/>
      <c r="M589" s="499"/>
      <c r="N589" s="499"/>
      <c r="O589" s="499"/>
      <c r="P589" s="499"/>
      <c r="Q589" s="499"/>
      <c r="R589" s="499"/>
      <c r="S589" s="499"/>
      <c r="T589" s="499"/>
      <c r="U589" s="499"/>
      <c r="V589" s="499"/>
      <c r="W589" s="499"/>
      <c r="X589" s="499" t="str">
        <f>IF($Z$32&gt;=14,"CNPJ / CPF","")</f>
        <v/>
      </c>
      <c r="Y589" s="499"/>
      <c r="Z589" s="499"/>
      <c r="AA589" s="499"/>
      <c r="AB589" s="499"/>
      <c r="AC589" s="499"/>
      <c r="AD589" s="499"/>
      <c r="AE589" s="499"/>
      <c r="AF589" s="499"/>
      <c r="AG589" s="499"/>
      <c r="AH589" s="499" t="str">
        <f>IF($Z$32&gt;=14,"Qtde","")</f>
        <v/>
      </c>
      <c r="AI589" s="499"/>
      <c r="AJ589" s="499"/>
      <c r="AK589" s="499"/>
      <c r="AL589" s="499" t="str">
        <f>IF($Z$32&gt;=14,"Valor Unitário (R$)","")</f>
        <v/>
      </c>
      <c r="AM589" s="499"/>
      <c r="AN589" s="499"/>
      <c r="AO589" s="499"/>
      <c r="AP589" s="499"/>
      <c r="AQ589" s="499"/>
      <c r="AR589" s="499"/>
      <c r="AS589" s="499"/>
      <c r="AT589" s="499" t="str">
        <f>IF($Z$32&gt;=14,"Valor Total (R$)","")</f>
        <v/>
      </c>
      <c r="AU589" s="499"/>
      <c r="AV589" s="499"/>
      <c r="AW589" s="499"/>
      <c r="AX589" s="499"/>
      <c r="AY589" s="499"/>
      <c r="AZ589" s="499"/>
      <c r="BA589" s="499"/>
      <c r="BC589" s="115"/>
      <c r="BD589" s="115"/>
      <c r="BE589" s="115"/>
      <c r="BF589" s="115"/>
      <c r="BG589" s="115"/>
      <c r="BH589" s="498"/>
      <c r="BI589" s="498"/>
      <c r="BJ589" s="498"/>
      <c r="BK589" s="498"/>
      <c r="BL589" s="498"/>
      <c r="BM589" s="498"/>
      <c r="BN589" s="498"/>
      <c r="BO589" s="498"/>
      <c r="BP589" s="498"/>
      <c r="BQ589" s="498"/>
      <c r="BR589" s="498"/>
      <c r="BS589" s="498"/>
      <c r="BT589" s="498"/>
      <c r="BU589" s="498"/>
      <c r="BV589" s="498"/>
      <c r="BW589" s="498"/>
      <c r="BX589" s="498"/>
      <c r="BY589" s="498"/>
      <c r="BZ589" s="498"/>
      <c r="CA589" s="498"/>
      <c r="CB589" s="498"/>
      <c r="CC589" s="498"/>
      <c r="CD589" s="498"/>
      <c r="CE589" s="498"/>
      <c r="CF589" s="498"/>
      <c r="CG589" s="498"/>
      <c r="CH589" s="498"/>
      <c r="CI589" s="498"/>
      <c r="CJ589" s="498"/>
      <c r="CK589" s="498"/>
      <c r="CL589" s="498"/>
      <c r="CM589" s="498"/>
      <c r="CN589" s="498"/>
      <c r="CO589" s="498"/>
      <c r="CP589" s="498"/>
      <c r="CQ589" s="498"/>
      <c r="CR589" s="498"/>
      <c r="CS589" s="498"/>
      <c r="CT589" s="498"/>
      <c r="CU589" s="498"/>
      <c r="CV589" s="498"/>
      <c r="CW589" s="498"/>
      <c r="CX589" s="498"/>
      <c r="CY589" s="498"/>
      <c r="CZ589" s="498"/>
      <c r="DA589" s="498"/>
      <c r="DB589" s="498"/>
      <c r="DC589" s="498"/>
      <c r="DD589" s="498"/>
      <c r="DE589" s="498"/>
      <c r="DF589" s="498"/>
      <c r="DG589" s="115"/>
    </row>
    <row r="590" spans="2:111" customFormat="1" ht="9" customHeight="1">
      <c r="B590" s="499"/>
      <c r="C590" s="499"/>
      <c r="D590" s="499"/>
      <c r="E590" s="499"/>
      <c r="F590" s="499"/>
      <c r="G590" s="499"/>
      <c r="H590" s="499"/>
      <c r="I590" s="499"/>
      <c r="J590" s="499"/>
      <c r="K590" s="499"/>
      <c r="L590" s="499"/>
      <c r="M590" s="499"/>
      <c r="N590" s="499"/>
      <c r="O590" s="499"/>
      <c r="P590" s="499"/>
      <c r="Q590" s="499"/>
      <c r="R590" s="499"/>
      <c r="S590" s="499"/>
      <c r="T590" s="499"/>
      <c r="U590" s="499"/>
      <c r="V590" s="499"/>
      <c r="W590" s="499"/>
      <c r="X590" s="499"/>
      <c r="Y590" s="499"/>
      <c r="Z590" s="499"/>
      <c r="AA590" s="499"/>
      <c r="AB590" s="499"/>
      <c r="AC590" s="499"/>
      <c r="AD590" s="499"/>
      <c r="AE590" s="499"/>
      <c r="AF590" s="499"/>
      <c r="AG590" s="499"/>
      <c r="AH590" s="499"/>
      <c r="AI590" s="499"/>
      <c r="AJ590" s="499"/>
      <c r="AK590" s="499"/>
      <c r="AL590" s="499"/>
      <c r="AM590" s="499"/>
      <c r="AN590" s="499"/>
      <c r="AO590" s="499"/>
      <c r="AP590" s="499"/>
      <c r="AQ590" s="499"/>
      <c r="AR590" s="499"/>
      <c r="AS590" s="499"/>
      <c r="AT590" s="499"/>
      <c r="AU590" s="499"/>
      <c r="AV590" s="499"/>
      <c r="AW590" s="499"/>
      <c r="AX590" s="499"/>
      <c r="AY590" s="499"/>
      <c r="AZ590" s="499"/>
      <c r="BA590" s="499"/>
      <c r="BB590" s="176" t="e">
        <f>AVERAGE(AL591:AS593)</f>
        <v>#DIV/0!</v>
      </c>
      <c r="BC590" s="115"/>
      <c r="BD590" s="115"/>
      <c r="BE590" s="115"/>
      <c r="BF590" s="115"/>
      <c r="BG590" s="115"/>
      <c r="BH590" s="498"/>
      <c r="BI590" s="498"/>
      <c r="BJ590" s="498"/>
      <c r="BK590" s="498"/>
      <c r="BL590" s="498"/>
      <c r="BM590" s="498"/>
      <c r="BN590" s="498"/>
      <c r="BO590" s="498"/>
      <c r="BP590" s="498"/>
      <c r="BQ590" s="498"/>
      <c r="BR590" s="498"/>
      <c r="BS590" s="498"/>
      <c r="BT590" s="498"/>
      <c r="BU590" s="498"/>
      <c r="BV590" s="498"/>
      <c r="BW590" s="498"/>
      <c r="BX590" s="498"/>
      <c r="BY590" s="498"/>
      <c r="BZ590" s="498"/>
      <c r="CA590" s="498"/>
      <c r="CB590" s="498"/>
      <c r="CC590" s="498"/>
      <c r="CD590" s="498"/>
      <c r="CE590" s="498"/>
      <c r="CF590" s="498"/>
      <c r="CG590" s="498"/>
      <c r="CH590" s="498"/>
      <c r="CI590" s="498"/>
      <c r="CJ590" s="498"/>
      <c r="CK590" s="498"/>
      <c r="CL590" s="498"/>
      <c r="CM590" s="498"/>
      <c r="CN590" s="498"/>
      <c r="CO590" s="498"/>
      <c r="CP590" s="498"/>
      <c r="CQ590" s="498"/>
      <c r="CR590" s="498"/>
      <c r="CS590" s="498"/>
      <c r="CT590" s="498"/>
      <c r="CU590" s="498"/>
      <c r="CV590" s="498"/>
      <c r="CW590" s="498"/>
      <c r="CX590" s="498"/>
      <c r="CY590" s="498"/>
      <c r="CZ590" s="498"/>
      <c r="DA590" s="498"/>
      <c r="DB590" s="498"/>
      <c r="DC590" s="498"/>
      <c r="DD590" s="498"/>
      <c r="DE590" s="498"/>
      <c r="DF590" s="498"/>
      <c r="DG590" s="115"/>
    </row>
    <row r="591" spans="2:111" customFormat="1" ht="18" customHeight="1">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486"/>
      <c r="Y591" s="486"/>
      <c r="Z591" s="486"/>
      <c r="AA591" s="486"/>
      <c r="AB591" s="486"/>
      <c r="AC591" s="486"/>
      <c r="AD591" s="486"/>
      <c r="AE591" s="486"/>
      <c r="AF591" s="486"/>
      <c r="AG591" s="486"/>
      <c r="AH591" s="417"/>
      <c r="AI591" s="417"/>
      <c r="AJ591" s="417"/>
      <c r="AK591" s="417"/>
      <c r="AL591" s="419"/>
      <c r="AM591" s="419"/>
      <c r="AN591" s="419"/>
      <c r="AO591" s="419"/>
      <c r="AP591" s="419"/>
      <c r="AQ591" s="419"/>
      <c r="AR591" s="419"/>
      <c r="AS591" s="419"/>
      <c r="AT591" s="487" t="str">
        <f>IF($Z$32&gt;=14,(AH591*AL591),"")</f>
        <v/>
      </c>
      <c r="AU591" s="487"/>
      <c r="AV591" s="487"/>
      <c r="AW591" s="487"/>
      <c r="AX591" s="487"/>
      <c r="AY591" s="487"/>
      <c r="AZ591" s="487"/>
      <c r="BA591" s="487"/>
      <c r="BC591" s="115"/>
      <c r="BD591" s="115"/>
      <c r="BE591" s="115"/>
      <c r="BF591" s="115"/>
      <c r="BG591" s="115"/>
      <c r="BH591" s="498"/>
      <c r="BI591" s="498"/>
      <c r="BJ591" s="498"/>
      <c r="BK591" s="498"/>
      <c r="BL591" s="498"/>
      <c r="BM591" s="498"/>
      <c r="BN591" s="498"/>
      <c r="BO591" s="498"/>
      <c r="BP591" s="498"/>
      <c r="BQ591" s="498"/>
      <c r="BR591" s="498"/>
      <c r="BS591" s="498"/>
      <c r="BT591" s="498"/>
      <c r="BU591" s="498"/>
      <c r="BV591" s="498"/>
      <c r="BW591" s="498"/>
      <c r="BX591" s="498"/>
      <c r="BY591" s="498"/>
      <c r="BZ591" s="498"/>
      <c r="CA591" s="498"/>
      <c r="CB591" s="498"/>
      <c r="CC591" s="498"/>
      <c r="CD591" s="498"/>
      <c r="CE591" s="498"/>
      <c r="CF591" s="498"/>
      <c r="CG591" s="498"/>
      <c r="CH591" s="498"/>
      <c r="CI591" s="498"/>
      <c r="CJ591" s="498"/>
      <c r="CK591" s="498"/>
      <c r="CL591" s="498"/>
      <c r="CM591" s="498"/>
      <c r="CN591" s="498"/>
      <c r="CO591" s="498"/>
      <c r="CP591" s="498"/>
      <c r="CQ591" s="498"/>
      <c r="CR591" s="498"/>
      <c r="CS591" s="498"/>
      <c r="CT591" s="498"/>
      <c r="CU591" s="498"/>
      <c r="CV591" s="498"/>
      <c r="CW591" s="498"/>
      <c r="CX591" s="498"/>
      <c r="CY591" s="498"/>
      <c r="CZ591" s="498"/>
      <c r="DA591" s="498"/>
      <c r="DB591" s="498"/>
      <c r="DC591" s="498"/>
      <c r="DD591" s="498"/>
      <c r="DE591" s="498"/>
      <c r="DF591" s="498"/>
      <c r="DG591" s="115"/>
    </row>
    <row r="592" spans="2:111" customFormat="1" ht="18" customHeight="1">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486"/>
      <c r="Y592" s="486"/>
      <c r="Z592" s="486"/>
      <c r="AA592" s="486"/>
      <c r="AB592" s="486"/>
      <c r="AC592" s="486"/>
      <c r="AD592" s="486"/>
      <c r="AE592" s="486"/>
      <c r="AF592" s="486"/>
      <c r="AG592" s="486"/>
      <c r="AH592" s="417"/>
      <c r="AI592" s="417"/>
      <c r="AJ592" s="417"/>
      <c r="AK592" s="417"/>
      <c r="AL592" s="419"/>
      <c r="AM592" s="419"/>
      <c r="AN592" s="419"/>
      <c r="AO592" s="419"/>
      <c r="AP592" s="419"/>
      <c r="AQ592" s="419"/>
      <c r="AR592" s="419"/>
      <c r="AS592" s="419"/>
      <c r="AT592" s="487" t="str">
        <f>IF($Z$32&gt;=14,(AH592*AL592),"")</f>
        <v/>
      </c>
      <c r="AU592" s="487"/>
      <c r="AV592" s="487"/>
      <c r="AW592" s="487"/>
      <c r="AX592" s="487"/>
      <c r="AY592" s="487"/>
      <c r="AZ592" s="487"/>
      <c r="BA592" s="487"/>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row>
    <row r="593" spans="2:111" customFormat="1" ht="18" customHeight="1">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486"/>
      <c r="Y593" s="486"/>
      <c r="Z593" s="486"/>
      <c r="AA593" s="486"/>
      <c r="AB593" s="486"/>
      <c r="AC593" s="486"/>
      <c r="AD593" s="486"/>
      <c r="AE593" s="486"/>
      <c r="AF593" s="486"/>
      <c r="AG593" s="486"/>
      <c r="AH593" s="417"/>
      <c r="AI593" s="417"/>
      <c r="AJ593" s="417"/>
      <c r="AK593" s="417"/>
      <c r="AL593" s="419"/>
      <c r="AM593" s="419"/>
      <c r="AN593" s="419"/>
      <c r="AO593" s="419"/>
      <c r="AP593" s="419"/>
      <c r="AQ593" s="419"/>
      <c r="AR593" s="419"/>
      <c r="AS593" s="419"/>
      <c r="AT593" s="487" t="str">
        <f>IF($Z$32&gt;=14,(AH593*AL593),"")</f>
        <v/>
      </c>
      <c r="AU593" s="487"/>
      <c r="AV593" s="487"/>
      <c r="AW593" s="487"/>
      <c r="AX593" s="487"/>
      <c r="AY593" s="487"/>
      <c r="AZ593" s="487"/>
      <c r="BA593" s="487"/>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row>
    <row r="594" spans="2:111" customFormat="1" ht="15" customHeight="1">
      <c r="AT594" s="500" t="str">
        <f>IF(B591="","",IF(AL592="",AT591,IF(AL593="",AVERAGE(AT591:BA592),AVERAGE(AT591:AT593))))</f>
        <v/>
      </c>
      <c r="AU594" s="500"/>
      <c r="AV594" s="500"/>
      <c r="AW594" s="500"/>
      <c r="AX594" s="500"/>
      <c r="AY594" s="500"/>
      <c r="AZ594" s="500"/>
      <c r="BA594" s="500"/>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row>
    <row r="595" spans="2:111" customFormat="1" ht="15" customHeight="1">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row>
    <row r="596" spans="2:111" customFormat="1" ht="9" customHeight="1">
      <c r="B596" s="494" t="str">
        <f>IF($Z$32&gt;=15,"Item 15","")</f>
        <v/>
      </c>
      <c r="C596" s="495"/>
      <c r="D596" s="495"/>
      <c r="E596" s="495"/>
      <c r="F596" s="495"/>
      <c r="G596" s="495"/>
      <c r="H596" s="495"/>
      <c r="I596" s="495"/>
      <c r="J596" s="495"/>
      <c r="K596" s="495"/>
      <c r="L596" s="495"/>
      <c r="M596" s="49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row>
    <row r="597" spans="2:111" customFormat="1" ht="9" customHeight="1">
      <c r="B597" s="495"/>
      <c r="C597" s="495"/>
      <c r="D597" s="495"/>
      <c r="E597" s="495"/>
      <c r="F597" s="495"/>
      <c r="G597" s="495"/>
      <c r="H597" s="495"/>
      <c r="I597" s="495"/>
      <c r="J597" s="495"/>
      <c r="K597" s="495"/>
      <c r="L597" s="495"/>
      <c r="M597" s="49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row>
    <row r="598" spans="2:111" customFormat="1" ht="4.5" customHeight="1">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row>
    <row r="599" spans="2:111" customFormat="1" ht="9" customHeight="1">
      <c r="B599" s="493" t="str">
        <f>IF(B596="","","Elemento de Despesa:")</f>
        <v/>
      </c>
      <c r="C599" s="493"/>
      <c r="D599" s="493"/>
      <c r="E599" s="493"/>
      <c r="F599" s="493"/>
      <c r="G599" s="493"/>
      <c r="H599" s="493"/>
      <c r="I599" s="493"/>
      <c r="J599" s="493"/>
      <c r="K599" s="493"/>
      <c r="L599" s="493"/>
      <c r="M599" s="493"/>
      <c r="N599" s="493"/>
      <c r="O599" s="241"/>
      <c r="P599" s="241"/>
      <c r="Q599" s="241"/>
      <c r="R599" s="241"/>
      <c r="S599" s="241"/>
      <c r="T599" s="241"/>
      <c r="U599" s="241"/>
      <c r="V599" s="241"/>
      <c r="W599" s="241"/>
      <c r="X599" s="241"/>
      <c r="Y599" s="241"/>
      <c r="Z599" s="241"/>
      <c r="AA599" s="241"/>
      <c r="AB599" s="241"/>
      <c r="AC599" s="241"/>
      <c r="AD599" s="241"/>
      <c r="AE599" s="241"/>
      <c r="AF599" s="241"/>
      <c r="AG599" s="241"/>
      <c r="AH599" s="241"/>
      <c r="AI599" s="241"/>
      <c r="AJ599" s="241"/>
      <c r="AK599" s="241"/>
      <c r="AL599" s="241"/>
      <c r="AM599" s="241"/>
      <c r="AN599" s="241"/>
      <c r="AO599" s="241"/>
      <c r="AP599" s="241"/>
      <c r="AQ599" s="241"/>
      <c r="AR599" s="241"/>
      <c r="AS599" s="241"/>
      <c r="AT599" s="241"/>
      <c r="AU599" s="241"/>
      <c r="AV599" s="241"/>
      <c r="AW599" s="241"/>
      <c r="AX599" s="241"/>
      <c r="AY599" s="241"/>
      <c r="AZ599" s="241"/>
      <c r="BA599" s="241"/>
      <c r="BC599" s="115"/>
      <c r="BD599" s="115"/>
      <c r="BE599" s="115"/>
      <c r="BF599" s="115"/>
      <c r="BG599" s="115"/>
      <c r="BH599" s="124"/>
      <c r="BI599" s="124"/>
      <c r="BJ599" s="124"/>
      <c r="BK599" s="124"/>
      <c r="BL599" s="124"/>
      <c r="BM599" s="124"/>
      <c r="BN599" s="12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4"/>
      <c r="CU599" s="124"/>
      <c r="CV599" s="124"/>
      <c r="CW599" s="124"/>
      <c r="CX599" s="124"/>
      <c r="CY599" s="124"/>
      <c r="CZ599" s="124"/>
      <c r="DA599" s="124"/>
      <c r="DB599" s="124"/>
      <c r="DC599" s="124"/>
      <c r="DD599" s="124"/>
      <c r="DE599" s="124"/>
      <c r="DF599" s="124"/>
      <c r="DG599" s="115"/>
    </row>
    <row r="600" spans="2:111" customFormat="1" ht="9" customHeight="1">
      <c r="B600" s="493"/>
      <c r="C600" s="493"/>
      <c r="D600" s="493"/>
      <c r="E600" s="493"/>
      <c r="F600" s="493"/>
      <c r="G600" s="493"/>
      <c r="H600" s="493"/>
      <c r="I600" s="493"/>
      <c r="J600" s="493"/>
      <c r="K600" s="493"/>
      <c r="L600" s="493"/>
      <c r="M600" s="493"/>
      <c r="N600" s="493"/>
      <c r="O600" s="241"/>
      <c r="P600" s="241"/>
      <c r="Q600" s="241"/>
      <c r="R600" s="241"/>
      <c r="S600" s="241"/>
      <c r="T600" s="241"/>
      <c r="U600" s="241"/>
      <c r="V600" s="241"/>
      <c r="W600" s="241"/>
      <c r="X600" s="241"/>
      <c r="Y600" s="241"/>
      <c r="Z600" s="241"/>
      <c r="AA600" s="241"/>
      <c r="AB600" s="241"/>
      <c r="AC600" s="241"/>
      <c r="AD600" s="241"/>
      <c r="AE600" s="241"/>
      <c r="AF600" s="241"/>
      <c r="AG600" s="241"/>
      <c r="AH600" s="241"/>
      <c r="AI600" s="241"/>
      <c r="AJ600" s="241"/>
      <c r="AK600" s="241"/>
      <c r="AL600" s="241"/>
      <c r="AM600" s="241"/>
      <c r="AN600" s="241"/>
      <c r="AO600" s="241"/>
      <c r="AP600" s="241"/>
      <c r="AQ600" s="241"/>
      <c r="AR600" s="241"/>
      <c r="AS600" s="241"/>
      <c r="AT600" s="241"/>
      <c r="AU600" s="241"/>
      <c r="AV600" s="241"/>
      <c r="AW600" s="241"/>
      <c r="AX600" s="241"/>
      <c r="AY600" s="241"/>
      <c r="AZ600" s="241"/>
      <c r="BA600" s="241"/>
      <c r="BC600" s="115"/>
      <c r="BD600" s="115"/>
      <c r="BE600" s="115"/>
      <c r="BF600" s="115"/>
      <c r="BG600" s="115"/>
      <c r="BH600" s="124"/>
      <c r="BI600" s="124"/>
      <c r="BJ600" s="124"/>
      <c r="BK600" s="124"/>
      <c r="BL600" s="124"/>
      <c r="BM600" s="124"/>
      <c r="BN600" s="124"/>
      <c r="BO600" s="124"/>
      <c r="BP600" s="124"/>
      <c r="BQ600" s="124"/>
      <c r="BR600" s="124"/>
      <c r="BS600" s="124"/>
      <c r="BT600" s="124"/>
      <c r="BU600" s="124"/>
      <c r="BV600" s="124"/>
      <c r="BW600" s="124"/>
      <c r="BX600" s="124"/>
      <c r="BY600" s="124"/>
      <c r="BZ600" s="124"/>
      <c r="CA600" s="124"/>
      <c r="CB600" s="124"/>
      <c r="CC600" s="124"/>
      <c r="CD600" s="124"/>
      <c r="CE600" s="124"/>
      <c r="CF600" s="124"/>
      <c r="CG600" s="124"/>
      <c r="CH600" s="124"/>
      <c r="CI600" s="124"/>
      <c r="CJ600" s="124"/>
      <c r="CK600" s="124"/>
      <c r="CL600" s="124"/>
      <c r="CM600" s="124"/>
      <c r="CN600" s="124"/>
      <c r="CO600" s="124"/>
      <c r="CP600" s="124"/>
      <c r="CQ600" s="124"/>
      <c r="CR600" s="124"/>
      <c r="CS600" s="124"/>
      <c r="CT600" s="124"/>
      <c r="CU600" s="124"/>
      <c r="CV600" s="124"/>
      <c r="CW600" s="124"/>
      <c r="CX600" s="124"/>
      <c r="CY600" s="124"/>
      <c r="CZ600" s="124"/>
      <c r="DA600" s="124"/>
      <c r="DB600" s="124"/>
      <c r="DC600" s="124"/>
      <c r="DD600" s="124"/>
      <c r="DE600" s="124"/>
      <c r="DF600" s="124"/>
      <c r="DG600" s="115"/>
    </row>
    <row r="601" spans="2:111" customFormat="1" ht="4.5" customHeight="1">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9"/>
      <c r="AZ601" s="49"/>
      <c r="BA601" s="49"/>
      <c r="BC601" s="115"/>
      <c r="BD601" s="115"/>
      <c r="BE601" s="115"/>
      <c r="BF601" s="115"/>
      <c r="BG601" s="115"/>
      <c r="BH601" s="124"/>
      <c r="BI601" s="124"/>
      <c r="BJ601" s="124"/>
      <c r="BK601" s="124"/>
      <c r="BL601" s="124"/>
      <c r="BM601" s="124"/>
      <c r="BN601" s="124"/>
      <c r="BO601" s="124"/>
      <c r="BP601" s="124"/>
      <c r="BQ601" s="124"/>
      <c r="BR601" s="124"/>
      <c r="BS601" s="124"/>
      <c r="BT601" s="124"/>
      <c r="BU601" s="124"/>
      <c r="BV601" s="124"/>
      <c r="BW601" s="124"/>
      <c r="BX601" s="124"/>
      <c r="BY601" s="124"/>
      <c r="BZ601" s="124"/>
      <c r="CA601" s="124"/>
      <c r="CB601" s="124"/>
      <c r="CC601" s="124"/>
      <c r="CD601" s="124"/>
      <c r="CE601" s="124"/>
      <c r="CF601" s="124"/>
      <c r="CG601" s="124"/>
      <c r="CH601" s="124"/>
      <c r="CI601" s="124"/>
      <c r="CJ601" s="124"/>
      <c r="CK601" s="124"/>
      <c r="CL601" s="124"/>
      <c r="CM601" s="124"/>
      <c r="CN601" s="124"/>
      <c r="CO601" s="124"/>
      <c r="CP601" s="124"/>
      <c r="CQ601" s="124"/>
      <c r="CR601" s="124"/>
      <c r="CS601" s="124"/>
      <c r="CT601" s="124"/>
      <c r="CU601" s="124"/>
      <c r="CV601" s="124"/>
      <c r="CW601" s="124"/>
      <c r="CX601" s="124"/>
      <c r="CY601" s="124"/>
      <c r="CZ601" s="124"/>
      <c r="DA601" s="124"/>
      <c r="DB601" s="124"/>
      <c r="DC601" s="124"/>
      <c r="DD601" s="124"/>
      <c r="DE601" s="124"/>
      <c r="DF601" s="124"/>
      <c r="DG601" s="115"/>
    </row>
    <row r="602" spans="2:111" customFormat="1" ht="9" customHeight="1">
      <c r="B602" s="493" t="str">
        <f>IF(B596="","","Objeto:")</f>
        <v/>
      </c>
      <c r="C602" s="493"/>
      <c r="D602" s="493"/>
      <c r="E602" s="493"/>
      <c r="F602" s="493"/>
      <c r="G602" s="493"/>
      <c r="H602" s="493"/>
      <c r="I602" s="493"/>
      <c r="J602" s="493"/>
      <c r="K602" s="493"/>
      <c r="L602" s="493"/>
      <c r="M602" s="493"/>
      <c r="N602" s="493"/>
      <c r="O602" s="421"/>
      <c r="P602" s="421"/>
      <c r="Q602" s="421"/>
      <c r="R602" s="421"/>
      <c r="S602" s="421"/>
      <c r="T602" s="421"/>
      <c r="U602" s="421"/>
      <c r="V602" s="421"/>
      <c r="W602" s="421"/>
      <c r="X602" s="421"/>
      <c r="Y602" s="421"/>
      <c r="Z602" s="421"/>
      <c r="AA602" s="421"/>
      <c r="AB602" s="421"/>
      <c r="AC602" s="421"/>
      <c r="AD602" s="421"/>
      <c r="AE602" s="421"/>
      <c r="AF602" s="421"/>
      <c r="AG602" s="421"/>
      <c r="AH602" s="421"/>
      <c r="AI602" s="421"/>
      <c r="AJ602" s="421"/>
      <c r="AK602" s="421"/>
      <c r="AL602" s="421"/>
      <c r="AM602" s="421"/>
      <c r="AN602" s="421"/>
      <c r="AO602" s="421"/>
      <c r="AP602" s="421"/>
      <c r="AQ602" s="421"/>
      <c r="AR602" s="421"/>
      <c r="AS602" s="421"/>
      <c r="AT602" s="421"/>
      <c r="AU602" s="421"/>
      <c r="AV602" s="421"/>
      <c r="AW602" s="421"/>
      <c r="AX602" s="421"/>
      <c r="AY602" s="421"/>
      <c r="AZ602" s="421"/>
      <c r="BA602" s="421"/>
      <c r="BC602" s="115"/>
      <c r="BD602" s="115"/>
      <c r="BE602" s="115"/>
      <c r="BF602" s="115"/>
      <c r="BG602" s="115"/>
      <c r="BH602" s="124"/>
      <c r="BI602" s="124"/>
      <c r="BJ602" s="124"/>
      <c r="BK602" s="124"/>
      <c r="BL602" s="124"/>
      <c r="BM602" s="124"/>
      <c r="BN602" s="124"/>
      <c r="BO602" s="124"/>
      <c r="BP602" s="124"/>
      <c r="BQ602" s="124"/>
      <c r="BR602" s="124"/>
      <c r="BS602" s="124"/>
      <c r="BT602" s="124"/>
      <c r="BU602" s="124"/>
      <c r="BV602" s="124"/>
      <c r="BW602" s="124"/>
      <c r="BX602" s="124"/>
      <c r="BY602" s="124"/>
      <c r="BZ602" s="124"/>
      <c r="CA602" s="124"/>
      <c r="CB602" s="124"/>
      <c r="CC602" s="124"/>
      <c r="CD602" s="124"/>
      <c r="CE602" s="124"/>
      <c r="CF602" s="124"/>
      <c r="CG602" s="124"/>
      <c r="CH602" s="124"/>
      <c r="CI602" s="124"/>
      <c r="CJ602" s="124"/>
      <c r="CK602" s="124"/>
      <c r="CL602" s="124"/>
      <c r="CM602" s="124"/>
      <c r="CN602" s="124"/>
      <c r="CO602" s="124"/>
      <c r="CP602" s="124"/>
      <c r="CQ602" s="124"/>
      <c r="CR602" s="124"/>
      <c r="CS602" s="124"/>
      <c r="CT602" s="124"/>
      <c r="CU602" s="124"/>
      <c r="CV602" s="124"/>
      <c r="CW602" s="124"/>
      <c r="CX602" s="124"/>
      <c r="CY602" s="124"/>
      <c r="CZ602" s="124"/>
      <c r="DA602" s="124"/>
      <c r="DB602" s="124"/>
      <c r="DC602" s="124"/>
      <c r="DD602" s="124"/>
      <c r="DE602" s="124"/>
      <c r="DF602" s="124"/>
      <c r="DG602" s="115"/>
    </row>
    <row r="603" spans="2:111" customFormat="1" ht="9" customHeight="1">
      <c r="B603" s="493"/>
      <c r="C603" s="493"/>
      <c r="D603" s="493"/>
      <c r="E603" s="493"/>
      <c r="F603" s="493"/>
      <c r="G603" s="493"/>
      <c r="H603" s="493"/>
      <c r="I603" s="493"/>
      <c r="J603" s="493"/>
      <c r="K603" s="493"/>
      <c r="L603" s="493"/>
      <c r="M603" s="493"/>
      <c r="N603" s="493"/>
      <c r="O603" s="421"/>
      <c r="P603" s="421"/>
      <c r="Q603" s="421"/>
      <c r="R603" s="421"/>
      <c r="S603" s="421"/>
      <c r="T603" s="421"/>
      <c r="U603" s="421"/>
      <c r="V603" s="421"/>
      <c r="W603" s="421"/>
      <c r="X603" s="421"/>
      <c r="Y603" s="421"/>
      <c r="Z603" s="421"/>
      <c r="AA603" s="421"/>
      <c r="AB603" s="421"/>
      <c r="AC603" s="421"/>
      <c r="AD603" s="421"/>
      <c r="AE603" s="421"/>
      <c r="AF603" s="421"/>
      <c r="AG603" s="421"/>
      <c r="AH603" s="421"/>
      <c r="AI603" s="421"/>
      <c r="AJ603" s="421"/>
      <c r="AK603" s="421"/>
      <c r="AL603" s="421"/>
      <c r="AM603" s="421"/>
      <c r="AN603" s="421"/>
      <c r="AO603" s="421"/>
      <c r="AP603" s="421"/>
      <c r="AQ603" s="421"/>
      <c r="AR603" s="421"/>
      <c r="AS603" s="421"/>
      <c r="AT603" s="421"/>
      <c r="AU603" s="421"/>
      <c r="AV603" s="421"/>
      <c r="AW603" s="421"/>
      <c r="AX603" s="421"/>
      <c r="AY603" s="421"/>
      <c r="AZ603" s="421"/>
      <c r="BA603" s="421"/>
      <c r="BC603" s="115"/>
      <c r="BD603" s="115"/>
      <c r="BE603" s="115"/>
      <c r="BF603" s="115"/>
      <c r="BG603" s="115"/>
      <c r="BH603" s="124"/>
      <c r="BI603" s="124"/>
      <c r="BJ603" s="124"/>
      <c r="BK603" s="124"/>
      <c r="BL603" s="124"/>
      <c r="BM603" s="124"/>
      <c r="BN603" s="12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4"/>
      <c r="CU603" s="124"/>
      <c r="CV603" s="124"/>
      <c r="CW603" s="124"/>
      <c r="CX603" s="124"/>
      <c r="CY603" s="124"/>
      <c r="CZ603" s="124"/>
      <c r="DA603" s="124"/>
      <c r="DB603" s="124"/>
      <c r="DC603" s="124"/>
      <c r="DD603" s="124"/>
      <c r="DE603" s="124"/>
      <c r="DF603" s="124"/>
      <c r="DG603" s="115"/>
    </row>
    <row r="604" spans="2:111" customFormat="1" ht="9" customHeight="1">
      <c r="B604" s="143"/>
      <c r="C604" s="143"/>
      <c r="D604" s="143"/>
      <c r="E604" s="143"/>
      <c r="F604" s="143"/>
      <c r="G604" s="143"/>
      <c r="H604" s="143"/>
      <c r="I604" s="143"/>
      <c r="J604" s="143"/>
      <c r="K604" s="143"/>
      <c r="L604" s="143"/>
      <c r="M604" s="143"/>
      <c r="N604" s="143"/>
      <c r="O604" s="421"/>
      <c r="P604" s="421"/>
      <c r="Q604" s="421"/>
      <c r="R604" s="421"/>
      <c r="S604" s="421"/>
      <c r="T604" s="421"/>
      <c r="U604" s="421"/>
      <c r="V604" s="421"/>
      <c r="W604" s="421"/>
      <c r="X604" s="421"/>
      <c r="Y604" s="421"/>
      <c r="Z604" s="421"/>
      <c r="AA604" s="421"/>
      <c r="AB604" s="421"/>
      <c r="AC604" s="421"/>
      <c r="AD604" s="421"/>
      <c r="AE604" s="421"/>
      <c r="AF604" s="421"/>
      <c r="AG604" s="421"/>
      <c r="AH604" s="421"/>
      <c r="AI604" s="421"/>
      <c r="AJ604" s="421"/>
      <c r="AK604" s="421"/>
      <c r="AL604" s="421"/>
      <c r="AM604" s="421"/>
      <c r="AN604" s="421"/>
      <c r="AO604" s="421"/>
      <c r="AP604" s="421"/>
      <c r="AQ604" s="421"/>
      <c r="AR604" s="421"/>
      <c r="AS604" s="421"/>
      <c r="AT604" s="421"/>
      <c r="AU604" s="421"/>
      <c r="AV604" s="421"/>
      <c r="AW604" s="421"/>
      <c r="AX604" s="421"/>
      <c r="AY604" s="421"/>
      <c r="AZ604" s="421"/>
      <c r="BA604" s="421"/>
      <c r="BC604" s="115"/>
      <c r="BD604" s="115"/>
      <c r="BE604" s="115"/>
      <c r="BF604" s="115"/>
      <c r="BG604" s="115"/>
      <c r="BH604" s="84"/>
      <c r="BI604" s="84"/>
      <c r="BJ604" s="84"/>
      <c r="BK604" s="84"/>
      <c r="BL604" s="84"/>
      <c r="BM604" s="84"/>
      <c r="BN604" s="84"/>
      <c r="BO604" s="84"/>
      <c r="BP604" s="84"/>
      <c r="BQ604" s="84"/>
      <c r="BR604" s="84"/>
      <c r="BS604" s="84"/>
      <c r="BT604" s="84"/>
      <c r="BU604" s="84"/>
      <c r="BV604" s="84"/>
      <c r="BW604" s="84"/>
      <c r="BX604" s="84"/>
      <c r="BY604" s="84"/>
      <c r="BZ604" s="84"/>
      <c r="CA604" s="84"/>
      <c r="CB604" s="84"/>
      <c r="CC604" s="84"/>
      <c r="CD604" s="84"/>
      <c r="CE604" s="84"/>
      <c r="CF604" s="84"/>
      <c r="CG604" s="84"/>
      <c r="CH604" s="84"/>
      <c r="CI604" s="84"/>
      <c r="CJ604" s="84"/>
      <c r="CK604" s="84"/>
      <c r="CL604" s="84"/>
      <c r="CM604" s="84"/>
      <c r="CN604" s="84"/>
      <c r="CO604" s="84"/>
      <c r="CP604" s="84"/>
      <c r="CQ604" s="84"/>
      <c r="CR604" s="84"/>
      <c r="CS604" s="84"/>
      <c r="CT604" s="84"/>
      <c r="CU604" s="84"/>
      <c r="CV604" s="84"/>
      <c r="CW604" s="84"/>
      <c r="CX604" s="84"/>
      <c r="CY604" s="84"/>
      <c r="CZ604" s="84"/>
      <c r="DA604" s="84"/>
      <c r="DB604" s="84"/>
      <c r="DC604" s="84"/>
      <c r="DD604" s="84"/>
      <c r="DE604" s="84"/>
      <c r="DF604" s="84"/>
      <c r="DG604" s="115"/>
    </row>
    <row r="605" spans="2:111" customFormat="1" ht="9" customHeight="1">
      <c r="B605" s="49"/>
      <c r="C605" s="49"/>
      <c r="D605" s="49"/>
      <c r="E605" s="49"/>
      <c r="F605" s="49"/>
      <c r="G605" s="49"/>
      <c r="H605" s="49"/>
      <c r="I605" s="49"/>
      <c r="J605" s="49"/>
      <c r="K605" s="49"/>
      <c r="L605" s="49"/>
      <c r="M605" s="49"/>
      <c r="N605" s="49"/>
      <c r="O605" s="421"/>
      <c r="P605" s="421"/>
      <c r="Q605" s="421"/>
      <c r="R605" s="421"/>
      <c r="S605" s="421"/>
      <c r="T605" s="421"/>
      <c r="U605" s="421"/>
      <c r="V605" s="421"/>
      <c r="W605" s="421"/>
      <c r="X605" s="421"/>
      <c r="Y605" s="421"/>
      <c r="Z605" s="421"/>
      <c r="AA605" s="421"/>
      <c r="AB605" s="421"/>
      <c r="AC605" s="421"/>
      <c r="AD605" s="421"/>
      <c r="AE605" s="421"/>
      <c r="AF605" s="421"/>
      <c r="AG605" s="421"/>
      <c r="AH605" s="421"/>
      <c r="AI605" s="421"/>
      <c r="AJ605" s="421"/>
      <c r="AK605" s="421"/>
      <c r="AL605" s="421"/>
      <c r="AM605" s="421"/>
      <c r="AN605" s="421"/>
      <c r="AO605" s="421"/>
      <c r="AP605" s="421"/>
      <c r="AQ605" s="421"/>
      <c r="AR605" s="421"/>
      <c r="AS605" s="421"/>
      <c r="AT605" s="421"/>
      <c r="AU605" s="421"/>
      <c r="AV605" s="421"/>
      <c r="AW605" s="421"/>
      <c r="AX605" s="421"/>
      <c r="AY605" s="421"/>
      <c r="AZ605" s="421"/>
      <c r="BA605" s="421"/>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row>
    <row r="606" spans="2:111" customFormat="1" ht="4.5" customHeight="1">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49"/>
      <c r="AY606" s="49"/>
      <c r="AZ606" s="49"/>
      <c r="BA606" s="49"/>
      <c r="BC606" s="115"/>
      <c r="BD606" s="115"/>
      <c r="BE606" s="115"/>
      <c r="BF606" s="115"/>
      <c r="BG606" s="115"/>
      <c r="BH606" s="124"/>
      <c r="BI606" s="124"/>
      <c r="BJ606" s="124"/>
      <c r="BK606" s="124"/>
      <c r="BL606" s="124"/>
      <c r="BM606" s="124"/>
      <c r="BN606" s="124"/>
      <c r="BO606" s="124"/>
      <c r="BP606" s="124"/>
      <c r="BQ606" s="124"/>
      <c r="BR606" s="124"/>
      <c r="BS606" s="124"/>
      <c r="BT606" s="124"/>
      <c r="BU606" s="124"/>
      <c r="BV606" s="124"/>
      <c r="BW606" s="124"/>
      <c r="BX606" s="124"/>
      <c r="BY606" s="124"/>
      <c r="BZ606" s="124"/>
      <c r="CA606" s="124"/>
      <c r="CB606" s="124"/>
      <c r="CC606" s="124"/>
      <c r="CD606" s="124"/>
      <c r="CE606" s="124"/>
      <c r="CF606" s="124"/>
      <c r="CG606" s="124"/>
      <c r="CH606" s="124"/>
      <c r="CI606" s="124"/>
      <c r="CJ606" s="124"/>
      <c r="CK606" s="124"/>
      <c r="CL606" s="124"/>
      <c r="CM606" s="124"/>
      <c r="CN606" s="124"/>
      <c r="CO606" s="124"/>
      <c r="CP606" s="124"/>
      <c r="CQ606" s="124"/>
      <c r="CR606" s="124"/>
      <c r="CS606" s="124"/>
      <c r="CT606" s="124"/>
      <c r="CU606" s="124"/>
      <c r="CV606" s="124"/>
      <c r="CW606" s="124"/>
      <c r="CX606" s="124"/>
      <c r="CY606" s="124"/>
      <c r="CZ606" s="124"/>
      <c r="DA606" s="124"/>
      <c r="DB606" s="124"/>
      <c r="DC606" s="124"/>
      <c r="DD606" s="124"/>
      <c r="DE606" s="124"/>
      <c r="DF606" s="124"/>
      <c r="DG606" s="115"/>
    </row>
    <row r="607" spans="2:111" customFormat="1" ht="9" customHeight="1">
      <c r="B607" s="493" t="str">
        <f>IF(B596="","","Detalhamento do Objeto:")</f>
        <v/>
      </c>
      <c r="C607" s="493"/>
      <c r="D607" s="493"/>
      <c r="E607" s="493"/>
      <c r="F607" s="493"/>
      <c r="G607" s="493"/>
      <c r="H607" s="493"/>
      <c r="I607" s="493"/>
      <c r="J607" s="493"/>
      <c r="K607" s="493"/>
      <c r="L607" s="493"/>
      <c r="M607" s="493"/>
      <c r="N607" s="493"/>
      <c r="O607" s="421"/>
      <c r="P607" s="421"/>
      <c r="Q607" s="421"/>
      <c r="R607" s="421"/>
      <c r="S607" s="421"/>
      <c r="T607" s="421"/>
      <c r="U607" s="421"/>
      <c r="V607" s="421"/>
      <c r="W607" s="421"/>
      <c r="X607" s="421"/>
      <c r="Y607" s="421"/>
      <c r="Z607" s="421"/>
      <c r="AA607" s="421"/>
      <c r="AB607" s="421"/>
      <c r="AC607" s="421"/>
      <c r="AD607" s="421"/>
      <c r="AE607" s="421"/>
      <c r="AF607" s="421"/>
      <c r="AG607" s="421"/>
      <c r="AH607" s="421"/>
      <c r="AI607" s="421"/>
      <c r="AJ607" s="421"/>
      <c r="AK607" s="421"/>
      <c r="AL607" s="421"/>
      <c r="AM607" s="421"/>
      <c r="AN607" s="421"/>
      <c r="AO607" s="421"/>
      <c r="AP607" s="421"/>
      <c r="AQ607" s="421"/>
      <c r="AR607" s="421"/>
      <c r="AS607" s="421"/>
      <c r="AT607" s="421"/>
      <c r="AU607" s="421"/>
      <c r="AV607" s="421"/>
      <c r="AW607" s="421"/>
      <c r="AX607" s="421"/>
      <c r="AY607" s="421"/>
      <c r="AZ607" s="421"/>
      <c r="BA607" s="421"/>
      <c r="BC607" s="115"/>
      <c r="BD607" s="115"/>
      <c r="BE607" s="115"/>
      <c r="BF607" s="115"/>
      <c r="BG607" s="115"/>
      <c r="BH607" s="124"/>
      <c r="BI607" s="124"/>
      <c r="BJ607" s="124"/>
      <c r="BK607" s="124"/>
      <c r="BL607" s="124"/>
      <c r="BM607" s="124"/>
      <c r="BN607" s="12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4"/>
      <c r="CU607" s="124"/>
      <c r="CV607" s="124"/>
      <c r="CW607" s="124"/>
      <c r="CX607" s="124"/>
      <c r="CY607" s="124"/>
      <c r="CZ607" s="124"/>
      <c r="DA607" s="124"/>
      <c r="DB607" s="124"/>
      <c r="DC607" s="124"/>
      <c r="DD607" s="124"/>
      <c r="DE607" s="124"/>
      <c r="DF607" s="124"/>
      <c r="DG607" s="115"/>
    </row>
    <row r="608" spans="2:111" customFormat="1" ht="9" customHeight="1">
      <c r="B608" s="493"/>
      <c r="C608" s="493"/>
      <c r="D608" s="493"/>
      <c r="E608" s="493"/>
      <c r="F608" s="493"/>
      <c r="G608" s="493"/>
      <c r="H608" s="493"/>
      <c r="I608" s="493"/>
      <c r="J608" s="493"/>
      <c r="K608" s="493"/>
      <c r="L608" s="493"/>
      <c r="M608" s="493"/>
      <c r="N608" s="493"/>
      <c r="O608" s="421"/>
      <c r="P608" s="421"/>
      <c r="Q608" s="421"/>
      <c r="R608" s="421"/>
      <c r="S608" s="421"/>
      <c r="T608" s="421"/>
      <c r="U608" s="421"/>
      <c r="V608" s="421"/>
      <c r="W608" s="421"/>
      <c r="X608" s="421"/>
      <c r="Y608" s="421"/>
      <c r="Z608" s="421"/>
      <c r="AA608" s="421"/>
      <c r="AB608" s="421"/>
      <c r="AC608" s="421"/>
      <c r="AD608" s="421"/>
      <c r="AE608" s="421"/>
      <c r="AF608" s="421"/>
      <c r="AG608" s="421"/>
      <c r="AH608" s="421"/>
      <c r="AI608" s="421"/>
      <c r="AJ608" s="421"/>
      <c r="AK608" s="421"/>
      <c r="AL608" s="421"/>
      <c r="AM608" s="421"/>
      <c r="AN608" s="421"/>
      <c r="AO608" s="421"/>
      <c r="AP608" s="421"/>
      <c r="AQ608" s="421"/>
      <c r="AR608" s="421"/>
      <c r="AS608" s="421"/>
      <c r="AT608" s="421"/>
      <c r="AU608" s="421"/>
      <c r="AV608" s="421"/>
      <c r="AW608" s="421"/>
      <c r="AX608" s="421"/>
      <c r="AY608" s="421"/>
      <c r="AZ608" s="421"/>
      <c r="BA608" s="421"/>
      <c r="BC608" s="115"/>
      <c r="BD608" s="115"/>
      <c r="BE608" s="115"/>
      <c r="BF608" s="115"/>
      <c r="BG608" s="115"/>
      <c r="BH608" s="124"/>
      <c r="BI608" s="124"/>
      <c r="BJ608" s="124"/>
      <c r="BK608" s="124"/>
      <c r="BL608" s="124"/>
      <c r="BM608" s="124"/>
      <c r="BN608" s="124"/>
      <c r="BO608" s="124"/>
      <c r="BP608" s="124"/>
      <c r="BQ608" s="124"/>
      <c r="BR608" s="124"/>
      <c r="BS608" s="124"/>
      <c r="BT608" s="124"/>
      <c r="BU608" s="124"/>
      <c r="BV608" s="124"/>
      <c r="BW608" s="124"/>
      <c r="BX608" s="124"/>
      <c r="BY608" s="124"/>
      <c r="BZ608" s="124"/>
      <c r="CA608" s="124"/>
      <c r="CB608" s="124"/>
      <c r="CC608" s="124"/>
      <c r="CD608" s="124"/>
      <c r="CE608" s="124"/>
      <c r="CF608" s="124"/>
      <c r="CG608" s="124"/>
      <c r="CH608" s="124"/>
      <c r="CI608" s="124"/>
      <c r="CJ608" s="124"/>
      <c r="CK608" s="124"/>
      <c r="CL608" s="124"/>
      <c r="CM608" s="124"/>
      <c r="CN608" s="124"/>
      <c r="CO608" s="124"/>
      <c r="CP608" s="124"/>
      <c r="CQ608" s="124"/>
      <c r="CR608" s="124"/>
      <c r="CS608" s="124"/>
      <c r="CT608" s="124"/>
      <c r="CU608" s="124"/>
      <c r="CV608" s="124"/>
      <c r="CW608" s="124"/>
      <c r="CX608" s="124"/>
      <c r="CY608" s="124"/>
      <c r="CZ608" s="124"/>
      <c r="DA608" s="124"/>
      <c r="DB608" s="124"/>
      <c r="DC608" s="124"/>
      <c r="DD608" s="124"/>
      <c r="DE608" s="124"/>
      <c r="DF608" s="124"/>
      <c r="DG608" s="115"/>
    </row>
    <row r="609" spans="2:111" customFormat="1" ht="9" customHeight="1">
      <c r="B609" s="143"/>
      <c r="C609" s="143"/>
      <c r="D609" s="143"/>
      <c r="E609" s="143"/>
      <c r="F609" s="143"/>
      <c r="G609" s="143"/>
      <c r="H609" s="143"/>
      <c r="I609" s="143"/>
      <c r="J609" s="143"/>
      <c r="K609" s="143"/>
      <c r="L609" s="143"/>
      <c r="M609" s="143"/>
      <c r="N609" s="143"/>
      <c r="O609" s="421"/>
      <c r="P609" s="421"/>
      <c r="Q609" s="421"/>
      <c r="R609" s="421"/>
      <c r="S609" s="421"/>
      <c r="T609" s="421"/>
      <c r="U609" s="421"/>
      <c r="V609" s="421"/>
      <c r="W609" s="421"/>
      <c r="X609" s="421"/>
      <c r="Y609" s="421"/>
      <c r="Z609" s="421"/>
      <c r="AA609" s="421"/>
      <c r="AB609" s="421"/>
      <c r="AC609" s="421"/>
      <c r="AD609" s="421"/>
      <c r="AE609" s="421"/>
      <c r="AF609" s="421"/>
      <c r="AG609" s="421"/>
      <c r="AH609" s="421"/>
      <c r="AI609" s="421"/>
      <c r="AJ609" s="421"/>
      <c r="AK609" s="421"/>
      <c r="AL609" s="421"/>
      <c r="AM609" s="421"/>
      <c r="AN609" s="421"/>
      <c r="AO609" s="421"/>
      <c r="AP609" s="421"/>
      <c r="AQ609" s="421"/>
      <c r="AR609" s="421"/>
      <c r="AS609" s="421"/>
      <c r="AT609" s="421"/>
      <c r="AU609" s="421"/>
      <c r="AV609" s="421"/>
      <c r="AW609" s="421"/>
      <c r="AX609" s="421"/>
      <c r="AY609" s="421"/>
      <c r="AZ609" s="421"/>
      <c r="BA609" s="421"/>
      <c r="BC609" s="115"/>
      <c r="BD609" s="115"/>
      <c r="BE609" s="115"/>
      <c r="BF609" s="115"/>
      <c r="BG609" s="115"/>
      <c r="BH609" s="84"/>
      <c r="BI609" s="84"/>
      <c r="BJ609" s="84"/>
      <c r="BK609" s="84"/>
      <c r="BL609" s="84"/>
      <c r="BM609" s="84"/>
      <c r="BN609" s="84"/>
      <c r="BO609" s="84"/>
      <c r="BP609" s="84"/>
      <c r="BQ609" s="84"/>
      <c r="BR609" s="84"/>
      <c r="BS609" s="84"/>
      <c r="BT609" s="84"/>
      <c r="BU609" s="84"/>
      <c r="BV609" s="84"/>
      <c r="BW609" s="84"/>
      <c r="BX609" s="84"/>
      <c r="BY609" s="84"/>
      <c r="BZ609" s="84"/>
      <c r="CA609" s="84"/>
      <c r="CB609" s="84"/>
      <c r="CC609" s="84"/>
      <c r="CD609" s="84"/>
      <c r="CE609" s="84"/>
      <c r="CF609" s="84"/>
      <c r="CG609" s="84"/>
      <c r="CH609" s="84"/>
      <c r="CI609" s="84"/>
      <c r="CJ609" s="84"/>
      <c r="CK609" s="84"/>
      <c r="CL609" s="84"/>
      <c r="CM609" s="84"/>
      <c r="CN609" s="84"/>
      <c r="CO609" s="84"/>
      <c r="CP609" s="84"/>
      <c r="CQ609" s="84"/>
      <c r="CR609" s="84"/>
      <c r="CS609" s="84"/>
      <c r="CT609" s="84"/>
      <c r="CU609" s="84"/>
      <c r="CV609" s="84"/>
      <c r="CW609" s="84"/>
      <c r="CX609" s="84"/>
      <c r="CY609" s="84"/>
      <c r="CZ609" s="84"/>
      <c r="DA609" s="84"/>
      <c r="DB609" s="84"/>
      <c r="DC609" s="84"/>
      <c r="DD609" s="84"/>
      <c r="DE609" s="84"/>
      <c r="DF609" s="84"/>
      <c r="DG609" s="115"/>
    </row>
    <row r="610" spans="2:111" customFormat="1" ht="9" customHeight="1">
      <c r="B610" s="143"/>
      <c r="C610" s="143"/>
      <c r="D610" s="143"/>
      <c r="E610" s="143"/>
      <c r="F610" s="143"/>
      <c r="G610" s="143"/>
      <c r="H610" s="143"/>
      <c r="I610" s="143"/>
      <c r="J610" s="143"/>
      <c r="K610" s="143"/>
      <c r="L610" s="143"/>
      <c r="M610" s="143"/>
      <c r="N610" s="143"/>
      <c r="O610" s="421"/>
      <c r="P610" s="421"/>
      <c r="Q610" s="421"/>
      <c r="R610" s="421"/>
      <c r="S610" s="421"/>
      <c r="T610" s="421"/>
      <c r="U610" s="421"/>
      <c r="V610" s="421"/>
      <c r="W610" s="421"/>
      <c r="X610" s="421"/>
      <c r="Y610" s="421"/>
      <c r="Z610" s="421"/>
      <c r="AA610" s="421"/>
      <c r="AB610" s="421"/>
      <c r="AC610" s="421"/>
      <c r="AD610" s="421"/>
      <c r="AE610" s="421"/>
      <c r="AF610" s="421"/>
      <c r="AG610" s="421"/>
      <c r="AH610" s="421"/>
      <c r="AI610" s="421"/>
      <c r="AJ610" s="421"/>
      <c r="AK610" s="421"/>
      <c r="AL610" s="421"/>
      <c r="AM610" s="421"/>
      <c r="AN610" s="421"/>
      <c r="AO610" s="421"/>
      <c r="AP610" s="421"/>
      <c r="AQ610" s="421"/>
      <c r="AR610" s="421"/>
      <c r="AS610" s="421"/>
      <c r="AT610" s="421"/>
      <c r="AU610" s="421"/>
      <c r="AV610" s="421"/>
      <c r="AW610" s="421"/>
      <c r="AX610" s="421"/>
      <c r="AY610" s="421"/>
      <c r="AZ610" s="421"/>
      <c r="BA610" s="421"/>
      <c r="BC610" s="115"/>
      <c r="BD610" s="115"/>
      <c r="BE610" s="115"/>
      <c r="BF610" s="115"/>
      <c r="BG610" s="115"/>
      <c r="BH610" s="84"/>
      <c r="BI610" s="84"/>
      <c r="BJ610" s="84"/>
      <c r="BK610" s="84"/>
      <c r="BL610" s="84"/>
      <c r="BM610" s="84"/>
      <c r="BN610" s="84"/>
      <c r="BO610" s="84"/>
      <c r="BP610" s="84"/>
      <c r="BQ610" s="84"/>
      <c r="BR610" s="84"/>
      <c r="BS610" s="84"/>
      <c r="BT610" s="84"/>
      <c r="BU610" s="84"/>
      <c r="BV610" s="84"/>
      <c r="BW610" s="84"/>
      <c r="BX610" s="84"/>
      <c r="BY610" s="84"/>
      <c r="BZ610" s="84"/>
      <c r="CA610" s="84"/>
      <c r="CB610" s="84"/>
      <c r="CC610" s="84"/>
      <c r="CD610" s="84"/>
      <c r="CE610" s="84"/>
      <c r="CF610" s="84"/>
      <c r="CG610" s="84"/>
      <c r="CH610" s="84"/>
      <c r="CI610" s="84"/>
      <c r="CJ610" s="84"/>
      <c r="CK610" s="84"/>
      <c r="CL610" s="84"/>
      <c r="CM610" s="84"/>
      <c r="CN610" s="84"/>
      <c r="CO610" s="84"/>
      <c r="CP610" s="84"/>
      <c r="CQ610" s="84"/>
      <c r="CR610" s="84"/>
      <c r="CS610" s="84"/>
      <c r="CT610" s="84"/>
      <c r="CU610" s="84"/>
      <c r="CV610" s="84"/>
      <c r="CW610" s="84"/>
      <c r="CX610" s="84"/>
      <c r="CY610" s="84"/>
      <c r="CZ610" s="84"/>
      <c r="DA610" s="84"/>
      <c r="DB610" s="84"/>
      <c r="DC610" s="84"/>
      <c r="DD610" s="84"/>
      <c r="DE610" s="84"/>
      <c r="DF610" s="84"/>
      <c r="DG610" s="115"/>
    </row>
    <row r="611" spans="2:111" customFormat="1" ht="9" customHeight="1">
      <c r="B611" s="143"/>
      <c r="C611" s="143"/>
      <c r="D611" s="143"/>
      <c r="E611" s="143"/>
      <c r="F611" s="143"/>
      <c r="G611" s="143"/>
      <c r="H611" s="143"/>
      <c r="I611" s="143"/>
      <c r="J611" s="143"/>
      <c r="K611" s="143"/>
      <c r="L611" s="143"/>
      <c r="M611" s="143"/>
      <c r="N611" s="143"/>
      <c r="O611" s="421"/>
      <c r="P611" s="421"/>
      <c r="Q611" s="421"/>
      <c r="R611" s="421"/>
      <c r="S611" s="421"/>
      <c r="T611" s="421"/>
      <c r="U611" s="421"/>
      <c r="V611" s="421"/>
      <c r="W611" s="421"/>
      <c r="X611" s="421"/>
      <c r="Y611" s="421"/>
      <c r="Z611" s="421"/>
      <c r="AA611" s="421"/>
      <c r="AB611" s="421"/>
      <c r="AC611" s="421"/>
      <c r="AD611" s="421"/>
      <c r="AE611" s="421"/>
      <c r="AF611" s="421"/>
      <c r="AG611" s="421"/>
      <c r="AH611" s="421"/>
      <c r="AI611" s="421"/>
      <c r="AJ611" s="421"/>
      <c r="AK611" s="421"/>
      <c r="AL611" s="421"/>
      <c r="AM611" s="421"/>
      <c r="AN611" s="421"/>
      <c r="AO611" s="421"/>
      <c r="AP611" s="421"/>
      <c r="AQ611" s="421"/>
      <c r="AR611" s="421"/>
      <c r="AS611" s="421"/>
      <c r="AT611" s="421"/>
      <c r="AU611" s="421"/>
      <c r="AV611" s="421"/>
      <c r="AW611" s="421"/>
      <c r="AX611" s="421"/>
      <c r="AY611" s="421"/>
      <c r="AZ611" s="421"/>
      <c r="BA611" s="421"/>
      <c r="BC611" s="115"/>
      <c r="BD611" s="115"/>
      <c r="BE611" s="115"/>
      <c r="BF611" s="115"/>
      <c r="BG611" s="115"/>
      <c r="BH611" s="84"/>
      <c r="BI611" s="84"/>
      <c r="BJ611" s="84"/>
      <c r="BK611" s="84"/>
      <c r="BL611" s="84"/>
      <c r="BM611" s="84"/>
      <c r="BN611" s="84"/>
      <c r="BO611" s="84"/>
      <c r="BP611" s="84"/>
      <c r="BQ611" s="84"/>
      <c r="BR611" s="84"/>
      <c r="BS611" s="84"/>
      <c r="BT611" s="84"/>
      <c r="BU611" s="84"/>
      <c r="BV611" s="84"/>
      <c r="BW611" s="84"/>
      <c r="BX611" s="84"/>
      <c r="BY611" s="84"/>
      <c r="BZ611" s="84"/>
      <c r="CA611" s="84"/>
      <c r="CB611" s="84"/>
      <c r="CC611" s="84"/>
      <c r="CD611" s="84"/>
      <c r="CE611" s="84"/>
      <c r="CF611" s="84"/>
      <c r="CG611" s="84"/>
      <c r="CH611" s="84"/>
      <c r="CI611" s="84"/>
      <c r="CJ611" s="84"/>
      <c r="CK611" s="84"/>
      <c r="CL611" s="84"/>
      <c r="CM611" s="84"/>
      <c r="CN611" s="84"/>
      <c r="CO611" s="84"/>
      <c r="CP611" s="84"/>
      <c r="CQ611" s="84"/>
      <c r="CR611" s="84"/>
      <c r="CS611" s="84"/>
      <c r="CT611" s="84"/>
      <c r="CU611" s="84"/>
      <c r="CV611" s="84"/>
      <c r="CW611" s="84"/>
      <c r="CX611" s="84"/>
      <c r="CY611" s="84"/>
      <c r="CZ611" s="84"/>
      <c r="DA611" s="84"/>
      <c r="DB611" s="84"/>
      <c r="DC611" s="84"/>
      <c r="DD611" s="84"/>
      <c r="DE611" s="84"/>
      <c r="DF611" s="84"/>
      <c r="DG611" s="115"/>
    </row>
    <row r="612" spans="2:111" customFormat="1" ht="9" customHeight="1">
      <c r="B612" s="143"/>
      <c r="C612" s="143"/>
      <c r="D612" s="143"/>
      <c r="E612" s="143"/>
      <c r="F612" s="143"/>
      <c r="G612" s="143"/>
      <c r="H612" s="143"/>
      <c r="I612" s="143"/>
      <c r="J612" s="143"/>
      <c r="K612" s="143"/>
      <c r="L612" s="143"/>
      <c r="M612" s="143"/>
      <c r="N612" s="143"/>
      <c r="O612" s="421"/>
      <c r="P612" s="421"/>
      <c r="Q612" s="421"/>
      <c r="R612" s="421"/>
      <c r="S612" s="421"/>
      <c r="T612" s="421"/>
      <c r="U612" s="421"/>
      <c r="V612" s="421"/>
      <c r="W612" s="421"/>
      <c r="X612" s="421"/>
      <c r="Y612" s="421"/>
      <c r="Z612" s="421"/>
      <c r="AA612" s="421"/>
      <c r="AB612" s="421"/>
      <c r="AC612" s="421"/>
      <c r="AD612" s="421"/>
      <c r="AE612" s="421"/>
      <c r="AF612" s="421"/>
      <c r="AG612" s="421"/>
      <c r="AH612" s="421"/>
      <c r="AI612" s="421"/>
      <c r="AJ612" s="421"/>
      <c r="AK612" s="421"/>
      <c r="AL612" s="421"/>
      <c r="AM612" s="421"/>
      <c r="AN612" s="421"/>
      <c r="AO612" s="421"/>
      <c r="AP612" s="421"/>
      <c r="AQ612" s="421"/>
      <c r="AR612" s="421"/>
      <c r="AS612" s="421"/>
      <c r="AT612" s="421"/>
      <c r="AU612" s="421"/>
      <c r="AV612" s="421"/>
      <c r="AW612" s="421"/>
      <c r="AX612" s="421"/>
      <c r="AY612" s="421"/>
      <c r="AZ612" s="421"/>
      <c r="BA612" s="421"/>
      <c r="BC612" s="115"/>
      <c r="BD612" s="115"/>
      <c r="BE612" s="115"/>
      <c r="BF612" s="115"/>
      <c r="BG612" s="115"/>
      <c r="BH612" s="84"/>
      <c r="BI612" s="84"/>
      <c r="BJ612" s="84"/>
      <c r="BK612" s="84"/>
      <c r="BL612" s="84"/>
      <c r="BM612" s="84"/>
      <c r="BN612" s="84"/>
      <c r="BO612" s="84"/>
      <c r="BP612" s="84"/>
      <c r="BQ612" s="84"/>
      <c r="BR612" s="84"/>
      <c r="BS612" s="84"/>
      <c r="BT612" s="84"/>
      <c r="BU612" s="84"/>
      <c r="BV612" s="84"/>
      <c r="BW612" s="84"/>
      <c r="BX612" s="84"/>
      <c r="BY612" s="84"/>
      <c r="BZ612" s="84"/>
      <c r="CA612" s="84"/>
      <c r="CB612" s="84"/>
      <c r="CC612" s="84"/>
      <c r="CD612" s="84"/>
      <c r="CE612" s="84"/>
      <c r="CF612" s="84"/>
      <c r="CG612" s="84"/>
      <c r="CH612" s="84"/>
      <c r="CI612" s="84"/>
      <c r="CJ612" s="84"/>
      <c r="CK612" s="84"/>
      <c r="CL612" s="84"/>
      <c r="CM612" s="84"/>
      <c r="CN612" s="84"/>
      <c r="CO612" s="84"/>
      <c r="CP612" s="84"/>
      <c r="CQ612" s="84"/>
      <c r="CR612" s="84"/>
      <c r="CS612" s="84"/>
      <c r="CT612" s="84"/>
      <c r="CU612" s="84"/>
      <c r="CV612" s="84"/>
      <c r="CW612" s="84"/>
      <c r="CX612" s="84"/>
      <c r="CY612" s="84"/>
      <c r="CZ612" s="84"/>
      <c r="DA612" s="84"/>
      <c r="DB612" s="84"/>
      <c r="DC612" s="84"/>
      <c r="DD612" s="84"/>
      <c r="DE612" s="84"/>
      <c r="DF612" s="84"/>
      <c r="DG612" s="115"/>
    </row>
    <row r="613" spans="2:111" customFormat="1" ht="9" customHeight="1">
      <c r="B613" s="143"/>
      <c r="C613" s="143"/>
      <c r="D613" s="143"/>
      <c r="E613" s="143"/>
      <c r="F613" s="143"/>
      <c r="G613" s="143"/>
      <c r="H613" s="143"/>
      <c r="I613" s="143"/>
      <c r="J613" s="143"/>
      <c r="K613" s="143"/>
      <c r="L613" s="143"/>
      <c r="M613" s="143"/>
      <c r="N613" s="143"/>
      <c r="O613" s="421"/>
      <c r="P613" s="421"/>
      <c r="Q613" s="421"/>
      <c r="R613" s="421"/>
      <c r="S613" s="421"/>
      <c r="T613" s="421"/>
      <c r="U613" s="421"/>
      <c r="V613" s="421"/>
      <c r="W613" s="421"/>
      <c r="X613" s="421"/>
      <c r="Y613" s="421"/>
      <c r="Z613" s="421"/>
      <c r="AA613" s="421"/>
      <c r="AB613" s="421"/>
      <c r="AC613" s="421"/>
      <c r="AD613" s="421"/>
      <c r="AE613" s="421"/>
      <c r="AF613" s="421"/>
      <c r="AG613" s="421"/>
      <c r="AH613" s="421"/>
      <c r="AI613" s="421"/>
      <c r="AJ613" s="421"/>
      <c r="AK613" s="421"/>
      <c r="AL613" s="421"/>
      <c r="AM613" s="421"/>
      <c r="AN613" s="421"/>
      <c r="AO613" s="421"/>
      <c r="AP613" s="421"/>
      <c r="AQ613" s="421"/>
      <c r="AR613" s="421"/>
      <c r="AS613" s="421"/>
      <c r="AT613" s="421"/>
      <c r="AU613" s="421"/>
      <c r="AV613" s="421"/>
      <c r="AW613" s="421"/>
      <c r="AX613" s="421"/>
      <c r="AY613" s="421"/>
      <c r="AZ613" s="421"/>
      <c r="BA613" s="421"/>
      <c r="BC613" s="115"/>
      <c r="BD613" s="115"/>
      <c r="BE613" s="115"/>
      <c r="BF613" s="115"/>
      <c r="BG613" s="115"/>
      <c r="BH613" s="84"/>
      <c r="BI613" s="84"/>
      <c r="BJ613" s="84"/>
      <c r="BK613" s="84"/>
      <c r="BL613" s="84"/>
      <c r="BM613" s="84"/>
      <c r="BN613" s="84"/>
      <c r="BO613" s="84"/>
      <c r="BP613" s="84"/>
      <c r="BQ613" s="84"/>
      <c r="BR613" s="84"/>
      <c r="BS613" s="84"/>
      <c r="BT613" s="84"/>
      <c r="BU613" s="84"/>
      <c r="BV613" s="84"/>
      <c r="BW613" s="84"/>
      <c r="BX613" s="84"/>
      <c r="BY613" s="84"/>
      <c r="BZ613" s="84"/>
      <c r="CA613" s="84"/>
      <c r="CB613" s="84"/>
      <c r="CC613" s="84"/>
      <c r="CD613" s="84"/>
      <c r="CE613" s="84"/>
      <c r="CF613" s="84"/>
      <c r="CG613" s="84"/>
      <c r="CH613" s="84"/>
      <c r="CI613" s="84"/>
      <c r="CJ613" s="84"/>
      <c r="CK613" s="84"/>
      <c r="CL613" s="84"/>
      <c r="CM613" s="84"/>
      <c r="CN613" s="84"/>
      <c r="CO613" s="84"/>
      <c r="CP613" s="84"/>
      <c r="CQ613" s="84"/>
      <c r="CR613" s="84"/>
      <c r="CS613" s="84"/>
      <c r="CT613" s="84"/>
      <c r="CU613" s="84"/>
      <c r="CV613" s="84"/>
      <c r="CW613" s="84"/>
      <c r="CX613" s="84"/>
      <c r="CY613" s="84"/>
      <c r="CZ613" s="84"/>
      <c r="DA613" s="84"/>
      <c r="DB613" s="84"/>
      <c r="DC613" s="84"/>
      <c r="DD613" s="84"/>
      <c r="DE613" s="84"/>
      <c r="DF613" s="84"/>
      <c r="DG613" s="115"/>
    </row>
    <row r="614" spans="2:111" customFormat="1" ht="9" customHeight="1">
      <c r="B614" s="49"/>
      <c r="C614" s="49"/>
      <c r="D614" s="49"/>
      <c r="E614" s="49"/>
      <c r="F614" s="49"/>
      <c r="G614" s="49"/>
      <c r="H614" s="49"/>
      <c r="I614" s="49"/>
      <c r="J614" s="49"/>
      <c r="K614" s="49"/>
      <c r="L614" s="49"/>
      <c r="M614" s="49"/>
      <c r="N614" s="49"/>
      <c r="O614" s="421"/>
      <c r="P614" s="421"/>
      <c r="Q614" s="421"/>
      <c r="R614" s="421"/>
      <c r="S614" s="421"/>
      <c r="T614" s="421"/>
      <c r="U614" s="421"/>
      <c r="V614" s="421"/>
      <c r="W614" s="421"/>
      <c r="X614" s="421"/>
      <c r="Y614" s="421"/>
      <c r="Z614" s="421"/>
      <c r="AA614" s="421"/>
      <c r="AB614" s="421"/>
      <c r="AC614" s="421"/>
      <c r="AD614" s="421"/>
      <c r="AE614" s="421"/>
      <c r="AF614" s="421"/>
      <c r="AG614" s="421"/>
      <c r="AH614" s="421"/>
      <c r="AI614" s="421"/>
      <c r="AJ614" s="421"/>
      <c r="AK614" s="421"/>
      <c r="AL614" s="421"/>
      <c r="AM614" s="421"/>
      <c r="AN614" s="421"/>
      <c r="AO614" s="421"/>
      <c r="AP614" s="421"/>
      <c r="AQ614" s="421"/>
      <c r="AR614" s="421"/>
      <c r="AS614" s="421"/>
      <c r="AT614" s="421"/>
      <c r="AU614" s="421"/>
      <c r="AV614" s="421"/>
      <c r="AW614" s="421"/>
      <c r="AX614" s="421"/>
      <c r="AY614" s="421"/>
      <c r="AZ614" s="421"/>
      <c r="BA614" s="421"/>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row>
    <row r="615" spans="2:111" customFormat="1" ht="4.5" customHeight="1">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C615" s="115"/>
      <c r="BD615" s="115"/>
      <c r="BE615" s="115"/>
      <c r="BF615" s="115"/>
      <c r="BG615" s="115"/>
      <c r="BH615" s="124"/>
      <c r="BI615" s="124"/>
      <c r="BJ615" s="124"/>
      <c r="BK615" s="124"/>
      <c r="BL615" s="124"/>
      <c r="BM615" s="124"/>
      <c r="BN615" s="124"/>
      <c r="BO615" s="124"/>
      <c r="BP615" s="124"/>
      <c r="BQ615" s="124"/>
      <c r="BR615" s="124"/>
      <c r="BS615" s="124"/>
      <c r="BT615" s="124"/>
      <c r="BU615" s="124"/>
      <c r="BV615" s="124"/>
      <c r="BW615" s="124"/>
      <c r="BX615" s="124"/>
      <c r="BY615" s="124"/>
      <c r="BZ615" s="124"/>
      <c r="CA615" s="124"/>
      <c r="CB615" s="124"/>
      <c r="CC615" s="124"/>
      <c r="CD615" s="124"/>
      <c r="CE615" s="124"/>
      <c r="CF615" s="124"/>
      <c r="CG615" s="124"/>
      <c r="CH615" s="124"/>
      <c r="CI615" s="124"/>
      <c r="CJ615" s="124"/>
      <c r="CK615" s="124"/>
      <c r="CL615" s="124"/>
      <c r="CM615" s="124"/>
      <c r="CN615" s="124"/>
      <c r="CO615" s="124"/>
      <c r="CP615" s="124"/>
      <c r="CQ615" s="124"/>
      <c r="CR615" s="124"/>
      <c r="CS615" s="124"/>
      <c r="CT615" s="124"/>
      <c r="CU615" s="124"/>
      <c r="CV615" s="124"/>
      <c r="CW615" s="124"/>
      <c r="CX615" s="124"/>
      <c r="CY615" s="124"/>
      <c r="CZ615" s="124"/>
      <c r="DA615" s="124"/>
      <c r="DB615" s="124"/>
      <c r="DC615" s="124"/>
      <c r="DD615" s="124"/>
      <c r="DE615" s="124"/>
      <c r="DF615" s="124"/>
      <c r="DG615" s="115"/>
    </row>
    <row r="616" spans="2:111" customFormat="1" ht="9" customHeight="1">
      <c r="B616" s="493" t="str">
        <f>IF(B596="","","Justificativa:")</f>
        <v/>
      </c>
      <c r="C616" s="493"/>
      <c r="D616" s="493"/>
      <c r="E616" s="493"/>
      <c r="F616" s="493"/>
      <c r="G616" s="493"/>
      <c r="H616" s="493"/>
      <c r="I616" s="493"/>
      <c r="J616" s="493"/>
      <c r="K616" s="493"/>
      <c r="L616" s="493"/>
      <c r="M616" s="493"/>
      <c r="N616" s="493"/>
      <c r="O616" s="421"/>
      <c r="P616" s="421"/>
      <c r="Q616" s="421"/>
      <c r="R616" s="421"/>
      <c r="S616" s="421"/>
      <c r="T616" s="421"/>
      <c r="U616" s="421"/>
      <c r="V616" s="421"/>
      <c r="W616" s="421"/>
      <c r="X616" s="421"/>
      <c r="Y616" s="421"/>
      <c r="Z616" s="421"/>
      <c r="AA616" s="421"/>
      <c r="AB616" s="421"/>
      <c r="AC616" s="421"/>
      <c r="AD616" s="421"/>
      <c r="AE616" s="421"/>
      <c r="AF616" s="421"/>
      <c r="AG616" s="421"/>
      <c r="AH616" s="421"/>
      <c r="AI616" s="421"/>
      <c r="AJ616" s="421"/>
      <c r="AK616" s="421"/>
      <c r="AL616" s="421"/>
      <c r="AM616" s="421"/>
      <c r="AN616" s="421"/>
      <c r="AO616" s="421"/>
      <c r="AP616" s="421"/>
      <c r="AQ616" s="421"/>
      <c r="AR616" s="421"/>
      <c r="AS616" s="421"/>
      <c r="AT616" s="421"/>
      <c r="AU616" s="421"/>
      <c r="AV616" s="421"/>
      <c r="AW616" s="421"/>
      <c r="AX616" s="421"/>
      <c r="AY616" s="421"/>
      <c r="AZ616" s="421"/>
      <c r="BA616" s="421"/>
      <c r="BC616" s="115"/>
      <c r="BD616" s="115"/>
      <c r="BE616" s="115"/>
      <c r="BF616" s="115"/>
      <c r="BG616" s="115"/>
      <c r="BH616" s="124"/>
      <c r="BI616" s="124"/>
      <c r="BJ616" s="124"/>
      <c r="BK616" s="124"/>
      <c r="BL616" s="124"/>
      <c r="BM616" s="124"/>
      <c r="BN616" s="124"/>
      <c r="BO616" s="124"/>
      <c r="BP616" s="124"/>
      <c r="BQ616" s="124"/>
      <c r="BR616" s="124"/>
      <c r="BS616" s="124"/>
      <c r="BT616" s="124"/>
      <c r="BU616" s="124"/>
      <c r="BV616" s="124"/>
      <c r="BW616" s="124"/>
      <c r="BX616" s="124"/>
      <c r="BY616" s="124"/>
      <c r="BZ616" s="124"/>
      <c r="CA616" s="124"/>
      <c r="CB616" s="124"/>
      <c r="CC616" s="124"/>
      <c r="CD616" s="124"/>
      <c r="CE616" s="124"/>
      <c r="CF616" s="124"/>
      <c r="CG616" s="124"/>
      <c r="CH616" s="124"/>
      <c r="CI616" s="124"/>
      <c r="CJ616" s="124"/>
      <c r="CK616" s="124"/>
      <c r="CL616" s="124"/>
      <c r="CM616" s="124"/>
      <c r="CN616" s="124"/>
      <c r="CO616" s="124"/>
      <c r="CP616" s="124"/>
      <c r="CQ616" s="124"/>
      <c r="CR616" s="124"/>
      <c r="CS616" s="124"/>
      <c r="CT616" s="124"/>
      <c r="CU616" s="124"/>
      <c r="CV616" s="124"/>
      <c r="CW616" s="124"/>
      <c r="CX616" s="124"/>
      <c r="CY616" s="124"/>
      <c r="CZ616" s="124"/>
      <c r="DA616" s="124"/>
      <c r="DB616" s="124"/>
      <c r="DC616" s="124"/>
      <c r="DD616" s="124"/>
      <c r="DE616" s="124"/>
      <c r="DF616" s="124"/>
      <c r="DG616" s="115"/>
    </row>
    <row r="617" spans="2:111" customFormat="1" ht="9" customHeight="1">
      <c r="B617" s="493"/>
      <c r="C617" s="493"/>
      <c r="D617" s="493"/>
      <c r="E617" s="493"/>
      <c r="F617" s="493"/>
      <c r="G617" s="493"/>
      <c r="H617" s="493"/>
      <c r="I617" s="493"/>
      <c r="J617" s="493"/>
      <c r="K617" s="493"/>
      <c r="L617" s="493"/>
      <c r="M617" s="493"/>
      <c r="N617" s="493"/>
      <c r="O617" s="421"/>
      <c r="P617" s="421"/>
      <c r="Q617" s="421"/>
      <c r="R617" s="421"/>
      <c r="S617" s="421"/>
      <c r="T617" s="421"/>
      <c r="U617" s="421"/>
      <c r="V617" s="421"/>
      <c r="W617" s="421"/>
      <c r="X617" s="421"/>
      <c r="Y617" s="421"/>
      <c r="Z617" s="421"/>
      <c r="AA617" s="421"/>
      <c r="AB617" s="421"/>
      <c r="AC617" s="421"/>
      <c r="AD617" s="421"/>
      <c r="AE617" s="421"/>
      <c r="AF617" s="421"/>
      <c r="AG617" s="421"/>
      <c r="AH617" s="421"/>
      <c r="AI617" s="421"/>
      <c r="AJ617" s="421"/>
      <c r="AK617" s="421"/>
      <c r="AL617" s="421"/>
      <c r="AM617" s="421"/>
      <c r="AN617" s="421"/>
      <c r="AO617" s="421"/>
      <c r="AP617" s="421"/>
      <c r="AQ617" s="421"/>
      <c r="AR617" s="421"/>
      <c r="AS617" s="421"/>
      <c r="AT617" s="421"/>
      <c r="AU617" s="421"/>
      <c r="AV617" s="421"/>
      <c r="AW617" s="421"/>
      <c r="AX617" s="421"/>
      <c r="AY617" s="421"/>
      <c r="AZ617" s="421"/>
      <c r="BA617" s="421"/>
      <c r="BC617" s="115"/>
      <c r="BD617" s="115"/>
      <c r="BE617" s="115"/>
      <c r="BF617" s="115"/>
      <c r="BG617" s="115"/>
      <c r="BH617" s="124"/>
      <c r="BI617" s="124"/>
      <c r="BJ617" s="124"/>
      <c r="BK617" s="124"/>
      <c r="BL617" s="124"/>
      <c r="BM617" s="124"/>
      <c r="BN617" s="124"/>
      <c r="BO617" s="124"/>
      <c r="BP617" s="124"/>
      <c r="BQ617" s="124"/>
      <c r="BR617" s="124"/>
      <c r="BS617" s="124"/>
      <c r="BT617" s="124"/>
      <c r="BU617" s="124"/>
      <c r="BV617" s="124"/>
      <c r="BW617" s="124"/>
      <c r="BX617" s="124"/>
      <c r="BY617" s="124"/>
      <c r="BZ617" s="124"/>
      <c r="CA617" s="124"/>
      <c r="CB617" s="124"/>
      <c r="CC617" s="124"/>
      <c r="CD617" s="124"/>
      <c r="CE617" s="124"/>
      <c r="CF617" s="124"/>
      <c r="CG617" s="124"/>
      <c r="CH617" s="124"/>
      <c r="CI617" s="124"/>
      <c r="CJ617" s="124"/>
      <c r="CK617" s="124"/>
      <c r="CL617" s="124"/>
      <c r="CM617" s="124"/>
      <c r="CN617" s="124"/>
      <c r="CO617" s="124"/>
      <c r="CP617" s="124"/>
      <c r="CQ617" s="124"/>
      <c r="CR617" s="124"/>
      <c r="CS617" s="124"/>
      <c r="CT617" s="124"/>
      <c r="CU617" s="124"/>
      <c r="CV617" s="124"/>
      <c r="CW617" s="124"/>
      <c r="CX617" s="124"/>
      <c r="CY617" s="124"/>
      <c r="CZ617" s="124"/>
      <c r="DA617" s="124"/>
      <c r="DB617" s="124"/>
      <c r="DC617" s="124"/>
      <c r="DD617" s="124"/>
      <c r="DE617" s="124"/>
      <c r="DF617" s="124"/>
      <c r="DG617" s="115"/>
    </row>
    <row r="618" spans="2:111" customFormat="1" ht="9" customHeight="1">
      <c r="B618" s="143"/>
      <c r="C618" s="143"/>
      <c r="D618" s="143"/>
      <c r="E618" s="143"/>
      <c r="F618" s="143"/>
      <c r="G618" s="143"/>
      <c r="H618" s="143"/>
      <c r="I618" s="143"/>
      <c r="J618" s="143"/>
      <c r="K618" s="143"/>
      <c r="L618" s="143"/>
      <c r="M618" s="143"/>
      <c r="N618" s="143"/>
      <c r="O618" s="421"/>
      <c r="P618" s="421"/>
      <c r="Q618" s="421"/>
      <c r="R618" s="421"/>
      <c r="S618" s="421"/>
      <c r="T618" s="421"/>
      <c r="U618" s="421"/>
      <c r="V618" s="421"/>
      <c r="W618" s="421"/>
      <c r="X618" s="421"/>
      <c r="Y618" s="421"/>
      <c r="Z618" s="421"/>
      <c r="AA618" s="421"/>
      <c r="AB618" s="421"/>
      <c r="AC618" s="421"/>
      <c r="AD618" s="421"/>
      <c r="AE618" s="421"/>
      <c r="AF618" s="421"/>
      <c r="AG618" s="421"/>
      <c r="AH618" s="421"/>
      <c r="AI618" s="421"/>
      <c r="AJ618" s="421"/>
      <c r="AK618" s="421"/>
      <c r="AL618" s="421"/>
      <c r="AM618" s="421"/>
      <c r="AN618" s="421"/>
      <c r="AO618" s="421"/>
      <c r="AP618" s="421"/>
      <c r="AQ618" s="421"/>
      <c r="AR618" s="421"/>
      <c r="AS618" s="421"/>
      <c r="AT618" s="421"/>
      <c r="AU618" s="421"/>
      <c r="AV618" s="421"/>
      <c r="AW618" s="421"/>
      <c r="AX618" s="421"/>
      <c r="AY618" s="421"/>
      <c r="AZ618" s="421"/>
      <c r="BA618" s="421"/>
      <c r="BC618" s="115"/>
      <c r="BD618" s="115"/>
      <c r="BE618" s="115"/>
      <c r="BF618" s="115"/>
      <c r="BG618" s="115"/>
      <c r="BH618" s="124"/>
      <c r="BI618" s="124"/>
      <c r="BJ618" s="124"/>
      <c r="BK618" s="124"/>
      <c r="BL618" s="124"/>
      <c r="BM618" s="124"/>
      <c r="BN618" s="124"/>
      <c r="BO618" s="124"/>
      <c r="BP618" s="124"/>
      <c r="BQ618" s="124"/>
      <c r="BR618" s="124"/>
      <c r="BS618" s="124"/>
      <c r="BT618" s="124"/>
      <c r="BU618" s="124"/>
      <c r="BV618" s="124"/>
      <c r="BW618" s="124"/>
      <c r="BX618" s="124"/>
      <c r="BY618" s="124"/>
      <c r="BZ618" s="124"/>
      <c r="CA618" s="124"/>
      <c r="CB618" s="124"/>
      <c r="CC618" s="124"/>
      <c r="CD618" s="124"/>
      <c r="CE618" s="124"/>
      <c r="CF618" s="124"/>
      <c r="CG618" s="124"/>
      <c r="CH618" s="124"/>
      <c r="CI618" s="124"/>
      <c r="CJ618" s="124"/>
      <c r="CK618" s="124"/>
      <c r="CL618" s="124"/>
      <c r="CM618" s="124"/>
      <c r="CN618" s="124"/>
      <c r="CO618" s="124"/>
      <c r="CP618" s="124"/>
      <c r="CQ618" s="124"/>
      <c r="CR618" s="124"/>
      <c r="CS618" s="124"/>
      <c r="CT618" s="124"/>
      <c r="CU618" s="124"/>
      <c r="CV618" s="124"/>
      <c r="CW618" s="124"/>
      <c r="CX618" s="124"/>
      <c r="CY618" s="124"/>
      <c r="CZ618" s="124"/>
      <c r="DA618" s="124"/>
      <c r="DB618" s="124"/>
      <c r="DC618" s="124"/>
      <c r="DD618" s="124"/>
      <c r="DE618" s="124"/>
      <c r="DF618" s="124"/>
      <c r="DG618" s="115"/>
    </row>
    <row r="619" spans="2:111" customFormat="1" ht="9" customHeight="1">
      <c r="B619" s="143"/>
      <c r="C619" s="143"/>
      <c r="D619" s="143"/>
      <c r="E619" s="143"/>
      <c r="F619" s="143"/>
      <c r="G619" s="143"/>
      <c r="H619" s="143"/>
      <c r="I619" s="143"/>
      <c r="J619" s="143"/>
      <c r="K619" s="143"/>
      <c r="L619" s="143"/>
      <c r="M619" s="143"/>
      <c r="N619" s="143"/>
      <c r="O619" s="421"/>
      <c r="P619" s="421"/>
      <c r="Q619" s="421"/>
      <c r="R619" s="421"/>
      <c r="S619" s="421"/>
      <c r="T619" s="421"/>
      <c r="U619" s="421"/>
      <c r="V619" s="421"/>
      <c r="W619" s="421"/>
      <c r="X619" s="421"/>
      <c r="Y619" s="421"/>
      <c r="Z619" s="421"/>
      <c r="AA619" s="421"/>
      <c r="AB619" s="421"/>
      <c r="AC619" s="421"/>
      <c r="AD619" s="421"/>
      <c r="AE619" s="421"/>
      <c r="AF619" s="421"/>
      <c r="AG619" s="421"/>
      <c r="AH619" s="421"/>
      <c r="AI619" s="421"/>
      <c r="AJ619" s="421"/>
      <c r="AK619" s="421"/>
      <c r="AL619" s="421"/>
      <c r="AM619" s="421"/>
      <c r="AN619" s="421"/>
      <c r="AO619" s="421"/>
      <c r="AP619" s="421"/>
      <c r="AQ619" s="421"/>
      <c r="AR619" s="421"/>
      <c r="AS619" s="421"/>
      <c r="AT619" s="421"/>
      <c r="AU619" s="421"/>
      <c r="AV619" s="421"/>
      <c r="AW619" s="421"/>
      <c r="AX619" s="421"/>
      <c r="AY619" s="421"/>
      <c r="AZ619" s="421"/>
      <c r="BA619" s="421"/>
      <c r="BC619" s="115"/>
      <c r="BD619" s="115"/>
      <c r="BE619" s="115"/>
      <c r="BF619" s="115"/>
      <c r="BG619" s="115"/>
      <c r="BH619" s="84"/>
      <c r="BI619" s="84"/>
      <c r="BJ619" s="84"/>
      <c r="BK619" s="84"/>
      <c r="BL619" s="84"/>
      <c r="BM619" s="84"/>
      <c r="BN619" s="84"/>
      <c r="BO619" s="84"/>
      <c r="BP619" s="84"/>
      <c r="BQ619" s="84"/>
      <c r="BR619" s="84"/>
      <c r="BS619" s="84"/>
      <c r="BT619" s="84"/>
      <c r="BU619" s="84"/>
      <c r="BV619" s="84"/>
      <c r="BW619" s="84"/>
      <c r="BX619" s="84"/>
      <c r="BY619" s="84"/>
      <c r="BZ619" s="84"/>
      <c r="CA619" s="84"/>
      <c r="CB619" s="84"/>
      <c r="CC619" s="84"/>
      <c r="CD619" s="84"/>
      <c r="CE619" s="84"/>
      <c r="CF619" s="84"/>
      <c r="CG619" s="84"/>
      <c r="CH619" s="84"/>
      <c r="CI619" s="84"/>
      <c r="CJ619" s="84"/>
      <c r="CK619" s="84"/>
      <c r="CL619" s="84"/>
      <c r="CM619" s="84"/>
      <c r="CN619" s="84"/>
      <c r="CO619" s="84"/>
      <c r="CP619" s="84"/>
      <c r="CQ619" s="84"/>
      <c r="CR619" s="84"/>
      <c r="CS619" s="84"/>
      <c r="CT619" s="84"/>
      <c r="CU619" s="84"/>
      <c r="CV619" s="84"/>
      <c r="CW619" s="84"/>
      <c r="CX619" s="84"/>
      <c r="CY619" s="84"/>
      <c r="CZ619" s="84"/>
      <c r="DA619" s="84"/>
      <c r="DB619" s="84"/>
      <c r="DC619" s="84"/>
      <c r="DD619" s="84"/>
      <c r="DE619" s="84"/>
      <c r="DF619" s="84"/>
      <c r="DG619" s="115"/>
    </row>
    <row r="620" spans="2:111" customFormat="1" ht="9" customHeight="1">
      <c r="B620" s="143"/>
      <c r="C620" s="143"/>
      <c r="D620" s="143"/>
      <c r="E620" s="143"/>
      <c r="F620" s="143"/>
      <c r="G620" s="143"/>
      <c r="H620" s="143"/>
      <c r="I620" s="143"/>
      <c r="J620" s="143"/>
      <c r="K620" s="143"/>
      <c r="L620" s="143"/>
      <c r="M620" s="143"/>
      <c r="N620" s="143"/>
      <c r="O620" s="421"/>
      <c r="P620" s="421"/>
      <c r="Q620" s="421"/>
      <c r="R620" s="421"/>
      <c r="S620" s="421"/>
      <c r="T620" s="421"/>
      <c r="U620" s="421"/>
      <c r="V620" s="421"/>
      <c r="W620" s="421"/>
      <c r="X620" s="421"/>
      <c r="Y620" s="421"/>
      <c r="Z620" s="421"/>
      <c r="AA620" s="421"/>
      <c r="AB620" s="421"/>
      <c r="AC620" s="421"/>
      <c r="AD620" s="421"/>
      <c r="AE620" s="421"/>
      <c r="AF620" s="421"/>
      <c r="AG620" s="421"/>
      <c r="AH620" s="421"/>
      <c r="AI620" s="421"/>
      <c r="AJ620" s="421"/>
      <c r="AK620" s="421"/>
      <c r="AL620" s="421"/>
      <c r="AM620" s="421"/>
      <c r="AN620" s="421"/>
      <c r="AO620" s="421"/>
      <c r="AP620" s="421"/>
      <c r="AQ620" s="421"/>
      <c r="AR620" s="421"/>
      <c r="AS620" s="421"/>
      <c r="AT620" s="421"/>
      <c r="AU620" s="421"/>
      <c r="AV620" s="421"/>
      <c r="AW620" s="421"/>
      <c r="AX620" s="421"/>
      <c r="AY620" s="421"/>
      <c r="AZ620" s="421"/>
      <c r="BA620" s="421"/>
      <c r="BC620" s="115"/>
      <c r="BD620" s="115"/>
      <c r="BE620" s="115"/>
      <c r="BF620" s="115"/>
      <c r="BG620" s="115"/>
      <c r="BH620" s="84"/>
      <c r="BI620" s="84"/>
      <c r="BJ620" s="84"/>
      <c r="BK620" s="84"/>
      <c r="BL620" s="84"/>
      <c r="BM620" s="84"/>
      <c r="BN620" s="84"/>
      <c r="BO620" s="84"/>
      <c r="BP620" s="84"/>
      <c r="BQ620" s="84"/>
      <c r="BR620" s="84"/>
      <c r="BS620" s="84"/>
      <c r="BT620" s="84"/>
      <c r="BU620" s="84"/>
      <c r="BV620" s="84"/>
      <c r="BW620" s="84"/>
      <c r="BX620" s="84"/>
      <c r="BY620" s="84"/>
      <c r="BZ620" s="84"/>
      <c r="CA620" s="84"/>
      <c r="CB620" s="84"/>
      <c r="CC620" s="84"/>
      <c r="CD620" s="84"/>
      <c r="CE620" s="84"/>
      <c r="CF620" s="84"/>
      <c r="CG620" s="84"/>
      <c r="CH620" s="84"/>
      <c r="CI620" s="84"/>
      <c r="CJ620" s="84"/>
      <c r="CK620" s="84"/>
      <c r="CL620" s="84"/>
      <c r="CM620" s="84"/>
      <c r="CN620" s="84"/>
      <c r="CO620" s="84"/>
      <c r="CP620" s="84"/>
      <c r="CQ620" s="84"/>
      <c r="CR620" s="84"/>
      <c r="CS620" s="84"/>
      <c r="CT620" s="84"/>
      <c r="CU620" s="84"/>
      <c r="CV620" s="84"/>
      <c r="CW620" s="84"/>
      <c r="CX620" s="84"/>
      <c r="CY620" s="84"/>
      <c r="CZ620" s="84"/>
      <c r="DA620" s="84"/>
      <c r="DB620" s="84"/>
      <c r="DC620" s="84"/>
      <c r="DD620" s="84"/>
      <c r="DE620" s="84"/>
      <c r="DF620" s="84"/>
      <c r="DG620" s="115"/>
    </row>
    <row r="621" spans="2:111" customFormat="1" ht="9" customHeight="1">
      <c r="B621" s="49"/>
      <c r="C621" s="49"/>
      <c r="D621" s="49"/>
      <c r="E621" s="49"/>
      <c r="F621" s="49"/>
      <c r="G621" s="49"/>
      <c r="H621" s="49"/>
      <c r="I621" s="49"/>
      <c r="J621" s="49"/>
      <c r="K621" s="49"/>
      <c r="L621" s="49"/>
      <c r="M621" s="49"/>
      <c r="N621" s="49"/>
      <c r="O621" s="421"/>
      <c r="P621" s="421"/>
      <c r="Q621" s="421"/>
      <c r="R621" s="421"/>
      <c r="S621" s="421"/>
      <c r="T621" s="421"/>
      <c r="U621" s="421"/>
      <c r="V621" s="421"/>
      <c r="W621" s="421"/>
      <c r="X621" s="421"/>
      <c r="Y621" s="421"/>
      <c r="Z621" s="421"/>
      <c r="AA621" s="421"/>
      <c r="AB621" s="421"/>
      <c r="AC621" s="421"/>
      <c r="AD621" s="421"/>
      <c r="AE621" s="421"/>
      <c r="AF621" s="421"/>
      <c r="AG621" s="421"/>
      <c r="AH621" s="421"/>
      <c r="AI621" s="421"/>
      <c r="AJ621" s="421"/>
      <c r="AK621" s="421"/>
      <c r="AL621" s="421"/>
      <c r="AM621" s="421"/>
      <c r="AN621" s="421"/>
      <c r="AO621" s="421"/>
      <c r="AP621" s="421"/>
      <c r="AQ621" s="421"/>
      <c r="AR621" s="421"/>
      <c r="AS621" s="421"/>
      <c r="AT621" s="421"/>
      <c r="AU621" s="421"/>
      <c r="AV621" s="421"/>
      <c r="AW621" s="421"/>
      <c r="AX621" s="421"/>
      <c r="AY621" s="421"/>
      <c r="AZ621" s="421"/>
      <c r="BA621" s="421"/>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row>
    <row r="622" spans="2:111" customFormat="1" ht="4.5" customHeight="1">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row>
    <row r="623" spans="2:111" customFormat="1" ht="9" customHeight="1">
      <c r="B623" s="493" t="str">
        <f>IF(B596="","","Metas Vinculadas:")</f>
        <v/>
      </c>
      <c r="C623" s="493"/>
      <c r="D623" s="493"/>
      <c r="E623" s="493"/>
      <c r="F623" s="493"/>
      <c r="G623" s="493"/>
      <c r="H623" s="493"/>
      <c r="I623" s="493"/>
      <c r="J623" s="493"/>
      <c r="K623" s="493"/>
      <c r="L623" s="493"/>
      <c r="M623" s="493"/>
      <c r="N623" s="493"/>
      <c r="O623" s="421"/>
      <c r="P623" s="421"/>
      <c r="Q623" s="421"/>
      <c r="R623" s="421"/>
      <c r="S623" s="421"/>
      <c r="T623" s="421"/>
      <c r="U623" s="421"/>
      <c r="V623" s="421"/>
      <c r="W623" s="421"/>
      <c r="X623" s="421"/>
      <c r="Y623" s="421"/>
      <c r="Z623" s="421"/>
      <c r="AA623" s="421"/>
      <c r="AB623" s="421"/>
      <c r="AC623" s="421"/>
      <c r="AD623" s="421"/>
      <c r="AE623" s="421"/>
      <c r="AF623" s="421"/>
      <c r="AG623" s="421"/>
      <c r="AH623" s="421"/>
      <c r="AI623" s="421"/>
      <c r="AJ623" s="421"/>
      <c r="AK623" s="421"/>
      <c r="AL623" s="421"/>
      <c r="AM623" s="421"/>
      <c r="AN623" s="421"/>
      <c r="AO623" s="421"/>
      <c r="AP623" s="421"/>
      <c r="AQ623" s="421"/>
      <c r="AR623" s="421"/>
      <c r="AS623" s="421"/>
      <c r="AT623" s="421"/>
      <c r="AU623" s="421"/>
      <c r="AV623" s="421"/>
      <c r="AW623" s="421"/>
      <c r="AX623" s="421"/>
      <c r="AY623" s="421"/>
      <c r="AZ623" s="421"/>
      <c r="BA623" s="421"/>
      <c r="BC623" s="115"/>
      <c r="BD623" s="115"/>
      <c r="BE623" s="115"/>
      <c r="BF623" s="115"/>
      <c r="BG623" s="115"/>
      <c r="BH623" s="124"/>
      <c r="BI623" s="124"/>
      <c r="BJ623" s="124"/>
      <c r="BK623" s="124"/>
      <c r="BL623" s="124"/>
      <c r="BM623" s="124"/>
      <c r="BN623" s="124"/>
      <c r="BO623" s="124"/>
      <c r="BP623" s="124"/>
      <c r="BQ623" s="124"/>
      <c r="BR623" s="124"/>
      <c r="BS623" s="124"/>
      <c r="BT623" s="124"/>
      <c r="BU623" s="124"/>
      <c r="BV623" s="124"/>
      <c r="BW623" s="124"/>
      <c r="BX623" s="124"/>
      <c r="BY623" s="124"/>
      <c r="BZ623" s="124"/>
      <c r="CA623" s="124"/>
      <c r="CB623" s="124"/>
      <c r="CC623" s="124"/>
      <c r="CD623" s="124"/>
      <c r="CE623" s="124"/>
      <c r="CF623" s="124"/>
      <c r="CG623" s="124"/>
      <c r="CH623" s="124"/>
      <c r="CI623" s="124"/>
      <c r="CJ623" s="124"/>
      <c r="CK623" s="124"/>
      <c r="CL623" s="124"/>
      <c r="CM623" s="124"/>
      <c r="CN623" s="124"/>
      <c r="CO623" s="124"/>
      <c r="CP623" s="124"/>
      <c r="CQ623" s="124"/>
      <c r="CR623" s="124"/>
      <c r="CS623" s="124"/>
      <c r="CT623" s="124"/>
      <c r="CU623" s="124"/>
      <c r="CV623" s="124"/>
      <c r="CW623" s="124"/>
      <c r="CX623" s="124"/>
      <c r="CY623" s="124"/>
      <c r="CZ623" s="124"/>
      <c r="DA623" s="124"/>
      <c r="DB623" s="124"/>
      <c r="DC623" s="124"/>
      <c r="DD623" s="124"/>
      <c r="DE623" s="124"/>
      <c r="DF623" s="124"/>
      <c r="DG623" s="115"/>
    </row>
    <row r="624" spans="2:111" customFormat="1" ht="9" customHeight="1">
      <c r="B624" s="493"/>
      <c r="C624" s="493"/>
      <c r="D624" s="493"/>
      <c r="E624" s="493"/>
      <c r="F624" s="493"/>
      <c r="G624" s="493"/>
      <c r="H624" s="493"/>
      <c r="I624" s="493"/>
      <c r="J624" s="493"/>
      <c r="K624" s="493"/>
      <c r="L624" s="493"/>
      <c r="M624" s="493"/>
      <c r="N624" s="493"/>
      <c r="O624" s="421"/>
      <c r="P624" s="421"/>
      <c r="Q624" s="421"/>
      <c r="R624" s="421"/>
      <c r="S624" s="421"/>
      <c r="T624" s="421"/>
      <c r="U624" s="421"/>
      <c r="V624" s="421"/>
      <c r="W624" s="421"/>
      <c r="X624" s="421"/>
      <c r="Y624" s="421"/>
      <c r="Z624" s="421"/>
      <c r="AA624" s="421"/>
      <c r="AB624" s="421"/>
      <c r="AC624" s="421"/>
      <c r="AD624" s="421"/>
      <c r="AE624" s="421"/>
      <c r="AF624" s="421"/>
      <c r="AG624" s="421"/>
      <c r="AH624" s="421"/>
      <c r="AI624" s="421"/>
      <c r="AJ624" s="421"/>
      <c r="AK624" s="421"/>
      <c r="AL624" s="421"/>
      <c r="AM624" s="421"/>
      <c r="AN624" s="421"/>
      <c r="AO624" s="421"/>
      <c r="AP624" s="421"/>
      <c r="AQ624" s="421"/>
      <c r="AR624" s="421"/>
      <c r="AS624" s="421"/>
      <c r="AT624" s="421"/>
      <c r="AU624" s="421"/>
      <c r="AV624" s="421"/>
      <c r="AW624" s="421"/>
      <c r="AX624" s="421"/>
      <c r="AY624" s="421"/>
      <c r="AZ624" s="421"/>
      <c r="BA624" s="421"/>
      <c r="BC624" s="115"/>
      <c r="BD624" s="115"/>
      <c r="BE624" s="115"/>
      <c r="BF624" s="115"/>
      <c r="BG624" s="115"/>
      <c r="BH624" s="84"/>
      <c r="BI624" s="84"/>
      <c r="BJ624" s="84"/>
      <c r="BK624" s="84"/>
      <c r="BL624" s="84"/>
      <c r="BM624" s="84"/>
      <c r="BN624" s="84"/>
      <c r="BO624" s="84"/>
      <c r="BP624" s="84"/>
      <c r="BQ624" s="84"/>
      <c r="BR624" s="84"/>
      <c r="BS624" s="84"/>
      <c r="BT624" s="84"/>
      <c r="BU624" s="84"/>
      <c r="BV624" s="84"/>
      <c r="BW624" s="84"/>
      <c r="BX624" s="84"/>
      <c r="BY624" s="84"/>
      <c r="BZ624" s="84"/>
      <c r="CA624" s="84"/>
      <c r="CB624" s="84"/>
      <c r="CC624" s="84"/>
      <c r="CD624" s="84"/>
      <c r="CE624" s="84"/>
      <c r="CF624" s="84"/>
      <c r="CG624" s="84"/>
      <c r="CH624" s="84"/>
      <c r="CI624" s="84"/>
      <c r="CJ624" s="84"/>
      <c r="CK624" s="84"/>
      <c r="CL624" s="84"/>
      <c r="CM624" s="84"/>
      <c r="CN624" s="84"/>
      <c r="CO624" s="84"/>
      <c r="CP624" s="84"/>
      <c r="CQ624" s="84"/>
      <c r="CR624" s="84"/>
      <c r="CS624" s="84"/>
      <c r="CT624" s="84"/>
      <c r="CU624" s="84"/>
      <c r="CV624" s="84"/>
      <c r="CW624" s="84"/>
      <c r="CX624" s="84"/>
      <c r="CY624" s="84"/>
      <c r="CZ624" s="84"/>
      <c r="DA624" s="84"/>
      <c r="DB624" s="84"/>
      <c r="DC624" s="84"/>
      <c r="DD624" s="84"/>
      <c r="DE624" s="84"/>
      <c r="DF624" s="84"/>
      <c r="DG624" s="115"/>
    </row>
    <row r="625" spans="2:111" customFormat="1" ht="4.5" customHeight="1">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row>
    <row r="626" spans="2:111" customFormat="1" ht="9" customHeight="1">
      <c r="B626" s="125"/>
      <c r="C626" s="125"/>
      <c r="D626" s="125"/>
      <c r="E626" s="125"/>
      <c r="F626" s="125"/>
      <c r="G626" s="125"/>
      <c r="H626" s="125"/>
      <c r="I626" s="125"/>
      <c r="J626" s="125"/>
      <c r="K626" s="125"/>
      <c r="L626" s="125"/>
      <c r="M626" s="125"/>
      <c r="N626" s="125"/>
      <c r="O626" s="496" t="str">
        <f>IF(B596="","","Quantidade:")</f>
        <v/>
      </c>
      <c r="P626" s="496"/>
      <c r="Q626" s="496"/>
      <c r="R626" s="496"/>
      <c r="S626" s="496"/>
      <c r="T626" s="496"/>
      <c r="U626" s="496"/>
      <c r="V626" s="417"/>
      <c r="W626" s="417"/>
      <c r="X626" s="417"/>
      <c r="Y626" s="417"/>
      <c r="Z626" s="417"/>
      <c r="AA626" s="417"/>
      <c r="AB626" s="417"/>
      <c r="AC626" s="417"/>
      <c r="AD626" s="417"/>
      <c r="AE626" s="417"/>
      <c r="AF626" s="125"/>
      <c r="AG626" s="497" t="str">
        <f>IF(B596="","","Unidade:")</f>
        <v/>
      </c>
      <c r="AH626" s="497"/>
      <c r="AI626" s="497"/>
      <c r="AJ626" s="497"/>
      <c r="AK626" s="497"/>
      <c r="AL626" s="497"/>
      <c r="AM626" s="497"/>
      <c r="AN626" s="125"/>
      <c r="AO626" s="417"/>
      <c r="AP626" s="417"/>
      <c r="AQ626" s="417"/>
      <c r="AR626" s="417"/>
      <c r="AS626" s="417"/>
      <c r="AT626" s="417"/>
      <c r="AU626" s="417"/>
      <c r="AV626" s="417"/>
      <c r="AW626" s="417"/>
      <c r="AX626" s="417"/>
      <c r="AY626" s="417"/>
      <c r="AZ626" s="417"/>
      <c r="BA626" s="417"/>
      <c r="BC626" s="115"/>
      <c r="BD626" s="115"/>
      <c r="BE626" s="115"/>
      <c r="BF626" s="115"/>
      <c r="BG626" s="115"/>
      <c r="BH626" s="124"/>
      <c r="BI626" s="124"/>
      <c r="BJ626" s="124"/>
      <c r="BK626" s="124"/>
      <c r="BL626" s="124"/>
      <c r="BM626" s="124"/>
      <c r="BN626" s="124"/>
      <c r="BO626" s="124"/>
      <c r="BP626" s="124"/>
      <c r="BQ626" s="124"/>
      <c r="BR626" s="124"/>
      <c r="BS626" s="124"/>
      <c r="BT626" s="124"/>
      <c r="BU626" s="124"/>
      <c r="BV626" s="124"/>
      <c r="BW626" s="124"/>
      <c r="BX626" s="124"/>
      <c r="BY626" s="124"/>
      <c r="BZ626" s="124"/>
      <c r="CA626" s="124"/>
      <c r="CB626" s="124"/>
      <c r="CC626" s="124"/>
      <c r="CD626" s="124"/>
      <c r="CE626" s="124"/>
      <c r="CF626" s="124"/>
      <c r="CG626" s="124"/>
      <c r="CH626" s="124"/>
      <c r="CI626" s="124"/>
      <c r="CJ626" s="124"/>
      <c r="CK626" s="124"/>
      <c r="CL626" s="124"/>
      <c r="CM626" s="124"/>
      <c r="CN626" s="124"/>
      <c r="CO626" s="124"/>
      <c r="CP626" s="124"/>
      <c r="CQ626" s="124"/>
      <c r="CR626" s="124"/>
      <c r="CS626" s="124"/>
      <c r="CT626" s="124"/>
      <c r="CU626" s="124"/>
      <c r="CV626" s="124"/>
      <c r="CW626" s="124"/>
      <c r="CX626" s="124"/>
      <c r="CY626" s="124"/>
      <c r="CZ626" s="124"/>
      <c r="DA626" s="124"/>
      <c r="DB626" s="124"/>
      <c r="DC626" s="124"/>
      <c r="DD626" s="124"/>
      <c r="DE626" s="124"/>
      <c r="DF626" s="124"/>
      <c r="DG626" s="115"/>
    </row>
    <row r="627" spans="2:111" customFormat="1" ht="9" customHeight="1">
      <c r="B627" s="125"/>
      <c r="C627" s="125"/>
      <c r="D627" s="125"/>
      <c r="E627" s="125"/>
      <c r="F627" s="125"/>
      <c r="G627" s="125"/>
      <c r="H627" s="125"/>
      <c r="I627" s="125"/>
      <c r="J627" s="125"/>
      <c r="K627" s="125"/>
      <c r="L627" s="125"/>
      <c r="M627" s="125"/>
      <c r="N627" s="125"/>
      <c r="O627" s="496"/>
      <c r="P627" s="496"/>
      <c r="Q627" s="496"/>
      <c r="R627" s="496"/>
      <c r="S627" s="496"/>
      <c r="T627" s="496"/>
      <c r="U627" s="496"/>
      <c r="V627" s="417"/>
      <c r="W627" s="417"/>
      <c r="X627" s="417"/>
      <c r="Y627" s="417"/>
      <c r="Z627" s="417"/>
      <c r="AA627" s="417"/>
      <c r="AB627" s="417"/>
      <c r="AC627" s="417"/>
      <c r="AD627" s="417"/>
      <c r="AE627" s="417"/>
      <c r="AF627" s="125"/>
      <c r="AG627" s="497"/>
      <c r="AH627" s="497"/>
      <c r="AI627" s="497"/>
      <c r="AJ627" s="497"/>
      <c r="AK627" s="497"/>
      <c r="AL627" s="497"/>
      <c r="AM627" s="497"/>
      <c r="AN627" s="125"/>
      <c r="AO627" s="417"/>
      <c r="AP627" s="417"/>
      <c r="AQ627" s="417"/>
      <c r="AR627" s="417"/>
      <c r="AS627" s="417"/>
      <c r="AT627" s="417"/>
      <c r="AU627" s="417"/>
      <c r="AV627" s="417"/>
      <c r="AW627" s="417"/>
      <c r="AX627" s="417"/>
      <c r="AY627" s="417"/>
      <c r="AZ627" s="417"/>
      <c r="BA627" s="417"/>
      <c r="BC627" s="115"/>
      <c r="BD627" s="115"/>
      <c r="BE627" s="115"/>
      <c r="BF627" s="115"/>
      <c r="BG627" s="115"/>
      <c r="BH627" s="124"/>
      <c r="BI627" s="124"/>
      <c r="BJ627" s="124"/>
      <c r="BK627" s="124"/>
      <c r="BL627" s="124"/>
      <c r="BM627" s="124"/>
      <c r="BN627" s="124"/>
      <c r="BO627" s="124"/>
      <c r="BP627" s="124"/>
      <c r="BQ627" s="124"/>
      <c r="BR627" s="124"/>
      <c r="BS627" s="124"/>
      <c r="BT627" s="124"/>
      <c r="BU627" s="124"/>
      <c r="BV627" s="124"/>
      <c r="BW627" s="124"/>
      <c r="BX627" s="124"/>
      <c r="BY627" s="124"/>
      <c r="BZ627" s="124"/>
      <c r="CA627" s="124"/>
      <c r="CB627" s="124"/>
      <c r="CC627" s="124"/>
      <c r="CD627" s="124"/>
      <c r="CE627" s="124"/>
      <c r="CF627" s="124"/>
      <c r="CG627" s="124"/>
      <c r="CH627" s="124"/>
      <c r="CI627" s="124"/>
      <c r="CJ627" s="124"/>
      <c r="CK627" s="124"/>
      <c r="CL627" s="124"/>
      <c r="CM627" s="124"/>
      <c r="CN627" s="124"/>
      <c r="CO627" s="124"/>
      <c r="CP627" s="124"/>
      <c r="CQ627" s="124"/>
      <c r="CR627" s="124"/>
      <c r="CS627" s="124"/>
      <c r="CT627" s="124"/>
      <c r="CU627" s="124"/>
      <c r="CV627" s="124"/>
      <c r="CW627" s="124"/>
      <c r="CX627" s="124"/>
      <c r="CY627" s="124"/>
      <c r="CZ627" s="124"/>
      <c r="DA627" s="124"/>
      <c r="DB627" s="124"/>
      <c r="DC627" s="124"/>
      <c r="DD627" s="124"/>
      <c r="DE627" s="124"/>
      <c r="DF627" s="124"/>
      <c r="DG627" s="115"/>
    </row>
    <row r="628" spans="2:111" customFormat="1" ht="9" customHeight="1">
      <c r="BC628" s="115"/>
      <c r="BD628" s="115"/>
      <c r="BE628" s="115"/>
      <c r="BF628" s="115"/>
      <c r="BG628" s="115"/>
      <c r="BH628" s="498"/>
      <c r="BI628" s="498"/>
      <c r="BJ628" s="498"/>
      <c r="BK628" s="498"/>
      <c r="BL628" s="498"/>
      <c r="BM628" s="498"/>
      <c r="BN628" s="498"/>
      <c r="BO628" s="498"/>
      <c r="BP628" s="498"/>
      <c r="BQ628" s="498"/>
      <c r="BR628" s="498"/>
      <c r="BS628" s="498"/>
      <c r="BT628" s="498"/>
      <c r="BU628" s="498"/>
      <c r="BV628" s="498"/>
      <c r="BW628" s="498"/>
      <c r="BX628" s="498"/>
      <c r="BY628" s="498"/>
      <c r="BZ628" s="498"/>
      <c r="CA628" s="498"/>
      <c r="CB628" s="498"/>
      <c r="CC628" s="498"/>
      <c r="CD628" s="498"/>
      <c r="CE628" s="498"/>
      <c r="CF628" s="498"/>
      <c r="CG628" s="498"/>
      <c r="CH628" s="498"/>
      <c r="CI628" s="498"/>
      <c r="CJ628" s="498"/>
      <c r="CK628" s="498"/>
      <c r="CL628" s="498"/>
      <c r="CM628" s="498"/>
      <c r="CN628" s="498"/>
      <c r="CO628" s="498"/>
      <c r="CP628" s="498"/>
      <c r="CQ628" s="498"/>
      <c r="CR628" s="498"/>
      <c r="CS628" s="498"/>
      <c r="CT628" s="498"/>
      <c r="CU628" s="498"/>
      <c r="CV628" s="498"/>
      <c r="CW628" s="498"/>
      <c r="CX628" s="498"/>
      <c r="CY628" s="498"/>
      <c r="CZ628" s="498"/>
      <c r="DA628" s="498"/>
      <c r="DB628" s="498"/>
      <c r="DC628" s="498"/>
      <c r="DD628" s="498"/>
      <c r="DE628" s="498"/>
      <c r="DF628" s="498"/>
      <c r="DG628" s="115"/>
    </row>
    <row r="629" spans="2:111" customFormat="1" ht="9" customHeight="1">
      <c r="B629" s="499" t="str">
        <f>IF($Z$32&gt;=15,"Nome da Empresa ou Nº da Ata","")</f>
        <v/>
      </c>
      <c r="C629" s="499"/>
      <c r="D629" s="499"/>
      <c r="E629" s="499"/>
      <c r="F629" s="499"/>
      <c r="G629" s="499"/>
      <c r="H629" s="499"/>
      <c r="I629" s="499"/>
      <c r="J629" s="499"/>
      <c r="K629" s="499"/>
      <c r="L629" s="499"/>
      <c r="M629" s="499"/>
      <c r="N629" s="499"/>
      <c r="O629" s="499"/>
      <c r="P629" s="499"/>
      <c r="Q629" s="499"/>
      <c r="R629" s="499"/>
      <c r="S629" s="499"/>
      <c r="T629" s="499"/>
      <c r="U629" s="499"/>
      <c r="V629" s="499"/>
      <c r="W629" s="499"/>
      <c r="X629" s="499" t="str">
        <f>IF($Z$32&gt;=15,"CNPJ / CPF","")</f>
        <v/>
      </c>
      <c r="Y629" s="499"/>
      <c r="Z629" s="499"/>
      <c r="AA629" s="499"/>
      <c r="AB629" s="499"/>
      <c r="AC629" s="499"/>
      <c r="AD629" s="499"/>
      <c r="AE629" s="499"/>
      <c r="AF629" s="499"/>
      <c r="AG629" s="499"/>
      <c r="AH629" s="499" t="str">
        <f>IF($Z$32&gt;=15,"Qtde","")</f>
        <v/>
      </c>
      <c r="AI629" s="499"/>
      <c r="AJ629" s="499"/>
      <c r="AK629" s="499"/>
      <c r="AL629" s="499" t="str">
        <f>IF($Z$32&gt;=15,"Valor Unitário (R$)","")</f>
        <v/>
      </c>
      <c r="AM629" s="499"/>
      <c r="AN629" s="499"/>
      <c r="AO629" s="499"/>
      <c r="AP629" s="499"/>
      <c r="AQ629" s="499"/>
      <c r="AR629" s="499"/>
      <c r="AS629" s="499"/>
      <c r="AT629" s="499" t="str">
        <f>IF($Z$32&gt;=15,"Valor Total (R$)","")</f>
        <v/>
      </c>
      <c r="AU629" s="499"/>
      <c r="AV629" s="499"/>
      <c r="AW629" s="499"/>
      <c r="AX629" s="499"/>
      <c r="AY629" s="499"/>
      <c r="AZ629" s="499"/>
      <c r="BA629" s="499"/>
      <c r="BC629" s="115"/>
      <c r="BD629" s="115"/>
      <c r="BE629" s="115"/>
      <c r="BF629" s="115"/>
      <c r="BG629" s="115"/>
      <c r="BH629" s="498"/>
      <c r="BI629" s="498"/>
      <c r="BJ629" s="498"/>
      <c r="BK629" s="498"/>
      <c r="BL629" s="498"/>
      <c r="BM629" s="498"/>
      <c r="BN629" s="498"/>
      <c r="BO629" s="498"/>
      <c r="BP629" s="498"/>
      <c r="BQ629" s="498"/>
      <c r="BR629" s="498"/>
      <c r="BS629" s="498"/>
      <c r="BT629" s="498"/>
      <c r="BU629" s="498"/>
      <c r="BV629" s="498"/>
      <c r="BW629" s="498"/>
      <c r="BX629" s="498"/>
      <c r="BY629" s="498"/>
      <c r="BZ629" s="498"/>
      <c r="CA629" s="498"/>
      <c r="CB629" s="498"/>
      <c r="CC629" s="498"/>
      <c r="CD629" s="498"/>
      <c r="CE629" s="498"/>
      <c r="CF629" s="498"/>
      <c r="CG629" s="498"/>
      <c r="CH629" s="498"/>
      <c r="CI629" s="498"/>
      <c r="CJ629" s="498"/>
      <c r="CK629" s="498"/>
      <c r="CL629" s="498"/>
      <c r="CM629" s="498"/>
      <c r="CN629" s="498"/>
      <c r="CO629" s="498"/>
      <c r="CP629" s="498"/>
      <c r="CQ629" s="498"/>
      <c r="CR629" s="498"/>
      <c r="CS629" s="498"/>
      <c r="CT629" s="498"/>
      <c r="CU629" s="498"/>
      <c r="CV629" s="498"/>
      <c r="CW629" s="498"/>
      <c r="CX629" s="498"/>
      <c r="CY629" s="498"/>
      <c r="CZ629" s="498"/>
      <c r="DA629" s="498"/>
      <c r="DB629" s="498"/>
      <c r="DC629" s="498"/>
      <c r="DD629" s="498"/>
      <c r="DE629" s="498"/>
      <c r="DF629" s="498"/>
      <c r="DG629" s="115"/>
    </row>
    <row r="630" spans="2:111" customFormat="1" ht="9" customHeight="1">
      <c r="B630" s="499"/>
      <c r="C630" s="499"/>
      <c r="D630" s="499"/>
      <c r="E630" s="499"/>
      <c r="F630" s="499"/>
      <c r="G630" s="499"/>
      <c r="H630" s="499"/>
      <c r="I630" s="499"/>
      <c r="J630" s="499"/>
      <c r="K630" s="499"/>
      <c r="L630" s="499"/>
      <c r="M630" s="499"/>
      <c r="N630" s="499"/>
      <c r="O630" s="499"/>
      <c r="P630" s="499"/>
      <c r="Q630" s="499"/>
      <c r="R630" s="499"/>
      <c r="S630" s="499"/>
      <c r="T630" s="499"/>
      <c r="U630" s="499"/>
      <c r="V630" s="499"/>
      <c r="W630" s="499"/>
      <c r="X630" s="499"/>
      <c r="Y630" s="499"/>
      <c r="Z630" s="499"/>
      <c r="AA630" s="499"/>
      <c r="AB630" s="499"/>
      <c r="AC630" s="499"/>
      <c r="AD630" s="499"/>
      <c r="AE630" s="499"/>
      <c r="AF630" s="499"/>
      <c r="AG630" s="499"/>
      <c r="AH630" s="499"/>
      <c r="AI630" s="499"/>
      <c r="AJ630" s="499"/>
      <c r="AK630" s="499"/>
      <c r="AL630" s="499"/>
      <c r="AM630" s="499"/>
      <c r="AN630" s="499"/>
      <c r="AO630" s="499"/>
      <c r="AP630" s="499"/>
      <c r="AQ630" s="499"/>
      <c r="AR630" s="499"/>
      <c r="AS630" s="499"/>
      <c r="AT630" s="499"/>
      <c r="AU630" s="499"/>
      <c r="AV630" s="499"/>
      <c r="AW630" s="499"/>
      <c r="AX630" s="499"/>
      <c r="AY630" s="499"/>
      <c r="AZ630" s="499"/>
      <c r="BA630" s="499"/>
      <c r="BB630" s="176" t="e">
        <f>AVERAGE(AL631:AS633)</f>
        <v>#DIV/0!</v>
      </c>
      <c r="BC630" s="115"/>
      <c r="BD630" s="115"/>
      <c r="BE630" s="115"/>
      <c r="BF630" s="115"/>
      <c r="BG630" s="115"/>
      <c r="BH630" s="498"/>
      <c r="BI630" s="498"/>
      <c r="BJ630" s="498"/>
      <c r="BK630" s="498"/>
      <c r="BL630" s="498"/>
      <c r="BM630" s="498"/>
      <c r="BN630" s="498"/>
      <c r="BO630" s="498"/>
      <c r="BP630" s="498"/>
      <c r="BQ630" s="498"/>
      <c r="BR630" s="498"/>
      <c r="BS630" s="498"/>
      <c r="BT630" s="498"/>
      <c r="BU630" s="498"/>
      <c r="BV630" s="498"/>
      <c r="BW630" s="498"/>
      <c r="BX630" s="498"/>
      <c r="BY630" s="498"/>
      <c r="BZ630" s="498"/>
      <c r="CA630" s="498"/>
      <c r="CB630" s="498"/>
      <c r="CC630" s="498"/>
      <c r="CD630" s="498"/>
      <c r="CE630" s="498"/>
      <c r="CF630" s="498"/>
      <c r="CG630" s="498"/>
      <c r="CH630" s="498"/>
      <c r="CI630" s="498"/>
      <c r="CJ630" s="498"/>
      <c r="CK630" s="498"/>
      <c r="CL630" s="498"/>
      <c r="CM630" s="498"/>
      <c r="CN630" s="498"/>
      <c r="CO630" s="498"/>
      <c r="CP630" s="498"/>
      <c r="CQ630" s="498"/>
      <c r="CR630" s="498"/>
      <c r="CS630" s="498"/>
      <c r="CT630" s="498"/>
      <c r="CU630" s="498"/>
      <c r="CV630" s="498"/>
      <c r="CW630" s="498"/>
      <c r="CX630" s="498"/>
      <c r="CY630" s="498"/>
      <c r="CZ630" s="498"/>
      <c r="DA630" s="498"/>
      <c r="DB630" s="498"/>
      <c r="DC630" s="498"/>
      <c r="DD630" s="498"/>
      <c r="DE630" s="498"/>
      <c r="DF630" s="498"/>
      <c r="DG630" s="115"/>
    </row>
    <row r="631" spans="2:111" customFormat="1" ht="18" customHeight="1">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486"/>
      <c r="Y631" s="486"/>
      <c r="Z631" s="486"/>
      <c r="AA631" s="486"/>
      <c r="AB631" s="486"/>
      <c r="AC631" s="486"/>
      <c r="AD631" s="486"/>
      <c r="AE631" s="486"/>
      <c r="AF631" s="486"/>
      <c r="AG631" s="486"/>
      <c r="AH631" s="417"/>
      <c r="AI631" s="417"/>
      <c r="AJ631" s="417"/>
      <c r="AK631" s="417"/>
      <c r="AL631" s="419"/>
      <c r="AM631" s="419"/>
      <c r="AN631" s="419"/>
      <c r="AO631" s="419"/>
      <c r="AP631" s="419"/>
      <c r="AQ631" s="419"/>
      <c r="AR631" s="419"/>
      <c r="AS631" s="419"/>
      <c r="AT631" s="487" t="str">
        <f>IF($Z$32&gt;=15,(AH631*AL631),"")</f>
        <v/>
      </c>
      <c r="AU631" s="487"/>
      <c r="AV631" s="487"/>
      <c r="AW631" s="487"/>
      <c r="AX631" s="487"/>
      <c r="AY631" s="487"/>
      <c r="AZ631" s="487"/>
      <c r="BA631" s="487"/>
      <c r="BC631" s="115"/>
      <c r="BD631" s="115"/>
      <c r="BE631" s="115"/>
      <c r="BF631" s="115"/>
      <c r="BG631" s="115"/>
      <c r="BH631" s="498"/>
      <c r="BI631" s="498"/>
      <c r="BJ631" s="498"/>
      <c r="BK631" s="498"/>
      <c r="BL631" s="498"/>
      <c r="BM631" s="498"/>
      <c r="BN631" s="498"/>
      <c r="BO631" s="498"/>
      <c r="BP631" s="498"/>
      <c r="BQ631" s="498"/>
      <c r="BR631" s="498"/>
      <c r="BS631" s="498"/>
      <c r="BT631" s="498"/>
      <c r="BU631" s="498"/>
      <c r="BV631" s="498"/>
      <c r="BW631" s="498"/>
      <c r="BX631" s="498"/>
      <c r="BY631" s="498"/>
      <c r="BZ631" s="498"/>
      <c r="CA631" s="498"/>
      <c r="CB631" s="498"/>
      <c r="CC631" s="498"/>
      <c r="CD631" s="498"/>
      <c r="CE631" s="498"/>
      <c r="CF631" s="498"/>
      <c r="CG631" s="498"/>
      <c r="CH631" s="498"/>
      <c r="CI631" s="498"/>
      <c r="CJ631" s="498"/>
      <c r="CK631" s="498"/>
      <c r="CL631" s="498"/>
      <c r="CM631" s="498"/>
      <c r="CN631" s="498"/>
      <c r="CO631" s="498"/>
      <c r="CP631" s="498"/>
      <c r="CQ631" s="498"/>
      <c r="CR631" s="498"/>
      <c r="CS631" s="498"/>
      <c r="CT631" s="498"/>
      <c r="CU631" s="498"/>
      <c r="CV631" s="498"/>
      <c r="CW631" s="498"/>
      <c r="CX631" s="498"/>
      <c r="CY631" s="498"/>
      <c r="CZ631" s="498"/>
      <c r="DA631" s="498"/>
      <c r="DB631" s="498"/>
      <c r="DC631" s="498"/>
      <c r="DD631" s="498"/>
      <c r="DE631" s="498"/>
      <c r="DF631" s="498"/>
      <c r="DG631" s="115"/>
    </row>
    <row r="632" spans="2:111" customFormat="1" ht="18" customHeight="1">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486"/>
      <c r="Y632" s="486"/>
      <c r="Z632" s="486"/>
      <c r="AA632" s="486"/>
      <c r="AB632" s="486"/>
      <c r="AC632" s="486"/>
      <c r="AD632" s="486"/>
      <c r="AE632" s="486"/>
      <c r="AF632" s="486"/>
      <c r="AG632" s="486"/>
      <c r="AH632" s="417"/>
      <c r="AI632" s="417"/>
      <c r="AJ632" s="417"/>
      <c r="AK632" s="417"/>
      <c r="AL632" s="419"/>
      <c r="AM632" s="419"/>
      <c r="AN632" s="419"/>
      <c r="AO632" s="419"/>
      <c r="AP632" s="419"/>
      <c r="AQ632" s="419"/>
      <c r="AR632" s="419"/>
      <c r="AS632" s="419"/>
      <c r="AT632" s="487" t="str">
        <f>IF($Z$32&gt;=15,(AH632*AL632),"")</f>
        <v/>
      </c>
      <c r="AU632" s="487"/>
      <c r="AV632" s="487"/>
      <c r="AW632" s="487"/>
      <c r="AX632" s="487"/>
      <c r="AY632" s="487"/>
      <c r="AZ632" s="487"/>
      <c r="BA632" s="487"/>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row>
    <row r="633" spans="2:111" customFormat="1" ht="18" customHeight="1">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486"/>
      <c r="Y633" s="486"/>
      <c r="Z633" s="486"/>
      <c r="AA633" s="486"/>
      <c r="AB633" s="486"/>
      <c r="AC633" s="486"/>
      <c r="AD633" s="486"/>
      <c r="AE633" s="486"/>
      <c r="AF633" s="486"/>
      <c r="AG633" s="486"/>
      <c r="AH633" s="417"/>
      <c r="AI633" s="417"/>
      <c r="AJ633" s="417"/>
      <c r="AK633" s="417"/>
      <c r="AL633" s="419"/>
      <c r="AM633" s="419"/>
      <c r="AN633" s="419"/>
      <c r="AO633" s="419"/>
      <c r="AP633" s="419"/>
      <c r="AQ633" s="419"/>
      <c r="AR633" s="419"/>
      <c r="AS633" s="419"/>
      <c r="AT633" s="487" t="str">
        <f>IF($Z$32&gt;=15,(AH633*AL633),"")</f>
        <v/>
      </c>
      <c r="AU633" s="487"/>
      <c r="AV633" s="487"/>
      <c r="AW633" s="487"/>
      <c r="AX633" s="487"/>
      <c r="AY633" s="487"/>
      <c r="AZ633" s="487"/>
      <c r="BA633" s="487"/>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row>
    <row r="634" spans="2:111" customFormat="1" ht="15" customHeight="1">
      <c r="AT634" s="500" t="str">
        <f>IF(B631="","",IF(AL632="",AT631,IF(AL633="",AVERAGE(AT631:BA632),AVERAGE(AT631:AT633))))</f>
        <v/>
      </c>
      <c r="AU634" s="500"/>
      <c r="AV634" s="500"/>
      <c r="AW634" s="500"/>
      <c r="AX634" s="500"/>
      <c r="AY634" s="500"/>
      <c r="AZ634" s="500"/>
      <c r="BA634" s="500"/>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row>
    <row r="635" spans="2:111" customFormat="1" ht="15" customHeight="1">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row>
    <row r="636" spans="2:111" customFormat="1" ht="9" customHeight="1">
      <c r="B636" s="494" t="str">
        <f>IF($Z$32&gt;=16,"Item 16","")</f>
        <v/>
      </c>
      <c r="C636" s="495"/>
      <c r="D636" s="495"/>
      <c r="E636" s="495"/>
      <c r="F636" s="495"/>
      <c r="G636" s="495"/>
      <c r="H636" s="495"/>
      <c r="I636" s="495"/>
      <c r="J636" s="495"/>
      <c r="K636" s="495"/>
      <c r="L636" s="495"/>
      <c r="M636" s="49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row>
    <row r="637" spans="2:111" customFormat="1" ht="9" customHeight="1">
      <c r="B637" s="495"/>
      <c r="C637" s="495"/>
      <c r="D637" s="495"/>
      <c r="E637" s="495"/>
      <c r="F637" s="495"/>
      <c r="G637" s="495"/>
      <c r="H637" s="495"/>
      <c r="I637" s="495"/>
      <c r="J637" s="495"/>
      <c r="K637" s="495"/>
      <c r="L637" s="495"/>
      <c r="M637" s="49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row>
    <row r="638" spans="2:111" customFormat="1" ht="4.5" customHeight="1">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row>
    <row r="639" spans="2:111" customFormat="1" ht="9" customHeight="1">
      <c r="B639" s="493" t="str">
        <f>IF(B636="","","Elemento de Despesa:")</f>
        <v/>
      </c>
      <c r="C639" s="493"/>
      <c r="D639" s="493"/>
      <c r="E639" s="493"/>
      <c r="F639" s="493"/>
      <c r="G639" s="493"/>
      <c r="H639" s="493"/>
      <c r="I639" s="493"/>
      <c r="J639" s="493"/>
      <c r="K639" s="493"/>
      <c r="L639" s="493"/>
      <c r="M639" s="493"/>
      <c r="N639" s="493"/>
      <c r="O639" s="241"/>
      <c r="P639" s="241"/>
      <c r="Q639" s="241"/>
      <c r="R639" s="241"/>
      <c r="S639" s="241"/>
      <c r="T639" s="241"/>
      <c r="U639" s="241"/>
      <c r="V639" s="241"/>
      <c r="W639" s="241"/>
      <c r="X639" s="241"/>
      <c r="Y639" s="241"/>
      <c r="Z639" s="241"/>
      <c r="AA639" s="241"/>
      <c r="AB639" s="241"/>
      <c r="AC639" s="241"/>
      <c r="AD639" s="241"/>
      <c r="AE639" s="241"/>
      <c r="AF639" s="241"/>
      <c r="AG639" s="241"/>
      <c r="AH639" s="241"/>
      <c r="AI639" s="241"/>
      <c r="AJ639" s="241"/>
      <c r="AK639" s="241"/>
      <c r="AL639" s="241"/>
      <c r="AM639" s="241"/>
      <c r="AN639" s="241"/>
      <c r="AO639" s="241"/>
      <c r="AP639" s="241"/>
      <c r="AQ639" s="241"/>
      <c r="AR639" s="241"/>
      <c r="AS639" s="241"/>
      <c r="AT639" s="241"/>
      <c r="AU639" s="241"/>
      <c r="AV639" s="241"/>
      <c r="AW639" s="241"/>
      <c r="AX639" s="241"/>
      <c r="AY639" s="241"/>
      <c r="AZ639" s="241"/>
      <c r="BA639" s="241"/>
      <c r="BC639" s="115"/>
      <c r="BD639" s="115"/>
      <c r="BE639" s="115"/>
      <c r="BF639" s="115"/>
      <c r="BG639" s="115"/>
      <c r="BH639" s="124"/>
      <c r="BI639" s="124"/>
      <c r="BJ639" s="124"/>
      <c r="BK639" s="124"/>
      <c r="BL639" s="124"/>
      <c r="BM639" s="124"/>
      <c r="BN639" s="124"/>
      <c r="BO639" s="124"/>
      <c r="BP639" s="124"/>
      <c r="BQ639" s="124"/>
      <c r="BR639" s="124"/>
      <c r="BS639" s="124"/>
      <c r="BT639" s="124"/>
      <c r="BU639" s="124"/>
      <c r="BV639" s="124"/>
      <c r="BW639" s="124"/>
      <c r="BX639" s="124"/>
      <c r="BY639" s="124"/>
      <c r="BZ639" s="124"/>
      <c r="CA639" s="124"/>
      <c r="CB639" s="124"/>
      <c r="CC639" s="124"/>
      <c r="CD639" s="124"/>
      <c r="CE639" s="124"/>
      <c r="CF639" s="124"/>
      <c r="CG639" s="124"/>
      <c r="CH639" s="124"/>
      <c r="CI639" s="124"/>
      <c r="CJ639" s="124"/>
      <c r="CK639" s="124"/>
      <c r="CL639" s="124"/>
      <c r="CM639" s="124"/>
      <c r="CN639" s="124"/>
      <c r="CO639" s="124"/>
      <c r="CP639" s="124"/>
      <c r="CQ639" s="124"/>
      <c r="CR639" s="124"/>
      <c r="CS639" s="124"/>
      <c r="CT639" s="124"/>
      <c r="CU639" s="124"/>
      <c r="CV639" s="124"/>
      <c r="CW639" s="124"/>
      <c r="CX639" s="124"/>
      <c r="CY639" s="124"/>
      <c r="CZ639" s="124"/>
      <c r="DA639" s="124"/>
      <c r="DB639" s="124"/>
      <c r="DC639" s="124"/>
      <c r="DD639" s="124"/>
      <c r="DE639" s="124"/>
      <c r="DF639" s="124"/>
      <c r="DG639" s="115"/>
    </row>
    <row r="640" spans="2:111" customFormat="1" ht="9" customHeight="1">
      <c r="B640" s="493"/>
      <c r="C640" s="493"/>
      <c r="D640" s="493"/>
      <c r="E640" s="493"/>
      <c r="F640" s="493"/>
      <c r="G640" s="493"/>
      <c r="H640" s="493"/>
      <c r="I640" s="493"/>
      <c r="J640" s="493"/>
      <c r="K640" s="493"/>
      <c r="L640" s="493"/>
      <c r="M640" s="493"/>
      <c r="N640" s="493"/>
      <c r="O640" s="241"/>
      <c r="P640" s="241"/>
      <c r="Q640" s="241"/>
      <c r="R640" s="241"/>
      <c r="S640" s="241"/>
      <c r="T640" s="241"/>
      <c r="U640" s="241"/>
      <c r="V640" s="241"/>
      <c r="W640" s="241"/>
      <c r="X640" s="241"/>
      <c r="Y640" s="241"/>
      <c r="Z640" s="241"/>
      <c r="AA640" s="241"/>
      <c r="AB640" s="241"/>
      <c r="AC640" s="241"/>
      <c r="AD640" s="241"/>
      <c r="AE640" s="241"/>
      <c r="AF640" s="241"/>
      <c r="AG640" s="241"/>
      <c r="AH640" s="241"/>
      <c r="AI640" s="241"/>
      <c r="AJ640" s="241"/>
      <c r="AK640" s="241"/>
      <c r="AL640" s="241"/>
      <c r="AM640" s="241"/>
      <c r="AN640" s="241"/>
      <c r="AO640" s="241"/>
      <c r="AP640" s="241"/>
      <c r="AQ640" s="241"/>
      <c r="AR640" s="241"/>
      <c r="AS640" s="241"/>
      <c r="AT640" s="241"/>
      <c r="AU640" s="241"/>
      <c r="AV640" s="241"/>
      <c r="AW640" s="241"/>
      <c r="AX640" s="241"/>
      <c r="AY640" s="241"/>
      <c r="AZ640" s="241"/>
      <c r="BA640" s="241"/>
      <c r="BC640" s="115"/>
      <c r="BD640" s="115"/>
      <c r="BE640" s="115"/>
      <c r="BF640" s="115"/>
      <c r="BG640" s="115"/>
      <c r="BH640" s="124"/>
      <c r="BI640" s="124"/>
      <c r="BJ640" s="124"/>
      <c r="BK640" s="124"/>
      <c r="BL640" s="124"/>
      <c r="BM640" s="124"/>
      <c r="BN640" s="124"/>
      <c r="BO640" s="124"/>
      <c r="BP640" s="124"/>
      <c r="BQ640" s="124"/>
      <c r="BR640" s="124"/>
      <c r="BS640" s="124"/>
      <c r="BT640" s="124"/>
      <c r="BU640" s="124"/>
      <c r="BV640" s="124"/>
      <c r="BW640" s="124"/>
      <c r="BX640" s="124"/>
      <c r="BY640" s="124"/>
      <c r="BZ640" s="124"/>
      <c r="CA640" s="124"/>
      <c r="CB640" s="124"/>
      <c r="CC640" s="124"/>
      <c r="CD640" s="124"/>
      <c r="CE640" s="124"/>
      <c r="CF640" s="124"/>
      <c r="CG640" s="124"/>
      <c r="CH640" s="124"/>
      <c r="CI640" s="124"/>
      <c r="CJ640" s="124"/>
      <c r="CK640" s="124"/>
      <c r="CL640" s="124"/>
      <c r="CM640" s="124"/>
      <c r="CN640" s="124"/>
      <c r="CO640" s="124"/>
      <c r="CP640" s="124"/>
      <c r="CQ640" s="124"/>
      <c r="CR640" s="124"/>
      <c r="CS640" s="124"/>
      <c r="CT640" s="124"/>
      <c r="CU640" s="124"/>
      <c r="CV640" s="124"/>
      <c r="CW640" s="124"/>
      <c r="CX640" s="124"/>
      <c r="CY640" s="124"/>
      <c r="CZ640" s="124"/>
      <c r="DA640" s="124"/>
      <c r="DB640" s="124"/>
      <c r="DC640" s="124"/>
      <c r="DD640" s="124"/>
      <c r="DE640" s="124"/>
      <c r="DF640" s="124"/>
      <c r="DG640" s="115"/>
    </row>
    <row r="641" spans="2:111" customFormat="1" ht="4.5" customHeight="1">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C641" s="115"/>
      <c r="BD641" s="115"/>
      <c r="BE641" s="115"/>
      <c r="BF641" s="115"/>
      <c r="BG641" s="115"/>
      <c r="BH641" s="124"/>
      <c r="BI641" s="124"/>
      <c r="BJ641" s="124"/>
      <c r="BK641" s="124"/>
      <c r="BL641" s="124"/>
      <c r="BM641" s="124"/>
      <c r="BN641" s="124"/>
      <c r="BO641" s="124"/>
      <c r="BP641" s="124"/>
      <c r="BQ641" s="124"/>
      <c r="BR641" s="124"/>
      <c r="BS641" s="124"/>
      <c r="BT641" s="124"/>
      <c r="BU641" s="124"/>
      <c r="BV641" s="124"/>
      <c r="BW641" s="124"/>
      <c r="BX641" s="124"/>
      <c r="BY641" s="124"/>
      <c r="BZ641" s="124"/>
      <c r="CA641" s="124"/>
      <c r="CB641" s="124"/>
      <c r="CC641" s="124"/>
      <c r="CD641" s="124"/>
      <c r="CE641" s="124"/>
      <c r="CF641" s="124"/>
      <c r="CG641" s="124"/>
      <c r="CH641" s="124"/>
      <c r="CI641" s="124"/>
      <c r="CJ641" s="124"/>
      <c r="CK641" s="124"/>
      <c r="CL641" s="124"/>
      <c r="CM641" s="124"/>
      <c r="CN641" s="124"/>
      <c r="CO641" s="124"/>
      <c r="CP641" s="124"/>
      <c r="CQ641" s="124"/>
      <c r="CR641" s="124"/>
      <c r="CS641" s="124"/>
      <c r="CT641" s="124"/>
      <c r="CU641" s="124"/>
      <c r="CV641" s="124"/>
      <c r="CW641" s="124"/>
      <c r="CX641" s="124"/>
      <c r="CY641" s="124"/>
      <c r="CZ641" s="124"/>
      <c r="DA641" s="124"/>
      <c r="DB641" s="124"/>
      <c r="DC641" s="124"/>
      <c r="DD641" s="124"/>
      <c r="DE641" s="124"/>
      <c r="DF641" s="124"/>
      <c r="DG641" s="115"/>
    </row>
    <row r="642" spans="2:111" customFormat="1" ht="9" customHeight="1">
      <c r="B642" s="493" t="str">
        <f>IF(B636="","","Objeto:")</f>
        <v/>
      </c>
      <c r="C642" s="493"/>
      <c r="D642" s="493"/>
      <c r="E642" s="493"/>
      <c r="F642" s="493"/>
      <c r="G642" s="493"/>
      <c r="H642" s="493"/>
      <c r="I642" s="493"/>
      <c r="J642" s="493"/>
      <c r="K642" s="493"/>
      <c r="L642" s="493"/>
      <c r="M642" s="493"/>
      <c r="N642" s="493"/>
      <c r="O642" s="421"/>
      <c r="P642" s="421"/>
      <c r="Q642" s="421"/>
      <c r="R642" s="421"/>
      <c r="S642" s="421"/>
      <c r="T642" s="421"/>
      <c r="U642" s="421"/>
      <c r="V642" s="421"/>
      <c r="W642" s="421"/>
      <c r="X642" s="421"/>
      <c r="Y642" s="421"/>
      <c r="Z642" s="421"/>
      <c r="AA642" s="421"/>
      <c r="AB642" s="421"/>
      <c r="AC642" s="421"/>
      <c r="AD642" s="421"/>
      <c r="AE642" s="421"/>
      <c r="AF642" s="421"/>
      <c r="AG642" s="421"/>
      <c r="AH642" s="421"/>
      <c r="AI642" s="421"/>
      <c r="AJ642" s="421"/>
      <c r="AK642" s="421"/>
      <c r="AL642" s="421"/>
      <c r="AM642" s="421"/>
      <c r="AN642" s="421"/>
      <c r="AO642" s="421"/>
      <c r="AP642" s="421"/>
      <c r="AQ642" s="421"/>
      <c r="AR642" s="421"/>
      <c r="AS642" s="421"/>
      <c r="AT642" s="421"/>
      <c r="AU642" s="421"/>
      <c r="AV642" s="421"/>
      <c r="AW642" s="421"/>
      <c r="AX642" s="421"/>
      <c r="AY642" s="421"/>
      <c r="AZ642" s="421"/>
      <c r="BA642" s="421"/>
      <c r="BC642" s="115"/>
      <c r="BD642" s="115"/>
      <c r="BE642" s="115"/>
      <c r="BF642" s="115"/>
      <c r="BG642" s="115"/>
      <c r="BH642" s="124"/>
      <c r="BI642" s="124"/>
      <c r="BJ642" s="124"/>
      <c r="BK642" s="124"/>
      <c r="BL642" s="124"/>
      <c r="BM642" s="124"/>
      <c r="BN642" s="124"/>
      <c r="BO642" s="124"/>
      <c r="BP642" s="124"/>
      <c r="BQ642" s="124"/>
      <c r="BR642" s="124"/>
      <c r="BS642" s="124"/>
      <c r="BT642" s="124"/>
      <c r="BU642" s="124"/>
      <c r="BV642" s="124"/>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4"/>
      <c r="CY642" s="124"/>
      <c r="CZ642" s="124"/>
      <c r="DA642" s="124"/>
      <c r="DB642" s="124"/>
      <c r="DC642" s="124"/>
      <c r="DD642" s="124"/>
      <c r="DE642" s="124"/>
      <c r="DF642" s="124"/>
      <c r="DG642" s="115"/>
    </row>
    <row r="643" spans="2:111" customFormat="1" ht="9" customHeight="1">
      <c r="B643" s="493"/>
      <c r="C643" s="493"/>
      <c r="D643" s="493"/>
      <c r="E643" s="493"/>
      <c r="F643" s="493"/>
      <c r="G643" s="493"/>
      <c r="H643" s="493"/>
      <c r="I643" s="493"/>
      <c r="J643" s="493"/>
      <c r="K643" s="493"/>
      <c r="L643" s="493"/>
      <c r="M643" s="493"/>
      <c r="N643" s="493"/>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1"/>
      <c r="AY643" s="421"/>
      <c r="AZ643" s="421"/>
      <c r="BA643" s="421"/>
      <c r="BC643" s="115"/>
      <c r="BD643" s="115"/>
      <c r="BE643" s="115"/>
      <c r="BF643" s="115"/>
      <c r="BG643" s="115"/>
      <c r="BH643" s="124"/>
      <c r="BI643" s="124"/>
      <c r="BJ643" s="124"/>
      <c r="BK643" s="124"/>
      <c r="BL643" s="124"/>
      <c r="BM643" s="124"/>
      <c r="BN643" s="124"/>
      <c r="BO643" s="124"/>
      <c r="BP643" s="124"/>
      <c r="BQ643" s="124"/>
      <c r="BR643" s="124"/>
      <c r="BS643" s="124"/>
      <c r="BT643" s="124"/>
      <c r="BU643" s="124"/>
      <c r="BV643" s="124"/>
      <c r="BW643" s="124"/>
      <c r="BX643" s="124"/>
      <c r="BY643" s="124"/>
      <c r="BZ643" s="124"/>
      <c r="CA643" s="124"/>
      <c r="CB643" s="124"/>
      <c r="CC643" s="124"/>
      <c r="CD643" s="124"/>
      <c r="CE643" s="124"/>
      <c r="CF643" s="124"/>
      <c r="CG643" s="124"/>
      <c r="CH643" s="124"/>
      <c r="CI643" s="124"/>
      <c r="CJ643" s="124"/>
      <c r="CK643" s="124"/>
      <c r="CL643" s="124"/>
      <c r="CM643" s="124"/>
      <c r="CN643" s="124"/>
      <c r="CO643" s="124"/>
      <c r="CP643" s="124"/>
      <c r="CQ643" s="124"/>
      <c r="CR643" s="124"/>
      <c r="CS643" s="124"/>
      <c r="CT643" s="124"/>
      <c r="CU643" s="124"/>
      <c r="CV643" s="124"/>
      <c r="CW643" s="124"/>
      <c r="CX643" s="124"/>
      <c r="CY643" s="124"/>
      <c r="CZ643" s="124"/>
      <c r="DA643" s="124"/>
      <c r="DB643" s="124"/>
      <c r="DC643" s="124"/>
      <c r="DD643" s="124"/>
      <c r="DE643" s="124"/>
      <c r="DF643" s="124"/>
      <c r="DG643" s="115"/>
    </row>
    <row r="644" spans="2:111" customFormat="1" ht="9" customHeight="1">
      <c r="B644" s="143"/>
      <c r="C644" s="143"/>
      <c r="D644" s="143"/>
      <c r="E644" s="143"/>
      <c r="F644" s="143"/>
      <c r="G644" s="143"/>
      <c r="H644" s="143"/>
      <c r="I644" s="143"/>
      <c r="J644" s="143"/>
      <c r="K644" s="143"/>
      <c r="L644" s="143"/>
      <c r="M644" s="143"/>
      <c r="N644" s="143"/>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21"/>
      <c r="AY644" s="421"/>
      <c r="AZ644" s="421"/>
      <c r="BA644" s="421"/>
      <c r="BC644" s="115"/>
      <c r="BD644" s="115"/>
      <c r="BE644" s="115"/>
      <c r="BF644" s="115"/>
      <c r="BG644" s="115"/>
      <c r="BH644" s="84"/>
      <c r="BI644" s="84"/>
      <c r="BJ644" s="84"/>
      <c r="BK644" s="84"/>
      <c r="BL644" s="84"/>
      <c r="BM644" s="84"/>
      <c r="BN644" s="84"/>
      <c r="BO644" s="84"/>
      <c r="BP644" s="84"/>
      <c r="BQ644" s="84"/>
      <c r="BR644" s="84"/>
      <c r="BS644" s="84"/>
      <c r="BT644" s="84"/>
      <c r="BU644" s="84"/>
      <c r="BV644" s="84"/>
      <c r="BW644" s="84"/>
      <c r="BX644" s="84"/>
      <c r="BY644" s="84"/>
      <c r="BZ644" s="84"/>
      <c r="CA644" s="84"/>
      <c r="CB644" s="84"/>
      <c r="CC644" s="84"/>
      <c r="CD644" s="84"/>
      <c r="CE644" s="84"/>
      <c r="CF644" s="84"/>
      <c r="CG644" s="84"/>
      <c r="CH644" s="84"/>
      <c r="CI644" s="84"/>
      <c r="CJ644" s="84"/>
      <c r="CK644" s="84"/>
      <c r="CL644" s="84"/>
      <c r="CM644" s="84"/>
      <c r="CN644" s="84"/>
      <c r="CO644" s="84"/>
      <c r="CP644" s="84"/>
      <c r="CQ644" s="84"/>
      <c r="CR644" s="84"/>
      <c r="CS644" s="84"/>
      <c r="CT644" s="84"/>
      <c r="CU644" s="84"/>
      <c r="CV644" s="84"/>
      <c r="CW644" s="84"/>
      <c r="CX644" s="84"/>
      <c r="CY644" s="84"/>
      <c r="CZ644" s="84"/>
      <c r="DA644" s="84"/>
      <c r="DB644" s="84"/>
      <c r="DC644" s="84"/>
      <c r="DD644" s="84"/>
      <c r="DE644" s="84"/>
      <c r="DF644" s="84"/>
      <c r="DG644" s="115"/>
    </row>
    <row r="645" spans="2:111" customFormat="1" ht="9" customHeight="1">
      <c r="B645" s="49"/>
      <c r="C645" s="49"/>
      <c r="D645" s="49"/>
      <c r="E645" s="49"/>
      <c r="F645" s="49"/>
      <c r="G645" s="49"/>
      <c r="H645" s="49"/>
      <c r="I645" s="49"/>
      <c r="J645" s="49"/>
      <c r="K645" s="49"/>
      <c r="L645" s="49"/>
      <c r="M645" s="49"/>
      <c r="N645" s="49"/>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21"/>
      <c r="AY645" s="421"/>
      <c r="AZ645" s="421"/>
      <c r="BA645" s="421"/>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row>
    <row r="646" spans="2:111" customFormat="1" ht="4.5" customHeight="1">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49"/>
      <c r="AY646" s="49"/>
      <c r="AZ646" s="49"/>
      <c r="BA646" s="49"/>
      <c r="BC646" s="115"/>
      <c r="BD646" s="115"/>
      <c r="BE646" s="115"/>
      <c r="BF646" s="115"/>
      <c r="BG646" s="115"/>
      <c r="BH646" s="124"/>
      <c r="BI646" s="124"/>
      <c r="BJ646" s="124"/>
      <c r="BK646" s="124"/>
      <c r="BL646" s="124"/>
      <c r="BM646" s="124"/>
      <c r="BN646" s="124"/>
      <c r="BO646" s="124"/>
      <c r="BP646" s="124"/>
      <c r="BQ646" s="124"/>
      <c r="BR646" s="124"/>
      <c r="BS646" s="124"/>
      <c r="BT646" s="124"/>
      <c r="BU646" s="124"/>
      <c r="BV646" s="124"/>
      <c r="BW646" s="124"/>
      <c r="BX646" s="124"/>
      <c r="BY646" s="124"/>
      <c r="BZ646" s="124"/>
      <c r="CA646" s="124"/>
      <c r="CB646" s="124"/>
      <c r="CC646" s="124"/>
      <c r="CD646" s="124"/>
      <c r="CE646" s="124"/>
      <c r="CF646" s="124"/>
      <c r="CG646" s="124"/>
      <c r="CH646" s="124"/>
      <c r="CI646" s="124"/>
      <c r="CJ646" s="124"/>
      <c r="CK646" s="124"/>
      <c r="CL646" s="124"/>
      <c r="CM646" s="124"/>
      <c r="CN646" s="124"/>
      <c r="CO646" s="124"/>
      <c r="CP646" s="124"/>
      <c r="CQ646" s="124"/>
      <c r="CR646" s="124"/>
      <c r="CS646" s="124"/>
      <c r="CT646" s="124"/>
      <c r="CU646" s="124"/>
      <c r="CV646" s="124"/>
      <c r="CW646" s="124"/>
      <c r="CX646" s="124"/>
      <c r="CY646" s="124"/>
      <c r="CZ646" s="124"/>
      <c r="DA646" s="124"/>
      <c r="DB646" s="124"/>
      <c r="DC646" s="124"/>
      <c r="DD646" s="124"/>
      <c r="DE646" s="124"/>
      <c r="DF646" s="124"/>
      <c r="DG646" s="115"/>
    </row>
    <row r="647" spans="2:111" customFormat="1" ht="9" customHeight="1">
      <c r="B647" s="493" t="str">
        <f>IF(B636="","","Detalhamento do Objeto:")</f>
        <v/>
      </c>
      <c r="C647" s="493"/>
      <c r="D647" s="493"/>
      <c r="E647" s="493"/>
      <c r="F647" s="493"/>
      <c r="G647" s="493"/>
      <c r="H647" s="493"/>
      <c r="I647" s="493"/>
      <c r="J647" s="493"/>
      <c r="K647" s="493"/>
      <c r="L647" s="493"/>
      <c r="M647" s="493"/>
      <c r="N647" s="493"/>
      <c r="O647" s="421"/>
      <c r="P647" s="421"/>
      <c r="Q647" s="421"/>
      <c r="R647" s="421"/>
      <c r="S647" s="421"/>
      <c r="T647" s="421"/>
      <c r="U647" s="421"/>
      <c r="V647" s="421"/>
      <c r="W647" s="421"/>
      <c r="X647" s="421"/>
      <c r="Y647" s="421"/>
      <c r="Z647" s="421"/>
      <c r="AA647" s="421"/>
      <c r="AB647" s="421"/>
      <c r="AC647" s="421"/>
      <c r="AD647" s="421"/>
      <c r="AE647" s="421"/>
      <c r="AF647" s="421"/>
      <c r="AG647" s="421"/>
      <c r="AH647" s="421"/>
      <c r="AI647" s="421"/>
      <c r="AJ647" s="421"/>
      <c r="AK647" s="421"/>
      <c r="AL647" s="421"/>
      <c r="AM647" s="421"/>
      <c r="AN647" s="421"/>
      <c r="AO647" s="421"/>
      <c r="AP647" s="421"/>
      <c r="AQ647" s="421"/>
      <c r="AR647" s="421"/>
      <c r="AS647" s="421"/>
      <c r="AT647" s="421"/>
      <c r="AU647" s="421"/>
      <c r="AV647" s="421"/>
      <c r="AW647" s="421"/>
      <c r="AX647" s="421"/>
      <c r="AY647" s="421"/>
      <c r="AZ647" s="421"/>
      <c r="BA647" s="421"/>
      <c r="BC647" s="115"/>
      <c r="BD647" s="115"/>
      <c r="BE647" s="115"/>
      <c r="BF647" s="115"/>
      <c r="BG647" s="115"/>
      <c r="BH647" s="124"/>
      <c r="BI647" s="124"/>
      <c r="BJ647" s="124"/>
      <c r="BK647" s="124"/>
      <c r="BL647" s="124"/>
      <c r="BM647" s="124"/>
      <c r="BN647" s="124"/>
      <c r="BO647" s="124"/>
      <c r="BP647" s="124"/>
      <c r="BQ647" s="124"/>
      <c r="BR647" s="124"/>
      <c r="BS647" s="124"/>
      <c r="BT647" s="124"/>
      <c r="BU647" s="124"/>
      <c r="BV647" s="124"/>
      <c r="BW647" s="124"/>
      <c r="BX647" s="124"/>
      <c r="BY647" s="124"/>
      <c r="BZ647" s="124"/>
      <c r="CA647" s="124"/>
      <c r="CB647" s="124"/>
      <c r="CC647" s="124"/>
      <c r="CD647" s="124"/>
      <c r="CE647" s="124"/>
      <c r="CF647" s="124"/>
      <c r="CG647" s="124"/>
      <c r="CH647" s="124"/>
      <c r="CI647" s="124"/>
      <c r="CJ647" s="124"/>
      <c r="CK647" s="124"/>
      <c r="CL647" s="124"/>
      <c r="CM647" s="124"/>
      <c r="CN647" s="124"/>
      <c r="CO647" s="124"/>
      <c r="CP647" s="124"/>
      <c r="CQ647" s="124"/>
      <c r="CR647" s="124"/>
      <c r="CS647" s="124"/>
      <c r="CT647" s="124"/>
      <c r="CU647" s="124"/>
      <c r="CV647" s="124"/>
      <c r="CW647" s="124"/>
      <c r="CX647" s="124"/>
      <c r="CY647" s="124"/>
      <c r="CZ647" s="124"/>
      <c r="DA647" s="124"/>
      <c r="DB647" s="124"/>
      <c r="DC647" s="124"/>
      <c r="DD647" s="124"/>
      <c r="DE647" s="124"/>
      <c r="DF647" s="124"/>
      <c r="DG647" s="115"/>
    </row>
    <row r="648" spans="2:111" customFormat="1" ht="9" customHeight="1">
      <c r="B648" s="493"/>
      <c r="C648" s="493"/>
      <c r="D648" s="493"/>
      <c r="E648" s="493"/>
      <c r="F648" s="493"/>
      <c r="G648" s="493"/>
      <c r="H648" s="493"/>
      <c r="I648" s="493"/>
      <c r="J648" s="493"/>
      <c r="K648" s="493"/>
      <c r="L648" s="493"/>
      <c r="M648" s="493"/>
      <c r="N648" s="493"/>
      <c r="O648" s="421"/>
      <c r="P648" s="421"/>
      <c r="Q648" s="421"/>
      <c r="R648" s="421"/>
      <c r="S648" s="421"/>
      <c r="T648" s="421"/>
      <c r="U648" s="421"/>
      <c r="V648" s="421"/>
      <c r="W648" s="421"/>
      <c r="X648" s="421"/>
      <c r="Y648" s="421"/>
      <c r="Z648" s="421"/>
      <c r="AA648" s="421"/>
      <c r="AB648" s="421"/>
      <c r="AC648" s="421"/>
      <c r="AD648" s="421"/>
      <c r="AE648" s="421"/>
      <c r="AF648" s="421"/>
      <c r="AG648" s="421"/>
      <c r="AH648" s="421"/>
      <c r="AI648" s="421"/>
      <c r="AJ648" s="421"/>
      <c r="AK648" s="421"/>
      <c r="AL648" s="421"/>
      <c r="AM648" s="421"/>
      <c r="AN648" s="421"/>
      <c r="AO648" s="421"/>
      <c r="AP648" s="421"/>
      <c r="AQ648" s="421"/>
      <c r="AR648" s="421"/>
      <c r="AS648" s="421"/>
      <c r="AT648" s="421"/>
      <c r="AU648" s="421"/>
      <c r="AV648" s="421"/>
      <c r="AW648" s="421"/>
      <c r="AX648" s="421"/>
      <c r="AY648" s="421"/>
      <c r="AZ648" s="421"/>
      <c r="BA648" s="421"/>
      <c r="BC648" s="115"/>
      <c r="BD648" s="115"/>
      <c r="BE648" s="115"/>
      <c r="BF648" s="115"/>
      <c r="BG648" s="115"/>
      <c r="BH648" s="124"/>
      <c r="BI648" s="124"/>
      <c r="BJ648" s="124"/>
      <c r="BK648" s="124"/>
      <c r="BL648" s="124"/>
      <c r="BM648" s="124"/>
      <c r="BN648" s="124"/>
      <c r="BO648" s="124"/>
      <c r="BP648" s="124"/>
      <c r="BQ648" s="124"/>
      <c r="BR648" s="124"/>
      <c r="BS648" s="124"/>
      <c r="BT648" s="124"/>
      <c r="BU648" s="124"/>
      <c r="BV648" s="124"/>
      <c r="BW648" s="124"/>
      <c r="BX648" s="124"/>
      <c r="BY648" s="124"/>
      <c r="BZ648" s="124"/>
      <c r="CA648" s="124"/>
      <c r="CB648" s="124"/>
      <c r="CC648" s="124"/>
      <c r="CD648" s="124"/>
      <c r="CE648" s="124"/>
      <c r="CF648" s="124"/>
      <c r="CG648" s="124"/>
      <c r="CH648" s="124"/>
      <c r="CI648" s="124"/>
      <c r="CJ648" s="124"/>
      <c r="CK648" s="124"/>
      <c r="CL648" s="124"/>
      <c r="CM648" s="124"/>
      <c r="CN648" s="124"/>
      <c r="CO648" s="124"/>
      <c r="CP648" s="124"/>
      <c r="CQ648" s="124"/>
      <c r="CR648" s="124"/>
      <c r="CS648" s="124"/>
      <c r="CT648" s="124"/>
      <c r="CU648" s="124"/>
      <c r="CV648" s="124"/>
      <c r="CW648" s="124"/>
      <c r="CX648" s="124"/>
      <c r="CY648" s="124"/>
      <c r="CZ648" s="124"/>
      <c r="DA648" s="124"/>
      <c r="DB648" s="124"/>
      <c r="DC648" s="124"/>
      <c r="DD648" s="124"/>
      <c r="DE648" s="124"/>
      <c r="DF648" s="124"/>
      <c r="DG648" s="115"/>
    </row>
    <row r="649" spans="2:111" customFormat="1" ht="9" customHeight="1">
      <c r="B649" s="143"/>
      <c r="C649" s="143"/>
      <c r="D649" s="143"/>
      <c r="E649" s="143"/>
      <c r="F649" s="143"/>
      <c r="G649" s="143"/>
      <c r="H649" s="143"/>
      <c r="I649" s="143"/>
      <c r="J649" s="143"/>
      <c r="K649" s="143"/>
      <c r="L649" s="143"/>
      <c r="M649" s="143"/>
      <c r="N649" s="143"/>
      <c r="O649" s="421"/>
      <c r="P649" s="421"/>
      <c r="Q649" s="421"/>
      <c r="R649" s="421"/>
      <c r="S649" s="421"/>
      <c r="T649" s="421"/>
      <c r="U649" s="421"/>
      <c r="V649" s="421"/>
      <c r="W649" s="421"/>
      <c r="X649" s="421"/>
      <c r="Y649" s="421"/>
      <c r="Z649" s="421"/>
      <c r="AA649" s="421"/>
      <c r="AB649" s="421"/>
      <c r="AC649" s="421"/>
      <c r="AD649" s="421"/>
      <c r="AE649" s="421"/>
      <c r="AF649" s="421"/>
      <c r="AG649" s="421"/>
      <c r="AH649" s="421"/>
      <c r="AI649" s="421"/>
      <c r="AJ649" s="421"/>
      <c r="AK649" s="421"/>
      <c r="AL649" s="421"/>
      <c r="AM649" s="421"/>
      <c r="AN649" s="421"/>
      <c r="AO649" s="421"/>
      <c r="AP649" s="421"/>
      <c r="AQ649" s="421"/>
      <c r="AR649" s="421"/>
      <c r="AS649" s="421"/>
      <c r="AT649" s="421"/>
      <c r="AU649" s="421"/>
      <c r="AV649" s="421"/>
      <c r="AW649" s="421"/>
      <c r="AX649" s="421"/>
      <c r="AY649" s="421"/>
      <c r="AZ649" s="421"/>
      <c r="BA649" s="421"/>
      <c r="BC649" s="115"/>
      <c r="BD649" s="115"/>
      <c r="BE649" s="115"/>
      <c r="BF649" s="115"/>
      <c r="BG649" s="115"/>
      <c r="BH649" s="84"/>
      <c r="BI649" s="84"/>
      <c r="BJ649" s="84"/>
      <c r="BK649" s="84"/>
      <c r="BL649" s="84"/>
      <c r="BM649" s="84"/>
      <c r="BN649" s="84"/>
      <c r="BO649" s="84"/>
      <c r="BP649" s="84"/>
      <c r="BQ649" s="84"/>
      <c r="BR649" s="84"/>
      <c r="BS649" s="84"/>
      <c r="BT649" s="84"/>
      <c r="BU649" s="84"/>
      <c r="BV649" s="84"/>
      <c r="BW649" s="84"/>
      <c r="BX649" s="84"/>
      <c r="BY649" s="84"/>
      <c r="BZ649" s="84"/>
      <c r="CA649" s="84"/>
      <c r="CB649" s="84"/>
      <c r="CC649" s="84"/>
      <c r="CD649" s="84"/>
      <c r="CE649" s="84"/>
      <c r="CF649" s="84"/>
      <c r="CG649" s="84"/>
      <c r="CH649" s="84"/>
      <c r="CI649" s="84"/>
      <c r="CJ649" s="84"/>
      <c r="CK649" s="84"/>
      <c r="CL649" s="84"/>
      <c r="CM649" s="84"/>
      <c r="CN649" s="84"/>
      <c r="CO649" s="84"/>
      <c r="CP649" s="84"/>
      <c r="CQ649" s="84"/>
      <c r="CR649" s="84"/>
      <c r="CS649" s="84"/>
      <c r="CT649" s="84"/>
      <c r="CU649" s="84"/>
      <c r="CV649" s="84"/>
      <c r="CW649" s="84"/>
      <c r="CX649" s="84"/>
      <c r="CY649" s="84"/>
      <c r="CZ649" s="84"/>
      <c r="DA649" s="84"/>
      <c r="DB649" s="84"/>
      <c r="DC649" s="84"/>
      <c r="DD649" s="84"/>
      <c r="DE649" s="84"/>
      <c r="DF649" s="84"/>
      <c r="DG649" s="115"/>
    </row>
    <row r="650" spans="2:111" customFormat="1" ht="9" customHeight="1">
      <c r="B650" s="143"/>
      <c r="C650" s="143"/>
      <c r="D650" s="143"/>
      <c r="E650" s="143"/>
      <c r="F650" s="143"/>
      <c r="G650" s="143"/>
      <c r="H650" s="143"/>
      <c r="I650" s="143"/>
      <c r="J650" s="143"/>
      <c r="K650" s="143"/>
      <c r="L650" s="143"/>
      <c r="M650" s="143"/>
      <c r="N650" s="143"/>
      <c r="O650" s="421"/>
      <c r="P650" s="421"/>
      <c r="Q650" s="421"/>
      <c r="R650" s="421"/>
      <c r="S650" s="421"/>
      <c r="T650" s="421"/>
      <c r="U650" s="421"/>
      <c r="V650" s="421"/>
      <c r="W650" s="421"/>
      <c r="X650" s="421"/>
      <c r="Y650" s="421"/>
      <c r="Z650" s="421"/>
      <c r="AA650" s="421"/>
      <c r="AB650" s="421"/>
      <c r="AC650" s="421"/>
      <c r="AD650" s="421"/>
      <c r="AE650" s="421"/>
      <c r="AF650" s="421"/>
      <c r="AG650" s="421"/>
      <c r="AH650" s="421"/>
      <c r="AI650" s="421"/>
      <c r="AJ650" s="421"/>
      <c r="AK650" s="421"/>
      <c r="AL650" s="421"/>
      <c r="AM650" s="421"/>
      <c r="AN650" s="421"/>
      <c r="AO650" s="421"/>
      <c r="AP650" s="421"/>
      <c r="AQ650" s="421"/>
      <c r="AR650" s="421"/>
      <c r="AS650" s="421"/>
      <c r="AT650" s="421"/>
      <c r="AU650" s="421"/>
      <c r="AV650" s="421"/>
      <c r="AW650" s="421"/>
      <c r="AX650" s="421"/>
      <c r="AY650" s="421"/>
      <c r="AZ650" s="421"/>
      <c r="BA650" s="421"/>
      <c r="BC650" s="115"/>
      <c r="BD650" s="115"/>
      <c r="BE650" s="115"/>
      <c r="BF650" s="115"/>
      <c r="BG650" s="115"/>
      <c r="BH650" s="84"/>
      <c r="BI650" s="84"/>
      <c r="BJ650" s="84"/>
      <c r="BK650" s="84"/>
      <c r="BL650" s="84"/>
      <c r="BM650" s="84"/>
      <c r="BN650" s="84"/>
      <c r="BO650" s="84"/>
      <c r="BP650" s="84"/>
      <c r="BQ650" s="84"/>
      <c r="BR650" s="84"/>
      <c r="BS650" s="84"/>
      <c r="BT650" s="84"/>
      <c r="BU650" s="84"/>
      <c r="BV650" s="84"/>
      <c r="BW650" s="84"/>
      <c r="BX650" s="84"/>
      <c r="BY650" s="84"/>
      <c r="BZ650" s="84"/>
      <c r="CA650" s="84"/>
      <c r="CB650" s="84"/>
      <c r="CC650" s="84"/>
      <c r="CD650" s="84"/>
      <c r="CE650" s="84"/>
      <c r="CF650" s="84"/>
      <c r="CG650" s="84"/>
      <c r="CH650" s="84"/>
      <c r="CI650" s="84"/>
      <c r="CJ650" s="84"/>
      <c r="CK650" s="84"/>
      <c r="CL650" s="84"/>
      <c r="CM650" s="84"/>
      <c r="CN650" s="84"/>
      <c r="CO650" s="84"/>
      <c r="CP650" s="84"/>
      <c r="CQ650" s="84"/>
      <c r="CR650" s="84"/>
      <c r="CS650" s="84"/>
      <c r="CT650" s="84"/>
      <c r="CU650" s="84"/>
      <c r="CV650" s="84"/>
      <c r="CW650" s="84"/>
      <c r="CX650" s="84"/>
      <c r="CY650" s="84"/>
      <c r="CZ650" s="84"/>
      <c r="DA650" s="84"/>
      <c r="DB650" s="84"/>
      <c r="DC650" s="84"/>
      <c r="DD650" s="84"/>
      <c r="DE650" s="84"/>
      <c r="DF650" s="84"/>
      <c r="DG650" s="115"/>
    </row>
    <row r="651" spans="2:111" customFormat="1" ht="9" customHeight="1">
      <c r="B651" s="143"/>
      <c r="C651" s="143"/>
      <c r="D651" s="143"/>
      <c r="E651" s="143"/>
      <c r="F651" s="143"/>
      <c r="G651" s="143"/>
      <c r="H651" s="143"/>
      <c r="I651" s="143"/>
      <c r="J651" s="143"/>
      <c r="K651" s="143"/>
      <c r="L651" s="143"/>
      <c r="M651" s="143"/>
      <c r="N651" s="143"/>
      <c r="O651" s="421"/>
      <c r="P651" s="421"/>
      <c r="Q651" s="421"/>
      <c r="R651" s="421"/>
      <c r="S651" s="421"/>
      <c r="T651" s="421"/>
      <c r="U651" s="421"/>
      <c r="V651" s="421"/>
      <c r="W651" s="421"/>
      <c r="X651" s="421"/>
      <c r="Y651" s="421"/>
      <c r="Z651" s="421"/>
      <c r="AA651" s="421"/>
      <c r="AB651" s="421"/>
      <c r="AC651" s="421"/>
      <c r="AD651" s="421"/>
      <c r="AE651" s="421"/>
      <c r="AF651" s="421"/>
      <c r="AG651" s="421"/>
      <c r="AH651" s="421"/>
      <c r="AI651" s="421"/>
      <c r="AJ651" s="421"/>
      <c r="AK651" s="421"/>
      <c r="AL651" s="421"/>
      <c r="AM651" s="421"/>
      <c r="AN651" s="421"/>
      <c r="AO651" s="421"/>
      <c r="AP651" s="421"/>
      <c r="AQ651" s="421"/>
      <c r="AR651" s="421"/>
      <c r="AS651" s="421"/>
      <c r="AT651" s="421"/>
      <c r="AU651" s="421"/>
      <c r="AV651" s="421"/>
      <c r="AW651" s="421"/>
      <c r="AX651" s="421"/>
      <c r="AY651" s="421"/>
      <c r="AZ651" s="421"/>
      <c r="BA651" s="421"/>
      <c r="BC651" s="115"/>
      <c r="BD651" s="115"/>
      <c r="BE651" s="115"/>
      <c r="BF651" s="115"/>
      <c r="BG651" s="115"/>
      <c r="BH651" s="84"/>
      <c r="BI651" s="84"/>
      <c r="BJ651" s="84"/>
      <c r="BK651" s="84"/>
      <c r="BL651" s="84"/>
      <c r="BM651" s="84"/>
      <c r="BN651" s="84"/>
      <c r="BO651" s="84"/>
      <c r="BP651" s="84"/>
      <c r="BQ651" s="84"/>
      <c r="BR651" s="84"/>
      <c r="BS651" s="84"/>
      <c r="BT651" s="84"/>
      <c r="BU651" s="84"/>
      <c r="BV651" s="84"/>
      <c r="BW651" s="84"/>
      <c r="BX651" s="84"/>
      <c r="BY651" s="84"/>
      <c r="BZ651" s="84"/>
      <c r="CA651" s="84"/>
      <c r="CB651" s="84"/>
      <c r="CC651" s="84"/>
      <c r="CD651" s="84"/>
      <c r="CE651" s="84"/>
      <c r="CF651" s="84"/>
      <c r="CG651" s="84"/>
      <c r="CH651" s="84"/>
      <c r="CI651" s="84"/>
      <c r="CJ651" s="84"/>
      <c r="CK651" s="84"/>
      <c r="CL651" s="84"/>
      <c r="CM651" s="84"/>
      <c r="CN651" s="84"/>
      <c r="CO651" s="84"/>
      <c r="CP651" s="84"/>
      <c r="CQ651" s="84"/>
      <c r="CR651" s="84"/>
      <c r="CS651" s="84"/>
      <c r="CT651" s="84"/>
      <c r="CU651" s="84"/>
      <c r="CV651" s="84"/>
      <c r="CW651" s="84"/>
      <c r="CX651" s="84"/>
      <c r="CY651" s="84"/>
      <c r="CZ651" s="84"/>
      <c r="DA651" s="84"/>
      <c r="DB651" s="84"/>
      <c r="DC651" s="84"/>
      <c r="DD651" s="84"/>
      <c r="DE651" s="84"/>
      <c r="DF651" s="84"/>
      <c r="DG651" s="115"/>
    </row>
    <row r="652" spans="2:111" customFormat="1" ht="9" customHeight="1">
      <c r="B652" s="143"/>
      <c r="C652" s="143"/>
      <c r="D652" s="143"/>
      <c r="E652" s="143"/>
      <c r="F652" s="143"/>
      <c r="G652" s="143"/>
      <c r="H652" s="143"/>
      <c r="I652" s="143"/>
      <c r="J652" s="143"/>
      <c r="K652" s="143"/>
      <c r="L652" s="143"/>
      <c r="M652" s="143"/>
      <c r="N652" s="143"/>
      <c r="O652" s="421"/>
      <c r="P652" s="421"/>
      <c r="Q652" s="421"/>
      <c r="R652" s="421"/>
      <c r="S652" s="421"/>
      <c r="T652" s="421"/>
      <c r="U652" s="421"/>
      <c r="V652" s="421"/>
      <c r="W652" s="421"/>
      <c r="X652" s="421"/>
      <c r="Y652" s="421"/>
      <c r="Z652" s="421"/>
      <c r="AA652" s="421"/>
      <c r="AB652" s="421"/>
      <c r="AC652" s="421"/>
      <c r="AD652" s="421"/>
      <c r="AE652" s="421"/>
      <c r="AF652" s="421"/>
      <c r="AG652" s="421"/>
      <c r="AH652" s="421"/>
      <c r="AI652" s="421"/>
      <c r="AJ652" s="421"/>
      <c r="AK652" s="421"/>
      <c r="AL652" s="421"/>
      <c r="AM652" s="421"/>
      <c r="AN652" s="421"/>
      <c r="AO652" s="421"/>
      <c r="AP652" s="421"/>
      <c r="AQ652" s="421"/>
      <c r="AR652" s="421"/>
      <c r="AS652" s="421"/>
      <c r="AT652" s="421"/>
      <c r="AU652" s="421"/>
      <c r="AV652" s="421"/>
      <c r="AW652" s="421"/>
      <c r="AX652" s="421"/>
      <c r="AY652" s="421"/>
      <c r="AZ652" s="421"/>
      <c r="BA652" s="421"/>
      <c r="BC652" s="115"/>
      <c r="BD652" s="115"/>
      <c r="BE652" s="115"/>
      <c r="BF652" s="115"/>
      <c r="BG652" s="115"/>
      <c r="BH652" s="84"/>
      <c r="BI652" s="84"/>
      <c r="BJ652" s="84"/>
      <c r="BK652" s="84"/>
      <c r="BL652" s="84"/>
      <c r="BM652" s="84"/>
      <c r="BN652" s="84"/>
      <c r="BO652" s="84"/>
      <c r="BP652" s="84"/>
      <c r="BQ652" s="84"/>
      <c r="BR652" s="84"/>
      <c r="BS652" s="84"/>
      <c r="BT652" s="84"/>
      <c r="BU652" s="84"/>
      <c r="BV652" s="84"/>
      <c r="BW652" s="84"/>
      <c r="BX652" s="84"/>
      <c r="BY652" s="84"/>
      <c r="BZ652" s="84"/>
      <c r="CA652" s="84"/>
      <c r="CB652" s="84"/>
      <c r="CC652" s="84"/>
      <c r="CD652" s="84"/>
      <c r="CE652" s="84"/>
      <c r="CF652" s="84"/>
      <c r="CG652" s="84"/>
      <c r="CH652" s="84"/>
      <c r="CI652" s="84"/>
      <c r="CJ652" s="84"/>
      <c r="CK652" s="84"/>
      <c r="CL652" s="84"/>
      <c r="CM652" s="84"/>
      <c r="CN652" s="84"/>
      <c r="CO652" s="84"/>
      <c r="CP652" s="84"/>
      <c r="CQ652" s="84"/>
      <c r="CR652" s="84"/>
      <c r="CS652" s="84"/>
      <c r="CT652" s="84"/>
      <c r="CU652" s="84"/>
      <c r="CV652" s="84"/>
      <c r="CW652" s="84"/>
      <c r="CX652" s="84"/>
      <c r="CY652" s="84"/>
      <c r="CZ652" s="84"/>
      <c r="DA652" s="84"/>
      <c r="DB652" s="84"/>
      <c r="DC652" s="84"/>
      <c r="DD652" s="84"/>
      <c r="DE652" s="84"/>
      <c r="DF652" s="84"/>
      <c r="DG652" s="115"/>
    </row>
    <row r="653" spans="2:111" customFormat="1" ht="9" customHeight="1">
      <c r="B653" s="143"/>
      <c r="C653" s="143"/>
      <c r="D653" s="143"/>
      <c r="E653" s="143"/>
      <c r="F653" s="143"/>
      <c r="G653" s="143"/>
      <c r="H653" s="143"/>
      <c r="I653" s="143"/>
      <c r="J653" s="143"/>
      <c r="K653" s="143"/>
      <c r="L653" s="143"/>
      <c r="M653" s="143"/>
      <c r="N653" s="143"/>
      <c r="O653" s="421"/>
      <c r="P653" s="421"/>
      <c r="Q653" s="421"/>
      <c r="R653" s="421"/>
      <c r="S653" s="421"/>
      <c r="T653" s="421"/>
      <c r="U653" s="421"/>
      <c r="V653" s="421"/>
      <c r="W653" s="421"/>
      <c r="X653" s="421"/>
      <c r="Y653" s="421"/>
      <c r="Z653" s="421"/>
      <c r="AA653" s="421"/>
      <c r="AB653" s="421"/>
      <c r="AC653" s="421"/>
      <c r="AD653" s="421"/>
      <c r="AE653" s="421"/>
      <c r="AF653" s="421"/>
      <c r="AG653" s="421"/>
      <c r="AH653" s="421"/>
      <c r="AI653" s="421"/>
      <c r="AJ653" s="421"/>
      <c r="AK653" s="421"/>
      <c r="AL653" s="421"/>
      <c r="AM653" s="421"/>
      <c r="AN653" s="421"/>
      <c r="AO653" s="421"/>
      <c r="AP653" s="421"/>
      <c r="AQ653" s="421"/>
      <c r="AR653" s="421"/>
      <c r="AS653" s="421"/>
      <c r="AT653" s="421"/>
      <c r="AU653" s="421"/>
      <c r="AV653" s="421"/>
      <c r="AW653" s="421"/>
      <c r="AX653" s="421"/>
      <c r="AY653" s="421"/>
      <c r="AZ653" s="421"/>
      <c r="BA653" s="421"/>
      <c r="BC653" s="115"/>
      <c r="BD653" s="115"/>
      <c r="BE653" s="115"/>
      <c r="BF653" s="115"/>
      <c r="BG653" s="115"/>
      <c r="BH653" s="84"/>
      <c r="BI653" s="84"/>
      <c r="BJ653" s="84"/>
      <c r="BK653" s="84"/>
      <c r="BL653" s="84"/>
      <c r="BM653" s="84"/>
      <c r="BN653" s="84"/>
      <c r="BO653" s="84"/>
      <c r="BP653" s="84"/>
      <c r="BQ653" s="84"/>
      <c r="BR653" s="84"/>
      <c r="BS653" s="84"/>
      <c r="BT653" s="84"/>
      <c r="BU653" s="84"/>
      <c r="BV653" s="84"/>
      <c r="BW653" s="84"/>
      <c r="BX653" s="84"/>
      <c r="BY653" s="84"/>
      <c r="BZ653" s="84"/>
      <c r="CA653" s="84"/>
      <c r="CB653" s="84"/>
      <c r="CC653" s="84"/>
      <c r="CD653" s="84"/>
      <c r="CE653" s="84"/>
      <c r="CF653" s="84"/>
      <c r="CG653" s="84"/>
      <c r="CH653" s="84"/>
      <c r="CI653" s="84"/>
      <c r="CJ653" s="84"/>
      <c r="CK653" s="84"/>
      <c r="CL653" s="84"/>
      <c r="CM653" s="84"/>
      <c r="CN653" s="84"/>
      <c r="CO653" s="84"/>
      <c r="CP653" s="84"/>
      <c r="CQ653" s="84"/>
      <c r="CR653" s="84"/>
      <c r="CS653" s="84"/>
      <c r="CT653" s="84"/>
      <c r="CU653" s="84"/>
      <c r="CV653" s="84"/>
      <c r="CW653" s="84"/>
      <c r="CX653" s="84"/>
      <c r="CY653" s="84"/>
      <c r="CZ653" s="84"/>
      <c r="DA653" s="84"/>
      <c r="DB653" s="84"/>
      <c r="DC653" s="84"/>
      <c r="DD653" s="84"/>
      <c r="DE653" s="84"/>
      <c r="DF653" s="84"/>
      <c r="DG653" s="115"/>
    </row>
    <row r="654" spans="2:111" customFormat="1" ht="9" customHeight="1">
      <c r="B654" s="49"/>
      <c r="C654" s="49"/>
      <c r="D654" s="49"/>
      <c r="E654" s="49"/>
      <c r="F654" s="49"/>
      <c r="G654" s="49"/>
      <c r="H654" s="49"/>
      <c r="I654" s="49"/>
      <c r="J654" s="49"/>
      <c r="K654" s="49"/>
      <c r="L654" s="49"/>
      <c r="M654" s="49"/>
      <c r="N654" s="49"/>
      <c r="O654" s="421"/>
      <c r="P654" s="421"/>
      <c r="Q654" s="421"/>
      <c r="R654" s="421"/>
      <c r="S654" s="421"/>
      <c r="T654" s="421"/>
      <c r="U654" s="421"/>
      <c r="V654" s="421"/>
      <c r="W654" s="421"/>
      <c r="X654" s="421"/>
      <c r="Y654" s="421"/>
      <c r="Z654" s="421"/>
      <c r="AA654" s="421"/>
      <c r="AB654" s="421"/>
      <c r="AC654" s="421"/>
      <c r="AD654" s="421"/>
      <c r="AE654" s="421"/>
      <c r="AF654" s="421"/>
      <c r="AG654" s="421"/>
      <c r="AH654" s="421"/>
      <c r="AI654" s="421"/>
      <c r="AJ654" s="421"/>
      <c r="AK654" s="421"/>
      <c r="AL654" s="421"/>
      <c r="AM654" s="421"/>
      <c r="AN654" s="421"/>
      <c r="AO654" s="421"/>
      <c r="AP654" s="421"/>
      <c r="AQ654" s="421"/>
      <c r="AR654" s="421"/>
      <c r="AS654" s="421"/>
      <c r="AT654" s="421"/>
      <c r="AU654" s="421"/>
      <c r="AV654" s="421"/>
      <c r="AW654" s="421"/>
      <c r="AX654" s="421"/>
      <c r="AY654" s="421"/>
      <c r="AZ654" s="421"/>
      <c r="BA654" s="421"/>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row>
    <row r="655" spans="2:111" customFormat="1" ht="4.5" customHeight="1">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C655" s="115"/>
      <c r="BD655" s="115"/>
      <c r="BE655" s="115"/>
      <c r="BF655" s="115"/>
      <c r="BG655" s="115"/>
      <c r="BH655" s="124"/>
      <c r="BI655" s="124"/>
      <c r="BJ655" s="124"/>
      <c r="BK655" s="124"/>
      <c r="BL655" s="124"/>
      <c r="BM655" s="124"/>
      <c r="BN655" s="124"/>
      <c r="BO655" s="124"/>
      <c r="BP655" s="124"/>
      <c r="BQ655" s="124"/>
      <c r="BR655" s="124"/>
      <c r="BS655" s="124"/>
      <c r="BT655" s="124"/>
      <c r="BU655" s="124"/>
      <c r="BV655" s="124"/>
      <c r="BW655" s="124"/>
      <c r="BX655" s="124"/>
      <c r="BY655" s="124"/>
      <c r="BZ655" s="124"/>
      <c r="CA655" s="124"/>
      <c r="CB655" s="124"/>
      <c r="CC655" s="124"/>
      <c r="CD655" s="124"/>
      <c r="CE655" s="124"/>
      <c r="CF655" s="124"/>
      <c r="CG655" s="124"/>
      <c r="CH655" s="124"/>
      <c r="CI655" s="124"/>
      <c r="CJ655" s="124"/>
      <c r="CK655" s="124"/>
      <c r="CL655" s="124"/>
      <c r="CM655" s="124"/>
      <c r="CN655" s="124"/>
      <c r="CO655" s="124"/>
      <c r="CP655" s="124"/>
      <c r="CQ655" s="124"/>
      <c r="CR655" s="124"/>
      <c r="CS655" s="124"/>
      <c r="CT655" s="124"/>
      <c r="CU655" s="124"/>
      <c r="CV655" s="124"/>
      <c r="CW655" s="124"/>
      <c r="CX655" s="124"/>
      <c r="CY655" s="124"/>
      <c r="CZ655" s="124"/>
      <c r="DA655" s="124"/>
      <c r="DB655" s="124"/>
      <c r="DC655" s="124"/>
      <c r="DD655" s="124"/>
      <c r="DE655" s="124"/>
      <c r="DF655" s="124"/>
      <c r="DG655" s="115"/>
    </row>
    <row r="656" spans="2:111" customFormat="1" ht="9" customHeight="1">
      <c r="B656" s="493" t="str">
        <f>IF(B636="","","Justificativa:")</f>
        <v/>
      </c>
      <c r="C656" s="493"/>
      <c r="D656" s="493"/>
      <c r="E656" s="493"/>
      <c r="F656" s="493"/>
      <c r="G656" s="493"/>
      <c r="H656" s="493"/>
      <c r="I656" s="493"/>
      <c r="J656" s="493"/>
      <c r="K656" s="493"/>
      <c r="L656" s="493"/>
      <c r="M656" s="493"/>
      <c r="N656" s="493"/>
      <c r="O656" s="421"/>
      <c r="P656" s="421"/>
      <c r="Q656" s="421"/>
      <c r="R656" s="421"/>
      <c r="S656" s="421"/>
      <c r="T656" s="421"/>
      <c r="U656" s="421"/>
      <c r="V656" s="421"/>
      <c r="W656" s="421"/>
      <c r="X656" s="421"/>
      <c r="Y656" s="421"/>
      <c r="Z656" s="421"/>
      <c r="AA656" s="421"/>
      <c r="AB656" s="421"/>
      <c r="AC656" s="421"/>
      <c r="AD656" s="421"/>
      <c r="AE656" s="421"/>
      <c r="AF656" s="421"/>
      <c r="AG656" s="421"/>
      <c r="AH656" s="421"/>
      <c r="AI656" s="421"/>
      <c r="AJ656" s="421"/>
      <c r="AK656" s="421"/>
      <c r="AL656" s="421"/>
      <c r="AM656" s="421"/>
      <c r="AN656" s="421"/>
      <c r="AO656" s="421"/>
      <c r="AP656" s="421"/>
      <c r="AQ656" s="421"/>
      <c r="AR656" s="421"/>
      <c r="AS656" s="421"/>
      <c r="AT656" s="421"/>
      <c r="AU656" s="421"/>
      <c r="AV656" s="421"/>
      <c r="AW656" s="421"/>
      <c r="AX656" s="421"/>
      <c r="AY656" s="421"/>
      <c r="AZ656" s="421"/>
      <c r="BA656" s="421"/>
      <c r="BC656" s="115"/>
      <c r="BD656" s="115"/>
      <c r="BE656" s="115"/>
      <c r="BF656" s="115"/>
      <c r="BG656" s="115"/>
      <c r="BH656" s="124"/>
      <c r="BI656" s="124"/>
      <c r="BJ656" s="124"/>
      <c r="BK656" s="124"/>
      <c r="BL656" s="124"/>
      <c r="BM656" s="124"/>
      <c r="BN656" s="124"/>
      <c r="BO656" s="124"/>
      <c r="BP656" s="124"/>
      <c r="BQ656" s="124"/>
      <c r="BR656" s="124"/>
      <c r="BS656" s="124"/>
      <c r="BT656" s="124"/>
      <c r="BU656" s="124"/>
      <c r="BV656" s="124"/>
      <c r="BW656" s="124"/>
      <c r="BX656" s="124"/>
      <c r="BY656" s="124"/>
      <c r="BZ656" s="124"/>
      <c r="CA656" s="124"/>
      <c r="CB656" s="124"/>
      <c r="CC656" s="124"/>
      <c r="CD656" s="124"/>
      <c r="CE656" s="124"/>
      <c r="CF656" s="124"/>
      <c r="CG656" s="124"/>
      <c r="CH656" s="124"/>
      <c r="CI656" s="124"/>
      <c r="CJ656" s="124"/>
      <c r="CK656" s="124"/>
      <c r="CL656" s="124"/>
      <c r="CM656" s="124"/>
      <c r="CN656" s="124"/>
      <c r="CO656" s="124"/>
      <c r="CP656" s="124"/>
      <c r="CQ656" s="124"/>
      <c r="CR656" s="124"/>
      <c r="CS656" s="124"/>
      <c r="CT656" s="124"/>
      <c r="CU656" s="124"/>
      <c r="CV656" s="124"/>
      <c r="CW656" s="124"/>
      <c r="CX656" s="124"/>
      <c r="CY656" s="124"/>
      <c r="CZ656" s="124"/>
      <c r="DA656" s="124"/>
      <c r="DB656" s="124"/>
      <c r="DC656" s="124"/>
      <c r="DD656" s="124"/>
      <c r="DE656" s="124"/>
      <c r="DF656" s="124"/>
      <c r="DG656" s="115"/>
    </row>
    <row r="657" spans="2:111" customFormat="1" ht="9" customHeight="1">
      <c r="B657" s="493"/>
      <c r="C657" s="493"/>
      <c r="D657" s="493"/>
      <c r="E657" s="493"/>
      <c r="F657" s="493"/>
      <c r="G657" s="493"/>
      <c r="H657" s="493"/>
      <c r="I657" s="493"/>
      <c r="J657" s="493"/>
      <c r="K657" s="493"/>
      <c r="L657" s="493"/>
      <c r="M657" s="493"/>
      <c r="N657" s="493"/>
      <c r="O657" s="421"/>
      <c r="P657" s="421"/>
      <c r="Q657" s="421"/>
      <c r="R657" s="421"/>
      <c r="S657" s="421"/>
      <c r="T657" s="421"/>
      <c r="U657" s="421"/>
      <c r="V657" s="421"/>
      <c r="W657" s="421"/>
      <c r="X657" s="421"/>
      <c r="Y657" s="421"/>
      <c r="Z657" s="421"/>
      <c r="AA657" s="421"/>
      <c r="AB657" s="421"/>
      <c r="AC657" s="421"/>
      <c r="AD657" s="421"/>
      <c r="AE657" s="421"/>
      <c r="AF657" s="421"/>
      <c r="AG657" s="421"/>
      <c r="AH657" s="421"/>
      <c r="AI657" s="421"/>
      <c r="AJ657" s="421"/>
      <c r="AK657" s="421"/>
      <c r="AL657" s="421"/>
      <c r="AM657" s="421"/>
      <c r="AN657" s="421"/>
      <c r="AO657" s="421"/>
      <c r="AP657" s="421"/>
      <c r="AQ657" s="421"/>
      <c r="AR657" s="421"/>
      <c r="AS657" s="421"/>
      <c r="AT657" s="421"/>
      <c r="AU657" s="421"/>
      <c r="AV657" s="421"/>
      <c r="AW657" s="421"/>
      <c r="AX657" s="421"/>
      <c r="AY657" s="421"/>
      <c r="AZ657" s="421"/>
      <c r="BA657" s="421"/>
      <c r="BC657" s="115"/>
      <c r="BD657" s="115"/>
      <c r="BE657" s="115"/>
      <c r="BF657" s="115"/>
      <c r="BG657" s="115"/>
      <c r="BH657" s="124"/>
      <c r="BI657" s="124"/>
      <c r="BJ657" s="124"/>
      <c r="BK657" s="124"/>
      <c r="BL657" s="124"/>
      <c r="BM657" s="124"/>
      <c r="BN657" s="124"/>
      <c r="BO657" s="124"/>
      <c r="BP657" s="124"/>
      <c r="BQ657" s="124"/>
      <c r="BR657" s="124"/>
      <c r="BS657" s="124"/>
      <c r="BT657" s="124"/>
      <c r="BU657" s="124"/>
      <c r="BV657" s="124"/>
      <c r="BW657" s="124"/>
      <c r="BX657" s="124"/>
      <c r="BY657" s="124"/>
      <c r="BZ657" s="124"/>
      <c r="CA657" s="124"/>
      <c r="CB657" s="124"/>
      <c r="CC657" s="124"/>
      <c r="CD657" s="124"/>
      <c r="CE657" s="124"/>
      <c r="CF657" s="124"/>
      <c r="CG657" s="124"/>
      <c r="CH657" s="124"/>
      <c r="CI657" s="124"/>
      <c r="CJ657" s="124"/>
      <c r="CK657" s="124"/>
      <c r="CL657" s="124"/>
      <c r="CM657" s="124"/>
      <c r="CN657" s="124"/>
      <c r="CO657" s="124"/>
      <c r="CP657" s="124"/>
      <c r="CQ657" s="124"/>
      <c r="CR657" s="124"/>
      <c r="CS657" s="124"/>
      <c r="CT657" s="124"/>
      <c r="CU657" s="124"/>
      <c r="CV657" s="124"/>
      <c r="CW657" s="124"/>
      <c r="CX657" s="124"/>
      <c r="CY657" s="124"/>
      <c r="CZ657" s="124"/>
      <c r="DA657" s="124"/>
      <c r="DB657" s="124"/>
      <c r="DC657" s="124"/>
      <c r="DD657" s="124"/>
      <c r="DE657" s="124"/>
      <c r="DF657" s="124"/>
      <c r="DG657" s="115"/>
    </row>
    <row r="658" spans="2:111" customFormat="1" ht="9" customHeight="1">
      <c r="B658" s="143"/>
      <c r="C658" s="143"/>
      <c r="D658" s="143"/>
      <c r="E658" s="143"/>
      <c r="F658" s="143"/>
      <c r="G658" s="143"/>
      <c r="H658" s="143"/>
      <c r="I658" s="143"/>
      <c r="J658" s="143"/>
      <c r="K658" s="143"/>
      <c r="L658" s="143"/>
      <c r="M658" s="143"/>
      <c r="N658" s="143"/>
      <c r="O658" s="421"/>
      <c r="P658" s="421"/>
      <c r="Q658" s="421"/>
      <c r="R658" s="421"/>
      <c r="S658" s="421"/>
      <c r="T658" s="421"/>
      <c r="U658" s="421"/>
      <c r="V658" s="421"/>
      <c r="W658" s="421"/>
      <c r="X658" s="421"/>
      <c r="Y658" s="421"/>
      <c r="Z658" s="421"/>
      <c r="AA658" s="421"/>
      <c r="AB658" s="421"/>
      <c r="AC658" s="421"/>
      <c r="AD658" s="421"/>
      <c r="AE658" s="421"/>
      <c r="AF658" s="421"/>
      <c r="AG658" s="421"/>
      <c r="AH658" s="421"/>
      <c r="AI658" s="421"/>
      <c r="AJ658" s="421"/>
      <c r="AK658" s="421"/>
      <c r="AL658" s="421"/>
      <c r="AM658" s="421"/>
      <c r="AN658" s="421"/>
      <c r="AO658" s="421"/>
      <c r="AP658" s="421"/>
      <c r="AQ658" s="421"/>
      <c r="AR658" s="421"/>
      <c r="AS658" s="421"/>
      <c r="AT658" s="421"/>
      <c r="AU658" s="421"/>
      <c r="AV658" s="421"/>
      <c r="AW658" s="421"/>
      <c r="AX658" s="421"/>
      <c r="AY658" s="421"/>
      <c r="AZ658" s="421"/>
      <c r="BA658" s="421"/>
      <c r="BC658" s="115"/>
      <c r="BD658" s="115"/>
      <c r="BE658" s="115"/>
      <c r="BF658" s="115"/>
      <c r="BG658" s="115"/>
      <c r="BH658" s="124"/>
      <c r="BI658" s="124"/>
      <c r="BJ658" s="124"/>
      <c r="BK658" s="124"/>
      <c r="BL658" s="124"/>
      <c r="BM658" s="124"/>
      <c r="BN658" s="124"/>
      <c r="BO658" s="124"/>
      <c r="BP658" s="124"/>
      <c r="BQ658" s="124"/>
      <c r="BR658" s="124"/>
      <c r="BS658" s="124"/>
      <c r="BT658" s="124"/>
      <c r="BU658" s="124"/>
      <c r="BV658" s="124"/>
      <c r="BW658" s="124"/>
      <c r="BX658" s="124"/>
      <c r="BY658" s="124"/>
      <c r="BZ658" s="124"/>
      <c r="CA658" s="124"/>
      <c r="CB658" s="124"/>
      <c r="CC658" s="124"/>
      <c r="CD658" s="124"/>
      <c r="CE658" s="124"/>
      <c r="CF658" s="124"/>
      <c r="CG658" s="124"/>
      <c r="CH658" s="124"/>
      <c r="CI658" s="124"/>
      <c r="CJ658" s="124"/>
      <c r="CK658" s="124"/>
      <c r="CL658" s="124"/>
      <c r="CM658" s="124"/>
      <c r="CN658" s="124"/>
      <c r="CO658" s="124"/>
      <c r="CP658" s="124"/>
      <c r="CQ658" s="124"/>
      <c r="CR658" s="124"/>
      <c r="CS658" s="124"/>
      <c r="CT658" s="124"/>
      <c r="CU658" s="124"/>
      <c r="CV658" s="124"/>
      <c r="CW658" s="124"/>
      <c r="CX658" s="124"/>
      <c r="CY658" s="124"/>
      <c r="CZ658" s="124"/>
      <c r="DA658" s="124"/>
      <c r="DB658" s="124"/>
      <c r="DC658" s="124"/>
      <c r="DD658" s="124"/>
      <c r="DE658" s="124"/>
      <c r="DF658" s="124"/>
      <c r="DG658" s="115"/>
    </row>
    <row r="659" spans="2:111" customFormat="1" ht="9" customHeight="1">
      <c r="B659" s="143"/>
      <c r="C659" s="143"/>
      <c r="D659" s="143"/>
      <c r="E659" s="143"/>
      <c r="F659" s="143"/>
      <c r="G659" s="143"/>
      <c r="H659" s="143"/>
      <c r="I659" s="143"/>
      <c r="J659" s="143"/>
      <c r="K659" s="143"/>
      <c r="L659" s="143"/>
      <c r="M659" s="143"/>
      <c r="N659" s="143"/>
      <c r="O659" s="421"/>
      <c r="P659" s="421"/>
      <c r="Q659" s="421"/>
      <c r="R659" s="421"/>
      <c r="S659" s="421"/>
      <c r="T659" s="421"/>
      <c r="U659" s="421"/>
      <c r="V659" s="421"/>
      <c r="W659" s="421"/>
      <c r="X659" s="421"/>
      <c r="Y659" s="421"/>
      <c r="Z659" s="421"/>
      <c r="AA659" s="421"/>
      <c r="AB659" s="421"/>
      <c r="AC659" s="421"/>
      <c r="AD659" s="421"/>
      <c r="AE659" s="421"/>
      <c r="AF659" s="421"/>
      <c r="AG659" s="421"/>
      <c r="AH659" s="421"/>
      <c r="AI659" s="421"/>
      <c r="AJ659" s="421"/>
      <c r="AK659" s="421"/>
      <c r="AL659" s="421"/>
      <c r="AM659" s="421"/>
      <c r="AN659" s="421"/>
      <c r="AO659" s="421"/>
      <c r="AP659" s="421"/>
      <c r="AQ659" s="421"/>
      <c r="AR659" s="421"/>
      <c r="AS659" s="421"/>
      <c r="AT659" s="421"/>
      <c r="AU659" s="421"/>
      <c r="AV659" s="421"/>
      <c r="AW659" s="421"/>
      <c r="AX659" s="421"/>
      <c r="AY659" s="421"/>
      <c r="AZ659" s="421"/>
      <c r="BA659" s="421"/>
      <c r="BC659" s="115"/>
      <c r="BD659" s="115"/>
      <c r="BE659" s="115"/>
      <c r="BF659" s="115"/>
      <c r="BG659" s="115"/>
      <c r="BH659" s="84"/>
      <c r="BI659" s="84"/>
      <c r="BJ659" s="84"/>
      <c r="BK659" s="84"/>
      <c r="BL659" s="84"/>
      <c r="BM659" s="84"/>
      <c r="BN659" s="84"/>
      <c r="BO659" s="84"/>
      <c r="BP659" s="84"/>
      <c r="BQ659" s="84"/>
      <c r="BR659" s="84"/>
      <c r="BS659" s="84"/>
      <c r="BT659" s="84"/>
      <c r="BU659" s="84"/>
      <c r="BV659" s="84"/>
      <c r="BW659" s="84"/>
      <c r="BX659" s="84"/>
      <c r="BY659" s="84"/>
      <c r="BZ659" s="84"/>
      <c r="CA659" s="84"/>
      <c r="CB659" s="84"/>
      <c r="CC659" s="84"/>
      <c r="CD659" s="84"/>
      <c r="CE659" s="84"/>
      <c r="CF659" s="84"/>
      <c r="CG659" s="84"/>
      <c r="CH659" s="84"/>
      <c r="CI659" s="84"/>
      <c r="CJ659" s="84"/>
      <c r="CK659" s="84"/>
      <c r="CL659" s="84"/>
      <c r="CM659" s="84"/>
      <c r="CN659" s="84"/>
      <c r="CO659" s="84"/>
      <c r="CP659" s="84"/>
      <c r="CQ659" s="84"/>
      <c r="CR659" s="84"/>
      <c r="CS659" s="84"/>
      <c r="CT659" s="84"/>
      <c r="CU659" s="84"/>
      <c r="CV659" s="84"/>
      <c r="CW659" s="84"/>
      <c r="CX659" s="84"/>
      <c r="CY659" s="84"/>
      <c r="CZ659" s="84"/>
      <c r="DA659" s="84"/>
      <c r="DB659" s="84"/>
      <c r="DC659" s="84"/>
      <c r="DD659" s="84"/>
      <c r="DE659" s="84"/>
      <c r="DF659" s="84"/>
      <c r="DG659" s="115"/>
    </row>
    <row r="660" spans="2:111" customFormat="1" ht="9" customHeight="1">
      <c r="B660" s="143"/>
      <c r="C660" s="143"/>
      <c r="D660" s="143"/>
      <c r="E660" s="143"/>
      <c r="F660" s="143"/>
      <c r="G660" s="143"/>
      <c r="H660" s="143"/>
      <c r="I660" s="143"/>
      <c r="J660" s="143"/>
      <c r="K660" s="143"/>
      <c r="L660" s="143"/>
      <c r="M660" s="143"/>
      <c r="N660" s="143"/>
      <c r="O660" s="421"/>
      <c r="P660" s="421"/>
      <c r="Q660" s="421"/>
      <c r="R660" s="421"/>
      <c r="S660" s="421"/>
      <c r="T660" s="421"/>
      <c r="U660" s="421"/>
      <c r="V660" s="421"/>
      <c r="W660" s="421"/>
      <c r="X660" s="421"/>
      <c r="Y660" s="421"/>
      <c r="Z660" s="421"/>
      <c r="AA660" s="421"/>
      <c r="AB660" s="421"/>
      <c r="AC660" s="421"/>
      <c r="AD660" s="421"/>
      <c r="AE660" s="421"/>
      <c r="AF660" s="421"/>
      <c r="AG660" s="421"/>
      <c r="AH660" s="421"/>
      <c r="AI660" s="421"/>
      <c r="AJ660" s="421"/>
      <c r="AK660" s="421"/>
      <c r="AL660" s="421"/>
      <c r="AM660" s="421"/>
      <c r="AN660" s="421"/>
      <c r="AO660" s="421"/>
      <c r="AP660" s="421"/>
      <c r="AQ660" s="421"/>
      <c r="AR660" s="421"/>
      <c r="AS660" s="421"/>
      <c r="AT660" s="421"/>
      <c r="AU660" s="421"/>
      <c r="AV660" s="421"/>
      <c r="AW660" s="421"/>
      <c r="AX660" s="421"/>
      <c r="AY660" s="421"/>
      <c r="AZ660" s="421"/>
      <c r="BA660" s="421"/>
      <c r="BC660" s="115"/>
      <c r="BD660" s="115"/>
      <c r="BE660" s="115"/>
      <c r="BF660" s="115"/>
      <c r="BG660" s="115"/>
      <c r="BH660" s="84"/>
      <c r="BI660" s="84"/>
      <c r="BJ660" s="84"/>
      <c r="BK660" s="84"/>
      <c r="BL660" s="84"/>
      <c r="BM660" s="84"/>
      <c r="BN660" s="84"/>
      <c r="BO660" s="84"/>
      <c r="BP660" s="84"/>
      <c r="BQ660" s="84"/>
      <c r="BR660" s="84"/>
      <c r="BS660" s="84"/>
      <c r="BT660" s="84"/>
      <c r="BU660" s="84"/>
      <c r="BV660" s="84"/>
      <c r="BW660" s="84"/>
      <c r="BX660" s="84"/>
      <c r="BY660" s="84"/>
      <c r="BZ660" s="84"/>
      <c r="CA660" s="84"/>
      <c r="CB660" s="84"/>
      <c r="CC660" s="84"/>
      <c r="CD660" s="84"/>
      <c r="CE660" s="84"/>
      <c r="CF660" s="84"/>
      <c r="CG660" s="84"/>
      <c r="CH660" s="84"/>
      <c r="CI660" s="84"/>
      <c r="CJ660" s="84"/>
      <c r="CK660" s="84"/>
      <c r="CL660" s="84"/>
      <c r="CM660" s="84"/>
      <c r="CN660" s="84"/>
      <c r="CO660" s="84"/>
      <c r="CP660" s="84"/>
      <c r="CQ660" s="84"/>
      <c r="CR660" s="84"/>
      <c r="CS660" s="84"/>
      <c r="CT660" s="84"/>
      <c r="CU660" s="84"/>
      <c r="CV660" s="84"/>
      <c r="CW660" s="84"/>
      <c r="CX660" s="84"/>
      <c r="CY660" s="84"/>
      <c r="CZ660" s="84"/>
      <c r="DA660" s="84"/>
      <c r="DB660" s="84"/>
      <c r="DC660" s="84"/>
      <c r="DD660" s="84"/>
      <c r="DE660" s="84"/>
      <c r="DF660" s="84"/>
      <c r="DG660" s="115"/>
    </row>
    <row r="661" spans="2:111" customFormat="1" ht="9" customHeight="1">
      <c r="B661" s="49"/>
      <c r="C661" s="49"/>
      <c r="D661" s="49"/>
      <c r="E661" s="49"/>
      <c r="F661" s="49"/>
      <c r="G661" s="49"/>
      <c r="H661" s="49"/>
      <c r="I661" s="49"/>
      <c r="J661" s="49"/>
      <c r="K661" s="49"/>
      <c r="L661" s="49"/>
      <c r="M661" s="49"/>
      <c r="N661" s="49"/>
      <c r="O661" s="421"/>
      <c r="P661" s="421"/>
      <c r="Q661" s="421"/>
      <c r="R661" s="421"/>
      <c r="S661" s="421"/>
      <c r="T661" s="421"/>
      <c r="U661" s="421"/>
      <c r="V661" s="421"/>
      <c r="W661" s="421"/>
      <c r="X661" s="421"/>
      <c r="Y661" s="421"/>
      <c r="Z661" s="421"/>
      <c r="AA661" s="421"/>
      <c r="AB661" s="421"/>
      <c r="AC661" s="421"/>
      <c r="AD661" s="421"/>
      <c r="AE661" s="421"/>
      <c r="AF661" s="421"/>
      <c r="AG661" s="421"/>
      <c r="AH661" s="421"/>
      <c r="AI661" s="421"/>
      <c r="AJ661" s="421"/>
      <c r="AK661" s="421"/>
      <c r="AL661" s="421"/>
      <c r="AM661" s="421"/>
      <c r="AN661" s="421"/>
      <c r="AO661" s="421"/>
      <c r="AP661" s="421"/>
      <c r="AQ661" s="421"/>
      <c r="AR661" s="421"/>
      <c r="AS661" s="421"/>
      <c r="AT661" s="421"/>
      <c r="AU661" s="421"/>
      <c r="AV661" s="421"/>
      <c r="AW661" s="421"/>
      <c r="AX661" s="421"/>
      <c r="AY661" s="421"/>
      <c r="AZ661" s="421"/>
      <c r="BA661" s="421"/>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row>
    <row r="662" spans="2:111" customFormat="1" ht="4.5" customHeight="1">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49"/>
      <c r="AY662" s="49"/>
      <c r="AZ662" s="49"/>
      <c r="BA662" s="49"/>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row>
    <row r="663" spans="2:111" customFormat="1" ht="9" customHeight="1">
      <c r="B663" s="493" t="str">
        <f>IF(B636="","","Metas Vinculadas:")</f>
        <v/>
      </c>
      <c r="C663" s="493"/>
      <c r="D663" s="493"/>
      <c r="E663" s="493"/>
      <c r="F663" s="493"/>
      <c r="G663" s="493"/>
      <c r="H663" s="493"/>
      <c r="I663" s="493"/>
      <c r="J663" s="493"/>
      <c r="K663" s="493"/>
      <c r="L663" s="493"/>
      <c r="M663" s="493"/>
      <c r="N663" s="493"/>
      <c r="O663" s="421"/>
      <c r="P663" s="421"/>
      <c r="Q663" s="421"/>
      <c r="R663" s="421"/>
      <c r="S663" s="421"/>
      <c r="T663" s="421"/>
      <c r="U663" s="421"/>
      <c r="V663" s="421"/>
      <c r="W663" s="421"/>
      <c r="X663" s="421"/>
      <c r="Y663" s="421"/>
      <c r="Z663" s="421"/>
      <c r="AA663" s="421"/>
      <c r="AB663" s="421"/>
      <c r="AC663" s="421"/>
      <c r="AD663" s="421"/>
      <c r="AE663" s="421"/>
      <c r="AF663" s="421"/>
      <c r="AG663" s="421"/>
      <c r="AH663" s="421"/>
      <c r="AI663" s="421"/>
      <c r="AJ663" s="421"/>
      <c r="AK663" s="421"/>
      <c r="AL663" s="421"/>
      <c r="AM663" s="421"/>
      <c r="AN663" s="421"/>
      <c r="AO663" s="421"/>
      <c r="AP663" s="421"/>
      <c r="AQ663" s="421"/>
      <c r="AR663" s="421"/>
      <c r="AS663" s="421"/>
      <c r="AT663" s="421"/>
      <c r="AU663" s="421"/>
      <c r="AV663" s="421"/>
      <c r="AW663" s="421"/>
      <c r="AX663" s="421"/>
      <c r="AY663" s="421"/>
      <c r="AZ663" s="421"/>
      <c r="BA663" s="421"/>
      <c r="BC663" s="115"/>
      <c r="BD663" s="115"/>
      <c r="BE663" s="115"/>
      <c r="BF663" s="115"/>
      <c r="BG663" s="115"/>
      <c r="BH663" s="124"/>
      <c r="BI663" s="124"/>
      <c r="BJ663" s="124"/>
      <c r="BK663" s="124"/>
      <c r="BL663" s="124"/>
      <c r="BM663" s="124"/>
      <c r="BN663" s="124"/>
      <c r="BO663" s="124"/>
      <c r="BP663" s="124"/>
      <c r="BQ663" s="124"/>
      <c r="BR663" s="124"/>
      <c r="BS663" s="124"/>
      <c r="BT663" s="124"/>
      <c r="BU663" s="124"/>
      <c r="BV663" s="124"/>
      <c r="BW663" s="124"/>
      <c r="BX663" s="124"/>
      <c r="BY663" s="124"/>
      <c r="BZ663" s="124"/>
      <c r="CA663" s="124"/>
      <c r="CB663" s="124"/>
      <c r="CC663" s="124"/>
      <c r="CD663" s="124"/>
      <c r="CE663" s="124"/>
      <c r="CF663" s="124"/>
      <c r="CG663" s="124"/>
      <c r="CH663" s="124"/>
      <c r="CI663" s="124"/>
      <c r="CJ663" s="124"/>
      <c r="CK663" s="124"/>
      <c r="CL663" s="124"/>
      <c r="CM663" s="124"/>
      <c r="CN663" s="124"/>
      <c r="CO663" s="124"/>
      <c r="CP663" s="124"/>
      <c r="CQ663" s="124"/>
      <c r="CR663" s="124"/>
      <c r="CS663" s="124"/>
      <c r="CT663" s="124"/>
      <c r="CU663" s="124"/>
      <c r="CV663" s="124"/>
      <c r="CW663" s="124"/>
      <c r="CX663" s="124"/>
      <c r="CY663" s="124"/>
      <c r="CZ663" s="124"/>
      <c r="DA663" s="124"/>
      <c r="DB663" s="124"/>
      <c r="DC663" s="124"/>
      <c r="DD663" s="124"/>
      <c r="DE663" s="124"/>
      <c r="DF663" s="124"/>
      <c r="DG663" s="115"/>
    </row>
    <row r="664" spans="2:111" customFormat="1" ht="9" customHeight="1">
      <c r="B664" s="493"/>
      <c r="C664" s="493"/>
      <c r="D664" s="493"/>
      <c r="E664" s="493"/>
      <c r="F664" s="493"/>
      <c r="G664" s="493"/>
      <c r="H664" s="493"/>
      <c r="I664" s="493"/>
      <c r="J664" s="493"/>
      <c r="K664" s="493"/>
      <c r="L664" s="493"/>
      <c r="M664" s="493"/>
      <c r="N664" s="493"/>
      <c r="O664" s="421"/>
      <c r="P664" s="421"/>
      <c r="Q664" s="421"/>
      <c r="R664" s="421"/>
      <c r="S664" s="421"/>
      <c r="T664" s="421"/>
      <c r="U664" s="421"/>
      <c r="V664" s="421"/>
      <c r="W664" s="421"/>
      <c r="X664" s="421"/>
      <c r="Y664" s="421"/>
      <c r="Z664" s="421"/>
      <c r="AA664" s="421"/>
      <c r="AB664" s="421"/>
      <c r="AC664" s="421"/>
      <c r="AD664" s="421"/>
      <c r="AE664" s="421"/>
      <c r="AF664" s="421"/>
      <c r="AG664" s="421"/>
      <c r="AH664" s="421"/>
      <c r="AI664" s="421"/>
      <c r="AJ664" s="421"/>
      <c r="AK664" s="421"/>
      <c r="AL664" s="421"/>
      <c r="AM664" s="421"/>
      <c r="AN664" s="421"/>
      <c r="AO664" s="421"/>
      <c r="AP664" s="421"/>
      <c r="AQ664" s="421"/>
      <c r="AR664" s="421"/>
      <c r="AS664" s="421"/>
      <c r="AT664" s="421"/>
      <c r="AU664" s="421"/>
      <c r="AV664" s="421"/>
      <c r="AW664" s="421"/>
      <c r="AX664" s="421"/>
      <c r="AY664" s="421"/>
      <c r="AZ664" s="421"/>
      <c r="BA664" s="421"/>
      <c r="BC664" s="115"/>
      <c r="BD664" s="115"/>
      <c r="BE664" s="115"/>
      <c r="BF664" s="115"/>
      <c r="BG664" s="115"/>
      <c r="BH664" s="84"/>
      <c r="BI664" s="84"/>
      <c r="BJ664" s="84"/>
      <c r="BK664" s="84"/>
      <c r="BL664" s="84"/>
      <c r="BM664" s="84"/>
      <c r="BN664" s="84"/>
      <c r="BO664" s="84"/>
      <c r="BP664" s="84"/>
      <c r="BQ664" s="84"/>
      <c r="BR664" s="84"/>
      <c r="BS664" s="84"/>
      <c r="BT664" s="84"/>
      <c r="BU664" s="84"/>
      <c r="BV664" s="84"/>
      <c r="BW664" s="84"/>
      <c r="BX664" s="84"/>
      <c r="BY664" s="84"/>
      <c r="BZ664" s="84"/>
      <c r="CA664" s="84"/>
      <c r="CB664" s="84"/>
      <c r="CC664" s="84"/>
      <c r="CD664" s="84"/>
      <c r="CE664" s="84"/>
      <c r="CF664" s="84"/>
      <c r="CG664" s="84"/>
      <c r="CH664" s="84"/>
      <c r="CI664" s="84"/>
      <c r="CJ664" s="84"/>
      <c r="CK664" s="84"/>
      <c r="CL664" s="84"/>
      <c r="CM664" s="84"/>
      <c r="CN664" s="84"/>
      <c r="CO664" s="84"/>
      <c r="CP664" s="84"/>
      <c r="CQ664" s="84"/>
      <c r="CR664" s="84"/>
      <c r="CS664" s="84"/>
      <c r="CT664" s="84"/>
      <c r="CU664" s="84"/>
      <c r="CV664" s="84"/>
      <c r="CW664" s="84"/>
      <c r="CX664" s="84"/>
      <c r="CY664" s="84"/>
      <c r="CZ664" s="84"/>
      <c r="DA664" s="84"/>
      <c r="DB664" s="84"/>
      <c r="DC664" s="84"/>
      <c r="DD664" s="84"/>
      <c r="DE664" s="84"/>
      <c r="DF664" s="84"/>
      <c r="DG664" s="115"/>
    </row>
    <row r="665" spans="2:111" customFormat="1" ht="4.5" customHeight="1">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49"/>
      <c r="AY665" s="49"/>
      <c r="AZ665" s="49"/>
      <c r="BA665" s="49"/>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row>
    <row r="666" spans="2:111" customFormat="1" ht="9" customHeight="1">
      <c r="B666" s="125"/>
      <c r="C666" s="125"/>
      <c r="D666" s="125"/>
      <c r="E666" s="125"/>
      <c r="F666" s="125"/>
      <c r="G666" s="125"/>
      <c r="H666" s="125"/>
      <c r="I666" s="125"/>
      <c r="J666" s="125"/>
      <c r="K666" s="125"/>
      <c r="L666" s="125"/>
      <c r="M666" s="125"/>
      <c r="N666" s="125"/>
      <c r="O666" s="496" t="str">
        <f>IF(B636="","","Quantidade:")</f>
        <v/>
      </c>
      <c r="P666" s="496"/>
      <c r="Q666" s="496"/>
      <c r="R666" s="496"/>
      <c r="S666" s="496"/>
      <c r="T666" s="496"/>
      <c r="U666" s="496"/>
      <c r="V666" s="417"/>
      <c r="W666" s="417"/>
      <c r="X666" s="417"/>
      <c r="Y666" s="417"/>
      <c r="Z666" s="417"/>
      <c r="AA666" s="417"/>
      <c r="AB666" s="417"/>
      <c r="AC666" s="417"/>
      <c r="AD666" s="417"/>
      <c r="AE666" s="417"/>
      <c r="AF666" s="125"/>
      <c r="AG666" s="497" t="str">
        <f>IF(B636="","","Unidade:")</f>
        <v/>
      </c>
      <c r="AH666" s="497"/>
      <c r="AI666" s="497"/>
      <c r="AJ666" s="497"/>
      <c r="AK666" s="497"/>
      <c r="AL666" s="497"/>
      <c r="AM666" s="497"/>
      <c r="AN666" s="125"/>
      <c r="AO666" s="417"/>
      <c r="AP666" s="417"/>
      <c r="AQ666" s="417"/>
      <c r="AR666" s="417"/>
      <c r="AS666" s="417"/>
      <c r="AT666" s="417"/>
      <c r="AU666" s="417"/>
      <c r="AV666" s="417"/>
      <c r="AW666" s="417"/>
      <c r="AX666" s="417"/>
      <c r="AY666" s="417"/>
      <c r="AZ666" s="417"/>
      <c r="BA666" s="417"/>
      <c r="BC666" s="115"/>
      <c r="BD666" s="115"/>
      <c r="BE666" s="115"/>
      <c r="BF666" s="115"/>
      <c r="BG666" s="115"/>
      <c r="BH666" s="124"/>
      <c r="BI666" s="124"/>
      <c r="BJ666" s="124"/>
      <c r="BK666" s="124"/>
      <c r="BL666" s="124"/>
      <c r="BM666" s="124"/>
      <c r="BN666" s="124"/>
      <c r="BO666" s="124"/>
      <c r="BP666" s="124"/>
      <c r="BQ666" s="124"/>
      <c r="BR666" s="124"/>
      <c r="BS666" s="124"/>
      <c r="BT666" s="124"/>
      <c r="BU666" s="124"/>
      <c r="BV666" s="124"/>
      <c r="BW666" s="124"/>
      <c r="BX666" s="124"/>
      <c r="BY666" s="124"/>
      <c r="BZ666" s="124"/>
      <c r="CA666" s="124"/>
      <c r="CB666" s="124"/>
      <c r="CC666" s="124"/>
      <c r="CD666" s="124"/>
      <c r="CE666" s="124"/>
      <c r="CF666" s="124"/>
      <c r="CG666" s="124"/>
      <c r="CH666" s="124"/>
      <c r="CI666" s="124"/>
      <c r="CJ666" s="124"/>
      <c r="CK666" s="124"/>
      <c r="CL666" s="124"/>
      <c r="CM666" s="124"/>
      <c r="CN666" s="124"/>
      <c r="CO666" s="124"/>
      <c r="CP666" s="124"/>
      <c r="CQ666" s="124"/>
      <c r="CR666" s="124"/>
      <c r="CS666" s="124"/>
      <c r="CT666" s="124"/>
      <c r="CU666" s="124"/>
      <c r="CV666" s="124"/>
      <c r="CW666" s="124"/>
      <c r="CX666" s="124"/>
      <c r="CY666" s="124"/>
      <c r="CZ666" s="124"/>
      <c r="DA666" s="124"/>
      <c r="DB666" s="124"/>
      <c r="DC666" s="124"/>
      <c r="DD666" s="124"/>
      <c r="DE666" s="124"/>
      <c r="DF666" s="124"/>
      <c r="DG666" s="115"/>
    </row>
    <row r="667" spans="2:111" customFormat="1" ht="9" customHeight="1">
      <c r="B667" s="125"/>
      <c r="C667" s="125"/>
      <c r="D667" s="125"/>
      <c r="E667" s="125"/>
      <c r="F667" s="125"/>
      <c r="G667" s="125"/>
      <c r="H667" s="125"/>
      <c r="I667" s="125"/>
      <c r="J667" s="125"/>
      <c r="K667" s="125"/>
      <c r="L667" s="125"/>
      <c r="M667" s="125"/>
      <c r="N667" s="125"/>
      <c r="O667" s="496"/>
      <c r="P667" s="496"/>
      <c r="Q667" s="496"/>
      <c r="R667" s="496"/>
      <c r="S667" s="496"/>
      <c r="T667" s="496"/>
      <c r="U667" s="496"/>
      <c r="V667" s="417"/>
      <c r="W667" s="417"/>
      <c r="X667" s="417"/>
      <c r="Y667" s="417"/>
      <c r="Z667" s="417"/>
      <c r="AA667" s="417"/>
      <c r="AB667" s="417"/>
      <c r="AC667" s="417"/>
      <c r="AD667" s="417"/>
      <c r="AE667" s="417"/>
      <c r="AF667" s="125"/>
      <c r="AG667" s="497"/>
      <c r="AH667" s="497"/>
      <c r="AI667" s="497"/>
      <c r="AJ667" s="497"/>
      <c r="AK667" s="497"/>
      <c r="AL667" s="497"/>
      <c r="AM667" s="497"/>
      <c r="AN667" s="125"/>
      <c r="AO667" s="417"/>
      <c r="AP667" s="417"/>
      <c r="AQ667" s="417"/>
      <c r="AR667" s="417"/>
      <c r="AS667" s="417"/>
      <c r="AT667" s="417"/>
      <c r="AU667" s="417"/>
      <c r="AV667" s="417"/>
      <c r="AW667" s="417"/>
      <c r="AX667" s="417"/>
      <c r="AY667" s="417"/>
      <c r="AZ667" s="417"/>
      <c r="BA667" s="417"/>
      <c r="BC667" s="115"/>
      <c r="BD667" s="115"/>
      <c r="BE667" s="115"/>
      <c r="BF667" s="115"/>
      <c r="BG667" s="115"/>
      <c r="BH667" s="124"/>
      <c r="BI667" s="124"/>
      <c r="BJ667" s="124"/>
      <c r="BK667" s="124"/>
      <c r="BL667" s="124"/>
      <c r="BM667" s="124"/>
      <c r="BN667" s="124"/>
      <c r="BO667" s="124"/>
      <c r="BP667" s="124"/>
      <c r="BQ667" s="124"/>
      <c r="BR667" s="124"/>
      <c r="BS667" s="124"/>
      <c r="BT667" s="124"/>
      <c r="BU667" s="124"/>
      <c r="BV667" s="124"/>
      <c r="BW667" s="124"/>
      <c r="BX667" s="124"/>
      <c r="BY667" s="124"/>
      <c r="BZ667" s="124"/>
      <c r="CA667" s="124"/>
      <c r="CB667" s="124"/>
      <c r="CC667" s="124"/>
      <c r="CD667" s="124"/>
      <c r="CE667" s="124"/>
      <c r="CF667" s="124"/>
      <c r="CG667" s="124"/>
      <c r="CH667" s="124"/>
      <c r="CI667" s="124"/>
      <c r="CJ667" s="124"/>
      <c r="CK667" s="124"/>
      <c r="CL667" s="124"/>
      <c r="CM667" s="124"/>
      <c r="CN667" s="124"/>
      <c r="CO667" s="124"/>
      <c r="CP667" s="124"/>
      <c r="CQ667" s="124"/>
      <c r="CR667" s="124"/>
      <c r="CS667" s="124"/>
      <c r="CT667" s="124"/>
      <c r="CU667" s="124"/>
      <c r="CV667" s="124"/>
      <c r="CW667" s="124"/>
      <c r="CX667" s="124"/>
      <c r="CY667" s="124"/>
      <c r="CZ667" s="124"/>
      <c r="DA667" s="124"/>
      <c r="DB667" s="124"/>
      <c r="DC667" s="124"/>
      <c r="DD667" s="124"/>
      <c r="DE667" s="124"/>
      <c r="DF667" s="124"/>
      <c r="DG667" s="115"/>
    </row>
    <row r="668" spans="2:111" customFormat="1" ht="9" customHeight="1">
      <c r="BC668" s="115"/>
      <c r="BD668" s="115"/>
      <c r="BE668" s="115"/>
      <c r="BF668" s="115"/>
      <c r="BG668" s="115"/>
      <c r="BH668" s="498"/>
      <c r="BI668" s="498"/>
      <c r="BJ668" s="498"/>
      <c r="BK668" s="498"/>
      <c r="BL668" s="498"/>
      <c r="BM668" s="498"/>
      <c r="BN668" s="498"/>
      <c r="BO668" s="498"/>
      <c r="BP668" s="498"/>
      <c r="BQ668" s="498"/>
      <c r="BR668" s="498"/>
      <c r="BS668" s="498"/>
      <c r="BT668" s="498"/>
      <c r="BU668" s="498"/>
      <c r="BV668" s="498"/>
      <c r="BW668" s="498"/>
      <c r="BX668" s="498"/>
      <c r="BY668" s="498"/>
      <c r="BZ668" s="498"/>
      <c r="CA668" s="498"/>
      <c r="CB668" s="498"/>
      <c r="CC668" s="498"/>
      <c r="CD668" s="498"/>
      <c r="CE668" s="498"/>
      <c r="CF668" s="498"/>
      <c r="CG668" s="498"/>
      <c r="CH668" s="498"/>
      <c r="CI668" s="498"/>
      <c r="CJ668" s="498"/>
      <c r="CK668" s="498"/>
      <c r="CL668" s="498"/>
      <c r="CM668" s="498"/>
      <c r="CN668" s="498"/>
      <c r="CO668" s="498"/>
      <c r="CP668" s="498"/>
      <c r="CQ668" s="498"/>
      <c r="CR668" s="498"/>
      <c r="CS668" s="498"/>
      <c r="CT668" s="498"/>
      <c r="CU668" s="498"/>
      <c r="CV668" s="498"/>
      <c r="CW668" s="498"/>
      <c r="CX668" s="498"/>
      <c r="CY668" s="498"/>
      <c r="CZ668" s="498"/>
      <c r="DA668" s="498"/>
      <c r="DB668" s="498"/>
      <c r="DC668" s="498"/>
      <c r="DD668" s="498"/>
      <c r="DE668" s="498"/>
      <c r="DF668" s="498"/>
      <c r="DG668" s="115"/>
    </row>
    <row r="669" spans="2:111" customFormat="1" ht="9" customHeight="1">
      <c r="B669" s="499" t="str">
        <f>IF($Z$32&gt;=16,"Nome da Empresa ou Nº da Ata","")</f>
        <v/>
      </c>
      <c r="C669" s="499"/>
      <c r="D669" s="499"/>
      <c r="E669" s="499"/>
      <c r="F669" s="499"/>
      <c r="G669" s="499"/>
      <c r="H669" s="499"/>
      <c r="I669" s="499"/>
      <c r="J669" s="499"/>
      <c r="K669" s="499"/>
      <c r="L669" s="499"/>
      <c r="M669" s="499"/>
      <c r="N669" s="499"/>
      <c r="O669" s="499"/>
      <c r="P669" s="499"/>
      <c r="Q669" s="499"/>
      <c r="R669" s="499"/>
      <c r="S669" s="499"/>
      <c r="T669" s="499"/>
      <c r="U669" s="499"/>
      <c r="V669" s="499"/>
      <c r="W669" s="499"/>
      <c r="X669" s="499" t="str">
        <f>IF($Z$32&gt;=16,"CNPJ / CPF","")</f>
        <v/>
      </c>
      <c r="Y669" s="499"/>
      <c r="Z669" s="499"/>
      <c r="AA669" s="499"/>
      <c r="AB669" s="499"/>
      <c r="AC669" s="499"/>
      <c r="AD669" s="499"/>
      <c r="AE669" s="499"/>
      <c r="AF669" s="499"/>
      <c r="AG669" s="499"/>
      <c r="AH669" s="499" t="str">
        <f>IF($Z$32&gt;=16,"Qtde","")</f>
        <v/>
      </c>
      <c r="AI669" s="499"/>
      <c r="AJ669" s="499"/>
      <c r="AK669" s="499"/>
      <c r="AL669" s="499" t="str">
        <f>IF($Z$32&gt;=16,"Valor Unitário (R$)","")</f>
        <v/>
      </c>
      <c r="AM669" s="499"/>
      <c r="AN669" s="499"/>
      <c r="AO669" s="499"/>
      <c r="AP669" s="499"/>
      <c r="AQ669" s="499"/>
      <c r="AR669" s="499"/>
      <c r="AS669" s="499"/>
      <c r="AT669" s="499" t="str">
        <f>IF($Z$32&gt;=16,"Valor Total (R$)","")</f>
        <v/>
      </c>
      <c r="AU669" s="499"/>
      <c r="AV669" s="499"/>
      <c r="AW669" s="499"/>
      <c r="AX669" s="499"/>
      <c r="AY669" s="499"/>
      <c r="AZ669" s="499"/>
      <c r="BA669" s="499"/>
      <c r="BC669" s="115"/>
      <c r="BD669" s="115"/>
      <c r="BE669" s="115"/>
      <c r="BF669" s="115"/>
      <c r="BG669" s="115"/>
      <c r="BH669" s="498"/>
      <c r="BI669" s="498"/>
      <c r="BJ669" s="498"/>
      <c r="BK669" s="498"/>
      <c r="BL669" s="498"/>
      <c r="BM669" s="498"/>
      <c r="BN669" s="498"/>
      <c r="BO669" s="498"/>
      <c r="BP669" s="498"/>
      <c r="BQ669" s="498"/>
      <c r="BR669" s="498"/>
      <c r="BS669" s="498"/>
      <c r="BT669" s="498"/>
      <c r="BU669" s="498"/>
      <c r="BV669" s="498"/>
      <c r="BW669" s="498"/>
      <c r="BX669" s="498"/>
      <c r="BY669" s="498"/>
      <c r="BZ669" s="498"/>
      <c r="CA669" s="498"/>
      <c r="CB669" s="498"/>
      <c r="CC669" s="498"/>
      <c r="CD669" s="498"/>
      <c r="CE669" s="498"/>
      <c r="CF669" s="498"/>
      <c r="CG669" s="498"/>
      <c r="CH669" s="498"/>
      <c r="CI669" s="498"/>
      <c r="CJ669" s="498"/>
      <c r="CK669" s="498"/>
      <c r="CL669" s="498"/>
      <c r="CM669" s="498"/>
      <c r="CN669" s="498"/>
      <c r="CO669" s="498"/>
      <c r="CP669" s="498"/>
      <c r="CQ669" s="498"/>
      <c r="CR669" s="498"/>
      <c r="CS669" s="498"/>
      <c r="CT669" s="498"/>
      <c r="CU669" s="498"/>
      <c r="CV669" s="498"/>
      <c r="CW669" s="498"/>
      <c r="CX669" s="498"/>
      <c r="CY669" s="498"/>
      <c r="CZ669" s="498"/>
      <c r="DA669" s="498"/>
      <c r="DB669" s="498"/>
      <c r="DC669" s="498"/>
      <c r="DD669" s="498"/>
      <c r="DE669" s="498"/>
      <c r="DF669" s="498"/>
      <c r="DG669" s="115"/>
    </row>
    <row r="670" spans="2:111" customFormat="1" ht="9" customHeight="1">
      <c r="B670" s="499"/>
      <c r="C670" s="499"/>
      <c r="D670" s="499"/>
      <c r="E670" s="499"/>
      <c r="F670" s="499"/>
      <c r="G670" s="499"/>
      <c r="H670" s="499"/>
      <c r="I670" s="499"/>
      <c r="J670" s="499"/>
      <c r="K670" s="499"/>
      <c r="L670" s="499"/>
      <c r="M670" s="499"/>
      <c r="N670" s="499"/>
      <c r="O670" s="499"/>
      <c r="P670" s="499"/>
      <c r="Q670" s="499"/>
      <c r="R670" s="499"/>
      <c r="S670" s="499"/>
      <c r="T670" s="499"/>
      <c r="U670" s="499"/>
      <c r="V670" s="499"/>
      <c r="W670" s="499"/>
      <c r="X670" s="499"/>
      <c r="Y670" s="499"/>
      <c r="Z670" s="499"/>
      <c r="AA670" s="499"/>
      <c r="AB670" s="499"/>
      <c r="AC670" s="499"/>
      <c r="AD670" s="499"/>
      <c r="AE670" s="499"/>
      <c r="AF670" s="499"/>
      <c r="AG670" s="499"/>
      <c r="AH670" s="499"/>
      <c r="AI670" s="499"/>
      <c r="AJ670" s="499"/>
      <c r="AK670" s="499"/>
      <c r="AL670" s="499"/>
      <c r="AM670" s="499"/>
      <c r="AN670" s="499"/>
      <c r="AO670" s="499"/>
      <c r="AP670" s="499"/>
      <c r="AQ670" s="499"/>
      <c r="AR670" s="499"/>
      <c r="AS670" s="499"/>
      <c r="AT670" s="499"/>
      <c r="AU670" s="499"/>
      <c r="AV670" s="499"/>
      <c r="AW670" s="499"/>
      <c r="AX670" s="499"/>
      <c r="AY670" s="499"/>
      <c r="AZ670" s="499"/>
      <c r="BA670" s="499"/>
      <c r="BB670" s="176" t="e">
        <f>AVERAGE(AL671:AS673)</f>
        <v>#DIV/0!</v>
      </c>
      <c r="BC670" s="115"/>
      <c r="BD670" s="115"/>
      <c r="BE670" s="115"/>
      <c r="BF670" s="115"/>
      <c r="BG670" s="115"/>
      <c r="BH670" s="498"/>
      <c r="BI670" s="498"/>
      <c r="BJ670" s="498"/>
      <c r="BK670" s="498"/>
      <c r="BL670" s="498"/>
      <c r="BM670" s="498"/>
      <c r="BN670" s="498"/>
      <c r="BO670" s="498"/>
      <c r="BP670" s="498"/>
      <c r="BQ670" s="498"/>
      <c r="BR670" s="498"/>
      <c r="BS670" s="498"/>
      <c r="BT670" s="498"/>
      <c r="BU670" s="498"/>
      <c r="BV670" s="498"/>
      <c r="BW670" s="498"/>
      <c r="BX670" s="498"/>
      <c r="BY670" s="498"/>
      <c r="BZ670" s="498"/>
      <c r="CA670" s="498"/>
      <c r="CB670" s="498"/>
      <c r="CC670" s="498"/>
      <c r="CD670" s="498"/>
      <c r="CE670" s="498"/>
      <c r="CF670" s="498"/>
      <c r="CG670" s="498"/>
      <c r="CH670" s="498"/>
      <c r="CI670" s="498"/>
      <c r="CJ670" s="498"/>
      <c r="CK670" s="498"/>
      <c r="CL670" s="498"/>
      <c r="CM670" s="498"/>
      <c r="CN670" s="498"/>
      <c r="CO670" s="498"/>
      <c r="CP670" s="498"/>
      <c r="CQ670" s="498"/>
      <c r="CR670" s="498"/>
      <c r="CS670" s="498"/>
      <c r="CT670" s="498"/>
      <c r="CU670" s="498"/>
      <c r="CV670" s="498"/>
      <c r="CW670" s="498"/>
      <c r="CX670" s="498"/>
      <c r="CY670" s="498"/>
      <c r="CZ670" s="498"/>
      <c r="DA670" s="498"/>
      <c r="DB670" s="498"/>
      <c r="DC670" s="498"/>
      <c r="DD670" s="498"/>
      <c r="DE670" s="498"/>
      <c r="DF670" s="498"/>
      <c r="DG670" s="115"/>
    </row>
    <row r="671" spans="2:111" customFormat="1" ht="18" customHeight="1">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486"/>
      <c r="Y671" s="486"/>
      <c r="Z671" s="486"/>
      <c r="AA671" s="486"/>
      <c r="AB671" s="486"/>
      <c r="AC671" s="486"/>
      <c r="AD671" s="486"/>
      <c r="AE671" s="486"/>
      <c r="AF671" s="486"/>
      <c r="AG671" s="486"/>
      <c r="AH671" s="417"/>
      <c r="AI671" s="417"/>
      <c r="AJ671" s="417"/>
      <c r="AK671" s="417"/>
      <c r="AL671" s="419"/>
      <c r="AM671" s="419"/>
      <c r="AN671" s="419"/>
      <c r="AO671" s="419"/>
      <c r="AP671" s="419"/>
      <c r="AQ671" s="419"/>
      <c r="AR671" s="419"/>
      <c r="AS671" s="419"/>
      <c r="AT671" s="487" t="str">
        <f>IF($Z$32&gt;=16,(AH671*AL671),"")</f>
        <v/>
      </c>
      <c r="AU671" s="487"/>
      <c r="AV671" s="487"/>
      <c r="AW671" s="487"/>
      <c r="AX671" s="487"/>
      <c r="AY671" s="487"/>
      <c r="AZ671" s="487"/>
      <c r="BA671" s="487"/>
      <c r="BC671" s="115"/>
      <c r="BD671" s="115"/>
      <c r="BE671" s="115"/>
      <c r="BF671" s="115"/>
      <c r="BG671" s="115"/>
      <c r="BH671" s="498"/>
      <c r="BI671" s="498"/>
      <c r="BJ671" s="498"/>
      <c r="BK671" s="498"/>
      <c r="BL671" s="498"/>
      <c r="BM671" s="498"/>
      <c r="BN671" s="498"/>
      <c r="BO671" s="498"/>
      <c r="BP671" s="498"/>
      <c r="BQ671" s="498"/>
      <c r="BR671" s="498"/>
      <c r="BS671" s="498"/>
      <c r="BT671" s="498"/>
      <c r="BU671" s="498"/>
      <c r="BV671" s="498"/>
      <c r="BW671" s="498"/>
      <c r="BX671" s="498"/>
      <c r="BY671" s="498"/>
      <c r="BZ671" s="498"/>
      <c r="CA671" s="498"/>
      <c r="CB671" s="498"/>
      <c r="CC671" s="498"/>
      <c r="CD671" s="498"/>
      <c r="CE671" s="498"/>
      <c r="CF671" s="498"/>
      <c r="CG671" s="498"/>
      <c r="CH671" s="498"/>
      <c r="CI671" s="498"/>
      <c r="CJ671" s="498"/>
      <c r="CK671" s="498"/>
      <c r="CL671" s="498"/>
      <c r="CM671" s="498"/>
      <c r="CN671" s="498"/>
      <c r="CO671" s="498"/>
      <c r="CP671" s="498"/>
      <c r="CQ671" s="498"/>
      <c r="CR671" s="498"/>
      <c r="CS671" s="498"/>
      <c r="CT671" s="498"/>
      <c r="CU671" s="498"/>
      <c r="CV671" s="498"/>
      <c r="CW671" s="498"/>
      <c r="CX671" s="498"/>
      <c r="CY671" s="498"/>
      <c r="CZ671" s="498"/>
      <c r="DA671" s="498"/>
      <c r="DB671" s="498"/>
      <c r="DC671" s="498"/>
      <c r="DD671" s="498"/>
      <c r="DE671" s="498"/>
      <c r="DF671" s="498"/>
      <c r="DG671" s="115"/>
    </row>
    <row r="672" spans="2:111" customFormat="1" ht="18" customHeight="1">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486"/>
      <c r="Y672" s="486"/>
      <c r="Z672" s="486"/>
      <c r="AA672" s="486"/>
      <c r="AB672" s="486"/>
      <c r="AC672" s="486"/>
      <c r="AD672" s="486"/>
      <c r="AE672" s="486"/>
      <c r="AF672" s="486"/>
      <c r="AG672" s="486"/>
      <c r="AH672" s="417"/>
      <c r="AI672" s="417"/>
      <c r="AJ672" s="417"/>
      <c r="AK672" s="417"/>
      <c r="AL672" s="419"/>
      <c r="AM672" s="419"/>
      <c r="AN672" s="419"/>
      <c r="AO672" s="419"/>
      <c r="AP672" s="419"/>
      <c r="AQ672" s="419"/>
      <c r="AR672" s="419"/>
      <c r="AS672" s="419"/>
      <c r="AT672" s="487" t="str">
        <f>IF($Z$32&gt;=16,(AH672*AL672),"")</f>
        <v/>
      </c>
      <c r="AU672" s="487"/>
      <c r="AV672" s="487"/>
      <c r="AW672" s="487"/>
      <c r="AX672" s="487"/>
      <c r="AY672" s="487"/>
      <c r="AZ672" s="487"/>
      <c r="BA672" s="487"/>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row>
    <row r="673" spans="2:111" customFormat="1" ht="18" customHeight="1">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486"/>
      <c r="Y673" s="486"/>
      <c r="Z673" s="486"/>
      <c r="AA673" s="486"/>
      <c r="AB673" s="486"/>
      <c r="AC673" s="486"/>
      <c r="AD673" s="486"/>
      <c r="AE673" s="486"/>
      <c r="AF673" s="486"/>
      <c r="AG673" s="486"/>
      <c r="AH673" s="417"/>
      <c r="AI673" s="417"/>
      <c r="AJ673" s="417"/>
      <c r="AK673" s="417"/>
      <c r="AL673" s="419"/>
      <c r="AM673" s="419"/>
      <c r="AN673" s="419"/>
      <c r="AO673" s="419"/>
      <c r="AP673" s="419"/>
      <c r="AQ673" s="419"/>
      <c r="AR673" s="419"/>
      <c r="AS673" s="419"/>
      <c r="AT673" s="487" t="str">
        <f>IF($Z$32&gt;=16,(AH673*AL673),"")</f>
        <v/>
      </c>
      <c r="AU673" s="487"/>
      <c r="AV673" s="487"/>
      <c r="AW673" s="487"/>
      <c r="AX673" s="487"/>
      <c r="AY673" s="487"/>
      <c r="AZ673" s="487"/>
      <c r="BA673" s="487"/>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row>
    <row r="674" spans="2:111" customFormat="1" ht="15" customHeight="1">
      <c r="AT674" s="500" t="str">
        <f>IF(B671="","",IF(AL672="",AT671,IF(AL673="",AVERAGE(AT671:BA672),AVERAGE(AT671:AT673))))</f>
        <v/>
      </c>
      <c r="AU674" s="500"/>
      <c r="AV674" s="500"/>
      <c r="AW674" s="500"/>
      <c r="AX674" s="500"/>
      <c r="AY674" s="500"/>
      <c r="AZ674" s="500"/>
      <c r="BA674" s="500"/>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row>
    <row r="675" spans="2:111" customFormat="1" ht="15" customHeight="1">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row>
    <row r="676" spans="2:111" customFormat="1" ht="9" customHeight="1">
      <c r="B676" s="494" t="str">
        <f>IF($Z$32&gt;=17,"Item 17","")</f>
        <v/>
      </c>
      <c r="C676" s="495"/>
      <c r="D676" s="495"/>
      <c r="E676" s="495"/>
      <c r="F676" s="495"/>
      <c r="G676" s="495"/>
      <c r="H676" s="495"/>
      <c r="I676" s="495"/>
      <c r="J676" s="495"/>
      <c r="K676" s="495"/>
      <c r="L676" s="495"/>
      <c r="M676" s="49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row>
    <row r="677" spans="2:111" customFormat="1" ht="9" customHeight="1">
      <c r="B677" s="495"/>
      <c r="C677" s="495"/>
      <c r="D677" s="495"/>
      <c r="E677" s="495"/>
      <c r="F677" s="495"/>
      <c r="G677" s="495"/>
      <c r="H677" s="495"/>
      <c r="I677" s="495"/>
      <c r="J677" s="495"/>
      <c r="K677" s="495"/>
      <c r="L677" s="495"/>
      <c r="M677" s="49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row>
    <row r="678" spans="2:111" customFormat="1" ht="4.5" customHeight="1">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row>
    <row r="679" spans="2:111" customFormat="1" ht="9" customHeight="1">
      <c r="B679" s="493" t="str">
        <f>IF(B676="","","Elemento de Despesa:")</f>
        <v/>
      </c>
      <c r="C679" s="493"/>
      <c r="D679" s="493"/>
      <c r="E679" s="493"/>
      <c r="F679" s="493"/>
      <c r="G679" s="493"/>
      <c r="H679" s="493"/>
      <c r="I679" s="493"/>
      <c r="J679" s="493"/>
      <c r="K679" s="493"/>
      <c r="L679" s="493"/>
      <c r="M679" s="493"/>
      <c r="N679" s="493"/>
      <c r="O679" s="241"/>
      <c r="P679" s="241"/>
      <c r="Q679" s="241"/>
      <c r="R679" s="241"/>
      <c r="S679" s="241"/>
      <c r="T679" s="241"/>
      <c r="U679" s="241"/>
      <c r="V679" s="241"/>
      <c r="W679" s="241"/>
      <c r="X679" s="241"/>
      <c r="Y679" s="241"/>
      <c r="Z679" s="241"/>
      <c r="AA679" s="241"/>
      <c r="AB679" s="241"/>
      <c r="AC679" s="241"/>
      <c r="AD679" s="241"/>
      <c r="AE679" s="241"/>
      <c r="AF679" s="241"/>
      <c r="AG679" s="241"/>
      <c r="AH679" s="241"/>
      <c r="AI679" s="241"/>
      <c r="AJ679" s="241"/>
      <c r="AK679" s="241"/>
      <c r="AL679" s="241"/>
      <c r="AM679" s="241"/>
      <c r="AN679" s="241"/>
      <c r="AO679" s="241"/>
      <c r="AP679" s="241"/>
      <c r="AQ679" s="241"/>
      <c r="AR679" s="241"/>
      <c r="AS679" s="241"/>
      <c r="AT679" s="241"/>
      <c r="AU679" s="241"/>
      <c r="AV679" s="241"/>
      <c r="AW679" s="241"/>
      <c r="AX679" s="241"/>
      <c r="AY679" s="241"/>
      <c r="AZ679" s="241"/>
      <c r="BA679" s="241"/>
      <c r="BC679" s="115"/>
      <c r="BD679" s="115"/>
      <c r="BE679" s="115"/>
      <c r="BF679" s="115"/>
      <c r="BG679" s="115"/>
      <c r="BH679" s="124"/>
      <c r="BI679" s="124"/>
      <c r="BJ679" s="124"/>
      <c r="BK679" s="124"/>
      <c r="BL679" s="124"/>
      <c r="BM679" s="124"/>
      <c r="BN679" s="124"/>
      <c r="BO679" s="124"/>
      <c r="BP679" s="124"/>
      <c r="BQ679" s="124"/>
      <c r="BR679" s="124"/>
      <c r="BS679" s="124"/>
      <c r="BT679" s="124"/>
      <c r="BU679" s="124"/>
      <c r="BV679" s="124"/>
      <c r="BW679" s="124"/>
      <c r="BX679" s="124"/>
      <c r="BY679" s="124"/>
      <c r="BZ679" s="124"/>
      <c r="CA679" s="124"/>
      <c r="CB679" s="124"/>
      <c r="CC679" s="124"/>
      <c r="CD679" s="124"/>
      <c r="CE679" s="124"/>
      <c r="CF679" s="124"/>
      <c r="CG679" s="124"/>
      <c r="CH679" s="124"/>
      <c r="CI679" s="124"/>
      <c r="CJ679" s="124"/>
      <c r="CK679" s="124"/>
      <c r="CL679" s="124"/>
      <c r="CM679" s="124"/>
      <c r="CN679" s="124"/>
      <c r="CO679" s="124"/>
      <c r="CP679" s="124"/>
      <c r="CQ679" s="124"/>
      <c r="CR679" s="124"/>
      <c r="CS679" s="124"/>
      <c r="CT679" s="124"/>
      <c r="CU679" s="124"/>
      <c r="CV679" s="124"/>
      <c r="CW679" s="124"/>
      <c r="CX679" s="124"/>
      <c r="CY679" s="124"/>
      <c r="CZ679" s="124"/>
      <c r="DA679" s="124"/>
      <c r="DB679" s="124"/>
      <c r="DC679" s="124"/>
      <c r="DD679" s="124"/>
      <c r="DE679" s="124"/>
      <c r="DF679" s="124"/>
      <c r="DG679" s="115"/>
    </row>
    <row r="680" spans="2:111" customFormat="1" ht="9" customHeight="1">
      <c r="B680" s="493"/>
      <c r="C680" s="493"/>
      <c r="D680" s="493"/>
      <c r="E680" s="493"/>
      <c r="F680" s="493"/>
      <c r="G680" s="493"/>
      <c r="H680" s="493"/>
      <c r="I680" s="493"/>
      <c r="J680" s="493"/>
      <c r="K680" s="493"/>
      <c r="L680" s="493"/>
      <c r="M680" s="493"/>
      <c r="N680" s="493"/>
      <c r="O680" s="241"/>
      <c r="P680" s="241"/>
      <c r="Q680" s="241"/>
      <c r="R680" s="241"/>
      <c r="S680" s="241"/>
      <c r="T680" s="241"/>
      <c r="U680" s="241"/>
      <c r="V680" s="241"/>
      <c r="W680" s="241"/>
      <c r="X680" s="241"/>
      <c r="Y680" s="241"/>
      <c r="Z680" s="241"/>
      <c r="AA680" s="241"/>
      <c r="AB680" s="241"/>
      <c r="AC680" s="241"/>
      <c r="AD680" s="241"/>
      <c r="AE680" s="241"/>
      <c r="AF680" s="241"/>
      <c r="AG680" s="241"/>
      <c r="AH680" s="241"/>
      <c r="AI680" s="241"/>
      <c r="AJ680" s="241"/>
      <c r="AK680" s="241"/>
      <c r="AL680" s="241"/>
      <c r="AM680" s="241"/>
      <c r="AN680" s="241"/>
      <c r="AO680" s="241"/>
      <c r="AP680" s="241"/>
      <c r="AQ680" s="241"/>
      <c r="AR680" s="241"/>
      <c r="AS680" s="241"/>
      <c r="AT680" s="241"/>
      <c r="AU680" s="241"/>
      <c r="AV680" s="241"/>
      <c r="AW680" s="241"/>
      <c r="AX680" s="241"/>
      <c r="AY680" s="241"/>
      <c r="AZ680" s="241"/>
      <c r="BA680" s="241"/>
      <c r="BC680" s="115"/>
      <c r="BD680" s="115"/>
      <c r="BE680" s="115"/>
      <c r="BF680" s="115"/>
      <c r="BG680" s="115"/>
      <c r="BH680" s="124"/>
      <c r="BI680" s="124"/>
      <c r="BJ680" s="124"/>
      <c r="BK680" s="124"/>
      <c r="BL680" s="124"/>
      <c r="BM680" s="124"/>
      <c r="BN680" s="124"/>
      <c r="BO680" s="124"/>
      <c r="BP680" s="124"/>
      <c r="BQ680" s="124"/>
      <c r="BR680" s="124"/>
      <c r="BS680" s="124"/>
      <c r="BT680" s="124"/>
      <c r="BU680" s="124"/>
      <c r="BV680" s="124"/>
      <c r="BW680" s="124"/>
      <c r="BX680" s="124"/>
      <c r="BY680" s="124"/>
      <c r="BZ680" s="124"/>
      <c r="CA680" s="124"/>
      <c r="CB680" s="124"/>
      <c r="CC680" s="124"/>
      <c r="CD680" s="124"/>
      <c r="CE680" s="124"/>
      <c r="CF680" s="124"/>
      <c r="CG680" s="124"/>
      <c r="CH680" s="124"/>
      <c r="CI680" s="124"/>
      <c r="CJ680" s="124"/>
      <c r="CK680" s="124"/>
      <c r="CL680" s="124"/>
      <c r="CM680" s="124"/>
      <c r="CN680" s="124"/>
      <c r="CO680" s="124"/>
      <c r="CP680" s="124"/>
      <c r="CQ680" s="124"/>
      <c r="CR680" s="124"/>
      <c r="CS680" s="124"/>
      <c r="CT680" s="124"/>
      <c r="CU680" s="124"/>
      <c r="CV680" s="124"/>
      <c r="CW680" s="124"/>
      <c r="CX680" s="124"/>
      <c r="CY680" s="124"/>
      <c r="CZ680" s="124"/>
      <c r="DA680" s="124"/>
      <c r="DB680" s="124"/>
      <c r="DC680" s="124"/>
      <c r="DD680" s="124"/>
      <c r="DE680" s="124"/>
      <c r="DF680" s="124"/>
      <c r="DG680" s="115"/>
    </row>
    <row r="681" spans="2:111" customFormat="1" ht="4.5" customHeight="1">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C681" s="115"/>
      <c r="BD681" s="115"/>
      <c r="BE681" s="115"/>
      <c r="BF681" s="115"/>
      <c r="BG681" s="115"/>
      <c r="BH681" s="124"/>
      <c r="BI681" s="124"/>
      <c r="BJ681" s="124"/>
      <c r="BK681" s="124"/>
      <c r="BL681" s="124"/>
      <c r="BM681" s="124"/>
      <c r="BN681" s="124"/>
      <c r="BO681" s="124"/>
      <c r="BP681" s="124"/>
      <c r="BQ681" s="124"/>
      <c r="BR681" s="124"/>
      <c r="BS681" s="124"/>
      <c r="BT681" s="124"/>
      <c r="BU681" s="124"/>
      <c r="BV681" s="124"/>
      <c r="BW681" s="124"/>
      <c r="BX681" s="124"/>
      <c r="BY681" s="124"/>
      <c r="BZ681" s="124"/>
      <c r="CA681" s="124"/>
      <c r="CB681" s="124"/>
      <c r="CC681" s="124"/>
      <c r="CD681" s="124"/>
      <c r="CE681" s="124"/>
      <c r="CF681" s="124"/>
      <c r="CG681" s="124"/>
      <c r="CH681" s="124"/>
      <c r="CI681" s="124"/>
      <c r="CJ681" s="124"/>
      <c r="CK681" s="124"/>
      <c r="CL681" s="124"/>
      <c r="CM681" s="124"/>
      <c r="CN681" s="124"/>
      <c r="CO681" s="124"/>
      <c r="CP681" s="124"/>
      <c r="CQ681" s="124"/>
      <c r="CR681" s="124"/>
      <c r="CS681" s="124"/>
      <c r="CT681" s="124"/>
      <c r="CU681" s="124"/>
      <c r="CV681" s="124"/>
      <c r="CW681" s="124"/>
      <c r="CX681" s="124"/>
      <c r="CY681" s="124"/>
      <c r="CZ681" s="124"/>
      <c r="DA681" s="124"/>
      <c r="DB681" s="124"/>
      <c r="DC681" s="124"/>
      <c r="DD681" s="124"/>
      <c r="DE681" s="124"/>
      <c r="DF681" s="124"/>
      <c r="DG681" s="115"/>
    </row>
    <row r="682" spans="2:111" customFormat="1" ht="9" customHeight="1">
      <c r="B682" s="493" t="str">
        <f>IF(B676="","","Objeto:")</f>
        <v/>
      </c>
      <c r="C682" s="493"/>
      <c r="D682" s="493"/>
      <c r="E682" s="493"/>
      <c r="F682" s="493"/>
      <c r="G682" s="493"/>
      <c r="H682" s="493"/>
      <c r="I682" s="493"/>
      <c r="J682" s="493"/>
      <c r="K682" s="493"/>
      <c r="L682" s="493"/>
      <c r="M682" s="493"/>
      <c r="N682" s="493"/>
      <c r="O682" s="421"/>
      <c r="P682" s="421"/>
      <c r="Q682" s="421"/>
      <c r="R682" s="421"/>
      <c r="S682" s="421"/>
      <c r="T682" s="421"/>
      <c r="U682" s="421"/>
      <c r="V682" s="421"/>
      <c r="W682" s="421"/>
      <c r="X682" s="421"/>
      <c r="Y682" s="421"/>
      <c r="Z682" s="421"/>
      <c r="AA682" s="421"/>
      <c r="AB682" s="421"/>
      <c r="AC682" s="421"/>
      <c r="AD682" s="421"/>
      <c r="AE682" s="421"/>
      <c r="AF682" s="421"/>
      <c r="AG682" s="421"/>
      <c r="AH682" s="421"/>
      <c r="AI682" s="421"/>
      <c r="AJ682" s="421"/>
      <c r="AK682" s="421"/>
      <c r="AL682" s="421"/>
      <c r="AM682" s="421"/>
      <c r="AN682" s="421"/>
      <c r="AO682" s="421"/>
      <c r="AP682" s="421"/>
      <c r="AQ682" s="421"/>
      <c r="AR682" s="421"/>
      <c r="AS682" s="421"/>
      <c r="AT682" s="421"/>
      <c r="AU682" s="421"/>
      <c r="AV682" s="421"/>
      <c r="AW682" s="421"/>
      <c r="AX682" s="421"/>
      <c r="AY682" s="421"/>
      <c r="AZ682" s="421"/>
      <c r="BA682" s="421"/>
      <c r="BC682" s="115"/>
      <c r="BD682" s="115"/>
      <c r="BE682" s="115"/>
      <c r="BF682" s="115"/>
      <c r="BG682" s="115"/>
      <c r="BH682" s="124"/>
      <c r="BI682" s="124"/>
      <c r="BJ682" s="124"/>
      <c r="BK682" s="124"/>
      <c r="BL682" s="124"/>
      <c r="BM682" s="124"/>
      <c r="BN682" s="124"/>
      <c r="BO682" s="124"/>
      <c r="BP682" s="124"/>
      <c r="BQ682" s="124"/>
      <c r="BR682" s="124"/>
      <c r="BS682" s="124"/>
      <c r="BT682" s="124"/>
      <c r="BU682" s="124"/>
      <c r="BV682" s="124"/>
      <c r="BW682" s="124"/>
      <c r="BX682" s="124"/>
      <c r="BY682" s="124"/>
      <c r="BZ682" s="124"/>
      <c r="CA682" s="124"/>
      <c r="CB682" s="124"/>
      <c r="CC682" s="124"/>
      <c r="CD682" s="124"/>
      <c r="CE682" s="124"/>
      <c r="CF682" s="124"/>
      <c r="CG682" s="124"/>
      <c r="CH682" s="124"/>
      <c r="CI682" s="124"/>
      <c r="CJ682" s="124"/>
      <c r="CK682" s="124"/>
      <c r="CL682" s="124"/>
      <c r="CM682" s="124"/>
      <c r="CN682" s="124"/>
      <c r="CO682" s="124"/>
      <c r="CP682" s="124"/>
      <c r="CQ682" s="124"/>
      <c r="CR682" s="124"/>
      <c r="CS682" s="124"/>
      <c r="CT682" s="124"/>
      <c r="CU682" s="124"/>
      <c r="CV682" s="124"/>
      <c r="CW682" s="124"/>
      <c r="CX682" s="124"/>
      <c r="CY682" s="124"/>
      <c r="CZ682" s="124"/>
      <c r="DA682" s="124"/>
      <c r="DB682" s="124"/>
      <c r="DC682" s="124"/>
      <c r="DD682" s="124"/>
      <c r="DE682" s="124"/>
      <c r="DF682" s="124"/>
      <c r="DG682" s="115"/>
    </row>
    <row r="683" spans="2:111" customFormat="1" ht="9" customHeight="1">
      <c r="B683" s="493"/>
      <c r="C683" s="493"/>
      <c r="D683" s="493"/>
      <c r="E683" s="493"/>
      <c r="F683" s="493"/>
      <c r="G683" s="493"/>
      <c r="H683" s="493"/>
      <c r="I683" s="493"/>
      <c r="J683" s="493"/>
      <c r="K683" s="493"/>
      <c r="L683" s="493"/>
      <c r="M683" s="493"/>
      <c r="N683" s="493"/>
      <c r="O683" s="421"/>
      <c r="P683" s="421"/>
      <c r="Q683" s="421"/>
      <c r="R683" s="421"/>
      <c r="S683" s="421"/>
      <c r="T683" s="421"/>
      <c r="U683" s="421"/>
      <c r="V683" s="421"/>
      <c r="W683" s="421"/>
      <c r="X683" s="421"/>
      <c r="Y683" s="421"/>
      <c r="Z683" s="421"/>
      <c r="AA683" s="421"/>
      <c r="AB683" s="421"/>
      <c r="AC683" s="421"/>
      <c r="AD683" s="421"/>
      <c r="AE683" s="421"/>
      <c r="AF683" s="421"/>
      <c r="AG683" s="421"/>
      <c r="AH683" s="421"/>
      <c r="AI683" s="421"/>
      <c r="AJ683" s="421"/>
      <c r="AK683" s="421"/>
      <c r="AL683" s="421"/>
      <c r="AM683" s="421"/>
      <c r="AN683" s="421"/>
      <c r="AO683" s="421"/>
      <c r="AP683" s="421"/>
      <c r="AQ683" s="421"/>
      <c r="AR683" s="421"/>
      <c r="AS683" s="421"/>
      <c r="AT683" s="421"/>
      <c r="AU683" s="421"/>
      <c r="AV683" s="421"/>
      <c r="AW683" s="421"/>
      <c r="AX683" s="421"/>
      <c r="AY683" s="421"/>
      <c r="AZ683" s="421"/>
      <c r="BA683" s="421"/>
      <c r="BC683" s="115"/>
      <c r="BD683" s="115"/>
      <c r="BE683" s="115"/>
      <c r="BF683" s="115"/>
      <c r="BG683" s="115"/>
      <c r="BH683" s="124"/>
      <c r="BI683" s="124"/>
      <c r="BJ683" s="124"/>
      <c r="BK683" s="124"/>
      <c r="BL683" s="124"/>
      <c r="BM683" s="124"/>
      <c r="BN683" s="124"/>
      <c r="BO683" s="124"/>
      <c r="BP683" s="124"/>
      <c r="BQ683" s="124"/>
      <c r="BR683" s="124"/>
      <c r="BS683" s="124"/>
      <c r="BT683" s="124"/>
      <c r="BU683" s="124"/>
      <c r="BV683" s="124"/>
      <c r="BW683" s="124"/>
      <c r="BX683" s="124"/>
      <c r="BY683" s="124"/>
      <c r="BZ683" s="124"/>
      <c r="CA683" s="124"/>
      <c r="CB683" s="124"/>
      <c r="CC683" s="124"/>
      <c r="CD683" s="124"/>
      <c r="CE683" s="124"/>
      <c r="CF683" s="124"/>
      <c r="CG683" s="124"/>
      <c r="CH683" s="124"/>
      <c r="CI683" s="124"/>
      <c r="CJ683" s="124"/>
      <c r="CK683" s="124"/>
      <c r="CL683" s="124"/>
      <c r="CM683" s="124"/>
      <c r="CN683" s="124"/>
      <c r="CO683" s="124"/>
      <c r="CP683" s="124"/>
      <c r="CQ683" s="124"/>
      <c r="CR683" s="124"/>
      <c r="CS683" s="124"/>
      <c r="CT683" s="124"/>
      <c r="CU683" s="124"/>
      <c r="CV683" s="124"/>
      <c r="CW683" s="124"/>
      <c r="CX683" s="124"/>
      <c r="CY683" s="124"/>
      <c r="CZ683" s="124"/>
      <c r="DA683" s="124"/>
      <c r="DB683" s="124"/>
      <c r="DC683" s="124"/>
      <c r="DD683" s="124"/>
      <c r="DE683" s="124"/>
      <c r="DF683" s="124"/>
      <c r="DG683" s="115"/>
    </row>
    <row r="684" spans="2:111" customFormat="1" ht="9" customHeight="1">
      <c r="B684" s="143"/>
      <c r="C684" s="143"/>
      <c r="D684" s="143"/>
      <c r="E684" s="143"/>
      <c r="F684" s="143"/>
      <c r="G684" s="143"/>
      <c r="H684" s="143"/>
      <c r="I684" s="143"/>
      <c r="J684" s="143"/>
      <c r="K684" s="143"/>
      <c r="L684" s="143"/>
      <c r="M684" s="143"/>
      <c r="N684" s="143"/>
      <c r="O684" s="421"/>
      <c r="P684" s="421"/>
      <c r="Q684" s="421"/>
      <c r="R684" s="421"/>
      <c r="S684" s="421"/>
      <c r="T684" s="421"/>
      <c r="U684" s="421"/>
      <c r="V684" s="421"/>
      <c r="W684" s="421"/>
      <c r="X684" s="421"/>
      <c r="Y684" s="421"/>
      <c r="Z684" s="421"/>
      <c r="AA684" s="421"/>
      <c r="AB684" s="421"/>
      <c r="AC684" s="421"/>
      <c r="AD684" s="421"/>
      <c r="AE684" s="421"/>
      <c r="AF684" s="421"/>
      <c r="AG684" s="421"/>
      <c r="AH684" s="421"/>
      <c r="AI684" s="421"/>
      <c r="AJ684" s="421"/>
      <c r="AK684" s="421"/>
      <c r="AL684" s="421"/>
      <c r="AM684" s="421"/>
      <c r="AN684" s="421"/>
      <c r="AO684" s="421"/>
      <c r="AP684" s="421"/>
      <c r="AQ684" s="421"/>
      <c r="AR684" s="421"/>
      <c r="AS684" s="421"/>
      <c r="AT684" s="421"/>
      <c r="AU684" s="421"/>
      <c r="AV684" s="421"/>
      <c r="AW684" s="421"/>
      <c r="AX684" s="421"/>
      <c r="AY684" s="421"/>
      <c r="AZ684" s="421"/>
      <c r="BA684" s="421"/>
      <c r="BC684" s="115"/>
      <c r="BD684" s="115"/>
      <c r="BE684" s="115"/>
      <c r="BF684" s="115"/>
      <c r="BG684" s="115"/>
      <c r="BH684" s="84"/>
      <c r="BI684" s="84"/>
      <c r="BJ684" s="84"/>
      <c r="BK684" s="84"/>
      <c r="BL684" s="84"/>
      <c r="BM684" s="84"/>
      <c r="BN684" s="84"/>
      <c r="BO684" s="84"/>
      <c r="BP684" s="84"/>
      <c r="BQ684" s="84"/>
      <c r="BR684" s="84"/>
      <c r="BS684" s="84"/>
      <c r="BT684" s="84"/>
      <c r="BU684" s="84"/>
      <c r="BV684" s="84"/>
      <c r="BW684" s="84"/>
      <c r="BX684" s="84"/>
      <c r="BY684" s="84"/>
      <c r="BZ684" s="84"/>
      <c r="CA684" s="84"/>
      <c r="CB684" s="84"/>
      <c r="CC684" s="84"/>
      <c r="CD684" s="84"/>
      <c r="CE684" s="84"/>
      <c r="CF684" s="84"/>
      <c r="CG684" s="84"/>
      <c r="CH684" s="84"/>
      <c r="CI684" s="84"/>
      <c r="CJ684" s="84"/>
      <c r="CK684" s="84"/>
      <c r="CL684" s="84"/>
      <c r="CM684" s="84"/>
      <c r="CN684" s="84"/>
      <c r="CO684" s="84"/>
      <c r="CP684" s="84"/>
      <c r="CQ684" s="84"/>
      <c r="CR684" s="84"/>
      <c r="CS684" s="84"/>
      <c r="CT684" s="84"/>
      <c r="CU684" s="84"/>
      <c r="CV684" s="84"/>
      <c r="CW684" s="84"/>
      <c r="CX684" s="84"/>
      <c r="CY684" s="84"/>
      <c r="CZ684" s="84"/>
      <c r="DA684" s="84"/>
      <c r="DB684" s="84"/>
      <c r="DC684" s="84"/>
      <c r="DD684" s="84"/>
      <c r="DE684" s="84"/>
      <c r="DF684" s="84"/>
      <c r="DG684" s="115"/>
    </row>
    <row r="685" spans="2:111" customFormat="1" ht="9" customHeight="1">
      <c r="B685" s="49"/>
      <c r="C685" s="49"/>
      <c r="D685" s="49"/>
      <c r="E685" s="49"/>
      <c r="F685" s="49"/>
      <c r="G685" s="49"/>
      <c r="H685" s="49"/>
      <c r="I685" s="49"/>
      <c r="J685" s="49"/>
      <c r="K685" s="49"/>
      <c r="L685" s="49"/>
      <c r="M685" s="49"/>
      <c r="N685" s="49"/>
      <c r="O685" s="421"/>
      <c r="P685" s="421"/>
      <c r="Q685" s="421"/>
      <c r="R685" s="421"/>
      <c r="S685" s="421"/>
      <c r="T685" s="421"/>
      <c r="U685" s="421"/>
      <c r="V685" s="421"/>
      <c r="W685" s="421"/>
      <c r="X685" s="421"/>
      <c r="Y685" s="421"/>
      <c r="Z685" s="421"/>
      <c r="AA685" s="421"/>
      <c r="AB685" s="421"/>
      <c r="AC685" s="421"/>
      <c r="AD685" s="421"/>
      <c r="AE685" s="421"/>
      <c r="AF685" s="421"/>
      <c r="AG685" s="421"/>
      <c r="AH685" s="421"/>
      <c r="AI685" s="421"/>
      <c r="AJ685" s="421"/>
      <c r="AK685" s="421"/>
      <c r="AL685" s="421"/>
      <c r="AM685" s="421"/>
      <c r="AN685" s="421"/>
      <c r="AO685" s="421"/>
      <c r="AP685" s="421"/>
      <c r="AQ685" s="421"/>
      <c r="AR685" s="421"/>
      <c r="AS685" s="421"/>
      <c r="AT685" s="421"/>
      <c r="AU685" s="421"/>
      <c r="AV685" s="421"/>
      <c r="AW685" s="421"/>
      <c r="AX685" s="421"/>
      <c r="AY685" s="421"/>
      <c r="AZ685" s="421"/>
      <c r="BA685" s="421"/>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row>
    <row r="686" spans="2:111" customFormat="1" ht="4.5" customHeight="1">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49"/>
      <c r="AY686" s="49"/>
      <c r="AZ686" s="49"/>
      <c r="BA686" s="49"/>
      <c r="BC686" s="115"/>
      <c r="BD686" s="115"/>
      <c r="BE686" s="115"/>
      <c r="BF686" s="115"/>
      <c r="BG686" s="115"/>
      <c r="BH686" s="124"/>
      <c r="BI686" s="124"/>
      <c r="BJ686" s="124"/>
      <c r="BK686" s="124"/>
      <c r="BL686" s="124"/>
      <c r="BM686" s="124"/>
      <c r="BN686" s="124"/>
      <c r="BO686" s="124"/>
      <c r="BP686" s="124"/>
      <c r="BQ686" s="124"/>
      <c r="BR686" s="124"/>
      <c r="BS686" s="124"/>
      <c r="BT686" s="124"/>
      <c r="BU686" s="124"/>
      <c r="BV686" s="124"/>
      <c r="BW686" s="124"/>
      <c r="BX686" s="124"/>
      <c r="BY686" s="124"/>
      <c r="BZ686" s="124"/>
      <c r="CA686" s="124"/>
      <c r="CB686" s="124"/>
      <c r="CC686" s="124"/>
      <c r="CD686" s="124"/>
      <c r="CE686" s="124"/>
      <c r="CF686" s="124"/>
      <c r="CG686" s="124"/>
      <c r="CH686" s="124"/>
      <c r="CI686" s="124"/>
      <c r="CJ686" s="124"/>
      <c r="CK686" s="124"/>
      <c r="CL686" s="124"/>
      <c r="CM686" s="124"/>
      <c r="CN686" s="124"/>
      <c r="CO686" s="124"/>
      <c r="CP686" s="124"/>
      <c r="CQ686" s="124"/>
      <c r="CR686" s="124"/>
      <c r="CS686" s="124"/>
      <c r="CT686" s="124"/>
      <c r="CU686" s="124"/>
      <c r="CV686" s="124"/>
      <c r="CW686" s="124"/>
      <c r="CX686" s="124"/>
      <c r="CY686" s="124"/>
      <c r="CZ686" s="124"/>
      <c r="DA686" s="124"/>
      <c r="DB686" s="124"/>
      <c r="DC686" s="124"/>
      <c r="DD686" s="124"/>
      <c r="DE686" s="124"/>
      <c r="DF686" s="124"/>
      <c r="DG686" s="115"/>
    </row>
    <row r="687" spans="2:111" customFormat="1" ht="9" customHeight="1">
      <c r="B687" s="493" t="str">
        <f>IF(B676="","","Detalhamento do Objeto:")</f>
        <v/>
      </c>
      <c r="C687" s="493"/>
      <c r="D687" s="493"/>
      <c r="E687" s="493"/>
      <c r="F687" s="493"/>
      <c r="G687" s="493"/>
      <c r="H687" s="493"/>
      <c r="I687" s="493"/>
      <c r="J687" s="493"/>
      <c r="K687" s="493"/>
      <c r="L687" s="493"/>
      <c r="M687" s="493"/>
      <c r="N687" s="493"/>
      <c r="O687" s="421"/>
      <c r="P687" s="421"/>
      <c r="Q687" s="421"/>
      <c r="R687" s="421"/>
      <c r="S687" s="421"/>
      <c r="T687" s="421"/>
      <c r="U687" s="421"/>
      <c r="V687" s="421"/>
      <c r="W687" s="421"/>
      <c r="X687" s="421"/>
      <c r="Y687" s="421"/>
      <c r="Z687" s="421"/>
      <c r="AA687" s="421"/>
      <c r="AB687" s="421"/>
      <c r="AC687" s="421"/>
      <c r="AD687" s="421"/>
      <c r="AE687" s="421"/>
      <c r="AF687" s="421"/>
      <c r="AG687" s="421"/>
      <c r="AH687" s="421"/>
      <c r="AI687" s="421"/>
      <c r="AJ687" s="421"/>
      <c r="AK687" s="421"/>
      <c r="AL687" s="421"/>
      <c r="AM687" s="421"/>
      <c r="AN687" s="421"/>
      <c r="AO687" s="421"/>
      <c r="AP687" s="421"/>
      <c r="AQ687" s="421"/>
      <c r="AR687" s="421"/>
      <c r="AS687" s="421"/>
      <c r="AT687" s="421"/>
      <c r="AU687" s="421"/>
      <c r="AV687" s="421"/>
      <c r="AW687" s="421"/>
      <c r="AX687" s="421"/>
      <c r="AY687" s="421"/>
      <c r="AZ687" s="421"/>
      <c r="BA687" s="421"/>
      <c r="BC687" s="115"/>
      <c r="BD687" s="115"/>
      <c r="BE687" s="115"/>
      <c r="BF687" s="115"/>
      <c r="BG687" s="115"/>
      <c r="BH687" s="124"/>
      <c r="BI687" s="124"/>
      <c r="BJ687" s="124"/>
      <c r="BK687" s="124"/>
      <c r="BL687" s="124"/>
      <c r="BM687" s="124"/>
      <c r="BN687" s="124"/>
      <c r="BO687" s="124"/>
      <c r="BP687" s="124"/>
      <c r="BQ687" s="124"/>
      <c r="BR687" s="124"/>
      <c r="BS687" s="124"/>
      <c r="BT687" s="124"/>
      <c r="BU687" s="124"/>
      <c r="BV687" s="124"/>
      <c r="BW687" s="124"/>
      <c r="BX687" s="124"/>
      <c r="BY687" s="124"/>
      <c r="BZ687" s="124"/>
      <c r="CA687" s="124"/>
      <c r="CB687" s="124"/>
      <c r="CC687" s="124"/>
      <c r="CD687" s="124"/>
      <c r="CE687" s="124"/>
      <c r="CF687" s="124"/>
      <c r="CG687" s="124"/>
      <c r="CH687" s="124"/>
      <c r="CI687" s="124"/>
      <c r="CJ687" s="124"/>
      <c r="CK687" s="124"/>
      <c r="CL687" s="124"/>
      <c r="CM687" s="124"/>
      <c r="CN687" s="124"/>
      <c r="CO687" s="124"/>
      <c r="CP687" s="124"/>
      <c r="CQ687" s="124"/>
      <c r="CR687" s="124"/>
      <c r="CS687" s="124"/>
      <c r="CT687" s="124"/>
      <c r="CU687" s="124"/>
      <c r="CV687" s="124"/>
      <c r="CW687" s="124"/>
      <c r="CX687" s="124"/>
      <c r="CY687" s="124"/>
      <c r="CZ687" s="124"/>
      <c r="DA687" s="124"/>
      <c r="DB687" s="124"/>
      <c r="DC687" s="124"/>
      <c r="DD687" s="124"/>
      <c r="DE687" s="124"/>
      <c r="DF687" s="124"/>
      <c r="DG687" s="115"/>
    </row>
    <row r="688" spans="2:111" customFormat="1" ht="9" customHeight="1">
      <c r="B688" s="493"/>
      <c r="C688" s="493"/>
      <c r="D688" s="493"/>
      <c r="E688" s="493"/>
      <c r="F688" s="493"/>
      <c r="G688" s="493"/>
      <c r="H688" s="493"/>
      <c r="I688" s="493"/>
      <c r="J688" s="493"/>
      <c r="K688" s="493"/>
      <c r="L688" s="493"/>
      <c r="M688" s="493"/>
      <c r="N688" s="493"/>
      <c r="O688" s="421"/>
      <c r="P688" s="421"/>
      <c r="Q688" s="421"/>
      <c r="R688" s="421"/>
      <c r="S688" s="421"/>
      <c r="T688" s="421"/>
      <c r="U688" s="421"/>
      <c r="V688" s="421"/>
      <c r="W688" s="421"/>
      <c r="X688" s="421"/>
      <c r="Y688" s="421"/>
      <c r="Z688" s="421"/>
      <c r="AA688" s="421"/>
      <c r="AB688" s="421"/>
      <c r="AC688" s="421"/>
      <c r="AD688" s="421"/>
      <c r="AE688" s="421"/>
      <c r="AF688" s="421"/>
      <c r="AG688" s="421"/>
      <c r="AH688" s="421"/>
      <c r="AI688" s="421"/>
      <c r="AJ688" s="421"/>
      <c r="AK688" s="421"/>
      <c r="AL688" s="421"/>
      <c r="AM688" s="421"/>
      <c r="AN688" s="421"/>
      <c r="AO688" s="421"/>
      <c r="AP688" s="421"/>
      <c r="AQ688" s="421"/>
      <c r="AR688" s="421"/>
      <c r="AS688" s="421"/>
      <c r="AT688" s="421"/>
      <c r="AU688" s="421"/>
      <c r="AV688" s="421"/>
      <c r="AW688" s="421"/>
      <c r="AX688" s="421"/>
      <c r="AY688" s="421"/>
      <c r="AZ688" s="421"/>
      <c r="BA688" s="421"/>
      <c r="BC688" s="115"/>
      <c r="BD688" s="115"/>
      <c r="BE688" s="115"/>
      <c r="BF688" s="115"/>
      <c r="BG688" s="115"/>
      <c r="BH688" s="124"/>
      <c r="BI688" s="124"/>
      <c r="BJ688" s="124"/>
      <c r="BK688" s="124"/>
      <c r="BL688" s="124"/>
      <c r="BM688" s="124"/>
      <c r="BN688" s="124"/>
      <c r="BO688" s="124"/>
      <c r="BP688" s="124"/>
      <c r="BQ688" s="124"/>
      <c r="BR688" s="124"/>
      <c r="BS688" s="124"/>
      <c r="BT688" s="124"/>
      <c r="BU688" s="124"/>
      <c r="BV688" s="124"/>
      <c r="BW688" s="124"/>
      <c r="BX688" s="124"/>
      <c r="BY688" s="124"/>
      <c r="BZ688" s="124"/>
      <c r="CA688" s="124"/>
      <c r="CB688" s="124"/>
      <c r="CC688" s="124"/>
      <c r="CD688" s="124"/>
      <c r="CE688" s="124"/>
      <c r="CF688" s="124"/>
      <c r="CG688" s="124"/>
      <c r="CH688" s="124"/>
      <c r="CI688" s="124"/>
      <c r="CJ688" s="124"/>
      <c r="CK688" s="124"/>
      <c r="CL688" s="124"/>
      <c r="CM688" s="124"/>
      <c r="CN688" s="124"/>
      <c r="CO688" s="124"/>
      <c r="CP688" s="124"/>
      <c r="CQ688" s="124"/>
      <c r="CR688" s="124"/>
      <c r="CS688" s="124"/>
      <c r="CT688" s="124"/>
      <c r="CU688" s="124"/>
      <c r="CV688" s="124"/>
      <c r="CW688" s="124"/>
      <c r="CX688" s="124"/>
      <c r="CY688" s="124"/>
      <c r="CZ688" s="124"/>
      <c r="DA688" s="124"/>
      <c r="DB688" s="124"/>
      <c r="DC688" s="124"/>
      <c r="DD688" s="124"/>
      <c r="DE688" s="124"/>
      <c r="DF688" s="124"/>
      <c r="DG688" s="115"/>
    </row>
    <row r="689" spans="2:111" customFormat="1" ht="9" customHeight="1">
      <c r="B689" s="143"/>
      <c r="C689" s="143"/>
      <c r="D689" s="143"/>
      <c r="E689" s="143"/>
      <c r="F689" s="143"/>
      <c r="G689" s="143"/>
      <c r="H689" s="143"/>
      <c r="I689" s="143"/>
      <c r="J689" s="143"/>
      <c r="K689" s="143"/>
      <c r="L689" s="143"/>
      <c r="M689" s="143"/>
      <c r="N689" s="143"/>
      <c r="O689" s="421"/>
      <c r="P689" s="421"/>
      <c r="Q689" s="421"/>
      <c r="R689" s="421"/>
      <c r="S689" s="421"/>
      <c r="T689" s="421"/>
      <c r="U689" s="421"/>
      <c r="V689" s="421"/>
      <c r="W689" s="421"/>
      <c r="X689" s="421"/>
      <c r="Y689" s="421"/>
      <c r="Z689" s="421"/>
      <c r="AA689" s="421"/>
      <c r="AB689" s="421"/>
      <c r="AC689" s="421"/>
      <c r="AD689" s="421"/>
      <c r="AE689" s="421"/>
      <c r="AF689" s="421"/>
      <c r="AG689" s="421"/>
      <c r="AH689" s="421"/>
      <c r="AI689" s="421"/>
      <c r="AJ689" s="421"/>
      <c r="AK689" s="421"/>
      <c r="AL689" s="421"/>
      <c r="AM689" s="421"/>
      <c r="AN689" s="421"/>
      <c r="AO689" s="421"/>
      <c r="AP689" s="421"/>
      <c r="AQ689" s="421"/>
      <c r="AR689" s="421"/>
      <c r="AS689" s="421"/>
      <c r="AT689" s="421"/>
      <c r="AU689" s="421"/>
      <c r="AV689" s="421"/>
      <c r="AW689" s="421"/>
      <c r="AX689" s="421"/>
      <c r="AY689" s="421"/>
      <c r="AZ689" s="421"/>
      <c r="BA689" s="421"/>
      <c r="BC689" s="115"/>
      <c r="BD689" s="115"/>
      <c r="BE689" s="115"/>
      <c r="BF689" s="115"/>
      <c r="BG689" s="115"/>
      <c r="BH689" s="84"/>
      <c r="BI689" s="84"/>
      <c r="BJ689" s="84"/>
      <c r="BK689" s="84"/>
      <c r="BL689" s="84"/>
      <c r="BM689" s="84"/>
      <c r="BN689" s="84"/>
      <c r="BO689" s="84"/>
      <c r="BP689" s="84"/>
      <c r="BQ689" s="84"/>
      <c r="BR689" s="84"/>
      <c r="BS689" s="84"/>
      <c r="BT689" s="84"/>
      <c r="BU689" s="84"/>
      <c r="BV689" s="84"/>
      <c r="BW689" s="84"/>
      <c r="BX689" s="84"/>
      <c r="BY689" s="84"/>
      <c r="BZ689" s="84"/>
      <c r="CA689" s="84"/>
      <c r="CB689" s="84"/>
      <c r="CC689" s="84"/>
      <c r="CD689" s="84"/>
      <c r="CE689" s="84"/>
      <c r="CF689" s="84"/>
      <c r="CG689" s="84"/>
      <c r="CH689" s="84"/>
      <c r="CI689" s="84"/>
      <c r="CJ689" s="84"/>
      <c r="CK689" s="84"/>
      <c r="CL689" s="84"/>
      <c r="CM689" s="84"/>
      <c r="CN689" s="84"/>
      <c r="CO689" s="84"/>
      <c r="CP689" s="84"/>
      <c r="CQ689" s="84"/>
      <c r="CR689" s="84"/>
      <c r="CS689" s="84"/>
      <c r="CT689" s="84"/>
      <c r="CU689" s="84"/>
      <c r="CV689" s="84"/>
      <c r="CW689" s="84"/>
      <c r="CX689" s="84"/>
      <c r="CY689" s="84"/>
      <c r="CZ689" s="84"/>
      <c r="DA689" s="84"/>
      <c r="DB689" s="84"/>
      <c r="DC689" s="84"/>
      <c r="DD689" s="84"/>
      <c r="DE689" s="84"/>
      <c r="DF689" s="84"/>
      <c r="DG689" s="115"/>
    </row>
    <row r="690" spans="2:111" customFormat="1" ht="9" customHeight="1">
      <c r="B690" s="143"/>
      <c r="C690" s="143"/>
      <c r="D690" s="143"/>
      <c r="E690" s="143"/>
      <c r="F690" s="143"/>
      <c r="G690" s="143"/>
      <c r="H690" s="143"/>
      <c r="I690" s="143"/>
      <c r="J690" s="143"/>
      <c r="K690" s="143"/>
      <c r="L690" s="143"/>
      <c r="M690" s="143"/>
      <c r="N690" s="143"/>
      <c r="O690" s="421"/>
      <c r="P690" s="421"/>
      <c r="Q690" s="421"/>
      <c r="R690" s="421"/>
      <c r="S690" s="421"/>
      <c r="T690" s="421"/>
      <c r="U690" s="421"/>
      <c r="V690" s="421"/>
      <c r="W690" s="421"/>
      <c r="X690" s="421"/>
      <c r="Y690" s="421"/>
      <c r="Z690" s="421"/>
      <c r="AA690" s="421"/>
      <c r="AB690" s="421"/>
      <c r="AC690" s="421"/>
      <c r="AD690" s="421"/>
      <c r="AE690" s="421"/>
      <c r="AF690" s="421"/>
      <c r="AG690" s="421"/>
      <c r="AH690" s="421"/>
      <c r="AI690" s="421"/>
      <c r="AJ690" s="421"/>
      <c r="AK690" s="421"/>
      <c r="AL690" s="421"/>
      <c r="AM690" s="421"/>
      <c r="AN690" s="421"/>
      <c r="AO690" s="421"/>
      <c r="AP690" s="421"/>
      <c r="AQ690" s="421"/>
      <c r="AR690" s="421"/>
      <c r="AS690" s="421"/>
      <c r="AT690" s="421"/>
      <c r="AU690" s="421"/>
      <c r="AV690" s="421"/>
      <c r="AW690" s="421"/>
      <c r="AX690" s="421"/>
      <c r="AY690" s="421"/>
      <c r="AZ690" s="421"/>
      <c r="BA690" s="421"/>
      <c r="BC690" s="115"/>
      <c r="BD690" s="115"/>
      <c r="BE690" s="115"/>
      <c r="BF690" s="115"/>
      <c r="BG690" s="115"/>
      <c r="BH690" s="84"/>
      <c r="BI690" s="84"/>
      <c r="BJ690" s="84"/>
      <c r="BK690" s="84"/>
      <c r="BL690" s="84"/>
      <c r="BM690" s="84"/>
      <c r="BN690" s="84"/>
      <c r="BO690" s="84"/>
      <c r="BP690" s="84"/>
      <c r="BQ690" s="84"/>
      <c r="BR690" s="84"/>
      <c r="BS690" s="84"/>
      <c r="BT690" s="84"/>
      <c r="BU690" s="84"/>
      <c r="BV690" s="84"/>
      <c r="BW690" s="84"/>
      <c r="BX690" s="84"/>
      <c r="BY690" s="84"/>
      <c r="BZ690" s="84"/>
      <c r="CA690" s="84"/>
      <c r="CB690" s="84"/>
      <c r="CC690" s="84"/>
      <c r="CD690" s="84"/>
      <c r="CE690" s="84"/>
      <c r="CF690" s="84"/>
      <c r="CG690" s="84"/>
      <c r="CH690" s="84"/>
      <c r="CI690" s="84"/>
      <c r="CJ690" s="84"/>
      <c r="CK690" s="84"/>
      <c r="CL690" s="84"/>
      <c r="CM690" s="84"/>
      <c r="CN690" s="84"/>
      <c r="CO690" s="84"/>
      <c r="CP690" s="84"/>
      <c r="CQ690" s="84"/>
      <c r="CR690" s="84"/>
      <c r="CS690" s="84"/>
      <c r="CT690" s="84"/>
      <c r="CU690" s="84"/>
      <c r="CV690" s="84"/>
      <c r="CW690" s="84"/>
      <c r="CX690" s="84"/>
      <c r="CY690" s="84"/>
      <c r="CZ690" s="84"/>
      <c r="DA690" s="84"/>
      <c r="DB690" s="84"/>
      <c r="DC690" s="84"/>
      <c r="DD690" s="84"/>
      <c r="DE690" s="84"/>
      <c r="DF690" s="84"/>
      <c r="DG690" s="115"/>
    </row>
    <row r="691" spans="2:111" customFormat="1" ht="9" customHeight="1">
      <c r="B691" s="143"/>
      <c r="C691" s="143"/>
      <c r="D691" s="143"/>
      <c r="E691" s="143"/>
      <c r="F691" s="143"/>
      <c r="G691" s="143"/>
      <c r="H691" s="143"/>
      <c r="I691" s="143"/>
      <c r="J691" s="143"/>
      <c r="K691" s="143"/>
      <c r="L691" s="143"/>
      <c r="M691" s="143"/>
      <c r="N691" s="143"/>
      <c r="O691" s="421"/>
      <c r="P691" s="421"/>
      <c r="Q691" s="421"/>
      <c r="R691" s="421"/>
      <c r="S691" s="421"/>
      <c r="T691" s="421"/>
      <c r="U691" s="421"/>
      <c r="V691" s="421"/>
      <c r="W691" s="421"/>
      <c r="X691" s="421"/>
      <c r="Y691" s="421"/>
      <c r="Z691" s="421"/>
      <c r="AA691" s="421"/>
      <c r="AB691" s="421"/>
      <c r="AC691" s="421"/>
      <c r="AD691" s="421"/>
      <c r="AE691" s="421"/>
      <c r="AF691" s="421"/>
      <c r="AG691" s="421"/>
      <c r="AH691" s="421"/>
      <c r="AI691" s="421"/>
      <c r="AJ691" s="421"/>
      <c r="AK691" s="421"/>
      <c r="AL691" s="421"/>
      <c r="AM691" s="421"/>
      <c r="AN691" s="421"/>
      <c r="AO691" s="421"/>
      <c r="AP691" s="421"/>
      <c r="AQ691" s="421"/>
      <c r="AR691" s="421"/>
      <c r="AS691" s="421"/>
      <c r="AT691" s="421"/>
      <c r="AU691" s="421"/>
      <c r="AV691" s="421"/>
      <c r="AW691" s="421"/>
      <c r="AX691" s="421"/>
      <c r="AY691" s="421"/>
      <c r="AZ691" s="421"/>
      <c r="BA691" s="421"/>
      <c r="BC691" s="115"/>
      <c r="BD691" s="115"/>
      <c r="BE691" s="115"/>
      <c r="BF691" s="115"/>
      <c r="BG691" s="115"/>
      <c r="BH691" s="84"/>
      <c r="BI691" s="84"/>
      <c r="BJ691" s="84"/>
      <c r="BK691" s="84"/>
      <c r="BL691" s="84"/>
      <c r="BM691" s="84"/>
      <c r="BN691" s="84"/>
      <c r="BO691" s="84"/>
      <c r="BP691" s="84"/>
      <c r="BQ691" s="84"/>
      <c r="BR691" s="84"/>
      <c r="BS691" s="84"/>
      <c r="BT691" s="84"/>
      <c r="BU691" s="84"/>
      <c r="BV691" s="84"/>
      <c r="BW691" s="84"/>
      <c r="BX691" s="84"/>
      <c r="BY691" s="84"/>
      <c r="BZ691" s="84"/>
      <c r="CA691" s="84"/>
      <c r="CB691" s="84"/>
      <c r="CC691" s="84"/>
      <c r="CD691" s="84"/>
      <c r="CE691" s="84"/>
      <c r="CF691" s="84"/>
      <c r="CG691" s="84"/>
      <c r="CH691" s="84"/>
      <c r="CI691" s="84"/>
      <c r="CJ691" s="84"/>
      <c r="CK691" s="84"/>
      <c r="CL691" s="84"/>
      <c r="CM691" s="84"/>
      <c r="CN691" s="84"/>
      <c r="CO691" s="84"/>
      <c r="CP691" s="84"/>
      <c r="CQ691" s="84"/>
      <c r="CR691" s="84"/>
      <c r="CS691" s="84"/>
      <c r="CT691" s="84"/>
      <c r="CU691" s="84"/>
      <c r="CV691" s="84"/>
      <c r="CW691" s="84"/>
      <c r="CX691" s="84"/>
      <c r="CY691" s="84"/>
      <c r="CZ691" s="84"/>
      <c r="DA691" s="84"/>
      <c r="DB691" s="84"/>
      <c r="DC691" s="84"/>
      <c r="DD691" s="84"/>
      <c r="DE691" s="84"/>
      <c r="DF691" s="84"/>
      <c r="DG691" s="115"/>
    </row>
    <row r="692" spans="2:111" customFormat="1" ht="9" customHeight="1">
      <c r="B692" s="143"/>
      <c r="C692" s="143"/>
      <c r="D692" s="143"/>
      <c r="E692" s="143"/>
      <c r="F692" s="143"/>
      <c r="G692" s="143"/>
      <c r="H692" s="143"/>
      <c r="I692" s="143"/>
      <c r="J692" s="143"/>
      <c r="K692" s="143"/>
      <c r="L692" s="143"/>
      <c r="M692" s="143"/>
      <c r="N692" s="143"/>
      <c r="O692" s="421"/>
      <c r="P692" s="421"/>
      <c r="Q692" s="421"/>
      <c r="R692" s="421"/>
      <c r="S692" s="421"/>
      <c r="T692" s="421"/>
      <c r="U692" s="421"/>
      <c r="V692" s="421"/>
      <c r="W692" s="421"/>
      <c r="X692" s="421"/>
      <c r="Y692" s="421"/>
      <c r="Z692" s="421"/>
      <c r="AA692" s="421"/>
      <c r="AB692" s="421"/>
      <c r="AC692" s="421"/>
      <c r="AD692" s="421"/>
      <c r="AE692" s="421"/>
      <c r="AF692" s="421"/>
      <c r="AG692" s="421"/>
      <c r="AH692" s="421"/>
      <c r="AI692" s="421"/>
      <c r="AJ692" s="421"/>
      <c r="AK692" s="421"/>
      <c r="AL692" s="421"/>
      <c r="AM692" s="421"/>
      <c r="AN692" s="421"/>
      <c r="AO692" s="421"/>
      <c r="AP692" s="421"/>
      <c r="AQ692" s="421"/>
      <c r="AR692" s="421"/>
      <c r="AS692" s="421"/>
      <c r="AT692" s="421"/>
      <c r="AU692" s="421"/>
      <c r="AV692" s="421"/>
      <c r="AW692" s="421"/>
      <c r="AX692" s="421"/>
      <c r="AY692" s="421"/>
      <c r="AZ692" s="421"/>
      <c r="BA692" s="421"/>
      <c r="BC692" s="115"/>
      <c r="BD692" s="115"/>
      <c r="BE692" s="115"/>
      <c r="BF692" s="115"/>
      <c r="BG692" s="115"/>
      <c r="BH692" s="84"/>
      <c r="BI692" s="84"/>
      <c r="BJ692" s="84"/>
      <c r="BK692" s="84"/>
      <c r="BL692" s="84"/>
      <c r="BM692" s="84"/>
      <c r="BN692" s="84"/>
      <c r="BO692" s="84"/>
      <c r="BP692" s="84"/>
      <c r="BQ692" s="84"/>
      <c r="BR692" s="84"/>
      <c r="BS692" s="84"/>
      <c r="BT692" s="84"/>
      <c r="BU692" s="84"/>
      <c r="BV692" s="84"/>
      <c r="BW692" s="84"/>
      <c r="BX692" s="84"/>
      <c r="BY692" s="84"/>
      <c r="BZ692" s="84"/>
      <c r="CA692" s="84"/>
      <c r="CB692" s="84"/>
      <c r="CC692" s="84"/>
      <c r="CD692" s="84"/>
      <c r="CE692" s="84"/>
      <c r="CF692" s="84"/>
      <c r="CG692" s="84"/>
      <c r="CH692" s="84"/>
      <c r="CI692" s="84"/>
      <c r="CJ692" s="84"/>
      <c r="CK692" s="84"/>
      <c r="CL692" s="84"/>
      <c r="CM692" s="84"/>
      <c r="CN692" s="84"/>
      <c r="CO692" s="84"/>
      <c r="CP692" s="84"/>
      <c r="CQ692" s="84"/>
      <c r="CR692" s="84"/>
      <c r="CS692" s="84"/>
      <c r="CT692" s="84"/>
      <c r="CU692" s="84"/>
      <c r="CV692" s="84"/>
      <c r="CW692" s="84"/>
      <c r="CX692" s="84"/>
      <c r="CY692" s="84"/>
      <c r="CZ692" s="84"/>
      <c r="DA692" s="84"/>
      <c r="DB692" s="84"/>
      <c r="DC692" s="84"/>
      <c r="DD692" s="84"/>
      <c r="DE692" s="84"/>
      <c r="DF692" s="84"/>
      <c r="DG692" s="115"/>
    </row>
    <row r="693" spans="2:111" customFormat="1" ht="9" customHeight="1">
      <c r="B693" s="143"/>
      <c r="C693" s="143"/>
      <c r="D693" s="143"/>
      <c r="E693" s="143"/>
      <c r="F693" s="143"/>
      <c r="G693" s="143"/>
      <c r="H693" s="143"/>
      <c r="I693" s="143"/>
      <c r="J693" s="143"/>
      <c r="K693" s="143"/>
      <c r="L693" s="143"/>
      <c r="M693" s="143"/>
      <c r="N693" s="143"/>
      <c r="O693" s="421"/>
      <c r="P693" s="421"/>
      <c r="Q693" s="421"/>
      <c r="R693" s="421"/>
      <c r="S693" s="421"/>
      <c r="T693" s="421"/>
      <c r="U693" s="421"/>
      <c r="V693" s="421"/>
      <c r="W693" s="421"/>
      <c r="X693" s="421"/>
      <c r="Y693" s="421"/>
      <c r="Z693" s="421"/>
      <c r="AA693" s="421"/>
      <c r="AB693" s="421"/>
      <c r="AC693" s="421"/>
      <c r="AD693" s="421"/>
      <c r="AE693" s="421"/>
      <c r="AF693" s="421"/>
      <c r="AG693" s="421"/>
      <c r="AH693" s="421"/>
      <c r="AI693" s="421"/>
      <c r="AJ693" s="421"/>
      <c r="AK693" s="421"/>
      <c r="AL693" s="421"/>
      <c r="AM693" s="421"/>
      <c r="AN693" s="421"/>
      <c r="AO693" s="421"/>
      <c r="AP693" s="421"/>
      <c r="AQ693" s="421"/>
      <c r="AR693" s="421"/>
      <c r="AS693" s="421"/>
      <c r="AT693" s="421"/>
      <c r="AU693" s="421"/>
      <c r="AV693" s="421"/>
      <c r="AW693" s="421"/>
      <c r="AX693" s="421"/>
      <c r="AY693" s="421"/>
      <c r="AZ693" s="421"/>
      <c r="BA693" s="421"/>
      <c r="BC693" s="115"/>
      <c r="BD693" s="115"/>
      <c r="BE693" s="115"/>
      <c r="BF693" s="115"/>
      <c r="BG693" s="115"/>
      <c r="BH693" s="84"/>
      <c r="BI693" s="84"/>
      <c r="BJ693" s="84"/>
      <c r="BK693" s="84"/>
      <c r="BL693" s="84"/>
      <c r="BM693" s="84"/>
      <c r="BN693" s="84"/>
      <c r="BO693" s="84"/>
      <c r="BP693" s="84"/>
      <c r="BQ693" s="84"/>
      <c r="BR693" s="84"/>
      <c r="BS693" s="84"/>
      <c r="BT693" s="84"/>
      <c r="BU693" s="84"/>
      <c r="BV693" s="84"/>
      <c r="BW693" s="84"/>
      <c r="BX693" s="84"/>
      <c r="BY693" s="84"/>
      <c r="BZ693" s="84"/>
      <c r="CA693" s="84"/>
      <c r="CB693" s="84"/>
      <c r="CC693" s="84"/>
      <c r="CD693" s="84"/>
      <c r="CE693" s="84"/>
      <c r="CF693" s="84"/>
      <c r="CG693" s="84"/>
      <c r="CH693" s="84"/>
      <c r="CI693" s="84"/>
      <c r="CJ693" s="84"/>
      <c r="CK693" s="84"/>
      <c r="CL693" s="84"/>
      <c r="CM693" s="84"/>
      <c r="CN693" s="84"/>
      <c r="CO693" s="84"/>
      <c r="CP693" s="84"/>
      <c r="CQ693" s="84"/>
      <c r="CR693" s="84"/>
      <c r="CS693" s="84"/>
      <c r="CT693" s="84"/>
      <c r="CU693" s="84"/>
      <c r="CV693" s="84"/>
      <c r="CW693" s="84"/>
      <c r="CX693" s="84"/>
      <c r="CY693" s="84"/>
      <c r="CZ693" s="84"/>
      <c r="DA693" s="84"/>
      <c r="DB693" s="84"/>
      <c r="DC693" s="84"/>
      <c r="DD693" s="84"/>
      <c r="DE693" s="84"/>
      <c r="DF693" s="84"/>
      <c r="DG693" s="115"/>
    </row>
    <row r="694" spans="2:111" customFormat="1" ht="9" customHeight="1">
      <c r="B694" s="49"/>
      <c r="C694" s="49"/>
      <c r="D694" s="49"/>
      <c r="E694" s="49"/>
      <c r="F694" s="49"/>
      <c r="G694" s="49"/>
      <c r="H694" s="49"/>
      <c r="I694" s="49"/>
      <c r="J694" s="49"/>
      <c r="K694" s="49"/>
      <c r="L694" s="49"/>
      <c r="M694" s="49"/>
      <c r="N694" s="49"/>
      <c r="O694" s="421"/>
      <c r="P694" s="421"/>
      <c r="Q694" s="421"/>
      <c r="R694" s="421"/>
      <c r="S694" s="421"/>
      <c r="T694" s="421"/>
      <c r="U694" s="421"/>
      <c r="V694" s="421"/>
      <c r="W694" s="421"/>
      <c r="X694" s="421"/>
      <c r="Y694" s="421"/>
      <c r="Z694" s="421"/>
      <c r="AA694" s="421"/>
      <c r="AB694" s="421"/>
      <c r="AC694" s="421"/>
      <c r="AD694" s="421"/>
      <c r="AE694" s="421"/>
      <c r="AF694" s="421"/>
      <c r="AG694" s="421"/>
      <c r="AH694" s="421"/>
      <c r="AI694" s="421"/>
      <c r="AJ694" s="421"/>
      <c r="AK694" s="421"/>
      <c r="AL694" s="421"/>
      <c r="AM694" s="421"/>
      <c r="AN694" s="421"/>
      <c r="AO694" s="421"/>
      <c r="AP694" s="421"/>
      <c r="AQ694" s="421"/>
      <c r="AR694" s="421"/>
      <c r="AS694" s="421"/>
      <c r="AT694" s="421"/>
      <c r="AU694" s="421"/>
      <c r="AV694" s="421"/>
      <c r="AW694" s="421"/>
      <c r="AX694" s="421"/>
      <c r="AY694" s="421"/>
      <c r="AZ694" s="421"/>
      <c r="BA694" s="421"/>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row>
    <row r="695" spans="2:111" customFormat="1" ht="4.5" customHeight="1">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49"/>
      <c r="AY695" s="49"/>
      <c r="AZ695" s="49"/>
      <c r="BA695" s="49"/>
      <c r="BC695" s="115"/>
      <c r="BD695" s="115"/>
      <c r="BE695" s="115"/>
      <c r="BF695" s="115"/>
      <c r="BG695" s="115"/>
      <c r="BH695" s="124"/>
      <c r="BI695" s="124"/>
      <c r="BJ695" s="124"/>
      <c r="BK695" s="124"/>
      <c r="BL695" s="124"/>
      <c r="BM695" s="124"/>
      <c r="BN695" s="124"/>
      <c r="BO695" s="124"/>
      <c r="BP695" s="124"/>
      <c r="BQ695" s="124"/>
      <c r="BR695" s="124"/>
      <c r="BS695" s="124"/>
      <c r="BT695" s="124"/>
      <c r="BU695" s="124"/>
      <c r="BV695" s="124"/>
      <c r="BW695" s="124"/>
      <c r="BX695" s="124"/>
      <c r="BY695" s="124"/>
      <c r="BZ695" s="124"/>
      <c r="CA695" s="124"/>
      <c r="CB695" s="124"/>
      <c r="CC695" s="124"/>
      <c r="CD695" s="124"/>
      <c r="CE695" s="124"/>
      <c r="CF695" s="124"/>
      <c r="CG695" s="124"/>
      <c r="CH695" s="124"/>
      <c r="CI695" s="124"/>
      <c r="CJ695" s="124"/>
      <c r="CK695" s="124"/>
      <c r="CL695" s="124"/>
      <c r="CM695" s="124"/>
      <c r="CN695" s="124"/>
      <c r="CO695" s="124"/>
      <c r="CP695" s="124"/>
      <c r="CQ695" s="124"/>
      <c r="CR695" s="124"/>
      <c r="CS695" s="124"/>
      <c r="CT695" s="124"/>
      <c r="CU695" s="124"/>
      <c r="CV695" s="124"/>
      <c r="CW695" s="124"/>
      <c r="CX695" s="124"/>
      <c r="CY695" s="124"/>
      <c r="CZ695" s="124"/>
      <c r="DA695" s="124"/>
      <c r="DB695" s="124"/>
      <c r="DC695" s="124"/>
      <c r="DD695" s="124"/>
      <c r="DE695" s="124"/>
      <c r="DF695" s="124"/>
      <c r="DG695" s="115"/>
    </row>
    <row r="696" spans="2:111" customFormat="1" ht="9" customHeight="1">
      <c r="B696" s="493" t="str">
        <f>IF(B676="","","Justificativa:")</f>
        <v/>
      </c>
      <c r="C696" s="493"/>
      <c r="D696" s="493"/>
      <c r="E696" s="493"/>
      <c r="F696" s="493"/>
      <c r="G696" s="493"/>
      <c r="H696" s="493"/>
      <c r="I696" s="493"/>
      <c r="J696" s="493"/>
      <c r="K696" s="493"/>
      <c r="L696" s="493"/>
      <c r="M696" s="493"/>
      <c r="N696" s="493"/>
      <c r="O696" s="421"/>
      <c r="P696" s="421"/>
      <c r="Q696" s="421"/>
      <c r="R696" s="421"/>
      <c r="S696" s="421"/>
      <c r="T696" s="421"/>
      <c r="U696" s="421"/>
      <c r="V696" s="421"/>
      <c r="W696" s="421"/>
      <c r="X696" s="421"/>
      <c r="Y696" s="421"/>
      <c r="Z696" s="421"/>
      <c r="AA696" s="421"/>
      <c r="AB696" s="421"/>
      <c r="AC696" s="421"/>
      <c r="AD696" s="421"/>
      <c r="AE696" s="421"/>
      <c r="AF696" s="421"/>
      <c r="AG696" s="421"/>
      <c r="AH696" s="421"/>
      <c r="AI696" s="421"/>
      <c r="AJ696" s="421"/>
      <c r="AK696" s="421"/>
      <c r="AL696" s="421"/>
      <c r="AM696" s="421"/>
      <c r="AN696" s="421"/>
      <c r="AO696" s="421"/>
      <c r="AP696" s="421"/>
      <c r="AQ696" s="421"/>
      <c r="AR696" s="421"/>
      <c r="AS696" s="421"/>
      <c r="AT696" s="421"/>
      <c r="AU696" s="421"/>
      <c r="AV696" s="421"/>
      <c r="AW696" s="421"/>
      <c r="AX696" s="421"/>
      <c r="AY696" s="421"/>
      <c r="AZ696" s="421"/>
      <c r="BA696" s="421"/>
      <c r="BC696" s="115"/>
      <c r="BD696" s="115"/>
      <c r="BE696" s="115"/>
      <c r="BF696" s="115"/>
      <c r="BG696" s="115"/>
      <c r="BH696" s="124"/>
      <c r="BI696" s="124"/>
      <c r="BJ696" s="124"/>
      <c r="BK696" s="124"/>
      <c r="BL696" s="124"/>
      <c r="BM696" s="124"/>
      <c r="BN696" s="124"/>
      <c r="BO696" s="124"/>
      <c r="BP696" s="124"/>
      <c r="BQ696" s="124"/>
      <c r="BR696" s="124"/>
      <c r="BS696" s="124"/>
      <c r="BT696" s="124"/>
      <c r="BU696" s="124"/>
      <c r="BV696" s="124"/>
      <c r="BW696" s="124"/>
      <c r="BX696" s="124"/>
      <c r="BY696" s="124"/>
      <c r="BZ696" s="124"/>
      <c r="CA696" s="124"/>
      <c r="CB696" s="124"/>
      <c r="CC696" s="124"/>
      <c r="CD696" s="124"/>
      <c r="CE696" s="124"/>
      <c r="CF696" s="124"/>
      <c r="CG696" s="124"/>
      <c r="CH696" s="124"/>
      <c r="CI696" s="124"/>
      <c r="CJ696" s="124"/>
      <c r="CK696" s="124"/>
      <c r="CL696" s="124"/>
      <c r="CM696" s="124"/>
      <c r="CN696" s="124"/>
      <c r="CO696" s="124"/>
      <c r="CP696" s="124"/>
      <c r="CQ696" s="124"/>
      <c r="CR696" s="124"/>
      <c r="CS696" s="124"/>
      <c r="CT696" s="124"/>
      <c r="CU696" s="124"/>
      <c r="CV696" s="124"/>
      <c r="CW696" s="124"/>
      <c r="CX696" s="124"/>
      <c r="CY696" s="124"/>
      <c r="CZ696" s="124"/>
      <c r="DA696" s="124"/>
      <c r="DB696" s="124"/>
      <c r="DC696" s="124"/>
      <c r="DD696" s="124"/>
      <c r="DE696" s="124"/>
      <c r="DF696" s="124"/>
      <c r="DG696" s="115"/>
    </row>
    <row r="697" spans="2:111" customFormat="1" ht="9" customHeight="1">
      <c r="B697" s="493"/>
      <c r="C697" s="493"/>
      <c r="D697" s="493"/>
      <c r="E697" s="493"/>
      <c r="F697" s="493"/>
      <c r="G697" s="493"/>
      <c r="H697" s="493"/>
      <c r="I697" s="493"/>
      <c r="J697" s="493"/>
      <c r="K697" s="493"/>
      <c r="L697" s="493"/>
      <c r="M697" s="493"/>
      <c r="N697" s="493"/>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1"/>
      <c r="AY697" s="421"/>
      <c r="AZ697" s="421"/>
      <c r="BA697" s="421"/>
      <c r="BC697" s="115"/>
      <c r="BD697" s="115"/>
      <c r="BE697" s="115"/>
      <c r="BF697" s="115"/>
      <c r="BG697" s="115"/>
      <c r="BH697" s="124"/>
      <c r="BI697" s="124"/>
      <c r="BJ697" s="124"/>
      <c r="BK697" s="124"/>
      <c r="BL697" s="124"/>
      <c r="BM697" s="124"/>
      <c r="BN697" s="124"/>
      <c r="BO697" s="124"/>
      <c r="BP697" s="124"/>
      <c r="BQ697" s="124"/>
      <c r="BR697" s="124"/>
      <c r="BS697" s="124"/>
      <c r="BT697" s="124"/>
      <c r="BU697" s="124"/>
      <c r="BV697" s="124"/>
      <c r="BW697" s="124"/>
      <c r="BX697" s="124"/>
      <c r="BY697" s="124"/>
      <c r="BZ697" s="124"/>
      <c r="CA697" s="124"/>
      <c r="CB697" s="124"/>
      <c r="CC697" s="124"/>
      <c r="CD697" s="124"/>
      <c r="CE697" s="124"/>
      <c r="CF697" s="124"/>
      <c r="CG697" s="124"/>
      <c r="CH697" s="124"/>
      <c r="CI697" s="124"/>
      <c r="CJ697" s="124"/>
      <c r="CK697" s="124"/>
      <c r="CL697" s="124"/>
      <c r="CM697" s="124"/>
      <c r="CN697" s="124"/>
      <c r="CO697" s="124"/>
      <c r="CP697" s="124"/>
      <c r="CQ697" s="124"/>
      <c r="CR697" s="124"/>
      <c r="CS697" s="124"/>
      <c r="CT697" s="124"/>
      <c r="CU697" s="124"/>
      <c r="CV697" s="124"/>
      <c r="CW697" s="124"/>
      <c r="CX697" s="124"/>
      <c r="CY697" s="124"/>
      <c r="CZ697" s="124"/>
      <c r="DA697" s="124"/>
      <c r="DB697" s="124"/>
      <c r="DC697" s="124"/>
      <c r="DD697" s="124"/>
      <c r="DE697" s="124"/>
      <c r="DF697" s="124"/>
      <c r="DG697" s="115"/>
    </row>
    <row r="698" spans="2:111" customFormat="1" ht="9" customHeight="1">
      <c r="B698" s="143"/>
      <c r="C698" s="143"/>
      <c r="D698" s="143"/>
      <c r="E698" s="143"/>
      <c r="F698" s="143"/>
      <c r="G698" s="143"/>
      <c r="H698" s="143"/>
      <c r="I698" s="143"/>
      <c r="J698" s="143"/>
      <c r="K698" s="143"/>
      <c r="L698" s="143"/>
      <c r="M698" s="143"/>
      <c r="N698" s="143"/>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21"/>
      <c r="AY698" s="421"/>
      <c r="AZ698" s="421"/>
      <c r="BA698" s="421"/>
      <c r="BC698" s="115"/>
      <c r="BD698" s="115"/>
      <c r="BE698" s="115"/>
      <c r="BF698" s="115"/>
      <c r="BG698" s="115"/>
      <c r="BH698" s="124"/>
      <c r="BI698" s="124"/>
      <c r="BJ698" s="124"/>
      <c r="BK698" s="124"/>
      <c r="BL698" s="124"/>
      <c r="BM698" s="124"/>
      <c r="BN698" s="124"/>
      <c r="BO698" s="124"/>
      <c r="BP698" s="124"/>
      <c r="BQ698" s="124"/>
      <c r="BR698" s="124"/>
      <c r="BS698" s="124"/>
      <c r="BT698" s="124"/>
      <c r="BU698" s="124"/>
      <c r="BV698" s="124"/>
      <c r="BW698" s="124"/>
      <c r="BX698" s="124"/>
      <c r="BY698" s="124"/>
      <c r="BZ698" s="124"/>
      <c r="CA698" s="124"/>
      <c r="CB698" s="124"/>
      <c r="CC698" s="124"/>
      <c r="CD698" s="124"/>
      <c r="CE698" s="124"/>
      <c r="CF698" s="124"/>
      <c r="CG698" s="124"/>
      <c r="CH698" s="124"/>
      <c r="CI698" s="124"/>
      <c r="CJ698" s="124"/>
      <c r="CK698" s="124"/>
      <c r="CL698" s="124"/>
      <c r="CM698" s="124"/>
      <c r="CN698" s="124"/>
      <c r="CO698" s="124"/>
      <c r="CP698" s="124"/>
      <c r="CQ698" s="124"/>
      <c r="CR698" s="124"/>
      <c r="CS698" s="124"/>
      <c r="CT698" s="124"/>
      <c r="CU698" s="124"/>
      <c r="CV698" s="124"/>
      <c r="CW698" s="124"/>
      <c r="CX698" s="124"/>
      <c r="CY698" s="124"/>
      <c r="CZ698" s="124"/>
      <c r="DA698" s="124"/>
      <c r="DB698" s="124"/>
      <c r="DC698" s="124"/>
      <c r="DD698" s="124"/>
      <c r="DE698" s="124"/>
      <c r="DF698" s="124"/>
      <c r="DG698" s="115"/>
    </row>
    <row r="699" spans="2:111" customFormat="1" ht="9" customHeight="1">
      <c r="B699" s="143"/>
      <c r="C699" s="143"/>
      <c r="D699" s="143"/>
      <c r="E699" s="143"/>
      <c r="F699" s="143"/>
      <c r="G699" s="143"/>
      <c r="H699" s="143"/>
      <c r="I699" s="143"/>
      <c r="J699" s="143"/>
      <c r="K699" s="143"/>
      <c r="L699" s="143"/>
      <c r="M699" s="143"/>
      <c r="N699" s="143"/>
      <c r="O699" s="421"/>
      <c r="P699" s="421"/>
      <c r="Q699" s="421"/>
      <c r="R699" s="421"/>
      <c r="S699" s="421"/>
      <c r="T699" s="421"/>
      <c r="U699" s="421"/>
      <c r="V699" s="421"/>
      <c r="W699" s="421"/>
      <c r="X699" s="421"/>
      <c r="Y699" s="421"/>
      <c r="Z699" s="421"/>
      <c r="AA699" s="421"/>
      <c r="AB699" s="421"/>
      <c r="AC699" s="421"/>
      <c r="AD699" s="421"/>
      <c r="AE699" s="421"/>
      <c r="AF699" s="421"/>
      <c r="AG699" s="421"/>
      <c r="AH699" s="421"/>
      <c r="AI699" s="421"/>
      <c r="AJ699" s="421"/>
      <c r="AK699" s="421"/>
      <c r="AL699" s="421"/>
      <c r="AM699" s="421"/>
      <c r="AN699" s="421"/>
      <c r="AO699" s="421"/>
      <c r="AP699" s="421"/>
      <c r="AQ699" s="421"/>
      <c r="AR699" s="421"/>
      <c r="AS699" s="421"/>
      <c r="AT699" s="421"/>
      <c r="AU699" s="421"/>
      <c r="AV699" s="421"/>
      <c r="AW699" s="421"/>
      <c r="AX699" s="421"/>
      <c r="AY699" s="421"/>
      <c r="AZ699" s="421"/>
      <c r="BA699" s="421"/>
      <c r="BC699" s="115"/>
      <c r="BD699" s="115"/>
      <c r="BE699" s="115"/>
      <c r="BF699" s="115"/>
      <c r="BG699" s="115"/>
      <c r="BH699" s="84"/>
      <c r="BI699" s="84"/>
      <c r="BJ699" s="84"/>
      <c r="BK699" s="84"/>
      <c r="BL699" s="84"/>
      <c r="BM699" s="84"/>
      <c r="BN699" s="84"/>
      <c r="BO699" s="84"/>
      <c r="BP699" s="84"/>
      <c r="BQ699" s="84"/>
      <c r="BR699" s="84"/>
      <c r="BS699" s="84"/>
      <c r="BT699" s="84"/>
      <c r="BU699" s="84"/>
      <c r="BV699" s="84"/>
      <c r="BW699" s="84"/>
      <c r="BX699" s="84"/>
      <c r="BY699" s="84"/>
      <c r="BZ699" s="84"/>
      <c r="CA699" s="84"/>
      <c r="CB699" s="84"/>
      <c r="CC699" s="84"/>
      <c r="CD699" s="84"/>
      <c r="CE699" s="84"/>
      <c r="CF699" s="84"/>
      <c r="CG699" s="84"/>
      <c r="CH699" s="84"/>
      <c r="CI699" s="84"/>
      <c r="CJ699" s="84"/>
      <c r="CK699" s="84"/>
      <c r="CL699" s="84"/>
      <c r="CM699" s="84"/>
      <c r="CN699" s="84"/>
      <c r="CO699" s="84"/>
      <c r="CP699" s="84"/>
      <c r="CQ699" s="84"/>
      <c r="CR699" s="84"/>
      <c r="CS699" s="84"/>
      <c r="CT699" s="84"/>
      <c r="CU699" s="84"/>
      <c r="CV699" s="84"/>
      <c r="CW699" s="84"/>
      <c r="CX699" s="84"/>
      <c r="CY699" s="84"/>
      <c r="CZ699" s="84"/>
      <c r="DA699" s="84"/>
      <c r="DB699" s="84"/>
      <c r="DC699" s="84"/>
      <c r="DD699" s="84"/>
      <c r="DE699" s="84"/>
      <c r="DF699" s="84"/>
      <c r="DG699" s="115"/>
    </row>
    <row r="700" spans="2:111" customFormat="1" ht="9" customHeight="1">
      <c r="B700" s="143"/>
      <c r="C700" s="143"/>
      <c r="D700" s="143"/>
      <c r="E700" s="143"/>
      <c r="F700" s="143"/>
      <c r="G700" s="143"/>
      <c r="H700" s="143"/>
      <c r="I700" s="143"/>
      <c r="J700" s="143"/>
      <c r="K700" s="143"/>
      <c r="L700" s="143"/>
      <c r="M700" s="143"/>
      <c r="N700" s="143"/>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1"/>
      <c r="AY700" s="421"/>
      <c r="AZ700" s="421"/>
      <c r="BA700" s="421"/>
      <c r="BC700" s="115"/>
      <c r="BD700" s="115"/>
      <c r="BE700" s="115"/>
      <c r="BF700" s="115"/>
      <c r="BG700" s="115"/>
      <c r="BH700" s="84"/>
      <c r="BI700" s="84"/>
      <c r="BJ700" s="84"/>
      <c r="BK700" s="84"/>
      <c r="BL700" s="84"/>
      <c r="BM700" s="84"/>
      <c r="BN700" s="84"/>
      <c r="BO700" s="84"/>
      <c r="BP700" s="84"/>
      <c r="BQ700" s="84"/>
      <c r="BR700" s="84"/>
      <c r="BS700" s="84"/>
      <c r="BT700" s="84"/>
      <c r="BU700" s="84"/>
      <c r="BV700" s="84"/>
      <c r="BW700" s="84"/>
      <c r="BX700" s="84"/>
      <c r="BY700" s="84"/>
      <c r="BZ700" s="84"/>
      <c r="CA700" s="84"/>
      <c r="CB700" s="84"/>
      <c r="CC700" s="84"/>
      <c r="CD700" s="84"/>
      <c r="CE700" s="84"/>
      <c r="CF700" s="84"/>
      <c r="CG700" s="84"/>
      <c r="CH700" s="84"/>
      <c r="CI700" s="84"/>
      <c r="CJ700" s="84"/>
      <c r="CK700" s="84"/>
      <c r="CL700" s="84"/>
      <c r="CM700" s="84"/>
      <c r="CN700" s="84"/>
      <c r="CO700" s="84"/>
      <c r="CP700" s="84"/>
      <c r="CQ700" s="84"/>
      <c r="CR700" s="84"/>
      <c r="CS700" s="84"/>
      <c r="CT700" s="84"/>
      <c r="CU700" s="84"/>
      <c r="CV700" s="84"/>
      <c r="CW700" s="84"/>
      <c r="CX700" s="84"/>
      <c r="CY700" s="84"/>
      <c r="CZ700" s="84"/>
      <c r="DA700" s="84"/>
      <c r="DB700" s="84"/>
      <c r="DC700" s="84"/>
      <c r="DD700" s="84"/>
      <c r="DE700" s="84"/>
      <c r="DF700" s="84"/>
      <c r="DG700" s="115"/>
    </row>
    <row r="701" spans="2:111" customFormat="1" ht="9" customHeight="1">
      <c r="B701" s="49"/>
      <c r="C701" s="49"/>
      <c r="D701" s="49"/>
      <c r="E701" s="49"/>
      <c r="F701" s="49"/>
      <c r="G701" s="49"/>
      <c r="H701" s="49"/>
      <c r="I701" s="49"/>
      <c r="J701" s="49"/>
      <c r="K701" s="49"/>
      <c r="L701" s="49"/>
      <c r="M701" s="49"/>
      <c r="N701" s="49"/>
      <c r="O701" s="421"/>
      <c r="P701" s="421"/>
      <c r="Q701" s="421"/>
      <c r="R701" s="421"/>
      <c r="S701" s="421"/>
      <c r="T701" s="421"/>
      <c r="U701" s="421"/>
      <c r="V701" s="421"/>
      <c r="W701" s="421"/>
      <c r="X701" s="421"/>
      <c r="Y701" s="421"/>
      <c r="Z701" s="421"/>
      <c r="AA701" s="421"/>
      <c r="AB701" s="421"/>
      <c r="AC701" s="421"/>
      <c r="AD701" s="421"/>
      <c r="AE701" s="421"/>
      <c r="AF701" s="421"/>
      <c r="AG701" s="421"/>
      <c r="AH701" s="421"/>
      <c r="AI701" s="421"/>
      <c r="AJ701" s="421"/>
      <c r="AK701" s="421"/>
      <c r="AL701" s="421"/>
      <c r="AM701" s="421"/>
      <c r="AN701" s="421"/>
      <c r="AO701" s="421"/>
      <c r="AP701" s="421"/>
      <c r="AQ701" s="421"/>
      <c r="AR701" s="421"/>
      <c r="AS701" s="421"/>
      <c r="AT701" s="421"/>
      <c r="AU701" s="421"/>
      <c r="AV701" s="421"/>
      <c r="AW701" s="421"/>
      <c r="AX701" s="421"/>
      <c r="AY701" s="421"/>
      <c r="AZ701" s="421"/>
      <c r="BA701" s="421"/>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row>
    <row r="702" spans="2:111" customFormat="1" ht="4.5" customHeight="1">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49"/>
      <c r="AY702" s="49"/>
      <c r="AZ702" s="49"/>
      <c r="BA702" s="49"/>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row>
    <row r="703" spans="2:111" customFormat="1" ht="9" customHeight="1">
      <c r="B703" s="493" t="str">
        <f>IF(B676="","","Metas Vinculadas:")</f>
        <v/>
      </c>
      <c r="C703" s="493"/>
      <c r="D703" s="493"/>
      <c r="E703" s="493"/>
      <c r="F703" s="493"/>
      <c r="G703" s="493"/>
      <c r="H703" s="493"/>
      <c r="I703" s="493"/>
      <c r="J703" s="493"/>
      <c r="K703" s="493"/>
      <c r="L703" s="493"/>
      <c r="M703" s="493"/>
      <c r="N703" s="493"/>
      <c r="O703" s="421"/>
      <c r="P703" s="421"/>
      <c r="Q703" s="421"/>
      <c r="R703" s="421"/>
      <c r="S703" s="421"/>
      <c r="T703" s="421"/>
      <c r="U703" s="421"/>
      <c r="V703" s="421"/>
      <c r="W703" s="421"/>
      <c r="X703" s="421"/>
      <c r="Y703" s="421"/>
      <c r="Z703" s="421"/>
      <c r="AA703" s="421"/>
      <c r="AB703" s="421"/>
      <c r="AC703" s="421"/>
      <c r="AD703" s="421"/>
      <c r="AE703" s="421"/>
      <c r="AF703" s="421"/>
      <c r="AG703" s="421"/>
      <c r="AH703" s="421"/>
      <c r="AI703" s="421"/>
      <c r="AJ703" s="421"/>
      <c r="AK703" s="421"/>
      <c r="AL703" s="421"/>
      <c r="AM703" s="421"/>
      <c r="AN703" s="421"/>
      <c r="AO703" s="421"/>
      <c r="AP703" s="421"/>
      <c r="AQ703" s="421"/>
      <c r="AR703" s="421"/>
      <c r="AS703" s="421"/>
      <c r="AT703" s="421"/>
      <c r="AU703" s="421"/>
      <c r="AV703" s="421"/>
      <c r="AW703" s="421"/>
      <c r="AX703" s="421"/>
      <c r="AY703" s="421"/>
      <c r="AZ703" s="421"/>
      <c r="BA703" s="421"/>
      <c r="BC703" s="115"/>
      <c r="BD703" s="115"/>
      <c r="BE703" s="115"/>
      <c r="BF703" s="115"/>
      <c r="BG703" s="115"/>
      <c r="BH703" s="124"/>
      <c r="BI703" s="124"/>
      <c r="BJ703" s="124"/>
      <c r="BK703" s="124"/>
      <c r="BL703" s="124"/>
      <c r="BM703" s="124"/>
      <c r="BN703" s="124"/>
      <c r="BO703" s="124"/>
      <c r="BP703" s="124"/>
      <c r="BQ703" s="124"/>
      <c r="BR703" s="124"/>
      <c r="BS703" s="124"/>
      <c r="BT703" s="124"/>
      <c r="BU703" s="124"/>
      <c r="BV703" s="124"/>
      <c r="BW703" s="124"/>
      <c r="BX703" s="124"/>
      <c r="BY703" s="124"/>
      <c r="BZ703" s="124"/>
      <c r="CA703" s="124"/>
      <c r="CB703" s="124"/>
      <c r="CC703" s="124"/>
      <c r="CD703" s="124"/>
      <c r="CE703" s="124"/>
      <c r="CF703" s="124"/>
      <c r="CG703" s="124"/>
      <c r="CH703" s="124"/>
      <c r="CI703" s="124"/>
      <c r="CJ703" s="124"/>
      <c r="CK703" s="124"/>
      <c r="CL703" s="124"/>
      <c r="CM703" s="124"/>
      <c r="CN703" s="124"/>
      <c r="CO703" s="124"/>
      <c r="CP703" s="124"/>
      <c r="CQ703" s="124"/>
      <c r="CR703" s="124"/>
      <c r="CS703" s="124"/>
      <c r="CT703" s="124"/>
      <c r="CU703" s="124"/>
      <c r="CV703" s="124"/>
      <c r="CW703" s="124"/>
      <c r="CX703" s="124"/>
      <c r="CY703" s="124"/>
      <c r="CZ703" s="124"/>
      <c r="DA703" s="124"/>
      <c r="DB703" s="124"/>
      <c r="DC703" s="124"/>
      <c r="DD703" s="124"/>
      <c r="DE703" s="124"/>
      <c r="DF703" s="124"/>
      <c r="DG703" s="115"/>
    </row>
    <row r="704" spans="2:111" customFormat="1" ht="9" customHeight="1">
      <c r="B704" s="493"/>
      <c r="C704" s="493"/>
      <c r="D704" s="493"/>
      <c r="E704" s="493"/>
      <c r="F704" s="493"/>
      <c r="G704" s="493"/>
      <c r="H704" s="493"/>
      <c r="I704" s="493"/>
      <c r="J704" s="493"/>
      <c r="K704" s="493"/>
      <c r="L704" s="493"/>
      <c r="M704" s="493"/>
      <c r="N704" s="493"/>
      <c r="O704" s="421"/>
      <c r="P704" s="421"/>
      <c r="Q704" s="421"/>
      <c r="R704" s="421"/>
      <c r="S704" s="421"/>
      <c r="T704" s="421"/>
      <c r="U704" s="421"/>
      <c r="V704" s="421"/>
      <c r="W704" s="421"/>
      <c r="X704" s="421"/>
      <c r="Y704" s="421"/>
      <c r="Z704" s="421"/>
      <c r="AA704" s="421"/>
      <c r="AB704" s="421"/>
      <c r="AC704" s="421"/>
      <c r="AD704" s="421"/>
      <c r="AE704" s="421"/>
      <c r="AF704" s="421"/>
      <c r="AG704" s="421"/>
      <c r="AH704" s="421"/>
      <c r="AI704" s="421"/>
      <c r="AJ704" s="421"/>
      <c r="AK704" s="421"/>
      <c r="AL704" s="421"/>
      <c r="AM704" s="421"/>
      <c r="AN704" s="421"/>
      <c r="AO704" s="421"/>
      <c r="AP704" s="421"/>
      <c r="AQ704" s="421"/>
      <c r="AR704" s="421"/>
      <c r="AS704" s="421"/>
      <c r="AT704" s="421"/>
      <c r="AU704" s="421"/>
      <c r="AV704" s="421"/>
      <c r="AW704" s="421"/>
      <c r="AX704" s="421"/>
      <c r="AY704" s="421"/>
      <c r="AZ704" s="421"/>
      <c r="BA704" s="421"/>
      <c r="BC704" s="115"/>
      <c r="BD704" s="115"/>
      <c r="BE704" s="115"/>
      <c r="BF704" s="115"/>
      <c r="BG704" s="115"/>
      <c r="BH704" s="84"/>
      <c r="BI704" s="84"/>
      <c r="BJ704" s="84"/>
      <c r="BK704" s="84"/>
      <c r="BL704" s="84"/>
      <c r="BM704" s="84"/>
      <c r="BN704" s="84"/>
      <c r="BO704" s="84"/>
      <c r="BP704" s="84"/>
      <c r="BQ704" s="84"/>
      <c r="BR704" s="84"/>
      <c r="BS704" s="84"/>
      <c r="BT704" s="84"/>
      <c r="BU704" s="84"/>
      <c r="BV704" s="84"/>
      <c r="BW704" s="84"/>
      <c r="BX704" s="84"/>
      <c r="BY704" s="84"/>
      <c r="BZ704" s="84"/>
      <c r="CA704" s="84"/>
      <c r="CB704" s="84"/>
      <c r="CC704" s="84"/>
      <c r="CD704" s="84"/>
      <c r="CE704" s="84"/>
      <c r="CF704" s="84"/>
      <c r="CG704" s="84"/>
      <c r="CH704" s="84"/>
      <c r="CI704" s="84"/>
      <c r="CJ704" s="84"/>
      <c r="CK704" s="84"/>
      <c r="CL704" s="84"/>
      <c r="CM704" s="84"/>
      <c r="CN704" s="84"/>
      <c r="CO704" s="84"/>
      <c r="CP704" s="84"/>
      <c r="CQ704" s="84"/>
      <c r="CR704" s="84"/>
      <c r="CS704" s="84"/>
      <c r="CT704" s="84"/>
      <c r="CU704" s="84"/>
      <c r="CV704" s="84"/>
      <c r="CW704" s="84"/>
      <c r="CX704" s="84"/>
      <c r="CY704" s="84"/>
      <c r="CZ704" s="84"/>
      <c r="DA704" s="84"/>
      <c r="DB704" s="84"/>
      <c r="DC704" s="84"/>
      <c r="DD704" s="84"/>
      <c r="DE704" s="84"/>
      <c r="DF704" s="84"/>
      <c r="DG704" s="115"/>
    </row>
    <row r="705" spans="2:111" customFormat="1" ht="4.5" customHeight="1">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49"/>
      <c r="AY705" s="49"/>
      <c r="AZ705" s="49"/>
      <c r="BA705" s="49"/>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row>
    <row r="706" spans="2:111" customFormat="1" ht="9" customHeight="1">
      <c r="B706" s="125"/>
      <c r="C706" s="125"/>
      <c r="D706" s="125"/>
      <c r="E706" s="125"/>
      <c r="F706" s="125"/>
      <c r="G706" s="125"/>
      <c r="H706" s="125"/>
      <c r="I706" s="125"/>
      <c r="J706" s="125"/>
      <c r="K706" s="125"/>
      <c r="L706" s="125"/>
      <c r="M706" s="125"/>
      <c r="N706" s="125"/>
      <c r="O706" s="496" t="str">
        <f>IF(B676="","","Quantidade:")</f>
        <v/>
      </c>
      <c r="P706" s="496"/>
      <c r="Q706" s="496"/>
      <c r="R706" s="496"/>
      <c r="S706" s="496"/>
      <c r="T706" s="496"/>
      <c r="U706" s="496"/>
      <c r="V706" s="417"/>
      <c r="W706" s="417"/>
      <c r="X706" s="417"/>
      <c r="Y706" s="417"/>
      <c r="Z706" s="417"/>
      <c r="AA706" s="417"/>
      <c r="AB706" s="417"/>
      <c r="AC706" s="417"/>
      <c r="AD706" s="417"/>
      <c r="AE706" s="417"/>
      <c r="AF706" s="125"/>
      <c r="AG706" s="497" t="str">
        <f>IF(B676="","","Unidade:")</f>
        <v/>
      </c>
      <c r="AH706" s="497"/>
      <c r="AI706" s="497"/>
      <c r="AJ706" s="497"/>
      <c r="AK706" s="497"/>
      <c r="AL706" s="497"/>
      <c r="AM706" s="497"/>
      <c r="AN706" s="125"/>
      <c r="AO706" s="417"/>
      <c r="AP706" s="417"/>
      <c r="AQ706" s="417"/>
      <c r="AR706" s="417"/>
      <c r="AS706" s="417"/>
      <c r="AT706" s="417"/>
      <c r="AU706" s="417"/>
      <c r="AV706" s="417"/>
      <c r="AW706" s="417"/>
      <c r="AX706" s="417"/>
      <c r="AY706" s="417"/>
      <c r="AZ706" s="417"/>
      <c r="BA706" s="417"/>
      <c r="BC706" s="115"/>
      <c r="BD706" s="115"/>
      <c r="BE706" s="115"/>
      <c r="BF706" s="115"/>
      <c r="BG706" s="115"/>
      <c r="BH706" s="124"/>
      <c r="BI706" s="124"/>
      <c r="BJ706" s="124"/>
      <c r="BK706" s="124"/>
      <c r="BL706" s="124"/>
      <c r="BM706" s="124"/>
      <c r="BN706" s="124"/>
      <c r="BO706" s="124"/>
      <c r="BP706" s="124"/>
      <c r="BQ706" s="124"/>
      <c r="BR706" s="124"/>
      <c r="BS706" s="124"/>
      <c r="BT706" s="124"/>
      <c r="BU706" s="124"/>
      <c r="BV706" s="124"/>
      <c r="BW706" s="124"/>
      <c r="BX706" s="124"/>
      <c r="BY706" s="124"/>
      <c r="BZ706" s="124"/>
      <c r="CA706" s="124"/>
      <c r="CB706" s="124"/>
      <c r="CC706" s="124"/>
      <c r="CD706" s="124"/>
      <c r="CE706" s="124"/>
      <c r="CF706" s="124"/>
      <c r="CG706" s="124"/>
      <c r="CH706" s="124"/>
      <c r="CI706" s="124"/>
      <c r="CJ706" s="124"/>
      <c r="CK706" s="124"/>
      <c r="CL706" s="124"/>
      <c r="CM706" s="124"/>
      <c r="CN706" s="124"/>
      <c r="CO706" s="124"/>
      <c r="CP706" s="124"/>
      <c r="CQ706" s="124"/>
      <c r="CR706" s="124"/>
      <c r="CS706" s="124"/>
      <c r="CT706" s="124"/>
      <c r="CU706" s="124"/>
      <c r="CV706" s="124"/>
      <c r="CW706" s="124"/>
      <c r="CX706" s="124"/>
      <c r="CY706" s="124"/>
      <c r="CZ706" s="124"/>
      <c r="DA706" s="124"/>
      <c r="DB706" s="124"/>
      <c r="DC706" s="124"/>
      <c r="DD706" s="124"/>
      <c r="DE706" s="124"/>
      <c r="DF706" s="124"/>
      <c r="DG706" s="115"/>
    </row>
    <row r="707" spans="2:111" customFormat="1" ht="9" customHeight="1">
      <c r="B707" s="125"/>
      <c r="C707" s="125"/>
      <c r="D707" s="125"/>
      <c r="E707" s="125"/>
      <c r="F707" s="125"/>
      <c r="G707" s="125"/>
      <c r="H707" s="125"/>
      <c r="I707" s="125"/>
      <c r="J707" s="125"/>
      <c r="K707" s="125"/>
      <c r="L707" s="125"/>
      <c r="M707" s="125"/>
      <c r="N707" s="125"/>
      <c r="O707" s="496"/>
      <c r="P707" s="496"/>
      <c r="Q707" s="496"/>
      <c r="R707" s="496"/>
      <c r="S707" s="496"/>
      <c r="T707" s="496"/>
      <c r="U707" s="496"/>
      <c r="V707" s="417"/>
      <c r="W707" s="417"/>
      <c r="X707" s="417"/>
      <c r="Y707" s="417"/>
      <c r="Z707" s="417"/>
      <c r="AA707" s="417"/>
      <c r="AB707" s="417"/>
      <c r="AC707" s="417"/>
      <c r="AD707" s="417"/>
      <c r="AE707" s="417"/>
      <c r="AF707" s="125"/>
      <c r="AG707" s="497"/>
      <c r="AH707" s="497"/>
      <c r="AI707" s="497"/>
      <c r="AJ707" s="497"/>
      <c r="AK707" s="497"/>
      <c r="AL707" s="497"/>
      <c r="AM707" s="497"/>
      <c r="AN707" s="125"/>
      <c r="AO707" s="417"/>
      <c r="AP707" s="417"/>
      <c r="AQ707" s="417"/>
      <c r="AR707" s="417"/>
      <c r="AS707" s="417"/>
      <c r="AT707" s="417"/>
      <c r="AU707" s="417"/>
      <c r="AV707" s="417"/>
      <c r="AW707" s="417"/>
      <c r="AX707" s="417"/>
      <c r="AY707" s="417"/>
      <c r="AZ707" s="417"/>
      <c r="BA707" s="417"/>
      <c r="BC707" s="115"/>
      <c r="BD707" s="115"/>
      <c r="BE707" s="115"/>
      <c r="BF707" s="115"/>
      <c r="BG707" s="115"/>
      <c r="BH707" s="124"/>
      <c r="BI707" s="124"/>
      <c r="BJ707" s="124"/>
      <c r="BK707" s="124"/>
      <c r="BL707" s="124"/>
      <c r="BM707" s="124"/>
      <c r="BN707" s="124"/>
      <c r="BO707" s="124"/>
      <c r="BP707" s="124"/>
      <c r="BQ707" s="124"/>
      <c r="BR707" s="124"/>
      <c r="BS707" s="124"/>
      <c r="BT707" s="124"/>
      <c r="BU707" s="124"/>
      <c r="BV707" s="124"/>
      <c r="BW707" s="124"/>
      <c r="BX707" s="124"/>
      <c r="BY707" s="124"/>
      <c r="BZ707" s="124"/>
      <c r="CA707" s="124"/>
      <c r="CB707" s="124"/>
      <c r="CC707" s="124"/>
      <c r="CD707" s="124"/>
      <c r="CE707" s="124"/>
      <c r="CF707" s="124"/>
      <c r="CG707" s="124"/>
      <c r="CH707" s="124"/>
      <c r="CI707" s="124"/>
      <c r="CJ707" s="124"/>
      <c r="CK707" s="124"/>
      <c r="CL707" s="124"/>
      <c r="CM707" s="124"/>
      <c r="CN707" s="124"/>
      <c r="CO707" s="124"/>
      <c r="CP707" s="124"/>
      <c r="CQ707" s="124"/>
      <c r="CR707" s="124"/>
      <c r="CS707" s="124"/>
      <c r="CT707" s="124"/>
      <c r="CU707" s="124"/>
      <c r="CV707" s="124"/>
      <c r="CW707" s="124"/>
      <c r="CX707" s="124"/>
      <c r="CY707" s="124"/>
      <c r="CZ707" s="124"/>
      <c r="DA707" s="124"/>
      <c r="DB707" s="124"/>
      <c r="DC707" s="124"/>
      <c r="DD707" s="124"/>
      <c r="DE707" s="124"/>
      <c r="DF707" s="124"/>
      <c r="DG707" s="115"/>
    </row>
    <row r="708" spans="2:111" customFormat="1" ht="9" customHeight="1">
      <c r="BC708" s="115"/>
      <c r="BD708" s="115"/>
      <c r="BE708" s="115"/>
      <c r="BF708" s="115"/>
      <c r="BG708" s="115"/>
      <c r="BH708" s="498"/>
      <c r="BI708" s="498"/>
      <c r="BJ708" s="498"/>
      <c r="BK708" s="498"/>
      <c r="BL708" s="498"/>
      <c r="BM708" s="498"/>
      <c r="BN708" s="498"/>
      <c r="BO708" s="498"/>
      <c r="BP708" s="498"/>
      <c r="BQ708" s="498"/>
      <c r="BR708" s="498"/>
      <c r="BS708" s="498"/>
      <c r="BT708" s="498"/>
      <c r="BU708" s="498"/>
      <c r="BV708" s="498"/>
      <c r="BW708" s="498"/>
      <c r="BX708" s="498"/>
      <c r="BY708" s="498"/>
      <c r="BZ708" s="498"/>
      <c r="CA708" s="498"/>
      <c r="CB708" s="498"/>
      <c r="CC708" s="498"/>
      <c r="CD708" s="498"/>
      <c r="CE708" s="498"/>
      <c r="CF708" s="498"/>
      <c r="CG708" s="498"/>
      <c r="CH708" s="498"/>
      <c r="CI708" s="498"/>
      <c r="CJ708" s="498"/>
      <c r="CK708" s="498"/>
      <c r="CL708" s="498"/>
      <c r="CM708" s="498"/>
      <c r="CN708" s="498"/>
      <c r="CO708" s="498"/>
      <c r="CP708" s="498"/>
      <c r="CQ708" s="498"/>
      <c r="CR708" s="498"/>
      <c r="CS708" s="498"/>
      <c r="CT708" s="498"/>
      <c r="CU708" s="498"/>
      <c r="CV708" s="498"/>
      <c r="CW708" s="498"/>
      <c r="CX708" s="498"/>
      <c r="CY708" s="498"/>
      <c r="CZ708" s="498"/>
      <c r="DA708" s="498"/>
      <c r="DB708" s="498"/>
      <c r="DC708" s="498"/>
      <c r="DD708" s="498"/>
      <c r="DE708" s="498"/>
      <c r="DF708" s="498"/>
      <c r="DG708" s="115"/>
    </row>
    <row r="709" spans="2:111" customFormat="1" ht="9" customHeight="1">
      <c r="B709" s="499" t="str">
        <f>IF($Z$32&gt;=17,"Nome da Empresa ou Nº da Ata","")</f>
        <v/>
      </c>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t="str">
        <f>IF($Z$32&gt;=17,"CNPJ / CPF","")</f>
        <v/>
      </c>
      <c r="Y709" s="499"/>
      <c r="Z709" s="499"/>
      <c r="AA709" s="499"/>
      <c r="AB709" s="499"/>
      <c r="AC709" s="499"/>
      <c r="AD709" s="499"/>
      <c r="AE709" s="499"/>
      <c r="AF709" s="499"/>
      <c r="AG709" s="499"/>
      <c r="AH709" s="499" t="str">
        <f>IF($Z$32&gt;=17,"Qtde","")</f>
        <v/>
      </c>
      <c r="AI709" s="499"/>
      <c r="AJ709" s="499"/>
      <c r="AK709" s="499"/>
      <c r="AL709" s="499" t="str">
        <f>IF($Z$32&gt;=17,"Valor Unitário (R$)","")</f>
        <v/>
      </c>
      <c r="AM709" s="499"/>
      <c r="AN709" s="499"/>
      <c r="AO709" s="499"/>
      <c r="AP709" s="499"/>
      <c r="AQ709" s="499"/>
      <c r="AR709" s="499"/>
      <c r="AS709" s="499"/>
      <c r="AT709" s="499" t="str">
        <f>IF($Z$32&gt;=17,"Valor Total (R$)","")</f>
        <v/>
      </c>
      <c r="AU709" s="499"/>
      <c r="AV709" s="499"/>
      <c r="AW709" s="499"/>
      <c r="AX709" s="499"/>
      <c r="AY709" s="499"/>
      <c r="AZ709" s="499"/>
      <c r="BA709" s="499"/>
      <c r="BC709" s="115"/>
      <c r="BD709" s="115"/>
      <c r="BE709" s="115"/>
      <c r="BF709" s="115"/>
      <c r="BG709" s="115"/>
      <c r="BH709" s="498"/>
      <c r="BI709" s="498"/>
      <c r="BJ709" s="498"/>
      <c r="BK709" s="498"/>
      <c r="BL709" s="498"/>
      <c r="BM709" s="498"/>
      <c r="BN709" s="498"/>
      <c r="BO709" s="498"/>
      <c r="BP709" s="498"/>
      <c r="BQ709" s="498"/>
      <c r="BR709" s="498"/>
      <c r="BS709" s="498"/>
      <c r="BT709" s="498"/>
      <c r="BU709" s="498"/>
      <c r="BV709" s="498"/>
      <c r="BW709" s="498"/>
      <c r="BX709" s="498"/>
      <c r="BY709" s="498"/>
      <c r="BZ709" s="498"/>
      <c r="CA709" s="498"/>
      <c r="CB709" s="498"/>
      <c r="CC709" s="498"/>
      <c r="CD709" s="498"/>
      <c r="CE709" s="498"/>
      <c r="CF709" s="498"/>
      <c r="CG709" s="498"/>
      <c r="CH709" s="498"/>
      <c r="CI709" s="498"/>
      <c r="CJ709" s="498"/>
      <c r="CK709" s="498"/>
      <c r="CL709" s="498"/>
      <c r="CM709" s="498"/>
      <c r="CN709" s="498"/>
      <c r="CO709" s="498"/>
      <c r="CP709" s="498"/>
      <c r="CQ709" s="498"/>
      <c r="CR709" s="498"/>
      <c r="CS709" s="498"/>
      <c r="CT709" s="498"/>
      <c r="CU709" s="498"/>
      <c r="CV709" s="498"/>
      <c r="CW709" s="498"/>
      <c r="CX709" s="498"/>
      <c r="CY709" s="498"/>
      <c r="CZ709" s="498"/>
      <c r="DA709" s="498"/>
      <c r="DB709" s="498"/>
      <c r="DC709" s="498"/>
      <c r="DD709" s="498"/>
      <c r="DE709" s="498"/>
      <c r="DF709" s="498"/>
      <c r="DG709" s="115"/>
    </row>
    <row r="710" spans="2:111" customFormat="1" ht="9" customHeight="1">
      <c r="B710" s="499"/>
      <c r="C710" s="499"/>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499"/>
      <c r="AE710" s="499"/>
      <c r="AF710" s="499"/>
      <c r="AG710" s="499"/>
      <c r="AH710" s="499"/>
      <c r="AI710" s="499"/>
      <c r="AJ710" s="499"/>
      <c r="AK710" s="499"/>
      <c r="AL710" s="499"/>
      <c r="AM710" s="499"/>
      <c r="AN710" s="499"/>
      <c r="AO710" s="499"/>
      <c r="AP710" s="499"/>
      <c r="AQ710" s="499"/>
      <c r="AR710" s="499"/>
      <c r="AS710" s="499"/>
      <c r="AT710" s="499"/>
      <c r="AU710" s="499"/>
      <c r="AV710" s="499"/>
      <c r="AW710" s="499"/>
      <c r="AX710" s="499"/>
      <c r="AY710" s="499"/>
      <c r="AZ710" s="499"/>
      <c r="BA710" s="499"/>
      <c r="BB710" s="176" t="e">
        <f>AVERAGE(AL711:AS713)</f>
        <v>#DIV/0!</v>
      </c>
      <c r="BC710" s="115"/>
      <c r="BD710" s="115"/>
      <c r="BE710" s="115"/>
      <c r="BF710" s="115"/>
      <c r="BG710" s="115"/>
      <c r="BH710" s="498"/>
      <c r="BI710" s="498"/>
      <c r="BJ710" s="498"/>
      <c r="BK710" s="498"/>
      <c r="BL710" s="498"/>
      <c r="BM710" s="498"/>
      <c r="BN710" s="498"/>
      <c r="BO710" s="498"/>
      <c r="BP710" s="498"/>
      <c r="BQ710" s="498"/>
      <c r="BR710" s="498"/>
      <c r="BS710" s="498"/>
      <c r="BT710" s="498"/>
      <c r="BU710" s="498"/>
      <c r="BV710" s="498"/>
      <c r="BW710" s="498"/>
      <c r="BX710" s="498"/>
      <c r="BY710" s="498"/>
      <c r="BZ710" s="498"/>
      <c r="CA710" s="498"/>
      <c r="CB710" s="498"/>
      <c r="CC710" s="498"/>
      <c r="CD710" s="498"/>
      <c r="CE710" s="498"/>
      <c r="CF710" s="498"/>
      <c r="CG710" s="498"/>
      <c r="CH710" s="498"/>
      <c r="CI710" s="498"/>
      <c r="CJ710" s="498"/>
      <c r="CK710" s="498"/>
      <c r="CL710" s="498"/>
      <c r="CM710" s="498"/>
      <c r="CN710" s="498"/>
      <c r="CO710" s="498"/>
      <c r="CP710" s="498"/>
      <c r="CQ710" s="498"/>
      <c r="CR710" s="498"/>
      <c r="CS710" s="498"/>
      <c r="CT710" s="498"/>
      <c r="CU710" s="498"/>
      <c r="CV710" s="498"/>
      <c r="CW710" s="498"/>
      <c r="CX710" s="498"/>
      <c r="CY710" s="498"/>
      <c r="CZ710" s="498"/>
      <c r="DA710" s="498"/>
      <c r="DB710" s="498"/>
      <c r="DC710" s="498"/>
      <c r="DD710" s="498"/>
      <c r="DE710" s="498"/>
      <c r="DF710" s="498"/>
      <c r="DG710" s="115"/>
    </row>
    <row r="711" spans="2:111" customFormat="1" ht="18" customHeight="1">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486"/>
      <c r="Y711" s="486"/>
      <c r="Z711" s="486"/>
      <c r="AA711" s="486"/>
      <c r="AB711" s="486"/>
      <c r="AC711" s="486"/>
      <c r="AD711" s="486"/>
      <c r="AE711" s="486"/>
      <c r="AF711" s="486"/>
      <c r="AG711" s="486"/>
      <c r="AH711" s="417"/>
      <c r="AI711" s="417"/>
      <c r="AJ711" s="417"/>
      <c r="AK711" s="417"/>
      <c r="AL711" s="419"/>
      <c r="AM711" s="419"/>
      <c r="AN711" s="419"/>
      <c r="AO711" s="419"/>
      <c r="AP711" s="419"/>
      <c r="AQ711" s="419"/>
      <c r="AR711" s="419"/>
      <c r="AS711" s="419"/>
      <c r="AT711" s="487" t="str">
        <f>IF($Z$32&gt;=17,(AH711*AL711),"")</f>
        <v/>
      </c>
      <c r="AU711" s="487"/>
      <c r="AV711" s="487"/>
      <c r="AW711" s="487"/>
      <c r="AX711" s="487"/>
      <c r="AY711" s="487"/>
      <c r="AZ711" s="487"/>
      <c r="BA711" s="487"/>
      <c r="BC711" s="115"/>
      <c r="BD711" s="115"/>
      <c r="BE711" s="115"/>
      <c r="BF711" s="115"/>
      <c r="BG711" s="115"/>
      <c r="BH711" s="498"/>
      <c r="BI711" s="498"/>
      <c r="BJ711" s="498"/>
      <c r="BK711" s="498"/>
      <c r="BL711" s="498"/>
      <c r="BM711" s="498"/>
      <c r="BN711" s="498"/>
      <c r="BO711" s="498"/>
      <c r="BP711" s="498"/>
      <c r="BQ711" s="498"/>
      <c r="BR711" s="498"/>
      <c r="BS711" s="498"/>
      <c r="BT711" s="498"/>
      <c r="BU711" s="498"/>
      <c r="BV711" s="498"/>
      <c r="BW711" s="498"/>
      <c r="BX711" s="498"/>
      <c r="BY711" s="498"/>
      <c r="BZ711" s="498"/>
      <c r="CA711" s="498"/>
      <c r="CB711" s="498"/>
      <c r="CC711" s="498"/>
      <c r="CD711" s="498"/>
      <c r="CE711" s="498"/>
      <c r="CF711" s="498"/>
      <c r="CG711" s="498"/>
      <c r="CH711" s="498"/>
      <c r="CI711" s="498"/>
      <c r="CJ711" s="498"/>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8"/>
      <c r="DG711" s="115"/>
    </row>
    <row r="712" spans="2:111" customFormat="1" ht="18" customHeight="1">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486"/>
      <c r="Y712" s="486"/>
      <c r="Z712" s="486"/>
      <c r="AA712" s="486"/>
      <c r="AB712" s="486"/>
      <c r="AC712" s="486"/>
      <c r="AD712" s="486"/>
      <c r="AE712" s="486"/>
      <c r="AF712" s="486"/>
      <c r="AG712" s="486"/>
      <c r="AH712" s="417"/>
      <c r="AI712" s="417"/>
      <c r="AJ712" s="417"/>
      <c r="AK712" s="417"/>
      <c r="AL712" s="419"/>
      <c r="AM712" s="419"/>
      <c r="AN712" s="419"/>
      <c r="AO712" s="419"/>
      <c r="AP712" s="419"/>
      <c r="AQ712" s="419"/>
      <c r="AR712" s="419"/>
      <c r="AS712" s="419"/>
      <c r="AT712" s="487" t="str">
        <f>IF($Z$32&gt;=17,(AH712*AL712),"")</f>
        <v/>
      </c>
      <c r="AU712" s="487"/>
      <c r="AV712" s="487"/>
      <c r="AW712" s="487"/>
      <c r="AX712" s="487"/>
      <c r="AY712" s="487"/>
      <c r="AZ712" s="487"/>
      <c r="BA712" s="487"/>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c r="BY712" s="115"/>
      <c r="BZ712" s="115"/>
      <c r="CA712" s="115"/>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5"/>
      <c r="DD712" s="115"/>
      <c r="DE712" s="115"/>
      <c r="DF712" s="115"/>
      <c r="DG712" s="115"/>
    </row>
    <row r="713" spans="2:111" customFormat="1" ht="18" customHeight="1">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486"/>
      <c r="Y713" s="486"/>
      <c r="Z713" s="486"/>
      <c r="AA713" s="486"/>
      <c r="AB713" s="486"/>
      <c r="AC713" s="486"/>
      <c r="AD713" s="486"/>
      <c r="AE713" s="486"/>
      <c r="AF713" s="486"/>
      <c r="AG713" s="486"/>
      <c r="AH713" s="417"/>
      <c r="AI713" s="417"/>
      <c r="AJ713" s="417"/>
      <c r="AK713" s="417"/>
      <c r="AL713" s="419"/>
      <c r="AM713" s="419"/>
      <c r="AN713" s="419"/>
      <c r="AO713" s="419"/>
      <c r="AP713" s="419"/>
      <c r="AQ713" s="419"/>
      <c r="AR713" s="419"/>
      <c r="AS713" s="419"/>
      <c r="AT713" s="487" t="str">
        <f>IF($Z$32&gt;=17,(AH713*AL713),"")</f>
        <v/>
      </c>
      <c r="AU713" s="487"/>
      <c r="AV713" s="487"/>
      <c r="AW713" s="487"/>
      <c r="AX713" s="487"/>
      <c r="AY713" s="487"/>
      <c r="AZ713" s="487"/>
      <c r="BA713" s="487"/>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c r="BY713" s="115"/>
      <c r="BZ713" s="115"/>
      <c r="CA713" s="115"/>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5"/>
      <c r="DD713" s="115"/>
      <c r="DE713" s="115"/>
      <c r="DF713" s="115"/>
      <c r="DG713" s="115"/>
    </row>
    <row r="714" spans="2:111" customFormat="1" ht="15" customHeight="1">
      <c r="AT714" s="500" t="str">
        <f>IF(B711="","",IF(AL712="",AT711,IF(AL713="",AVERAGE(AT711:BA712),AVERAGE(AT711:AT713))))</f>
        <v/>
      </c>
      <c r="AU714" s="500"/>
      <c r="AV714" s="500"/>
      <c r="AW714" s="500"/>
      <c r="AX714" s="500"/>
      <c r="AY714" s="500"/>
      <c r="AZ714" s="500"/>
      <c r="BA714" s="500"/>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c r="BY714" s="115"/>
      <c r="BZ714" s="115"/>
      <c r="CA714" s="115"/>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5"/>
      <c r="DD714" s="115"/>
      <c r="DE714" s="115"/>
      <c r="DF714" s="115"/>
      <c r="DG714" s="115"/>
    </row>
    <row r="715" spans="2:111" customFormat="1" ht="15" customHeight="1">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c r="BY715" s="115"/>
      <c r="BZ715" s="115"/>
      <c r="CA715" s="115"/>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5"/>
      <c r="DD715" s="115"/>
      <c r="DE715" s="115"/>
      <c r="DF715" s="115"/>
      <c r="DG715" s="115"/>
    </row>
    <row r="716" spans="2:111" customFormat="1" ht="9" customHeight="1">
      <c r="B716" s="494" t="str">
        <f>IF($Z$32&gt;=18,"Item 18","")</f>
        <v/>
      </c>
      <c r="C716" s="495"/>
      <c r="D716" s="495"/>
      <c r="E716" s="495"/>
      <c r="F716" s="495"/>
      <c r="G716" s="495"/>
      <c r="H716" s="495"/>
      <c r="I716" s="495"/>
      <c r="J716" s="495"/>
      <c r="K716" s="495"/>
      <c r="L716" s="495"/>
      <c r="M716" s="49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c r="BY716" s="115"/>
      <c r="BZ716" s="115"/>
      <c r="CA716" s="115"/>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5"/>
      <c r="DD716" s="115"/>
      <c r="DE716" s="115"/>
      <c r="DF716" s="115"/>
      <c r="DG716" s="115"/>
    </row>
    <row r="717" spans="2:111" customFormat="1" ht="9" customHeight="1">
      <c r="B717" s="495"/>
      <c r="C717" s="495"/>
      <c r="D717" s="495"/>
      <c r="E717" s="495"/>
      <c r="F717" s="495"/>
      <c r="G717" s="495"/>
      <c r="H717" s="495"/>
      <c r="I717" s="495"/>
      <c r="J717" s="495"/>
      <c r="K717" s="495"/>
      <c r="L717" s="495"/>
      <c r="M717" s="49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c r="BY717" s="115"/>
      <c r="BZ717" s="115"/>
      <c r="CA717" s="115"/>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5"/>
      <c r="DD717" s="115"/>
      <c r="DE717" s="115"/>
      <c r="DF717" s="115"/>
      <c r="DG717" s="115"/>
    </row>
    <row r="718" spans="2:111" customFormat="1" ht="4.5" customHeight="1">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c r="BY718" s="115"/>
      <c r="BZ718" s="115"/>
      <c r="CA718" s="115"/>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5"/>
      <c r="DD718" s="115"/>
      <c r="DE718" s="115"/>
      <c r="DF718" s="115"/>
      <c r="DG718" s="115"/>
    </row>
    <row r="719" spans="2:111" customFormat="1" ht="9" customHeight="1">
      <c r="B719" s="493" t="str">
        <f>IF(B716="","","Elemento de Despesa:")</f>
        <v/>
      </c>
      <c r="C719" s="493"/>
      <c r="D719" s="493"/>
      <c r="E719" s="493"/>
      <c r="F719" s="493"/>
      <c r="G719" s="493"/>
      <c r="H719" s="493"/>
      <c r="I719" s="493"/>
      <c r="J719" s="493"/>
      <c r="K719" s="493"/>
      <c r="L719" s="493"/>
      <c r="M719" s="493"/>
      <c r="N719" s="493"/>
      <c r="O719" s="241"/>
      <c r="P719" s="241"/>
      <c r="Q719" s="241"/>
      <c r="R719" s="241"/>
      <c r="S719" s="241"/>
      <c r="T719" s="241"/>
      <c r="U719" s="241"/>
      <c r="V719" s="241"/>
      <c r="W719" s="241"/>
      <c r="X719" s="241"/>
      <c r="Y719" s="241"/>
      <c r="Z719" s="241"/>
      <c r="AA719" s="241"/>
      <c r="AB719" s="241"/>
      <c r="AC719" s="241"/>
      <c r="AD719" s="241"/>
      <c r="AE719" s="241"/>
      <c r="AF719" s="241"/>
      <c r="AG719" s="241"/>
      <c r="AH719" s="241"/>
      <c r="AI719" s="241"/>
      <c r="AJ719" s="241"/>
      <c r="AK719" s="241"/>
      <c r="AL719" s="241"/>
      <c r="AM719" s="241"/>
      <c r="AN719" s="241"/>
      <c r="AO719" s="241"/>
      <c r="AP719" s="241"/>
      <c r="AQ719" s="241"/>
      <c r="AR719" s="241"/>
      <c r="AS719" s="241"/>
      <c r="AT719" s="241"/>
      <c r="AU719" s="241"/>
      <c r="AV719" s="241"/>
      <c r="AW719" s="241"/>
      <c r="AX719" s="241"/>
      <c r="AY719" s="241"/>
      <c r="AZ719" s="241"/>
      <c r="BA719" s="241"/>
      <c r="BC719" s="115"/>
      <c r="BD719" s="115"/>
      <c r="BE719" s="115"/>
      <c r="BF719" s="115"/>
      <c r="BG719" s="115"/>
      <c r="BH719" s="124"/>
      <c r="BI719" s="124"/>
      <c r="BJ719" s="124"/>
      <c r="BK719" s="124"/>
      <c r="BL719" s="124"/>
      <c r="BM719" s="124"/>
      <c r="BN719" s="124"/>
      <c r="BO719" s="124"/>
      <c r="BP719" s="124"/>
      <c r="BQ719" s="124"/>
      <c r="BR719" s="124"/>
      <c r="BS719" s="124"/>
      <c r="BT719" s="124"/>
      <c r="BU719" s="124"/>
      <c r="BV719" s="124"/>
      <c r="BW719" s="124"/>
      <c r="BX719" s="124"/>
      <c r="BY719" s="124"/>
      <c r="BZ719" s="124"/>
      <c r="CA719" s="124"/>
      <c r="CB719" s="124"/>
      <c r="CC719" s="124"/>
      <c r="CD719" s="124"/>
      <c r="CE719" s="124"/>
      <c r="CF719" s="124"/>
      <c r="CG719" s="124"/>
      <c r="CH719" s="124"/>
      <c r="CI719" s="124"/>
      <c r="CJ719" s="124"/>
      <c r="CK719" s="124"/>
      <c r="CL719" s="124"/>
      <c r="CM719" s="124"/>
      <c r="CN719" s="124"/>
      <c r="CO719" s="124"/>
      <c r="CP719" s="124"/>
      <c r="CQ719" s="124"/>
      <c r="CR719" s="124"/>
      <c r="CS719" s="124"/>
      <c r="CT719" s="124"/>
      <c r="CU719" s="124"/>
      <c r="CV719" s="124"/>
      <c r="CW719" s="124"/>
      <c r="CX719" s="124"/>
      <c r="CY719" s="124"/>
      <c r="CZ719" s="124"/>
      <c r="DA719" s="124"/>
      <c r="DB719" s="124"/>
      <c r="DC719" s="124"/>
      <c r="DD719" s="124"/>
      <c r="DE719" s="124"/>
      <c r="DF719" s="124"/>
      <c r="DG719" s="115"/>
    </row>
    <row r="720" spans="2:111" customFormat="1" ht="9" customHeight="1">
      <c r="B720" s="493"/>
      <c r="C720" s="493"/>
      <c r="D720" s="493"/>
      <c r="E720" s="493"/>
      <c r="F720" s="493"/>
      <c r="G720" s="493"/>
      <c r="H720" s="493"/>
      <c r="I720" s="493"/>
      <c r="J720" s="493"/>
      <c r="K720" s="493"/>
      <c r="L720" s="493"/>
      <c r="M720" s="493"/>
      <c r="N720" s="493"/>
      <c r="O720" s="241"/>
      <c r="P720" s="241"/>
      <c r="Q720" s="241"/>
      <c r="R720" s="241"/>
      <c r="S720" s="241"/>
      <c r="T720" s="241"/>
      <c r="U720" s="241"/>
      <c r="V720" s="241"/>
      <c r="W720" s="241"/>
      <c r="X720" s="241"/>
      <c r="Y720" s="241"/>
      <c r="Z720" s="241"/>
      <c r="AA720" s="241"/>
      <c r="AB720" s="241"/>
      <c r="AC720" s="241"/>
      <c r="AD720" s="241"/>
      <c r="AE720" s="241"/>
      <c r="AF720" s="241"/>
      <c r="AG720" s="241"/>
      <c r="AH720" s="241"/>
      <c r="AI720" s="241"/>
      <c r="AJ720" s="241"/>
      <c r="AK720" s="241"/>
      <c r="AL720" s="241"/>
      <c r="AM720" s="241"/>
      <c r="AN720" s="241"/>
      <c r="AO720" s="241"/>
      <c r="AP720" s="241"/>
      <c r="AQ720" s="241"/>
      <c r="AR720" s="241"/>
      <c r="AS720" s="241"/>
      <c r="AT720" s="241"/>
      <c r="AU720" s="241"/>
      <c r="AV720" s="241"/>
      <c r="AW720" s="241"/>
      <c r="AX720" s="241"/>
      <c r="AY720" s="241"/>
      <c r="AZ720" s="241"/>
      <c r="BA720" s="241"/>
      <c r="BC720" s="115"/>
      <c r="BD720" s="115"/>
      <c r="BE720" s="115"/>
      <c r="BF720" s="115"/>
      <c r="BG720" s="115"/>
      <c r="BH720" s="124"/>
      <c r="BI720" s="124"/>
      <c r="BJ720" s="124"/>
      <c r="BK720" s="124"/>
      <c r="BL720" s="124"/>
      <c r="BM720" s="124"/>
      <c r="BN720" s="124"/>
      <c r="BO720" s="124"/>
      <c r="BP720" s="124"/>
      <c r="BQ720" s="124"/>
      <c r="BR720" s="124"/>
      <c r="BS720" s="124"/>
      <c r="BT720" s="124"/>
      <c r="BU720" s="124"/>
      <c r="BV720" s="124"/>
      <c r="BW720" s="124"/>
      <c r="BX720" s="124"/>
      <c r="BY720" s="124"/>
      <c r="BZ720" s="124"/>
      <c r="CA720" s="124"/>
      <c r="CB720" s="124"/>
      <c r="CC720" s="124"/>
      <c r="CD720" s="124"/>
      <c r="CE720" s="124"/>
      <c r="CF720" s="124"/>
      <c r="CG720" s="124"/>
      <c r="CH720" s="124"/>
      <c r="CI720" s="124"/>
      <c r="CJ720" s="124"/>
      <c r="CK720" s="124"/>
      <c r="CL720" s="124"/>
      <c r="CM720" s="124"/>
      <c r="CN720" s="124"/>
      <c r="CO720" s="124"/>
      <c r="CP720" s="124"/>
      <c r="CQ720" s="124"/>
      <c r="CR720" s="124"/>
      <c r="CS720" s="124"/>
      <c r="CT720" s="124"/>
      <c r="CU720" s="124"/>
      <c r="CV720" s="124"/>
      <c r="CW720" s="124"/>
      <c r="CX720" s="124"/>
      <c r="CY720" s="124"/>
      <c r="CZ720" s="124"/>
      <c r="DA720" s="124"/>
      <c r="DB720" s="124"/>
      <c r="DC720" s="124"/>
      <c r="DD720" s="124"/>
      <c r="DE720" s="124"/>
      <c r="DF720" s="124"/>
      <c r="DG720" s="115"/>
    </row>
    <row r="721" spans="2:111" customFormat="1" ht="4.5" customHeight="1">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49"/>
      <c r="AY721" s="49"/>
      <c r="AZ721" s="49"/>
      <c r="BA721" s="49"/>
      <c r="BC721" s="115"/>
      <c r="BD721" s="115"/>
      <c r="BE721" s="115"/>
      <c r="BF721" s="115"/>
      <c r="BG721" s="115"/>
      <c r="BH721" s="124"/>
      <c r="BI721" s="124"/>
      <c r="BJ721" s="124"/>
      <c r="BK721" s="124"/>
      <c r="BL721" s="124"/>
      <c r="BM721" s="124"/>
      <c r="BN721" s="124"/>
      <c r="BO721" s="124"/>
      <c r="BP721" s="124"/>
      <c r="BQ721" s="124"/>
      <c r="BR721" s="124"/>
      <c r="BS721" s="124"/>
      <c r="BT721" s="124"/>
      <c r="BU721" s="124"/>
      <c r="BV721" s="124"/>
      <c r="BW721" s="124"/>
      <c r="BX721" s="124"/>
      <c r="BY721" s="124"/>
      <c r="BZ721" s="124"/>
      <c r="CA721" s="124"/>
      <c r="CB721" s="124"/>
      <c r="CC721" s="124"/>
      <c r="CD721" s="124"/>
      <c r="CE721" s="124"/>
      <c r="CF721" s="124"/>
      <c r="CG721" s="124"/>
      <c r="CH721" s="124"/>
      <c r="CI721" s="124"/>
      <c r="CJ721" s="124"/>
      <c r="CK721" s="124"/>
      <c r="CL721" s="124"/>
      <c r="CM721" s="124"/>
      <c r="CN721" s="124"/>
      <c r="CO721" s="124"/>
      <c r="CP721" s="124"/>
      <c r="CQ721" s="124"/>
      <c r="CR721" s="124"/>
      <c r="CS721" s="124"/>
      <c r="CT721" s="124"/>
      <c r="CU721" s="124"/>
      <c r="CV721" s="124"/>
      <c r="CW721" s="124"/>
      <c r="CX721" s="124"/>
      <c r="CY721" s="124"/>
      <c r="CZ721" s="124"/>
      <c r="DA721" s="124"/>
      <c r="DB721" s="124"/>
      <c r="DC721" s="124"/>
      <c r="DD721" s="124"/>
      <c r="DE721" s="124"/>
      <c r="DF721" s="124"/>
      <c r="DG721" s="115"/>
    </row>
    <row r="722" spans="2:111" customFormat="1" ht="9" customHeight="1">
      <c r="B722" s="493" t="str">
        <f>IF(B716="","","Objeto:")</f>
        <v/>
      </c>
      <c r="C722" s="493"/>
      <c r="D722" s="493"/>
      <c r="E722" s="493"/>
      <c r="F722" s="493"/>
      <c r="G722" s="493"/>
      <c r="H722" s="493"/>
      <c r="I722" s="493"/>
      <c r="J722" s="493"/>
      <c r="K722" s="493"/>
      <c r="L722" s="493"/>
      <c r="M722" s="493"/>
      <c r="N722" s="493"/>
      <c r="O722" s="421"/>
      <c r="P722" s="421"/>
      <c r="Q722" s="421"/>
      <c r="R722" s="421"/>
      <c r="S722" s="421"/>
      <c r="T722" s="421"/>
      <c r="U722" s="421"/>
      <c r="V722" s="421"/>
      <c r="W722" s="421"/>
      <c r="X722" s="421"/>
      <c r="Y722" s="421"/>
      <c r="Z722" s="421"/>
      <c r="AA722" s="421"/>
      <c r="AB722" s="421"/>
      <c r="AC722" s="421"/>
      <c r="AD722" s="421"/>
      <c r="AE722" s="421"/>
      <c r="AF722" s="421"/>
      <c r="AG722" s="421"/>
      <c r="AH722" s="421"/>
      <c r="AI722" s="421"/>
      <c r="AJ722" s="421"/>
      <c r="AK722" s="421"/>
      <c r="AL722" s="421"/>
      <c r="AM722" s="421"/>
      <c r="AN722" s="421"/>
      <c r="AO722" s="421"/>
      <c r="AP722" s="421"/>
      <c r="AQ722" s="421"/>
      <c r="AR722" s="421"/>
      <c r="AS722" s="421"/>
      <c r="AT722" s="421"/>
      <c r="AU722" s="421"/>
      <c r="AV722" s="421"/>
      <c r="AW722" s="421"/>
      <c r="AX722" s="421"/>
      <c r="AY722" s="421"/>
      <c r="AZ722" s="421"/>
      <c r="BA722" s="421"/>
      <c r="BC722" s="115"/>
      <c r="BD722" s="115"/>
      <c r="BE722" s="115"/>
      <c r="BF722" s="115"/>
      <c r="BG722" s="115"/>
      <c r="BH722" s="124"/>
      <c r="BI722" s="124"/>
      <c r="BJ722" s="124"/>
      <c r="BK722" s="124"/>
      <c r="BL722" s="124"/>
      <c r="BM722" s="124"/>
      <c r="BN722" s="124"/>
      <c r="BO722" s="124"/>
      <c r="BP722" s="124"/>
      <c r="BQ722" s="124"/>
      <c r="BR722" s="124"/>
      <c r="BS722" s="124"/>
      <c r="BT722" s="124"/>
      <c r="BU722" s="124"/>
      <c r="BV722" s="124"/>
      <c r="BW722" s="124"/>
      <c r="BX722" s="124"/>
      <c r="BY722" s="124"/>
      <c r="BZ722" s="124"/>
      <c r="CA722" s="124"/>
      <c r="CB722" s="124"/>
      <c r="CC722" s="124"/>
      <c r="CD722" s="124"/>
      <c r="CE722" s="124"/>
      <c r="CF722" s="124"/>
      <c r="CG722" s="124"/>
      <c r="CH722" s="124"/>
      <c r="CI722" s="124"/>
      <c r="CJ722" s="124"/>
      <c r="CK722" s="124"/>
      <c r="CL722" s="124"/>
      <c r="CM722" s="124"/>
      <c r="CN722" s="124"/>
      <c r="CO722" s="124"/>
      <c r="CP722" s="124"/>
      <c r="CQ722" s="124"/>
      <c r="CR722" s="124"/>
      <c r="CS722" s="124"/>
      <c r="CT722" s="124"/>
      <c r="CU722" s="124"/>
      <c r="CV722" s="124"/>
      <c r="CW722" s="124"/>
      <c r="CX722" s="124"/>
      <c r="CY722" s="124"/>
      <c r="CZ722" s="124"/>
      <c r="DA722" s="124"/>
      <c r="DB722" s="124"/>
      <c r="DC722" s="124"/>
      <c r="DD722" s="124"/>
      <c r="DE722" s="124"/>
      <c r="DF722" s="124"/>
      <c r="DG722" s="115"/>
    </row>
    <row r="723" spans="2:111" customFormat="1" ht="9" customHeight="1">
      <c r="B723" s="493"/>
      <c r="C723" s="493"/>
      <c r="D723" s="493"/>
      <c r="E723" s="493"/>
      <c r="F723" s="493"/>
      <c r="G723" s="493"/>
      <c r="H723" s="493"/>
      <c r="I723" s="493"/>
      <c r="J723" s="493"/>
      <c r="K723" s="493"/>
      <c r="L723" s="493"/>
      <c r="M723" s="493"/>
      <c r="N723" s="493"/>
      <c r="O723" s="421"/>
      <c r="P723" s="421"/>
      <c r="Q723" s="421"/>
      <c r="R723" s="421"/>
      <c r="S723" s="421"/>
      <c r="T723" s="421"/>
      <c r="U723" s="421"/>
      <c r="V723" s="421"/>
      <c r="W723" s="421"/>
      <c r="X723" s="421"/>
      <c r="Y723" s="421"/>
      <c r="Z723" s="421"/>
      <c r="AA723" s="421"/>
      <c r="AB723" s="421"/>
      <c r="AC723" s="421"/>
      <c r="AD723" s="421"/>
      <c r="AE723" s="421"/>
      <c r="AF723" s="421"/>
      <c r="AG723" s="421"/>
      <c r="AH723" s="421"/>
      <c r="AI723" s="421"/>
      <c r="AJ723" s="421"/>
      <c r="AK723" s="421"/>
      <c r="AL723" s="421"/>
      <c r="AM723" s="421"/>
      <c r="AN723" s="421"/>
      <c r="AO723" s="421"/>
      <c r="AP723" s="421"/>
      <c r="AQ723" s="421"/>
      <c r="AR723" s="421"/>
      <c r="AS723" s="421"/>
      <c r="AT723" s="421"/>
      <c r="AU723" s="421"/>
      <c r="AV723" s="421"/>
      <c r="AW723" s="421"/>
      <c r="AX723" s="421"/>
      <c r="AY723" s="421"/>
      <c r="AZ723" s="421"/>
      <c r="BA723" s="421"/>
      <c r="BC723" s="115"/>
      <c r="BD723" s="115"/>
      <c r="BE723" s="115"/>
      <c r="BF723" s="115"/>
      <c r="BG723" s="115"/>
      <c r="BH723" s="124"/>
      <c r="BI723" s="124"/>
      <c r="BJ723" s="124"/>
      <c r="BK723" s="124"/>
      <c r="BL723" s="124"/>
      <c r="BM723" s="124"/>
      <c r="BN723" s="124"/>
      <c r="BO723" s="124"/>
      <c r="BP723" s="124"/>
      <c r="BQ723" s="124"/>
      <c r="BR723" s="124"/>
      <c r="BS723" s="124"/>
      <c r="BT723" s="124"/>
      <c r="BU723" s="124"/>
      <c r="BV723" s="124"/>
      <c r="BW723" s="124"/>
      <c r="BX723" s="124"/>
      <c r="BY723" s="124"/>
      <c r="BZ723" s="124"/>
      <c r="CA723" s="124"/>
      <c r="CB723" s="124"/>
      <c r="CC723" s="124"/>
      <c r="CD723" s="124"/>
      <c r="CE723" s="124"/>
      <c r="CF723" s="124"/>
      <c r="CG723" s="124"/>
      <c r="CH723" s="124"/>
      <c r="CI723" s="124"/>
      <c r="CJ723" s="124"/>
      <c r="CK723" s="124"/>
      <c r="CL723" s="124"/>
      <c r="CM723" s="124"/>
      <c r="CN723" s="124"/>
      <c r="CO723" s="124"/>
      <c r="CP723" s="124"/>
      <c r="CQ723" s="124"/>
      <c r="CR723" s="124"/>
      <c r="CS723" s="124"/>
      <c r="CT723" s="124"/>
      <c r="CU723" s="124"/>
      <c r="CV723" s="124"/>
      <c r="CW723" s="124"/>
      <c r="CX723" s="124"/>
      <c r="CY723" s="124"/>
      <c r="CZ723" s="124"/>
      <c r="DA723" s="124"/>
      <c r="DB723" s="124"/>
      <c r="DC723" s="124"/>
      <c r="DD723" s="124"/>
      <c r="DE723" s="124"/>
      <c r="DF723" s="124"/>
      <c r="DG723" s="115"/>
    </row>
    <row r="724" spans="2:111" customFormat="1" ht="9" customHeight="1">
      <c r="B724" s="143"/>
      <c r="C724" s="143"/>
      <c r="D724" s="143"/>
      <c r="E724" s="143"/>
      <c r="F724" s="143"/>
      <c r="G724" s="143"/>
      <c r="H724" s="143"/>
      <c r="I724" s="143"/>
      <c r="J724" s="143"/>
      <c r="K724" s="143"/>
      <c r="L724" s="143"/>
      <c r="M724" s="143"/>
      <c r="N724" s="143"/>
      <c r="O724" s="421"/>
      <c r="P724" s="421"/>
      <c r="Q724" s="421"/>
      <c r="R724" s="421"/>
      <c r="S724" s="421"/>
      <c r="T724" s="421"/>
      <c r="U724" s="421"/>
      <c r="V724" s="421"/>
      <c r="W724" s="421"/>
      <c r="X724" s="421"/>
      <c r="Y724" s="421"/>
      <c r="Z724" s="421"/>
      <c r="AA724" s="421"/>
      <c r="AB724" s="421"/>
      <c r="AC724" s="421"/>
      <c r="AD724" s="421"/>
      <c r="AE724" s="421"/>
      <c r="AF724" s="421"/>
      <c r="AG724" s="421"/>
      <c r="AH724" s="421"/>
      <c r="AI724" s="421"/>
      <c r="AJ724" s="421"/>
      <c r="AK724" s="421"/>
      <c r="AL724" s="421"/>
      <c r="AM724" s="421"/>
      <c r="AN724" s="421"/>
      <c r="AO724" s="421"/>
      <c r="AP724" s="421"/>
      <c r="AQ724" s="421"/>
      <c r="AR724" s="421"/>
      <c r="AS724" s="421"/>
      <c r="AT724" s="421"/>
      <c r="AU724" s="421"/>
      <c r="AV724" s="421"/>
      <c r="AW724" s="421"/>
      <c r="AX724" s="421"/>
      <c r="AY724" s="421"/>
      <c r="AZ724" s="421"/>
      <c r="BA724" s="421"/>
      <c r="BC724" s="115"/>
      <c r="BD724" s="115"/>
      <c r="BE724" s="115"/>
      <c r="BF724" s="115"/>
      <c r="BG724" s="115"/>
      <c r="BH724" s="84"/>
      <c r="BI724" s="84"/>
      <c r="BJ724" s="84"/>
      <c r="BK724" s="84"/>
      <c r="BL724" s="84"/>
      <c r="BM724" s="84"/>
      <c r="BN724" s="84"/>
      <c r="BO724" s="84"/>
      <c r="BP724" s="84"/>
      <c r="BQ724" s="84"/>
      <c r="BR724" s="84"/>
      <c r="BS724" s="84"/>
      <c r="BT724" s="84"/>
      <c r="BU724" s="84"/>
      <c r="BV724" s="84"/>
      <c r="BW724" s="84"/>
      <c r="BX724" s="84"/>
      <c r="BY724" s="84"/>
      <c r="BZ724" s="84"/>
      <c r="CA724" s="84"/>
      <c r="CB724" s="84"/>
      <c r="CC724" s="84"/>
      <c r="CD724" s="84"/>
      <c r="CE724" s="84"/>
      <c r="CF724" s="84"/>
      <c r="CG724" s="84"/>
      <c r="CH724" s="84"/>
      <c r="CI724" s="84"/>
      <c r="CJ724" s="84"/>
      <c r="CK724" s="84"/>
      <c r="CL724" s="84"/>
      <c r="CM724" s="84"/>
      <c r="CN724" s="84"/>
      <c r="CO724" s="84"/>
      <c r="CP724" s="84"/>
      <c r="CQ724" s="84"/>
      <c r="CR724" s="84"/>
      <c r="CS724" s="84"/>
      <c r="CT724" s="84"/>
      <c r="CU724" s="84"/>
      <c r="CV724" s="84"/>
      <c r="CW724" s="84"/>
      <c r="CX724" s="84"/>
      <c r="CY724" s="84"/>
      <c r="CZ724" s="84"/>
      <c r="DA724" s="84"/>
      <c r="DB724" s="84"/>
      <c r="DC724" s="84"/>
      <c r="DD724" s="84"/>
      <c r="DE724" s="84"/>
      <c r="DF724" s="84"/>
      <c r="DG724" s="115"/>
    </row>
    <row r="725" spans="2:111" customFormat="1" ht="9" customHeight="1">
      <c r="B725" s="49"/>
      <c r="C725" s="49"/>
      <c r="D725" s="49"/>
      <c r="E725" s="49"/>
      <c r="F725" s="49"/>
      <c r="G725" s="49"/>
      <c r="H725" s="49"/>
      <c r="I725" s="49"/>
      <c r="J725" s="49"/>
      <c r="K725" s="49"/>
      <c r="L725" s="49"/>
      <c r="M725" s="49"/>
      <c r="N725" s="49"/>
      <c r="O725" s="421"/>
      <c r="P725" s="421"/>
      <c r="Q725" s="421"/>
      <c r="R725" s="421"/>
      <c r="S725" s="421"/>
      <c r="T725" s="421"/>
      <c r="U725" s="421"/>
      <c r="V725" s="421"/>
      <c r="W725" s="421"/>
      <c r="X725" s="421"/>
      <c r="Y725" s="421"/>
      <c r="Z725" s="421"/>
      <c r="AA725" s="421"/>
      <c r="AB725" s="421"/>
      <c r="AC725" s="421"/>
      <c r="AD725" s="421"/>
      <c r="AE725" s="421"/>
      <c r="AF725" s="421"/>
      <c r="AG725" s="421"/>
      <c r="AH725" s="421"/>
      <c r="AI725" s="421"/>
      <c r="AJ725" s="421"/>
      <c r="AK725" s="421"/>
      <c r="AL725" s="421"/>
      <c r="AM725" s="421"/>
      <c r="AN725" s="421"/>
      <c r="AO725" s="421"/>
      <c r="AP725" s="421"/>
      <c r="AQ725" s="421"/>
      <c r="AR725" s="421"/>
      <c r="AS725" s="421"/>
      <c r="AT725" s="421"/>
      <c r="AU725" s="421"/>
      <c r="AV725" s="421"/>
      <c r="AW725" s="421"/>
      <c r="AX725" s="421"/>
      <c r="AY725" s="421"/>
      <c r="AZ725" s="421"/>
      <c r="BA725" s="421"/>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c r="BY725" s="115"/>
      <c r="BZ725" s="115"/>
      <c r="CA725" s="115"/>
      <c r="CB725" s="115"/>
      <c r="CC725" s="115"/>
      <c r="CD725" s="115"/>
      <c r="CE725" s="115"/>
      <c r="CF725" s="115"/>
      <c r="CG725" s="115"/>
      <c r="CH725" s="115"/>
      <c r="CI725" s="115"/>
      <c r="CJ725" s="115"/>
      <c r="CK725" s="115"/>
      <c r="CL725" s="115"/>
      <c r="CM725" s="115"/>
      <c r="CN725" s="115"/>
      <c r="CO725" s="115"/>
      <c r="CP725" s="115"/>
      <c r="CQ725" s="115"/>
      <c r="CR725" s="115"/>
      <c r="CS725" s="115"/>
      <c r="CT725" s="115"/>
      <c r="CU725" s="115"/>
      <c r="CV725" s="115"/>
      <c r="CW725" s="115"/>
      <c r="CX725" s="115"/>
      <c r="CY725" s="115"/>
      <c r="CZ725" s="115"/>
      <c r="DA725" s="115"/>
      <c r="DB725" s="115"/>
      <c r="DC725" s="115"/>
      <c r="DD725" s="115"/>
      <c r="DE725" s="115"/>
      <c r="DF725" s="115"/>
      <c r="DG725" s="115"/>
    </row>
    <row r="726" spans="2:111" customFormat="1" ht="4.5" customHeight="1">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49"/>
      <c r="AY726" s="49"/>
      <c r="AZ726" s="49"/>
      <c r="BA726" s="49"/>
      <c r="BC726" s="115"/>
      <c r="BD726" s="115"/>
      <c r="BE726" s="115"/>
      <c r="BF726" s="115"/>
      <c r="BG726" s="115"/>
      <c r="BH726" s="124"/>
      <c r="BI726" s="124"/>
      <c r="BJ726" s="124"/>
      <c r="BK726" s="124"/>
      <c r="BL726" s="124"/>
      <c r="BM726" s="124"/>
      <c r="BN726" s="124"/>
      <c r="BO726" s="124"/>
      <c r="BP726" s="124"/>
      <c r="BQ726" s="124"/>
      <c r="BR726" s="124"/>
      <c r="BS726" s="124"/>
      <c r="BT726" s="124"/>
      <c r="BU726" s="124"/>
      <c r="BV726" s="124"/>
      <c r="BW726" s="124"/>
      <c r="BX726" s="124"/>
      <c r="BY726" s="124"/>
      <c r="BZ726" s="124"/>
      <c r="CA726" s="124"/>
      <c r="CB726" s="124"/>
      <c r="CC726" s="124"/>
      <c r="CD726" s="124"/>
      <c r="CE726" s="124"/>
      <c r="CF726" s="124"/>
      <c r="CG726" s="124"/>
      <c r="CH726" s="124"/>
      <c r="CI726" s="124"/>
      <c r="CJ726" s="124"/>
      <c r="CK726" s="124"/>
      <c r="CL726" s="124"/>
      <c r="CM726" s="124"/>
      <c r="CN726" s="124"/>
      <c r="CO726" s="124"/>
      <c r="CP726" s="124"/>
      <c r="CQ726" s="124"/>
      <c r="CR726" s="124"/>
      <c r="CS726" s="124"/>
      <c r="CT726" s="124"/>
      <c r="CU726" s="124"/>
      <c r="CV726" s="124"/>
      <c r="CW726" s="124"/>
      <c r="CX726" s="124"/>
      <c r="CY726" s="124"/>
      <c r="CZ726" s="124"/>
      <c r="DA726" s="124"/>
      <c r="DB726" s="124"/>
      <c r="DC726" s="124"/>
      <c r="DD726" s="124"/>
      <c r="DE726" s="124"/>
      <c r="DF726" s="124"/>
      <c r="DG726" s="115"/>
    </row>
    <row r="727" spans="2:111" customFormat="1" ht="9" customHeight="1">
      <c r="B727" s="493" t="str">
        <f>IF(B716="","","Detalhamento do Objeto:")</f>
        <v/>
      </c>
      <c r="C727" s="493"/>
      <c r="D727" s="493"/>
      <c r="E727" s="493"/>
      <c r="F727" s="493"/>
      <c r="G727" s="493"/>
      <c r="H727" s="493"/>
      <c r="I727" s="493"/>
      <c r="J727" s="493"/>
      <c r="K727" s="493"/>
      <c r="L727" s="493"/>
      <c r="M727" s="493"/>
      <c r="N727" s="493"/>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1"/>
      <c r="AY727" s="421"/>
      <c r="AZ727" s="421"/>
      <c r="BA727" s="421"/>
      <c r="BC727" s="115"/>
      <c r="BD727" s="115"/>
      <c r="BE727" s="115"/>
      <c r="BF727" s="115"/>
      <c r="BG727" s="115"/>
      <c r="BH727" s="124"/>
      <c r="BI727" s="124"/>
      <c r="BJ727" s="124"/>
      <c r="BK727" s="124"/>
      <c r="BL727" s="124"/>
      <c r="BM727" s="124"/>
      <c r="BN727" s="124"/>
      <c r="BO727" s="124"/>
      <c r="BP727" s="124"/>
      <c r="BQ727" s="124"/>
      <c r="BR727" s="124"/>
      <c r="BS727" s="124"/>
      <c r="BT727" s="124"/>
      <c r="BU727" s="124"/>
      <c r="BV727" s="124"/>
      <c r="BW727" s="124"/>
      <c r="BX727" s="124"/>
      <c r="BY727" s="124"/>
      <c r="BZ727" s="124"/>
      <c r="CA727" s="124"/>
      <c r="CB727" s="124"/>
      <c r="CC727" s="124"/>
      <c r="CD727" s="124"/>
      <c r="CE727" s="124"/>
      <c r="CF727" s="124"/>
      <c r="CG727" s="124"/>
      <c r="CH727" s="124"/>
      <c r="CI727" s="124"/>
      <c r="CJ727" s="124"/>
      <c r="CK727" s="124"/>
      <c r="CL727" s="124"/>
      <c r="CM727" s="124"/>
      <c r="CN727" s="124"/>
      <c r="CO727" s="124"/>
      <c r="CP727" s="124"/>
      <c r="CQ727" s="124"/>
      <c r="CR727" s="124"/>
      <c r="CS727" s="124"/>
      <c r="CT727" s="124"/>
      <c r="CU727" s="124"/>
      <c r="CV727" s="124"/>
      <c r="CW727" s="124"/>
      <c r="CX727" s="124"/>
      <c r="CY727" s="124"/>
      <c r="CZ727" s="124"/>
      <c r="DA727" s="124"/>
      <c r="DB727" s="124"/>
      <c r="DC727" s="124"/>
      <c r="DD727" s="124"/>
      <c r="DE727" s="124"/>
      <c r="DF727" s="124"/>
      <c r="DG727" s="115"/>
    </row>
    <row r="728" spans="2:111" customFormat="1" ht="9" customHeight="1">
      <c r="B728" s="493"/>
      <c r="C728" s="493"/>
      <c r="D728" s="493"/>
      <c r="E728" s="493"/>
      <c r="F728" s="493"/>
      <c r="G728" s="493"/>
      <c r="H728" s="493"/>
      <c r="I728" s="493"/>
      <c r="J728" s="493"/>
      <c r="K728" s="493"/>
      <c r="L728" s="493"/>
      <c r="M728" s="493"/>
      <c r="N728" s="493"/>
      <c r="O728" s="421"/>
      <c r="P728" s="421"/>
      <c r="Q728" s="421"/>
      <c r="R728" s="421"/>
      <c r="S728" s="421"/>
      <c r="T728" s="421"/>
      <c r="U728" s="421"/>
      <c r="V728" s="421"/>
      <c r="W728" s="421"/>
      <c r="X728" s="421"/>
      <c r="Y728" s="421"/>
      <c r="Z728" s="421"/>
      <c r="AA728" s="421"/>
      <c r="AB728" s="421"/>
      <c r="AC728" s="421"/>
      <c r="AD728" s="421"/>
      <c r="AE728" s="421"/>
      <c r="AF728" s="421"/>
      <c r="AG728" s="421"/>
      <c r="AH728" s="421"/>
      <c r="AI728" s="421"/>
      <c r="AJ728" s="421"/>
      <c r="AK728" s="421"/>
      <c r="AL728" s="421"/>
      <c r="AM728" s="421"/>
      <c r="AN728" s="421"/>
      <c r="AO728" s="421"/>
      <c r="AP728" s="421"/>
      <c r="AQ728" s="421"/>
      <c r="AR728" s="421"/>
      <c r="AS728" s="421"/>
      <c r="AT728" s="421"/>
      <c r="AU728" s="421"/>
      <c r="AV728" s="421"/>
      <c r="AW728" s="421"/>
      <c r="AX728" s="421"/>
      <c r="AY728" s="421"/>
      <c r="AZ728" s="421"/>
      <c r="BA728" s="421"/>
      <c r="BC728" s="115"/>
      <c r="BD728" s="115"/>
      <c r="BE728" s="115"/>
      <c r="BF728" s="115"/>
      <c r="BG728" s="115"/>
      <c r="BH728" s="124"/>
      <c r="BI728" s="124"/>
      <c r="BJ728" s="124"/>
      <c r="BK728" s="124"/>
      <c r="BL728" s="124"/>
      <c r="BM728" s="124"/>
      <c r="BN728" s="124"/>
      <c r="BO728" s="124"/>
      <c r="BP728" s="124"/>
      <c r="BQ728" s="124"/>
      <c r="BR728" s="124"/>
      <c r="BS728" s="124"/>
      <c r="BT728" s="124"/>
      <c r="BU728" s="124"/>
      <c r="BV728" s="124"/>
      <c r="BW728" s="124"/>
      <c r="BX728" s="124"/>
      <c r="BY728" s="124"/>
      <c r="BZ728" s="124"/>
      <c r="CA728" s="124"/>
      <c r="CB728" s="124"/>
      <c r="CC728" s="124"/>
      <c r="CD728" s="124"/>
      <c r="CE728" s="124"/>
      <c r="CF728" s="124"/>
      <c r="CG728" s="124"/>
      <c r="CH728" s="124"/>
      <c r="CI728" s="124"/>
      <c r="CJ728" s="124"/>
      <c r="CK728" s="124"/>
      <c r="CL728" s="124"/>
      <c r="CM728" s="124"/>
      <c r="CN728" s="124"/>
      <c r="CO728" s="124"/>
      <c r="CP728" s="124"/>
      <c r="CQ728" s="124"/>
      <c r="CR728" s="124"/>
      <c r="CS728" s="124"/>
      <c r="CT728" s="124"/>
      <c r="CU728" s="124"/>
      <c r="CV728" s="124"/>
      <c r="CW728" s="124"/>
      <c r="CX728" s="124"/>
      <c r="CY728" s="124"/>
      <c r="CZ728" s="124"/>
      <c r="DA728" s="124"/>
      <c r="DB728" s="124"/>
      <c r="DC728" s="124"/>
      <c r="DD728" s="124"/>
      <c r="DE728" s="124"/>
      <c r="DF728" s="124"/>
      <c r="DG728" s="115"/>
    </row>
    <row r="729" spans="2:111" customFormat="1" ht="9" customHeight="1">
      <c r="B729" s="143"/>
      <c r="C729" s="143"/>
      <c r="D729" s="143"/>
      <c r="E729" s="143"/>
      <c r="F729" s="143"/>
      <c r="G729" s="143"/>
      <c r="H729" s="143"/>
      <c r="I729" s="143"/>
      <c r="J729" s="143"/>
      <c r="K729" s="143"/>
      <c r="L729" s="143"/>
      <c r="M729" s="143"/>
      <c r="N729" s="143"/>
      <c r="O729" s="421"/>
      <c r="P729" s="421"/>
      <c r="Q729" s="421"/>
      <c r="R729" s="421"/>
      <c r="S729" s="421"/>
      <c r="T729" s="421"/>
      <c r="U729" s="421"/>
      <c r="V729" s="421"/>
      <c r="W729" s="421"/>
      <c r="X729" s="421"/>
      <c r="Y729" s="421"/>
      <c r="Z729" s="421"/>
      <c r="AA729" s="421"/>
      <c r="AB729" s="421"/>
      <c r="AC729" s="421"/>
      <c r="AD729" s="421"/>
      <c r="AE729" s="421"/>
      <c r="AF729" s="421"/>
      <c r="AG729" s="421"/>
      <c r="AH729" s="421"/>
      <c r="AI729" s="421"/>
      <c r="AJ729" s="421"/>
      <c r="AK729" s="421"/>
      <c r="AL729" s="421"/>
      <c r="AM729" s="421"/>
      <c r="AN729" s="421"/>
      <c r="AO729" s="421"/>
      <c r="AP729" s="421"/>
      <c r="AQ729" s="421"/>
      <c r="AR729" s="421"/>
      <c r="AS729" s="421"/>
      <c r="AT729" s="421"/>
      <c r="AU729" s="421"/>
      <c r="AV729" s="421"/>
      <c r="AW729" s="421"/>
      <c r="AX729" s="421"/>
      <c r="AY729" s="421"/>
      <c r="AZ729" s="421"/>
      <c r="BA729" s="421"/>
      <c r="BC729" s="115"/>
      <c r="BD729" s="115"/>
      <c r="BE729" s="115"/>
      <c r="BF729" s="115"/>
      <c r="BG729" s="115"/>
      <c r="BH729" s="84"/>
      <c r="BI729" s="84"/>
      <c r="BJ729" s="84"/>
      <c r="BK729" s="84"/>
      <c r="BL729" s="84"/>
      <c r="BM729" s="84"/>
      <c r="BN729" s="84"/>
      <c r="BO729" s="84"/>
      <c r="BP729" s="84"/>
      <c r="BQ729" s="84"/>
      <c r="BR729" s="84"/>
      <c r="BS729" s="84"/>
      <c r="BT729" s="84"/>
      <c r="BU729" s="84"/>
      <c r="BV729" s="84"/>
      <c r="BW729" s="84"/>
      <c r="BX729" s="84"/>
      <c r="BY729" s="84"/>
      <c r="BZ729" s="84"/>
      <c r="CA729" s="84"/>
      <c r="CB729" s="84"/>
      <c r="CC729" s="84"/>
      <c r="CD729" s="84"/>
      <c r="CE729" s="84"/>
      <c r="CF729" s="84"/>
      <c r="CG729" s="84"/>
      <c r="CH729" s="84"/>
      <c r="CI729" s="84"/>
      <c r="CJ729" s="84"/>
      <c r="CK729" s="84"/>
      <c r="CL729" s="84"/>
      <c r="CM729" s="84"/>
      <c r="CN729" s="84"/>
      <c r="CO729" s="84"/>
      <c r="CP729" s="84"/>
      <c r="CQ729" s="84"/>
      <c r="CR729" s="84"/>
      <c r="CS729" s="84"/>
      <c r="CT729" s="84"/>
      <c r="CU729" s="84"/>
      <c r="CV729" s="84"/>
      <c r="CW729" s="84"/>
      <c r="CX729" s="84"/>
      <c r="CY729" s="84"/>
      <c r="CZ729" s="84"/>
      <c r="DA729" s="84"/>
      <c r="DB729" s="84"/>
      <c r="DC729" s="84"/>
      <c r="DD729" s="84"/>
      <c r="DE729" s="84"/>
      <c r="DF729" s="84"/>
      <c r="DG729" s="115"/>
    </row>
    <row r="730" spans="2:111" customFormat="1" ht="9" customHeight="1">
      <c r="B730" s="143"/>
      <c r="C730" s="143"/>
      <c r="D730" s="143"/>
      <c r="E730" s="143"/>
      <c r="F730" s="143"/>
      <c r="G730" s="143"/>
      <c r="H730" s="143"/>
      <c r="I730" s="143"/>
      <c r="J730" s="143"/>
      <c r="K730" s="143"/>
      <c r="L730" s="143"/>
      <c r="M730" s="143"/>
      <c r="N730" s="143"/>
      <c r="O730" s="421"/>
      <c r="P730" s="421"/>
      <c r="Q730" s="421"/>
      <c r="R730" s="421"/>
      <c r="S730" s="421"/>
      <c r="T730" s="421"/>
      <c r="U730" s="421"/>
      <c r="V730" s="421"/>
      <c r="W730" s="421"/>
      <c r="X730" s="421"/>
      <c r="Y730" s="421"/>
      <c r="Z730" s="421"/>
      <c r="AA730" s="421"/>
      <c r="AB730" s="421"/>
      <c r="AC730" s="421"/>
      <c r="AD730" s="421"/>
      <c r="AE730" s="421"/>
      <c r="AF730" s="421"/>
      <c r="AG730" s="421"/>
      <c r="AH730" s="421"/>
      <c r="AI730" s="421"/>
      <c r="AJ730" s="421"/>
      <c r="AK730" s="421"/>
      <c r="AL730" s="421"/>
      <c r="AM730" s="421"/>
      <c r="AN730" s="421"/>
      <c r="AO730" s="421"/>
      <c r="AP730" s="421"/>
      <c r="AQ730" s="421"/>
      <c r="AR730" s="421"/>
      <c r="AS730" s="421"/>
      <c r="AT730" s="421"/>
      <c r="AU730" s="421"/>
      <c r="AV730" s="421"/>
      <c r="AW730" s="421"/>
      <c r="AX730" s="421"/>
      <c r="AY730" s="421"/>
      <c r="AZ730" s="421"/>
      <c r="BA730" s="421"/>
      <c r="BC730" s="115"/>
      <c r="BD730" s="115"/>
      <c r="BE730" s="115"/>
      <c r="BF730" s="115"/>
      <c r="BG730" s="115"/>
      <c r="BH730" s="84"/>
      <c r="BI730" s="84"/>
      <c r="BJ730" s="84"/>
      <c r="BK730" s="84"/>
      <c r="BL730" s="84"/>
      <c r="BM730" s="84"/>
      <c r="BN730" s="84"/>
      <c r="BO730" s="84"/>
      <c r="BP730" s="84"/>
      <c r="BQ730" s="84"/>
      <c r="BR730" s="84"/>
      <c r="BS730" s="84"/>
      <c r="BT730" s="84"/>
      <c r="BU730" s="84"/>
      <c r="BV730" s="84"/>
      <c r="BW730" s="84"/>
      <c r="BX730" s="84"/>
      <c r="BY730" s="84"/>
      <c r="BZ730" s="84"/>
      <c r="CA730" s="84"/>
      <c r="CB730" s="84"/>
      <c r="CC730" s="84"/>
      <c r="CD730" s="84"/>
      <c r="CE730" s="84"/>
      <c r="CF730" s="84"/>
      <c r="CG730" s="84"/>
      <c r="CH730" s="84"/>
      <c r="CI730" s="84"/>
      <c r="CJ730" s="84"/>
      <c r="CK730" s="84"/>
      <c r="CL730" s="84"/>
      <c r="CM730" s="84"/>
      <c r="CN730" s="84"/>
      <c r="CO730" s="84"/>
      <c r="CP730" s="84"/>
      <c r="CQ730" s="84"/>
      <c r="CR730" s="84"/>
      <c r="CS730" s="84"/>
      <c r="CT730" s="84"/>
      <c r="CU730" s="84"/>
      <c r="CV730" s="84"/>
      <c r="CW730" s="84"/>
      <c r="CX730" s="84"/>
      <c r="CY730" s="84"/>
      <c r="CZ730" s="84"/>
      <c r="DA730" s="84"/>
      <c r="DB730" s="84"/>
      <c r="DC730" s="84"/>
      <c r="DD730" s="84"/>
      <c r="DE730" s="84"/>
      <c r="DF730" s="84"/>
      <c r="DG730" s="115"/>
    </row>
    <row r="731" spans="2:111" customFormat="1" ht="9" customHeight="1">
      <c r="B731" s="143"/>
      <c r="C731" s="143"/>
      <c r="D731" s="143"/>
      <c r="E731" s="143"/>
      <c r="F731" s="143"/>
      <c r="G731" s="143"/>
      <c r="H731" s="143"/>
      <c r="I731" s="143"/>
      <c r="J731" s="143"/>
      <c r="K731" s="143"/>
      <c r="L731" s="143"/>
      <c r="M731" s="143"/>
      <c r="N731" s="143"/>
      <c r="O731" s="421"/>
      <c r="P731" s="421"/>
      <c r="Q731" s="421"/>
      <c r="R731" s="421"/>
      <c r="S731" s="421"/>
      <c r="T731" s="421"/>
      <c r="U731" s="421"/>
      <c r="V731" s="421"/>
      <c r="W731" s="421"/>
      <c r="X731" s="421"/>
      <c r="Y731" s="421"/>
      <c r="Z731" s="421"/>
      <c r="AA731" s="421"/>
      <c r="AB731" s="421"/>
      <c r="AC731" s="421"/>
      <c r="AD731" s="421"/>
      <c r="AE731" s="421"/>
      <c r="AF731" s="421"/>
      <c r="AG731" s="421"/>
      <c r="AH731" s="421"/>
      <c r="AI731" s="421"/>
      <c r="AJ731" s="421"/>
      <c r="AK731" s="421"/>
      <c r="AL731" s="421"/>
      <c r="AM731" s="421"/>
      <c r="AN731" s="421"/>
      <c r="AO731" s="421"/>
      <c r="AP731" s="421"/>
      <c r="AQ731" s="421"/>
      <c r="AR731" s="421"/>
      <c r="AS731" s="421"/>
      <c r="AT731" s="421"/>
      <c r="AU731" s="421"/>
      <c r="AV731" s="421"/>
      <c r="AW731" s="421"/>
      <c r="AX731" s="421"/>
      <c r="AY731" s="421"/>
      <c r="AZ731" s="421"/>
      <c r="BA731" s="421"/>
      <c r="BC731" s="115"/>
      <c r="BD731" s="115"/>
      <c r="BE731" s="115"/>
      <c r="BF731" s="115"/>
      <c r="BG731" s="115"/>
      <c r="BH731" s="84"/>
      <c r="BI731" s="84"/>
      <c r="BJ731" s="84"/>
      <c r="BK731" s="84"/>
      <c r="BL731" s="84"/>
      <c r="BM731" s="84"/>
      <c r="BN731" s="84"/>
      <c r="BO731" s="84"/>
      <c r="BP731" s="84"/>
      <c r="BQ731" s="84"/>
      <c r="BR731" s="84"/>
      <c r="BS731" s="84"/>
      <c r="BT731" s="84"/>
      <c r="BU731" s="84"/>
      <c r="BV731" s="84"/>
      <c r="BW731" s="84"/>
      <c r="BX731" s="84"/>
      <c r="BY731" s="84"/>
      <c r="BZ731" s="84"/>
      <c r="CA731" s="84"/>
      <c r="CB731" s="84"/>
      <c r="CC731" s="84"/>
      <c r="CD731" s="84"/>
      <c r="CE731" s="84"/>
      <c r="CF731" s="84"/>
      <c r="CG731" s="84"/>
      <c r="CH731" s="84"/>
      <c r="CI731" s="84"/>
      <c r="CJ731" s="84"/>
      <c r="CK731" s="84"/>
      <c r="CL731" s="84"/>
      <c r="CM731" s="84"/>
      <c r="CN731" s="84"/>
      <c r="CO731" s="84"/>
      <c r="CP731" s="84"/>
      <c r="CQ731" s="84"/>
      <c r="CR731" s="84"/>
      <c r="CS731" s="84"/>
      <c r="CT731" s="84"/>
      <c r="CU731" s="84"/>
      <c r="CV731" s="84"/>
      <c r="CW731" s="84"/>
      <c r="CX731" s="84"/>
      <c r="CY731" s="84"/>
      <c r="CZ731" s="84"/>
      <c r="DA731" s="84"/>
      <c r="DB731" s="84"/>
      <c r="DC731" s="84"/>
      <c r="DD731" s="84"/>
      <c r="DE731" s="84"/>
      <c r="DF731" s="84"/>
      <c r="DG731" s="115"/>
    </row>
    <row r="732" spans="2:111" customFormat="1" ht="9" customHeight="1">
      <c r="B732" s="143"/>
      <c r="C732" s="143"/>
      <c r="D732" s="143"/>
      <c r="E732" s="143"/>
      <c r="F732" s="143"/>
      <c r="G732" s="143"/>
      <c r="H732" s="143"/>
      <c r="I732" s="143"/>
      <c r="J732" s="143"/>
      <c r="K732" s="143"/>
      <c r="L732" s="143"/>
      <c r="M732" s="143"/>
      <c r="N732" s="143"/>
      <c r="O732" s="421"/>
      <c r="P732" s="421"/>
      <c r="Q732" s="421"/>
      <c r="R732" s="421"/>
      <c r="S732" s="421"/>
      <c r="T732" s="421"/>
      <c r="U732" s="421"/>
      <c r="V732" s="421"/>
      <c r="W732" s="421"/>
      <c r="X732" s="421"/>
      <c r="Y732" s="421"/>
      <c r="Z732" s="421"/>
      <c r="AA732" s="421"/>
      <c r="AB732" s="421"/>
      <c r="AC732" s="421"/>
      <c r="AD732" s="421"/>
      <c r="AE732" s="421"/>
      <c r="AF732" s="421"/>
      <c r="AG732" s="421"/>
      <c r="AH732" s="421"/>
      <c r="AI732" s="421"/>
      <c r="AJ732" s="421"/>
      <c r="AK732" s="421"/>
      <c r="AL732" s="421"/>
      <c r="AM732" s="421"/>
      <c r="AN732" s="421"/>
      <c r="AO732" s="421"/>
      <c r="AP732" s="421"/>
      <c r="AQ732" s="421"/>
      <c r="AR732" s="421"/>
      <c r="AS732" s="421"/>
      <c r="AT732" s="421"/>
      <c r="AU732" s="421"/>
      <c r="AV732" s="421"/>
      <c r="AW732" s="421"/>
      <c r="AX732" s="421"/>
      <c r="AY732" s="421"/>
      <c r="AZ732" s="421"/>
      <c r="BA732" s="421"/>
      <c r="BC732" s="115"/>
      <c r="BD732" s="115"/>
      <c r="BE732" s="115"/>
      <c r="BF732" s="115"/>
      <c r="BG732" s="115"/>
      <c r="BH732" s="84"/>
      <c r="BI732" s="84"/>
      <c r="BJ732" s="84"/>
      <c r="BK732" s="84"/>
      <c r="BL732" s="84"/>
      <c r="BM732" s="84"/>
      <c r="BN732" s="84"/>
      <c r="BO732" s="84"/>
      <c r="BP732" s="84"/>
      <c r="BQ732" s="84"/>
      <c r="BR732" s="84"/>
      <c r="BS732" s="84"/>
      <c r="BT732" s="84"/>
      <c r="BU732" s="84"/>
      <c r="BV732" s="84"/>
      <c r="BW732" s="84"/>
      <c r="BX732" s="84"/>
      <c r="BY732" s="84"/>
      <c r="BZ732" s="84"/>
      <c r="CA732" s="84"/>
      <c r="CB732" s="84"/>
      <c r="CC732" s="84"/>
      <c r="CD732" s="84"/>
      <c r="CE732" s="84"/>
      <c r="CF732" s="84"/>
      <c r="CG732" s="84"/>
      <c r="CH732" s="84"/>
      <c r="CI732" s="84"/>
      <c r="CJ732" s="84"/>
      <c r="CK732" s="84"/>
      <c r="CL732" s="84"/>
      <c r="CM732" s="84"/>
      <c r="CN732" s="84"/>
      <c r="CO732" s="84"/>
      <c r="CP732" s="84"/>
      <c r="CQ732" s="84"/>
      <c r="CR732" s="84"/>
      <c r="CS732" s="84"/>
      <c r="CT732" s="84"/>
      <c r="CU732" s="84"/>
      <c r="CV732" s="84"/>
      <c r="CW732" s="84"/>
      <c r="CX732" s="84"/>
      <c r="CY732" s="84"/>
      <c r="CZ732" s="84"/>
      <c r="DA732" s="84"/>
      <c r="DB732" s="84"/>
      <c r="DC732" s="84"/>
      <c r="DD732" s="84"/>
      <c r="DE732" s="84"/>
      <c r="DF732" s="84"/>
      <c r="DG732" s="115"/>
    </row>
    <row r="733" spans="2:111" customFormat="1" ht="9" customHeight="1">
      <c r="B733" s="143"/>
      <c r="C733" s="143"/>
      <c r="D733" s="143"/>
      <c r="E733" s="143"/>
      <c r="F733" s="143"/>
      <c r="G733" s="143"/>
      <c r="H733" s="143"/>
      <c r="I733" s="143"/>
      <c r="J733" s="143"/>
      <c r="K733" s="143"/>
      <c r="L733" s="143"/>
      <c r="M733" s="143"/>
      <c r="N733" s="143"/>
      <c r="O733" s="421"/>
      <c r="P733" s="421"/>
      <c r="Q733" s="421"/>
      <c r="R733" s="421"/>
      <c r="S733" s="421"/>
      <c r="T733" s="421"/>
      <c r="U733" s="421"/>
      <c r="V733" s="421"/>
      <c r="W733" s="421"/>
      <c r="X733" s="421"/>
      <c r="Y733" s="421"/>
      <c r="Z733" s="421"/>
      <c r="AA733" s="421"/>
      <c r="AB733" s="421"/>
      <c r="AC733" s="421"/>
      <c r="AD733" s="421"/>
      <c r="AE733" s="421"/>
      <c r="AF733" s="421"/>
      <c r="AG733" s="421"/>
      <c r="AH733" s="421"/>
      <c r="AI733" s="421"/>
      <c r="AJ733" s="421"/>
      <c r="AK733" s="421"/>
      <c r="AL733" s="421"/>
      <c r="AM733" s="421"/>
      <c r="AN733" s="421"/>
      <c r="AO733" s="421"/>
      <c r="AP733" s="421"/>
      <c r="AQ733" s="421"/>
      <c r="AR733" s="421"/>
      <c r="AS733" s="421"/>
      <c r="AT733" s="421"/>
      <c r="AU733" s="421"/>
      <c r="AV733" s="421"/>
      <c r="AW733" s="421"/>
      <c r="AX733" s="421"/>
      <c r="AY733" s="421"/>
      <c r="AZ733" s="421"/>
      <c r="BA733" s="421"/>
      <c r="BC733" s="115"/>
      <c r="BD733" s="115"/>
      <c r="BE733" s="115"/>
      <c r="BF733" s="115"/>
      <c r="BG733" s="115"/>
      <c r="BH733" s="84"/>
      <c r="BI733" s="84"/>
      <c r="BJ733" s="84"/>
      <c r="BK733" s="84"/>
      <c r="BL733" s="84"/>
      <c r="BM733" s="84"/>
      <c r="BN733" s="84"/>
      <c r="BO733" s="84"/>
      <c r="BP733" s="84"/>
      <c r="BQ733" s="84"/>
      <c r="BR733" s="84"/>
      <c r="BS733" s="84"/>
      <c r="BT733" s="84"/>
      <c r="BU733" s="84"/>
      <c r="BV733" s="84"/>
      <c r="BW733" s="84"/>
      <c r="BX733" s="84"/>
      <c r="BY733" s="84"/>
      <c r="BZ733" s="84"/>
      <c r="CA733" s="84"/>
      <c r="CB733" s="84"/>
      <c r="CC733" s="84"/>
      <c r="CD733" s="84"/>
      <c r="CE733" s="84"/>
      <c r="CF733" s="84"/>
      <c r="CG733" s="84"/>
      <c r="CH733" s="84"/>
      <c r="CI733" s="84"/>
      <c r="CJ733" s="84"/>
      <c r="CK733" s="84"/>
      <c r="CL733" s="84"/>
      <c r="CM733" s="84"/>
      <c r="CN733" s="84"/>
      <c r="CO733" s="84"/>
      <c r="CP733" s="84"/>
      <c r="CQ733" s="84"/>
      <c r="CR733" s="84"/>
      <c r="CS733" s="84"/>
      <c r="CT733" s="84"/>
      <c r="CU733" s="84"/>
      <c r="CV733" s="84"/>
      <c r="CW733" s="84"/>
      <c r="CX733" s="84"/>
      <c r="CY733" s="84"/>
      <c r="CZ733" s="84"/>
      <c r="DA733" s="84"/>
      <c r="DB733" s="84"/>
      <c r="DC733" s="84"/>
      <c r="DD733" s="84"/>
      <c r="DE733" s="84"/>
      <c r="DF733" s="84"/>
      <c r="DG733" s="115"/>
    </row>
    <row r="734" spans="2:111" customFormat="1" ht="9" customHeight="1">
      <c r="B734" s="49"/>
      <c r="C734" s="49"/>
      <c r="D734" s="49"/>
      <c r="E734" s="49"/>
      <c r="F734" s="49"/>
      <c r="G734" s="49"/>
      <c r="H734" s="49"/>
      <c r="I734" s="49"/>
      <c r="J734" s="49"/>
      <c r="K734" s="49"/>
      <c r="L734" s="49"/>
      <c r="M734" s="49"/>
      <c r="N734" s="49"/>
      <c r="O734" s="421"/>
      <c r="P734" s="421"/>
      <c r="Q734" s="421"/>
      <c r="R734" s="421"/>
      <c r="S734" s="421"/>
      <c r="T734" s="421"/>
      <c r="U734" s="421"/>
      <c r="V734" s="421"/>
      <c r="W734" s="421"/>
      <c r="X734" s="421"/>
      <c r="Y734" s="421"/>
      <c r="Z734" s="421"/>
      <c r="AA734" s="421"/>
      <c r="AB734" s="421"/>
      <c r="AC734" s="421"/>
      <c r="AD734" s="421"/>
      <c r="AE734" s="421"/>
      <c r="AF734" s="421"/>
      <c r="AG734" s="421"/>
      <c r="AH734" s="421"/>
      <c r="AI734" s="421"/>
      <c r="AJ734" s="421"/>
      <c r="AK734" s="421"/>
      <c r="AL734" s="421"/>
      <c r="AM734" s="421"/>
      <c r="AN734" s="421"/>
      <c r="AO734" s="421"/>
      <c r="AP734" s="421"/>
      <c r="AQ734" s="421"/>
      <c r="AR734" s="421"/>
      <c r="AS734" s="421"/>
      <c r="AT734" s="421"/>
      <c r="AU734" s="421"/>
      <c r="AV734" s="421"/>
      <c r="AW734" s="421"/>
      <c r="AX734" s="421"/>
      <c r="AY734" s="421"/>
      <c r="AZ734" s="421"/>
      <c r="BA734" s="421"/>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c r="BY734" s="115"/>
      <c r="BZ734" s="115"/>
      <c r="CA734" s="115"/>
      <c r="CB734" s="115"/>
      <c r="CC734" s="115"/>
      <c r="CD734" s="115"/>
      <c r="CE734" s="115"/>
      <c r="CF734" s="115"/>
      <c r="CG734" s="115"/>
      <c r="CH734" s="115"/>
      <c r="CI734" s="115"/>
      <c r="CJ734" s="115"/>
      <c r="CK734" s="115"/>
      <c r="CL734" s="115"/>
      <c r="CM734" s="115"/>
      <c r="CN734" s="115"/>
      <c r="CO734" s="115"/>
      <c r="CP734" s="115"/>
      <c r="CQ734" s="115"/>
      <c r="CR734" s="115"/>
      <c r="CS734" s="115"/>
      <c r="CT734" s="115"/>
      <c r="CU734" s="115"/>
      <c r="CV734" s="115"/>
      <c r="CW734" s="115"/>
      <c r="CX734" s="115"/>
      <c r="CY734" s="115"/>
      <c r="CZ734" s="115"/>
      <c r="DA734" s="115"/>
      <c r="DB734" s="115"/>
      <c r="DC734" s="115"/>
      <c r="DD734" s="115"/>
      <c r="DE734" s="115"/>
      <c r="DF734" s="115"/>
      <c r="DG734" s="115"/>
    </row>
    <row r="735" spans="2:111" customFormat="1" ht="4.5" customHeight="1">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C735" s="115"/>
      <c r="BD735" s="115"/>
      <c r="BE735" s="115"/>
      <c r="BF735" s="115"/>
      <c r="BG735" s="115"/>
      <c r="BH735" s="124"/>
      <c r="BI735" s="124"/>
      <c r="BJ735" s="124"/>
      <c r="BK735" s="124"/>
      <c r="BL735" s="124"/>
      <c r="BM735" s="124"/>
      <c r="BN735" s="124"/>
      <c r="BO735" s="124"/>
      <c r="BP735" s="124"/>
      <c r="BQ735" s="124"/>
      <c r="BR735" s="124"/>
      <c r="BS735" s="124"/>
      <c r="BT735" s="124"/>
      <c r="BU735" s="124"/>
      <c r="BV735" s="124"/>
      <c r="BW735" s="124"/>
      <c r="BX735" s="124"/>
      <c r="BY735" s="124"/>
      <c r="BZ735" s="124"/>
      <c r="CA735" s="124"/>
      <c r="CB735" s="124"/>
      <c r="CC735" s="124"/>
      <c r="CD735" s="124"/>
      <c r="CE735" s="124"/>
      <c r="CF735" s="124"/>
      <c r="CG735" s="124"/>
      <c r="CH735" s="124"/>
      <c r="CI735" s="124"/>
      <c r="CJ735" s="124"/>
      <c r="CK735" s="124"/>
      <c r="CL735" s="124"/>
      <c r="CM735" s="124"/>
      <c r="CN735" s="124"/>
      <c r="CO735" s="124"/>
      <c r="CP735" s="124"/>
      <c r="CQ735" s="124"/>
      <c r="CR735" s="124"/>
      <c r="CS735" s="124"/>
      <c r="CT735" s="124"/>
      <c r="CU735" s="124"/>
      <c r="CV735" s="124"/>
      <c r="CW735" s="124"/>
      <c r="CX735" s="124"/>
      <c r="CY735" s="124"/>
      <c r="CZ735" s="124"/>
      <c r="DA735" s="124"/>
      <c r="DB735" s="124"/>
      <c r="DC735" s="124"/>
      <c r="DD735" s="124"/>
      <c r="DE735" s="124"/>
      <c r="DF735" s="124"/>
      <c r="DG735" s="115"/>
    </row>
    <row r="736" spans="2:111" customFormat="1" ht="9" customHeight="1">
      <c r="B736" s="493" t="str">
        <f>IF(B716="","","Justificativa:")</f>
        <v/>
      </c>
      <c r="C736" s="493"/>
      <c r="D736" s="493"/>
      <c r="E736" s="493"/>
      <c r="F736" s="493"/>
      <c r="G736" s="493"/>
      <c r="H736" s="493"/>
      <c r="I736" s="493"/>
      <c r="J736" s="493"/>
      <c r="K736" s="493"/>
      <c r="L736" s="493"/>
      <c r="M736" s="493"/>
      <c r="N736" s="493"/>
      <c r="O736" s="421"/>
      <c r="P736" s="421"/>
      <c r="Q736" s="421"/>
      <c r="R736" s="421"/>
      <c r="S736" s="421"/>
      <c r="T736" s="421"/>
      <c r="U736" s="421"/>
      <c r="V736" s="421"/>
      <c r="W736" s="421"/>
      <c r="X736" s="421"/>
      <c r="Y736" s="421"/>
      <c r="Z736" s="421"/>
      <c r="AA736" s="421"/>
      <c r="AB736" s="421"/>
      <c r="AC736" s="421"/>
      <c r="AD736" s="421"/>
      <c r="AE736" s="421"/>
      <c r="AF736" s="421"/>
      <c r="AG736" s="421"/>
      <c r="AH736" s="421"/>
      <c r="AI736" s="421"/>
      <c r="AJ736" s="421"/>
      <c r="AK736" s="421"/>
      <c r="AL736" s="421"/>
      <c r="AM736" s="421"/>
      <c r="AN736" s="421"/>
      <c r="AO736" s="421"/>
      <c r="AP736" s="421"/>
      <c r="AQ736" s="421"/>
      <c r="AR736" s="421"/>
      <c r="AS736" s="421"/>
      <c r="AT736" s="421"/>
      <c r="AU736" s="421"/>
      <c r="AV736" s="421"/>
      <c r="AW736" s="421"/>
      <c r="AX736" s="421"/>
      <c r="AY736" s="421"/>
      <c r="AZ736" s="421"/>
      <c r="BA736" s="421"/>
      <c r="BC736" s="115"/>
      <c r="BD736" s="115"/>
      <c r="BE736" s="115"/>
      <c r="BF736" s="115"/>
      <c r="BG736" s="115"/>
      <c r="BH736" s="124"/>
      <c r="BI736" s="124"/>
      <c r="BJ736" s="124"/>
      <c r="BK736" s="124"/>
      <c r="BL736" s="124"/>
      <c r="BM736" s="124"/>
      <c r="BN736" s="124"/>
      <c r="BO736" s="124"/>
      <c r="BP736" s="124"/>
      <c r="BQ736" s="124"/>
      <c r="BR736" s="124"/>
      <c r="BS736" s="124"/>
      <c r="BT736" s="124"/>
      <c r="BU736" s="124"/>
      <c r="BV736" s="124"/>
      <c r="BW736" s="124"/>
      <c r="BX736" s="124"/>
      <c r="BY736" s="124"/>
      <c r="BZ736" s="124"/>
      <c r="CA736" s="124"/>
      <c r="CB736" s="124"/>
      <c r="CC736" s="124"/>
      <c r="CD736" s="124"/>
      <c r="CE736" s="124"/>
      <c r="CF736" s="124"/>
      <c r="CG736" s="124"/>
      <c r="CH736" s="124"/>
      <c r="CI736" s="124"/>
      <c r="CJ736" s="124"/>
      <c r="CK736" s="124"/>
      <c r="CL736" s="124"/>
      <c r="CM736" s="124"/>
      <c r="CN736" s="124"/>
      <c r="CO736" s="124"/>
      <c r="CP736" s="124"/>
      <c r="CQ736" s="124"/>
      <c r="CR736" s="124"/>
      <c r="CS736" s="124"/>
      <c r="CT736" s="124"/>
      <c r="CU736" s="124"/>
      <c r="CV736" s="124"/>
      <c r="CW736" s="124"/>
      <c r="CX736" s="124"/>
      <c r="CY736" s="124"/>
      <c r="CZ736" s="124"/>
      <c r="DA736" s="124"/>
      <c r="DB736" s="124"/>
      <c r="DC736" s="124"/>
      <c r="DD736" s="124"/>
      <c r="DE736" s="124"/>
      <c r="DF736" s="124"/>
      <c r="DG736" s="115"/>
    </row>
    <row r="737" spans="2:111" customFormat="1" ht="9" customHeight="1">
      <c r="B737" s="493"/>
      <c r="C737" s="493"/>
      <c r="D737" s="493"/>
      <c r="E737" s="493"/>
      <c r="F737" s="493"/>
      <c r="G737" s="493"/>
      <c r="H737" s="493"/>
      <c r="I737" s="493"/>
      <c r="J737" s="493"/>
      <c r="K737" s="493"/>
      <c r="L737" s="493"/>
      <c r="M737" s="493"/>
      <c r="N737" s="493"/>
      <c r="O737" s="421"/>
      <c r="P737" s="421"/>
      <c r="Q737" s="421"/>
      <c r="R737" s="421"/>
      <c r="S737" s="421"/>
      <c r="T737" s="421"/>
      <c r="U737" s="421"/>
      <c r="V737" s="421"/>
      <c r="W737" s="421"/>
      <c r="X737" s="421"/>
      <c r="Y737" s="421"/>
      <c r="Z737" s="421"/>
      <c r="AA737" s="421"/>
      <c r="AB737" s="421"/>
      <c r="AC737" s="421"/>
      <c r="AD737" s="421"/>
      <c r="AE737" s="421"/>
      <c r="AF737" s="421"/>
      <c r="AG737" s="421"/>
      <c r="AH737" s="421"/>
      <c r="AI737" s="421"/>
      <c r="AJ737" s="421"/>
      <c r="AK737" s="421"/>
      <c r="AL737" s="421"/>
      <c r="AM737" s="421"/>
      <c r="AN737" s="421"/>
      <c r="AO737" s="421"/>
      <c r="AP737" s="421"/>
      <c r="AQ737" s="421"/>
      <c r="AR737" s="421"/>
      <c r="AS737" s="421"/>
      <c r="AT737" s="421"/>
      <c r="AU737" s="421"/>
      <c r="AV737" s="421"/>
      <c r="AW737" s="421"/>
      <c r="AX737" s="421"/>
      <c r="AY737" s="421"/>
      <c r="AZ737" s="421"/>
      <c r="BA737" s="421"/>
      <c r="BC737" s="115"/>
      <c r="BD737" s="115"/>
      <c r="BE737" s="115"/>
      <c r="BF737" s="115"/>
      <c r="BG737" s="115"/>
      <c r="BH737" s="124"/>
      <c r="BI737" s="124"/>
      <c r="BJ737" s="124"/>
      <c r="BK737" s="124"/>
      <c r="BL737" s="124"/>
      <c r="BM737" s="124"/>
      <c r="BN737" s="124"/>
      <c r="BO737" s="124"/>
      <c r="BP737" s="124"/>
      <c r="BQ737" s="124"/>
      <c r="BR737" s="124"/>
      <c r="BS737" s="124"/>
      <c r="BT737" s="124"/>
      <c r="BU737" s="124"/>
      <c r="BV737" s="124"/>
      <c r="BW737" s="124"/>
      <c r="BX737" s="124"/>
      <c r="BY737" s="124"/>
      <c r="BZ737" s="124"/>
      <c r="CA737" s="124"/>
      <c r="CB737" s="124"/>
      <c r="CC737" s="124"/>
      <c r="CD737" s="124"/>
      <c r="CE737" s="124"/>
      <c r="CF737" s="124"/>
      <c r="CG737" s="124"/>
      <c r="CH737" s="124"/>
      <c r="CI737" s="124"/>
      <c r="CJ737" s="124"/>
      <c r="CK737" s="124"/>
      <c r="CL737" s="124"/>
      <c r="CM737" s="124"/>
      <c r="CN737" s="124"/>
      <c r="CO737" s="124"/>
      <c r="CP737" s="124"/>
      <c r="CQ737" s="124"/>
      <c r="CR737" s="124"/>
      <c r="CS737" s="124"/>
      <c r="CT737" s="124"/>
      <c r="CU737" s="124"/>
      <c r="CV737" s="124"/>
      <c r="CW737" s="124"/>
      <c r="CX737" s="124"/>
      <c r="CY737" s="124"/>
      <c r="CZ737" s="124"/>
      <c r="DA737" s="124"/>
      <c r="DB737" s="124"/>
      <c r="DC737" s="124"/>
      <c r="DD737" s="124"/>
      <c r="DE737" s="124"/>
      <c r="DF737" s="124"/>
      <c r="DG737" s="115"/>
    </row>
    <row r="738" spans="2:111" customFormat="1" ht="9" customHeight="1">
      <c r="B738" s="143"/>
      <c r="C738" s="143"/>
      <c r="D738" s="143"/>
      <c r="E738" s="143"/>
      <c r="F738" s="143"/>
      <c r="G738" s="143"/>
      <c r="H738" s="143"/>
      <c r="I738" s="143"/>
      <c r="J738" s="143"/>
      <c r="K738" s="143"/>
      <c r="L738" s="143"/>
      <c r="M738" s="143"/>
      <c r="N738" s="143"/>
      <c r="O738" s="421"/>
      <c r="P738" s="421"/>
      <c r="Q738" s="421"/>
      <c r="R738" s="421"/>
      <c r="S738" s="421"/>
      <c r="T738" s="421"/>
      <c r="U738" s="421"/>
      <c r="V738" s="421"/>
      <c r="W738" s="421"/>
      <c r="X738" s="421"/>
      <c r="Y738" s="421"/>
      <c r="Z738" s="421"/>
      <c r="AA738" s="421"/>
      <c r="AB738" s="421"/>
      <c r="AC738" s="421"/>
      <c r="AD738" s="421"/>
      <c r="AE738" s="421"/>
      <c r="AF738" s="421"/>
      <c r="AG738" s="421"/>
      <c r="AH738" s="421"/>
      <c r="AI738" s="421"/>
      <c r="AJ738" s="421"/>
      <c r="AK738" s="421"/>
      <c r="AL738" s="421"/>
      <c r="AM738" s="421"/>
      <c r="AN738" s="421"/>
      <c r="AO738" s="421"/>
      <c r="AP738" s="421"/>
      <c r="AQ738" s="421"/>
      <c r="AR738" s="421"/>
      <c r="AS738" s="421"/>
      <c r="AT738" s="421"/>
      <c r="AU738" s="421"/>
      <c r="AV738" s="421"/>
      <c r="AW738" s="421"/>
      <c r="AX738" s="421"/>
      <c r="AY738" s="421"/>
      <c r="AZ738" s="421"/>
      <c r="BA738" s="421"/>
      <c r="BC738" s="115"/>
      <c r="BD738" s="115"/>
      <c r="BE738" s="115"/>
      <c r="BF738" s="115"/>
      <c r="BG738" s="115"/>
      <c r="BH738" s="124"/>
      <c r="BI738" s="124"/>
      <c r="BJ738" s="124"/>
      <c r="BK738" s="124"/>
      <c r="BL738" s="124"/>
      <c r="BM738" s="124"/>
      <c r="BN738" s="124"/>
      <c r="BO738" s="124"/>
      <c r="BP738" s="124"/>
      <c r="BQ738" s="124"/>
      <c r="BR738" s="124"/>
      <c r="BS738" s="124"/>
      <c r="BT738" s="124"/>
      <c r="BU738" s="124"/>
      <c r="BV738" s="124"/>
      <c r="BW738" s="124"/>
      <c r="BX738" s="124"/>
      <c r="BY738" s="124"/>
      <c r="BZ738" s="124"/>
      <c r="CA738" s="124"/>
      <c r="CB738" s="124"/>
      <c r="CC738" s="124"/>
      <c r="CD738" s="124"/>
      <c r="CE738" s="124"/>
      <c r="CF738" s="124"/>
      <c r="CG738" s="124"/>
      <c r="CH738" s="124"/>
      <c r="CI738" s="124"/>
      <c r="CJ738" s="124"/>
      <c r="CK738" s="124"/>
      <c r="CL738" s="124"/>
      <c r="CM738" s="124"/>
      <c r="CN738" s="124"/>
      <c r="CO738" s="124"/>
      <c r="CP738" s="124"/>
      <c r="CQ738" s="124"/>
      <c r="CR738" s="124"/>
      <c r="CS738" s="124"/>
      <c r="CT738" s="124"/>
      <c r="CU738" s="124"/>
      <c r="CV738" s="124"/>
      <c r="CW738" s="124"/>
      <c r="CX738" s="124"/>
      <c r="CY738" s="124"/>
      <c r="CZ738" s="124"/>
      <c r="DA738" s="124"/>
      <c r="DB738" s="124"/>
      <c r="DC738" s="124"/>
      <c r="DD738" s="124"/>
      <c r="DE738" s="124"/>
      <c r="DF738" s="124"/>
      <c r="DG738" s="115"/>
    </row>
    <row r="739" spans="2:111" customFormat="1" ht="9" customHeight="1">
      <c r="B739" s="143"/>
      <c r="C739" s="143"/>
      <c r="D739" s="143"/>
      <c r="E739" s="143"/>
      <c r="F739" s="143"/>
      <c r="G739" s="143"/>
      <c r="H739" s="143"/>
      <c r="I739" s="143"/>
      <c r="J739" s="143"/>
      <c r="K739" s="143"/>
      <c r="L739" s="143"/>
      <c r="M739" s="143"/>
      <c r="N739" s="143"/>
      <c r="O739" s="421"/>
      <c r="P739" s="421"/>
      <c r="Q739" s="421"/>
      <c r="R739" s="421"/>
      <c r="S739" s="421"/>
      <c r="T739" s="421"/>
      <c r="U739" s="421"/>
      <c r="V739" s="421"/>
      <c r="W739" s="421"/>
      <c r="X739" s="421"/>
      <c r="Y739" s="421"/>
      <c r="Z739" s="421"/>
      <c r="AA739" s="421"/>
      <c r="AB739" s="421"/>
      <c r="AC739" s="421"/>
      <c r="AD739" s="421"/>
      <c r="AE739" s="421"/>
      <c r="AF739" s="421"/>
      <c r="AG739" s="421"/>
      <c r="AH739" s="421"/>
      <c r="AI739" s="421"/>
      <c r="AJ739" s="421"/>
      <c r="AK739" s="421"/>
      <c r="AL739" s="421"/>
      <c r="AM739" s="421"/>
      <c r="AN739" s="421"/>
      <c r="AO739" s="421"/>
      <c r="AP739" s="421"/>
      <c r="AQ739" s="421"/>
      <c r="AR739" s="421"/>
      <c r="AS739" s="421"/>
      <c r="AT739" s="421"/>
      <c r="AU739" s="421"/>
      <c r="AV739" s="421"/>
      <c r="AW739" s="421"/>
      <c r="AX739" s="421"/>
      <c r="AY739" s="421"/>
      <c r="AZ739" s="421"/>
      <c r="BA739" s="421"/>
      <c r="BC739" s="115"/>
      <c r="BD739" s="115"/>
      <c r="BE739" s="115"/>
      <c r="BF739" s="115"/>
      <c r="BG739" s="115"/>
      <c r="BH739" s="84"/>
      <c r="BI739" s="84"/>
      <c r="BJ739" s="84"/>
      <c r="BK739" s="84"/>
      <c r="BL739" s="84"/>
      <c r="BM739" s="84"/>
      <c r="BN739" s="84"/>
      <c r="BO739" s="84"/>
      <c r="BP739" s="84"/>
      <c r="BQ739" s="84"/>
      <c r="BR739" s="84"/>
      <c r="BS739" s="84"/>
      <c r="BT739" s="84"/>
      <c r="BU739" s="84"/>
      <c r="BV739" s="84"/>
      <c r="BW739" s="84"/>
      <c r="BX739" s="84"/>
      <c r="BY739" s="84"/>
      <c r="BZ739" s="84"/>
      <c r="CA739" s="84"/>
      <c r="CB739" s="84"/>
      <c r="CC739" s="84"/>
      <c r="CD739" s="84"/>
      <c r="CE739" s="84"/>
      <c r="CF739" s="84"/>
      <c r="CG739" s="84"/>
      <c r="CH739" s="84"/>
      <c r="CI739" s="84"/>
      <c r="CJ739" s="84"/>
      <c r="CK739" s="84"/>
      <c r="CL739" s="84"/>
      <c r="CM739" s="84"/>
      <c r="CN739" s="84"/>
      <c r="CO739" s="84"/>
      <c r="CP739" s="84"/>
      <c r="CQ739" s="84"/>
      <c r="CR739" s="84"/>
      <c r="CS739" s="84"/>
      <c r="CT739" s="84"/>
      <c r="CU739" s="84"/>
      <c r="CV739" s="84"/>
      <c r="CW739" s="84"/>
      <c r="CX739" s="84"/>
      <c r="CY739" s="84"/>
      <c r="CZ739" s="84"/>
      <c r="DA739" s="84"/>
      <c r="DB739" s="84"/>
      <c r="DC739" s="84"/>
      <c r="DD739" s="84"/>
      <c r="DE739" s="84"/>
      <c r="DF739" s="84"/>
      <c r="DG739" s="115"/>
    </row>
    <row r="740" spans="2:111" customFormat="1" ht="9" customHeight="1">
      <c r="B740" s="143"/>
      <c r="C740" s="143"/>
      <c r="D740" s="143"/>
      <c r="E740" s="143"/>
      <c r="F740" s="143"/>
      <c r="G740" s="143"/>
      <c r="H740" s="143"/>
      <c r="I740" s="143"/>
      <c r="J740" s="143"/>
      <c r="K740" s="143"/>
      <c r="L740" s="143"/>
      <c r="M740" s="143"/>
      <c r="N740" s="143"/>
      <c r="O740" s="421"/>
      <c r="P740" s="421"/>
      <c r="Q740" s="421"/>
      <c r="R740" s="421"/>
      <c r="S740" s="421"/>
      <c r="T740" s="421"/>
      <c r="U740" s="421"/>
      <c r="V740" s="421"/>
      <c r="W740" s="421"/>
      <c r="X740" s="421"/>
      <c r="Y740" s="421"/>
      <c r="Z740" s="421"/>
      <c r="AA740" s="421"/>
      <c r="AB740" s="421"/>
      <c r="AC740" s="421"/>
      <c r="AD740" s="421"/>
      <c r="AE740" s="421"/>
      <c r="AF740" s="421"/>
      <c r="AG740" s="421"/>
      <c r="AH740" s="421"/>
      <c r="AI740" s="421"/>
      <c r="AJ740" s="421"/>
      <c r="AK740" s="421"/>
      <c r="AL740" s="421"/>
      <c r="AM740" s="421"/>
      <c r="AN740" s="421"/>
      <c r="AO740" s="421"/>
      <c r="AP740" s="421"/>
      <c r="AQ740" s="421"/>
      <c r="AR740" s="421"/>
      <c r="AS740" s="421"/>
      <c r="AT740" s="421"/>
      <c r="AU740" s="421"/>
      <c r="AV740" s="421"/>
      <c r="AW740" s="421"/>
      <c r="AX740" s="421"/>
      <c r="AY740" s="421"/>
      <c r="AZ740" s="421"/>
      <c r="BA740" s="421"/>
      <c r="BC740" s="115"/>
      <c r="BD740" s="115"/>
      <c r="BE740" s="115"/>
      <c r="BF740" s="115"/>
      <c r="BG740" s="115"/>
      <c r="BH740" s="84"/>
      <c r="BI740" s="84"/>
      <c r="BJ740" s="84"/>
      <c r="BK740" s="84"/>
      <c r="BL740" s="84"/>
      <c r="BM740" s="84"/>
      <c r="BN740" s="84"/>
      <c r="BO740" s="84"/>
      <c r="BP740" s="84"/>
      <c r="BQ740" s="84"/>
      <c r="BR740" s="84"/>
      <c r="BS740" s="84"/>
      <c r="BT740" s="84"/>
      <c r="BU740" s="84"/>
      <c r="BV740" s="84"/>
      <c r="BW740" s="84"/>
      <c r="BX740" s="84"/>
      <c r="BY740" s="84"/>
      <c r="BZ740" s="84"/>
      <c r="CA740" s="84"/>
      <c r="CB740" s="84"/>
      <c r="CC740" s="84"/>
      <c r="CD740" s="84"/>
      <c r="CE740" s="84"/>
      <c r="CF740" s="84"/>
      <c r="CG740" s="84"/>
      <c r="CH740" s="84"/>
      <c r="CI740" s="84"/>
      <c r="CJ740" s="84"/>
      <c r="CK740" s="84"/>
      <c r="CL740" s="84"/>
      <c r="CM740" s="84"/>
      <c r="CN740" s="84"/>
      <c r="CO740" s="84"/>
      <c r="CP740" s="84"/>
      <c r="CQ740" s="84"/>
      <c r="CR740" s="84"/>
      <c r="CS740" s="84"/>
      <c r="CT740" s="84"/>
      <c r="CU740" s="84"/>
      <c r="CV740" s="84"/>
      <c r="CW740" s="84"/>
      <c r="CX740" s="84"/>
      <c r="CY740" s="84"/>
      <c r="CZ740" s="84"/>
      <c r="DA740" s="84"/>
      <c r="DB740" s="84"/>
      <c r="DC740" s="84"/>
      <c r="DD740" s="84"/>
      <c r="DE740" s="84"/>
      <c r="DF740" s="84"/>
      <c r="DG740" s="115"/>
    </row>
    <row r="741" spans="2:111" customFormat="1" ht="9" customHeight="1">
      <c r="B741" s="49"/>
      <c r="C741" s="49"/>
      <c r="D741" s="49"/>
      <c r="E741" s="49"/>
      <c r="F741" s="49"/>
      <c r="G741" s="49"/>
      <c r="H741" s="49"/>
      <c r="I741" s="49"/>
      <c r="J741" s="49"/>
      <c r="K741" s="49"/>
      <c r="L741" s="49"/>
      <c r="M741" s="49"/>
      <c r="N741" s="49"/>
      <c r="O741" s="421"/>
      <c r="P741" s="421"/>
      <c r="Q741" s="421"/>
      <c r="R741" s="421"/>
      <c r="S741" s="421"/>
      <c r="T741" s="421"/>
      <c r="U741" s="421"/>
      <c r="V741" s="421"/>
      <c r="W741" s="421"/>
      <c r="X741" s="421"/>
      <c r="Y741" s="421"/>
      <c r="Z741" s="421"/>
      <c r="AA741" s="421"/>
      <c r="AB741" s="421"/>
      <c r="AC741" s="421"/>
      <c r="AD741" s="421"/>
      <c r="AE741" s="421"/>
      <c r="AF741" s="421"/>
      <c r="AG741" s="421"/>
      <c r="AH741" s="421"/>
      <c r="AI741" s="421"/>
      <c r="AJ741" s="421"/>
      <c r="AK741" s="421"/>
      <c r="AL741" s="421"/>
      <c r="AM741" s="421"/>
      <c r="AN741" s="421"/>
      <c r="AO741" s="421"/>
      <c r="AP741" s="421"/>
      <c r="AQ741" s="421"/>
      <c r="AR741" s="421"/>
      <c r="AS741" s="421"/>
      <c r="AT741" s="421"/>
      <c r="AU741" s="421"/>
      <c r="AV741" s="421"/>
      <c r="AW741" s="421"/>
      <c r="AX741" s="421"/>
      <c r="AY741" s="421"/>
      <c r="AZ741" s="421"/>
      <c r="BA741" s="421"/>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c r="BY741" s="115"/>
      <c r="BZ741" s="115"/>
      <c r="CA741" s="115"/>
      <c r="CB741" s="115"/>
      <c r="CC741" s="115"/>
      <c r="CD741" s="115"/>
      <c r="CE741" s="115"/>
      <c r="CF741" s="115"/>
      <c r="CG741" s="115"/>
      <c r="CH741" s="115"/>
      <c r="CI741" s="115"/>
      <c r="CJ741" s="115"/>
      <c r="CK741" s="115"/>
      <c r="CL741" s="115"/>
      <c r="CM741" s="115"/>
      <c r="CN741" s="115"/>
      <c r="CO741" s="115"/>
      <c r="CP741" s="115"/>
      <c r="CQ741" s="115"/>
      <c r="CR741" s="115"/>
      <c r="CS741" s="115"/>
      <c r="CT741" s="115"/>
      <c r="CU741" s="115"/>
      <c r="CV741" s="115"/>
      <c r="CW741" s="115"/>
      <c r="CX741" s="115"/>
      <c r="CY741" s="115"/>
      <c r="CZ741" s="115"/>
      <c r="DA741" s="115"/>
      <c r="DB741" s="115"/>
      <c r="DC741" s="115"/>
      <c r="DD741" s="115"/>
      <c r="DE741" s="115"/>
      <c r="DF741" s="115"/>
      <c r="DG741" s="115"/>
    </row>
    <row r="742" spans="2:111" customFormat="1" ht="4.5" customHeight="1">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AY742" s="49"/>
      <c r="AZ742" s="49"/>
      <c r="BA742" s="49"/>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c r="BY742" s="115"/>
      <c r="BZ742" s="115"/>
      <c r="CA742" s="115"/>
      <c r="CB742" s="115"/>
      <c r="CC742" s="115"/>
      <c r="CD742" s="115"/>
      <c r="CE742" s="115"/>
      <c r="CF742" s="115"/>
      <c r="CG742" s="115"/>
      <c r="CH742" s="115"/>
      <c r="CI742" s="115"/>
      <c r="CJ742" s="115"/>
      <c r="CK742" s="115"/>
      <c r="CL742" s="115"/>
      <c r="CM742" s="115"/>
      <c r="CN742" s="115"/>
      <c r="CO742" s="115"/>
      <c r="CP742" s="115"/>
      <c r="CQ742" s="115"/>
      <c r="CR742" s="115"/>
      <c r="CS742" s="115"/>
      <c r="CT742" s="115"/>
      <c r="CU742" s="115"/>
      <c r="CV742" s="115"/>
      <c r="CW742" s="115"/>
      <c r="CX742" s="115"/>
      <c r="CY742" s="115"/>
      <c r="CZ742" s="115"/>
      <c r="DA742" s="115"/>
      <c r="DB742" s="115"/>
      <c r="DC742" s="115"/>
      <c r="DD742" s="115"/>
      <c r="DE742" s="115"/>
      <c r="DF742" s="115"/>
      <c r="DG742" s="115"/>
    </row>
    <row r="743" spans="2:111" customFormat="1" ht="9" customHeight="1">
      <c r="B743" s="493" t="str">
        <f>IF(B716="","","Metas Vinculadas:")</f>
        <v/>
      </c>
      <c r="C743" s="493"/>
      <c r="D743" s="493"/>
      <c r="E743" s="493"/>
      <c r="F743" s="493"/>
      <c r="G743" s="493"/>
      <c r="H743" s="493"/>
      <c r="I743" s="493"/>
      <c r="J743" s="493"/>
      <c r="K743" s="493"/>
      <c r="L743" s="493"/>
      <c r="M743" s="493"/>
      <c r="N743" s="493"/>
      <c r="O743" s="421"/>
      <c r="P743" s="421"/>
      <c r="Q743" s="421"/>
      <c r="R743" s="421"/>
      <c r="S743" s="421"/>
      <c r="T743" s="421"/>
      <c r="U743" s="421"/>
      <c r="V743" s="421"/>
      <c r="W743" s="421"/>
      <c r="X743" s="421"/>
      <c r="Y743" s="421"/>
      <c r="Z743" s="421"/>
      <c r="AA743" s="421"/>
      <c r="AB743" s="421"/>
      <c r="AC743" s="421"/>
      <c r="AD743" s="421"/>
      <c r="AE743" s="421"/>
      <c r="AF743" s="421"/>
      <c r="AG743" s="421"/>
      <c r="AH743" s="421"/>
      <c r="AI743" s="421"/>
      <c r="AJ743" s="421"/>
      <c r="AK743" s="421"/>
      <c r="AL743" s="421"/>
      <c r="AM743" s="421"/>
      <c r="AN743" s="421"/>
      <c r="AO743" s="421"/>
      <c r="AP743" s="421"/>
      <c r="AQ743" s="421"/>
      <c r="AR743" s="421"/>
      <c r="AS743" s="421"/>
      <c r="AT743" s="421"/>
      <c r="AU743" s="421"/>
      <c r="AV743" s="421"/>
      <c r="AW743" s="421"/>
      <c r="AX743" s="421"/>
      <c r="AY743" s="421"/>
      <c r="AZ743" s="421"/>
      <c r="BA743" s="421"/>
      <c r="BC743" s="115"/>
      <c r="BD743" s="115"/>
      <c r="BE743" s="115"/>
      <c r="BF743" s="115"/>
      <c r="BG743" s="115"/>
      <c r="BH743" s="124"/>
      <c r="BI743" s="124"/>
      <c r="BJ743" s="124"/>
      <c r="BK743" s="124"/>
      <c r="BL743" s="124"/>
      <c r="BM743" s="124"/>
      <c r="BN743" s="124"/>
      <c r="BO743" s="124"/>
      <c r="BP743" s="124"/>
      <c r="BQ743" s="124"/>
      <c r="BR743" s="124"/>
      <c r="BS743" s="124"/>
      <c r="BT743" s="124"/>
      <c r="BU743" s="124"/>
      <c r="BV743" s="124"/>
      <c r="BW743" s="124"/>
      <c r="BX743" s="124"/>
      <c r="BY743" s="124"/>
      <c r="BZ743" s="124"/>
      <c r="CA743" s="124"/>
      <c r="CB743" s="124"/>
      <c r="CC743" s="124"/>
      <c r="CD743" s="124"/>
      <c r="CE743" s="124"/>
      <c r="CF743" s="124"/>
      <c r="CG743" s="124"/>
      <c r="CH743" s="124"/>
      <c r="CI743" s="124"/>
      <c r="CJ743" s="124"/>
      <c r="CK743" s="124"/>
      <c r="CL743" s="124"/>
      <c r="CM743" s="124"/>
      <c r="CN743" s="124"/>
      <c r="CO743" s="124"/>
      <c r="CP743" s="124"/>
      <c r="CQ743" s="124"/>
      <c r="CR743" s="124"/>
      <c r="CS743" s="124"/>
      <c r="CT743" s="124"/>
      <c r="CU743" s="124"/>
      <c r="CV743" s="124"/>
      <c r="CW743" s="124"/>
      <c r="CX743" s="124"/>
      <c r="CY743" s="124"/>
      <c r="CZ743" s="124"/>
      <c r="DA743" s="124"/>
      <c r="DB743" s="124"/>
      <c r="DC743" s="124"/>
      <c r="DD743" s="124"/>
      <c r="DE743" s="124"/>
      <c r="DF743" s="124"/>
      <c r="DG743" s="115"/>
    </row>
    <row r="744" spans="2:111" customFormat="1" ht="9" customHeight="1">
      <c r="B744" s="493"/>
      <c r="C744" s="493"/>
      <c r="D744" s="493"/>
      <c r="E744" s="493"/>
      <c r="F744" s="493"/>
      <c r="G744" s="493"/>
      <c r="H744" s="493"/>
      <c r="I744" s="493"/>
      <c r="J744" s="493"/>
      <c r="K744" s="493"/>
      <c r="L744" s="493"/>
      <c r="M744" s="493"/>
      <c r="N744" s="493"/>
      <c r="O744" s="421"/>
      <c r="P744" s="421"/>
      <c r="Q744" s="421"/>
      <c r="R744" s="421"/>
      <c r="S744" s="421"/>
      <c r="T744" s="421"/>
      <c r="U744" s="421"/>
      <c r="V744" s="421"/>
      <c r="W744" s="421"/>
      <c r="X744" s="421"/>
      <c r="Y744" s="421"/>
      <c r="Z744" s="421"/>
      <c r="AA744" s="421"/>
      <c r="AB744" s="421"/>
      <c r="AC744" s="421"/>
      <c r="AD744" s="421"/>
      <c r="AE744" s="421"/>
      <c r="AF744" s="421"/>
      <c r="AG744" s="421"/>
      <c r="AH744" s="421"/>
      <c r="AI744" s="421"/>
      <c r="AJ744" s="421"/>
      <c r="AK744" s="421"/>
      <c r="AL744" s="421"/>
      <c r="AM744" s="421"/>
      <c r="AN744" s="421"/>
      <c r="AO744" s="421"/>
      <c r="AP744" s="421"/>
      <c r="AQ744" s="421"/>
      <c r="AR744" s="421"/>
      <c r="AS744" s="421"/>
      <c r="AT744" s="421"/>
      <c r="AU744" s="421"/>
      <c r="AV744" s="421"/>
      <c r="AW744" s="421"/>
      <c r="AX744" s="421"/>
      <c r="AY744" s="421"/>
      <c r="AZ744" s="421"/>
      <c r="BA744" s="421"/>
      <c r="BC744" s="115"/>
      <c r="BD744" s="115"/>
      <c r="BE744" s="115"/>
      <c r="BF744" s="115"/>
      <c r="BG744" s="115"/>
      <c r="BH744" s="84"/>
      <c r="BI744" s="84"/>
      <c r="BJ744" s="84"/>
      <c r="BK744" s="84"/>
      <c r="BL744" s="84"/>
      <c r="BM744" s="84"/>
      <c r="BN744" s="84"/>
      <c r="BO744" s="84"/>
      <c r="BP744" s="84"/>
      <c r="BQ744" s="84"/>
      <c r="BR744" s="84"/>
      <c r="BS744" s="84"/>
      <c r="BT744" s="84"/>
      <c r="BU744" s="84"/>
      <c r="BV744" s="84"/>
      <c r="BW744" s="84"/>
      <c r="BX744" s="84"/>
      <c r="BY744" s="84"/>
      <c r="BZ744" s="84"/>
      <c r="CA744" s="84"/>
      <c r="CB744" s="84"/>
      <c r="CC744" s="84"/>
      <c r="CD744" s="84"/>
      <c r="CE744" s="84"/>
      <c r="CF744" s="84"/>
      <c r="CG744" s="84"/>
      <c r="CH744" s="84"/>
      <c r="CI744" s="84"/>
      <c r="CJ744" s="84"/>
      <c r="CK744" s="84"/>
      <c r="CL744" s="84"/>
      <c r="CM744" s="84"/>
      <c r="CN744" s="84"/>
      <c r="CO744" s="84"/>
      <c r="CP744" s="84"/>
      <c r="CQ744" s="84"/>
      <c r="CR744" s="84"/>
      <c r="CS744" s="84"/>
      <c r="CT744" s="84"/>
      <c r="CU744" s="84"/>
      <c r="CV744" s="84"/>
      <c r="CW744" s="84"/>
      <c r="CX744" s="84"/>
      <c r="CY744" s="84"/>
      <c r="CZ744" s="84"/>
      <c r="DA744" s="84"/>
      <c r="DB744" s="84"/>
      <c r="DC744" s="84"/>
      <c r="DD744" s="84"/>
      <c r="DE744" s="84"/>
      <c r="DF744" s="84"/>
      <c r="DG744" s="115"/>
    </row>
    <row r="745" spans="2:111" customFormat="1" ht="4.5" customHeight="1">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49"/>
      <c r="AY745" s="49"/>
      <c r="AZ745" s="49"/>
      <c r="BA745" s="49"/>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c r="BY745" s="115"/>
      <c r="BZ745" s="115"/>
      <c r="CA745" s="115"/>
      <c r="CB745" s="115"/>
      <c r="CC745" s="115"/>
      <c r="CD745" s="115"/>
      <c r="CE745" s="115"/>
      <c r="CF745" s="115"/>
      <c r="CG745" s="115"/>
      <c r="CH745" s="115"/>
      <c r="CI745" s="115"/>
      <c r="CJ745" s="115"/>
      <c r="CK745" s="115"/>
      <c r="CL745" s="115"/>
      <c r="CM745" s="115"/>
      <c r="CN745" s="115"/>
      <c r="CO745" s="115"/>
      <c r="CP745" s="115"/>
      <c r="CQ745" s="115"/>
      <c r="CR745" s="115"/>
      <c r="CS745" s="115"/>
      <c r="CT745" s="115"/>
      <c r="CU745" s="115"/>
      <c r="CV745" s="115"/>
      <c r="CW745" s="115"/>
      <c r="CX745" s="115"/>
      <c r="CY745" s="115"/>
      <c r="CZ745" s="115"/>
      <c r="DA745" s="115"/>
      <c r="DB745" s="115"/>
      <c r="DC745" s="115"/>
      <c r="DD745" s="115"/>
      <c r="DE745" s="115"/>
      <c r="DF745" s="115"/>
      <c r="DG745" s="115"/>
    </row>
    <row r="746" spans="2:111" customFormat="1" ht="9" customHeight="1">
      <c r="B746" s="125"/>
      <c r="C746" s="125"/>
      <c r="D746" s="125"/>
      <c r="E746" s="125"/>
      <c r="F746" s="125"/>
      <c r="G746" s="125"/>
      <c r="H746" s="125"/>
      <c r="I746" s="125"/>
      <c r="J746" s="125"/>
      <c r="K746" s="125"/>
      <c r="L746" s="125"/>
      <c r="M746" s="125"/>
      <c r="N746" s="125"/>
      <c r="O746" s="496" t="str">
        <f>IF(B716="","","Quantidade:")</f>
        <v/>
      </c>
      <c r="P746" s="496"/>
      <c r="Q746" s="496"/>
      <c r="R746" s="496"/>
      <c r="S746" s="496"/>
      <c r="T746" s="496"/>
      <c r="U746" s="496"/>
      <c r="V746" s="417"/>
      <c r="W746" s="417"/>
      <c r="X746" s="417"/>
      <c r="Y746" s="417"/>
      <c r="Z746" s="417"/>
      <c r="AA746" s="417"/>
      <c r="AB746" s="417"/>
      <c r="AC746" s="417"/>
      <c r="AD746" s="417"/>
      <c r="AE746" s="417"/>
      <c r="AF746" s="125"/>
      <c r="AG746" s="497" t="str">
        <f>IF(B716="","","Unidade:")</f>
        <v/>
      </c>
      <c r="AH746" s="497"/>
      <c r="AI746" s="497"/>
      <c r="AJ746" s="497"/>
      <c r="AK746" s="497"/>
      <c r="AL746" s="497"/>
      <c r="AM746" s="497"/>
      <c r="AN746" s="125"/>
      <c r="AO746" s="417"/>
      <c r="AP746" s="417"/>
      <c r="AQ746" s="417"/>
      <c r="AR746" s="417"/>
      <c r="AS746" s="417"/>
      <c r="AT746" s="417"/>
      <c r="AU746" s="417"/>
      <c r="AV746" s="417"/>
      <c r="AW746" s="417"/>
      <c r="AX746" s="417"/>
      <c r="AY746" s="417"/>
      <c r="AZ746" s="417"/>
      <c r="BA746" s="417"/>
      <c r="BC746" s="115"/>
      <c r="BD746" s="115"/>
      <c r="BE746" s="115"/>
      <c r="BF746" s="115"/>
      <c r="BG746" s="115"/>
      <c r="BH746" s="124"/>
      <c r="BI746" s="124"/>
      <c r="BJ746" s="124"/>
      <c r="BK746" s="124"/>
      <c r="BL746" s="124"/>
      <c r="BM746" s="124"/>
      <c r="BN746" s="124"/>
      <c r="BO746" s="124"/>
      <c r="BP746" s="124"/>
      <c r="BQ746" s="124"/>
      <c r="BR746" s="124"/>
      <c r="BS746" s="124"/>
      <c r="BT746" s="124"/>
      <c r="BU746" s="124"/>
      <c r="BV746" s="124"/>
      <c r="BW746" s="124"/>
      <c r="BX746" s="124"/>
      <c r="BY746" s="124"/>
      <c r="BZ746" s="124"/>
      <c r="CA746" s="124"/>
      <c r="CB746" s="124"/>
      <c r="CC746" s="124"/>
      <c r="CD746" s="124"/>
      <c r="CE746" s="124"/>
      <c r="CF746" s="124"/>
      <c r="CG746" s="124"/>
      <c r="CH746" s="124"/>
      <c r="CI746" s="124"/>
      <c r="CJ746" s="124"/>
      <c r="CK746" s="124"/>
      <c r="CL746" s="124"/>
      <c r="CM746" s="124"/>
      <c r="CN746" s="124"/>
      <c r="CO746" s="124"/>
      <c r="CP746" s="124"/>
      <c r="CQ746" s="124"/>
      <c r="CR746" s="124"/>
      <c r="CS746" s="124"/>
      <c r="CT746" s="124"/>
      <c r="CU746" s="124"/>
      <c r="CV746" s="124"/>
      <c r="CW746" s="124"/>
      <c r="CX746" s="124"/>
      <c r="CY746" s="124"/>
      <c r="CZ746" s="124"/>
      <c r="DA746" s="124"/>
      <c r="DB746" s="124"/>
      <c r="DC746" s="124"/>
      <c r="DD746" s="124"/>
      <c r="DE746" s="124"/>
      <c r="DF746" s="124"/>
      <c r="DG746" s="115"/>
    </row>
    <row r="747" spans="2:111" customFormat="1" ht="9" customHeight="1">
      <c r="B747" s="125"/>
      <c r="C747" s="125"/>
      <c r="D747" s="125"/>
      <c r="E747" s="125"/>
      <c r="F747" s="125"/>
      <c r="G747" s="125"/>
      <c r="H747" s="125"/>
      <c r="I747" s="125"/>
      <c r="J747" s="125"/>
      <c r="K747" s="125"/>
      <c r="L747" s="125"/>
      <c r="M747" s="125"/>
      <c r="N747" s="125"/>
      <c r="O747" s="496"/>
      <c r="P747" s="496"/>
      <c r="Q747" s="496"/>
      <c r="R747" s="496"/>
      <c r="S747" s="496"/>
      <c r="T747" s="496"/>
      <c r="U747" s="496"/>
      <c r="V747" s="417"/>
      <c r="W747" s="417"/>
      <c r="X747" s="417"/>
      <c r="Y747" s="417"/>
      <c r="Z747" s="417"/>
      <c r="AA747" s="417"/>
      <c r="AB747" s="417"/>
      <c r="AC747" s="417"/>
      <c r="AD747" s="417"/>
      <c r="AE747" s="417"/>
      <c r="AF747" s="125"/>
      <c r="AG747" s="497"/>
      <c r="AH747" s="497"/>
      <c r="AI747" s="497"/>
      <c r="AJ747" s="497"/>
      <c r="AK747" s="497"/>
      <c r="AL747" s="497"/>
      <c r="AM747" s="497"/>
      <c r="AN747" s="125"/>
      <c r="AO747" s="417"/>
      <c r="AP747" s="417"/>
      <c r="AQ747" s="417"/>
      <c r="AR747" s="417"/>
      <c r="AS747" s="417"/>
      <c r="AT747" s="417"/>
      <c r="AU747" s="417"/>
      <c r="AV747" s="417"/>
      <c r="AW747" s="417"/>
      <c r="AX747" s="417"/>
      <c r="AY747" s="417"/>
      <c r="AZ747" s="417"/>
      <c r="BA747" s="417"/>
      <c r="BC747" s="115"/>
      <c r="BD747" s="115"/>
      <c r="BE747" s="115"/>
      <c r="BF747" s="115"/>
      <c r="BG747" s="115"/>
      <c r="BH747" s="124"/>
      <c r="BI747" s="124"/>
      <c r="BJ747" s="124"/>
      <c r="BK747" s="124"/>
      <c r="BL747" s="124"/>
      <c r="BM747" s="124"/>
      <c r="BN747" s="124"/>
      <c r="BO747" s="124"/>
      <c r="BP747" s="124"/>
      <c r="BQ747" s="124"/>
      <c r="BR747" s="124"/>
      <c r="BS747" s="124"/>
      <c r="BT747" s="124"/>
      <c r="BU747" s="124"/>
      <c r="BV747" s="124"/>
      <c r="BW747" s="124"/>
      <c r="BX747" s="124"/>
      <c r="BY747" s="124"/>
      <c r="BZ747" s="124"/>
      <c r="CA747" s="124"/>
      <c r="CB747" s="124"/>
      <c r="CC747" s="124"/>
      <c r="CD747" s="124"/>
      <c r="CE747" s="124"/>
      <c r="CF747" s="124"/>
      <c r="CG747" s="124"/>
      <c r="CH747" s="124"/>
      <c r="CI747" s="124"/>
      <c r="CJ747" s="124"/>
      <c r="CK747" s="124"/>
      <c r="CL747" s="124"/>
      <c r="CM747" s="124"/>
      <c r="CN747" s="124"/>
      <c r="CO747" s="124"/>
      <c r="CP747" s="124"/>
      <c r="CQ747" s="124"/>
      <c r="CR747" s="124"/>
      <c r="CS747" s="124"/>
      <c r="CT747" s="124"/>
      <c r="CU747" s="124"/>
      <c r="CV747" s="124"/>
      <c r="CW747" s="124"/>
      <c r="CX747" s="124"/>
      <c r="CY747" s="124"/>
      <c r="CZ747" s="124"/>
      <c r="DA747" s="124"/>
      <c r="DB747" s="124"/>
      <c r="DC747" s="124"/>
      <c r="DD747" s="124"/>
      <c r="DE747" s="124"/>
      <c r="DF747" s="124"/>
      <c r="DG747" s="115"/>
    </row>
    <row r="748" spans="2:111" customFormat="1" ht="9" customHeight="1">
      <c r="BC748" s="115"/>
      <c r="BD748" s="115"/>
      <c r="BE748" s="115"/>
      <c r="BF748" s="115"/>
      <c r="BG748" s="115"/>
      <c r="BH748" s="498"/>
      <c r="BI748" s="498"/>
      <c r="BJ748" s="498"/>
      <c r="BK748" s="498"/>
      <c r="BL748" s="498"/>
      <c r="BM748" s="498"/>
      <c r="BN748" s="498"/>
      <c r="BO748" s="498"/>
      <c r="BP748" s="498"/>
      <c r="BQ748" s="498"/>
      <c r="BR748" s="498"/>
      <c r="BS748" s="498"/>
      <c r="BT748" s="498"/>
      <c r="BU748" s="498"/>
      <c r="BV748" s="498"/>
      <c r="BW748" s="498"/>
      <c r="BX748" s="498"/>
      <c r="BY748" s="498"/>
      <c r="BZ748" s="498"/>
      <c r="CA748" s="498"/>
      <c r="CB748" s="498"/>
      <c r="CC748" s="498"/>
      <c r="CD748" s="498"/>
      <c r="CE748" s="498"/>
      <c r="CF748" s="498"/>
      <c r="CG748" s="498"/>
      <c r="CH748" s="498"/>
      <c r="CI748" s="498"/>
      <c r="CJ748" s="498"/>
      <c r="CK748" s="498"/>
      <c r="CL748" s="498"/>
      <c r="CM748" s="498"/>
      <c r="CN748" s="498"/>
      <c r="CO748" s="498"/>
      <c r="CP748" s="498"/>
      <c r="CQ748" s="498"/>
      <c r="CR748" s="498"/>
      <c r="CS748" s="498"/>
      <c r="CT748" s="498"/>
      <c r="CU748" s="498"/>
      <c r="CV748" s="498"/>
      <c r="CW748" s="498"/>
      <c r="CX748" s="498"/>
      <c r="CY748" s="498"/>
      <c r="CZ748" s="498"/>
      <c r="DA748" s="498"/>
      <c r="DB748" s="498"/>
      <c r="DC748" s="498"/>
      <c r="DD748" s="498"/>
      <c r="DE748" s="498"/>
      <c r="DF748" s="498"/>
      <c r="DG748" s="115"/>
    </row>
    <row r="749" spans="2:111" customFormat="1" ht="9" customHeight="1">
      <c r="B749" s="499" t="str">
        <f>IF($Z$32&gt;=18,"Nome da Empresa ou Nº da Ata","")</f>
        <v/>
      </c>
      <c r="C749" s="499"/>
      <c r="D749" s="499"/>
      <c r="E749" s="499"/>
      <c r="F749" s="499"/>
      <c r="G749" s="499"/>
      <c r="H749" s="499"/>
      <c r="I749" s="499"/>
      <c r="J749" s="499"/>
      <c r="K749" s="499"/>
      <c r="L749" s="499"/>
      <c r="M749" s="499"/>
      <c r="N749" s="499"/>
      <c r="O749" s="499"/>
      <c r="P749" s="499"/>
      <c r="Q749" s="499"/>
      <c r="R749" s="499"/>
      <c r="S749" s="499"/>
      <c r="T749" s="499"/>
      <c r="U749" s="499"/>
      <c r="V749" s="499"/>
      <c r="W749" s="499"/>
      <c r="X749" s="499" t="str">
        <f>IF($Z$32&gt;=18,"CNPJ / CPF","")</f>
        <v/>
      </c>
      <c r="Y749" s="499"/>
      <c r="Z749" s="499"/>
      <c r="AA749" s="499"/>
      <c r="AB749" s="499"/>
      <c r="AC749" s="499"/>
      <c r="AD749" s="499"/>
      <c r="AE749" s="499"/>
      <c r="AF749" s="499"/>
      <c r="AG749" s="499"/>
      <c r="AH749" s="499" t="str">
        <f>IF($Z$32&gt;=18,"Qtde","")</f>
        <v/>
      </c>
      <c r="AI749" s="499"/>
      <c r="AJ749" s="499"/>
      <c r="AK749" s="499"/>
      <c r="AL749" s="499" t="str">
        <f>IF($Z$32&gt;=18,"Valor Unitário (R$)","")</f>
        <v/>
      </c>
      <c r="AM749" s="499"/>
      <c r="AN749" s="499"/>
      <c r="AO749" s="499"/>
      <c r="AP749" s="499"/>
      <c r="AQ749" s="499"/>
      <c r="AR749" s="499"/>
      <c r="AS749" s="499"/>
      <c r="AT749" s="499" t="str">
        <f>IF($Z$32&gt;=18,"Valor Total (R$)","")</f>
        <v/>
      </c>
      <c r="AU749" s="499"/>
      <c r="AV749" s="499"/>
      <c r="AW749" s="499"/>
      <c r="AX749" s="499"/>
      <c r="AY749" s="499"/>
      <c r="AZ749" s="499"/>
      <c r="BA749" s="499"/>
      <c r="BC749" s="115"/>
      <c r="BD749" s="115"/>
      <c r="BE749" s="115"/>
      <c r="BF749" s="115"/>
      <c r="BG749" s="115"/>
      <c r="BH749" s="498"/>
      <c r="BI749" s="498"/>
      <c r="BJ749" s="498"/>
      <c r="BK749" s="498"/>
      <c r="BL749" s="498"/>
      <c r="BM749" s="498"/>
      <c r="BN749" s="498"/>
      <c r="BO749" s="498"/>
      <c r="BP749" s="498"/>
      <c r="BQ749" s="498"/>
      <c r="BR749" s="498"/>
      <c r="BS749" s="498"/>
      <c r="BT749" s="498"/>
      <c r="BU749" s="498"/>
      <c r="BV749" s="498"/>
      <c r="BW749" s="498"/>
      <c r="BX749" s="498"/>
      <c r="BY749" s="498"/>
      <c r="BZ749" s="498"/>
      <c r="CA749" s="498"/>
      <c r="CB749" s="498"/>
      <c r="CC749" s="498"/>
      <c r="CD749" s="498"/>
      <c r="CE749" s="498"/>
      <c r="CF749" s="498"/>
      <c r="CG749" s="498"/>
      <c r="CH749" s="498"/>
      <c r="CI749" s="498"/>
      <c r="CJ749" s="498"/>
      <c r="CK749" s="498"/>
      <c r="CL749" s="498"/>
      <c r="CM749" s="498"/>
      <c r="CN749" s="498"/>
      <c r="CO749" s="498"/>
      <c r="CP749" s="498"/>
      <c r="CQ749" s="498"/>
      <c r="CR749" s="498"/>
      <c r="CS749" s="498"/>
      <c r="CT749" s="498"/>
      <c r="CU749" s="498"/>
      <c r="CV749" s="498"/>
      <c r="CW749" s="498"/>
      <c r="CX749" s="498"/>
      <c r="CY749" s="498"/>
      <c r="CZ749" s="498"/>
      <c r="DA749" s="498"/>
      <c r="DB749" s="498"/>
      <c r="DC749" s="498"/>
      <c r="DD749" s="498"/>
      <c r="DE749" s="498"/>
      <c r="DF749" s="498"/>
      <c r="DG749" s="115"/>
    </row>
    <row r="750" spans="2:111" customFormat="1" ht="9" customHeight="1">
      <c r="B750" s="499"/>
      <c r="C750" s="499"/>
      <c r="D750" s="499"/>
      <c r="E750" s="499"/>
      <c r="F750" s="499"/>
      <c r="G750" s="499"/>
      <c r="H750" s="499"/>
      <c r="I750" s="499"/>
      <c r="J750" s="499"/>
      <c r="K750" s="499"/>
      <c r="L750" s="499"/>
      <c r="M750" s="499"/>
      <c r="N750" s="499"/>
      <c r="O750" s="499"/>
      <c r="P750" s="499"/>
      <c r="Q750" s="499"/>
      <c r="R750" s="499"/>
      <c r="S750" s="499"/>
      <c r="T750" s="499"/>
      <c r="U750" s="499"/>
      <c r="V750" s="499"/>
      <c r="W750" s="499"/>
      <c r="X750" s="499"/>
      <c r="Y750" s="499"/>
      <c r="Z750" s="499"/>
      <c r="AA750" s="499"/>
      <c r="AB750" s="499"/>
      <c r="AC750" s="499"/>
      <c r="AD750" s="499"/>
      <c r="AE750" s="499"/>
      <c r="AF750" s="499"/>
      <c r="AG750" s="499"/>
      <c r="AH750" s="499"/>
      <c r="AI750" s="499"/>
      <c r="AJ750" s="499"/>
      <c r="AK750" s="499"/>
      <c r="AL750" s="499"/>
      <c r="AM750" s="499"/>
      <c r="AN750" s="499"/>
      <c r="AO750" s="499"/>
      <c r="AP750" s="499"/>
      <c r="AQ750" s="499"/>
      <c r="AR750" s="499"/>
      <c r="AS750" s="499"/>
      <c r="AT750" s="499"/>
      <c r="AU750" s="499"/>
      <c r="AV750" s="499"/>
      <c r="AW750" s="499"/>
      <c r="AX750" s="499"/>
      <c r="AY750" s="499"/>
      <c r="AZ750" s="499"/>
      <c r="BA750" s="499"/>
      <c r="BB750" s="176" t="e">
        <f>AVERAGE(AL751:AS753)</f>
        <v>#DIV/0!</v>
      </c>
      <c r="BC750" s="115"/>
      <c r="BD750" s="115"/>
      <c r="BE750" s="115"/>
      <c r="BF750" s="115"/>
      <c r="BG750" s="115"/>
      <c r="BH750" s="498"/>
      <c r="BI750" s="498"/>
      <c r="BJ750" s="498"/>
      <c r="BK750" s="498"/>
      <c r="BL750" s="498"/>
      <c r="BM750" s="498"/>
      <c r="BN750" s="498"/>
      <c r="BO750" s="498"/>
      <c r="BP750" s="498"/>
      <c r="BQ750" s="498"/>
      <c r="BR750" s="498"/>
      <c r="BS750" s="498"/>
      <c r="BT750" s="498"/>
      <c r="BU750" s="498"/>
      <c r="BV750" s="498"/>
      <c r="BW750" s="498"/>
      <c r="BX750" s="498"/>
      <c r="BY750" s="498"/>
      <c r="BZ750" s="498"/>
      <c r="CA750" s="498"/>
      <c r="CB750" s="498"/>
      <c r="CC750" s="498"/>
      <c r="CD750" s="498"/>
      <c r="CE750" s="498"/>
      <c r="CF750" s="498"/>
      <c r="CG750" s="498"/>
      <c r="CH750" s="498"/>
      <c r="CI750" s="498"/>
      <c r="CJ750" s="498"/>
      <c r="CK750" s="498"/>
      <c r="CL750" s="498"/>
      <c r="CM750" s="498"/>
      <c r="CN750" s="498"/>
      <c r="CO750" s="498"/>
      <c r="CP750" s="498"/>
      <c r="CQ750" s="498"/>
      <c r="CR750" s="498"/>
      <c r="CS750" s="498"/>
      <c r="CT750" s="498"/>
      <c r="CU750" s="498"/>
      <c r="CV750" s="498"/>
      <c r="CW750" s="498"/>
      <c r="CX750" s="498"/>
      <c r="CY750" s="498"/>
      <c r="CZ750" s="498"/>
      <c r="DA750" s="498"/>
      <c r="DB750" s="498"/>
      <c r="DC750" s="498"/>
      <c r="DD750" s="498"/>
      <c r="DE750" s="498"/>
      <c r="DF750" s="498"/>
      <c r="DG750" s="115"/>
    </row>
    <row r="751" spans="2:111" customFormat="1" ht="18" customHeight="1">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486"/>
      <c r="Y751" s="486"/>
      <c r="Z751" s="486"/>
      <c r="AA751" s="486"/>
      <c r="AB751" s="486"/>
      <c r="AC751" s="486"/>
      <c r="AD751" s="486"/>
      <c r="AE751" s="486"/>
      <c r="AF751" s="486"/>
      <c r="AG751" s="486"/>
      <c r="AH751" s="417"/>
      <c r="AI751" s="417"/>
      <c r="AJ751" s="417"/>
      <c r="AK751" s="417"/>
      <c r="AL751" s="419"/>
      <c r="AM751" s="419"/>
      <c r="AN751" s="419"/>
      <c r="AO751" s="419"/>
      <c r="AP751" s="419"/>
      <c r="AQ751" s="419"/>
      <c r="AR751" s="419"/>
      <c r="AS751" s="419"/>
      <c r="AT751" s="487" t="str">
        <f>IF($Z$32&gt;=18,(AH751*AL751),"")</f>
        <v/>
      </c>
      <c r="AU751" s="487"/>
      <c r="AV751" s="487"/>
      <c r="AW751" s="487"/>
      <c r="AX751" s="487"/>
      <c r="AY751" s="487"/>
      <c r="AZ751" s="487"/>
      <c r="BA751" s="487"/>
      <c r="BC751" s="115"/>
      <c r="BD751" s="115"/>
      <c r="BE751" s="115"/>
      <c r="BF751" s="115"/>
      <c r="BG751" s="115"/>
      <c r="BH751" s="498"/>
      <c r="BI751" s="498"/>
      <c r="BJ751" s="498"/>
      <c r="BK751" s="498"/>
      <c r="BL751" s="498"/>
      <c r="BM751" s="498"/>
      <c r="BN751" s="498"/>
      <c r="BO751" s="498"/>
      <c r="BP751" s="498"/>
      <c r="BQ751" s="498"/>
      <c r="BR751" s="498"/>
      <c r="BS751" s="498"/>
      <c r="BT751" s="498"/>
      <c r="BU751" s="498"/>
      <c r="BV751" s="498"/>
      <c r="BW751" s="498"/>
      <c r="BX751" s="498"/>
      <c r="BY751" s="498"/>
      <c r="BZ751" s="498"/>
      <c r="CA751" s="498"/>
      <c r="CB751" s="498"/>
      <c r="CC751" s="498"/>
      <c r="CD751" s="498"/>
      <c r="CE751" s="498"/>
      <c r="CF751" s="498"/>
      <c r="CG751" s="498"/>
      <c r="CH751" s="498"/>
      <c r="CI751" s="498"/>
      <c r="CJ751" s="498"/>
      <c r="CK751" s="498"/>
      <c r="CL751" s="498"/>
      <c r="CM751" s="498"/>
      <c r="CN751" s="498"/>
      <c r="CO751" s="498"/>
      <c r="CP751" s="498"/>
      <c r="CQ751" s="498"/>
      <c r="CR751" s="498"/>
      <c r="CS751" s="498"/>
      <c r="CT751" s="498"/>
      <c r="CU751" s="498"/>
      <c r="CV751" s="498"/>
      <c r="CW751" s="498"/>
      <c r="CX751" s="498"/>
      <c r="CY751" s="498"/>
      <c r="CZ751" s="498"/>
      <c r="DA751" s="498"/>
      <c r="DB751" s="498"/>
      <c r="DC751" s="498"/>
      <c r="DD751" s="498"/>
      <c r="DE751" s="498"/>
      <c r="DF751" s="498"/>
      <c r="DG751" s="115"/>
    </row>
    <row r="752" spans="2:111" customFormat="1" ht="18" customHeight="1">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486"/>
      <c r="Y752" s="486"/>
      <c r="Z752" s="486"/>
      <c r="AA752" s="486"/>
      <c r="AB752" s="486"/>
      <c r="AC752" s="486"/>
      <c r="AD752" s="486"/>
      <c r="AE752" s="486"/>
      <c r="AF752" s="486"/>
      <c r="AG752" s="486"/>
      <c r="AH752" s="417"/>
      <c r="AI752" s="417"/>
      <c r="AJ752" s="417"/>
      <c r="AK752" s="417"/>
      <c r="AL752" s="419"/>
      <c r="AM752" s="419"/>
      <c r="AN752" s="419"/>
      <c r="AO752" s="419"/>
      <c r="AP752" s="419"/>
      <c r="AQ752" s="419"/>
      <c r="AR752" s="419"/>
      <c r="AS752" s="419"/>
      <c r="AT752" s="487" t="str">
        <f>IF($Z$32&gt;=18,(AH752*AL752),"")</f>
        <v/>
      </c>
      <c r="AU752" s="487"/>
      <c r="AV752" s="487"/>
      <c r="AW752" s="487"/>
      <c r="AX752" s="487"/>
      <c r="AY752" s="487"/>
      <c r="AZ752" s="487"/>
      <c r="BA752" s="487"/>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c r="BY752" s="115"/>
      <c r="BZ752" s="115"/>
      <c r="CA752" s="115"/>
      <c r="CB752" s="115"/>
      <c r="CC752" s="115"/>
      <c r="CD752" s="115"/>
      <c r="CE752" s="115"/>
      <c r="CF752" s="115"/>
      <c r="CG752" s="115"/>
      <c r="CH752" s="115"/>
      <c r="CI752" s="115"/>
      <c r="CJ752" s="115"/>
      <c r="CK752" s="115"/>
      <c r="CL752" s="115"/>
      <c r="CM752" s="115"/>
      <c r="CN752" s="115"/>
      <c r="CO752" s="115"/>
      <c r="CP752" s="115"/>
      <c r="CQ752" s="115"/>
      <c r="CR752" s="115"/>
      <c r="CS752" s="115"/>
      <c r="CT752" s="115"/>
      <c r="CU752" s="115"/>
      <c r="CV752" s="115"/>
      <c r="CW752" s="115"/>
      <c r="CX752" s="115"/>
      <c r="CY752" s="115"/>
      <c r="CZ752" s="115"/>
      <c r="DA752" s="115"/>
      <c r="DB752" s="115"/>
      <c r="DC752" s="115"/>
      <c r="DD752" s="115"/>
      <c r="DE752" s="115"/>
      <c r="DF752" s="115"/>
      <c r="DG752" s="115"/>
    </row>
    <row r="753" spans="2:111" customFormat="1" ht="18" customHeight="1">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486"/>
      <c r="Y753" s="486"/>
      <c r="Z753" s="486"/>
      <c r="AA753" s="486"/>
      <c r="AB753" s="486"/>
      <c r="AC753" s="486"/>
      <c r="AD753" s="486"/>
      <c r="AE753" s="486"/>
      <c r="AF753" s="486"/>
      <c r="AG753" s="486"/>
      <c r="AH753" s="417"/>
      <c r="AI753" s="417"/>
      <c r="AJ753" s="417"/>
      <c r="AK753" s="417"/>
      <c r="AL753" s="419"/>
      <c r="AM753" s="419"/>
      <c r="AN753" s="419"/>
      <c r="AO753" s="419"/>
      <c r="AP753" s="419"/>
      <c r="AQ753" s="419"/>
      <c r="AR753" s="419"/>
      <c r="AS753" s="419"/>
      <c r="AT753" s="487" t="str">
        <f>IF($Z$32&gt;=18,(AH753*AL753),"")</f>
        <v/>
      </c>
      <c r="AU753" s="487"/>
      <c r="AV753" s="487"/>
      <c r="AW753" s="487"/>
      <c r="AX753" s="487"/>
      <c r="AY753" s="487"/>
      <c r="AZ753" s="487"/>
      <c r="BA753" s="487"/>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c r="BY753" s="115"/>
      <c r="BZ753" s="115"/>
      <c r="CA753" s="115"/>
      <c r="CB753" s="115"/>
      <c r="CC753" s="115"/>
      <c r="CD753" s="115"/>
      <c r="CE753" s="115"/>
      <c r="CF753" s="115"/>
      <c r="CG753" s="115"/>
      <c r="CH753" s="115"/>
      <c r="CI753" s="115"/>
      <c r="CJ753" s="115"/>
      <c r="CK753" s="115"/>
      <c r="CL753" s="115"/>
      <c r="CM753" s="115"/>
      <c r="CN753" s="115"/>
      <c r="CO753" s="115"/>
      <c r="CP753" s="115"/>
      <c r="CQ753" s="115"/>
      <c r="CR753" s="115"/>
      <c r="CS753" s="115"/>
      <c r="CT753" s="115"/>
      <c r="CU753" s="115"/>
      <c r="CV753" s="115"/>
      <c r="CW753" s="115"/>
      <c r="CX753" s="115"/>
      <c r="CY753" s="115"/>
      <c r="CZ753" s="115"/>
      <c r="DA753" s="115"/>
      <c r="DB753" s="115"/>
      <c r="DC753" s="115"/>
      <c r="DD753" s="115"/>
      <c r="DE753" s="115"/>
      <c r="DF753" s="115"/>
      <c r="DG753" s="115"/>
    </row>
    <row r="754" spans="2:111" customFormat="1" ht="15" customHeight="1">
      <c r="AT754" s="500" t="str">
        <f>IF(B751="","",IF(AL752="",AT751,IF(AL753="",AVERAGE(AT751:BA752),AVERAGE(AT751:AT753))))</f>
        <v/>
      </c>
      <c r="AU754" s="500"/>
      <c r="AV754" s="500"/>
      <c r="AW754" s="500"/>
      <c r="AX754" s="500"/>
      <c r="AY754" s="500"/>
      <c r="AZ754" s="500"/>
      <c r="BA754" s="500"/>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c r="BY754" s="115"/>
      <c r="BZ754" s="115"/>
      <c r="CA754" s="115"/>
      <c r="CB754" s="115"/>
      <c r="CC754" s="115"/>
      <c r="CD754" s="115"/>
      <c r="CE754" s="115"/>
      <c r="CF754" s="115"/>
      <c r="CG754" s="115"/>
      <c r="CH754" s="115"/>
      <c r="CI754" s="115"/>
      <c r="CJ754" s="115"/>
      <c r="CK754" s="115"/>
      <c r="CL754" s="115"/>
      <c r="CM754" s="115"/>
      <c r="CN754" s="115"/>
      <c r="CO754" s="115"/>
      <c r="CP754" s="115"/>
      <c r="CQ754" s="115"/>
      <c r="CR754" s="115"/>
      <c r="CS754" s="115"/>
      <c r="CT754" s="115"/>
      <c r="CU754" s="115"/>
      <c r="CV754" s="115"/>
      <c r="CW754" s="115"/>
      <c r="CX754" s="115"/>
      <c r="CY754" s="115"/>
      <c r="CZ754" s="115"/>
      <c r="DA754" s="115"/>
      <c r="DB754" s="115"/>
      <c r="DC754" s="115"/>
      <c r="DD754" s="115"/>
      <c r="DE754" s="115"/>
      <c r="DF754" s="115"/>
      <c r="DG754" s="115"/>
    </row>
    <row r="755" spans="2:111" customFormat="1" ht="15" customHeight="1">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c r="BY755" s="115"/>
      <c r="BZ755" s="115"/>
      <c r="CA755" s="115"/>
      <c r="CB755" s="115"/>
      <c r="CC755" s="115"/>
      <c r="CD755" s="115"/>
      <c r="CE755" s="115"/>
      <c r="CF755" s="115"/>
      <c r="CG755" s="115"/>
      <c r="CH755" s="115"/>
      <c r="CI755" s="115"/>
      <c r="CJ755" s="115"/>
      <c r="CK755" s="115"/>
      <c r="CL755" s="115"/>
      <c r="CM755" s="115"/>
      <c r="CN755" s="115"/>
      <c r="CO755" s="115"/>
      <c r="CP755" s="115"/>
      <c r="CQ755" s="115"/>
      <c r="CR755" s="115"/>
      <c r="CS755" s="115"/>
      <c r="CT755" s="115"/>
      <c r="CU755" s="115"/>
      <c r="CV755" s="115"/>
      <c r="CW755" s="115"/>
      <c r="CX755" s="115"/>
      <c r="CY755" s="115"/>
      <c r="CZ755" s="115"/>
      <c r="DA755" s="115"/>
      <c r="DB755" s="115"/>
      <c r="DC755" s="115"/>
      <c r="DD755" s="115"/>
      <c r="DE755" s="115"/>
      <c r="DF755" s="115"/>
      <c r="DG755" s="115"/>
    </row>
    <row r="756" spans="2:111" customFormat="1" ht="9" customHeight="1">
      <c r="B756" s="494" t="str">
        <f>IF($Z$32&gt;=19,"Item 19","")</f>
        <v/>
      </c>
      <c r="C756" s="495"/>
      <c r="D756" s="495"/>
      <c r="E756" s="495"/>
      <c r="F756" s="495"/>
      <c r="G756" s="495"/>
      <c r="H756" s="495"/>
      <c r="I756" s="495"/>
      <c r="J756" s="495"/>
      <c r="K756" s="495"/>
      <c r="L756" s="495"/>
      <c r="M756" s="49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c r="BY756" s="115"/>
      <c r="BZ756" s="115"/>
      <c r="CA756" s="115"/>
      <c r="CB756" s="115"/>
      <c r="CC756" s="115"/>
      <c r="CD756" s="115"/>
      <c r="CE756" s="115"/>
      <c r="CF756" s="115"/>
      <c r="CG756" s="115"/>
      <c r="CH756" s="115"/>
      <c r="CI756" s="115"/>
      <c r="CJ756" s="115"/>
      <c r="CK756" s="115"/>
      <c r="CL756" s="115"/>
      <c r="CM756" s="115"/>
      <c r="CN756" s="115"/>
      <c r="CO756" s="115"/>
      <c r="CP756" s="115"/>
      <c r="CQ756" s="115"/>
      <c r="CR756" s="115"/>
      <c r="CS756" s="115"/>
      <c r="CT756" s="115"/>
      <c r="CU756" s="115"/>
      <c r="CV756" s="115"/>
      <c r="CW756" s="115"/>
      <c r="CX756" s="115"/>
      <c r="CY756" s="115"/>
      <c r="CZ756" s="115"/>
      <c r="DA756" s="115"/>
      <c r="DB756" s="115"/>
      <c r="DC756" s="115"/>
      <c r="DD756" s="115"/>
      <c r="DE756" s="115"/>
      <c r="DF756" s="115"/>
      <c r="DG756" s="115"/>
    </row>
    <row r="757" spans="2:111" customFormat="1" ht="9" customHeight="1">
      <c r="B757" s="495"/>
      <c r="C757" s="495"/>
      <c r="D757" s="495"/>
      <c r="E757" s="495"/>
      <c r="F757" s="495"/>
      <c r="G757" s="495"/>
      <c r="H757" s="495"/>
      <c r="I757" s="495"/>
      <c r="J757" s="495"/>
      <c r="K757" s="495"/>
      <c r="L757" s="495"/>
      <c r="M757" s="49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c r="BY757" s="115"/>
      <c r="BZ757" s="115"/>
      <c r="CA757" s="115"/>
      <c r="CB757" s="115"/>
      <c r="CC757" s="115"/>
      <c r="CD757" s="115"/>
      <c r="CE757" s="115"/>
      <c r="CF757" s="115"/>
      <c r="CG757" s="115"/>
      <c r="CH757" s="115"/>
      <c r="CI757" s="115"/>
      <c r="CJ757" s="115"/>
      <c r="CK757" s="115"/>
      <c r="CL757" s="115"/>
      <c r="CM757" s="115"/>
      <c r="CN757" s="115"/>
      <c r="CO757" s="115"/>
      <c r="CP757" s="115"/>
      <c r="CQ757" s="115"/>
      <c r="CR757" s="115"/>
      <c r="CS757" s="115"/>
      <c r="CT757" s="115"/>
      <c r="CU757" s="115"/>
      <c r="CV757" s="115"/>
      <c r="CW757" s="115"/>
      <c r="CX757" s="115"/>
      <c r="CY757" s="115"/>
      <c r="CZ757" s="115"/>
      <c r="DA757" s="115"/>
      <c r="DB757" s="115"/>
      <c r="DC757" s="115"/>
      <c r="DD757" s="115"/>
      <c r="DE757" s="115"/>
      <c r="DF757" s="115"/>
      <c r="DG757" s="115"/>
    </row>
    <row r="758" spans="2:111" customFormat="1" ht="4.5" customHeight="1">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c r="BY758" s="115"/>
      <c r="BZ758" s="115"/>
      <c r="CA758" s="115"/>
      <c r="CB758" s="115"/>
      <c r="CC758" s="115"/>
      <c r="CD758" s="115"/>
      <c r="CE758" s="115"/>
      <c r="CF758" s="115"/>
      <c r="CG758" s="115"/>
      <c r="CH758" s="115"/>
      <c r="CI758" s="115"/>
      <c r="CJ758" s="115"/>
      <c r="CK758" s="115"/>
      <c r="CL758" s="115"/>
      <c r="CM758" s="115"/>
      <c r="CN758" s="115"/>
      <c r="CO758" s="115"/>
      <c r="CP758" s="115"/>
      <c r="CQ758" s="115"/>
      <c r="CR758" s="115"/>
      <c r="CS758" s="115"/>
      <c r="CT758" s="115"/>
      <c r="CU758" s="115"/>
      <c r="CV758" s="115"/>
      <c r="CW758" s="115"/>
      <c r="CX758" s="115"/>
      <c r="CY758" s="115"/>
      <c r="CZ758" s="115"/>
      <c r="DA758" s="115"/>
      <c r="DB758" s="115"/>
      <c r="DC758" s="115"/>
      <c r="DD758" s="115"/>
      <c r="DE758" s="115"/>
      <c r="DF758" s="115"/>
      <c r="DG758" s="115"/>
    </row>
    <row r="759" spans="2:111" customFormat="1" ht="9" customHeight="1">
      <c r="B759" s="493" t="str">
        <f>IF(B756="","","Elemento de Despesa:")</f>
        <v/>
      </c>
      <c r="C759" s="493"/>
      <c r="D759" s="493"/>
      <c r="E759" s="493"/>
      <c r="F759" s="493"/>
      <c r="G759" s="493"/>
      <c r="H759" s="493"/>
      <c r="I759" s="493"/>
      <c r="J759" s="493"/>
      <c r="K759" s="493"/>
      <c r="L759" s="493"/>
      <c r="M759" s="493"/>
      <c r="N759" s="493"/>
      <c r="O759" s="241"/>
      <c r="P759" s="241"/>
      <c r="Q759" s="241"/>
      <c r="R759" s="241"/>
      <c r="S759" s="241"/>
      <c r="T759" s="241"/>
      <c r="U759" s="241"/>
      <c r="V759" s="241"/>
      <c r="W759" s="241"/>
      <c r="X759" s="241"/>
      <c r="Y759" s="241"/>
      <c r="Z759" s="241"/>
      <c r="AA759" s="241"/>
      <c r="AB759" s="241"/>
      <c r="AC759" s="241"/>
      <c r="AD759" s="241"/>
      <c r="AE759" s="241"/>
      <c r="AF759" s="241"/>
      <c r="AG759" s="241"/>
      <c r="AH759" s="241"/>
      <c r="AI759" s="241"/>
      <c r="AJ759" s="241"/>
      <c r="AK759" s="241"/>
      <c r="AL759" s="241"/>
      <c r="AM759" s="241"/>
      <c r="AN759" s="241"/>
      <c r="AO759" s="241"/>
      <c r="AP759" s="241"/>
      <c r="AQ759" s="241"/>
      <c r="AR759" s="241"/>
      <c r="AS759" s="241"/>
      <c r="AT759" s="241"/>
      <c r="AU759" s="241"/>
      <c r="AV759" s="241"/>
      <c r="AW759" s="241"/>
      <c r="AX759" s="241"/>
      <c r="AY759" s="241"/>
      <c r="AZ759" s="241"/>
      <c r="BA759" s="241"/>
      <c r="BC759" s="115"/>
      <c r="BD759" s="115"/>
      <c r="BE759" s="115"/>
      <c r="BF759" s="115"/>
      <c r="BG759" s="115"/>
      <c r="BH759" s="124"/>
      <c r="BI759" s="124"/>
      <c r="BJ759" s="124"/>
      <c r="BK759" s="124"/>
      <c r="BL759" s="124"/>
      <c r="BM759" s="124"/>
      <c r="BN759" s="124"/>
      <c r="BO759" s="124"/>
      <c r="BP759" s="124"/>
      <c r="BQ759" s="124"/>
      <c r="BR759" s="124"/>
      <c r="BS759" s="124"/>
      <c r="BT759" s="124"/>
      <c r="BU759" s="124"/>
      <c r="BV759" s="124"/>
      <c r="BW759" s="124"/>
      <c r="BX759" s="124"/>
      <c r="BY759" s="124"/>
      <c r="BZ759" s="124"/>
      <c r="CA759" s="124"/>
      <c r="CB759" s="124"/>
      <c r="CC759" s="124"/>
      <c r="CD759" s="124"/>
      <c r="CE759" s="124"/>
      <c r="CF759" s="124"/>
      <c r="CG759" s="124"/>
      <c r="CH759" s="124"/>
      <c r="CI759" s="124"/>
      <c r="CJ759" s="124"/>
      <c r="CK759" s="124"/>
      <c r="CL759" s="124"/>
      <c r="CM759" s="124"/>
      <c r="CN759" s="124"/>
      <c r="CO759" s="124"/>
      <c r="CP759" s="124"/>
      <c r="CQ759" s="124"/>
      <c r="CR759" s="124"/>
      <c r="CS759" s="124"/>
      <c r="CT759" s="124"/>
      <c r="CU759" s="124"/>
      <c r="CV759" s="124"/>
      <c r="CW759" s="124"/>
      <c r="CX759" s="124"/>
      <c r="CY759" s="124"/>
      <c r="CZ759" s="124"/>
      <c r="DA759" s="124"/>
      <c r="DB759" s="124"/>
      <c r="DC759" s="124"/>
      <c r="DD759" s="124"/>
      <c r="DE759" s="124"/>
      <c r="DF759" s="124"/>
      <c r="DG759" s="115"/>
    </row>
    <row r="760" spans="2:111" customFormat="1" ht="9" customHeight="1">
      <c r="B760" s="493"/>
      <c r="C760" s="493"/>
      <c r="D760" s="493"/>
      <c r="E760" s="493"/>
      <c r="F760" s="493"/>
      <c r="G760" s="493"/>
      <c r="H760" s="493"/>
      <c r="I760" s="493"/>
      <c r="J760" s="493"/>
      <c r="K760" s="493"/>
      <c r="L760" s="493"/>
      <c r="M760" s="493"/>
      <c r="N760" s="493"/>
      <c r="O760" s="241"/>
      <c r="P760" s="241"/>
      <c r="Q760" s="241"/>
      <c r="R760" s="241"/>
      <c r="S760" s="241"/>
      <c r="T760" s="241"/>
      <c r="U760" s="241"/>
      <c r="V760" s="241"/>
      <c r="W760" s="241"/>
      <c r="X760" s="241"/>
      <c r="Y760" s="241"/>
      <c r="Z760" s="241"/>
      <c r="AA760" s="241"/>
      <c r="AB760" s="241"/>
      <c r="AC760" s="241"/>
      <c r="AD760" s="241"/>
      <c r="AE760" s="241"/>
      <c r="AF760" s="241"/>
      <c r="AG760" s="241"/>
      <c r="AH760" s="241"/>
      <c r="AI760" s="241"/>
      <c r="AJ760" s="241"/>
      <c r="AK760" s="241"/>
      <c r="AL760" s="241"/>
      <c r="AM760" s="241"/>
      <c r="AN760" s="241"/>
      <c r="AO760" s="241"/>
      <c r="AP760" s="241"/>
      <c r="AQ760" s="241"/>
      <c r="AR760" s="241"/>
      <c r="AS760" s="241"/>
      <c r="AT760" s="241"/>
      <c r="AU760" s="241"/>
      <c r="AV760" s="241"/>
      <c r="AW760" s="241"/>
      <c r="AX760" s="241"/>
      <c r="AY760" s="241"/>
      <c r="AZ760" s="241"/>
      <c r="BA760" s="241"/>
      <c r="BC760" s="115"/>
      <c r="BD760" s="115"/>
      <c r="BE760" s="115"/>
      <c r="BF760" s="115"/>
      <c r="BG760" s="115"/>
      <c r="BH760" s="124"/>
      <c r="BI760" s="124"/>
      <c r="BJ760" s="124"/>
      <c r="BK760" s="124"/>
      <c r="BL760" s="124"/>
      <c r="BM760" s="124"/>
      <c r="BN760" s="124"/>
      <c r="BO760" s="124"/>
      <c r="BP760" s="124"/>
      <c r="BQ760" s="124"/>
      <c r="BR760" s="124"/>
      <c r="BS760" s="124"/>
      <c r="BT760" s="124"/>
      <c r="BU760" s="124"/>
      <c r="BV760" s="124"/>
      <c r="BW760" s="124"/>
      <c r="BX760" s="124"/>
      <c r="BY760" s="124"/>
      <c r="BZ760" s="124"/>
      <c r="CA760" s="124"/>
      <c r="CB760" s="124"/>
      <c r="CC760" s="124"/>
      <c r="CD760" s="124"/>
      <c r="CE760" s="124"/>
      <c r="CF760" s="124"/>
      <c r="CG760" s="124"/>
      <c r="CH760" s="124"/>
      <c r="CI760" s="124"/>
      <c r="CJ760" s="124"/>
      <c r="CK760" s="124"/>
      <c r="CL760" s="124"/>
      <c r="CM760" s="124"/>
      <c r="CN760" s="124"/>
      <c r="CO760" s="124"/>
      <c r="CP760" s="124"/>
      <c r="CQ760" s="124"/>
      <c r="CR760" s="124"/>
      <c r="CS760" s="124"/>
      <c r="CT760" s="124"/>
      <c r="CU760" s="124"/>
      <c r="CV760" s="124"/>
      <c r="CW760" s="124"/>
      <c r="CX760" s="124"/>
      <c r="CY760" s="124"/>
      <c r="CZ760" s="124"/>
      <c r="DA760" s="124"/>
      <c r="DB760" s="124"/>
      <c r="DC760" s="124"/>
      <c r="DD760" s="124"/>
      <c r="DE760" s="124"/>
      <c r="DF760" s="124"/>
      <c r="DG760" s="115"/>
    </row>
    <row r="761" spans="2:111" customFormat="1" ht="4.5" customHeight="1">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49"/>
      <c r="AY761" s="49"/>
      <c r="AZ761" s="49"/>
      <c r="BA761" s="49"/>
      <c r="BC761" s="115"/>
      <c r="BD761" s="115"/>
      <c r="BE761" s="115"/>
      <c r="BF761" s="115"/>
      <c r="BG761" s="115"/>
      <c r="BH761" s="124"/>
      <c r="BI761" s="124"/>
      <c r="BJ761" s="124"/>
      <c r="BK761" s="124"/>
      <c r="BL761" s="124"/>
      <c r="BM761" s="124"/>
      <c r="BN761" s="124"/>
      <c r="BO761" s="124"/>
      <c r="BP761" s="124"/>
      <c r="BQ761" s="124"/>
      <c r="BR761" s="124"/>
      <c r="BS761" s="124"/>
      <c r="BT761" s="124"/>
      <c r="BU761" s="124"/>
      <c r="BV761" s="124"/>
      <c r="BW761" s="124"/>
      <c r="BX761" s="124"/>
      <c r="BY761" s="124"/>
      <c r="BZ761" s="124"/>
      <c r="CA761" s="124"/>
      <c r="CB761" s="124"/>
      <c r="CC761" s="124"/>
      <c r="CD761" s="124"/>
      <c r="CE761" s="124"/>
      <c r="CF761" s="124"/>
      <c r="CG761" s="124"/>
      <c r="CH761" s="124"/>
      <c r="CI761" s="124"/>
      <c r="CJ761" s="124"/>
      <c r="CK761" s="124"/>
      <c r="CL761" s="124"/>
      <c r="CM761" s="124"/>
      <c r="CN761" s="124"/>
      <c r="CO761" s="124"/>
      <c r="CP761" s="124"/>
      <c r="CQ761" s="124"/>
      <c r="CR761" s="124"/>
      <c r="CS761" s="124"/>
      <c r="CT761" s="124"/>
      <c r="CU761" s="124"/>
      <c r="CV761" s="124"/>
      <c r="CW761" s="124"/>
      <c r="CX761" s="124"/>
      <c r="CY761" s="124"/>
      <c r="CZ761" s="124"/>
      <c r="DA761" s="124"/>
      <c r="DB761" s="124"/>
      <c r="DC761" s="124"/>
      <c r="DD761" s="124"/>
      <c r="DE761" s="124"/>
      <c r="DF761" s="124"/>
      <c r="DG761" s="115"/>
    </row>
    <row r="762" spans="2:111" customFormat="1" ht="9" customHeight="1">
      <c r="B762" s="493" t="str">
        <f>IF(B756="","","Objeto:")</f>
        <v/>
      </c>
      <c r="C762" s="493"/>
      <c r="D762" s="493"/>
      <c r="E762" s="493"/>
      <c r="F762" s="493"/>
      <c r="G762" s="493"/>
      <c r="H762" s="493"/>
      <c r="I762" s="493"/>
      <c r="J762" s="493"/>
      <c r="K762" s="493"/>
      <c r="L762" s="493"/>
      <c r="M762" s="493"/>
      <c r="N762" s="493"/>
      <c r="O762" s="421"/>
      <c r="P762" s="421"/>
      <c r="Q762" s="421"/>
      <c r="R762" s="421"/>
      <c r="S762" s="421"/>
      <c r="T762" s="421"/>
      <c r="U762" s="421"/>
      <c r="V762" s="421"/>
      <c r="W762" s="421"/>
      <c r="X762" s="421"/>
      <c r="Y762" s="421"/>
      <c r="Z762" s="421"/>
      <c r="AA762" s="421"/>
      <c r="AB762" s="421"/>
      <c r="AC762" s="421"/>
      <c r="AD762" s="421"/>
      <c r="AE762" s="421"/>
      <c r="AF762" s="421"/>
      <c r="AG762" s="421"/>
      <c r="AH762" s="421"/>
      <c r="AI762" s="421"/>
      <c r="AJ762" s="421"/>
      <c r="AK762" s="421"/>
      <c r="AL762" s="421"/>
      <c r="AM762" s="421"/>
      <c r="AN762" s="421"/>
      <c r="AO762" s="421"/>
      <c r="AP762" s="421"/>
      <c r="AQ762" s="421"/>
      <c r="AR762" s="421"/>
      <c r="AS762" s="421"/>
      <c r="AT762" s="421"/>
      <c r="AU762" s="421"/>
      <c r="AV762" s="421"/>
      <c r="AW762" s="421"/>
      <c r="AX762" s="421"/>
      <c r="AY762" s="421"/>
      <c r="AZ762" s="421"/>
      <c r="BA762" s="421"/>
      <c r="BC762" s="115"/>
      <c r="BD762" s="115"/>
      <c r="BE762" s="115"/>
      <c r="BF762" s="115"/>
      <c r="BG762" s="115"/>
      <c r="BH762" s="124"/>
      <c r="BI762" s="124"/>
      <c r="BJ762" s="124"/>
      <c r="BK762" s="124"/>
      <c r="BL762" s="124"/>
      <c r="BM762" s="124"/>
      <c r="BN762" s="124"/>
      <c r="BO762" s="124"/>
      <c r="BP762" s="124"/>
      <c r="BQ762" s="124"/>
      <c r="BR762" s="124"/>
      <c r="BS762" s="124"/>
      <c r="BT762" s="124"/>
      <c r="BU762" s="124"/>
      <c r="BV762" s="124"/>
      <c r="BW762" s="124"/>
      <c r="BX762" s="124"/>
      <c r="BY762" s="124"/>
      <c r="BZ762" s="124"/>
      <c r="CA762" s="124"/>
      <c r="CB762" s="124"/>
      <c r="CC762" s="124"/>
      <c r="CD762" s="124"/>
      <c r="CE762" s="124"/>
      <c r="CF762" s="124"/>
      <c r="CG762" s="124"/>
      <c r="CH762" s="124"/>
      <c r="CI762" s="124"/>
      <c r="CJ762" s="124"/>
      <c r="CK762" s="124"/>
      <c r="CL762" s="124"/>
      <c r="CM762" s="124"/>
      <c r="CN762" s="124"/>
      <c r="CO762" s="124"/>
      <c r="CP762" s="124"/>
      <c r="CQ762" s="124"/>
      <c r="CR762" s="124"/>
      <c r="CS762" s="124"/>
      <c r="CT762" s="124"/>
      <c r="CU762" s="124"/>
      <c r="CV762" s="124"/>
      <c r="CW762" s="124"/>
      <c r="CX762" s="124"/>
      <c r="CY762" s="124"/>
      <c r="CZ762" s="124"/>
      <c r="DA762" s="124"/>
      <c r="DB762" s="124"/>
      <c r="DC762" s="124"/>
      <c r="DD762" s="124"/>
      <c r="DE762" s="124"/>
      <c r="DF762" s="124"/>
      <c r="DG762" s="115"/>
    </row>
    <row r="763" spans="2:111" customFormat="1" ht="9" customHeight="1">
      <c r="B763" s="493"/>
      <c r="C763" s="493"/>
      <c r="D763" s="493"/>
      <c r="E763" s="493"/>
      <c r="F763" s="493"/>
      <c r="G763" s="493"/>
      <c r="H763" s="493"/>
      <c r="I763" s="493"/>
      <c r="J763" s="493"/>
      <c r="K763" s="493"/>
      <c r="L763" s="493"/>
      <c r="M763" s="493"/>
      <c r="N763" s="493"/>
      <c r="O763" s="421"/>
      <c r="P763" s="421"/>
      <c r="Q763" s="421"/>
      <c r="R763" s="421"/>
      <c r="S763" s="421"/>
      <c r="T763" s="421"/>
      <c r="U763" s="421"/>
      <c r="V763" s="421"/>
      <c r="W763" s="421"/>
      <c r="X763" s="421"/>
      <c r="Y763" s="421"/>
      <c r="Z763" s="421"/>
      <c r="AA763" s="421"/>
      <c r="AB763" s="421"/>
      <c r="AC763" s="421"/>
      <c r="AD763" s="421"/>
      <c r="AE763" s="421"/>
      <c r="AF763" s="421"/>
      <c r="AG763" s="421"/>
      <c r="AH763" s="421"/>
      <c r="AI763" s="421"/>
      <c r="AJ763" s="421"/>
      <c r="AK763" s="421"/>
      <c r="AL763" s="421"/>
      <c r="AM763" s="421"/>
      <c r="AN763" s="421"/>
      <c r="AO763" s="421"/>
      <c r="AP763" s="421"/>
      <c r="AQ763" s="421"/>
      <c r="AR763" s="421"/>
      <c r="AS763" s="421"/>
      <c r="AT763" s="421"/>
      <c r="AU763" s="421"/>
      <c r="AV763" s="421"/>
      <c r="AW763" s="421"/>
      <c r="AX763" s="421"/>
      <c r="AY763" s="421"/>
      <c r="AZ763" s="421"/>
      <c r="BA763" s="421"/>
      <c r="BC763" s="115"/>
      <c r="BD763" s="115"/>
      <c r="BE763" s="115"/>
      <c r="BF763" s="115"/>
      <c r="BG763" s="115"/>
      <c r="BH763" s="124"/>
      <c r="BI763" s="124"/>
      <c r="BJ763" s="124"/>
      <c r="BK763" s="124"/>
      <c r="BL763" s="124"/>
      <c r="BM763" s="124"/>
      <c r="BN763" s="124"/>
      <c r="BO763" s="124"/>
      <c r="BP763" s="124"/>
      <c r="BQ763" s="124"/>
      <c r="BR763" s="124"/>
      <c r="BS763" s="124"/>
      <c r="BT763" s="124"/>
      <c r="BU763" s="124"/>
      <c r="BV763" s="124"/>
      <c r="BW763" s="124"/>
      <c r="BX763" s="124"/>
      <c r="BY763" s="124"/>
      <c r="BZ763" s="124"/>
      <c r="CA763" s="124"/>
      <c r="CB763" s="124"/>
      <c r="CC763" s="124"/>
      <c r="CD763" s="124"/>
      <c r="CE763" s="124"/>
      <c r="CF763" s="124"/>
      <c r="CG763" s="124"/>
      <c r="CH763" s="124"/>
      <c r="CI763" s="124"/>
      <c r="CJ763" s="124"/>
      <c r="CK763" s="124"/>
      <c r="CL763" s="124"/>
      <c r="CM763" s="124"/>
      <c r="CN763" s="124"/>
      <c r="CO763" s="124"/>
      <c r="CP763" s="124"/>
      <c r="CQ763" s="124"/>
      <c r="CR763" s="124"/>
      <c r="CS763" s="124"/>
      <c r="CT763" s="124"/>
      <c r="CU763" s="124"/>
      <c r="CV763" s="124"/>
      <c r="CW763" s="124"/>
      <c r="CX763" s="124"/>
      <c r="CY763" s="124"/>
      <c r="CZ763" s="124"/>
      <c r="DA763" s="124"/>
      <c r="DB763" s="124"/>
      <c r="DC763" s="124"/>
      <c r="DD763" s="124"/>
      <c r="DE763" s="124"/>
      <c r="DF763" s="124"/>
      <c r="DG763" s="115"/>
    </row>
    <row r="764" spans="2:111" customFormat="1" ht="9" customHeight="1">
      <c r="B764" s="143"/>
      <c r="C764" s="143"/>
      <c r="D764" s="143"/>
      <c r="E764" s="143"/>
      <c r="F764" s="143"/>
      <c r="G764" s="143"/>
      <c r="H764" s="143"/>
      <c r="I764" s="143"/>
      <c r="J764" s="143"/>
      <c r="K764" s="143"/>
      <c r="L764" s="143"/>
      <c r="M764" s="143"/>
      <c r="N764" s="143"/>
      <c r="O764" s="421"/>
      <c r="P764" s="421"/>
      <c r="Q764" s="421"/>
      <c r="R764" s="421"/>
      <c r="S764" s="421"/>
      <c r="T764" s="421"/>
      <c r="U764" s="421"/>
      <c r="V764" s="421"/>
      <c r="W764" s="421"/>
      <c r="X764" s="421"/>
      <c r="Y764" s="421"/>
      <c r="Z764" s="421"/>
      <c r="AA764" s="421"/>
      <c r="AB764" s="421"/>
      <c r="AC764" s="421"/>
      <c r="AD764" s="421"/>
      <c r="AE764" s="421"/>
      <c r="AF764" s="421"/>
      <c r="AG764" s="421"/>
      <c r="AH764" s="421"/>
      <c r="AI764" s="421"/>
      <c r="AJ764" s="421"/>
      <c r="AK764" s="421"/>
      <c r="AL764" s="421"/>
      <c r="AM764" s="421"/>
      <c r="AN764" s="421"/>
      <c r="AO764" s="421"/>
      <c r="AP764" s="421"/>
      <c r="AQ764" s="421"/>
      <c r="AR764" s="421"/>
      <c r="AS764" s="421"/>
      <c r="AT764" s="421"/>
      <c r="AU764" s="421"/>
      <c r="AV764" s="421"/>
      <c r="AW764" s="421"/>
      <c r="AX764" s="421"/>
      <c r="AY764" s="421"/>
      <c r="AZ764" s="421"/>
      <c r="BA764" s="421"/>
      <c r="BC764" s="115"/>
      <c r="BD764" s="115"/>
      <c r="BE764" s="115"/>
      <c r="BF764" s="115"/>
      <c r="BG764" s="115"/>
      <c r="BH764" s="84"/>
      <c r="BI764" s="84"/>
      <c r="BJ764" s="84"/>
      <c r="BK764" s="84"/>
      <c r="BL764" s="84"/>
      <c r="BM764" s="84"/>
      <c r="BN764" s="84"/>
      <c r="BO764" s="84"/>
      <c r="BP764" s="84"/>
      <c r="BQ764" s="84"/>
      <c r="BR764" s="84"/>
      <c r="BS764" s="84"/>
      <c r="BT764" s="84"/>
      <c r="BU764" s="84"/>
      <c r="BV764" s="84"/>
      <c r="BW764" s="84"/>
      <c r="BX764" s="84"/>
      <c r="BY764" s="84"/>
      <c r="BZ764" s="84"/>
      <c r="CA764" s="84"/>
      <c r="CB764" s="84"/>
      <c r="CC764" s="84"/>
      <c r="CD764" s="84"/>
      <c r="CE764" s="84"/>
      <c r="CF764" s="84"/>
      <c r="CG764" s="84"/>
      <c r="CH764" s="84"/>
      <c r="CI764" s="84"/>
      <c r="CJ764" s="84"/>
      <c r="CK764" s="84"/>
      <c r="CL764" s="84"/>
      <c r="CM764" s="84"/>
      <c r="CN764" s="84"/>
      <c r="CO764" s="84"/>
      <c r="CP764" s="84"/>
      <c r="CQ764" s="84"/>
      <c r="CR764" s="84"/>
      <c r="CS764" s="84"/>
      <c r="CT764" s="84"/>
      <c r="CU764" s="84"/>
      <c r="CV764" s="84"/>
      <c r="CW764" s="84"/>
      <c r="CX764" s="84"/>
      <c r="CY764" s="84"/>
      <c r="CZ764" s="84"/>
      <c r="DA764" s="84"/>
      <c r="DB764" s="84"/>
      <c r="DC764" s="84"/>
      <c r="DD764" s="84"/>
      <c r="DE764" s="84"/>
      <c r="DF764" s="84"/>
      <c r="DG764" s="115"/>
    </row>
    <row r="765" spans="2:111" customFormat="1" ht="9" customHeight="1">
      <c r="B765" s="49"/>
      <c r="C765" s="49"/>
      <c r="D765" s="49"/>
      <c r="E765" s="49"/>
      <c r="F765" s="49"/>
      <c r="G765" s="49"/>
      <c r="H765" s="49"/>
      <c r="I765" s="49"/>
      <c r="J765" s="49"/>
      <c r="K765" s="49"/>
      <c r="L765" s="49"/>
      <c r="M765" s="49"/>
      <c r="N765" s="49"/>
      <c r="O765" s="421"/>
      <c r="P765" s="421"/>
      <c r="Q765" s="421"/>
      <c r="R765" s="421"/>
      <c r="S765" s="421"/>
      <c r="T765" s="421"/>
      <c r="U765" s="421"/>
      <c r="V765" s="421"/>
      <c r="W765" s="421"/>
      <c r="X765" s="421"/>
      <c r="Y765" s="421"/>
      <c r="Z765" s="421"/>
      <c r="AA765" s="421"/>
      <c r="AB765" s="421"/>
      <c r="AC765" s="421"/>
      <c r="AD765" s="421"/>
      <c r="AE765" s="421"/>
      <c r="AF765" s="421"/>
      <c r="AG765" s="421"/>
      <c r="AH765" s="421"/>
      <c r="AI765" s="421"/>
      <c r="AJ765" s="421"/>
      <c r="AK765" s="421"/>
      <c r="AL765" s="421"/>
      <c r="AM765" s="421"/>
      <c r="AN765" s="421"/>
      <c r="AO765" s="421"/>
      <c r="AP765" s="421"/>
      <c r="AQ765" s="421"/>
      <c r="AR765" s="421"/>
      <c r="AS765" s="421"/>
      <c r="AT765" s="421"/>
      <c r="AU765" s="421"/>
      <c r="AV765" s="421"/>
      <c r="AW765" s="421"/>
      <c r="AX765" s="421"/>
      <c r="AY765" s="421"/>
      <c r="AZ765" s="421"/>
      <c r="BA765" s="421"/>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c r="BY765" s="115"/>
      <c r="BZ765" s="115"/>
      <c r="CA765" s="115"/>
      <c r="CB765" s="115"/>
      <c r="CC765" s="115"/>
      <c r="CD765" s="115"/>
      <c r="CE765" s="115"/>
      <c r="CF765" s="115"/>
      <c r="CG765" s="115"/>
      <c r="CH765" s="115"/>
      <c r="CI765" s="115"/>
      <c r="CJ765" s="115"/>
      <c r="CK765" s="115"/>
      <c r="CL765" s="115"/>
      <c r="CM765" s="115"/>
      <c r="CN765" s="115"/>
      <c r="CO765" s="115"/>
      <c r="CP765" s="115"/>
      <c r="CQ765" s="115"/>
      <c r="CR765" s="115"/>
      <c r="CS765" s="115"/>
      <c r="CT765" s="115"/>
      <c r="CU765" s="115"/>
      <c r="CV765" s="115"/>
      <c r="CW765" s="115"/>
      <c r="CX765" s="115"/>
      <c r="CY765" s="115"/>
      <c r="CZ765" s="115"/>
      <c r="DA765" s="115"/>
      <c r="DB765" s="115"/>
      <c r="DC765" s="115"/>
      <c r="DD765" s="115"/>
      <c r="DE765" s="115"/>
      <c r="DF765" s="115"/>
      <c r="DG765" s="115"/>
    </row>
    <row r="766" spans="2:111" customFormat="1" ht="4.5" customHeight="1">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C766" s="115"/>
      <c r="BD766" s="115"/>
      <c r="BE766" s="115"/>
      <c r="BF766" s="115"/>
      <c r="BG766" s="115"/>
      <c r="BH766" s="124"/>
      <c r="BI766" s="124"/>
      <c r="BJ766" s="124"/>
      <c r="BK766" s="124"/>
      <c r="BL766" s="124"/>
      <c r="BM766" s="124"/>
      <c r="BN766" s="124"/>
      <c r="BO766" s="124"/>
      <c r="BP766" s="124"/>
      <c r="BQ766" s="124"/>
      <c r="BR766" s="124"/>
      <c r="BS766" s="124"/>
      <c r="BT766" s="124"/>
      <c r="BU766" s="124"/>
      <c r="BV766" s="124"/>
      <c r="BW766" s="124"/>
      <c r="BX766" s="124"/>
      <c r="BY766" s="124"/>
      <c r="BZ766" s="124"/>
      <c r="CA766" s="124"/>
      <c r="CB766" s="124"/>
      <c r="CC766" s="124"/>
      <c r="CD766" s="124"/>
      <c r="CE766" s="124"/>
      <c r="CF766" s="124"/>
      <c r="CG766" s="124"/>
      <c r="CH766" s="124"/>
      <c r="CI766" s="124"/>
      <c r="CJ766" s="124"/>
      <c r="CK766" s="124"/>
      <c r="CL766" s="124"/>
      <c r="CM766" s="124"/>
      <c r="CN766" s="124"/>
      <c r="CO766" s="124"/>
      <c r="CP766" s="124"/>
      <c r="CQ766" s="124"/>
      <c r="CR766" s="124"/>
      <c r="CS766" s="124"/>
      <c r="CT766" s="124"/>
      <c r="CU766" s="124"/>
      <c r="CV766" s="124"/>
      <c r="CW766" s="124"/>
      <c r="CX766" s="124"/>
      <c r="CY766" s="124"/>
      <c r="CZ766" s="124"/>
      <c r="DA766" s="124"/>
      <c r="DB766" s="124"/>
      <c r="DC766" s="124"/>
      <c r="DD766" s="124"/>
      <c r="DE766" s="124"/>
      <c r="DF766" s="124"/>
      <c r="DG766" s="115"/>
    </row>
    <row r="767" spans="2:111" customFormat="1" ht="9" customHeight="1">
      <c r="B767" s="493" t="str">
        <f>IF(B756="","","Detalhamento do Objeto:")</f>
        <v/>
      </c>
      <c r="C767" s="493"/>
      <c r="D767" s="493"/>
      <c r="E767" s="493"/>
      <c r="F767" s="493"/>
      <c r="G767" s="493"/>
      <c r="H767" s="493"/>
      <c r="I767" s="493"/>
      <c r="J767" s="493"/>
      <c r="K767" s="493"/>
      <c r="L767" s="493"/>
      <c r="M767" s="493"/>
      <c r="N767" s="493"/>
      <c r="O767" s="421"/>
      <c r="P767" s="421"/>
      <c r="Q767" s="421"/>
      <c r="R767" s="421"/>
      <c r="S767" s="421"/>
      <c r="T767" s="421"/>
      <c r="U767" s="421"/>
      <c r="V767" s="421"/>
      <c r="W767" s="421"/>
      <c r="X767" s="421"/>
      <c r="Y767" s="421"/>
      <c r="Z767" s="421"/>
      <c r="AA767" s="421"/>
      <c r="AB767" s="421"/>
      <c r="AC767" s="421"/>
      <c r="AD767" s="421"/>
      <c r="AE767" s="421"/>
      <c r="AF767" s="421"/>
      <c r="AG767" s="421"/>
      <c r="AH767" s="421"/>
      <c r="AI767" s="421"/>
      <c r="AJ767" s="421"/>
      <c r="AK767" s="421"/>
      <c r="AL767" s="421"/>
      <c r="AM767" s="421"/>
      <c r="AN767" s="421"/>
      <c r="AO767" s="421"/>
      <c r="AP767" s="421"/>
      <c r="AQ767" s="421"/>
      <c r="AR767" s="421"/>
      <c r="AS767" s="421"/>
      <c r="AT767" s="421"/>
      <c r="AU767" s="421"/>
      <c r="AV767" s="421"/>
      <c r="AW767" s="421"/>
      <c r="AX767" s="421"/>
      <c r="AY767" s="421"/>
      <c r="AZ767" s="421"/>
      <c r="BA767" s="421"/>
      <c r="BC767" s="115"/>
      <c r="BD767" s="115"/>
      <c r="BE767" s="115"/>
      <c r="BF767" s="115"/>
      <c r="BG767" s="115"/>
      <c r="BH767" s="124"/>
      <c r="BI767" s="124"/>
      <c r="BJ767" s="124"/>
      <c r="BK767" s="124"/>
      <c r="BL767" s="124"/>
      <c r="BM767" s="124"/>
      <c r="BN767" s="124"/>
      <c r="BO767" s="124"/>
      <c r="BP767" s="124"/>
      <c r="BQ767" s="124"/>
      <c r="BR767" s="124"/>
      <c r="BS767" s="124"/>
      <c r="BT767" s="124"/>
      <c r="BU767" s="124"/>
      <c r="BV767" s="124"/>
      <c r="BW767" s="124"/>
      <c r="BX767" s="124"/>
      <c r="BY767" s="124"/>
      <c r="BZ767" s="124"/>
      <c r="CA767" s="124"/>
      <c r="CB767" s="124"/>
      <c r="CC767" s="124"/>
      <c r="CD767" s="124"/>
      <c r="CE767" s="124"/>
      <c r="CF767" s="124"/>
      <c r="CG767" s="124"/>
      <c r="CH767" s="124"/>
      <c r="CI767" s="124"/>
      <c r="CJ767" s="124"/>
      <c r="CK767" s="124"/>
      <c r="CL767" s="124"/>
      <c r="CM767" s="124"/>
      <c r="CN767" s="124"/>
      <c r="CO767" s="124"/>
      <c r="CP767" s="124"/>
      <c r="CQ767" s="124"/>
      <c r="CR767" s="124"/>
      <c r="CS767" s="124"/>
      <c r="CT767" s="124"/>
      <c r="CU767" s="124"/>
      <c r="CV767" s="124"/>
      <c r="CW767" s="124"/>
      <c r="CX767" s="124"/>
      <c r="CY767" s="124"/>
      <c r="CZ767" s="124"/>
      <c r="DA767" s="124"/>
      <c r="DB767" s="124"/>
      <c r="DC767" s="124"/>
      <c r="DD767" s="124"/>
      <c r="DE767" s="124"/>
      <c r="DF767" s="124"/>
      <c r="DG767" s="115"/>
    </row>
    <row r="768" spans="2:111" customFormat="1" ht="9" customHeight="1">
      <c r="B768" s="493"/>
      <c r="C768" s="493"/>
      <c r="D768" s="493"/>
      <c r="E768" s="493"/>
      <c r="F768" s="493"/>
      <c r="G768" s="493"/>
      <c r="H768" s="493"/>
      <c r="I768" s="493"/>
      <c r="J768" s="493"/>
      <c r="K768" s="493"/>
      <c r="L768" s="493"/>
      <c r="M768" s="493"/>
      <c r="N768" s="493"/>
      <c r="O768" s="421"/>
      <c r="P768" s="421"/>
      <c r="Q768" s="421"/>
      <c r="R768" s="421"/>
      <c r="S768" s="421"/>
      <c r="T768" s="421"/>
      <c r="U768" s="421"/>
      <c r="V768" s="421"/>
      <c r="W768" s="421"/>
      <c r="X768" s="421"/>
      <c r="Y768" s="421"/>
      <c r="Z768" s="421"/>
      <c r="AA768" s="421"/>
      <c r="AB768" s="421"/>
      <c r="AC768" s="421"/>
      <c r="AD768" s="421"/>
      <c r="AE768" s="421"/>
      <c r="AF768" s="421"/>
      <c r="AG768" s="421"/>
      <c r="AH768" s="421"/>
      <c r="AI768" s="421"/>
      <c r="AJ768" s="421"/>
      <c r="AK768" s="421"/>
      <c r="AL768" s="421"/>
      <c r="AM768" s="421"/>
      <c r="AN768" s="421"/>
      <c r="AO768" s="421"/>
      <c r="AP768" s="421"/>
      <c r="AQ768" s="421"/>
      <c r="AR768" s="421"/>
      <c r="AS768" s="421"/>
      <c r="AT768" s="421"/>
      <c r="AU768" s="421"/>
      <c r="AV768" s="421"/>
      <c r="AW768" s="421"/>
      <c r="AX768" s="421"/>
      <c r="AY768" s="421"/>
      <c r="AZ768" s="421"/>
      <c r="BA768" s="421"/>
      <c r="BC768" s="115"/>
      <c r="BD768" s="115"/>
      <c r="BE768" s="115"/>
      <c r="BF768" s="115"/>
      <c r="BG768" s="115"/>
      <c r="BH768" s="124"/>
      <c r="BI768" s="124"/>
      <c r="BJ768" s="124"/>
      <c r="BK768" s="124"/>
      <c r="BL768" s="124"/>
      <c r="BM768" s="124"/>
      <c r="BN768" s="124"/>
      <c r="BO768" s="124"/>
      <c r="BP768" s="124"/>
      <c r="BQ768" s="124"/>
      <c r="BR768" s="124"/>
      <c r="BS768" s="124"/>
      <c r="BT768" s="124"/>
      <c r="BU768" s="124"/>
      <c r="BV768" s="124"/>
      <c r="BW768" s="124"/>
      <c r="BX768" s="124"/>
      <c r="BY768" s="124"/>
      <c r="BZ768" s="124"/>
      <c r="CA768" s="124"/>
      <c r="CB768" s="124"/>
      <c r="CC768" s="124"/>
      <c r="CD768" s="124"/>
      <c r="CE768" s="124"/>
      <c r="CF768" s="124"/>
      <c r="CG768" s="124"/>
      <c r="CH768" s="124"/>
      <c r="CI768" s="124"/>
      <c r="CJ768" s="124"/>
      <c r="CK768" s="124"/>
      <c r="CL768" s="124"/>
      <c r="CM768" s="124"/>
      <c r="CN768" s="124"/>
      <c r="CO768" s="124"/>
      <c r="CP768" s="124"/>
      <c r="CQ768" s="124"/>
      <c r="CR768" s="124"/>
      <c r="CS768" s="124"/>
      <c r="CT768" s="124"/>
      <c r="CU768" s="124"/>
      <c r="CV768" s="124"/>
      <c r="CW768" s="124"/>
      <c r="CX768" s="124"/>
      <c r="CY768" s="124"/>
      <c r="CZ768" s="124"/>
      <c r="DA768" s="124"/>
      <c r="DB768" s="124"/>
      <c r="DC768" s="124"/>
      <c r="DD768" s="124"/>
      <c r="DE768" s="124"/>
      <c r="DF768" s="124"/>
      <c r="DG768" s="115"/>
    </row>
    <row r="769" spans="2:111" customFormat="1" ht="9" customHeight="1">
      <c r="B769" s="143"/>
      <c r="C769" s="143"/>
      <c r="D769" s="143"/>
      <c r="E769" s="143"/>
      <c r="F769" s="143"/>
      <c r="G769" s="143"/>
      <c r="H769" s="143"/>
      <c r="I769" s="143"/>
      <c r="J769" s="143"/>
      <c r="K769" s="143"/>
      <c r="L769" s="143"/>
      <c r="M769" s="143"/>
      <c r="N769" s="143"/>
      <c r="O769" s="421"/>
      <c r="P769" s="421"/>
      <c r="Q769" s="421"/>
      <c r="R769" s="421"/>
      <c r="S769" s="421"/>
      <c r="T769" s="421"/>
      <c r="U769" s="421"/>
      <c r="V769" s="421"/>
      <c r="W769" s="421"/>
      <c r="X769" s="421"/>
      <c r="Y769" s="421"/>
      <c r="Z769" s="421"/>
      <c r="AA769" s="421"/>
      <c r="AB769" s="421"/>
      <c r="AC769" s="421"/>
      <c r="AD769" s="421"/>
      <c r="AE769" s="421"/>
      <c r="AF769" s="421"/>
      <c r="AG769" s="421"/>
      <c r="AH769" s="421"/>
      <c r="AI769" s="421"/>
      <c r="AJ769" s="421"/>
      <c r="AK769" s="421"/>
      <c r="AL769" s="421"/>
      <c r="AM769" s="421"/>
      <c r="AN769" s="421"/>
      <c r="AO769" s="421"/>
      <c r="AP769" s="421"/>
      <c r="AQ769" s="421"/>
      <c r="AR769" s="421"/>
      <c r="AS769" s="421"/>
      <c r="AT769" s="421"/>
      <c r="AU769" s="421"/>
      <c r="AV769" s="421"/>
      <c r="AW769" s="421"/>
      <c r="AX769" s="421"/>
      <c r="AY769" s="421"/>
      <c r="AZ769" s="421"/>
      <c r="BA769" s="421"/>
      <c r="BC769" s="115"/>
      <c r="BD769" s="115"/>
      <c r="BE769" s="115"/>
      <c r="BF769" s="115"/>
      <c r="BG769" s="115"/>
      <c r="BH769" s="84"/>
      <c r="BI769" s="84"/>
      <c r="BJ769" s="84"/>
      <c r="BK769" s="84"/>
      <c r="BL769" s="84"/>
      <c r="BM769" s="84"/>
      <c r="BN769" s="84"/>
      <c r="BO769" s="84"/>
      <c r="BP769" s="84"/>
      <c r="BQ769" s="84"/>
      <c r="BR769" s="84"/>
      <c r="BS769" s="84"/>
      <c r="BT769" s="84"/>
      <c r="BU769" s="84"/>
      <c r="BV769" s="84"/>
      <c r="BW769" s="84"/>
      <c r="BX769" s="84"/>
      <c r="BY769" s="84"/>
      <c r="BZ769" s="84"/>
      <c r="CA769" s="84"/>
      <c r="CB769" s="84"/>
      <c r="CC769" s="84"/>
      <c r="CD769" s="84"/>
      <c r="CE769" s="84"/>
      <c r="CF769" s="84"/>
      <c r="CG769" s="84"/>
      <c r="CH769" s="84"/>
      <c r="CI769" s="84"/>
      <c r="CJ769" s="84"/>
      <c r="CK769" s="84"/>
      <c r="CL769" s="84"/>
      <c r="CM769" s="84"/>
      <c r="CN769" s="84"/>
      <c r="CO769" s="84"/>
      <c r="CP769" s="84"/>
      <c r="CQ769" s="84"/>
      <c r="CR769" s="84"/>
      <c r="CS769" s="84"/>
      <c r="CT769" s="84"/>
      <c r="CU769" s="84"/>
      <c r="CV769" s="84"/>
      <c r="CW769" s="84"/>
      <c r="CX769" s="84"/>
      <c r="CY769" s="84"/>
      <c r="CZ769" s="84"/>
      <c r="DA769" s="84"/>
      <c r="DB769" s="84"/>
      <c r="DC769" s="84"/>
      <c r="DD769" s="84"/>
      <c r="DE769" s="84"/>
      <c r="DF769" s="84"/>
      <c r="DG769" s="115"/>
    </row>
    <row r="770" spans="2:111" customFormat="1" ht="9" customHeight="1">
      <c r="B770" s="143"/>
      <c r="C770" s="143"/>
      <c r="D770" s="143"/>
      <c r="E770" s="143"/>
      <c r="F770" s="143"/>
      <c r="G770" s="143"/>
      <c r="H770" s="143"/>
      <c r="I770" s="143"/>
      <c r="J770" s="143"/>
      <c r="K770" s="143"/>
      <c r="L770" s="143"/>
      <c r="M770" s="143"/>
      <c r="N770" s="143"/>
      <c r="O770" s="421"/>
      <c r="P770" s="421"/>
      <c r="Q770" s="421"/>
      <c r="R770" s="421"/>
      <c r="S770" s="421"/>
      <c r="T770" s="421"/>
      <c r="U770" s="421"/>
      <c r="V770" s="421"/>
      <c r="W770" s="421"/>
      <c r="X770" s="421"/>
      <c r="Y770" s="421"/>
      <c r="Z770" s="421"/>
      <c r="AA770" s="421"/>
      <c r="AB770" s="421"/>
      <c r="AC770" s="421"/>
      <c r="AD770" s="421"/>
      <c r="AE770" s="421"/>
      <c r="AF770" s="421"/>
      <c r="AG770" s="421"/>
      <c r="AH770" s="421"/>
      <c r="AI770" s="421"/>
      <c r="AJ770" s="421"/>
      <c r="AK770" s="421"/>
      <c r="AL770" s="421"/>
      <c r="AM770" s="421"/>
      <c r="AN770" s="421"/>
      <c r="AO770" s="421"/>
      <c r="AP770" s="421"/>
      <c r="AQ770" s="421"/>
      <c r="AR770" s="421"/>
      <c r="AS770" s="421"/>
      <c r="AT770" s="421"/>
      <c r="AU770" s="421"/>
      <c r="AV770" s="421"/>
      <c r="AW770" s="421"/>
      <c r="AX770" s="421"/>
      <c r="AY770" s="421"/>
      <c r="AZ770" s="421"/>
      <c r="BA770" s="421"/>
      <c r="BC770" s="115"/>
      <c r="BD770" s="115"/>
      <c r="BE770" s="115"/>
      <c r="BF770" s="115"/>
      <c r="BG770" s="115"/>
      <c r="BH770" s="84"/>
      <c r="BI770" s="84"/>
      <c r="BJ770" s="84"/>
      <c r="BK770" s="84"/>
      <c r="BL770" s="84"/>
      <c r="BM770" s="84"/>
      <c r="BN770" s="84"/>
      <c r="BO770" s="84"/>
      <c r="BP770" s="84"/>
      <c r="BQ770" s="84"/>
      <c r="BR770" s="84"/>
      <c r="BS770" s="84"/>
      <c r="BT770" s="84"/>
      <c r="BU770" s="84"/>
      <c r="BV770" s="84"/>
      <c r="BW770" s="84"/>
      <c r="BX770" s="84"/>
      <c r="BY770" s="84"/>
      <c r="BZ770" s="84"/>
      <c r="CA770" s="84"/>
      <c r="CB770" s="84"/>
      <c r="CC770" s="84"/>
      <c r="CD770" s="84"/>
      <c r="CE770" s="84"/>
      <c r="CF770" s="84"/>
      <c r="CG770" s="84"/>
      <c r="CH770" s="84"/>
      <c r="CI770" s="84"/>
      <c r="CJ770" s="84"/>
      <c r="CK770" s="84"/>
      <c r="CL770" s="84"/>
      <c r="CM770" s="84"/>
      <c r="CN770" s="84"/>
      <c r="CO770" s="84"/>
      <c r="CP770" s="84"/>
      <c r="CQ770" s="84"/>
      <c r="CR770" s="84"/>
      <c r="CS770" s="84"/>
      <c r="CT770" s="84"/>
      <c r="CU770" s="84"/>
      <c r="CV770" s="84"/>
      <c r="CW770" s="84"/>
      <c r="CX770" s="84"/>
      <c r="CY770" s="84"/>
      <c r="CZ770" s="84"/>
      <c r="DA770" s="84"/>
      <c r="DB770" s="84"/>
      <c r="DC770" s="84"/>
      <c r="DD770" s="84"/>
      <c r="DE770" s="84"/>
      <c r="DF770" s="84"/>
      <c r="DG770" s="115"/>
    </row>
    <row r="771" spans="2:111" customFormat="1" ht="9" customHeight="1">
      <c r="B771" s="143"/>
      <c r="C771" s="143"/>
      <c r="D771" s="143"/>
      <c r="E771" s="143"/>
      <c r="F771" s="143"/>
      <c r="G771" s="143"/>
      <c r="H771" s="143"/>
      <c r="I771" s="143"/>
      <c r="J771" s="143"/>
      <c r="K771" s="143"/>
      <c r="L771" s="143"/>
      <c r="M771" s="143"/>
      <c r="N771" s="143"/>
      <c r="O771" s="421"/>
      <c r="P771" s="421"/>
      <c r="Q771" s="421"/>
      <c r="R771" s="421"/>
      <c r="S771" s="421"/>
      <c r="T771" s="421"/>
      <c r="U771" s="421"/>
      <c r="V771" s="421"/>
      <c r="W771" s="421"/>
      <c r="X771" s="421"/>
      <c r="Y771" s="421"/>
      <c r="Z771" s="421"/>
      <c r="AA771" s="421"/>
      <c r="AB771" s="421"/>
      <c r="AC771" s="421"/>
      <c r="AD771" s="421"/>
      <c r="AE771" s="421"/>
      <c r="AF771" s="421"/>
      <c r="AG771" s="421"/>
      <c r="AH771" s="421"/>
      <c r="AI771" s="421"/>
      <c r="AJ771" s="421"/>
      <c r="AK771" s="421"/>
      <c r="AL771" s="421"/>
      <c r="AM771" s="421"/>
      <c r="AN771" s="421"/>
      <c r="AO771" s="421"/>
      <c r="AP771" s="421"/>
      <c r="AQ771" s="421"/>
      <c r="AR771" s="421"/>
      <c r="AS771" s="421"/>
      <c r="AT771" s="421"/>
      <c r="AU771" s="421"/>
      <c r="AV771" s="421"/>
      <c r="AW771" s="421"/>
      <c r="AX771" s="421"/>
      <c r="AY771" s="421"/>
      <c r="AZ771" s="421"/>
      <c r="BA771" s="421"/>
      <c r="BC771" s="115"/>
      <c r="BD771" s="115"/>
      <c r="BE771" s="115"/>
      <c r="BF771" s="115"/>
      <c r="BG771" s="115"/>
      <c r="BH771" s="84"/>
      <c r="BI771" s="84"/>
      <c r="BJ771" s="84"/>
      <c r="BK771" s="84"/>
      <c r="BL771" s="84"/>
      <c r="BM771" s="84"/>
      <c r="BN771" s="84"/>
      <c r="BO771" s="84"/>
      <c r="BP771" s="84"/>
      <c r="BQ771" s="84"/>
      <c r="BR771" s="84"/>
      <c r="BS771" s="84"/>
      <c r="BT771" s="84"/>
      <c r="BU771" s="84"/>
      <c r="BV771" s="84"/>
      <c r="BW771" s="84"/>
      <c r="BX771" s="84"/>
      <c r="BY771" s="84"/>
      <c r="BZ771" s="84"/>
      <c r="CA771" s="84"/>
      <c r="CB771" s="84"/>
      <c r="CC771" s="84"/>
      <c r="CD771" s="84"/>
      <c r="CE771" s="84"/>
      <c r="CF771" s="84"/>
      <c r="CG771" s="84"/>
      <c r="CH771" s="84"/>
      <c r="CI771" s="84"/>
      <c r="CJ771" s="84"/>
      <c r="CK771" s="84"/>
      <c r="CL771" s="84"/>
      <c r="CM771" s="84"/>
      <c r="CN771" s="84"/>
      <c r="CO771" s="84"/>
      <c r="CP771" s="84"/>
      <c r="CQ771" s="84"/>
      <c r="CR771" s="84"/>
      <c r="CS771" s="84"/>
      <c r="CT771" s="84"/>
      <c r="CU771" s="84"/>
      <c r="CV771" s="84"/>
      <c r="CW771" s="84"/>
      <c r="CX771" s="84"/>
      <c r="CY771" s="84"/>
      <c r="CZ771" s="84"/>
      <c r="DA771" s="84"/>
      <c r="DB771" s="84"/>
      <c r="DC771" s="84"/>
      <c r="DD771" s="84"/>
      <c r="DE771" s="84"/>
      <c r="DF771" s="84"/>
      <c r="DG771" s="115"/>
    </row>
    <row r="772" spans="2:111" customFormat="1" ht="9" customHeight="1">
      <c r="B772" s="143"/>
      <c r="C772" s="143"/>
      <c r="D772" s="143"/>
      <c r="E772" s="143"/>
      <c r="F772" s="143"/>
      <c r="G772" s="143"/>
      <c r="H772" s="143"/>
      <c r="I772" s="143"/>
      <c r="J772" s="143"/>
      <c r="K772" s="143"/>
      <c r="L772" s="143"/>
      <c r="M772" s="143"/>
      <c r="N772" s="143"/>
      <c r="O772" s="421"/>
      <c r="P772" s="421"/>
      <c r="Q772" s="421"/>
      <c r="R772" s="421"/>
      <c r="S772" s="421"/>
      <c r="T772" s="421"/>
      <c r="U772" s="421"/>
      <c r="V772" s="421"/>
      <c r="W772" s="421"/>
      <c r="X772" s="421"/>
      <c r="Y772" s="421"/>
      <c r="Z772" s="421"/>
      <c r="AA772" s="421"/>
      <c r="AB772" s="421"/>
      <c r="AC772" s="421"/>
      <c r="AD772" s="421"/>
      <c r="AE772" s="421"/>
      <c r="AF772" s="421"/>
      <c r="AG772" s="421"/>
      <c r="AH772" s="421"/>
      <c r="AI772" s="421"/>
      <c r="AJ772" s="421"/>
      <c r="AK772" s="421"/>
      <c r="AL772" s="421"/>
      <c r="AM772" s="421"/>
      <c r="AN772" s="421"/>
      <c r="AO772" s="421"/>
      <c r="AP772" s="421"/>
      <c r="AQ772" s="421"/>
      <c r="AR772" s="421"/>
      <c r="AS772" s="421"/>
      <c r="AT772" s="421"/>
      <c r="AU772" s="421"/>
      <c r="AV772" s="421"/>
      <c r="AW772" s="421"/>
      <c r="AX772" s="421"/>
      <c r="AY772" s="421"/>
      <c r="AZ772" s="421"/>
      <c r="BA772" s="421"/>
      <c r="BC772" s="115"/>
      <c r="BD772" s="115"/>
      <c r="BE772" s="115"/>
      <c r="BF772" s="115"/>
      <c r="BG772" s="115"/>
      <c r="BH772" s="84"/>
      <c r="BI772" s="84"/>
      <c r="BJ772" s="84"/>
      <c r="BK772" s="84"/>
      <c r="BL772" s="84"/>
      <c r="BM772" s="84"/>
      <c r="BN772" s="84"/>
      <c r="BO772" s="84"/>
      <c r="BP772" s="84"/>
      <c r="BQ772" s="84"/>
      <c r="BR772" s="84"/>
      <c r="BS772" s="84"/>
      <c r="BT772" s="84"/>
      <c r="BU772" s="84"/>
      <c r="BV772" s="84"/>
      <c r="BW772" s="84"/>
      <c r="BX772" s="84"/>
      <c r="BY772" s="84"/>
      <c r="BZ772" s="84"/>
      <c r="CA772" s="84"/>
      <c r="CB772" s="84"/>
      <c r="CC772" s="84"/>
      <c r="CD772" s="84"/>
      <c r="CE772" s="84"/>
      <c r="CF772" s="84"/>
      <c r="CG772" s="84"/>
      <c r="CH772" s="84"/>
      <c r="CI772" s="84"/>
      <c r="CJ772" s="84"/>
      <c r="CK772" s="84"/>
      <c r="CL772" s="84"/>
      <c r="CM772" s="84"/>
      <c r="CN772" s="84"/>
      <c r="CO772" s="84"/>
      <c r="CP772" s="84"/>
      <c r="CQ772" s="84"/>
      <c r="CR772" s="84"/>
      <c r="CS772" s="84"/>
      <c r="CT772" s="84"/>
      <c r="CU772" s="84"/>
      <c r="CV772" s="84"/>
      <c r="CW772" s="84"/>
      <c r="CX772" s="84"/>
      <c r="CY772" s="84"/>
      <c r="CZ772" s="84"/>
      <c r="DA772" s="84"/>
      <c r="DB772" s="84"/>
      <c r="DC772" s="84"/>
      <c r="DD772" s="84"/>
      <c r="DE772" s="84"/>
      <c r="DF772" s="84"/>
      <c r="DG772" s="115"/>
    </row>
    <row r="773" spans="2:111" customFormat="1" ht="9" customHeight="1">
      <c r="B773" s="143"/>
      <c r="C773" s="143"/>
      <c r="D773" s="143"/>
      <c r="E773" s="143"/>
      <c r="F773" s="143"/>
      <c r="G773" s="143"/>
      <c r="H773" s="143"/>
      <c r="I773" s="143"/>
      <c r="J773" s="143"/>
      <c r="K773" s="143"/>
      <c r="L773" s="143"/>
      <c r="M773" s="143"/>
      <c r="N773" s="143"/>
      <c r="O773" s="421"/>
      <c r="P773" s="421"/>
      <c r="Q773" s="421"/>
      <c r="R773" s="421"/>
      <c r="S773" s="421"/>
      <c r="T773" s="421"/>
      <c r="U773" s="421"/>
      <c r="V773" s="421"/>
      <c r="W773" s="421"/>
      <c r="X773" s="421"/>
      <c r="Y773" s="421"/>
      <c r="Z773" s="421"/>
      <c r="AA773" s="421"/>
      <c r="AB773" s="421"/>
      <c r="AC773" s="421"/>
      <c r="AD773" s="421"/>
      <c r="AE773" s="421"/>
      <c r="AF773" s="421"/>
      <c r="AG773" s="421"/>
      <c r="AH773" s="421"/>
      <c r="AI773" s="421"/>
      <c r="AJ773" s="421"/>
      <c r="AK773" s="421"/>
      <c r="AL773" s="421"/>
      <c r="AM773" s="421"/>
      <c r="AN773" s="421"/>
      <c r="AO773" s="421"/>
      <c r="AP773" s="421"/>
      <c r="AQ773" s="421"/>
      <c r="AR773" s="421"/>
      <c r="AS773" s="421"/>
      <c r="AT773" s="421"/>
      <c r="AU773" s="421"/>
      <c r="AV773" s="421"/>
      <c r="AW773" s="421"/>
      <c r="AX773" s="421"/>
      <c r="AY773" s="421"/>
      <c r="AZ773" s="421"/>
      <c r="BA773" s="421"/>
      <c r="BC773" s="115"/>
      <c r="BD773" s="115"/>
      <c r="BE773" s="115"/>
      <c r="BF773" s="115"/>
      <c r="BG773" s="115"/>
      <c r="BH773" s="84"/>
      <c r="BI773" s="84"/>
      <c r="BJ773" s="84"/>
      <c r="BK773" s="84"/>
      <c r="BL773" s="84"/>
      <c r="BM773" s="84"/>
      <c r="BN773" s="84"/>
      <c r="BO773" s="84"/>
      <c r="BP773" s="84"/>
      <c r="BQ773" s="84"/>
      <c r="BR773" s="84"/>
      <c r="BS773" s="84"/>
      <c r="BT773" s="84"/>
      <c r="BU773" s="84"/>
      <c r="BV773" s="84"/>
      <c r="BW773" s="84"/>
      <c r="BX773" s="84"/>
      <c r="BY773" s="84"/>
      <c r="BZ773" s="84"/>
      <c r="CA773" s="84"/>
      <c r="CB773" s="84"/>
      <c r="CC773" s="84"/>
      <c r="CD773" s="84"/>
      <c r="CE773" s="84"/>
      <c r="CF773" s="84"/>
      <c r="CG773" s="84"/>
      <c r="CH773" s="84"/>
      <c r="CI773" s="84"/>
      <c r="CJ773" s="84"/>
      <c r="CK773" s="84"/>
      <c r="CL773" s="84"/>
      <c r="CM773" s="84"/>
      <c r="CN773" s="84"/>
      <c r="CO773" s="84"/>
      <c r="CP773" s="84"/>
      <c r="CQ773" s="84"/>
      <c r="CR773" s="84"/>
      <c r="CS773" s="84"/>
      <c r="CT773" s="84"/>
      <c r="CU773" s="84"/>
      <c r="CV773" s="84"/>
      <c r="CW773" s="84"/>
      <c r="CX773" s="84"/>
      <c r="CY773" s="84"/>
      <c r="CZ773" s="84"/>
      <c r="DA773" s="84"/>
      <c r="DB773" s="84"/>
      <c r="DC773" s="84"/>
      <c r="DD773" s="84"/>
      <c r="DE773" s="84"/>
      <c r="DF773" s="84"/>
      <c r="DG773" s="115"/>
    </row>
    <row r="774" spans="2:111" customFormat="1" ht="9" customHeight="1">
      <c r="B774" s="49"/>
      <c r="C774" s="49"/>
      <c r="D774" s="49"/>
      <c r="E774" s="49"/>
      <c r="F774" s="49"/>
      <c r="G774" s="49"/>
      <c r="H774" s="49"/>
      <c r="I774" s="49"/>
      <c r="J774" s="49"/>
      <c r="K774" s="49"/>
      <c r="L774" s="49"/>
      <c r="M774" s="49"/>
      <c r="N774" s="49"/>
      <c r="O774" s="421"/>
      <c r="P774" s="421"/>
      <c r="Q774" s="421"/>
      <c r="R774" s="421"/>
      <c r="S774" s="421"/>
      <c r="T774" s="421"/>
      <c r="U774" s="421"/>
      <c r="V774" s="421"/>
      <c r="W774" s="421"/>
      <c r="X774" s="421"/>
      <c r="Y774" s="421"/>
      <c r="Z774" s="421"/>
      <c r="AA774" s="421"/>
      <c r="AB774" s="421"/>
      <c r="AC774" s="421"/>
      <c r="AD774" s="421"/>
      <c r="AE774" s="421"/>
      <c r="AF774" s="421"/>
      <c r="AG774" s="421"/>
      <c r="AH774" s="421"/>
      <c r="AI774" s="421"/>
      <c r="AJ774" s="421"/>
      <c r="AK774" s="421"/>
      <c r="AL774" s="421"/>
      <c r="AM774" s="421"/>
      <c r="AN774" s="421"/>
      <c r="AO774" s="421"/>
      <c r="AP774" s="421"/>
      <c r="AQ774" s="421"/>
      <c r="AR774" s="421"/>
      <c r="AS774" s="421"/>
      <c r="AT774" s="421"/>
      <c r="AU774" s="421"/>
      <c r="AV774" s="421"/>
      <c r="AW774" s="421"/>
      <c r="AX774" s="421"/>
      <c r="AY774" s="421"/>
      <c r="AZ774" s="421"/>
      <c r="BA774" s="421"/>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c r="BY774" s="115"/>
      <c r="BZ774" s="115"/>
      <c r="CA774" s="115"/>
      <c r="CB774" s="115"/>
      <c r="CC774" s="115"/>
      <c r="CD774" s="115"/>
      <c r="CE774" s="115"/>
      <c r="CF774" s="115"/>
      <c r="CG774" s="115"/>
      <c r="CH774" s="115"/>
      <c r="CI774" s="115"/>
      <c r="CJ774" s="115"/>
      <c r="CK774" s="115"/>
      <c r="CL774" s="115"/>
      <c r="CM774" s="115"/>
      <c r="CN774" s="115"/>
      <c r="CO774" s="115"/>
      <c r="CP774" s="115"/>
      <c r="CQ774" s="115"/>
      <c r="CR774" s="115"/>
      <c r="CS774" s="115"/>
      <c r="CT774" s="115"/>
      <c r="CU774" s="115"/>
      <c r="CV774" s="115"/>
      <c r="CW774" s="115"/>
      <c r="CX774" s="115"/>
      <c r="CY774" s="115"/>
      <c r="CZ774" s="115"/>
      <c r="DA774" s="115"/>
      <c r="DB774" s="115"/>
      <c r="DC774" s="115"/>
      <c r="DD774" s="115"/>
      <c r="DE774" s="115"/>
      <c r="DF774" s="115"/>
      <c r="DG774" s="115"/>
    </row>
    <row r="775" spans="2:111" customFormat="1" ht="4.5" customHeight="1">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49"/>
      <c r="AY775" s="49"/>
      <c r="AZ775" s="49"/>
      <c r="BA775" s="49"/>
      <c r="BC775" s="115"/>
      <c r="BD775" s="115"/>
      <c r="BE775" s="115"/>
      <c r="BF775" s="115"/>
      <c r="BG775" s="115"/>
      <c r="BH775" s="124"/>
      <c r="BI775" s="124"/>
      <c r="BJ775" s="124"/>
      <c r="BK775" s="124"/>
      <c r="BL775" s="124"/>
      <c r="BM775" s="124"/>
      <c r="BN775" s="124"/>
      <c r="BO775" s="124"/>
      <c r="BP775" s="124"/>
      <c r="BQ775" s="124"/>
      <c r="BR775" s="124"/>
      <c r="BS775" s="124"/>
      <c r="BT775" s="124"/>
      <c r="BU775" s="124"/>
      <c r="BV775" s="124"/>
      <c r="BW775" s="124"/>
      <c r="BX775" s="124"/>
      <c r="BY775" s="124"/>
      <c r="BZ775" s="124"/>
      <c r="CA775" s="124"/>
      <c r="CB775" s="124"/>
      <c r="CC775" s="124"/>
      <c r="CD775" s="124"/>
      <c r="CE775" s="124"/>
      <c r="CF775" s="124"/>
      <c r="CG775" s="124"/>
      <c r="CH775" s="124"/>
      <c r="CI775" s="124"/>
      <c r="CJ775" s="124"/>
      <c r="CK775" s="124"/>
      <c r="CL775" s="124"/>
      <c r="CM775" s="124"/>
      <c r="CN775" s="124"/>
      <c r="CO775" s="124"/>
      <c r="CP775" s="124"/>
      <c r="CQ775" s="124"/>
      <c r="CR775" s="124"/>
      <c r="CS775" s="124"/>
      <c r="CT775" s="124"/>
      <c r="CU775" s="124"/>
      <c r="CV775" s="124"/>
      <c r="CW775" s="124"/>
      <c r="CX775" s="124"/>
      <c r="CY775" s="124"/>
      <c r="CZ775" s="124"/>
      <c r="DA775" s="124"/>
      <c r="DB775" s="124"/>
      <c r="DC775" s="124"/>
      <c r="DD775" s="124"/>
      <c r="DE775" s="124"/>
      <c r="DF775" s="124"/>
      <c r="DG775" s="115"/>
    </row>
    <row r="776" spans="2:111" customFormat="1" ht="9" customHeight="1">
      <c r="B776" s="493" t="str">
        <f>IF(B756="","","Justificativa:")</f>
        <v/>
      </c>
      <c r="C776" s="493"/>
      <c r="D776" s="493"/>
      <c r="E776" s="493"/>
      <c r="F776" s="493"/>
      <c r="G776" s="493"/>
      <c r="H776" s="493"/>
      <c r="I776" s="493"/>
      <c r="J776" s="493"/>
      <c r="K776" s="493"/>
      <c r="L776" s="493"/>
      <c r="M776" s="493"/>
      <c r="N776" s="493"/>
      <c r="O776" s="421"/>
      <c r="P776" s="421"/>
      <c r="Q776" s="421"/>
      <c r="R776" s="421"/>
      <c r="S776" s="421"/>
      <c r="T776" s="421"/>
      <c r="U776" s="421"/>
      <c r="V776" s="421"/>
      <c r="W776" s="421"/>
      <c r="X776" s="421"/>
      <c r="Y776" s="421"/>
      <c r="Z776" s="421"/>
      <c r="AA776" s="421"/>
      <c r="AB776" s="421"/>
      <c r="AC776" s="421"/>
      <c r="AD776" s="421"/>
      <c r="AE776" s="421"/>
      <c r="AF776" s="421"/>
      <c r="AG776" s="421"/>
      <c r="AH776" s="421"/>
      <c r="AI776" s="421"/>
      <c r="AJ776" s="421"/>
      <c r="AK776" s="421"/>
      <c r="AL776" s="421"/>
      <c r="AM776" s="421"/>
      <c r="AN776" s="421"/>
      <c r="AO776" s="421"/>
      <c r="AP776" s="421"/>
      <c r="AQ776" s="421"/>
      <c r="AR776" s="421"/>
      <c r="AS776" s="421"/>
      <c r="AT776" s="421"/>
      <c r="AU776" s="421"/>
      <c r="AV776" s="421"/>
      <c r="AW776" s="421"/>
      <c r="AX776" s="421"/>
      <c r="AY776" s="421"/>
      <c r="AZ776" s="421"/>
      <c r="BA776" s="421"/>
      <c r="BC776" s="115"/>
      <c r="BD776" s="115"/>
      <c r="BE776" s="115"/>
      <c r="BF776" s="115"/>
      <c r="BG776" s="115"/>
      <c r="BH776" s="124"/>
      <c r="BI776" s="124"/>
      <c r="BJ776" s="124"/>
      <c r="BK776" s="124"/>
      <c r="BL776" s="124"/>
      <c r="BM776" s="124"/>
      <c r="BN776" s="124"/>
      <c r="BO776" s="124"/>
      <c r="BP776" s="124"/>
      <c r="BQ776" s="124"/>
      <c r="BR776" s="124"/>
      <c r="BS776" s="124"/>
      <c r="BT776" s="124"/>
      <c r="BU776" s="124"/>
      <c r="BV776" s="124"/>
      <c r="BW776" s="124"/>
      <c r="BX776" s="124"/>
      <c r="BY776" s="124"/>
      <c r="BZ776" s="124"/>
      <c r="CA776" s="124"/>
      <c r="CB776" s="124"/>
      <c r="CC776" s="124"/>
      <c r="CD776" s="124"/>
      <c r="CE776" s="124"/>
      <c r="CF776" s="124"/>
      <c r="CG776" s="124"/>
      <c r="CH776" s="124"/>
      <c r="CI776" s="124"/>
      <c r="CJ776" s="124"/>
      <c r="CK776" s="124"/>
      <c r="CL776" s="124"/>
      <c r="CM776" s="124"/>
      <c r="CN776" s="124"/>
      <c r="CO776" s="124"/>
      <c r="CP776" s="124"/>
      <c r="CQ776" s="124"/>
      <c r="CR776" s="124"/>
      <c r="CS776" s="124"/>
      <c r="CT776" s="124"/>
      <c r="CU776" s="124"/>
      <c r="CV776" s="124"/>
      <c r="CW776" s="124"/>
      <c r="CX776" s="124"/>
      <c r="CY776" s="124"/>
      <c r="CZ776" s="124"/>
      <c r="DA776" s="124"/>
      <c r="DB776" s="124"/>
      <c r="DC776" s="124"/>
      <c r="DD776" s="124"/>
      <c r="DE776" s="124"/>
      <c r="DF776" s="124"/>
      <c r="DG776" s="115"/>
    </row>
    <row r="777" spans="2:111" customFormat="1" ht="9" customHeight="1">
      <c r="B777" s="493"/>
      <c r="C777" s="493"/>
      <c r="D777" s="493"/>
      <c r="E777" s="493"/>
      <c r="F777" s="493"/>
      <c r="G777" s="493"/>
      <c r="H777" s="493"/>
      <c r="I777" s="493"/>
      <c r="J777" s="493"/>
      <c r="K777" s="493"/>
      <c r="L777" s="493"/>
      <c r="M777" s="493"/>
      <c r="N777" s="493"/>
      <c r="O777" s="421"/>
      <c r="P777" s="421"/>
      <c r="Q777" s="421"/>
      <c r="R777" s="421"/>
      <c r="S777" s="421"/>
      <c r="T777" s="421"/>
      <c r="U777" s="421"/>
      <c r="V777" s="421"/>
      <c r="W777" s="421"/>
      <c r="X777" s="421"/>
      <c r="Y777" s="421"/>
      <c r="Z777" s="421"/>
      <c r="AA777" s="421"/>
      <c r="AB777" s="421"/>
      <c r="AC777" s="421"/>
      <c r="AD777" s="421"/>
      <c r="AE777" s="421"/>
      <c r="AF777" s="421"/>
      <c r="AG777" s="421"/>
      <c r="AH777" s="421"/>
      <c r="AI777" s="421"/>
      <c r="AJ777" s="421"/>
      <c r="AK777" s="421"/>
      <c r="AL777" s="421"/>
      <c r="AM777" s="421"/>
      <c r="AN777" s="421"/>
      <c r="AO777" s="421"/>
      <c r="AP777" s="421"/>
      <c r="AQ777" s="421"/>
      <c r="AR777" s="421"/>
      <c r="AS777" s="421"/>
      <c r="AT777" s="421"/>
      <c r="AU777" s="421"/>
      <c r="AV777" s="421"/>
      <c r="AW777" s="421"/>
      <c r="AX777" s="421"/>
      <c r="AY777" s="421"/>
      <c r="AZ777" s="421"/>
      <c r="BA777" s="421"/>
      <c r="BC777" s="115"/>
      <c r="BD777" s="115"/>
      <c r="BE777" s="115"/>
      <c r="BF777" s="115"/>
      <c r="BG777" s="115"/>
      <c r="BH777" s="124"/>
      <c r="BI777" s="124"/>
      <c r="BJ777" s="124"/>
      <c r="BK777" s="124"/>
      <c r="BL777" s="124"/>
      <c r="BM777" s="124"/>
      <c r="BN777" s="124"/>
      <c r="BO777" s="124"/>
      <c r="BP777" s="124"/>
      <c r="BQ777" s="124"/>
      <c r="BR777" s="124"/>
      <c r="BS777" s="124"/>
      <c r="BT777" s="124"/>
      <c r="BU777" s="124"/>
      <c r="BV777" s="124"/>
      <c r="BW777" s="124"/>
      <c r="BX777" s="124"/>
      <c r="BY777" s="124"/>
      <c r="BZ777" s="124"/>
      <c r="CA777" s="124"/>
      <c r="CB777" s="124"/>
      <c r="CC777" s="124"/>
      <c r="CD777" s="124"/>
      <c r="CE777" s="124"/>
      <c r="CF777" s="124"/>
      <c r="CG777" s="124"/>
      <c r="CH777" s="124"/>
      <c r="CI777" s="124"/>
      <c r="CJ777" s="124"/>
      <c r="CK777" s="124"/>
      <c r="CL777" s="124"/>
      <c r="CM777" s="124"/>
      <c r="CN777" s="124"/>
      <c r="CO777" s="124"/>
      <c r="CP777" s="124"/>
      <c r="CQ777" s="124"/>
      <c r="CR777" s="124"/>
      <c r="CS777" s="124"/>
      <c r="CT777" s="124"/>
      <c r="CU777" s="124"/>
      <c r="CV777" s="124"/>
      <c r="CW777" s="124"/>
      <c r="CX777" s="124"/>
      <c r="CY777" s="124"/>
      <c r="CZ777" s="124"/>
      <c r="DA777" s="124"/>
      <c r="DB777" s="124"/>
      <c r="DC777" s="124"/>
      <c r="DD777" s="124"/>
      <c r="DE777" s="124"/>
      <c r="DF777" s="124"/>
      <c r="DG777" s="115"/>
    </row>
    <row r="778" spans="2:111" customFormat="1" ht="9" customHeight="1">
      <c r="B778" s="143"/>
      <c r="C778" s="143"/>
      <c r="D778" s="143"/>
      <c r="E778" s="143"/>
      <c r="F778" s="143"/>
      <c r="G778" s="143"/>
      <c r="H778" s="143"/>
      <c r="I778" s="143"/>
      <c r="J778" s="143"/>
      <c r="K778" s="143"/>
      <c r="L778" s="143"/>
      <c r="M778" s="143"/>
      <c r="N778" s="143"/>
      <c r="O778" s="421"/>
      <c r="P778" s="421"/>
      <c r="Q778" s="421"/>
      <c r="R778" s="421"/>
      <c r="S778" s="421"/>
      <c r="T778" s="421"/>
      <c r="U778" s="421"/>
      <c r="V778" s="421"/>
      <c r="W778" s="421"/>
      <c r="X778" s="421"/>
      <c r="Y778" s="421"/>
      <c r="Z778" s="421"/>
      <c r="AA778" s="421"/>
      <c r="AB778" s="421"/>
      <c r="AC778" s="421"/>
      <c r="AD778" s="421"/>
      <c r="AE778" s="421"/>
      <c r="AF778" s="421"/>
      <c r="AG778" s="421"/>
      <c r="AH778" s="421"/>
      <c r="AI778" s="421"/>
      <c r="AJ778" s="421"/>
      <c r="AK778" s="421"/>
      <c r="AL778" s="421"/>
      <c r="AM778" s="421"/>
      <c r="AN778" s="421"/>
      <c r="AO778" s="421"/>
      <c r="AP778" s="421"/>
      <c r="AQ778" s="421"/>
      <c r="AR778" s="421"/>
      <c r="AS778" s="421"/>
      <c r="AT778" s="421"/>
      <c r="AU778" s="421"/>
      <c r="AV778" s="421"/>
      <c r="AW778" s="421"/>
      <c r="AX778" s="421"/>
      <c r="AY778" s="421"/>
      <c r="AZ778" s="421"/>
      <c r="BA778" s="421"/>
      <c r="BC778" s="115"/>
      <c r="BD778" s="115"/>
      <c r="BE778" s="115"/>
      <c r="BF778" s="115"/>
      <c r="BG778" s="115"/>
      <c r="BH778" s="124"/>
      <c r="BI778" s="124"/>
      <c r="BJ778" s="124"/>
      <c r="BK778" s="124"/>
      <c r="BL778" s="124"/>
      <c r="BM778" s="124"/>
      <c r="BN778" s="124"/>
      <c r="BO778" s="124"/>
      <c r="BP778" s="124"/>
      <c r="BQ778" s="124"/>
      <c r="BR778" s="124"/>
      <c r="BS778" s="124"/>
      <c r="BT778" s="124"/>
      <c r="BU778" s="124"/>
      <c r="BV778" s="124"/>
      <c r="BW778" s="124"/>
      <c r="BX778" s="124"/>
      <c r="BY778" s="124"/>
      <c r="BZ778" s="124"/>
      <c r="CA778" s="124"/>
      <c r="CB778" s="124"/>
      <c r="CC778" s="124"/>
      <c r="CD778" s="124"/>
      <c r="CE778" s="124"/>
      <c r="CF778" s="124"/>
      <c r="CG778" s="124"/>
      <c r="CH778" s="124"/>
      <c r="CI778" s="124"/>
      <c r="CJ778" s="124"/>
      <c r="CK778" s="124"/>
      <c r="CL778" s="124"/>
      <c r="CM778" s="124"/>
      <c r="CN778" s="124"/>
      <c r="CO778" s="124"/>
      <c r="CP778" s="124"/>
      <c r="CQ778" s="124"/>
      <c r="CR778" s="124"/>
      <c r="CS778" s="124"/>
      <c r="CT778" s="124"/>
      <c r="CU778" s="124"/>
      <c r="CV778" s="124"/>
      <c r="CW778" s="124"/>
      <c r="CX778" s="124"/>
      <c r="CY778" s="124"/>
      <c r="CZ778" s="124"/>
      <c r="DA778" s="124"/>
      <c r="DB778" s="124"/>
      <c r="DC778" s="124"/>
      <c r="DD778" s="124"/>
      <c r="DE778" s="124"/>
      <c r="DF778" s="124"/>
      <c r="DG778" s="115"/>
    </row>
    <row r="779" spans="2:111" customFormat="1" ht="9" customHeight="1">
      <c r="B779" s="143"/>
      <c r="C779" s="143"/>
      <c r="D779" s="143"/>
      <c r="E779" s="143"/>
      <c r="F779" s="143"/>
      <c r="G779" s="143"/>
      <c r="H779" s="143"/>
      <c r="I779" s="143"/>
      <c r="J779" s="143"/>
      <c r="K779" s="143"/>
      <c r="L779" s="143"/>
      <c r="M779" s="143"/>
      <c r="N779" s="143"/>
      <c r="O779" s="421"/>
      <c r="P779" s="421"/>
      <c r="Q779" s="421"/>
      <c r="R779" s="421"/>
      <c r="S779" s="421"/>
      <c r="T779" s="421"/>
      <c r="U779" s="421"/>
      <c r="V779" s="421"/>
      <c r="W779" s="421"/>
      <c r="X779" s="421"/>
      <c r="Y779" s="421"/>
      <c r="Z779" s="421"/>
      <c r="AA779" s="421"/>
      <c r="AB779" s="421"/>
      <c r="AC779" s="421"/>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1"/>
      <c r="AY779" s="421"/>
      <c r="AZ779" s="421"/>
      <c r="BA779" s="421"/>
      <c r="BC779" s="115"/>
      <c r="BD779" s="115"/>
      <c r="BE779" s="115"/>
      <c r="BF779" s="115"/>
      <c r="BG779" s="115"/>
      <c r="BH779" s="84"/>
      <c r="BI779" s="84"/>
      <c r="BJ779" s="84"/>
      <c r="BK779" s="84"/>
      <c r="BL779" s="84"/>
      <c r="BM779" s="84"/>
      <c r="BN779" s="84"/>
      <c r="BO779" s="84"/>
      <c r="BP779" s="84"/>
      <c r="BQ779" s="84"/>
      <c r="BR779" s="84"/>
      <c r="BS779" s="84"/>
      <c r="BT779" s="84"/>
      <c r="BU779" s="84"/>
      <c r="BV779" s="84"/>
      <c r="BW779" s="84"/>
      <c r="BX779" s="84"/>
      <c r="BY779" s="84"/>
      <c r="BZ779" s="84"/>
      <c r="CA779" s="84"/>
      <c r="CB779" s="84"/>
      <c r="CC779" s="84"/>
      <c r="CD779" s="84"/>
      <c r="CE779" s="84"/>
      <c r="CF779" s="84"/>
      <c r="CG779" s="84"/>
      <c r="CH779" s="84"/>
      <c r="CI779" s="84"/>
      <c r="CJ779" s="84"/>
      <c r="CK779" s="84"/>
      <c r="CL779" s="84"/>
      <c r="CM779" s="84"/>
      <c r="CN779" s="84"/>
      <c r="CO779" s="84"/>
      <c r="CP779" s="84"/>
      <c r="CQ779" s="84"/>
      <c r="CR779" s="84"/>
      <c r="CS779" s="84"/>
      <c r="CT779" s="84"/>
      <c r="CU779" s="84"/>
      <c r="CV779" s="84"/>
      <c r="CW779" s="84"/>
      <c r="CX779" s="84"/>
      <c r="CY779" s="84"/>
      <c r="CZ779" s="84"/>
      <c r="DA779" s="84"/>
      <c r="DB779" s="84"/>
      <c r="DC779" s="84"/>
      <c r="DD779" s="84"/>
      <c r="DE779" s="84"/>
      <c r="DF779" s="84"/>
      <c r="DG779" s="115"/>
    </row>
    <row r="780" spans="2:111" customFormat="1" ht="9" customHeight="1">
      <c r="B780" s="143"/>
      <c r="C780" s="143"/>
      <c r="D780" s="143"/>
      <c r="E780" s="143"/>
      <c r="F780" s="143"/>
      <c r="G780" s="143"/>
      <c r="H780" s="143"/>
      <c r="I780" s="143"/>
      <c r="J780" s="143"/>
      <c r="K780" s="143"/>
      <c r="L780" s="143"/>
      <c r="M780" s="143"/>
      <c r="N780" s="143"/>
      <c r="O780" s="421"/>
      <c r="P780" s="421"/>
      <c r="Q780" s="421"/>
      <c r="R780" s="421"/>
      <c r="S780" s="421"/>
      <c r="T780" s="421"/>
      <c r="U780" s="421"/>
      <c r="V780" s="421"/>
      <c r="W780" s="421"/>
      <c r="X780" s="421"/>
      <c r="Y780" s="421"/>
      <c r="Z780" s="421"/>
      <c r="AA780" s="421"/>
      <c r="AB780" s="421"/>
      <c r="AC780" s="421"/>
      <c r="AD780" s="421"/>
      <c r="AE780" s="421"/>
      <c r="AF780" s="421"/>
      <c r="AG780" s="421"/>
      <c r="AH780" s="421"/>
      <c r="AI780" s="421"/>
      <c r="AJ780" s="421"/>
      <c r="AK780" s="421"/>
      <c r="AL780" s="421"/>
      <c r="AM780" s="421"/>
      <c r="AN780" s="421"/>
      <c r="AO780" s="421"/>
      <c r="AP780" s="421"/>
      <c r="AQ780" s="421"/>
      <c r="AR780" s="421"/>
      <c r="AS780" s="421"/>
      <c r="AT780" s="421"/>
      <c r="AU780" s="421"/>
      <c r="AV780" s="421"/>
      <c r="AW780" s="421"/>
      <c r="AX780" s="421"/>
      <c r="AY780" s="421"/>
      <c r="AZ780" s="421"/>
      <c r="BA780" s="421"/>
      <c r="BC780" s="115"/>
      <c r="BD780" s="115"/>
      <c r="BE780" s="115"/>
      <c r="BF780" s="115"/>
      <c r="BG780" s="115"/>
      <c r="BH780" s="84"/>
      <c r="BI780" s="84"/>
      <c r="BJ780" s="84"/>
      <c r="BK780" s="84"/>
      <c r="BL780" s="84"/>
      <c r="BM780" s="84"/>
      <c r="BN780" s="84"/>
      <c r="BO780" s="84"/>
      <c r="BP780" s="84"/>
      <c r="BQ780" s="84"/>
      <c r="BR780" s="84"/>
      <c r="BS780" s="84"/>
      <c r="BT780" s="84"/>
      <c r="BU780" s="84"/>
      <c r="BV780" s="84"/>
      <c r="BW780" s="84"/>
      <c r="BX780" s="84"/>
      <c r="BY780" s="84"/>
      <c r="BZ780" s="84"/>
      <c r="CA780" s="84"/>
      <c r="CB780" s="84"/>
      <c r="CC780" s="84"/>
      <c r="CD780" s="84"/>
      <c r="CE780" s="84"/>
      <c r="CF780" s="84"/>
      <c r="CG780" s="84"/>
      <c r="CH780" s="84"/>
      <c r="CI780" s="84"/>
      <c r="CJ780" s="84"/>
      <c r="CK780" s="84"/>
      <c r="CL780" s="84"/>
      <c r="CM780" s="84"/>
      <c r="CN780" s="84"/>
      <c r="CO780" s="84"/>
      <c r="CP780" s="84"/>
      <c r="CQ780" s="84"/>
      <c r="CR780" s="84"/>
      <c r="CS780" s="84"/>
      <c r="CT780" s="84"/>
      <c r="CU780" s="84"/>
      <c r="CV780" s="84"/>
      <c r="CW780" s="84"/>
      <c r="CX780" s="84"/>
      <c r="CY780" s="84"/>
      <c r="CZ780" s="84"/>
      <c r="DA780" s="84"/>
      <c r="DB780" s="84"/>
      <c r="DC780" s="84"/>
      <c r="DD780" s="84"/>
      <c r="DE780" s="84"/>
      <c r="DF780" s="84"/>
      <c r="DG780" s="115"/>
    </row>
    <row r="781" spans="2:111" customFormat="1" ht="9" customHeight="1">
      <c r="B781" s="49"/>
      <c r="C781" s="49"/>
      <c r="D781" s="49"/>
      <c r="E781" s="49"/>
      <c r="F781" s="49"/>
      <c r="G781" s="49"/>
      <c r="H781" s="49"/>
      <c r="I781" s="49"/>
      <c r="J781" s="49"/>
      <c r="K781" s="49"/>
      <c r="L781" s="49"/>
      <c r="M781" s="49"/>
      <c r="N781" s="49"/>
      <c r="O781" s="421"/>
      <c r="P781" s="421"/>
      <c r="Q781" s="421"/>
      <c r="R781" s="421"/>
      <c r="S781" s="421"/>
      <c r="T781" s="421"/>
      <c r="U781" s="421"/>
      <c r="V781" s="421"/>
      <c r="W781" s="421"/>
      <c r="X781" s="421"/>
      <c r="Y781" s="421"/>
      <c r="Z781" s="421"/>
      <c r="AA781" s="421"/>
      <c r="AB781" s="421"/>
      <c r="AC781" s="421"/>
      <c r="AD781" s="421"/>
      <c r="AE781" s="421"/>
      <c r="AF781" s="421"/>
      <c r="AG781" s="421"/>
      <c r="AH781" s="421"/>
      <c r="AI781" s="421"/>
      <c r="AJ781" s="421"/>
      <c r="AK781" s="421"/>
      <c r="AL781" s="421"/>
      <c r="AM781" s="421"/>
      <c r="AN781" s="421"/>
      <c r="AO781" s="421"/>
      <c r="AP781" s="421"/>
      <c r="AQ781" s="421"/>
      <c r="AR781" s="421"/>
      <c r="AS781" s="421"/>
      <c r="AT781" s="421"/>
      <c r="AU781" s="421"/>
      <c r="AV781" s="421"/>
      <c r="AW781" s="421"/>
      <c r="AX781" s="421"/>
      <c r="AY781" s="421"/>
      <c r="AZ781" s="421"/>
      <c r="BA781" s="421"/>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c r="BY781" s="115"/>
      <c r="BZ781" s="115"/>
      <c r="CA781" s="115"/>
      <c r="CB781" s="115"/>
      <c r="CC781" s="115"/>
      <c r="CD781" s="115"/>
      <c r="CE781" s="115"/>
      <c r="CF781" s="115"/>
      <c r="CG781" s="115"/>
      <c r="CH781" s="115"/>
      <c r="CI781" s="115"/>
      <c r="CJ781" s="115"/>
      <c r="CK781" s="115"/>
      <c r="CL781" s="115"/>
      <c r="CM781" s="115"/>
      <c r="CN781" s="115"/>
      <c r="CO781" s="115"/>
      <c r="CP781" s="115"/>
      <c r="CQ781" s="115"/>
      <c r="CR781" s="115"/>
      <c r="CS781" s="115"/>
      <c r="CT781" s="115"/>
      <c r="CU781" s="115"/>
      <c r="CV781" s="115"/>
      <c r="CW781" s="115"/>
      <c r="CX781" s="115"/>
      <c r="CY781" s="115"/>
      <c r="CZ781" s="115"/>
      <c r="DA781" s="115"/>
      <c r="DB781" s="115"/>
      <c r="DC781" s="115"/>
      <c r="DD781" s="115"/>
      <c r="DE781" s="115"/>
      <c r="DF781" s="115"/>
      <c r="DG781" s="115"/>
    </row>
    <row r="782" spans="2:111" customFormat="1" ht="4.5" customHeight="1">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AY782" s="49"/>
      <c r="AZ782" s="49"/>
      <c r="BA782" s="49"/>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c r="BY782" s="115"/>
      <c r="BZ782" s="115"/>
      <c r="CA782" s="115"/>
      <c r="CB782" s="115"/>
      <c r="CC782" s="115"/>
      <c r="CD782" s="115"/>
      <c r="CE782" s="115"/>
      <c r="CF782" s="115"/>
      <c r="CG782" s="115"/>
      <c r="CH782" s="115"/>
      <c r="CI782" s="115"/>
      <c r="CJ782" s="115"/>
      <c r="CK782" s="115"/>
      <c r="CL782" s="115"/>
      <c r="CM782" s="115"/>
      <c r="CN782" s="115"/>
      <c r="CO782" s="115"/>
      <c r="CP782" s="115"/>
      <c r="CQ782" s="115"/>
      <c r="CR782" s="115"/>
      <c r="CS782" s="115"/>
      <c r="CT782" s="115"/>
      <c r="CU782" s="115"/>
      <c r="CV782" s="115"/>
      <c r="CW782" s="115"/>
      <c r="CX782" s="115"/>
      <c r="CY782" s="115"/>
      <c r="CZ782" s="115"/>
      <c r="DA782" s="115"/>
      <c r="DB782" s="115"/>
      <c r="DC782" s="115"/>
      <c r="DD782" s="115"/>
      <c r="DE782" s="115"/>
      <c r="DF782" s="115"/>
      <c r="DG782" s="115"/>
    </row>
    <row r="783" spans="2:111" customFormat="1" ht="9" customHeight="1">
      <c r="B783" s="493" t="str">
        <f>IF(B756="","","Metas Vinculadas:")</f>
        <v/>
      </c>
      <c r="C783" s="493"/>
      <c r="D783" s="493"/>
      <c r="E783" s="493"/>
      <c r="F783" s="493"/>
      <c r="G783" s="493"/>
      <c r="H783" s="493"/>
      <c r="I783" s="493"/>
      <c r="J783" s="493"/>
      <c r="K783" s="493"/>
      <c r="L783" s="493"/>
      <c r="M783" s="493"/>
      <c r="N783" s="493"/>
      <c r="O783" s="421"/>
      <c r="P783" s="421"/>
      <c r="Q783" s="421"/>
      <c r="R783" s="421"/>
      <c r="S783" s="421"/>
      <c r="T783" s="421"/>
      <c r="U783" s="421"/>
      <c r="V783" s="421"/>
      <c r="W783" s="421"/>
      <c r="X783" s="421"/>
      <c r="Y783" s="421"/>
      <c r="Z783" s="421"/>
      <c r="AA783" s="421"/>
      <c r="AB783" s="421"/>
      <c r="AC783" s="421"/>
      <c r="AD783" s="421"/>
      <c r="AE783" s="421"/>
      <c r="AF783" s="421"/>
      <c r="AG783" s="421"/>
      <c r="AH783" s="421"/>
      <c r="AI783" s="421"/>
      <c r="AJ783" s="421"/>
      <c r="AK783" s="421"/>
      <c r="AL783" s="421"/>
      <c r="AM783" s="421"/>
      <c r="AN783" s="421"/>
      <c r="AO783" s="421"/>
      <c r="AP783" s="421"/>
      <c r="AQ783" s="421"/>
      <c r="AR783" s="421"/>
      <c r="AS783" s="421"/>
      <c r="AT783" s="421"/>
      <c r="AU783" s="421"/>
      <c r="AV783" s="421"/>
      <c r="AW783" s="421"/>
      <c r="AX783" s="421"/>
      <c r="AY783" s="421"/>
      <c r="AZ783" s="421"/>
      <c r="BA783" s="421"/>
      <c r="BC783" s="115"/>
      <c r="BD783" s="115"/>
      <c r="BE783" s="115"/>
      <c r="BF783" s="115"/>
      <c r="BG783" s="115"/>
      <c r="BH783" s="124"/>
      <c r="BI783" s="124"/>
      <c r="BJ783" s="124"/>
      <c r="BK783" s="124"/>
      <c r="BL783" s="124"/>
      <c r="BM783" s="124"/>
      <c r="BN783" s="124"/>
      <c r="BO783" s="124"/>
      <c r="BP783" s="124"/>
      <c r="BQ783" s="124"/>
      <c r="BR783" s="124"/>
      <c r="BS783" s="124"/>
      <c r="BT783" s="124"/>
      <c r="BU783" s="124"/>
      <c r="BV783" s="124"/>
      <c r="BW783" s="124"/>
      <c r="BX783" s="124"/>
      <c r="BY783" s="124"/>
      <c r="BZ783" s="124"/>
      <c r="CA783" s="124"/>
      <c r="CB783" s="124"/>
      <c r="CC783" s="124"/>
      <c r="CD783" s="124"/>
      <c r="CE783" s="124"/>
      <c r="CF783" s="124"/>
      <c r="CG783" s="124"/>
      <c r="CH783" s="124"/>
      <c r="CI783" s="124"/>
      <c r="CJ783" s="124"/>
      <c r="CK783" s="124"/>
      <c r="CL783" s="124"/>
      <c r="CM783" s="124"/>
      <c r="CN783" s="124"/>
      <c r="CO783" s="124"/>
      <c r="CP783" s="124"/>
      <c r="CQ783" s="124"/>
      <c r="CR783" s="124"/>
      <c r="CS783" s="124"/>
      <c r="CT783" s="124"/>
      <c r="CU783" s="124"/>
      <c r="CV783" s="124"/>
      <c r="CW783" s="124"/>
      <c r="CX783" s="124"/>
      <c r="CY783" s="124"/>
      <c r="CZ783" s="124"/>
      <c r="DA783" s="124"/>
      <c r="DB783" s="124"/>
      <c r="DC783" s="124"/>
      <c r="DD783" s="124"/>
      <c r="DE783" s="124"/>
      <c r="DF783" s="124"/>
      <c r="DG783" s="115"/>
    </row>
    <row r="784" spans="2:111" customFormat="1" ht="9" customHeight="1">
      <c r="B784" s="493"/>
      <c r="C784" s="493"/>
      <c r="D784" s="493"/>
      <c r="E784" s="493"/>
      <c r="F784" s="493"/>
      <c r="G784" s="493"/>
      <c r="H784" s="493"/>
      <c r="I784" s="493"/>
      <c r="J784" s="493"/>
      <c r="K784" s="493"/>
      <c r="L784" s="493"/>
      <c r="M784" s="493"/>
      <c r="N784" s="493"/>
      <c r="O784" s="421"/>
      <c r="P784" s="421"/>
      <c r="Q784" s="421"/>
      <c r="R784" s="421"/>
      <c r="S784" s="421"/>
      <c r="T784" s="421"/>
      <c r="U784" s="421"/>
      <c r="V784" s="421"/>
      <c r="W784" s="421"/>
      <c r="X784" s="421"/>
      <c r="Y784" s="421"/>
      <c r="Z784" s="421"/>
      <c r="AA784" s="421"/>
      <c r="AB784" s="421"/>
      <c r="AC784" s="421"/>
      <c r="AD784" s="421"/>
      <c r="AE784" s="421"/>
      <c r="AF784" s="421"/>
      <c r="AG784" s="421"/>
      <c r="AH784" s="421"/>
      <c r="AI784" s="421"/>
      <c r="AJ784" s="421"/>
      <c r="AK784" s="421"/>
      <c r="AL784" s="421"/>
      <c r="AM784" s="421"/>
      <c r="AN784" s="421"/>
      <c r="AO784" s="421"/>
      <c r="AP784" s="421"/>
      <c r="AQ784" s="421"/>
      <c r="AR784" s="421"/>
      <c r="AS784" s="421"/>
      <c r="AT784" s="421"/>
      <c r="AU784" s="421"/>
      <c r="AV784" s="421"/>
      <c r="AW784" s="421"/>
      <c r="AX784" s="421"/>
      <c r="AY784" s="421"/>
      <c r="AZ784" s="421"/>
      <c r="BA784" s="421"/>
      <c r="BC784" s="115"/>
      <c r="BD784" s="115"/>
      <c r="BE784" s="115"/>
      <c r="BF784" s="115"/>
      <c r="BG784" s="115"/>
      <c r="BH784" s="84"/>
      <c r="BI784" s="84"/>
      <c r="BJ784" s="84"/>
      <c r="BK784" s="84"/>
      <c r="BL784" s="84"/>
      <c r="BM784" s="84"/>
      <c r="BN784" s="84"/>
      <c r="BO784" s="84"/>
      <c r="BP784" s="84"/>
      <c r="BQ784" s="84"/>
      <c r="BR784" s="84"/>
      <c r="BS784" s="84"/>
      <c r="BT784" s="84"/>
      <c r="BU784" s="84"/>
      <c r="BV784" s="84"/>
      <c r="BW784" s="84"/>
      <c r="BX784" s="84"/>
      <c r="BY784" s="84"/>
      <c r="BZ784" s="84"/>
      <c r="CA784" s="84"/>
      <c r="CB784" s="84"/>
      <c r="CC784" s="84"/>
      <c r="CD784" s="84"/>
      <c r="CE784" s="84"/>
      <c r="CF784" s="84"/>
      <c r="CG784" s="84"/>
      <c r="CH784" s="84"/>
      <c r="CI784" s="84"/>
      <c r="CJ784" s="84"/>
      <c r="CK784" s="84"/>
      <c r="CL784" s="84"/>
      <c r="CM784" s="84"/>
      <c r="CN784" s="84"/>
      <c r="CO784" s="84"/>
      <c r="CP784" s="84"/>
      <c r="CQ784" s="84"/>
      <c r="CR784" s="84"/>
      <c r="CS784" s="84"/>
      <c r="CT784" s="84"/>
      <c r="CU784" s="84"/>
      <c r="CV784" s="84"/>
      <c r="CW784" s="84"/>
      <c r="CX784" s="84"/>
      <c r="CY784" s="84"/>
      <c r="CZ784" s="84"/>
      <c r="DA784" s="84"/>
      <c r="DB784" s="84"/>
      <c r="DC784" s="84"/>
      <c r="DD784" s="84"/>
      <c r="DE784" s="84"/>
      <c r="DF784" s="84"/>
      <c r="DG784" s="115"/>
    </row>
    <row r="785" spans="2:111" customFormat="1" ht="4.5" customHeight="1">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49"/>
      <c r="AY785" s="49"/>
      <c r="AZ785" s="49"/>
      <c r="BA785" s="49"/>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c r="BY785" s="115"/>
      <c r="BZ785" s="115"/>
      <c r="CA785" s="115"/>
      <c r="CB785" s="115"/>
      <c r="CC785" s="115"/>
      <c r="CD785" s="115"/>
      <c r="CE785" s="115"/>
      <c r="CF785" s="115"/>
      <c r="CG785" s="115"/>
      <c r="CH785" s="115"/>
      <c r="CI785" s="115"/>
      <c r="CJ785" s="115"/>
      <c r="CK785" s="115"/>
      <c r="CL785" s="115"/>
      <c r="CM785" s="115"/>
      <c r="CN785" s="115"/>
      <c r="CO785" s="115"/>
      <c r="CP785" s="115"/>
      <c r="CQ785" s="115"/>
      <c r="CR785" s="115"/>
      <c r="CS785" s="115"/>
      <c r="CT785" s="115"/>
      <c r="CU785" s="115"/>
      <c r="CV785" s="115"/>
      <c r="CW785" s="115"/>
      <c r="CX785" s="115"/>
      <c r="CY785" s="115"/>
      <c r="CZ785" s="115"/>
      <c r="DA785" s="115"/>
      <c r="DB785" s="115"/>
      <c r="DC785" s="115"/>
      <c r="DD785" s="115"/>
      <c r="DE785" s="115"/>
      <c r="DF785" s="115"/>
      <c r="DG785" s="115"/>
    </row>
    <row r="786" spans="2:111" customFormat="1" ht="9" customHeight="1">
      <c r="B786" s="125"/>
      <c r="C786" s="125"/>
      <c r="D786" s="125"/>
      <c r="E786" s="125"/>
      <c r="F786" s="125"/>
      <c r="G786" s="125"/>
      <c r="H786" s="125"/>
      <c r="I786" s="125"/>
      <c r="J786" s="125"/>
      <c r="K786" s="125"/>
      <c r="L786" s="125"/>
      <c r="M786" s="125"/>
      <c r="N786" s="125"/>
      <c r="O786" s="496" t="str">
        <f>IF(B756="","","Quantidade:")</f>
        <v/>
      </c>
      <c r="P786" s="496"/>
      <c r="Q786" s="496"/>
      <c r="R786" s="496"/>
      <c r="S786" s="496"/>
      <c r="T786" s="496"/>
      <c r="U786" s="496"/>
      <c r="V786" s="417"/>
      <c r="W786" s="417"/>
      <c r="X786" s="417"/>
      <c r="Y786" s="417"/>
      <c r="Z786" s="417"/>
      <c r="AA786" s="417"/>
      <c r="AB786" s="417"/>
      <c r="AC786" s="417"/>
      <c r="AD786" s="417"/>
      <c r="AE786" s="417"/>
      <c r="AF786" s="125"/>
      <c r="AG786" s="497" t="str">
        <f>IF(B756="","","Unidade:")</f>
        <v/>
      </c>
      <c r="AH786" s="497"/>
      <c r="AI786" s="497"/>
      <c r="AJ786" s="497"/>
      <c r="AK786" s="497"/>
      <c r="AL786" s="497"/>
      <c r="AM786" s="497"/>
      <c r="AN786" s="125"/>
      <c r="AO786" s="417"/>
      <c r="AP786" s="417"/>
      <c r="AQ786" s="417"/>
      <c r="AR786" s="417"/>
      <c r="AS786" s="417"/>
      <c r="AT786" s="417"/>
      <c r="AU786" s="417"/>
      <c r="AV786" s="417"/>
      <c r="AW786" s="417"/>
      <c r="AX786" s="417"/>
      <c r="AY786" s="417"/>
      <c r="AZ786" s="417"/>
      <c r="BA786" s="417"/>
      <c r="BC786" s="115"/>
      <c r="BD786" s="115"/>
      <c r="BE786" s="115"/>
      <c r="BF786" s="115"/>
      <c r="BG786" s="115"/>
      <c r="BH786" s="124"/>
      <c r="BI786" s="124"/>
      <c r="BJ786" s="124"/>
      <c r="BK786" s="124"/>
      <c r="BL786" s="124"/>
      <c r="BM786" s="124"/>
      <c r="BN786" s="124"/>
      <c r="BO786" s="124"/>
      <c r="BP786" s="124"/>
      <c r="BQ786" s="124"/>
      <c r="BR786" s="124"/>
      <c r="BS786" s="124"/>
      <c r="BT786" s="124"/>
      <c r="BU786" s="124"/>
      <c r="BV786" s="124"/>
      <c r="BW786" s="124"/>
      <c r="BX786" s="124"/>
      <c r="BY786" s="124"/>
      <c r="BZ786" s="124"/>
      <c r="CA786" s="124"/>
      <c r="CB786" s="124"/>
      <c r="CC786" s="124"/>
      <c r="CD786" s="124"/>
      <c r="CE786" s="124"/>
      <c r="CF786" s="124"/>
      <c r="CG786" s="124"/>
      <c r="CH786" s="124"/>
      <c r="CI786" s="124"/>
      <c r="CJ786" s="124"/>
      <c r="CK786" s="124"/>
      <c r="CL786" s="124"/>
      <c r="CM786" s="124"/>
      <c r="CN786" s="124"/>
      <c r="CO786" s="124"/>
      <c r="CP786" s="124"/>
      <c r="CQ786" s="124"/>
      <c r="CR786" s="124"/>
      <c r="CS786" s="124"/>
      <c r="CT786" s="124"/>
      <c r="CU786" s="124"/>
      <c r="CV786" s="124"/>
      <c r="CW786" s="124"/>
      <c r="CX786" s="124"/>
      <c r="CY786" s="124"/>
      <c r="CZ786" s="124"/>
      <c r="DA786" s="124"/>
      <c r="DB786" s="124"/>
      <c r="DC786" s="124"/>
      <c r="DD786" s="124"/>
      <c r="DE786" s="124"/>
      <c r="DF786" s="124"/>
      <c r="DG786" s="115"/>
    </row>
    <row r="787" spans="2:111" customFormat="1" ht="9" customHeight="1">
      <c r="B787" s="125"/>
      <c r="C787" s="125"/>
      <c r="D787" s="125"/>
      <c r="E787" s="125"/>
      <c r="F787" s="125"/>
      <c r="G787" s="125"/>
      <c r="H787" s="125"/>
      <c r="I787" s="125"/>
      <c r="J787" s="125"/>
      <c r="K787" s="125"/>
      <c r="L787" s="125"/>
      <c r="M787" s="125"/>
      <c r="N787" s="125"/>
      <c r="O787" s="496"/>
      <c r="P787" s="496"/>
      <c r="Q787" s="496"/>
      <c r="R787" s="496"/>
      <c r="S787" s="496"/>
      <c r="T787" s="496"/>
      <c r="U787" s="496"/>
      <c r="V787" s="417"/>
      <c r="W787" s="417"/>
      <c r="X787" s="417"/>
      <c r="Y787" s="417"/>
      <c r="Z787" s="417"/>
      <c r="AA787" s="417"/>
      <c r="AB787" s="417"/>
      <c r="AC787" s="417"/>
      <c r="AD787" s="417"/>
      <c r="AE787" s="417"/>
      <c r="AF787" s="125"/>
      <c r="AG787" s="497"/>
      <c r="AH787" s="497"/>
      <c r="AI787" s="497"/>
      <c r="AJ787" s="497"/>
      <c r="AK787" s="497"/>
      <c r="AL787" s="497"/>
      <c r="AM787" s="497"/>
      <c r="AN787" s="125"/>
      <c r="AO787" s="417"/>
      <c r="AP787" s="417"/>
      <c r="AQ787" s="417"/>
      <c r="AR787" s="417"/>
      <c r="AS787" s="417"/>
      <c r="AT787" s="417"/>
      <c r="AU787" s="417"/>
      <c r="AV787" s="417"/>
      <c r="AW787" s="417"/>
      <c r="AX787" s="417"/>
      <c r="AY787" s="417"/>
      <c r="AZ787" s="417"/>
      <c r="BA787" s="417"/>
      <c r="BC787" s="115"/>
      <c r="BD787" s="115"/>
      <c r="BE787" s="115"/>
      <c r="BF787" s="115"/>
      <c r="BG787" s="115"/>
      <c r="BH787" s="124"/>
      <c r="BI787" s="124"/>
      <c r="BJ787" s="124"/>
      <c r="BK787" s="124"/>
      <c r="BL787" s="124"/>
      <c r="BM787" s="124"/>
      <c r="BN787" s="124"/>
      <c r="BO787" s="124"/>
      <c r="BP787" s="124"/>
      <c r="BQ787" s="124"/>
      <c r="BR787" s="124"/>
      <c r="BS787" s="124"/>
      <c r="BT787" s="124"/>
      <c r="BU787" s="124"/>
      <c r="BV787" s="124"/>
      <c r="BW787" s="124"/>
      <c r="BX787" s="124"/>
      <c r="BY787" s="124"/>
      <c r="BZ787" s="124"/>
      <c r="CA787" s="124"/>
      <c r="CB787" s="124"/>
      <c r="CC787" s="124"/>
      <c r="CD787" s="124"/>
      <c r="CE787" s="124"/>
      <c r="CF787" s="124"/>
      <c r="CG787" s="124"/>
      <c r="CH787" s="124"/>
      <c r="CI787" s="124"/>
      <c r="CJ787" s="124"/>
      <c r="CK787" s="124"/>
      <c r="CL787" s="124"/>
      <c r="CM787" s="124"/>
      <c r="CN787" s="124"/>
      <c r="CO787" s="124"/>
      <c r="CP787" s="124"/>
      <c r="CQ787" s="124"/>
      <c r="CR787" s="124"/>
      <c r="CS787" s="124"/>
      <c r="CT787" s="124"/>
      <c r="CU787" s="124"/>
      <c r="CV787" s="124"/>
      <c r="CW787" s="124"/>
      <c r="CX787" s="124"/>
      <c r="CY787" s="124"/>
      <c r="CZ787" s="124"/>
      <c r="DA787" s="124"/>
      <c r="DB787" s="124"/>
      <c r="DC787" s="124"/>
      <c r="DD787" s="124"/>
      <c r="DE787" s="124"/>
      <c r="DF787" s="124"/>
      <c r="DG787" s="115"/>
    </row>
    <row r="788" spans="2:111" customFormat="1" ht="9" customHeight="1">
      <c r="BC788" s="115"/>
      <c r="BD788" s="115"/>
      <c r="BE788" s="115"/>
      <c r="BF788" s="115"/>
      <c r="BG788" s="115"/>
      <c r="BH788" s="498"/>
      <c r="BI788" s="498"/>
      <c r="BJ788" s="498"/>
      <c r="BK788" s="498"/>
      <c r="BL788" s="498"/>
      <c r="BM788" s="498"/>
      <c r="BN788" s="498"/>
      <c r="BO788" s="498"/>
      <c r="BP788" s="498"/>
      <c r="BQ788" s="498"/>
      <c r="BR788" s="498"/>
      <c r="BS788" s="498"/>
      <c r="BT788" s="498"/>
      <c r="BU788" s="498"/>
      <c r="BV788" s="498"/>
      <c r="BW788" s="498"/>
      <c r="BX788" s="498"/>
      <c r="BY788" s="498"/>
      <c r="BZ788" s="498"/>
      <c r="CA788" s="498"/>
      <c r="CB788" s="498"/>
      <c r="CC788" s="498"/>
      <c r="CD788" s="498"/>
      <c r="CE788" s="498"/>
      <c r="CF788" s="498"/>
      <c r="CG788" s="498"/>
      <c r="CH788" s="498"/>
      <c r="CI788" s="498"/>
      <c r="CJ788" s="498"/>
      <c r="CK788" s="498"/>
      <c r="CL788" s="498"/>
      <c r="CM788" s="498"/>
      <c r="CN788" s="498"/>
      <c r="CO788" s="498"/>
      <c r="CP788" s="498"/>
      <c r="CQ788" s="498"/>
      <c r="CR788" s="498"/>
      <c r="CS788" s="498"/>
      <c r="CT788" s="498"/>
      <c r="CU788" s="498"/>
      <c r="CV788" s="498"/>
      <c r="CW788" s="498"/>
      <c r="CX788" s="498"/>
      <c r="CY788" s="498"/>
      <c r="CZ788" s="498"/>
      <c r="DA788" s="498"/>
      <c r="DB788" s="498"/>
      <c r="DC788" s="498"/>
      <c r="DD788" s="498"/>
      <c r="DE788" s="498"/>
      <c r="DF788" s="498"/>
      <c r="DG788" s="115"/>
    </row>
    <row r="789" spans="2:111" customFormat="1" ht="9" customHeight="1">
      <c r="B789" s="499" t="str">
        <f>IF($Z$32&gt;=19,"Nome da Empresa ou Nº da Ata","")</f>
        <v/>
      </c>
      <c r="C789" s="499"/>
      <c r="D789" s="499"/>
      <c r="E789" s="499"/>
      <c r="F789" s="499"/>
      <c r="G789" s="499"/>
      <c r="H789" s="499"/>
      <c r="I789" s="499"/>
      <c r="J789" s="499"/>
      <c r="K789" s="499"/>
      <c r="L789" s="499"/>
      <c r="M789" s="499"/>
      <c r="N789" s="499"/>
      <c r="O789" s="499"/>
      <c r="P789" s="499"/>
      <c r="Q789" s="499"/>
      <c r="R789" s="499"/>
      <c r="S789" s="499"/>
      <c r="T789" s="499"/>
      <c r="U789" s="499"/>
      <c r="V789" s="499"/>
      <c r="W789" s="499"/>
      <c r="X789" s="499" t="str">
        <f>IF($Z$32&gt;=19,"CNPJ / CPF","")</f>
        <v/>
      </c>
      <c r="Y789" s="499"/>
      <c r="Z789" s="499"/>
      <c r="AA789" s="499"/>
      <c r="AB789" s="499"/>
      <c r="AC789" s="499"/>
      <c r="AD789" s="499"/>
      <c r="AE789" s="499"/>
      <c r="AF789" s="499"/>
      <c r="AG789" s="499"/>
      <c r="AH789" s="499" t="str">
        <f>IF($Z$32&gt;=19,"Qtde","")</f>
        <v/>
      </c>
      <c r="AI789" s="499"/>
      <c r="AJ789" s="499"/>
      <c r="AK789" s="499"/>
      <c r="AL789" s="499" t="str">
        <f>IF($Z$32&gt;=19,"Valor Unitário (R$)","")</f>
        <v/>
      </c>
      <c r="AM789" s="499"/>
      <c r="AN789" s="499"/>
      <c r="AO789" s="499"/>
      <c r="AP789" s="499"/>
      <c r="AQ789" s="499"/>
      <c r="AR789" s="499"/>
      <c r="AS789" s="499"/>
      <c r="AT789" s="499" t="str">
        <f>IF($Z$32&gt;=19,"Valor Total (R$)","")</f>
        <v/>
      </c>
      <c r="AU789" s="499"/>
      <c r="AV789" s="499"/>
      <c r="AW789" s="499"/>
      <c r="AX789" s="499"/>
      <c r="AY789" s="499"/>
      <c r="AZ789" s="499"/>
      <c r="BA789" s="499"/>
      <c r="BC789" s="115"/>
      <c r="BD789" s="115"/>
      <c r="BE789" s="115"/>
      <c r="BF789" s="115"/>
      <c r="BG789" s="115"/>
      <c r="BH789" s="498"/>
      <c r="BI789" s="498"/>
      <c r="BJ789" s="498"/>
      <c r="BK789" s="498"/>
      <c r="BL789" s="498"/>
      <c r="BM789" s="498"/>
      <c r="BN789" s="498"/>
      <c r="BO789" s="498"/>
      <c r="BP789" s="498"/>
      <c r="BQ789" s="498"/>
      <c r="BR789" s="498"/>
      <c r="BS789" s="498"/>
      <c r="BT789" s="498"/>
      <c r="BU789" s="498"/>
      <c r="BV789" s="498"/>
      <c r="BW789" s="498"/>
      <c r="BX789" s="498"/>
      <c r="BY789" s="498"/>
      <c r="BZ789" s="498"/>
      <c r="CA789" s="498"/>
      <c r="CB789" s="498"/>
      <c r="CC789" s="498"/>
      <c r="CD789" s="498"/>
      <c r="CE789" s="498"/>
      <c r="CF789" s="498"/>
      <c r="CG789" s="498"/>
      <c r="CH789" s="498"/>
      <c r="CI789" s="498"/>
      <c r="CJ789" s="498"/>
      <c r="CK789" s="498"/>
      <c r="CL789" s="498"/>
      <c r="CM789" s="498"/>
      <c r="CN789" s="498"/>
      <c r="CO789" s="498"/>
      <c r="CP789" s="498"/>
      <c r="CQ789" s="498"/>
      <c r="CR789" s="498"/>
      <c r="CS789" s="498"/>
      <c r="CT789" s="498"/>
      <c r="CU789" s="498"/>
      <c r="CV789" s="498"/>
      <c r="CW789" s="498"/>
      <c r="CX789" s="498"/>
      <c r="CY789" s="498"/>
      <c r="CZ789" s="498"/>
      <c r="DA789" s="498"/>
      <c r="DB789" s="498"/>
      <c r="DC789" s="498"/>
      <c r="DD789" s="498"/>
      <c r="DE789" s="498"/>
      <c r="DF789" s="498"/>
      <c r="DG789" s="115"/>
    </row>
    <row r="790" spans="2:111" customFormat="1" ht="9" customHeight="1">
      <c r="B790" s="499"/>
      <c r="C790" s="499"/>
      <c r="D790" s="499"/>
      <c r="E790" s="499"/>
      <c r="F790" s="499"/>
      <c r="G790" s="499"/>
      <c r="H790" s="499"/>
      <c r="I790" s="499"/>
      <c r="J790" s="499"/>
      <c r="K790" s="499"/>
      <c r="L790" s="499"/>
      <c r="M790" s="499"/>
      <c r="N790" s="499"/>
      <c r="O790" s="499"/>
      <c r="P790" s="499"/>
      <c r="Q790" s="499"/>
      <c r="R790" s="499"/>
      <c r="S790" s="499"/>
      <c r="T790" s="499"/>
      <c r="U790" s="499"/>
      <c r="V790" s="499"/>
      <c r="W790" s="499"/>
      <c r="X790" s="499"/>
      <c r="Y790" s="499"/>
      <c r="Z790" s="499"/>
      <c r="AA790" s="499"/>
      <c r="AB790" s="499"/>
      <c r="AC790" s="499"/>
      <c r="AD790" s="499"/>
      <c r="AE790" s="499"/>
      <c r="AF790" s="499"/>
      <c r="AG790" s="499"/>
      <c r="AH790" s="499"/>
      <c r="AI790" s="499"/>
      <c r="AJ790" s="499"/>
      <c r="AK790" s="499"/>
      <c r="AL790" s="499"/>
      <c r="AM790" s="499"/>
      <c r="AN790" s="499"/>
      <c r="AO790" s="499"/>
      <c r="AP790" s="499"/>
      <c r="AQ790" s="499"/>
      <c r="AR790" s="499"/>
      <c r="AS790" s="499"/>
      <c r="AT790" s="499"/>
      <c r="AU790" s="499"/>
      <c r="AV790" s="499"/>
      <c r="AW790" s="499"/>
      <c r="AX790" s="499"/>
      <c r="AY790" s="499"/>
      <c r="AZ790" s="499"/>
      <c r="BA790" s="499"/>
      <c r="BB790" s="176" t="e">
        <f>AVERAGE(AL791:AS793)</f>
        <v>#DIV/0!</v>
      </c>
      <c r="BC790" s="115"/>
      <c r="BD790" s="115"/>
      <c r="BE790" s="115"/>
      <c r="BF790" s="115"/>
      <c r="BG790" s="115"/>
      <c r="BH790" s="498"/>
      <c r="BI790" s="498"/>
      <c r="BJ790" s="498"/>
      <c r="BK790" s="498"/>
      <c r="BL790" s="498"/>
      <c r="BM790" s="498"/>
      <c r="BN790" s="498"/>
      <c r="BO790" s="498"/>
      <c r="BP790" s="498"/>
      <c r="BQ790" s="498"/>
      <c r="BR790" s="498"/>
      <c r="BS790" s="498"/>
      <c r="BT790" s="498"/>
      <c r="BU790" s="498"/>
      <c r="BV790" s="498"/>
      <c r="BW790" s="498"/>
      <c r="BX790" s="498"/>
      <c r="BY790" s="498"/>
      <c r="BZ790" s="498"/>
      <c r="CA790" s="498"/>
      <c r="CB790" s="498"/>
      <c r="CC790" s="498"/>
      <c r="CD790" s="498"/>
      <c r="CE790" s="498"/>
      <c r="CF790" s="498"/>
      <c r="CG790" s="498"/>
      <c r="CH790" s="498"/>
      <c r="CI790" s="498"/>
      <c r="CJ790" s="498"/>
      <c r="CK790" s="498"/>
      <c r="CL790" s="498"/>
      <c r="CM790" s="498"/>
      <c r="CN790" s="498"/>
      <c r="CO790" s="498"/>
      <c r="CP790" s="498"/>
      <c r="CQ790" s="498"/>
      <c r="CR790" s="498"/>
      <c r="CS790" s="498"/>
      <c r="CT790" s="498"/>
      <c r="CU790" s="498"/>
      <c r="CV790" s="498"/>
      <c r="CW790" s="498"/>
      <c r="CX790" s="498"/>
      <c r="CY790" s="498"/>
      <c r="CZ790" s="498"/>
      <c r="DA790" s="498"/>
      <c r="DB790" s="498"/>
      <c r="DC790" s="498"/>
      <c r="DD790" s="498"/>
      <c r="DE790" s="498"/>
      <c r="DF790" s="498"/>
      <c r="DG790" s="115"/>
    </row>
    <row r="791" spans="2:111" customFormat="1" ht="18" customHeight="1">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486"/>
      <c r="Y791" s="486"/>
      <c r="Z791" s="486"/>
      <c r="AA791" s="486"/>
      <c r="AB791" s="486"/>
      <c r="AC791" s="486"/>
      <c r="AD791" s="486"/>
      <c r="AE791" s="486"/>
      <c r="AF791" s="486"/>
      <c r="AG791" s="486"/>
      <c r="AH791" s="417"/>
      <c r="AI791" s="417"/>
      <c r="AJ791" s="417"/>
      <c r="AK791" s="417"/>
      <c r="AL791" s="419"/>
      <c r="AM791" s="419"/>
      <c r="AN791" s="419"/>
      <c r="AO791" s="419"/>
      <c r="AP791" s="419"/>
      <c r="AQ791" s="419"/>
      <c r="AR791" s="419"/>
      <c r="AS791" s="419"/>
      <c r="AT791" s="487" t="str">
        <f>IF($Z$32&gt;=19,(AH791*AL791),"")</f>
        <v/>
      </c>
      <c r="AU791" s="487"/>
      <c r="AV791" s="487"/>
      <c r="AW791" s="487"/>
      <c r="AX791" s="487"/>
      <c r="AY791" s="487"/>
      <c r="AZ791" s="487"/>
      <c r="BA791" s="487"/>
      <c r="BC791" s="115"/>
      <c r="BD791" s="115"/>
      <c r="BE791" s="115"/>
      <c r="BF791" s="115"/>
      <c r="BG791" s="115"/>
      <c r="BH791" s="498"/>
      <c r="BI791" s="498"/>
      <c r="BJ791" s="498"/>
      <c r="BK791" s="498"/>
      <c r="BL791" s="498"/>
      <c r="BM791" s="498"/>
      <c r="BN791" s="498"/>
      <c r="BO791" s="498"/>
      <c r="BP791" s="498"/>
      <c r="BQ791" s="498"/>
      <c r="BR791" s="498"/>
      <c r="BS791" s="498"/>
      <c r="BT791" s="498"/>
      <c r="BU791" s="498"/>
      <c r="BV791" s="498"/>
      <c r="BW791" s="498"/>
      <c r="BX791" s="498"/>
      <c r="BY791" s="498"/>
      <c r="BZ791" s="498"/>
      <c r="CA791" s="498"/>
      <c r="CB791" s="498"/>
      <c r="CC791" s="498"/>
      <c r="CD791" s="498"/>
      <c r="CE791" s="498"/>
      <c r="CF791" s="498"/>
      <c r="CG791" s="498"/>
      <c r="CH791" s="498"/>
      <c r="CI791" s="498"/>
      <c r="CJ791" s="498"/>
      <c r="CK791" s="498"/>
      <c r="CL791" s="498"/>
      <c r="CM791" s="498"/>
      <c r="CN791" s="498"/>
      <c r="CO791" s="498"/>
      <c r="CP791" s="498"/>
      <c r="CQ791" s="498"/>
      <c r="CR791" s="498"/>
      <c r="CS791" s="498"/>
      <c r="CT791" s="498"/>
      <c r="CU791" s="498"/>
      <c r="CV791" s="498"/>
      <c r="CW791" s="498"/>
      <c r="CX791" s="498"/>
      <c r="CY791" s="498"/>
      <c r="CZ791" s="498"/>
      <c r="DA791" s="498"/>
      <c r="DB791" s="498"/>
      <c r="DC791" s="498"/>
      <c r="DD791" s="498"/>
      <c r="DE791" s="498"/>
      <c r="DF791" s="498"/>
      <c r="DG791" s="115"/>
    </row>
    <row r="792" spans="2:111" customFormat="1" ht="18" customHeight="1">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486"/>
      <c r="Y792" s="486"/>
      <c r="Z792" s="486"/>
      <c r="AA792" s="486"/>
      <c r="AB792" s="486"/>
      <c r="AC792" s="486"/>
      <c r="AD792" s="486"/>
      <c r="AE792" s="486"/>
      <c r="AF792" s="486"/>
      <c r="AG792" s="486"/>
      <c r="AH792" s="417"/>
      <c r="AI792" s="417"/>
      <c r="AJ792" s="417"/>
      <c r="AK792" s="417"/>
      <c r="AL792" s="419"/>
      <c r="AM792" s="419"/>
      <c r="AN792" s="419"/>
      <c r="AO792" s="419"/>
      <c r="AP792" s="419"/>
      <c r="AQ792" s="419"/>
      <c r="AR792" s="419"/>
      <c r="AS792" s="419"/>
      <c r="AT792" s="487" t="str">
        <f>IF($Z$32&gt;=19,(AH792*AL792),"")</f>
        <v/>
      </c>
      <c r="AU792" s="487"/>
      <c r="AV792" s="487"/>
      <c r="AW792" s="487"/>
      <c r="AX792" s="487"/>
      <c r="AY792" s="487"/>
      <c r="AZ792" s="487"/>
      <c r="BA792" s="487"/>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c r="BY792" s="115"/>
      <c r="BZ792" s="115"/>
      <c r="CA792" s="115"/>
      <c r="CB792" s="115"/>
      <c r="CC792" s="115"/>
      <c r="CD792" s="115"/>
      <c r="CE792" s="115"/>
      <c r="CF792" s="115"/>
      <c r="CG792" s="115"/>
      <c r="CH792" s="115"/>
      <c r="CI792" s="115"/>
      <c r="CJ792" s="115"/>
      <c r="CK792" s="115"/>
      <c r="CL792" s="115"/>
      <c r="CM792" s="115"/>
      <c r="CN792" s="115"/>
      <c r="CO792" s="115"/>
      <c r="CP792" s="115"/>
      <c r="CQ792" s="115"/>
      <c r="CR792" s="115"/>
      <c r="CS792" s="115"/>
      <c r="CT792" s="115"/>
      <c r="CU792" s="115"/>
      <c r="CV792" s="115"/>
      <c r="CW792" s="115"/>
      <c r="CX792" s="115"/>
      <c r="CY792" s="115"/>
      <c r="CZ792" s="115"/>
      <c r="DA792" s="115"/>
      <c r="DB792" s="115"/>
      <c r="DC792" s="115"/>
      <c r="DD792" s="115"/>
      <c r="DE792" s="115"/>
      <c r="DF792" s="115"/>
      <c r="DG792" s="115"/>
    </row>
    <row r="793" spans="2:111" customFormat="1" ht="18" customHeight="1">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486"/>
      <c r="Y793" s="486"/>
      <c r="Z793" s="486"/>
      <c r="AA793" s="486"/>
      <c r="AB793" s="486"/>
      <c r="AC793" s="486"/>
      <c r="AD793" s="486"/>
      <c r="AE793" s="486"/>
      <c r="AF793" s="486"/>
      <c r="AG793" s="486"/>
      <c r="AH793" s="417"/>
      <c r="AI793" s="417"/>
      <c r="AJ793" s="417"/>
      <c r="AK793" s="417"/>
      <c r="AL793" s="419"/>
      <c r="AM793" s="419"/>
      <c r="AN793" s="419"/>
      <c r="AO793" s="419"/>
      <c r="AP793" s="419"/>
      <c r="AQ793" s="419"/>
      <c r="AR793" s="419"/>
      <c r="AS793" s="419"/>
      <c r="AT793" s="487" t="str">
        <f>IF($Z$32&gt;=19,(AH793*AL793),"")</f>
        <v/>
      </c>
      <c r="AU793" s="487"/>
      <c r="AV793" s="487"/>
      <c r="AW793" s="487"/>
      <c r="AX793" s="487"/>
      <c r="AY793" s="487"/>
      <c r="AZ793" s="487"/>
      <c r="BA793" s="487"/>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c r="BY793" s="115"/>
      <c r="BZ793" s="115"/>
      <c r="CA793" s="115"/>
      <c r="CB793" s="115"/>
      <c r="CC793" s="115"/>
      <c r="CD793" s="115"/>
      <c r="CE793" s="115"/>
      <c r="CF793" s="115"/>
      <c r="CG793" s="115"/>
      <c r="CH793" s="115"/>
      <c r="CI793" s="115"/>
      <c r="CJ793" s="115"/>
      <c r="CK793" s="115"/>
      <c r="CL793" s="115"/>
      <c r="CM793" s="115"/>
      <c r="CN793" s="115"/>
      <c r="CO793" s="115"/>
      <c r="CP793" s="115"/>
      <c r="CQ793" s="115"/>
      <c r="CR793" s="115"/>
      <c r="CS793" s="115"/>
      <c r="CT793" s="115"/>
      <c r="CU793" s="115"/>
      <c r="CV793" s="115"/>
      <c r="CW793" s="115"/>
      <c r="CX793" s="115"/>
      <c r="CY793" s="115"/>
      <c r="CZ793" s="115"/>
      <c r="DA793" s="115"/>
      <c r="DB793" s="115"/>
      <c r="DC793" s="115"/>
      <c r="DD793" s="115"/>
      <c r="DE793" s="115"/>
      <c r="DF793" s="115"/>
      <c r="DG793" s="115"/>
    </row>
    <row r="794" spans="2:111" customFormat="1" ht="15" customHeight="1">
      <c r="AT794" s="500" t="str">
        <f>IF(B791="","",IF(AL792="",AT791,IF(AL793="",AVERAGE(AT791:BA792),AVERAGE(AT791:AT793))))</f>
        <v/>
      </c>
      <c r="AU794" s="500"/>
      <c r="AV794" s="500"/>
      <c r="AW794" s="500"/>
      <c r="AX794" s="500"/>
      <c r="AY794" s="500"/>
      <c r="AZ794" s="500"/>
      <c r="BA794" s="500"/>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c r="BY794" s="115"/>
      <c r="BZ794" s="115"/>
      <c r="CA794" s="115"/>
      <c r="CB794" s="115"/>
      <c r="CC794" s="115"/>
      <c r="CD794" s="115"/>
      <c r="CE794" s="115"/>
      <c r="CF794" s="115"/>
      <c r="CG794" s="115"/>
      <c r="CH794" s="115"/>
      <c r="CI794" s="115"/>
      <c r="CJ794" s="115"/>
      <c r="CK794" s="115"/>
      <c r="CL794" s="115"/>
      <c r="CM794" s="115"/>
      <c r="CN794" s="115"/>
      <c r="CO794" s="115"/>
      <c r="CP794" s="115"/>
      <c r="CQ794" s="115"/>
      <c r="CR794" s="115"/>
      <c r="CS794" s="115"/>
      <c r="CT794" s="115"/>
      <c r="CU794" s="115"/>
      <c r="CV794" s="115"/>
      <c r="CW794" s="115"/>
      <c r="CX794" s="115"/>
      <c r="CY794" s="115"/>
      <c r="CZ794" s="115"/>
      <c r="DA794" s="115"/>
      <c r="DB794" s="115"/>
      <c r="DC794" s="115"/>
      <c r="DD794" s="115"/>
      <c r="DE794" s="115"/>
      <c r="DF794" s="115"/>
      <c r="DG794" s="115"/>
    </row>
    <row r="795" spans="2:111" customFormat="1" ht="15" customHeight="1">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c r="BY795" s="115"/>
      <c r="BZ795" s="115"/>
      <c r="CA795" s="115"/>
      <c r="CB795" s="115"/>
      <c r="CC795" s="115"/>
      <c r="CD795" s="115"/>
      <c r="CE795" s="115"/>
      <c r="CF795" s="115"/>
      <c r="CG795" s="115"/>
      <c r="CH795" s="115"/>
      <c r="CI795" s="115"/>
      <c r="CJ795" s="115"/>
      <c r="CK795" s="115"/>
      <c r="CL795" s="115"/>
      <c r="CM795" s="115"/>
      <c r="CN795" s="115"/>
      <c r="CO795" s="115"/>
      <c r="CP795" s="115"/>
      <c r="CQ795" s="115"/>
      <c r="CR795" s="115"/>
      <c r="CS795" s="115"/>
      <c r="CT795" s="115"/>
      <c r="CU795" s="115"/>
      <c r="CV795" s="115"/>
      <c r="CW795" s="115"/>
      <c r="CX795" s="115"/>
      <c r="CY795" s="115"/>
      <c r="CZ795" s="115"/>
      <c r="DA795" s="115"/>
      <c r="DB795" s="115"/>
      <c r="DC795" s="115"/>
      <c r="DD795" s="115"/>
      <c r="DE795" s="115"/>
      <c r="DF795" s="115"/>
      <c r="DG795" s="115"/>
    </row>
    <row r="796" spans="2:111" customFormat="1" ht="9" customHeight="1">
      <c r="B796" s="494" t="str">
        <f>IF($Z$32&gt;=20,"Item 20","")</f>
        <v/>
      </c>
      <c r="C796" s="495"/>
      <c r="D796" s="495"/>
      <c r="E796" s="495"/>
      <c r="F796" s="495"/>
      <c r="G796" s="495"/>
      <c r="H796" s="495"/>
      <c r="I796" s="495"/>
      <c r="J796" s="495"/>
      <c r="K796" s="495"/>
      <c r="L796" s="495"/>
      <c r="M796" s="49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c r="BY796" s="115"/>
      <c r="BZ796" s="115"/>
      <c r="CA796" s="115"/>
      <c r="CB796" s="115"/>
      <c r="CC796" s="115"/>
      <c r="CD796" s="115"/>
      <c r="CE796" s="115"/>
      <c r="CF796" s="115"/>
      <c r="CG796" s="115"/>
      <c r="CH796" s="115"/>
      <c r="CI796" s="115"/>
      <c r="CJ796" s="115"/>
      <c r="CK796" s="115"/>
      <c r="CL796" s="115"/>
      <c r="CM796" s="115"/>
      <c r="CN796" s="115"/>
      <c r="CO796" s="115"/>
      <c r="CP796" s="115"/>
      <c r="CQ796" s="115"/>
      <c r="CR796" s="115"/>
      <c r="CS796" s="115"/>
      <c r="CT796" s="115"/>
      <c r="CU796" s="115"/>
      <c r="CV796" s="115"/>
      <c r="CW796" s="115"/>
      <c r="CX796" s="115"/>
      <c r="CY796" s="115"/>
      <c r="CZ796" s="115"/>
      <c r="DA796" s="115"/>
      <c r="DB796" s="115"/>
      <c r="DC796" s="115"/>
      <c r="DD796" s="115"/>
      <c r="DE796" s="115"/>
      <c r="DF796" s="115"/>
      <c r="DG796" s="115"/>
    </row>
    <row r="797" spans="2:111" customFormat="1" ht="9" customHeight="1">
      <c r="B797" s="495"/>
      <c r="C797" s="495"/>
      <c r="D797" s="495"/>
      <c r="E797" s="495"/>
      <c r="F797" s="495"/>
      <c r="G797" s="495"/>
      <c r="H797" s="495"/>
      <c r="I797" s="495"/>
      <c r="J797" s="495"/>
      <c r="K797" s="495"/>
      <c r="L797" s="495"/>
      <c r="M797" s="49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c r="BY797" s="115"/>
      <c r="BZ797" s="115"/>
      <c r="CA797" s="115"/>
      <c r="CB797" s="115"/>
      <c r="CC797" s="115"/>
      <c r="CD797" s="115"/>
      <c r="CE797" s="115"/>
      <c r="CF797" s="115"/>
      <c r="CG797" s="115"/>
      <c r="CH797" s="115"/>
      <c r="CI797" s="115"/>
      <c r="CJ797" s="115"/>
      <c r="CK797" s="115"/>
      <c r="CL797" s="115"/>
      <c r="CM797" s="115"/>
      <c r="CN797" s="115"/>
      <c r="CO797" s="115"/>
      <c r="CP797" s="115"/>
      <c r="CQ797" s="115"/>
      <c r="CR797" s="115"/>
      <c r="CS797" s="115"/>
      <c r="CT797" s="115"/>
      <c r="CU797" s="115"/>
      <c r="CV797" s="115"/>
      <c r="CW797" s="115"/>
      <c r="CX797" s="115"/>
      <c r="CY797" s="115"/>
      <c r="CZ797" s="115"/>
      <c r="DA797" s="115"/>
      <c r="DB797" s="115"/>
      <c r="DC797" s="115"/>
      <c r="DD797" s="115"/>
      <c r="DE797" s="115"/>
      <c r="DF797" s="115"/>
      <c r="DG797" s="115"/>
    </row>
    <row r="798" spans="2:111" customFormat="1" ht="4.5" customHeight="1">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c r="BY798" s="115"/>
      <c r="BZ798" s="115"/>
      <c r="CA798" s="115"/>
      <c r="CB798" s="115"/>
      <c r="CC798" s="115"/>
      <c r="CD798" s="115"/>
      <c r="CE798" s="115"/>
      <c r="CF798" s="115"/>
      <c r="CG798" s="115"/>
      <c r="CH798" s="115"/>
      <c r="CI798" s="115"/>
      <c r="CJ798" s="115"/>
      <c r="CK798" s="115"/>
      <c r="CL798" s="115"/>
      <c r="CM798" s="115"/>
      <c r="CN798" s="115"/>
      <c r="CO798" s="115"/>
      <c r="CP798" s="115"/>
      <c r="CQ798" s="115"/>
      <c r="CR798" s="115"/>
      <c r="CS798" s="115"/>
      <c r="CT798" s="115"/>
      <c r="CU798" s="115"/>
      <c r="CV798" s="115"/>
      <c r="CW798" s="115"/>
      <c r="CX798" s="115"/>
      <c r="CY798" s="115"/>
      <c r="CZ798" s="115"/>
      <c r="DA798" s="115"/>
      <c r="DB798" s="115"/>
      <c r="DC798" s="115"/>
      <c r="DD798" s="115"/>
      <c r="DE798" s="115"/>
      <c r="DF798" s="115"/>
      <c r="DG798" s="115"/>
    </row>
    <row r="799" spans="2:111" customFormat="1" ht="9" customHeight="1">
      <c r="B799" s="493" t="str">
        <f>IF(B796="","","Elemento de Despesa:")</f>
        <v/>
      </c>
      <c r="C799" s="493"/>
      <c r="D799" s="493"/>
      <c r="E799" s="493"/>
      <c r="F799" s="493"/>
      <c r="G799" s="493"/>
      <c r="H799" s="493"/>
      <c r="I799" s="493"/>
      <c r="J799" s="493"/>
      <c r="K799" s="493"/>
      <c r="L799" s="493"/>
      <c r="M799" s="493"/>
      <c r="N799" s="493"/>
      <c r="O799" s="241"/>
      <c r="P799" s="241"/>
      <c r="Q799" s="241"/>
      <c r="R799" s="241"/>
      <c r="S799" s="241"/>
      <c r="T799" s="241"/>
      <c r="U799" s="241"/>
      <c r="V799" s="241"/>
      <c r="W799" s="241"/>
      <c r="X799" s="241"/>
      <c r="Y799" s="241"/>
      <c r="Z799" s="241"/>
      <c r="AA799" s="241"/>
      <c r="AB799" s="241"/>
      <c r="AC799" s="241"/>
      <c r="AD799" s="241"/>
      <c r="AE799" s="241"/>
      <c r="AF799" s="241"/>
      <c r="AG799" s="241"/>
      <c r="AH799" s="241"/>
      <c r="AI799" s="241"/>
      <c r="AJ799" s="241"/>
      <c r="AK799" s="241"/>
      <c r="AL799" s="241"/>
      <c r="AM799" s="241"/>
      <c r="AN799" s="241"/>
      <c r="AO799" s="241"/>
      <c r="AP799" s="241"/>
      <c r="AQ799" s="241"/>
      <c r="AR799" s="241"/>
      <c r="AS799" s="241"/>
      <c r="AT799" s="241"/>
      <c r="AU799" s="241"/>
      <c r="AV799" s="241"/>
      <c r="AW799" s="241"/>
      <c r="AX799" s="241"/>
      <c r="AY799" s="241"/>
      <c r="AZ799" s="241"/>
      <c r="BA799" s="241"/>
      <c r="BC799" s="115"/>
      <c r="BD799" s="115"/>
      <c r="BE799" s="115"/>
      <c r="BF799" s="115"/>
      <c r="BG799" s="115"/>
      <c r="BH799" s="124"/>
      <c r="BI799" s="124"/>
      <c r="BJ799" s="124"/>
      <c r="BK799" s="124"/>
      <c r="BL799" s="124"/>
      <c r="BM799" s="124"/>
      <c r="BN799" s="124"/>
      <c r="BO799" s="124"/>
      <c r="BP799" s="124"/>
      <c r="BQ799" s="124"/>
      <c r="BR799" s="124"/>
      <c r="BS799" s="124"/>
      <c r="BT799" s="124"/>
      <c r="BU799" s="124"/>
      <c r="BV799" s="124"/>
      <c r="BW799" s="124"/>
      <c r="BX799" s="124"/>
      <c r="BY799" s="124"/>
      <c r="BZ799" s="124"/>
      <c r="CA799" s="124"/>
      <c r="CB799" s="124"/>
      <c r="CC799" s="124"/>
      <c r="CD799" s="124"/>
      <c r="CE799" s="124"/>
      <c r="CF799" s="124"/>
      <c r="CG799" s="124"/>
      <c r="CH799" s="124"/>
      <c r="CI799" s="124"/>
      <c r="CJ799" s="124"/>
      <c r="CK799" s="124"/>
      <c r="CL799" s="124"/>
      <c r="CM799" s="124"/>
      <c r="CN799" s="124"/>
      <c r="CO799" s="124"/>
      <c r="CP799" s="124"/>
      <c r="CQ799" s="124"/>
      <c r="CR799" s="124"/>
      <c r="CS799" s="124"/>
      <c r="CT799" s="124"/>
      <c r="CU799" s="124"/>
      <c r="CV799" s="124"/>
      <c r="CW799" s="124"/>
      <c r="CX799" s="124"/>
      <c r="CY799" s="124"/>
      <c r="CZ799" s="124"/>
      <c r="DA799" s="124"/>
      <c r="DB799" s="124"/>
      <c r="DC799" s="124"/>
      <c r="DD799" s="124"/>
      <c r="DE799" s="124"/>
      <c r="DF799" s="124"/>
      <c r="DG799" s="115"/>
    </row>
    <row r="800" spans="2:111" customFormat="1" ht="9" customHeight="1">
      <c r="B800" s="493"/>
      <c r="C800" s="493"/>
      <c r="D800" s="493"/>
      <c r="E800" s="493"/>
      <c r="F800" s="493"/>
      <c r="G800" s="493"/>
      <c r="H800" s="493"/>
      <c r="I800" s="493"/>
      <c r="J800" s="493"/>
      <c r="K800" s="493"/>
      <c r="L800" s="493"/>
      <c r="M800" s="493"/>
      <c r="N800" s="493"/>
      <c r="O800" s="241"/>
      <c r="P800" s="241"/>
      <c r="Q800" s="241"/>
      <c r="R800" s="241"/>
      <c r="S800" s="241"/>
      <c r="T800" s="241"/>
      <c r="U800" s="241"/>
      <c r="V800" s="241"/>
      <c r="W800" s="241"/>
      <c r="X800" s="241"/>
      <c r="Y800" s="241"/>
      <c r="Z800" s="241"/>
      <c r="AA800" s="241"/>
      <c r="AB800" s="241"/>
      <c r="AC800" s="241"/>
      <c r="AD800" s="241"/>
      <c r="AE800" s="241"/>
      <c r="AF800" s="241"/>
      <c r="AG800" s="241"/>
      <c r="AH800" s="241"/>
      <c r="AI800" s="241"/>
      <c r="AJ800" s="241"/>
      <c r="AK800" s="241"/>
      <c r="AL800" s="241"/>
      <c r="AM800" s="241"/>
      <c r="AN800" s="241"/>
      <c r="AO800" s="241"/>
      <c r="AP800" s="241"/>
      <c r="AQ800" s="241"/>
      <c r="AR800" s="241"/>
      <c r="AS800" s="241"/>
      <c r="AT800" s="241"/>
      <c r="AU800" s="241"/>
      <c r="AV800" s="241"/>
      <c r="AW800" s="241"/>
      <c r="AX800" s="241"/>
      <c r="AY800" s="241"/>
      <c r="AZ800" s="241"/>
      <c r="BA800" s="241"/>
      <c r="BC800" s="115"/>
      <c r="BD800" s="115"/>
      <c r="BE800" s="115"/>
      <c r="BF800" s="115"/>
      <c r="BG800" s="115"/>
      <c r="BH800" s="124"/>
      <c r="BI800" s="124"/>
      <c r="BJ800" s="124"/>
      <c r="BK800" s="124"/>
      <c r="BL800" s="124"/>
      <c r="BM800" s="124"/>
      <c r="BN800" s="124"/>
      <c r="BO800" s="124"/>
      <c r="BP800" s="124"/>
      <c r="BQ800" s="124"/>
      <c r="BR800" s="124"/>
      <c r="BS800" s="124"/>
      <c r="BT800" s="124"/>
      <c r="BU800" s="124"/>
      <c r="BV800" s="124"/>
      <c r="BW800" s="124"/>
      <c r="BX800" s="124"/>
      <c r="BY800" s="124"/>
      <c r="BZ800" s="124"/>
      <c r="CA800" s="124"/>
      <c r="CB800" s="124"/>
      <c r="CC800" s="124"/>
      <c r="CD800" s="124"/>
      <c r="CE800" s="124"/>
      <c r="CF800" s="124"/>
      <c r="CG800" s="124"/>
      <c r="CH800" s="124"/>
      <c r="CI800" s="124"/>
      <c r="CJ800" s="124"/>
      <c r="CK800" s="124"/>
      <c r="CL800" s="124"/>
      <c r="CM800" s="124"/>
      <c r="CN800" s="124"/>
      <c r="CO800" s="124"/>
      <c r="CP800" s="124"/>
      <c r="CQ800" s="124"/>
      <c r="CR800" s="124"/>
      <c r="CS800" s="124"/>
      <c r="CT800" s="124"/>
      <c r="CU800" s="124"/>
      <c r="CV800" s="124"/>
      <c r="CW800" s="124"/>
      <c r="CX800" s="124"/>
      <c r="CY800" s="124"/>
      <c r="CZ800" s="124"/>
      <c r="DA800" s="124"/>
      <c r="DB800" s="124"/>
      <c r="DC800" s="124"/>
      <c r="DD800" s="124"/>
      <c r="DE800" s="124"/>
      <c r="DF800" s="124"/>
      <c r="DG800" s="115"/>
    </row>
    <row r="801" spans="2:111" customFormat="1" ht="4.5" customHeight="1">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49"/>
      <c r="AY801" s="49"/>
      <c r="AZ801" s="49"/>
      <c r="BA801" s="49"/>
      <c r="BC801" s="115"/>
      <c r="BD801" s="115"/>
      <c r="BE801" s="115"/>
      <c r="BF801" s="115"/>
      <c r="BG801" s="115"/>
      <c r="BH801" s="124"/>
      <c r="BI801" s="124"/>
      <c r="BJ801" s="124"/>
      <c r="BK801" s="124"/>
      <c r="BL801" s="124"/>
      <c r="BM801" s="124"/>
      <c r="BN801" s="124"/>
      <c r="BO801" s="124"/>
      <c r="BP801" s="124"/>
      <c r="BQ801" s="124"/>
      <c r="BR801" s="124"/>
      <c r="BS801" s="124"/>
      <c r="BT801" s="124"/>
      <c r="BU801" s="124"/>
      <c r="BV801" s="124"/>
      <c r="BW801" s="124"/>
      <c r="BX801" s="124"/>
      <c r="BY801" s="124"/>
      <c r="BZ801" s="124"/>
      <c r="CA801" s="124"/>
      <c r="CB801" s="124"/>
      <c r="CC801" s="124"/>
      <c r="CD801" s="124"/>
      <c r="CE801" s="124"/>
      <c r="CF801" s="124"/>
      <c r="CG801" s="124"/>
      <c r="CH801" s="124"/>
      <c r="CI801" s="124"/>
      <c r="CJ801" s="124"/>
      <c r="CK801" s="124"/>
      <c r="CL801" s="124"/>
      <c r="CM801" s="124"/>
      <c r="CN801" s="124"/>
      <c r="CO801" s="124"/>
      <c r="CP801" s="124"/>
      <c r="CQ801" s="124"/>
      <c r="CR801" s="124"/>
      <c r="CS801" s="124"/>
      <c r="CT801" s="124"/>
      <c r="CU801" s="124"/>
      <c r="CV801" s="124"/>
      <c r="CW801" s="124"/>
      <c r="CX801" s="124"/>
      <c r="CY801" s="124"/>
      <c r="CZ801" s="124"/>
      <c r="DA801" s="124"/>
      <c r="DB801" s="124"/>
      <c r="DC801" s="124"/>
      <c r="DD801" s="124"/>
      <c r="DE801" s="124"/>
      <c r="DF801" s="124"/>
      <c r="DG801" s="115"/>
    </row>
    <row r="802" spans="2:111" customFormat="1" ht="9" customHeight="1">
      <c r="B802" s="493" t="str">
        <f>IF(B796="","","Objeto:")</f>
        <v/>
      </c>
      <c r="C802" s="493"/>
      <c r="D802" s="493"/>
      <c r="E802" s="493"/>
      <c r="F802" s="493"/>
      <c r="G802" s="493"/>
      <c r="H802" s="493"/>
      <c r="I802" s="493"/>
      <c r="J802" s="493"/>
      <c r="K802" s="493"/>
      <c r="L802" s="493"/>
      <c r="M802" s="493"/>
      <c r="N802" s="493"/>
      <c r="O802" s="421"/>
      <c r="P802" s="421"/>
      <c r="Q802" s="421"/>
      <c r="R802" s="421"/>
      <c r="S802" s="421"/>
      <c r="T802" s="421"/>
      <c r="U802" s="421"/>
      <c r="V802" s="421"/>
      <c r="W802" s="421"/>
      <c r="X802" s="421"/>
      <c r="Y802" s="421"/>
      <c r="Z802" s="421"/>
      <c r="AA802" s="421"/>
      <c r="AB802" s="421"/>
      <c r="AC802" s="421"/>
      <c r="AD802" s="421"/>
      <c r="AE802" s="421"/>
      <c r="AF802" s="421"/>
      <c r="AG802" s="421"/>
      <c r="AH802" s="421"/>
      <c r="AI802" s="421"/>
      <c r="AJ802" s="421"/>
      <c r="AK802" s="421"/>
      <c r="AL802" s="421"/>
      <c r="AM802" s="421"/>
      <c r="AN802" s="421"/>
      <c r="AO802" s="421"/>
      <c r="AP802" s="421"/>
      <c r="AQ802" s="421"/>
      <c r="AR802" s="421"/>
      <c r="AS802" s="421"/>
      <c r="AT802" s="421"/>
      <c r="AU802" s="421"/>
      <c r="AV802" s="421"/>
      <c r="AW802" s="421"/>
      <c r="AX802" s="421"/>
      <c r="AY802" s="421"/>
      <c r="AZ802" s="421"/>
      <c r="BA802" s="421"/>
      <c r="BC802" s="115"/>
      <c r="BD802" s="115"/>
      <c r="BE802" s="115"/>
      <c r="BF802" s="115"/>
      <c r="BG802" s="115"/>
      <c r="BH802" s="124"/>
      <c r="BI802" s="124"/>
      <c r="BJ802" s="124"/>
      <c r="BK802" s="124"/>
      <c r="BL802" s="124"/>
      <c r="BM802" s="124"/>
      <c r="BN802" s="124"/>
      <c r="BO802" s="124"/>
      <c r="BP802" s="124"/>
      <c r="BQ802" s="124"/>
      <c r="BR802" s="124"/>
      <c r="BS802" s="124"/>
      <c r="BT802" s="124"/>
      <c r="BU802" s="124"/>
      <c r="BV802" s="124"/>
      <c r="BW802" s="124"/>
      <c r="BX802" s="124"/>
      <c r="BY802" s="124"/>
      <c r="BZ802" s="124"/>
      <c r="CA802" s="124"/>
      <c r="CB802" s="124"/>
      <c r="CC802" s="124"/>
      <c r="CD802" s="124"/>
      <c r="CE802" s="124"/>
      <c r="CF802" s="124"/>
      <c r="CG802" s="124"/>
      <c r="CH802" s="124"/>
      <c r="CI802" s="124"/>
      <c r="CJ802" s="124"/>
      <c r="CK802" s="124"/>
      <c r="CL802" s="124"/>
      <c r="CM802" s="124"/>
      <c r="CN802" s="124"/>
      <c r="CO802" s="124"/>
      <c r="CP802" s="124"/>
      <c r="CQ802" s="124"/>
      <c r="CR802" s="124"/>
      <c r="CS802" s="124"/>
      <c r="CT802" s="124"/>
      <c r="CU802" s="124"/>
      <c r="CV802" s="124"/>
      <c r="CW802" s="124"/>
      <c r="CX802" s="124"/>
      <c r="CY802" s="124"/>
      <c r="CZ802" s="124"/>
      <c r="DA802" s="124"/>
      <c r="DB802" s="124"/>
      <c r="DC802" s="124"/>
      <c r="DD802" s="124"/>
      <c r="DE802" s="124"/>
      <c r="DF802" s="124"/>
      <c r="DG802" s="115"/>
    </row>
    <row r="803" spans="2:111" customFormat="1" ht="9" customHeight="1">
      <c r="B803" s="493"/>
      <c r="C803" s="493"/>
      <c r="D803" s="493"/>
      <c r="E803" s="493"/>
      <c r="F803" s="493"/>
      <c r="G803" s="493"/>
      <c r="H803" s="493"/>
      <c r="I803" s="493"/>
      <c r="J803" s="493"/>
      <c r="K803" s="493"/>
      <c r="L803" s="493"/>
      <c r="M803" s="493"/>
      <c r="N803" s="493"/>
      <c r="O803" s="421"/>
      <c r="P803" s="421"/>
      <c r="Q803" s="421"/>
      <c r="R803" s="421"/>
      <c r="S803" s="421"/>
      <c r="T803" s="421"/>
      <c r="U803" s="421"/>
      <c r="V803" s="421"/>
      <c r="W803" s="421"/>
      <c r="X803" s="421"/>
      <c r="Y803" s="421"/>
      <c r="Z803" s="421"/>
      <c r="AA803" s="421"/>
      <c r="AB803" s="421"/>
      <c r="AC803" s="421"/>
      <c r="AD803" s="421"/>
      <c r="AE803" s="421"/>
      <c r="AF803" s="421"/>
      <c r="AG803" s="421"/>
      <c r="AH803" s="421"/>
      <c r="AI803" s="421"/>
      <c r="AJ803" s="421"/>
      <c r="AK803" s="421"/>
      <c r="AL803" s="421"/>
      <c r="AM803" s="421"/>
      <c r="AN803" s="421"/>
      <c r="AO803" s="421"/>
      <c r="AP803" s="421"/>
      <c r="AQ803" s="421"/>
      <c r="AR803" s="421"/>
      <c r="AS803" s="421"/>
      <c r="AT803" s="421"/>
      <c r="AU803" s="421"/>
      <c r="AV803" s="421"/>
      <c r="AW803" s="421"/>
      <c r="AX803" s="421"/>
      <c r="AY803" s="421"/>
      <c r="AZ803" s="421"/>
      <c r="BA803" s="421"/>
      <c r="BC803" s="115"/>
      <c r="BD803" s="115"/>
      <c r="BE803" s="115"/>
      <c r="BF803" s="115"/>
      <c r="BG803" s="115"/>
      <c r="BH803" s="124"/>
      <c r="BI803" s="124"/>
      <c r="BJ803" s="124"/>
      <c r="BK803" s="124"/>
      <c r="BL803" s="124"/>
      <c r="BM803" s="124"/>
      <c r="BN803" s="124"/>
      <c r="BO803" s="124"/>
      <c r="BP803" s="124"/>
      <c r="BQ803" s="124"/>
      <c r="BR803" s="124"/>
      <c r="BS803" s="124"/>
      <c r="BT803" s="124"/>
      <c r="BU803" s="124"/>
      <c r="BV803" s="124"/>
      <c r="BW803" s="124"/>
      <c r="BX803" s="124"/>
      <c r="BY803" s="124"/>
      <c r="BZ803" s="124"/>
      <c r="CA803" s="124"/>
      <c r="CB803" s="124"/>
      <c r="CC803" s="124"/>
      <c r="CD803" s="124"/>
      <c r="CE803" s="124"/>
      <c r="CF803" s="124"/>
      <c r="CG803" s="124"/>
      <c r="CH803" s="124"/>
      <c r="CI803" s="124"/>
      <c r="CJ803" s="124"/>
      <c r="CK803" s="124"/>
      <c r="CL803" s="124"/>
      <c r="CM803" s="124"/>
      <c r="CN803" s="124"/>
      <c r="CO803" s="124"/>
      <c r="CP803" s="124"/>
      <c r="CQ803" s="124"/>
      <c r="CR803" s="124"/>
      <c r="CS803" s="124"/>
      <c r="CT803" s="124"/>
      <c r="CU803" s="124"/>
      <c r="CV803" s="124"/>
      <c r="CW803" s="124"/>
      <c r="CX803" s="124"/>
      <c r="CY803" s="124"/>
      <c r="CZ803" s="124"/>
      <c r="DA803" s="124"/>
      <c r="DB803" s="124"/>
      <c r="DC803" s="124"/>
      <c r="DD803" s="124"/>
      <c r="DE803" s="124"/>
      <c r="DF803" s="124"/>
      <c r="DG803" s="115"/>
    </row>
    <row r="804" spans="2:111" customFormat="1" ht="9" customHeight="1">
      <c r="B804" s="143"/>
      <c r="C804" s="143"/>
      <c r="D804" s="143"/>
      <c r="E804" s="143"/>
      <c r="F804" s="143"/>
      <c r="G804" s="143"/>
      <c r="H804" s="143"/>
      <c r="I804" s="143"/>
      <c r="J804" s="143"/>
      <c r="K804" s="143"/>
      <c r="L804" s="143"/>
      <c r="M804" s="143"/>
      <c r="N804" s="143"/>
      <c r="O804" s="421"/>
      <c r="P804" s="421"/>
      <c r="Q804" s="421"/>
      <c r="R804" s="421"/>
      <c r="S804" s="421"/>
      <c r="T804" s="421"/>
      <c r="U804" s="421"/>
      <c r="V804" s="421"/>
      <c r="W804" s="421"/>
      <c r="X804" s="421"/>
      <c r="Y804" s="421"/>
      <c r="Z804" s="421"/>
      <c r="AA804" s="421"/>
      <c r="AB804" s="421"/>
      <c r="AC804" s="421"/>
      <c r="AD804" s="421"/>
      <c r="AE804" s="421"/>
      <c r="AF804" s="421"/>
      <c r="AG804" s="421"/>
      <c r="AH804" s="421"/>
      <c r="AI804" s="421"/>
      <c r="AJ804" s="421"/>
      <c r="AK804" s="421"/>
      <c r="AL804" s="421"/>
      <c r="AM804" s="421"/>
      <c r="AN804" s="421"/>
      <c r="AO804" s="421"/>
      <c r="AP804" s="421"/>
      <c r="AQ804" s="421"/>
      <c r="AR804" s="421"/>
      <c r="AS804" s="421"/>
      <c r="AT804" s="421"/>
      <c r="AU804" s="421"/>
      <c r="AV804" s="421"/>
      <c r="AW804" s="421"/>
      <c r="AX804" s="421"/>
      <c r="AY804" s="421"/>
      <c r="AZ804" s="421"/>
      <c r="BA804" s="421"/>
      <c r="BC804" s="115"/>
      <c r="BD804" s="115"/>
      <c r="BE804" s="115"/>
      <c r="BF804" s="115"/>
      <c r="BG804" s="115"/>
      <c r="BH804" s="84"/>
      <c r="BI804" s="84"/>
      <c r="BJ804" s="84"/>
      <c r="BK804" s="84"/>
      <c r="BL804" s="84"/>
      <c r="BM804" s="84"/>
      <c r="BN804" s="84"/>
      <c r="BO804" s="84"/>
      <c r="BP804" s="84"/>
      <c r="BQ804" s="84"/>
      <c r="BR804" s="84"/>
      <c r="BS804" s="84"/>
      <c r="BT804" s="84"/>
      <c r="BU804" s="84"/>
      <c r="BV804" s="84"/>
      <c r="BW804" s="84"/>
      <c r="BX804" s="84"/>
      <c r="BY804" s="84"/>
      <c r="BZ804" s="84"/>
      <c r="CA804" s="84"/>
      <c r="CB804" s="84"/>
      <c r="CC804" s="84"/>
      <c r="CD804" s="84"/>
      <c r="CE804" s="84"/>
      <c r="CF804" s="84"/>
      <c r="CG804" s="84"/>
      <c r="CH804" s="84"/>
      <c r="CI804" s="84"/>
      <c r="CJ804" s="84"/>
      <c r="CK804" s="84"/>
      <c r="CL804" s="84"/>
      <c r="CM804" s="84"/>
      <c r="CN804" s="84"/>
      <c r="CO804" s="84"/>
      <c r="CP804" s="84"/>
      <c r="CQ804" s="84"/>
      <c r="CR804" s="84"/>
      <c r="CS804" s="84"/>
      <c r="CT804" s="84"/>
      <c r="CU804" s="84"/>
      <c r="CV804" s="84"/>
      <c r="CW804" s="84"/>
      <c r="CX804" s="84"/>
      <c r="CY804" s="84"/>
      <c r="CZ804" s="84"/>
      <c r="DA804" s="84"/>
      <c r="DB804" s="84"/>
      <c r="DC804" s="84"/>
      <c r="DD804" s="84"/>
      <c r="DE804" s="84"/>
      <c r="DF804" s="84"/>
      <c r="DG804" s="115"/>
    </row>
    <row r="805" spans="2:111" customFormat="1" ht="9" customHeight="1">
      <c r="B805" s="49"/>
      <c r="C805" s="49"/>
      <c r="D805" s="49"/>
      <c r="E805" s="49"/>
      <c r="F805" s="49"/>
      <c r="G805" s="49"/>
      <c r="H805" s="49"/>
      <c r="I805" s="49"/>
      <c r="J805" s="49"/>
      <c r="K805" s="49"/>
      <c r="L805" s="49"/>
      <c r="M805" s="49"/>
      <c r="N805" s="49"/>
      <c r="O805" s="421"/>
      <c r="P805" s="421"/>
      <c r="Q805" s="421"/>
      <c r="R805" s="421"/>
      <c r="S805" s="421"/>
      <c r="T805" s="421"/>
      <c r="U805" s="421"/>
      <c r="V805" s="421"/>
      <c r="W805" s="421"/>
      <c r="X805" s="421"/>
      <c r="Y805" s="421"/>
      <c r="Z805" s="421"/>
      <c r="AA805" s="421"/>
      <c r="AB805" s="421"/>
      <c r="AC805" s="421"/>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1"/>
      <c r="AY805" s="421"/>
      <c r="AZ805" s="421"/>
      <c r="BA805" s="421"/>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c r="BY805" s="115"/>
      <c r="BZ805" s="115"/>
      <c r="CA805" s="115"/>
      <c r="CB805" s="115"/>
      <c r="CC805" s="115"/>
      <c r="CD805" s="115"/>
      <c r="CE805" s="115"/>
      <c r="CF805" s="115"/>
      <c r="CG805" s="115"/>
      <c r="CH805" s="115"/>
      <c r="CI805" s="115"/>
      <c r="CJ805" s="115"/>
      <c r="CK805" s="115"/>
      <c r="CL805" s="115"/>
      <c r="CM805" s="115"/>
      <c r="CN805" s="115"/>
      <c r="CO805" s="115"/>
      <c r="CP805" s="115"/>
      <c r="CQ805" s="115"/>
      <c r="CR805" s="115"/>
      <c r="CS805" s="115"/>
      <c r="CT805" s="115"/>
      <c r="CU805" s="115"/>
      <c r="CV805" s="115"/>
      <c r="CW805" s="115"/>
      <c r="CX805" s="115"/>
      <c r="CY805" s="115"/>
      <c r="CZ805" s="115"/>
      <c r="DA805" s="115"/>
      <c r="DB805" s="115"/>
      <c r="DC805" s="115"/>
      <c r="DD805" s="115"/>
      <c r="DE805" s="115"/>
      <c r="DF805" s="115"/>
      <c r="DG805" s="115"/>
    </row>
    <row r="806" spans="2:111" customFormat="1" ht="4.5" customHeight="1">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49"/>
      <c r="AY806" s="49"/>
      <c r="AZ806" s="49"/>
      <c r="BA806" s="49"/>
      <c r="BC806" s="115"/>
      <c r="BD806" s="115"/>
      <c r="BE806" s="115"/>
      <c r="BF806" s="115"/>
      <c r="BG806" s="115"/>
      <c r="BH806" s="124"/>
      <c r="BI806" s="124"/>
      <c r="BJ806" s="124"/>
      <c r="BK806" s="124"/>
      <c r="BL806" s="124"/>
      <c r="BM806" s="124"/>
      <c r="BN806" s="124"/>
      <c r="BO806" s="124"/>
      <c r="BP806" s="124"/>
      <c r="BQ806" s="124"/>
      <c r="BR806" s="124"/>
      <c r="BS806" s="124"/>
      <c r="BT806" s="124"/>
      <c r="BU806" s="124"/>
      <c r="BV806" s="124"/>
      <c r="BW806" s="124"/>
      <c r="BX806" s="124"/>
      <c r="BY806" s="124"/>
      <c r="BZ806" s="124"/>
      <c r="CA806" s="124"/>
      <c r="CB806" s="124"/>
      <c r="CC806" s="124"/>
      <c r="CD806" s="124"/>
      <c r="CE806" s="124"/>
      <c r="CF806" s="124"/>
      <c r="CG806" s="124"/>
      <c r="CH806" s="124"/>
      <c r="CI806" s="124"/>
      <c r="CJ806" s="124"/>
      <c r="CK806" s="124"/>
      <c r="CL806" s="124"/>
      <c r="CM806" s="124"/>
      <c r="CN806" s="124"/>
      <c r="CO806" s="124"/>
      <c r="CP806" s="124"/>
      <c r="CQ806" s="124"/>
      <c r="CR806" s="124"/>
      <c r="CS806" s="124"/>
      <c r="CT806" s="124"/>
      <c r="CU806" s="124"/>
      <c r="CV806" s="124"/>
      <c r="CW806" s="124"/>
      <c r="CX806" s="124"/>
      <c r="CY806" s="124"/>
      <c r="CZ806" s="124"/>
      <c r="DA806" s="124"/>
      <c r="DB806" s="124"/>
      <c r="DC806" s="124"/>
      <c r="DD806" s="124"/>
      <c r="DE806" s="124"/>
      <c r="DF806" s="124"/>
      <c r="DG806" s="115"/>
    </row>
    <row r="807" spans="2:111" customFormat="1" ht="9" customHeight="1">
      <c r="B807" s="493" t="str">
        <f>IF(B796="","","Detalhamento do Objeto:")</f>
        <v/>
      </c>
      <c r="C807" s="493"/>
      <c r="D807" s="493"/>
      <c r="E807" s="493"/>
      <c r="F807" s="493"/>
      <c r="G807" s="493"/>
      <c r="H807" s="493"/>
      <c r="I807" s="493"/>
      <c r="J807" s="493"/>
      <c r="K807" s="493"/>
      <c r="L807" s="493"/>
      <c r="M807" s="493"/>
      <c r="N807" s="493"/>
      <c r="O807" s="421"/>
      <c r="P807" s="421"/>
      <c r="Q807" s="421"/>
      <c r="R807" s="421"/>
      <c r="S807" s="421"/>
      <c r="T807" s="421"/>
      <c r="U807" s="421"/>
      <c r="V807" s="421"/>
      <c r="W807" s="421"/>
      <c r="X807" s="421"/>
      <c r="Y807" s="421"/>
      <c r="Z807" s="421"/>
      <c r="AA807" s="421"/>
      <c r="AB807" s="421"/>
      <c r="AC807" s="421"/>
      <c r="AD807" s="421"/>
      <c r="AE807" s="421"/>
      <c r="AF807" s="421"/>
      <c r="AG807" s="421"/>
      <c r="AH807" s="421"/>
      <c r="AI807" s="421"/>
      <c r="AJ807" s="421"/>
      <c r="AK807" s="421"/>
      <c r="AL807" s="421"/>
      <c r="AM807" s="421"/>
      <c r="AN807" s="421"/>
      <c r="AO807" s="421"/>
      <c r="AP807" s="421"/>
      <c r="AQ807" s="421"/>
      <c r="AR807" s="421"/>
      <c r="AS807" s="421"/>
      <c r="AT807" s="421"/>
      <c r="AU807" s="421"/>
      <c r="AV807" s="421"/>
      <c r="AW807" s="421"/>
      <c r="AX807" s="421"/>
      <c r="AY807" s="421"/>
      <c r="AZ807" s="421"/>
      <c r="BA807" s="421"/>
      <c r="BC807" s="115"/>
      <c r="BD807" s="115"/>
      <c r="BE807" s="115"/>
      <c r="BF807" s="115"/>
      <c r="BG807" s="115"/>
      <c r="BH807" s="124"/>
      <c r="BI807" s="124"/>
      <c r="BJ807" s="124"/>
      <c r="BK807" s="124"/>
      <c r="BL807" s="124"/>
      <c r="BM807" s="124"/>
      <c r="BN807" s="124"/>
      <c r="BO807" s="124"/>
      <c r="BP807" s="124"/>
      <c r="BQ807" s="124"/>
      <c r="BR807" s="124"/>
      <c r="BS807" s="124"/>
      <c r="BT807" s="124"/>
      <c r="BU807" s="124"/>
      <c r="BV807" s="124"/>
      <c r="BW807" s="124"/>
      <c r="BX807" s="124"/>
      <c r="BY807" s="124"/>
      <c r="BZ807" s="124"/>
      <c r="CA807" s="124"/>
      <c r="CB807" s="124"/>
      <c r="CC807" s="124"/>
      <c r="CD807" s="124"/>
      <c r="CE807" s="124"/>
      <c r="CF807" s="124"/>
      <c r="CG807" s="124"/>
      <c r="CH807" s="124"/>
      <c r="CI807" s="124"/>
      <c r="CJ807" s="124"/>
      <c r="CK807" s="124"/>
      <c r="CL807" s="124"/>
      <c r="CM807" s="124"/>
      <c r="CN807" s="124"/>
      <c r="CO807" s="124"/>
      <c r="CP807" s="124"/>
      <c r="CQ807" s="124"/>
      <c r="CR807" s="124"/>
      <c r="CS807" s="124"/>
      <c r="CT807" s="124"/>
      <c r="CU807" s="124"/>
      <c r="CV807" s="124"/>
      <c r="CW807" s="124"/>
      <c r="CX807" s="124"/>
      <c r="CY807" s="124"/>
      <c r="CZ807" s="124"/>
      <c r="DA807" s="124"/>
      <c r="DB807" s="124"/>
      <c r="DC807" s="124"/>
      <c r="DD807" s="124"/>
      <c r="DE807" s="124"/>
      <c r="DF807" s="124"/>
      <c r="DG807" s="115"/>
    </row>
    <row r="808" spans="2:111" customFormat="1" ht="9" customHeight="1">
      <c r="B808" s="493"/>
      <c r="C808" s="493"/>
      <c r="D808" s="493"/>
      <c r="E808" s="493"/>
      <c r="F808" s="493"/>
      <c r="G808" s="493"/>
      <c r="H808" s="493"/>
      <c r="I808" s="493"/>
      <c r="J808" s="493"/>
      <c r="K808" s="493"/>
      <c r="L808" s="493"/>
      <c r="M808" s="493"/>
      <c r="N808" s="493"/>
      <c r="O808" s="421"/>
      <c r="P808" s="421"/>
      <c r="Q808" s="421"/>
      <c r="R808" s="421"/>
      <c r="S808" s="421"/>
      <c r="T808" s="421"/>
      <c r="U808" s="421"/>
      <c r="V808" s="421"/>
      <c r="W808" s="421"/>
      <c r="X808" s="421"/>
      <c r="Y808" s="421"/>
      <c r="Z808" s="421"/>
      <c r="AA808" s="421"/>
      <c r="AB808" s="421"/>
      <c r="AC808" s="421"/>
      <c r="AD808" s="421"/>
      <c r="AE808" s="421"/>
      <c r="AF808" s="421"/>
      <c r="AG808" s="421"/>
      <c r="AH808" s="421"/>
      <c r="AI808" s="421"/>
      <c r="AJ808" s="421"/>
      <c r="AK808" s="421"/>
      <c r="AL808" s="421"/>
      <c r="AM808" s="421"/>
      <c r="AN808" s="421"/>
      <c r="AO808" s="421"/>
      <c r="AP808" s="421"/>
      <c r="AQ808" s="421"/>
      <c r="AR808" s="421"/>
      <c r="AS808" s="421"/>
      <c r="AT808" s="421"/>
      <c r="AU808" s="421"/>
      <c r="AV808" s="421"/>
      <c r="AW808" s="421"/>
      <c r="AX808" s="421"/>
      <c r="AY808" s="421"/>
      <c r="AZ808" s="421"/>
      <c r="BA808" s="421"/>
      <c r="BC808" s="115"/>
      <c r="BD808" s="115"/>
      <c r="BE808" s="115"/>
      <c r="BF808" s="115"/>
      <c r="BG808" s="115"/>
      <c r="BH808" s="124"/>
      <c r="BI808" s="124"/>
      <c r="BJ808" s="124"/>
      <c r="BK808" s="124"/>
      <c r="BL808" s="124"/>
      <c r="BM808" s="124"/>
      <c r="BN808" s="124"/>
      <c r="BO808" s="124"/>
      <c r="BP808" s="124"/>
      <c r="BQ808" s="124"/>
      <c r="BR808" s="124"/>
      <c r="BS808" s="124"/>
      <c r="BT808" s="124"/>
      <c r="BU808" s="124"/>
      <c r="BV808" s="124"/>
      <c r="BW808" s="124"/>
      <c r="BX808" s="124"/>
      <c r="BY808" s="124"/>
      <c r="BZ808" s="124"/>
      <c r="CA808" s="124"/>
      <c r="CB808" s="124"/>
      <c r="CC808" s="124"/>
      <c r="CD808" s="124"/>
      <c r="CE808" s="124"/>
      <c r="CF808" s="124"/>
      <c r="CG808" s="124"/>
      <c r="CH808" s="124"/>
      <c r="CI808" s="124"/>
      <c r="CJ808" s="124"/>
      <c r="CK808" s="124"/>
      <c r="CL808" s="124"/>
      <c r="CM808" s="124"/>
      <c r="CN808" s="124"/>
      <c r="CO808" s="124"/>
      <c r="CP808" s="124"/>
      <c r="CQ808" s="124"/>
      <c r="CR808" s="124"/>
      <c r="CS808" s="124"/>
      <c r="CT808" s="124"/>
      <c r="CU808" s="124"/>
      <c r="CV808" s="124"/>
      <c r="CW808" s="124"/>
      <c r="CX808" s="124"/>
      <c r="CY808" s="124"/>
      <c r="CZ808" s="124"/>
      <c r="DA808" s="124"/>
      <c r="DB808" s="124"/>
      <c r="DC808" s="124"/>
      <c r="DD808" s="124"/>
      <c r="DE808" s="124"/>
      <c r="DF808" s="124"/>
      <c r="DG808" s="115"/>
    </row>
    <row r="809" spans="2:111" customFormat="1" ht="9" customHeight="1">
      <c r="B809" s="143"/>
      <c r="C809" s="143"/>
      <c r="D809" s="143"/>
      <c r="E809" s="143"/>
      <c r="F809" s="143"/>
      <c r="G809" s="143"/>
      <c r="H809" s="143"/>
      <c r="I809" s="143"/>
      <c r="J809" s="143"/>
      <c r="K809" s="143"/>
      <c r="L809" s="143"/>
      <c r="M809" s="143"/>
      <c r="N809" s="143"/>
      <c r="O809" s="421"/>
      <c r="P809" s="421"/>
      <c r="Q809" s="421"/>
      <c r="R809" s="421"/>
      <c r="S809" s="421"/>
      <c r="T809" s="421"/>
      <c r="U809" s="421"/>
      <c r="V809" s="421"/>
      <c r="W809" s="421"/>
      <c r="X809" s="421"/>
      <c r="Y809" s="421"/>
      <c r="Z809" s="421"/>
      <c r="AA809" s="421"/>
      <c r="AB809" s="421"/>
      <c r="AC809" s="421"/>
      <c r="AD809" s="421"/>
      <c r="AE809" s="421"/>
      <c r="AF809" s="421"/>
      <c r="AG809" s="421"/>
      <c r="AH809" s="421"/>
      <c r="AI809" s="421"/>
      <c r="AJ809" s="421"/>
      <c r="AK809" s="421"/>
      <c r="AL809" s="421"/>
      <c r="AM809" s="421"/>
      <c r="AN809" s="421"/>
      <c r="AO809" s="421"/>
      <c r="AP809" s="421"/>
      <c r="AQ809" s="421"/>
      <c r="AR809" s="421"/>
      <c r="AS809" s="421"/>
      <c r="AT809" s="421"/>
      <c r="AU809" s="421"/>
      <c r="AV809" s="421"/>
      <c r="AW809" s="421"/>
      <c r="AX809" s="421"/>
      <c r="AY809" s="421"/>
      <c r="AZ809" s="421"/>
      <c r="BA809" s="421"/>
      <c r="BC809" s="115"/>
      <c r="BD809" s="115"/>
      <c r="BE809" s="115"/>
      <c r="BF809" s="115"/>
      <c r="BG809" s="115"/>
      <c r="BH809" s="84"/>
      <c r="BI809" s="84"/>
      <c r="BJ809" s="84"/>
      <c r="BK809" s="84"/>
      <c r="BL809" s="84"/>
      <c r="BM809" s="84"/>
      <c r="BN809" s="84"/>
      <c r="BO809" s="84"/>
      <c r="BP809" s="84"/>
      <c r="BQ809" s="84"/>
      <c r="BR809" s="84"/>
      <c r="BS809" s="84"/>
      <c r="BT809" s="84"/>
      <c r="BU809" s="84"/>
      <c r="BV809" s="84"/>
      <c r="BW809" s="84"/>
      <c r="BX809" s="84"/>
      <c r="BY809" s="84"/>
      <c r="BZ809" s="84"/>
      <c r="CA809" s="84"/>
      <c r="CB809" s="84"/>
      <c r="CC809" s="84"/>
      <c r="CD809" s="84"/>
      <c r="CE809" s="84"/>
      <c r="CF809" s="84"/>
      <c r="CG809" s="84"/>
      <c r="CH809" s="84"/>
      <c r="CI809" s="84"/>
      <c r="CJ809" s="84"/>
      <c r="CK809" s="84"/>
      <c r="CL809" s="84"/>
      <c r="CM809" s="84"/>
      <c r="CN809" s="84"/>
      <c r="CO809" s="84"/>
      <c r="CP809" s="84"/>
      <c r="CQ809" s="84"/>
      <c r="CR809" s="84"/>
      <c r="CS809" s="84"/>
      <c r="CT809" s="84"/>
      <c r="CU809" s="84"/>
      <c r="CV809" s="84"/>
      <c r="CW809" s="84"/>
      <c r="CX809" s="84"/>
      <c r="CY809" s="84"/>
      <c r="CZ809" s="84"/>
      <c r="DA809" s="84"/>
      <c r="DB809" s="84"/>
      <c r="DC809" s="84"/>
      <c r="DD809" s="84"/>
      <c r="DE809" s="84"/>
      <c r="DF809" s="84"/>
      <c r="DG809" s="115"/>
    </row>
    <row r="810" spans="2:111" customFormat="1" ht="9" customHeight="1">
      <c r="B810" s="143"/>
      <c r="C810" s="143"/>
      <c r="D810" s="143"/>
      <c r="E810" s="143"/>
      <c r="F810" s="143"/>
      <c r="G810" s="143"/>
      <c r="H810" s="143"/>
      <c r="I810" s="143"/>
      <c r="J810" s="143"/>
      <c r="K810" s="143"/>
      <c r="L810" s="143"/>
      <c r="M810" s="143"/>
      <c r="N810" s="143"/>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1"/>
      <c r="AL810" s="421"/>
      <c r="AM810" s="421"/>
      <c r="AN810" s="421"/>
      <c r="AO810" s="421"/>
      <c r="AP810" s="421"/>
      <c r="AQ810" s="421"/>
      <c r="AR810" s="421"/>
      <c r="AS810" s="421"/>
      <c r="AT810" s="421"/>
      <c r="AU810" s="421"/>
      <c r="AV810" s="421"/>
      <c r="AW810" s="421"/>
      <c r="AX810" s="421"/>
      <c r="AY810" s="421"/>
      <c r="AZ810" s="421"/>
      <c r="BA810" s="421"/>
      <c r="BC810" s="115"/>
      <c r="BD810" s="115"/>
      <c r="BE810" s="115"/>
      <c r="BF810" s="115"/>
      <c r="BG810" s="115"/>
      <c r="BH810" s="84"/>
      <c r="BI810" s="84"/>
      <c r="BJ810" s="84"/>
      <c r="BK810" s="84"/>
      <c r="BL810" s="84"/>
      <c r="BM810" s="84"/>
      <c r="BN810" s="84"/>
      <c r="BO810" s="84"/>
      <c r="BP810" s="84"/>
      <c r="BQ810" s="84"/>
      <c r="BR810" s="84"/>
      <c r="BS810" s="84"/>
      <c r="BT810" s="84"/>
      <c r="BU810" s="84"/>
      <c r="BV810" s="84"/>
      <c r="BW810" s="84"/>
      <c r="BX810" s="84"/>
      <c r="BY810" s="84"/>
      <c r="BZ810" s="84"/>
      <c r="CA810" s="84"/>
      <c r="CB810" s="84"/>
      <c r="CC810" s="84"/>
      <c r="CD810" s="84"/>
      <c r="CE810" s="84"/>
      <c r="CF810" s="84"/>
      <c r="CG810" s="84"/>
      <c r="CH810" s="84"/>
      <c r="CI810" s="84"/>
      <c r="CJ810" s="84"/>
      <c r="CK810" s="84"/>
      <c r="CL810" s="84"/>
      <c r="CM810" s="84"/>
      <c r="CN810" s="84"/>
      <c r="CO810" s="84"/>
      <c r="CP810" s="84"/>
      <c r="CQ810" s="84"/>
      <c r="CR810" s="84"/>
      <c r="CS810" s="84"/>
      <c r="CT810" s="84"/>
      <c r="CU810" s="84"/>
      <c r="CV810" s="84"/>
      <c r="CW810" s="84"/>
      <c r="CX810" s="84"/>
      <c r="CY810" s="84"/>
      <c r="CZ810" s="84"/>
      <c r="DA810" s="84"/>
      <c r="DB810" s="84"/>
      <c r="DC810" s="84"/>
      <c r="DD810" s="84"/>
      <c r="DE810" s="84"/>
      <c r="DF810" s="84"/>
      <c r="DG810" s="115"/>
    </row>
    <row r="811" spans="2:111" customFormat="1" ht="9" customHeight="1">
      <c r="B811" s="143"/>
      <c r="C811" s="143"/>
      <c r="D811" s="143"/>
      <c r="E811" s="143"/>
      <c r="F811" s="143"/>
      <c r="G811" s="143"/>
      <c r="H811" s="143"/>
      <c r="I811" s="143"/>
      <c r="J811" s="143"/>
      <c r="K811" s="143"/>
      <c r="L811" s="143"/>
      <c r="M811" s="143"/>
      <c r="N811" s="143"/>
      <c r="O811" s="421"/>
      <c r="P811" s="421"/>
      <c r="Q811" s="421"/>
      <c r="R811" s="421"/>
      <c r="S811" s="421"/>
      <c r="T811" s="421"/>
      <c r="U811" s="421"/>
      <c r="V811" s="421"/>
      <c r="W811" s="421"/>
      <c r="X811" s="421"/>
      <c r="Y811" s="421"/>
      <c r="Z811" s="421"/>
      <c r="AA811" s="421"/>
      <c r="AB811" s="421"/>
      <c r="AC811" s="421"/>
      <c r="AD811" s="421"/>
      <c r="AE811" s="421"/>
      <c r="AF811" s="421"/>
      <c r="AG811" s="421"/>
      <c r="AH811" s="421"/>
      <c r="AI811" s="421"/>
      <c r="AJ811" s="421"/>
      <c r="AK811" s="421"/>
      <c r="AL811" s="421"/>
      <c r="AM811" s="421"/>
      <c r="AN811" s="421"/>
      <c r="AO811" s="421"/>
      <c r="AP811" s="421"/>
      <c r="AQ811" s="421"/>
      <c r="AR811" s="421"/>
      <c r="AS811" s="421"/>
      <c r="AT811" s="421"/>
      <c r="AU811" s="421"/>
      <c r="AV811" s="421"/>
      <c r="AW811" s="421"/>
      <c r="AX811" s="421"/>
      <c r="AY811" s="421"/>
      <c r="AZ811" s="421"/>
      <c r="BA811" s="421"/>
      <c r="BC811" s="115"/>
      <c r="BD811" s="115"/>
      <c r="BE811" s="115"/>
      <c r="BF811" s="115"/>
      <c r="BG811" s="115"/>
      <c r="BH811" s="84"/>
      <c r="BI811" s="84"/>
      <c r="BJ811" s="84"/>
      <c r="BK811" s="84"/>
      <c r="BL811" s="84"/>
      <c r="BM811" s="84"/>
      <c r="BN811" s="84"/>
      <c r="BO811" s="84"/>
      <c r="BP811" s="84"/>
      <c r="BQ811" s="84"/>
      <c r="BR811" s="84"/>
      <c r="BS811" s="84"/>
      <c r="BT811" s="84"/>
      <c r="BU811" s="84"/>
      <c r="BV811" s="84"/>
      <c r="BW811" s="84"/>
      <c r="BX811" s="84"/>
      <c r="BY811" s="84"/>
      <c r="BZ811" s="84"/>
      <c r="CA811" s="84"/>
      <c r="CB811" s="84"/>
      <c r="CC811" s="84"/>
      <c r="CD811" s="84"/>
      <c r="CE811" s="84"/>
      <c r="CF811" s="84"/>
      <c r="CG811" s="84"/>
      <c r="CH811" s="84"/>
      <c r="CI811" s="84"/>
      <c r="CJ811" s="84"/>
      <c r="CK811" s="84"/>
      <c r="CL811" s="84"/>
      <c r="CM811" s="84"/>
      <c r="CN811" s="84"/>
      <c r="CO811" s="84"/>
      <c r="CP811" s="84"/>
      <c r="CQ811" s="84"/>
      <c r="CR811" s="84"/>
      <c r="CS811" s="84"/>
      <c r="CT811" s="84"/>
      <c r="CU811" s="84"/>
      <c r="CV811" s="84"/>
      <c r="CW811" s="84"/>
      <c r="CX811" s="84"/>
      <c r="CY811" s="84"/>
      <c r="CZ811" s="84"/>
      <c r="DA811" s="84"/>
      <c r="DB811" s="84"/>
      <c r="DC811" s="84"/>
      <c r="DD811" s="84"/>
      <c r="DE811" s="84"/>
      <c r="DF811" s="84"/>
      <c r="DG811" s="115"/>
    </row>
    <row r="812" spans="2:111" customFormat="1" ht="9" customHeight="1">
      <c r="B812" s="143"/>
      <c r="C812" s="143"/>
      <c r="D812" s="143"/>
      <c r="E812" s="143"/>
      <c r="F812" s="143"/>
      <c r="G812" s="143"/>
      <c r="H812" s="143"/>
      <c r="I812" s="143"/>
      <c r="J812" s="143"/>
      <c r="K812" s="143"/>
      <c r="L812" s="143"/>
      <c r="M812" s="143"/>
      <c r="N812" s="143"/>
      <c r="O812" s="421"/>
      <c r="P812" s="421"/>
      <c r="Q812" s="421"/>
      <c r="R812" s="421"/>
      <c r="S812" s="421"/>
      <c r="T812" s="421"/>
      <c r="U812" s="421"/>
      <c r="V812" s="421"/>
      <c r="W812" s="421"/>
      <c r="X812" s="421"/>
      <c r="Y812" s="421"/>
      <c r="Z812" s="421"/>
      <c r="AA812" s="421"/>
      <c r="AB812" s="421"/>
      <c r="AC812" s="421"/>
      <c r="AD812" s="421"/>
      <c r="AE812" s="421"/>
      <c r="AF812" s="421"/>
      <c r="AG812" s="421"/>
      <c r="AH812" s="421"/>
      <c r="AI812" s="421"/>
      <c r="AJ812" s="421"/>
      <c r="AK812" s="421"/>
      <c r="AL812" s="421"/>
      <c r="AM812" s="421"/>
      <c r="AN812" s="421"/>
      <c r="AO812" s="421"/>
      <c r="AP812" s="421"/>
      <c r="AQ812" s="421"/>
      <c r="AR812" s="421"/>
      <c r="AS812" s="421"/>
      <c r="AT812" s="421"/>
      <c r="AU812" s="421"/>
      <c r="AV812" s="421"/>
      <c r="AW812" s="421"/>
      <c r="AX812" s="421"/>
      <c r="AY812" s="421"/>
      <c r="AZ812" s="421"/>
      <c r="BA812" s="421"/>
      <c r="BC812" s="115"/>
      <c r="BD812" s="115"/>
      <c r="BE812" s="115"/>
      <c r="BF812" s="115"/>
      <c r="BG812" s="115"/>
      <c r="BH812" s="84"/>
      <c r="BI812" s="84"/>
      <c r="BJ812" s="84"/>
      <c r="BK812" s="84"/>
      <c r="BL812" s="84"/>
      <c r="BM812" s="84"/>
      <c r="BN812" s="84"/>
      <c r="BO812" s="84"/>
      <c r="BP812" s="84"/>
      <c r="BQ812" s="84"/>
      <c r="BR812" s="84"/>
      <c r="BS812" s="84"/>
      <c r="BT812" s="84"/>
      <c r="BU812" s="84"/>
      <c r="BV812" s="84"/>
      <c r="BW812" s="84"/>
      <c r="BX812" s="84"/>
      <c r="BY812" s="84"/>
      <c r="BZ812" s="84"/>
      <c r="CA812" s="84"/>
      <c r="CB812" s="84"/>
      <c r="CC812" s="84"/>
      <c r="CD812" s="84"/>
      <c r="CE812" s="84"/>
      <c r="CF812" s="84"/>
      <c r="CG812" s="84"/>
      <c r="CH812" s="84"/>
      <c r="CI812" s="84"/>
      <c r="CJ812" s="84"/>
      <c r="CK812" s="84"/>
      <c r="CL812" s="84"/>
      <c r="CM812" s="84"/>
      <c r="CN812" s="84"/>
      <c r="CO812" s="84"/>
      <c r="CP812" s="84"/>
      <c r="CQ812" s="84"/>
      <c r="CR812" s="84"/>
      <c r="CS812" s="84"/>
      <c r="CT812" s="84"/>
      <c r="CU812" s="84"/>
      <c r="CV812" s="84"/>
      <c r="CW812" s="84"/>
      <c r="CX812" s="84"/>
      <c r="CY812" s="84"/>
      <c r="CZ812" s="84"/>
      <c r="DA812" s="84"/>
      <c r="DB812" s="84"/>
      <c r="DC812" s="84"/>
      <c r="DD812" s="84"/>
      <c r="DE812" s="84"/>
      <c r="DF812" s="84"/>
      <c r="DG812" s="115"/>
    </row>
    <row r="813" spans="2:111" customFormat="1" ht="9" customHeight="1">
      <c r="B813" s="143"/>
      <c r="C813" s="143"/>
      <c r="D813" s="143"/>
      <c r="E813" s="143"/>
      <c r="F813" s="143"/>
      <c r="G813" s="143"/>
      <c r="H813" s="143"/>
      <c r="I813" s="143"/>
      <c r="J813" s="143"/>
      <c r="K813" s="143"/>
      <c r="L813" s="143"/>
      <c r="M813" s="143"/>
      <c r="N813" s="143"/>
      <c r="O813" s="421"/>
      <c r="P813" s="421"/>
      <c r="Q813" s="421"/>
      <c r="R813" s="421"/>
      <c r="S813" s="421"/>
      <c r="T813" s="421"/>
      <c r="U813" s="421"/>
      <c r="V813" s="421"/>
      <c r="W813" s="421"/>
      <c r="X813" s="421"/>
      <c r="Y813" s="421"/>
      <c r="Z813" s="421"/>
      <c r="AA813" s="421"/>
      <c r="AB813" s="421"/>
      <c r="AC813" s="421"/>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1"/>
      <c r="AY813" s="421"/>
      <c r="AZ813" s="421"/>
      <c r="BA813" s="421"/>
      <c r="BC813" s="115"/>
      <c r="BD813" s="115"/>
      <c r="BE813" s="115"/>
      <c r="BF813" s="115"/>
      <c r="BG813" s="115"/>
      <c r="BH813" s="84"/>
      <c r="BI813" s="84"/>
      <c r="BJ813" s="84"/>
      <c r="BK813" s="84"/>
      <c r="BL813" s="84"/>
      <c r="BM813" s="84"/>
      <c r="BN813" s="84"/>
      <c r="BO813" s="84"/>
      <c r="BP813" s="84"/>
      <c r="BQ813" s="84"/>
      <c r="BR813" s="84"/>
      <c r="BS813" s="84"/>
      <c r="BT813" s="84"/>
      <c r="BU813" s="84"/>
      <c r="BV813" s="84"/>
      <c r="BW813" s="84"/>
      <c r="BX813" s="84"/>
      <c r="BY813" s="84"/>
      <c r="BZ813" s="84"/>
      <c r="CA813" s="84"/>
      <c r="CB813" s="84"/>
      <c r="CC813" s="84"/>
      <c r="CD813" s="84"/>
      <c r="CE813" s="84"/>
      <c r="CF813" s="84"/>
      <c r="CG813" s="84"/>
      <c r="CH813" s="84"/>
      <c r="CI813" s="84"/>
      <c r="CJ813" s="84"/>
      <c r="CK813" s="84"/>
      <c r="CL813" s="84"/>
      <c r="CM813" s="84"/>
      <c r="CN813" s="84"/>
      <c r="CO813" s="84"/>
      <c r="CP813" s="84"/>
      <c r="CQ813" s="84"/>
      <c r="CR813" s="84"/>
      <c r="CS813" s="84"/>
      <c r="CT813" s="84"/>
      <c r="CU813" s="84"/>
      <c r="CV813" s="84"/>
      <c r="CW813" s="84"/>
      <c r="CX813" s="84"/>
      <c r="CY813" s="84"/>
      <c r="CZ813" s="84"/>
      <c r="DA813" s="84"/>
      <c r="DB813" s="84"/>
      <c r="DC813" s="84"/>
      <c r="DD813" s="84"/>
      <c r="DE813" s="84"/>
      <c r="DF813" s="84"/>
      <c r="DG813" s="115"/>
    </row>
    <row r="814" spans="2:111" customFormat="1" ht="9" customHeight="1">
      <c r="B814" s="49"/>
      <c r="C814" s="49"/>
      <c r="D814" s="49"/>
      <c r="E814" s="49"/>
      <c r="F814" s="49"/>
      <c r="G814" s="49"/>
      <c r="H814" s="49"/>
      <c r="I814" s="49"/>
      <c r="J814" s="49"/>
      <c r="K814" s="49"/>
      <c r="L814" s="49"/>
      <c r="M814" s="49"/>
      <c r="N814" s="49"/>
      <c r="O814" s="421"/>
      <c r="P814" s="421"/>
      <c r="Q814" s="421"/>
      <c r="R814" s="421"/>
      <c r="S814" s="421"/>
      <c r="T814" s="421"/>
      <c r="U814" s="421"/>
      <c r="V814" s="421"/>
      <c r="W814" s="421"/>
      <c r="X814" s="421"/>
      <c r="Y814" s="421"/>
      <c r="Z814" s="421"/>
      <c r="AA814" s="421"/>
      <c r="AB814" s="421"/>
      <c r="AC814" s="421"/>
      <c r="AD814" s="421"/>
      <c r="AE814" s="421"/>
      <c r="AF814" s="421"/>
      <c r="AG814" s="421"/>
      <c r="AH814" s="421"/>
      <c r="AI814" s="421"/>
      <c r="AJ814" s="421"/>
      <c r="AK814" s="421"/>
      <c r="AL814" s="421"/>
      <c r="AM814" s="421"/>
      <c r="AN814" s="421"/>
      <c r="AO814" s="421"/>
      <c r="AP814" s="421"/>
      <c r="AQ814" s="421"/>
      <c r="AR814" s="421"/>
      <c r="AS814" s="421"/>
      <c r="AT814" s="421"/>
      <c r="AU814" s="421"/>
      <c r="AV814" s="421"/>
      <c r="AW814" s="421"/>
      <c r="AX814" s="421"/>
      <c r="AY814" s="421"/>
      <c r="AZ814" s="421"/>
      <c r="BA814" s="421"/>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c r="BY814" s="115"/>
      <c r="BZ814" s="115"/>
      <c r="CA814" s="115"/>
      <c r="CB814" s="115"/>
      <c r="CC814" s="115"/>
      <c r="CD814" s="115"/>
      <c r="CE814" s="115"/>
      <c r="CF814" s="115"/>
      <c r="CG814" s="115"/>
      <c r="CH814" s="115"/>
      <c r="CI814" s="115"/>
      <c r="CJ814" s="115"/>
      <c r="CK814" s="115"/>
      <c r="CL814" s="115"/>
      <c r="CM814" s="115"/>
      <c r="CN814" s="115"/>
      <c r="CO814" s="115"/>
      <c r="CP814" s="115"/>
      <c r="CQ814" s="115"/>
      <c r="CR814" s="115"/>
      <c r="CS814" s="115"/>
      <c r="CT814" s="115"/>
      <c r="CU814" s="115"/>
      <c r="CV814" s="115"/>
      <c r="CW814" s="115"/>
      <c r="CX814" s="115"/>
      <c r="CY814" s="115"/>
      <c r="CZ814" s="115"/>
      <c r="DA814" s="115"/>
      <c r="DB814" s="115"/>
      <c r="DC814" s="115"/>
      <c r="DD814" s="115"/>
      <c r="DE814" s="115"/>
      <c r="DF814" s="115"/>
      <c r="DG814" s="115"/>
    </row>
    <row r="815" spans="2:111" customFormat="1" ht="4.5" customHeight="1">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49"/>
      <c r="AY815" s="49"/>
      <c r="AZ815" s="49"/>
      <c r="BA815" s="49"/>
      <c r="BC815" s="115"/>
      <c r="BD815" s="115"/>
      <c r="BE815" s="115"/>
      <c r="BF815" s="115"/>
      <c r="BG815" s="115"/>
      <c r="BH815" s="124"/>
      <c r="BI815" s="124"/>
      <c r="BJ815" s="124"/>
      <c r="BK815" s="124"/>
      <c r="BL815" s="124"/>
      <c r="BM815" s="124"/>
      <c r="BN815" s="124"/>
      <c r="BO815" s="124"/>
      <c r="BP815" s="124"/>
      <c r="BQ815" s="124"/>
      <c r="BR815" s="124"/>
      <c r="BS815" s="124"/>
      <c r="BT815" s="124"/>
      <c r="BU815" s="124"/>
      <c r="BV815" s="124"/>
      <c r="BW815" s="124"/>
      <c r="BX815" s="124"/>
      <c r="BY815" s="124"/>
      <c r="BZ815" s="124"/>
      <c r="CA815" s="124"/>
      <c r="CB815" s="124"/>
      <c r="CC815" s="124"/>
      <c r="CD815" s="124"/>
      <c r="CE815" s="124"/>
      <c r="CF815" s="124"/>
      <c r="CG815" s="124"/>
      <c r="CH815" s="124"/>
      <c r="CI815" s="124"/>
      <c r="CJ815" s="124"/>
      <c r="CK815" s="124"/>
      <c r="CL815" s="124"/>
      <c r="CM815" s="124"/>
      <c r="CN815" s="124"/>
      <c r="CO815" s="124"/>
      <c r="CP815" s="124"/>
      <c r="CQ815" s="124"/>
      <c r="CR815" s="124"/>
      <c r="CS815" s="124"/>
      <c r="CT815" s="124"/>
      <c r="CU815" s="124"/>
      <c r="CV815" s="124"/>
      <c r="CW815" s="124"/>
      <c r="CX815" s="124"/>
      <c r="CY815" s="124"/>
      <c r="CZ815" s="124"/>
      <c r="DA815" s="124"/>
      <c r="DB815" s="124"/>
      <c r="DC815" s="124"/>
      <c r="DD815" s="124"/>
      <c r="DE815" s="124"/>
      <c r="DF815" s="124"/>
      <c r="DG815" s="115"/>
    </row>
    <row r="816" spans="2:111" customFormat="1" ht="9" customHeight="1">
      <c r="B816" s="493" t="str">
        <f>IF(B796="","","Justificativa:")</f>
        <v/>
      </c>
      <c r="C816" s="493"/>
      <c r="D816" s="493"/>
      <c r="E816" s="493"/>
      <c r="F816" s="493"/>
      <c r="G816" s="493"/>
      <c r="H816" s="493"/>
      <c r="I816" s="493"/>
      <c r="J816" s="493"/>
      <c r="K816" s="493"/>
      <c r="L816" s="493"/>
      <c r="M816" s="493"/>
      <c r="N816" s="493"/>
      <c r="O816" s="421"/>
      <c r="P816" s="421"/>
      <c r="Q816" s="421"/>
      <c r="R816" s="421"/>
      <c r="S816" s="421"/>
      <c r="T816" s="421"/>
      <c r="U816" s="421"/>
      <c r="V816" s="421"/>
      <c r="W816" s="421"/>
      <c r="X816" s="421"/>
      <c r="Y816" s="421"/>
      <c r="Z816" s="421"/>
      <c r="AA816" s="421"/>
      <c r="AB816" s="421"/>
      <c r="AC816" s="421"/>
      <c r="AD816" s="421"/>
      <c r="AE816" s="421"/>
      <c r="AF816" s="421"/>
      <c r="AG816" s="421"/>
      <c r="AH816" s="421"/>
      <c r="AI816" s="421"/>
      <c r="AJ816" s="421"/>
      <c r="AK816" s="421"/>
      <c r="AL816" s="421"/>
      <c r="AM816" s="421"/>
      <c r="AN816" s="421"/>
      <c r="AO816" s="421"/>
      <c r="AP816" s="421"/>
      <c r="AQ816" s="421"/>
      <c r="AR816" s="421"/>
      <c r="AS816" s="421"/>
      <c r="AT816" s="421"/>
      <c r="AU816" s="421"/>
      <c r="AV816" s="421"/>
      <c r="AW816" s="421"/>
      <c r="AX816" s="421"/>
      <c r="AY816" s="421"/>
      <c r="AZ816" s="421"/>
      <c r="BA816" s="421"/>
      <c r="BC816" s="115"/>
      <c r="BD816" s="115"/>
      <c r="BE816" s="115"/>
      <c r="BF816" s="115"/>
      <c r="BG816" s="115"/>
      <c r="BH816" s="124"/>
      <c r="BI816" s="124"/>
      <c r="BJ816" s="124"/>
      <c r="BK816" s="124"/>
      <c r="BL816" s="124"/>
      <c r="BM816" s="124"/>
      <c r="BN816" s="124"/>
      <c r="BO816" s="124"/>
      <c r="BP816" s="124"/>
      <c r="BQ816" s="124"/>
      <c r="BR816" s="124"/>
      <c r="BS816" s="124"/>
      <c r="BT816" s="124"/>
      <c r="BU816" s="124"/>
      <c r="BV816" s="124"/>
      <c r="BW816" s="124"/>
      <c r="BX816" s="124"/>
      <c r="BY816" s="124"/>
      <c r="BZ816" s="124"/>
      <c r="CA816" s="124"/>
      <c r="CB816" s="124"/>
      <c r="CC816" s="124"/>
      <c r="CD816" s="124"/>
      <c r="CE816" s="124"/>
      <c r="CF816" s="124"/>
      <c r="CG816" s="124"/>
      <c r="CH816" s="124"/>
      <c r="CI816" s="124"/>
      <c r="CJ816" s="124"/>
      <c r="CK816" s="124"/>
      <c r="CL816" s="124"/>
      <c r="CM816" s="124"/>
      <c r="CN816" s="124"/>
      <c r="CO816" s="124"/>
      <c r="CP816" s="124"/>
      <c r="CQ816" s="124"/>
      <c r="CR816" s="124"/>
      <c r="CS816" s="124"/>
      <c r="CT816" s="124"/>
      <c r="CU816" s="124"/>
      <c r="CV816" s="124"/>
      <c r="CW816" s="124"/>
      <c r="CX816" s="124"/>
      <c r="CY816" s="124"/>
      <c r="CZ816" s="124"/>
      <c r="DA816" s="124"/>
      <c r="DB816" s="124"/>
      <c r="DC816" s="124"/>
      <c r="DD816" s="124"/>
      <c r="DE816" s="124"/>
      <c r="DF816" s="124"/>
      <c r="DG816" s="115"/>
    </row>
    <row r="817" spans="2:111" customFormat="1" ht="9" customHeight="1">
      <c r="B817" s="493"/>
      <c r="C817" s="493"/>
      <c r="D817" s="493"/>
      <c r="E817" s="493"/>
      <c r="F817" s="493"/>
      <c r="G817" s="493"/>
      <c r="H817" s="493"/>
      <c r="I817" s="493"/>
      <c r="J817" s="493"/>
      <c r="K817" s="493"/>
      <c r="L817" s="493"/>
      <c r="M817" s="493"/>
      <c r="N817" s="493"/>
      <c r="O817" s="421"/>
      <c r="P817" s="421"/>
      <c r="Q817" s="421"/>
      <c r="R817" s="421"/>
      <c r="S817" s="421"/>
      <c r="T817" s="421"/>
      <c r="U817" s="421"/>
      <c r="V817" s="421"/>
      <c r="W817" s="421"/>
      <c r="X817" s="421"/>
      <c r="Y817" s="421"/>
      <c r="Z817" s="421"/>
      <c r="AA817" s="421"/>
      <c r="AB817" s="421"/>
      <c r="AC817" s="421"/>
      <c r="AD817" s="421"/>
      <c r="AE817" s="421"/>
      <c r="AF817" s="421"/>
      <c r="AG817" s="421"/>
      <c r="AH817" s="421"/>
      <c r="AI817" s="421"/>
      <c r="AJ817" s="421"/>
      <c r="AK817" s="421"/>
      <c r="AL817" s="421"/>
      <c r="AM817" s="421"/>
      <c r="AN817" s="421"/>
      <c r="AO817" s="421"/>
      <c r="AP817" s="421"/>
      <c r="AQ817" s="421"/>
      <c r="AR817" s="421"/>
      <c r="AS817" s="421"/>
      <c r="AT817" s="421"/>
      <c r="AU817" s="421"/>
      <c r="AV817" s="421"/>
      <c r="AW817" s="421"/>
      <c r="AX817" s="421"/>
      <c r="AY817" s="421"/>
      <c r="AZ817" s="421"/>
      <c r="BA817" s="421"/>
      <c r="BC817" s="115"/>
      <c r="BD817" s="115"/>
      <c r="BE817" s="115"/>
      <c r="BF817" s="115"/>
      <c r="BG817" s="115"/>
      <c r="BH817" s="124"/>
      <c r="BI817" s="124"/>
      <c r="BJ817" s="124"/>
      <c r="BK817" s="124"/>
      <c r="BL817" s="124"/>
      <c r="BM817" s="124"/>
      <c r="BN817" s="124"/>
      <c r="BO817" s="124"/>
      <c r="BP817" s="124"/>
      <c r="BQ817" s="124"/>
      <c r="BR817" s="124"/>
      <c r="BS817" s="124"/>
      <c r="BT817" s="124"/>
      <c r="BU817" s="124"/>
      <c r="BV817" s="124"/>
      <c r="BW817" s="124"/>
      <c r="BX817" s="124"/>
      <c r="BY817" s="124"/>
      <c r="BZ817" s="124"/>
      <c r="CA817" s="124"/>
      <c r="CB817" s="124"/>
      <c r="CC817" s="124"/>
      <c r="CD817" s="124"/>
      <c r="CE817" s="124"/>
      <c r="CF817" s="124"/>
      <c r="CG817" s="124"/>
      <c r="CH817" s="124"/>
      <c r="CI817" s="124"/>
      <c r="CJ817" s="124"/>
      <c r="CK817" s="124"/>
      <c r="CL817" s="124"/>
      <c r="CM817" s="124"/>
      <c r="CN817" s="124"/>
      <c r="CO817" s="124"/>
      <c r="CP817" s="124"/>
      <c r="CQ817" s="124"/>
      <c r="CR817" s="124"/>
      <c r="CS817" s="124"/>
      <c r="CT817" s="124"/>
      <c r="CU817" s="124"/>
      <c r="CV817" s="124"/>
      <c r="CW817" s="124"/>
      <c r="CX817" s="124"/>
      <c r="CY817" s="124"/>
      <c r="CZ817" s="124"/>
      <c r="DA817" s="124"/>
      <c r="DB817" s="124"/>
      <c r="DC817" s="124"/>
      <c r="DD817" s="124"/>
      <c r="DE817" s="124"/>
      <c r="DF817" s="124"/>
      <c r="DG817" s="115"/>
    </row>
    <row r="818" spans="2:111" customFormat="1" ht="9" customHeight="1">
      <c r="B818" s="143"/>
      <c r="C818" s="143"/>
      <c r="D818" s="143"/>
      <c r="E818" s="143"/>
      <c r="F818" s="143"/>
      <c r="G818" s="143"/>
      <c r="H818" s="143"/>
      <c r="I818" s="143"/>
      <c r="J818" s="143"/>
      <c r="K818" s="143"/>
      <c r="L818" s="143"/>
      <c r="M818" s="143"/>
      <c r="N818" s="143"/>
      <c r="O818" s="421"/>
      <c r="P818" s="421"/>
      <c r="Q818" s="421"/>
      <c r="R818" s="421"/>
      <c r="S818" s="421"/>
      <c r="T818" s="421"/>
      <c r="U818" s="421"/>
      <c r="V818" s="421"/>
      <c r="W818" s="421"/>
      <c r="X818" s="421"/>
      <c r="Y818" s="421"/>
      <c r="Z818" s="421"/>
      <c r="AA818" s="421"/>
      <c r="AB818" s="421"/>
      <c r="AC818" s="421"/>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1"/>
      <c r="AY818" s="421"/>
      <c r="AZ818" s="421"/>
      <c r="BA818" s="421"/>
      <c r="BC818" s="115"/>
      <c r="BD818" s="115"/>
      <c r="BE818" s="115"/>
      <c r="BF818" s="115"/>
      <c r="BG818" s="115"/>
      <c r="BH818" s="124"/>
      <c r="BI818" s="124"/>
      <c r="BJ818" s="124"/>
      <c r="BK818" s="124"/>
      <c r="BL818" s="124"/>
      <c r="BM818" s="124"/>
      <c r="BN818" s="124"/>
      <c r="BO818" s="124"/>
      <c r="BP818" s="124"/>
      <c r="BQ818" s="124"/>
      <c r="BR818" s="124"/>
      <c r="BS818" s="124"/>
      <c r="BT818" s="124"/>
      <c r="BU818" s="124"/>
      <c r="BV818" s="124"/>
      <c r="BW818" s="124"/>
      <c r="BX818" s="124"/>
      <c r="BY818" s="124"/>
      <c r="BZ818" s="124"/>
      <c r="CA818" s="124"/>
      <c r="CB818" s="124"/>
      <c r="CC818" s="124"/>
      <c r="CD818" s="124"/>
      <c r="CE818" s="124"/>
      <c r="CF818" s="124"/>
      <c r="CG818" s="124"/>
      <c r="CH818" s="124"/>
      <c r="CI818" s="124"/>
      <c r="CJ818" s="124"/>
      <c r="CK818" s="124"/>
      <c r="CL818" s="124"/>
      <c r="CM818" s="124"/>
      <c r="CN818" s="124"/>
      <c r="CO818" s="124"/>
      <c r="CP818" s="124"/>
      <c r="CQ818" s="124"/>
      <c r="CR818" s="124"/>
      <c r="CS818" s="124"/>
      <c r="CT818" s="124"/>
      <c r="CU818" s="124"/>
      <c r="CV818" s="124"/>
      <c r="CW818" s="124"/>
      <c r="CX818" s="124"/>
      <c r="CY818" s="124"/>
      <c r="CZ818" s="124"/>
      <c r="DA818" s="124"/>
      <c r="DB818" s="124"/>
      <c r="DC818" s="124"/>
      <c r="DD818" s="124"/>
      <c r="DE818" s="124"/>
      <c r="DF818" s="124"/>
      <c r="DG818" s="115"/>
    </row>
    <row r="819" spans="2:111" customFormat="1" ht="9" customHeight="1">
      <c r="B819" s="143"/>
      <c r="C819" s="143"/>
      <c r="D819" s="143"/>
      <c r="E819" s="143"/>
      <c r="F819" s="143"/>
      <c r="G819" s="143"/>
      <c r="H819" s="143"/>
      <c r="I819" s="143"/>
      <c r="J819" s="143"/>
      <c r="K819" s="143"/>
      <c r="L819" s="143"/>
      <c r="M819" s="143"/>
      <c r="N819" s="143"/>
      <c r="O819" s="421"/>
      <c r="P819" s="421"/>
      <c r="Q819" s="421"/>
      <c r="R819" s="421"/>
      <c r="S819" s="421"/>
      <c r="T819" s="421"/>
      <c r="U819" s="421"/>
      <c r="V819" s="421"/>
      <c r="W819" s="421"/>
      <c r="X819" s="421"/>
      <c r="Y819" s="421"/>
      <c r="Z819" s="421"/>
      <c r="AA819" s="421"/>
      <c r="AB819" s="421"/>
      <c r="AC819" s="421"/>
      <c r="AD819" s="421"/>
      <c r="AE819" s="421"/>
      <c r="AF819" s="421"/>
      <c r="AG819" s="421"/>
      <c r="AH819" s="421"/>
      <c r="AI819" s="421"/>
      <c r="AJ819" s="421"/>
      <c r="AK819" s="421"/>
      <c r="AL819" s="421"/>
      <c r="AM819" s="421"/>
      <c r="AN819" s="421"/>
      <c r="AO819" s="421"/>
      <c r="AP819" s="421"/>
      <c r="AQ819" s="421"/>
      <c r="AR819" s="421"/>
      <c r="AS819" s="421"/>
      <c r="AT819" s="421"/>
      <c r="AU819" s="421"/>
      <c r="AV819" s="421"/>
      <c r="AW819" s="421"/>
      <c r="AX819" s="421"/>
      <c r="AY819" s="421"/>
      <c r="AZ819" s="421"/>
      <c r="BA819" s="421"/>
      <c r="BC819" s="115"/>
      <c r="BD819" s="115"/>
      <c r="BE819" s="115"/>
      <c r="BF819" s="115"/>
      <c r="BG819" s="115"/>
      <c r="BH819" s="84"/>
      <c r="BI819" s="84"/>
      <c r="BJ819" s="84"/>
      <c r="BK819" s="84"/>
      <c r="BL819" s="84"/>
      <c r="BM819" s="84"/>
      <c r="BN819" s="84"/>
      <c r="BO819" s="84"/>
      <c r="BP819" s="84"/>
      <c r="BQ819" s="84"/>
      <c r="BR819" s="84"/>
      <c r="BS819" s="84"/>
      <c r="BT819" s="84"/>
      <c r="BU819" s="84"/>
      <c r="BV819" s="84"/>
      <c r="BW819" s="84"/>
      <c r="BX819" s="84"/>
      <c r="BY819" s="84"/>
      <c r="BZ819" s="84"/>
      <c r="CA819" s="84"/>
      <c r="CB819" s="84"/>
      <c r="CC819" s="84"/>
      <c r="CD819" s="84"/>
      <c r="CE819" s="84"/>
      <c r="CF819" s="84"/>
      <c r="CG819" s="84"/>
      <c r="CH819" s="84"/>
      <c r="CI819" s="84"/>
      <c r="CJ819" s="84"/>
      <c r="CK819" s="84"/>
      <c r="CL819" s="84"/>
      <c r="CM819" s="84"/>
      <c r="CN819" s="84"/>
      <c r="CO819" s="84"/>
      <c r="CP819" s="84"/>
      <c r="CQ819" s="84"/>
      <c r="CR819" s="84"/>
      <c r="CS819" s="84"/>
      <c r="CT819" s="84"/>
      <c r="CU819" s="84"/>
      <c r="CV819" s="84"/>
      <c r="CW819" s="84"/>
      <c r="CX819" s="84"/>
      <c r="CY819" s="84"/>
      <c r="CZ819" s="84"/>
      <c r="DA819" s="84"/>
      <c r="DB819" s="84"/>
      <c r="DC819" s="84"/>
      <c r="DD819" s="84"/>
      <c r="DE819" s="84"/>
      <c r="DF819" s="84"/>
      <c r="DG819" s="115"/>
    </row>
    <row r="820" spans="2:111" customFormat="1" ht="9" customHeight="1">
      <c r="B820" s="143"/>
      <c r="C820" s="143"/>
      <c r="D820" s="143"/>
      <c r="E820" s="143"/>
      <c r="F820" s="143"/>
      <c r="G820" s="143"/>
      <c r="H820" s="143"/>
      <c r="I820" s="143"/>
      <c r="J820" s="143"/>
      <c r="K820" s="143"/>
      <c r="L820" s="143"/>
      <c r="M820" s="143"/>
      <c r="N820" s="143"/>
      <c r="O820" s="421"/>
      <c r="P820" s="421"/>
      <c r="Q820" s="421"/>
      <c r="R820" s="421"/>
      <c r="S820" s="421"/>
      <c r="T820" s="421"/>
      <c r="U820" s="421"/>
      <c r="V820" s="421"/>
      <c r="W820" s="421"/>
      <c r="X820" s="421"/>
      <c r="Y820" s="421"/>
      <c r="Z820" s="421"/>
      <c r="AA820" s="421"/>
      <c r="AB820" s="421"/>
      <c r="AC820" s="421"/>
      <c r="AD820" s="421"/>
      <c r="AE820" s="421"/>
      <c r="AF820" s="421"/>
      <c r="AG820" s="421"/>
      <c r="AH820" s="421"/>
      <c r="AI820" s="421"/>
      <c r="AJ820" s="421"/>
      <c r="AK820" s="421"/>
      <c r="AL820" s="421"/>
      <c r="AM820" s="421"/>
      <c r="AN820" s="421"/>
      <c r="AO820" s="421"/>
      <c r="AP820" s="421"/>
      <c r="AQ820" s="421"/>
      <c r="AR820" s="421"/>
      <c r="AS820" s="421"/>
      <c r="AT820" s="421"/>
      <c r="AU820" s="421"/>
      <c r="AV820" s="421"/>
      <c r="AW820" s="421"/>
      <c r="AX820" s="421"/>
      <c r="AY820" s="421"/>
      <c r="AZ820" s="421"/>
      <c r="BA820" s="421"/>
      <c r="BC820" s="115"/>
      <c r="BD820" s="115"/>
      <c r="BE820" s="115"/>
      <c r="BF820" s="115"/>
      <c r="BG820" s="115"/>
      <c r="BH820" s="84"/>
      <c r="BI820" s="84"/>
      <c r="BJ820" s="84"/>
      <c r="BK820" s="84"/>
      <c r="BL820" s="84"/>
      <c r="BM820" s="84"/>
      <c r="BN820" s="84"/>
      <c r="BO820" s="84"/>
      <c r="BP820" s="84"/>
      <c r="BQ820" s="84"/>
      <c r="BR820" s="84"/>
      <c r="BS820" s="84"/>
      <c r="BT820" s="84"/>
      <c r="BU820" s="84"/>
      <c r="BV820" s="84"/>
      <c r="BW820" s="84"/>
      <c r="BX820" s="84"/>
      <c r="BY820" s="84"/>
      <c r="BZ820" s="84"/>
      <c r="CA820" s="84"/>
      <c r="CB820" s="84"/>
      <c r="CC820" s="84"/>
      <c r="CD820" s="84"/>
      <c r="CE820" s="84"/>
      <c r="CF820" s="84"/>
      <c r="CG820" s="84"/>
      <c r="CH820" s="84"/>
      <c r="CI820" s="84"/>
      <c r="CJ820" s="84"/>
      <c r="CK820" s="84"/>
      <c r="CL820" s="84"/>
      <c r="CM820" s="84"/>
      <c r="CN820" s="84"/>
      <c r="CO820" s="84"/>
      <c r="CP820" s="84"/>
      <c r="CQ820" s="84"/>
      <c r="CR820" s="84"/>
      <c r="CS820" s="84"/>
      <c r="CT820" s="84"/>
      <c r="CU820" s="84"/>
      <c r="CV820" s="84"/>
      <c r="CW820" s="84"/>
      <c r="CX820" s="84"/>
      <c r="CY820" s="84"/>
      <c r="CZ820" s="84"/>
      <c r="DA820" s="84"/>
      <c r="DB820" s="84"/>
      <c r="DC820" s="84"/>
      <c r="DD820" s="84"/>
      <c r="DE820" s="84"/>
      <c r="DF820" s="84"/>
      <c r="DG820" s="115"/>
    </row>
    <row r="821" spans="2:111" customFormat="1" ht="9" customHeight="1">
      <c r="B821" s="49"/>
      <c r="C821" s="49"/>
      <c r="D821" s="49"/>
      <c r="E821" s="49"/>
      <c r="F821" s="49"/>
      <c r="G821" s="49"/>
      <c r="H821" s="49"/>
      <c r="I821" s="49"/>
      <c r="J821" s="49"/>
      <c r="K821" s="49"/>
      <c r="L821" s="49"/>
      <c r="M821" s="49"/>
      <c r="N821" s="49"/>
      <c r="O821" s="421"/>
      <c r="P821" s="421"/>
      <c r="Q821" s="421"/>
      <c r="R821" s="421"/>
      <c r="S821" s="421"/>
      <c r="T821" s="421"/>
      <c r="U821" s="421"/>
      <c r="V821" s="421"/>
      <c r="W821" s="421"/>
      <c r="X821" s="421"/>
      <c r="Y821" s="421"/>
      <c r="Z821" s="421"/>
      <c r="AA821" s="421"/>
      <c r="AB821" s="421"/>
      <c r="AC821" s="421"/>
      <c r="AD821" s="421"/>
      <c r="AE821" s="421"/>
      <c r="AF821" s="421"/>
      <c r="AG821" s="421"/>
      <c r="AH821" s="421"/>
      <c r="AI821" s="421"/>
      <c r="AJ821" s="421"/>
      <c r="AK821" s="421"/>
      <c r="AL821" s="421"/>
      <c r="AM821" s="421"/>
      <c r="AN821" s="421"/>
      <c r="AO821" s="421"/>
      <c r="AP821" s="421"/>
      <c r="AQ821" s="421"/>
      <c r="AR821" s="421"/>
      <c r="AS821" s="421"/>
      <c r="AT821" s="421"/>
      <c r="AU821" s="421"/>
      <c r="AV821" s="421"/>
      <c r="AW821" s="421"/>
      <c r="AX821" s="421"/>
      <c r="AY821" s="421"/>
      <c r="AZ821" s="421"/>
      <c r="BA821" s="421"/>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c r="BY821" s="115"/>
      <c r="BZ821" s="115"/>
      <c r="CA821" s="115"/>
      <c r="CB821" s="115"/>
      <c r="CC821" s="115"/>
      <c r="CD821" s="115"/>
      <c r="CE821" s="115"/>
      <c r="CF821" s="115"/>
      <c r="CG821" s="115"/>
      <c r="CH821" s="115"/>
      <c r="CI821" s="115"/>
      <c r="CJ821" s="115"/>
      <c r="CK821" s="115"/>
      <c r="CL821" s="115"/>
      <c r="CM821" s="115"/>
      <c r="CN821" s="115"/>
      <c r="CO821" s="115"/>
      <c r="CP821" s="115"/>
      <c r="CQ821" s="115"/>
      <c r="CR821" s="115"/>
      <c r="CS821" s="115"/>
      <c r="CT821" s="115"/>
      <c r="CU821" s="115"/>
      <c r="CV821" s="115"/>
      <c r="CW821" s="115"/>
      <c r="CX821" s="115"/>
      <c r="CY821" s="115"/>
      <c r="CZ821" s="115"/>
      <c r="DA821" s="115"/>
      <c r="DB821" s="115"/>
      <c r="DC821" s="115"/>
      <c r="DD821" s="115"/>
      <c r="DE821" s="115"/>
      <c r="DF821" s="115"/>
      <c r="DG821" s="115"/>
    </row>
    <row r="822" spans="2:111" customFormat="1" ht="4.5" customHeight="1">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49"/>
      <c r="AY822" s="49"/>
      <c r="AZ822" s="49"/>
      <c r="BA822" s="49"/>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c r="BY822" s="115"/>
      <c r="BZ822" s="115"/>
      <c r="CA822" s="115"/>
      <c r="CB822" s="115"/>
      <c r="CC822" s="115"/>
      <c r="CD822" s="115"/>
      <c r="CE822" s="115"/>
      <c r="CF822" s="115"/>
      <c r="CG822" s="115"/>
      <c r="CH822" s="115"/>
      <c r="CI822" s="115"/>
      <c r="CJ822" s="115"/>
      <c r="CK822" s="115"/>
      <c r="CL822" s="115"/>
      <c r="CM822" s="115"/>
      <c r="CN822" s="115"/>
      <c r="CO822" s="115"/>
      <c r="CP822" s="115"/>
      <c r="CQ822" s="115"/>
      <c r="CR822" s="115"/>
      <c r="CS822" s="115"/>
      <c r="CT822" s="115"/>
      <c r="CU822" s="115"/>
      <c r="CV822" s="115"/>
      <c r="CW822" s="115"/>
      <c r="CX822" s="115"/>
      <c r="CY822" s="115"/>
      <c r="CZ822" s="115"/>
      <c r="DA822" s="115"/>
      <c r="DB822" s="115"/>
      <c r="DC822" s="115"/>
      <c r="DD822" s="115"/>
      <c r="DE822" s="115"/>
      <c r="DF822" s="115"/>
      <c r="DG822" s="115"/>
    </row>
    <row r="823" spans="2:111" customFormat="1" ht="9" customHeight="1">
      <c r="B823" s="493" t="str">
        <f>IF(B796="","","Metas Vinculadas:")</f>
        <v/>
      </c>
      <c r="C823" s="493"/>
      <c r="D823" s="493"/>
      <c r="E823" s="493"/>
      <c r="F823" s="493"/>
      <c r="G823" s="493"/>
      <c r="H823" s="493"/>
      <c r="I823" s="493"/>
      <c r="J823" s="493"/>
      <c r="K823" s="493"/>
      <c r="L823" s="493"/>
      <c r="M823" s="493"/>
      <c r="N823" s="493"/>
      <c r="O823" s="421"/>
      <c r="P823" s="421"/>
      <c r="Q823" s="421"/>
      <c r="R823" s="421"/>
      <c r="S823" s="421"/>
      <c r="T823" s="421"/>
      <c r="U823" s="421"/>
      <c r="V823" s="421"/>
      <c r="W823" s="421"/>
      <c r="X823" s="421"/>
      <c r="Y823" s="421"/>
      <c r="Z823" s="421"/>
      <c r="AA823" s="421"/>
      <c r="AB823" s="421"/>
      <c r="AC823" s="421"/>
      <c r="AD823" s="421"/>
      <c r="AE823" s="421"/>
      <c r="AF823" s="421"/>
      <c r="AG823" s="421"/>
      <c r="AH823" s="421"/>
      <c r="AI823" s="421"/>
      <c r="AJ823" s="421"/>
      <c r="AK823" s="421"/>
      <c r="AL823" s="421"/>
      <c r="AM823" s="421"/>
      <c r="AN823" s="421"/>
      <c r="AO823" s="421"/>
      <c r="AP823" s="421"/>
      <c r="AQ823" s="421"/>
      <c r="AR823" s="421"/>
      <c r="AS823" s="421"/>
      <c r="AT823" s="421"/>
      <c r="AU823" s="421"/>
      <c r="AV823" s="421"/>
      <c r="AW823" s="421"/>
      <c r="AX823" s="421"/>
      <c r="AY823" s="421"/>
      <c r="AZ823" s="421"/>
      <c r="BA823" s="421"/>
      <c r="BC823" s="115"/>
      <c r="BD823" s="115"/>
      <c r="BE823" s="115"/>
      <c r="BF823" s="115"/>
      <c r="BG823" s="115"/>
      <c r="BH823" s="124"/>
      <c r="BI823" s="124"/>
      <c r="BJ823" s="124"/>
      <c r="BK823" s="124"/>
      <c r="BL823" s="124"/>
      <c r="BM823" s="124"/>
      <c r="BN823" s="124"/>
      <c r="BO823" s="124"/>
      <c r="BP823" s="124"/>
      <c r="BQ823" s="124"/>
      <c r="BR823" s="124"/>
      <c r="BS823" s="124"/>
      <c r="BT823" s="124"/>
      <c r="BU823" s="124"/>
      <c r="BV823" s="124"/>
      <c r="BW823" s="124"/>
      <c r="BX823" s="124"/>
      <c r="BY823" s="124"/>
      <c r="BZ823" s="124"/>
      <c r="CA823" s="124"/>
      <c r="CB823" s="124"/>
      <c r="CC823" s="124"/>
      <c r="CD823" s="124"/>
      <c r="CE823" s="124"/>
      <c r="CF823" s="124"/>
      <c r="CG823" s="124"/>
      <c r="CH823" s="124"/>
      <c r="CI823" s="124"/>
      <c r="CJ823" s="124"/>
      <c r="CK823" s="124"/>
      <c r="CL823" s="124"/>
      <c r="CM823" s="124"/>
      <c r="CN823" s="124"/>
      <c r="CO823" s="124"/>
      <c r="CP823" s="124"/>
      <c r="CQ823" s="124"/>
      <c r="CR823" s="124"/>
      <c r="CS823" s="124"/>
      <c r="CT823" s="124"/>
      <c r="CU823" s="124"/>
      <c r="CV823" s="124"/>
      <c r="CW823" s="124"/>
      <c r="CX823" s="124"/>
      <c r="CY823" s="124"/>
      <c r="CZ823" s="124"/>
      <c r="DA823" s="124"/>
      <c r="DB823" s="124"/>
      <c r="DC823" s="124"/>
      <c r="DD823" s="124"/>
      <c r="DE823" s="124"/>
      <c r="DF823" s="124"/>
      <c r="DG823" s="115"/>
    </row>
    <row r="824" spans="2:111" customFormat="1" ht="9" customHeight="1">
      <c r="B824" s="493"/>
      <c r="C824" s="493"/>
      <c r="D824" s="493"/>
      <c r="E824" s="493"/>
      <c r="F824" s="493"/>
      <c r="G824" s="493"/>
      <c r="H824" s="493"/>
      <c r="I824" s="493"/>
      <c r="J824" s="493"/>
      <c r="K824" s="493"/>
      <c r="L824" s="493"/>
      <c r="M824" s="493"/>
      <c r="N824" s="493"/>
      <c r="O824" s="421"/>
      <c r="P824" s="421"/>
      <c r="Q824" s="421"/>
      <c r="R824" s="421"/>
      <c r="S824" s="421"/>
      <c r="T824" s="421"/>
      <c r="U824" s="421"/>
      <c r="V824" s="421"/>
      <c r="W824" s="421"/>
      <c r="X824" s="421"/>
      <c r="Y824" s="421"/>
      <c r="Z824" s="421"/>
      <c r="AA824" s="421"/>
      <c r="AB824" s="421"/>
      <c r="AC824" s="421"/>
      <c r="AD824" s="421"/>
      <c r="AE824" s="421"/>
      <c r="AF824" s="421"/>
      <c r="AG824" s="421"/>
      <c r="AH824" s="421"/>
      <c r="AI824" s="421"/>
      <c r="AJ824" s="421"/>
      <c r="AK824" s="421"/>
      <c r="AL824" s="421"/>
      <c r="AM824" s="421"/>
      <c r="AN824" s="421"/>
      <c r="AO824" s="421"/>
      <c r="AP824" s="421"/>
      <c r="AQ824" s="421"/>
      <c r="AR824" s="421"/>
      <c r="AS824" s="421"/>
      <c r="AT824" s="421"/>
      <c r="AU824" s="421"/>
      <c r="AV824" s="421"/>
      <c r="AW824" s="421"/>
      <c r="AX824" s="421"/>
      <c r="AY824" s="421"/>
      <c r="AZ824" s="421"/>
      <c r="BA824" s="421"/>
      <c r="BC824" s="115"/>
      <c r="BD824" s="115"/>
      <c r="BE824" s="115"/>
      <c r="BF824" s="115"/>
      <c r="BG824" s="115"/>
      <c r="BH824" s="84"/>
      <c r="BI824" s="84"/>
      <c r="BJ824" s="84"/>
      <c r="BK824" s="84"/>
      <c r="BL824" s="84"/>
      <c r="BM824" s="84"/>
      <c r="BN824" s="84"/>
      <c r="BO824" s="84"/>
      <c r="BP824" s="84"/>
      <c r="BQ824" s="84"/>
      <c r="BR824" s="84"/>
      <c r="BS824" s="84"/>
      <c r="BT824" s="84"/>
      <c r="BU824" s="84"/>
      <c r="BV824" s="84"/>
      <c r="BW824" s="84"/>
      <c r="BX824" s="84"/>
      <c r="BY824" s="84"/>
      <c r="BZ824" s="84"/>
      <c r="CA824" s="84"/>
      <c r="CB824" s="84"/>
      <c r="CC824" s="84"/>
      <c r="CD824" s="84"/>
      <c r="CE824" s="84"/>
      <c r="CF824" s="84"/>
      <c r="CG824" s="84"/>
      <c r="CH824" s="84"/>
      <c r="CI824" s="84"/>
      <c r="CJ824" s="84"/>
      <c r="CK824" s="84"/>
      <c r="CL824" s="84"/>
      <c r="CM824" s="84"/>
      <c r="CN824" s="84"/>
      <c r="CO824" s="84"/>
      <c r="CP824" s="84"/>
      <c r="CQ824" s="84"/>
      <c r="CR824" s="84"/>
      <c r="CS824" s="84"/>
      <c r="CT824" s="84"/>
      <c r="CU824" s="84"/>
      <c r="CV824" s="84"/>
      <c r="CW824" s="84"/>
      <c r="CX824" s="84"/>
      <c r="CY824" s="84"/>
      <c r="CZ824" s="84"/>
      <c r="DA824" s="84"/>
      <c r="DB824" s="84"/>
      <c r="DC824" s="84"/>
      <c r="DD824" s="84"/>
      <c r="DE824" s="84"/>
      <c r="DF824" s="84"/>
      <c r="DG824" s="115"/>
    </row>
    <row r="825" spans="2:111" customFormat="1" ht="4.5" customHeight="1">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49"/>
      <c r="AY825" s="49"/>
      <c r="AZ825" s="49"/>
      <c r="BA825" s="49"/>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c r="BY825" s="115"/>
      <c r="BZ825" s="115"/>
      <c r="CA825" s="115"/>
      <c r="CB825" s="115"/>
      <c r="CC825" s="115"/>
      <c r="CD825" s="115"/>
      <c r="CE825" s="115"/>
      <c r="CF825" s="115"/>
      <c r="CG825" s="115"/>
      <c r="CH825" s="115"/>
      <c r="CI825" s="115"/>
      <c r="CJ825" s="115"/>
      <c r="CK825" s="115"/>
      <c r="CL825" s="115"/>
      <c r="CM825" s="115"/>
      <c r="CN825" s="115"/>
      <c r="CO825" s="115"/>
      <c r="CP825" s="115"/>
      <c r="CQ825" s="115"/>
      <c r="CR825" s="115"/>
      <c r="CS825" s="115"/>
      <c r="CT825" s="115"/>
      <c r="CU825" s="115"/>
      <c r="CV825" s="115"/>
      <c r="CW825" s="115"/>
      <c r="CX825" s="115"/>
      <c r="CY825" s="115"/>
      <c r="CZ825" s="115"/>
      <c r="DA825" s="115"/>
      <c r="DB825" s="115"/>
      <c r="DC825" s="115"/>
      <c r="DD825" s="115"/>
      <c r="DE825" s="115"/>
      <c r="DF825" s="115"/>
      <c r="DG825" s="115"/>
    </row>
    <row r="826" spans="2:111" customFormat="1" ht="9" customHeight="1">
      <c r="B826" s="125"/>
      <c r="C826" s="125"/>
      <c r="D826" s="125"/>
      <c r="E826" s="125"/>
      <c r="F826" s="125"/>
      <c r="G826" s="125"/>
      <c r="H826" s="125"/>
      <c r="I826" s="125"/>
      <c r="J826" s="125"/>
      <c r="K826" s="125"/>
      <c r="L826" s="125"/>
      <c r="M826" s="125"/>
      <c r="N826" s="125"/>
      <c r="O826" s="496" t="str">
        <f>IF(B796="","","Quantidade:")</f>
        <v/>
      </c>
      <c r="P826" s="496"/>
      <c r="Q826" s="496"/>
      <c r="R826" s="496"/>
      <c r="S826" s="496"/>
      <c r="T826" s="496"/>
      <c r="U826" s="496"/>
      <c r="V826" s="417"/>
      <c r="W826" s="417"/>
      <c r="X826" s="417"/>
      <c r="Y826" s="417"/>
      <c r="Z826" s="417"/>
      <c r="AA826" s="417"/>
      <c r="AB826" s="417"/>
      <c r="AC826" s="417"/>
      <c r="AD826" s="417"/>
      <c r="AE826" s="417"/>
      <c r="AF826" s="125"/>
      <c r="AG826" s="497" t="str">
        <f>IF(B796="","","Unidade:")</f>
        <v/>
      </c>
      <c r="AH826" s="497"/>
      <c r="AI826" s="497"/>
      <c r="AJ826" s="497"/>
      <c r="AK826" s="497"/>
      <c r="AL826" s="497"/>
      <c r="AM826" s="497"/>
      <c r="AN826" s="125"/>
      <c r="AO826" s="417"/>
      <c r="AP826" s="417"/>
      <c r="AQ826" s="417"/>
      <c r="AR826" s="417"/>
      <c r="AS826" s="417"/>
      <c r="AT826" s="417"/>
      <c r="AU826" s="417"/>
      <c r="AV826" s="417"/>
      <c r="AW826" s="417"/>
      <c r="AX826" s="417"/>
      <c r="AY826" s="417"/>
      <c r="AZ826" s="417"/>
      <c r="BA826" s="417"/>
      <c r="BC826" s="115"/>
      <c r="BD826" s="115"/>
      <c r="BE826" s="115"/>
      <c r="BF826" s="115"/>
      <c r="BG826" s="115"/>
      <c r="BH826" s="124"/>
      <c r="BI826" s="124"/>
      <c r="BJ826" s="124"/>
      <c r="BK826" s="124"/>
      <c r="BL826" s="124"/>
      <c r="BM826" s="124"/>
      <c r="BN826" s="124"/>
      <c r="BO826" s="124"/>
      <c r="BP826" s="124"/>
      <c r="BQ826" s="124"/>
      <c r="BR826" s="124"/>
      <c r="BS826" s="124"/>
      <c r="BT826" s="124"/>
      <c r="BU826" s="124"/>
      <c r="BV826" s="124"/>
      <c r="BW826" s="124"/>
      <c r="BX826" s="124"/>
      <c r="BY826" s="124"/>
      <c r="BZ826" s="124"/>
      <c r="CA826" s="124"/>
      <c r="CB826" s="124"/>
      <c r="CC826" s="124"/>
      <c r="CD826" s="124"/>
      <c r="CE826" s="124"/>
      <c r="CF826" s="124"/>
      <c r="CG826" s="124"/>
      <c r="CH826" s="124"/>
      <c r="CI826" s="124"/>
      <c r="CJ826" s="124"/>
      <c r="CK826" s="124"/>
      <c r="CL826" s="124"/>
      <c r="CM826" s="124"/>
      <c r="CN826" s="124"/>
      <c r="CO826" s="124"/>
      <c r="CP826" s="124"/>
      <c r="CQ826" s="124"/>
      <c r="CR826" s="124"/>
      <c r="CS826" s="124"/>
      <c r="CT826" s="124"/>
      <c r="CU826" s="124"/>
      <c r="CV826" s="124"/>
      <c r="CW826" s="124"/>
      <c r="CX826" s="124"/>
      <c r="CY826" s="124"/>
      <c r="CZ826" s="124"/>
      <c r="DA826" s="124"/>
      <c r="DB826" s="124"/>
      <c r="DC826" s="124"/>
      <c r="DD826" s="124"/>
      <c r="DE826" s="124"/>
      <c r="DF826" s="124"/>
      <c r="DG826" s="115"/>
    </row>
    <row r="827" spans="2:111" customFormat="1" ht="9" customHeight="1">
      <c r="B827" s="125"/>
      <c r="C827" s="125"/>
      <c r="D827" s="125"/>
      <c r="E827" s="125"/>
      <c r="F827" s="125"/>
      <c r="G827" s="125"/>
      <c r="H827" s="125"/>
      <c r="I827" s="125"/>
      <c r="J827" s="125"/>
      <c r="K827" s="125"/>
      <c r="L827" s="125"/>
      <c r="M827" s="125"/>
      <c r="N827" s="125"/>
      <c r="O827" s="496"/>
      <c r="P827" s="496"/>
      <c r="Q827" s="496"/>
      <c r="R827" s="496"/>
      <c r="S827" s="496"/>
      <c r="T827" s="496"/>
      <c r="U827" s="496"/>
      <c r="V827" s="417"/>
      <c r="W827" s="417"/>
      <c r="X827" s="417"/>
      <c r="Y827" s="417"/>
      <c r="Z827" s="417"/>
      <c r="AA827" s="417"/>
      <c r="AB827" s="417"/>
      <c r="AC827" s="417"/>
      <c r="AD827" s="417"/>
      <c r="AE827" s="417"/>
      <c r="AF827" s="125"/>
      <c r="AG827" s="497"/>
      <c r="AH827" s="497"/>
      <c r="AI827" s="497"/>
      <c r="AJ827" s="497"/>
      <c r="AK827" s="497"/>
      <c r="AL827" s="497"/>
      <c r="AM827" s="497"/>
      <c r="AN827" s="125"/>
      <c r="AO827" s="417"/>
      <c r="AP827" s="417"/>
      <c r="AQ827" s="417"/>
      <c r="AR827" s="417"/>
      <c r="AS827" s="417"/>
      <c r="AT827" s="417"/>
      <c r="AU827" s="417"/>
      <c r="AV827" s="417"/>
      <c r="AW827" s="417"/>
      <c r="AX827" s="417"/>
      <c r="AY827" s="417"/>
      <c r="AZ827" s="417"/>
      <c r="BA827" s="417"/>
      <c r="BC827" s="115"/>
      <c r="BD827" s="115"/>
      <c r="BE827" s="115"/>
      <c r="BF827" s="115"/>
      <c r="BG827" s="115"/>
      <c r="BH827" s="124"/>
      <c r="BI827" s="124"/>
      <c r="BJ827" s="124"/>
      <c r="BK827" s="124"/>
      <c r="BL827" s="124"/>
      <c r="BM827" s="124"/>
      <c r="BN827" s="124"/>
      <c r="BO827" s="124"/>
      <c r="BP827" s="124"/>
      <c r="BQ827" s="124"/>
      <c r="BR827" s="124"/>
      <c r="BS827" s="124"/>
      <c r="BT827" s="124"/>
      <c r="BU827" s="124"/>
      <c r="BV827" s="124"/>
      <c r="BW827" s="124"/>
      <c r="BX827" s="124"/>
      <c r="BY827" s="124"/>
      <c r="BZ827" s="124"/>
      <c r="CA827" s="124"/>
      <c r="CB827" s="124"/>
      <c r="CC827" s="124"/>
      <c r="CD827" s="124"/>
      <c r="CE827" s="124"/>
      <c r="CF827" s="124"/>
      <c r="CG827" s="124"/>
      <c r="CH827" s="124"/>
      <c r="CI827" s="124"/>
      <c r="CJ827" s="124"/>
      <c r="CK827" s="124"/>
      <c r="CL827" s="124"/>
      <c r="CM827" s="124"/>
      <c r="CN827" s="124"/>
      <c r="CO827" s="124"/>
      <c r="CP827" s="124"/>
      <c r="CQ827" s="124"/>
      <c r="CR827" s="124"/>
      <c r="CS827" s="124"/>
      <c r="CT827" s="124"/>
      <c r="CU827" s="124"/>
      <c r="CV827" s="124"/>
      <c r="CW827" s="124"/>
      <c r="CX827" s="124"/>
      <c r="CY827" s="124"/>
      <c r="CZ827" s="124"/>
      <c r="DA827" s="124"/>
      <c r="DB827" s="124"/>
      <c r="DC827" s="124"/>
      <c r="DD827" s="124"/>
      <c r="DE827" s="124"/>
      <c r="DF827" s="124"/>
      <c r="DG827" s="115"/>
    </row>
    <row r="828" spans="2:111" customFormat="1" ht="9" customHeight="1">
      <c r="BC828" s="115"/>
      <c r="BD828" s="115"/>
      <c r="BE828" s="115"/>
      <c r="BF828" s="115"/>
      <c r="BG828" s="115"/>
      <c r="BH828" s="498"/>
      <c r="BI828" s="498"/>
      <c r="BJ828" s="498"/>
      <c r="BK828" s="498"/>
      <c r="BL828" s="498"/>
      <c r="BM828" s="498"/>
      <c r="BN828" s="498"/>
      <c r="BO828" s="498"/>
      <c r="BP828" s="498"/>
      <c r="BQ828" s="498"/>
      <c r="BR828" s="498"/>
      <c r="BS828" s="498"/>
      <c r="BT828" s="498"/>
      <c r="BU828" s="498"/>
      <c r="BV828" s="498"/>
      <c r="BW828" s="498"/>
      <c r="BX828" s="498"/>
      <c r="BY828" s="498"/>
      <c r="BZ828" s="498"/>
      <c r="CA828" s="498"/>
      <c r="CB828" s="498"/>
      <c r="CC828" s="498"/>
      <c r="CD828" s="498"/>
      <c r="CE828" s="498"/>
      <c r="CF828" s="498"/>
      <c r="CG828" s="498"/>
      <c r="CH828" s="498"/>
      <c r="CI828" s="498"/>
      <c r="CJ828" s="498"/>
      <c r="CK828" s="498"/>
      <c r="CL828" s="498"/>
      <c r="CM828" s="498"/>
      <c r="CN828" s="498"/>
      <c r="CO828" s="498"/>
      <c r="CP828" s="498"/>
      <c r="CQ828" s="498"/>
      <c r="CR828" s="498"/>
      <c r="CS828" s="498"/>
      <c r="CT828" s="498"/>
      <c r="CU828" s="498"/>
      <c r="CV828" s="498"/>
      <c r="CW828" s="498"/>
      <c r="CX828" s="498"/>
      <c r="CY828" s="498"/>
      <c r="CZ828" s="498"/>
      <c r="DA828" s="498"/>
      <c r="DB828" s="498"/>
      <c r="DC828" s="498"/>
      <c r="DD828" s="498"/>
      <c r="DE828" s="498"/>
      <c r="DF828" s="498"/>
      <c r="DG828" s="115"/>
    </row>
    <row r="829" spans="2:111" customFormat="1" ht="9" customHeight="1">
      <c r="B829" s="499" t="str">
        <f>IF($Z$32&gt;=20,"Nome da Empresa ou Nº da Ata","")</f>
        <v/>
      </c>
      <c r="C829" s="499"/>
      <c r="D829" s="499"/>
      <c r="E829" s="499"/>
      <c r="F829" s="499"/>
      <c r="G829" s="499"/>
      <c r="H829" s="499"/>
      <c r="I829" s="499"/>
      <c r="J829" s="499"/>
      <c r="K829" s="499"/>
      <c r="L829" s="499"/>
      <c r="M829" s="499"/>
      <c r="N829" s="499"/>
      <c r="O829" s="499"/>
      <c r="P829" s="499"/>
      <c r="Q829" s="499"/>
      <c r="R829" s="499"/>
      <c r="S829" s="499"/>
      <c r="T829" s="499"/>
      <c r="U829" s="499"/>
      <c r="V829" s="499"/>
      <c r="W829" s="499"/>
      <c r="X829" s="499" t="str">
        <f>IF($Z$32&gt;=20,"CNPJ / CPF","")</f>
        <v/>
      </c>
      <c r="Y829" s="499"/>
      <c r="Z829" s="499"/>
      <c r="AA829" s="499"/>
      <c r="AB829" s="499"/>
      <c r="AC829" s="499"/>
      <c r="AD829" s="499"/>
      <c r="AE829" s="499"/>
      <c r="AF829" s="499"/>
      <c r="AG829" s="499"/>
      <c r="AH829" s="499" t="str">
        <f>IF($Z$32&gt;=20,"Qtde","")</f>
        <v/>
      </c>
      <c r="AI829" s="499"/>
      <c r="AJ829" s="499"/>
      <c r="AK829" s="499"/>
      <c r="AL829" s="499" t="str">
        <f>IF($Z$32&gt;=20,"Valor Unitário (R$)","")</f>
        <v/>
      </c>
      <c r="AM829" s="499"/>
      <c r="AN829" s="499"/>
      <c r="AO829" s="499"/>
      <c r="AP829" s="499"/>
      <c r="AQ829" s="499"/>
      <c r="AR829" s="499"/>
      <c r="AS829" s="499"/>
      <c r="AT829" s="499" t="str">
        <f>IF($Z$32&gt;=20,"Valor Total (R$)","")</f>
        <v/>
      </c>
      <c r="AU829" s="499"/>
      <c r="AV829" s="499"/>
      <c r="AW829" s="499"/>
      <c r="AX829" s="499"/>
      <c r="AY829" s="499"/>
      <c r="AZ829" s="499"/>
      <c r="BA829" s="499"/>
      <c r="BC829" s="115"/>
      <c r="BD829" s="115"/>
      <c r="BE829" s="115"/>
      <c r="BF829" s="115"/>
      <c r="BG829" s="115"/>
      <c r="BH829" s="498"/>
      <c r="BI829" s="498"/>
      <c r="BJ829" s="498"/>
      <c r="BK829" s="498"/>
      <c r="BL829" s="498"/>
      <c r="BM829" s="498"/>
      <c r="BN829" s="498"/>
      <c r="BO829" s="498"/>
      <c r="BP829" s="498"/>
      <c r="BQ829" s="498"/>
      <c r="BR829" s="498"/>
      <c r="BS829" s="498"/>
      <c r="BT829" s="498"/>
      <c r="BU829" s="498"/>
      <c r="BV829" s="498"/>
      <c r="BW829" s="498"/>
      <c r="BX829" s="498"/>
      <c r="BY829" s="498"/>
      <c r="BZ829" s="498"/>
      <c r="CA829" s="498"/>
      <c r="CB829" s="498"/>
      <c r="CC829" s="498"/>
      <c r="CD829" s="498"/>
      <c r="CE829" s="498"/>
      <c r="CF829" s="498"/>
      <c r="CG829" s="498"/>
      <c r="CH829" s="498"/>
      <c r="CI829" s="498"/>
      <c r="CJ829" s="498"/>
      <c r="CK829" s="498"/>
      <c r="CL829" s="498"/>
      <c r="CM829" s="498"/>
      <c r="CN829" s="498"/>
      <c r="CO829" s="498"/>
      <c r="CP829" s="498"/>
      <c r="CQ829" s="498"/>
      <c r="CR829" s="498"/>
      <c r="CS829" s="498"/>
      <c r="CT829" s="498"/>
      <c r="CU829" s="498"/>
      <c r="CV829" s="498"/>
      <c r="CW829" s="498"/>
      <c r="CX829" s="498"/>
      <c r="CY829" s="498"/>
      <c r="CZ829" s="498"/>
      <c r="DA829" s="498"/>
      <c r="DB829" s="498"/>
      <c r="DC829" s="498"/>
      <c r="DD829" s="498"/>
      <c r="DE829" s="498"/>
      <c r="DF829" s="498"/>
      <c r="DG829" s="115"/>
    </row>
    <row r="830" spans="2:111" customFormat="1" ht="9" customHeight="1">
      <c r="B830" s="499"/>
      <c r="C830" s="499"/>
      <c r="D830" s="499"/>
      <c r="E830" s="499"/>
      <c r="F830" s="499"/>
      <c r="G830" s="499"/>
      <c r="H830" s="499"/>
      <c r="I830" s="499"/>
      <c r="J830" s="499"/>
      <c r="K830" s="499"/>
      <c r="L830" s="499"/>
      <c r="M830" s="499"/>
      <c r="N830" s="499"/>
      <c r="O830" s="499"/>
      <c r="P830" s="499"/>
      <c r="Q830" s="499"/>
      <c r="R830" s="499"/>
      <c r="S830" s="499"/>
      <c r="T830" s="499"/>
      <c r="U830" s="499"/>
      <c r="V830" s="499"/>
      <c r="W830" s="499"/>
      <c r="X830" s="499"/>
      <c r="Y830" s="499"/>
      <c r="Z830" s="499"/>
      <c r="AA830" s="499"/>
      <c r="AB830" s="499"/>
      <c r="AC830" s="499"/>
      <c r="AD830" s="499"/>
      <c r="AE830" s="499"/>
      <c r="AF830" s="499"/>
      <c r="AG830" s="499"/>
      <c r="AH830" s="499"/>
      <c r="AI830" s="499"/>
      <c r="AJ830" s="499"/>
      <c r="AK830" s="499"/>
      <c r="AL830" s="499"/>
      <c r="AM830" s="499"/>
      <c r="AN830" s="499"/>
      <c r="AO830" s="499"/>
      <c r="AP830" s="499"/>
      <c r="AQ830" s="499"/>
      <c r="AR830" s="499"/>
      <c r="AS830" s="499"/>
      <c r="AT830" s="499"/>
      <c r="AU830" s="499"/>
      <c r="AV830" s="499"/>
      <c r="AW830" s="499"/>
      <c r="AX830" s="499"/>
      <c r="AY830" s="499"/>
      <c r="AZ830" s="499"/>
      <c r="BA830" s="499"/>
      <c r="BB830" s="176" t="e">
        <f>AVERAGE(AL831:AS833)</f>
        <v>#DIV/0!</v>
      </c>
      <c r="BC830" s="115"/>
      <c r="BD830" s="115"/>
      <c r="BE830" s="115"/>
      <c r="BF830" s="115"/>
      <c r="BG830" s="115"/>
      <c r="BH830" s="498"/>
      <c r="BI830" s="498"/>
      <c r="BJ830" s="498"/>
      <c r="BK830" s="498"/>
      <c r="BL830" s="498"/>
      <c r="BM830" s="498"/>
      <c r="BN830" s="498"/>
      <c r="BO830" s="498"/>
      <c r="BP830" s="498"/>
      <c r="BQ830" s="498"/>
      <c r="BR830" s="498"/>
      <c r="BS830" s="498"/>
      <c r="BT830" s="498"/>
      <c r="BU830" s="498"/>
      <c r="BV830" s="498"/>
      <c r="BW830" s="498"/>
      <c r="BX830" s="498"/>
      <c r="BY830" s="498"/>
      <c r="BZ830" s="498"/>
      <c r="CA830" s="498"/>
      <c r="CB830" s="498"/>
      <c r="CC830" s="498"/>
      <c r="CD830" s="498"/>
      <c r="CE830" s="498"/>
      <c r="CF830" s="498"/>
      <c r="CG830" s="498"/>
      <c r="CH830" s="498"/>
      <c r="CI830" s="498"/>
      <c r="CJ830" s="498"/>
      <c r="CK830" s="498"/>
      <c r="CL830" s="498"/>
      <c r="CM830" s="498"/>
      <c r="CN830" s="498"/>
      <c r="CO830" s="498"/>
      <c r="CP830" s="498"/>
      <c r="CQ830" s="498"/>
      <c r="CR830" s="498"/>
      <c r="CS830" s="498"/>
      <c r="CT830" s="498"/>
      <c r="CU830" s="498"/>
      <c r="CV830" s="498"/>
      <c r="CW830" s="498"/>
      <c r="CX830" s="498"/>
      <c r="CY830" s="498"/>
      <c r="CZ830" s="498"/>
      <c r="DA830" s="498"/>
      <c r="DB830" s="498"/>
      <c r="DC830" s="498"/>
      <c r="DD830" s="498"/>
      <c r="DE830" s="498"/>
      <c r="DF830" s="498"/>
      <c r="DG830" s="115"/>
    </row>
    <row r="831" spans="2:111" customFormat="1" ht="18" customHeight="1">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486"/>
      <c r="Y831" s="486"/>
      <c r="Z831" s="486"/>
      <c r="AA831" s="486"/>
      <c r="AB831" s="486"/>
      <c r="AC831" s="486"/>
      <c r="AD831" s="486"/>
      <c r="AE831" s="486"/>
      <c r="AF831" s="486"/>
      <c r="AG831" s="486"/>
      <c r="AH831" s="417"/>
      <c r="AI831" s="417"/>
      <c r="AJ831" s="417"/>
      <c r="AK831" s="417"/>
      <c r="AL831" s="419"/>
      <c r="AM831" s="419"/>
      <c r="AN831" s="419"/>
      <c r="AO831" s="419"/>
      <c r="AP831" s="419"/>
      <c r="AQ831" s="419"/>
      <c r="AR831" s="419"/>
      <c r="AS831" s="419"/>
      <c r="AT831" s="487" t="str">
        <f>IF($Z$32&gt;=20,(AH831*AL831),"")</f>
        <v/>
      </c>
      <c r="AU831" s="487"/>
      <c r="AV831" s="487"/>
      <c r="AW831" s="487"/>
      <c r="AX831" s="487"/>
      <c r="AY831" s="487"/>
      <c r="AZ831" s="487"/>
      <c r="BA831" s="487"/>
      <c r="BC831" s="115"/>
      <c r="BD831" s="115"/>
      <c r="BE831" s="115"/>
      <c r="BF831" s="115"/>
      <c r="BG831" s="115"/>
      <c r="BH831" s="498"/>
      <c r="BI831" s="498"/>
      <c r="BJ831" s="498"/>
      <c r="BK831" s="498"/>
      <c r="BL831" s="498"/>
      <c r="BM831" s="498"/>
      <c r="BN831" s="498"/>
      <c r="BO831" s="498"/>
      <c r="BP831" s="498"/>
      <c r="BQ831" s="498"/>
      <c r="BR831" s="498"/>
      <c r="BS831" s="498"/>
      <c r="BT831" s="498"/>
      <c r="BU831" s="498"/>
      <c r="BV831" s="498"/>
      <c r="BW831" s="498"/>
      <c r="BX831" s="498"/>
      <c r="BY831" s="498"/>
      <c r="BZ831" s="498"/>
      <c r="CA831" s="498"/>
      <c r="CB831" s="498"/>
      <c r="CC831" s="498"/>
      <c r="CD831" s="498"/>
      <c r="CE831" s="498"/>
      <c r="CF831" s="498"/>
      <c r="CG831" s="498"/>
      <c r="CH831" s="498"/>
      <c r="CI831" s="498"/>
      <c r="CJ831" s="498"/>
      <c r="CK831" s="498"/>
      <c r="CL831" s="498"/>
      <c r="CM831" s="498"/>
      <c r="CN831" s="498"/>
      <c r="CO831" s="498"/>
      <c r="CP831" s="498"/>
      <c r="CQ831" s="498"/>
      <c r="CR831" s="498"/>
      <c r="CS831" s="498"/>
      <c r="CT831" s="498"/>
      <c r="CU831" s="498"/>
      <c r="CV831" s="498"/>
      <c r="CW831" s="498"/>
      <c r="CX831" s="498"/>
      <c r="CY831" s="498"/>
      <c r="CZ831" s="498"/>
      <c r="DA831" s="498"/>
      <c r="DB831" s="498"/>
      <c r="DC831" s="498"/>
      <c r="DD831" s="498"/>
      <c r="DE831" s="498"/>
      <c r="DF831" s="498"/>
      <c r="DG831" s="115"/>
    </row>
    <row r="832" spans="2:111" customFormat="1" ht="18" customHeight="1">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486"/>
      <c r="Y832" s="486"/>
      <c r="Z832" s="486"/>
      <c r="AA832" s="486"/>
      <c r="AB832" s="486"/>
      <c r="AC832" s="486"/>
      <c r="AD832" s="486"/>
      <c r="AE832" s="486"/>
      <c r="AF832" s="486"/>
      <c r="AG832" s="486"/>
      <c r="AH832" s="417"/>
      <c r="AI832" s="417"/>
      <c r="AJ832" s="417"/>
      <c r="AK832" s="417"/>
      <c r="AL832" s="419"/>
      <c r="AM832" s="419"/>
      <c r="AN832" s="419"/>
      <c r="AO832" s="419"/>
      <c r="AP832" s="419"/>
      <c r="AQ832" s="419"/>
      <c r="AR832" s="419"/>
      <c r="AS832" s="419"/>
      <c r="AT832" s="487" t="str">
        <f>IF($Z$32&gt;=20,(AH832*AL832),"")</f>
        <v/>
      </c>
      <c r="AU832" s="487"/>
      <c r="AV832" s="487"/>
      <c r="AW832" s="487"/>
      <c r="AX832" s="487"/>
      <c r="AY832" s="487"/>
      <c r="AZ832" s="487"/>
      <c r="BA832" s="487"/>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c r="BY832" s="115"/>
      <c r="BZ832" s="115"/>
      <c r="CA832" s="115"/>
      <c r="CB832" s="115"/>
      <c r="CC832" s="115"/>
      <c r="CD832" s="115"/>
      <c r="CE832" s="115"/>
      <c r="CF832" s="115"/>
      <c r="CG832" s="115"/>
      <c r="CH832" s="115"/>
      <c r="CI832" s="115"/>
      <c r="CJ832" s="115"/>
      <c r="CK832" s="115"/>
      <c r="CL832" s="115"/>
      <c r="CM832" s="115"/>
      <c r="CN832" s="115"/>
      <c r="CO832" s="115"/>
      <c r="CP832" s="115"/>
      <c r="CQ832" s="115"/>
      <c r="CR832" s="115"/>
      <c r="CS832" s="115"/>
      <c r="CT832" s="115"/>
      <c r="CU832" s="115"/>
      <c r="CV832" s="115"/>
      <c r="CW832" s="115"/>
      <c r="CX832" s="115"/>
      <c r="CY832" s="115"/>
      <c r="CZ832" s="115"/>
      <c r="DA832" s="115"/>
      <c r="DB832" s="115"/>
      <c r="DC832" s="115"/>
      <c r="DD832" s="115"/>
      <c r="DE832" s="115"/>
      <c r="DF832" s="115"/>
      <c r="DG832" s="115"/>
    </row>
    <row r="833" spans="1:111" ht="18" customHeight="1">
      <c r="A8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486"/>
      <c r="Y833" s="486"/>
      <c r="Z833" s="486"/>
      <c r="AA833" s="486"/>
      <c r="AB833" s="486"/>
      <c r="AC833" s="486"/>
      <c r="AD833" s="486"/>
      <c r="AE833" s="486"/>
      <c r="AF833" s="486"/>
      <c r="AG833" s="486"/>
      <c r="AH833" s="417"/>
      <c r="AI833" s="417"/>
      <c r="AJ833" s="417"/>
      <c r="AK833" s="417"/>
      <c r="AL833" s="419"/>
      <c r="AM833" s="419"/>
      <c r="AN833" s="419"/>
      <c r="AO833" s="419"/>
      <c r="AP833" s="419"/>
      <c r="AQ833" s="419"/>
      <c r="AR833" s="419"/>
      <c r="AS833" s="419"/>
      <c r="AT833" s="487" t="str">
        <f>IF($Z$32&gt;=20,(AH833*AL833),"")</f>
        <v/>
      </c>
      <c r="AU833" s="487"/>
      <c r="AV833" s="487"/>
      <c r="AW833" s="487"/>
      <c r="AX833" s="487"/>
      <c r="AY833" s="487"/>
      <c r="AZ833" s="487"/>
      <c r="BA833" s="487"/>
      <c r="BB833"/>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c r="BY833" s="115"/>
      <c r="BZ833" s="115"/>
      <c r="CA833" s="115"/>
      <c r="CB833" s="115"/>
      <c r="CC833" s="115"/>
      <c r="CD833" s="115"/>
      <c r="CE833" s="115"/>
      <c r="CF833" s="115"/>
      <c r="CG833" s="115"/>
      <c r="CH833" s="115"/>
      <c r="CI833" s="115"/>
      <c r="CJ833" s="115"/>
      <c r="CK833" s="115"/>
      <c r="CL833" s="115"/>
      <c r="CM833" s="115"/>
      <c r="CN833" s="115"/>
      <c r="CO833" s="115"/>
      <c r="CP833" s="115"/>
      <c r="CQ833" s="115"/>
      <c r="CR833" s="115"/>
      <c r="CS833" s="115"/>
      <c r="CT833" s="115"/>
      <c r="CU833" s="115"/>
      <c r="CV833" s="115"/>
      <c r="CW833" s="115"/>
      <c r="CX833" s="115"/>
      <c r="CY833" s="115"/>
      <c r="CZ833" s="115"/>
      <c r="DA833" s="115"/>
      <c r="DB833" s="115"/>
      <c r="DC833" s="115"/>
      <c r="DD833" s="115"/>
      <c r="DE833" s="115"/>
      <c r="DF833" s="115"/>
      <c r="DG833" s="115"/>
    </row>
    <row r="834" spans="1:111" ht="18" customHeight="1">
      <c r="AT834" s="500" t="str">
        <f>IF(B831="","",IF(AL832="",AT831,IF(AL833="",AVERAGE(AT831:BA832),AVERAGE(AT831:AT833))))</f>
        <v/>
      </c>
      <c r="AU834" s="500"/>
      <c r="AV834" s="500"/>
      <c r="AW834" s="500"/>
      <c r="AX834" s="500"/>
      <c r="AY834" s="500"/>
      <c r="AZ834" s="500"/>
      <c r="BA834" s="500"/>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c r="BY834" s="115"/>
      <c r="BZ834" s="115"/>
      <c r="CA834" s="115"/>
      <c r="CB834" s="115"/>
      <c r="CC834" s="115"/>
      <c r="CD834" s="115"/>
      <c r="CE834" s="115"/>
      <c r="CF834" s="115"/>
      <c r="CG834" s="115"/>
      <c r="CH834" s="115"/>
      <c r="CI834" s="115"/>
      <c r="CJ834" s="115"/>
      <c r="CK834" s="115"/>
      <c r="CL834" s="115"/>
      <c r="CM834" s="115"/>
      <c r="CN834" s="115"/>
      <c r="CO834" s="115"/>
      <c r="CP834" s="115"/>
      <c r="CQ834" s="115"/>
      <c r="CR834" s="115"/>
      <c r="CS834" s="115"/>
      <c r="CT834" s="115"/>
      <c r="CU834" s="115"/>
      <c r="CV834" s="115"/>
      <c r="CW834" s="115"/>
      <c r="CX834" s="115"/>
      <c r="CY834" s="115"/>
      <c r="CZ834" s="115"/>
      <c r="DA834" s="115"/>
      <c r="DB834" s="115"/>
      <c r="DC834" s="115"/>
      <c r="DD834" s="115"/>
      <c r="DE834" s="115"/>
      <c r="DF834" s="115"/>
      <c r="DG834" s="115"/>
    </row>
    <row r="835" spans="1:111" ht="18" customHeight="1">
      <c r="A835" s="129"/>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c r="AY835" s="130"/>
      <c r="AZ835" s="130"/>
      <c r="BA835" s="130"/>
      <c r="BB835" s="129"/>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c r="BY835" s="115"/>
      <c r="BZ835" s="115"/>
      <c r="CA835" s="115"/>
      <c r="CB835" s="115"/>
      <c r="CC835" s="115"/>
      <c r="CD835" s="115"/>
      <c r="CE835" s="115"/>
      <c r="CF835" s="115"/>
      <c r="CG835" s="115"/>
      <c r="CH835" s="115"/>
      <c r="CI835" s="115"/>
      <c r="CJ835" s="115"/>
      <c r="CK835" s="115"/>
      <c r="CL835" s="115"/>
      <c r="CM835" s="115"/>
      <c r="CN835" s="115"/>
      <c r="CO835" s="115"/>
      <c r="CP835" s="115"/>
      <c r="CQ835" s="115"/>
      <c r="CR835" s="115"/>
      <c r="CS835" s="115"/>
      <c r="CT835" s="115"/>
      <c r="CU835" s="115"/>
      <c r="CV835" s="115"/>
      <c r="CW835" s="115"/>
      <c r="CX835" s="115"/>
      <c r="CY835" s="115"/>
      <c r="CZ835" s="115"/>
      <c r="DA835" s="115"/>
      <c r="DB835" s="115"/>
      <c r="DC835" s="115"/>
      <c r="DD835" s="115"/>
      <c r="DE835" s="115"/>
      <c r="DF835" s="115"/>
      <c r="DG835" s="115"/>
    </row>
    <row r="836" spans="1:111" ht="9" customHeight="1">
      <c r="A836"/>
      <c r="B836" s="494" t="str">
        <f>IF($Z$32&gt;=21,"Item 21","")</f>
        <v/>
      </c>
      <c r="C836" s="495"/>
      <c r="D836" s="495"/>
      <c r="E836" s="495"/>
      <c r="F836" s="495"/>
      <c r="G836" s="495"/>
      <c r="H836" s="495"/>
      <c r="I836" s="495"/>
      <c r="J836" s="495"/>
      <c r="K836" s="495"/>
      <c r="L836" s="495"/>
      <c r="M836" s="495"/>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c r="BY836" s="115"/>
      <c r="BZ836" s="115"/>
      <c r="CA836" s="115"/>
      <c r="CB836" s="115"/>
      <c r="CC836" s="115"/>
      <c r="CD836" s="115"/>
      <c r="CE836" s="115"/>
      <c r="CF836" s="115"/>
      <c r="CG836" s="115"/>
      <c r="CH836" s="115"/>
      <c r="CI836" s="115"/>
      <c r="CJ836" s="115"/>
      <c r="CK836" s="115"/>
      <c r="CL836" s="115"/>
      <c r="CM836" s="115"/>
      <c r="CN836" s="115"/>
      <c r="CO836" s="115"/>
      <c r="CP836" s="115"/>
      <c r="CQ836" s="115"/>
      <c r="CR836" s="115"/>
      <c r="CS836" s="115"/>
      <c r="CT836" s="115"/>
      <c r="CU836" s="115"/>
      <c r="CV836" s="115"/>
      <c r="CW836" s="115"/>
      <c r="CX836" s="115"/>
      <c r="CY836" s="115"/>
      <c r="CZ836" s="115"/>
      <c r="DA836" s="115"/>
      <c r="DB836" s="115"/>
      <c r="DC836" s="115"/>
      <c r="DD836" s="115"/>
      <c r="DE836" s="115"/>
      <c r="DF836" s="115"/>
      <c r="DG836" s="115"/>
    </row>
    <row r="837" spans="1:111" ht="9" customHeight="1">
      <c r="A837"/>
      <c r="B837" s="495"/>
      <c r="C837" s="495"/>
      <c r="D837" s="495"/>
      <c r="E837" s="495"/>
      <c r="F837" s="495"/>
      <c r="G837" s="495"/>
      <c r="H837" s="495"/>
      <c r="I837" s="495"/>
      <c r="J837" s="495"/>
      <c r="K837" s="495"/>
      <c r="L837" s="495"/>
      <c r="M837" s="495"/>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c r="BY837" s="115"/>
      <c r="BZ837" s="115"/>
      <c r="CA837" s="115"/>
      <c r="CB837" s="115"/>
      <c r="CC837" s="115"/>
      <c r="CD837" s="115"/>
      <c r="CE837" s="115"/>
      <c r="CF837" s="115"/>
      <c r="CG837" s="115"/>
      <c r="CH837" s="115"/>
      <c r="CI837" s="115"/>
      <c r="CJ837" s="115"/>
      <c r="CK837" s="115"/>
      <c r="CL837" s="115"/>
      <c r="CM837" s="115"/>
      <c r="CN837" s="115"/>
      <c r="CO837" s="115"/>
      <c r="CP837" s="115"/>
      <c r="CQ837" s="115"/>
      <c r="CR837" s="115"/>
      <c r="CS837" s="115"/>
      <c r="CT837" s="115"/>
      <c r="CU837" s="115"/>
      <c r="CV837" s="115"/>
      <c r="CW837" s="115"/>
      <c r="CX837" s="115"/>
      <c r="CY837" s="115"/>
      <c r="CZ837" s="115"/>
      <c r="DA837" s="115"/>
      <c r="DB837" s="115"/>
      <c r="DC837" s="115"/>
      <c r="DD837" s="115"/>
      <c r="DE837" s="115"/>
      <c r="DF837" s="115"/>
      <c r="DG837" s="115"/>
    </row>
    <row r="838" spans="1:111" ht="4.5" customHeight="1">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c r="BY838" s="115"/>
      <c r="BZ838" s="115"/>
      <c r="CA838" s="115"/>
      <c r="CB838" s="115"/>
      <c r="CC838" s="115"/>
      <c r="CD838" s="115"/>
      <c r="CE838" s="115"/>
      <c r="CF838" s="115"/>
      <c r="CG838" s="115"/>
      <c r="CH838" s="115"/>
      <c r="CI838" s="115"/>
      <c r="CJ838" s="115"/>
      <c r="CK838" s="115"/>
      <c r="CL838" s="115"/>
      <c r="CM838" s="115"/>
      <c r="CN838" s="115"/>
      <c r="CO838" s="115"/>
      <c r="CP838" s="115"/>
      <c r="CQ838" s="115"/>
      <c r="CR838" s="115"/>
      <c r="CS838" s="115"/>
      <c r="CT838" s="115"/>
      <c r="CU838" s="115"/>
      <c r="CV838" s="115"/>
      <c r="CW838" s="115"/>
      <c r="CX838" s="115"/>
      <c r="CY838" s="115"/>
      <c r="CZ838" s="115"/>
      <c r="DA838" s="115"/>
      <c r="DB838" s="115"/>
      <c r="DC838" s="115"/>
      <c r="DD838" s="115"/>
      <c r="DE838" s="115"/>
      <c r="DF838" s="115"/>
      <c r="DG838" s="115"/>
    </row>
    <row r="839" spans="1:111" ht="9" customHeight="1">
      <c r="A839"/>
      <c r="B839" s="493" t="str">
        <f>IF(B836="","","Elemento de Despesa:")</f>
        <v/>
      </c>
      <c r="C839" s="493"/>
      <c r="D839" s="493"/>
      <c r="E839" s="493"/>
      <c r="F839" s="493"/>
      <c r="G839" s="493"/>
      <c r="H839" s="493"/>
      <c r="I839" s="493"/>
      <c r="J839" s="493"/>
      <c r="K839" s="493"/>
      <c r="L839" s="493"/>
      <c r="M839" s="493"/>
      <c r="N839" s="493"/>
      <c r="O839" s="241"/>
      <c r="P839" s="241"/>
      <c r="Q839" s="241"/>
      <c r="R839" s="241"/>
      <c r="S839" s="241"/>
      <c r="T839" s="241"/>
      <c r="U839" s="241"/>
      <c r="V839" s="241"/>
      <c r="W839" s="241"/>
      <c r="X839" s="241"/>
      <c r="Y839" s="241"/>
      <c r="Z839" s="241"/>
      <c r="AA839" s="241"/>
      <c r="AB839" s="241"/>
      <c r="AC839" s="241"/>
      <c r="AD839" s="241"/>
      <c r="AE839" s="241"/>
      <c r="AF839" s="241"/>
      <c r="AG839" s="241"/>
      <c r="AH839" s="241"/>
      <c r="AI839" s="241"/>
      <c r="AJ839" s="241"/>
      <c r="AK839" s="241"/>
      <c r="AL839" s="241"/>
      <c r="AM839" s="241"/>
      <c r="AN839" s="241"/>
      <c r="AO839" s="241"/>
      <c r="AP839" s="241"/>
      <c r="AQ839" s="241"/>
      <c r="AR839" s="241"/>
      <c r="AS839" s="241"/>
      <c r="AT839" s="241"/>
      <c r="AU839" s="241"/>
      <c r="AV839" s="241"/>
      <c r="AW839" s="241"/>
      <c r="AX839" s="241"/>
      <c r="AY839" s="241"/>
      <c r="AZ839" s="241"/>
      <c r="BA839" s="241"/>
      <c r="BB839"/>
      <c r="BC839" s="115"/>
      <c r="BD839" s="115"/>
      <c r="BE839" s="115"/>
      <c r="BF839" s="115"/>
      <c r="BG839" s="115"/>
      <c r="BH839" s="124"/>
      <c r="BI839" s="124"/>
      <c r="BJ839" s="124"/>
      <c r="BK839" s="124"/>
      <c r="BL839" s="124"/>
      <c r="BM839" s="124"/>
      <c r="BN839" s="124"/>
      <c r="BO839" s="124"/>
      <c r="BP839" s="124"/>
      <c r="BQ839" s="124"/>
      <c r="BR839" s="124"/>
      <c r="BS839" s="124"/>
      <c r="BT839" s="124"/>
      <c r="BU839" s="124"/>
      <c r="BV839" s="124"/>
      <c r="BW839" s="124"/>
      <c r="BX839" s="124"/>
      <c r="BY839" s="124"/>
      <c r="BZ839" s="124"/>
      <c r="CA839" s="124"/>
      <c r="CB839" s="124"/>
      <c r="CC839" s="124"/>
      <c r="CD839" s="124"/>
      <c r="CE839" s="124"/>
      <c r="CF839" s="124"/>
      <c r="CG839" s="124"/>
      <c r="CH839" s="124"/>
      <c r="CI839" s="124"/>
      <c r="CJ839" s="124"/>
      <c r="CK839" s="124"/>
      <c r="CL839" s="124"/>
      <c r="CM839" s="124"/>
      <c r="CN839" s="124"/>
      <c r="CO839" s="124"/>
      <c r="CP839" s="124"/>
      <c r="CQ839" s="124"/>
      <c r="CR839" s="124"/>
      <c r="CS839" s="124"/>
      <c r="CT839" s="124"/>
      <c r="CU839" s="124"/>
      <c r="CV839" s="124"/>
      <c r="CW839" s="124"/>
      <c r="CX839" s="124"/>
      <c r="CY839" s="124"/>
      <c r="CZ839" s="124"/>
      <c r="DA839" s="124"/>
      <c r="DB839" s="124"/>
      <c r="DC839" s="124"/>
      <c r="DD839" s="124"/>
      <c r="DE839" s="124"/>
      <c r="DF839" s="124"/>
      <c r="DG839" s="115"/>
    </row>
    <row r="840" spans="1:111" ht="9" customHeight="1">
      <c r="A840"/>
      <c r="B840" s="493"/>
      <c r="C840" s="493"/>
      <c r="D840" s="493"/>
      <c r="E840" s="493"/>
      <c r="F840" s="493"/>
      <c r="G840" s="493"/>
      <c r="H840" s="493"/>
      <c r="I840" s="493"/>
      <c r="J840" s="493"/>
      <c r="K840" s="493"/>
      <c r="L840" s="493"/>
      <c r="M840" s="493"/>
      <c r="N840" s="493"/>
      <c r="O840" s="241"/>
      <c r="P840" s="241"/>
      <c r="Q840" s="241"/>
      <c r="R840" s="241"/>
      <c r="S840" s="241"/>
      <c r="T840" s="241"/>
      <c r="U840" s="241"/>
      <c r="V840" s="241"/>
      <c r="W840" s="241"/>
      <c r="X840" s="241"/>
      <c r="Y840" s="241"/>
      <c r="Z840" s="241"/>
      <c r="AA840" s="241"/>
      <c r="AB840" s="241"/>
      <c r="AC840" s="241"/>
      <c r="AD840" s="241"/>
      <c r="AE840" s="241"/>
      <c r="AF840" s="241"/>
      <c r="AG840" s="241"/>
      <c r="AH840" s="241"/>
      <c r="AI840" s="241"/>
      <c r="AJ840" s="241"/>
      <c r="AK840" s="241"/>
      <c r="AL840" s="241"/>
      <c r="AM840" s="241"/>
      <c r="AN840" s="241"/>
      <c r="AO840" s="241"/>
      <c r="AP840" s="241"/>
      <c r="AQ840" s="241"/>
      <c r="AR840" s="241"/>
      <c r="AS840" s="241"/>
      <c r="AT840" s="241"/>
      <c r="AU840" s="241"/>
      <c r="AV840" s="241"/>
      <c r="AW840" s="241"/>
      <c r="AX840" s="241"/>
      <c r="AY840" s="241"/>
      <c r="AZ840" s="241"/>
      <c r="BA840" s="241"/>
      <c r="BB840"/>
      <c r="BC840" s="115"/>
      <c r="BD840" s="115"/>
      <c r="BE840" s="115"/>
      <c r="BF840" s="115"/>
      <c r="BG840" s="115"/>
      <c r="BH840" s="124"/>
      <c r="BI840" s="124"/>
      <c r="BJ840" s="124"/>
      <c r="BK840" s="124"/>
      <c r="BL840" s="124"/>
      <c r="BM840" s="124"/>
      <c r="BN840" s="124"/>
      <c r="BO840" s="124"/>
      <c r="BP840" s="124"/>
      <c r="BQ840" s="124"/>
      <c r="BR840" s="124"/>
      <c r="BS840" s="124"/>
      <c r="BT840" s="124"/>
      <c r="BU840" s="124"/>
      <c r="BV840" s="124"/>
      <c r="BW840" s="124"/>
      <c r="BX840" s="124"/>
      <c r="BY840" s="124"/>
      <c r="BZ840" s="124"/>
      <c r="CA840" s="124"/>
      <c r="CB840" s="124"/>
      <c r="CC840" s="124"/>
      <c r="CD840" s="124"/>
      <c r="CE840" s="124"/>
      <c r="CF840" s="124"/>
      <c r="CG840" s="124"/>
      <c r="CH840" s="124"/>
      <c r="CI840" s="124"/>
      <c r="CJ840" s="124"/>
      <c r="CK840" s="124"/>
      <c r="CL840" s="124"/>
      <c r="CM840" s="124"/>
      <c r="CN840" s="124"/>
      <c r="CO840" s="124"/>
      <c r="CP840" s="124"/>
      <c r="CQ840" s="124"/>
      <c r="CR840" s="124"/>
      <c r="CS840" s="124"/>
      <c r="CT840" s="124"/>
      <c r="CU840" s="124"/>
      <c r="CV840" s="124"/>
      <c r="CW840" s="124"/>
      <c r="CX840" s="124"/>
      <c r="CY840" s="124"/>
      <c r="CZ840" s="124"/>
      <c r="DA840" s="124"/>
      <c r="DB840" s="124"/>
      <c r="DC840" s="124"/>
      <c r="DD840" s="124"/>
      <c r="DE840" s="124"/>
      <c r="DF840" s="124"/>
      <c r="DG840" s="115"/>
    </row>
    <row r="841" spans="1:111" ht="4.5" customHeight="1">
      <c r="A841"/>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49"/>
      <c r="AY841" s="49"/>
      <c r="AZ841" s="49"/>
      <c r="BA841" s="49"/>
      <c r="BB841"/>
      <c r="BC841" s="115"/>
      <c r="BD841" s="115"/>
      <c r="BE841" s="115"/>
      <c r="BF841" s="115"/>
      <c r="BG841" s="115"/>
      <c r="BH841" s="124"/>
      <c r="BI841" s="124"/>
      <c r="BJ841" s="124"/>
      <c r="BK841" s="124"/>
      <c r="BL841" s="124"/>
      <c r="BM841" s="124"/>
      <c r="BN841" s="124"/>
      <c r="BO841" s="124"/>
      <c r="BP841" s="124"/>
      <c r="BQ841" s="124"/>
      <c r="BR841" s="124"/>
      <c r="BS841" s="124"/>
      <c r="BT841" s="124"/>
      <c r="BU841" s="124"/>
      <c r="BV841" s="124"/>
      <c r="BW841" s="124"/>
      <c r="BX841" s="124"/>
      <c r="BY841" s="124"/>
      <c r="BZ841" s="124"/>
      <c r="CA841" s="124"/>
      <c r="CB841" s="124"/>
      <c r="CC841" s="124"/>
      <c r="CD841" s="124"/>
      <c r="CE841" s="124"/>
      <c r="CF841" s="124"/>
      <c r="CG841" s="124"/>
      <c r="CH841" s="124"/>
      <c r="CI841" s="124"/>
      <c r="CJ841" s="124"/>
      <c r="CK841" s="124"/>
      <c r="CL841" s="124"/>
      <c r="CM841" s="124"/>
      <c r="CN841" s="124"/>
      <c r="CO841" s="124"/>
      <c r="CP841" s="124"/>
      <c r="CQ841" s="124"/>
      <c r="CR841" s="124"/>
      <c r="CS841" s="124"/>
      <c r="CT841" s="124"/>
      <c r="CU841" s="124"/>
      <c r="CV841" s="124"/>
      <c r="CW841" s="124"/>
      <c r="CX841" s="124"/>
      <c r="CY841" s="124"/>
      <c r="CZ841" s="124"/>
      <c r="DA841" s="124"/>
      <c r="DB841" s="124"/>
      <c r="DC841" s="124"/>
      <c r="DD841" s="124"/>
      <c r="DE841" s="124"/>
      <c r="DF841" s="124"/>
      <c r="DG841" s="115"/>
    </row>
    <row r="842" spans="1:111" ht="9" customHeight="1">
      <c r="A842"/>
      <c r="B842" s="493" t="str">
        <f>IF(B836="","","Objeto:")</f>
        <v/>
      </c>
      <c r="C842" s="493"/>
      <c r="D842" s="493"/>
      <c r="E842" s="493"/>
      <c r="F842" s="493"/>
      <c r="G842" s="493"/>
      <c r="H842" s="493"/>
      <c r="I842" s="493"/>
      <c r="J842" s="493"/>
      <c r="K842" s="493"/>
      <c r="L842" s="493"/>
      <c r="M842" s="493"/>
      <c r="N842" s="493"/>
      <c r="O842" s="421"/>
      <c r="P842" s="421"/>
      <c r="Q842" s="421"/>
      <c r="R842" s="421"/>
      <c r="S842" s="421"/>
      <c r="T842" s="421"/>
      <c r="U842" s="421"/>
      <c r="V842" s="421"/>
      <c r="W842" s="421"/>
      <c r="X842" s="421"/>
      <c r="Y842" s="421"/>
      <c r="Z842" s="421"/>
      <c r="AA842" s="421"/>
      <c r="AB842" s="421"/>
      <c r="AC842" s="421"/>
      <c r="AD842" s="421"/>
      <c r="AE842" s="421"/>
      <c r="AF842" s="421"/>
      <c r="AG842" s="421"/>
      <c r="AH842" s="421"/>
      <c r="AI842" s="421"/>
      <c r="AJ842" s="421"/>
      <c r="AK842" s="421"/>
      <c r="AL842" s="421"/>
      <c r="AM842" s="421"/>
      <c r="AN842" s="421"/>
      <c r="AO842" s="421"/>
      <c r="AP842" s="421"/>
      <c r="AQ842" s="421"/>
      <c r="AR842" s="421"/>
      <c r="AS842" s="421"/>
      <c r="AT842" s="421"/>
      <c r="AU842" s="421"/>
      <c r="AV842" s="421"/>
      <c r="AW842" s="421"/>
      <c r="AX842" s="421"/>
      <c r="AY842" s="421"/>
      <c r="AZ842" s="421"/>
      <c r="BA842" s="421"/>
      <c r="BB842"/>
      <c r="BC842" s="115"/>
      <c r="BD842" s="115"/>
      <c r="BE842" s="115"/>
      <c r="BF842" s="115"/>
      <c r="BG842" s="115"/>
      <c r="BH842" s="124"/>
      <c r="BI842" s="124"/>
      <c r="BJ842" s="124"/>
      <c r="BK842" s="124"/>
      <c r="BL842" s="124"/>
      <c r="BM842" s="124"/>
      <c r="BN842" s="124"/>
      <c r="BO842" s="124"/>
      <c r="BP842" s="124"/>
      <c r="BQ842" s="124"/>
      <c r="BR842" s="124"/>
      <c r="BS842" s="124"/>
      <c r="BT842" s="124"/>
      <c r="BU842" s="124"/>
      <c r="BV842" s="124"/>
      <c r="BW842" s="124"/>
      <c r="BX842" s="124"/>
      <c r="BY842" s="124"/>
      <c r="BZ842" s="124"/>
      <c r="CA842" s="124"/>
      <c r="CB842" s="124"/>
      <c r="CC842" s="124"/>
      <c r="CD842" s="124"/>
      <c r="CE842" s="124"/>
      <c r="CF842" s="124"/>
      <c r="CG842" s="124"/>
      <c r="CH842" s="124"/>
      <c r="CI842" s="124"/>
      <c r="CJ842" s="124"/>
      <c r="CK842" s="124"/>
      <c r="CL842" s="124"/>
      <c r="CM842" s="124"/>
      <c r="CN842" s="124"/>
      <c r="CO842" s="124"/>
      <c r="CP842" s="124"/>
      <c r="CQ842" s="124"/>
      <c r="CR842" s="124"/>
      <c r="CS842" s="124"/>
      <c r="CT842" s="124"/>
      <c r="CU842" s="124"/>
      <c r="CV842" s="124"/>
      <c r="CW842" s="124"/>
      <c r="CX842" s="124"/>
      <c r="CY842" s="124"/>
      <c r="CZ842" s="124"/>
      <c r="DA842" s="124"/>
      <c r="DB842" s="124"/>
      <c r="DC842" s="124"/>
      <c r="DD842" s="124"/>
      <c r="DE842" s="124"/>
      <c r="DF842" s="124"/>
      <c r="DG842" s="115"/>
    </row>
    <row r="843" spans="1:111" ht="9" customHeight="1">
      <c r="A843"/>
      <c r="B843" s="493"/>
      <c r="C843" s="493"/>
      <c r="D843" s="493"/>
      <c r="E843" s="493"/>
      <c r="F843" s="493"/>
      <c r="G843" s="493"/>
      <c r="H843" s="493"/>
      <c r="I843" s="493"/>
      <c r="J843" s="493"/>
      <c r="K843" s="493"/>
      <c r="L843" s="493"/>
      <c r="M843" s="493"/>
      <c r="N843" s="493"/>
      <c r="O843" s="421"/>
      <c r="P843" s="421"/>
      <c r="Q843" s="421"/>
      <c r="R843" s="421"/>
      <c r="S843" s="421"/>
      <c r="T843" s="421"/>
      <c r="U843" s="421"/>
      <c r="V843" s="421"/>
      <c r="W843" s="421"/>
      <c r="X843" s="421"/>
      <c r="Y843" s="421"/>
      <c r="Z843" s="421"/>
      <c r="AA843" s="421"/>
      <c r="AB843" s="421"/>
      <c r="AC843" s="421"/>
      <c r="AD843" s="421"/>
      <c r="AE843" s="421"/>
      <c r="AF843" s="421"/>
      <c r="AG843" s="421"/>
      <c r="AH843" s="421"/>
      <c r="AI843" s="421"/>
      <c r="AJ843" s="421"/>
      <c r="AK843" s="421"/>
      <c r="AL843" s="421"/>
      <c r="AM843" s="421"/>
      <c r="AN843" s="421"/>
      <c r="AO843" s="421"/>
      <c r="AP843" s="421"/>
      <c r="AQ843" s="421"/>
      <c r="AR843" s="421"/>
      <c r="AS843" s="421"/>
      <c r="AT843" s="421"/>
      <c r="AU843" s="421"/>
      <c r="AV843" s="421"/>
      <c r="AW843" s="421"/>
      <c r="AX843" s="421"/>
      <c r="AY843" s="421"/>
      <c r="AZ843" s="421"/>
      <c r="BA843" s="421"/>
      <c r="BB843"/>
      <c r="BC843" s="115"/>
      <c r="BD843" s="115"/>
      <c r="BE843" s="115"/>
      <c r="BF843" s="115"/>
      <c r="BG843" s="115"/>
      <c r="BH843" s="124"/>
      <c r="BI843" s="124"/>
      <c r="BJ843" s="124"/>
      <c r="BK843" s="124"/>
      <c r="BL843" s="124"/>
      <c r="BM843" s="124"/>
      <c r="BN843" s="124"/>
      <c r="BO843" s="124"/>
      <c r="BP843" s="124"/>
      <c r="BQ843" s="124"/>
      <c r="BR843" s="124"/>
      <c r="BS843" s="124"/>
      <c r="BT843" s="124"/>
      <c r="BU843" s="124"/>
      <c r="BV843" s="124"/>
      <c r="BW843" s="124"/>
      <c r="BX843" s="124"/>
      <c r="BY843" s="124"/>
      <c r="BZ843" s="124"/>
      <c r="CA843" s="124"/>
      <c r="CB843" s="124"/>
      <c r="CC843" s="124"/>
      <c r="CD843" s="124"/>
      <c r="CE843" s="124"/>
      <c r="CF843" s="124"/>
      <c r="CG843" s="124"/>
      <c r="CH843" s="124"/>
      <c r="CI843" s="124"/>
      <c r="CJ843" s="124"/>
      <c r="CK843" s="124"/>
      <c r="CL843" s="124"/>
      <c r="CM843" s="124"/>
      <c r="CN843" s="124"/>
      <c r="CO843" s="124"/>
      <c r="CP843" s="124"/>
      <c r="CQ843" s="124"/>
      <c r="CR843" s="124"/>
      <c r="CS843" s="124"/>
      <c r="CT843" s="124"/>
      <c r="CU843" s="124"/>
      <c r="CV843" s="124"/>
      <c r="CW843" s="124"/>
      <c r="CX843" s="124"/>
      <c r="CY843" s="124"/>
      <c r="CZ843" s="124"/>
      <c r="DA843" s="124"/>
      <c r="DB843" s="124"/>
      <c r="DC843" s="124"/>
      <c r="DD843" s="124"/>
      <c r="DE843" s="124"/>
      <c r="DF843" s="124"/>
      <c r="DG843" s="115"/>
    </row>
    <row r="844" spans="1:111" ht="9" customHeight="1">
      <c r="A844"/>
      <c r="B844" s="143"/>
      <c r="C844" s="143"/>
      <c r="D844" s="143"/>
      <c r="E844" s="143"/>
      <c r="F844" s="143"/>
      <c r="G844" s="143"/>
      <c r="H844" s="143"/>
      <c r="I844" s="143"/>
      <c r="J844" s="143"/>
      <c r="K844" s="143"/>
      <c r="L844" s="143"/>
      <c r="M844" s="143"/>
      <c r="N844" s="143"/>
      <c r="O844" s="421"/>
      <c r="P844" s="421"/>
      <c r="Q844" s="421"/>
      <c r="R844" s="421"/>
      <c r="S844" s="421"/>
      <c r="T844" s="421"/>
      <c r="U844" s="421"/>
      <c r="V844" s="421"/>
      <c r="W844" s="421"/>
      <c r="X844" s="421"/>
      <c r="Y844" s="421"/>
      <c r="Z844" s="421"/>
      <c r="AA844" s="421"/>
      <c r="AB844" s="421"/>
      <c r="AC844" s="421"/>
      <c r="AD844" s="421"/>
      <c r="AE844" s="421"/>
      <c r="AF844" s="421"/>
      <c r="AG844" s="421"/>
      <c r="AH844" s="421"/>
      <c r="AI844" s="421"/>
      <c r="AJ844" s="421"/>
      <c r="AK844" s="421"/>
      <c r="AL844" s="421"/>
      <c r="AM844" s="421"/>
      <c r="AN844" s="421"/>
      <c r="AO844" s="421"/>
      <c r="AP844" s="421"/>
      <c r="AQ844" s="421"/>
      <c r="AR844" s="421"/>
      <c r="AS844" s="421"/>
      <c r="AT844" s="421"/>
      <c r="AU844" s="421"/>
      <c r="AV844" s="421"/>
      <c r="AW844" s="421"/>
      <c r="AX844" s="421"/>
      <c r="AY844" s="421"/>
      <c r="AZ844" s="421"/>
      <c r="BA844" s="421"/>
      <c r="BB844"/>
      <c r="BC844" s="115"/>
      <c r="BD844" s="115"/>
      <c r="BE844" s="115"/>
      <c r="BF844" s="115"/>
      <c r="BG844" s="115"/>
      <c r="BH844" s="138"/>
      <c r="BI844" s="138"/>
      <c r="BJ844" s="138"/>
      <c r="BK844" s="138"/>
      <c r="BL844" s="138"/>
      <c r="BM844" s="138"/>
      <c r="BN844" s="138"/>
      <c r="BO844" s="138"/>
      <c r="BP844" s="138"/>
      <c r="BQ844" s="138"/>
      <c r="BR844" s="138"/>
      <c r="BS844" s="138"/>
      <c r="BT844" s="138"/>
      <c r="BU844" s="138"/>
      <c r="BV844" s="138"/>
      <c r="BW844" s="138"/>
      <c r="BX844" s="138"/>
      <c r="BY844" s="138"/>
      <c r="BZ844" s="138"/>
      <c r="CA844" s="138"/>
      <c r="CB844" s="138"/>
      <c r="CC844" s="138"/>
      <c r="CD844" s="138"/>
      <c r="CE844" s="138"/>
      <c r="CF844" s="138"/>
      <c r="CG844" s="138"/>
      <c r="CH844" s="138"/>
      <c r="CI844" s="138"/>
      <c r="CJ844" s="138"/>
      <c r="CK844" s="138"/>
      <c r="CL844" s="138"/>
      <c r="CM844" s="138"/>
      <c r="CN844" s="138"/>
      <c r="CO844" s="138"/>
      <c r="CP844" s="138"/>
      <c r="CQ844" s="138"/>
      <c r="CR844" s="138"/>
      <c r="CS844" s="138"/>
      <c r="CT844" s="138"/>
      <c r="CU844" s="138"/>
      <c r="CV844" s="138"/>
      <c r="CW844" s="138"/>
      <c r="CX844" s="138"/>
      <c r="CY844" s="138"/>
      <c r="CZ844" s="138"/>
      <c r="DA844" s="138"/>
      <c r="DB844" s="138"/>
      <c r="DC844" s="138"/>
      <c r="DD844" s="138"/>
      <c r="DE844" s="138"/>
      <c r="DF844" s="138"/>
      <c r="DG844" s="115"/>
    </row>
    <row r="845" spans="1:111" ht="9" customHeight="1">
      <c r="A845"/>
      <c r="B845" s="49"/>
      <c r="C845" s="49"/>
      <c r="D845" s="49"/>
      <c r="E845" s="49"/>
      <c r="F845" s="49"/>
      <c r="G845" s="49"/>
      <c r="H845" s="49"/>
      <c r="I845" s="49"/>
      <c r="J845" s="49"/>
      <c r="K845" s="49"/>
      <c r="L845" s="49"/>
      <c r="M845" s="49"/>
      <c r="N845" s="49"/>
      <c r="O845" s="421"/>
      <c r="P845" s="421"/>
      <c r="Q845" s="421"/>
      <c r="R845" s="421"/>
      <c r="S845" s="421"/>
      <c r="T845" s="421"/>
      <c r="U845" s="421"/>
      <c r="V845" s="421"/>
      <c r="W845" s="421"/>
      <c r="X845" s="421"/>
      <c r="Y845" s="421"/>
      <c r="Z845" s="421"/>
      <c r="AA845" s="421"/>
      <c r="AB845" s="421"/>
      <c r="AC845" s="421"/>
      <c r="AD845" s="421"/>
      <c r="AE845" s="421"/>
      <c r="AF845" s="421"/>
      <c r="AG845" s="421"/>
      <c r="AH845" s="421"/>
      <c r="AI845" s="421"/>
      <c r="AJ845" s="421"/>
      <c r="AK845" s="421"/>
      <c r="AL845" s="421"/>
      <c r="AM845" s="421"/>
      <c r="AN845" s="421"/>
      <c r="AO845" s="421"/>
      <c r="AP845" s="421"/>
      <c r="AQ845" s="421"/>
      <c r="AR845" s="421"/>
      <c r="AS845" s="421"/>
      <c r="AT845" s="421"/>
      <c r="AU845" s="421"/>
      <c r="AV845" s="421"/>
      <c r="AW845" s="421"/>
      <c r="AX845" s="421"/>
      <c r="AY845" s="421"/>
      <c r="AZ845" s="421"/>
      <c r="BA845" s="421"/>
      <c r="BB84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c r="BY845" s="115"/>
      <c r="BZ845" s="115"/>
      <c r="CA845" s="115"/>
      <c r="CB845" s="115"/>
      <c r="CC845" s="115"/>
      <c r="CD845" s="115"/>
      <c r="CE845" s="115"/>
      <c r="CF845" s="115"/>
      <c r="CG845" s="115"/>
      <c r="CH845" s="115"/>
      <c r="CI845" s="115"/>
      <c r="CJ845" s="115"/>
      <c r="CK845" s="115"/>
      <c r="CL845" s="115"/>
      <c r="CM845" s="115"/>
      <c r="CN845" s="115"/>
      <c r="CO845" s="115"/>
      <c r="CP845" s="115"/>
      <c r="CQ845" s="115"/>
      <c r="CR845" s="115"/>
      <c r="CS845" s="115"/>
      <c r="CT845" s="115"/>
      <c r="CU845" s="115"/>
      <c r="CV845" s="115"/>
      <c r="CW845" s="115"/>
      <c r="CX845" s="115"/>
      <c r="CY845" s="115"/>
      <c r="CZ845" s="115"/>
      <c r="DA845" s="115"/>
      <c r="DB845" s="115"/>
      <c r="DC845" s="115"/>
      <c r="DD845" s="115"/>
      <c r="DE845" s="115"/>
      <c r="DF845" s="115"/>
      <c r="DG845" s="115"/>
    </row>
    <row r="846" spans="1:111" ht="4.5" customHeight="1">
      <c r="A846"/>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49"/>
      <c r="AY846" s="49"/>
      <c r="AZ846" s="49"/>
      <c r="BA846" s="49"/>
      <c r="BB846"/>
      <c r="BC846" s="115"/>
      <c r="BD846" s="115"/>
      <c r="BE846" s="115"/>
      <c r="BF846" s="115"/>
      <c r="BG846" s="115"/>
      <c r="BH846" s="124"/>
      <c r="BI846" s="124"/>
      <c r="BJ846" s="124"/>
      <c r="BK846" s="124"/>
      <c r="BL846" s="124"/>
      <c r="BM846" s="124"/>
      <c r="BN846" s="124"/>
      <c r="BO846" s="124"/>
      <c r="BP846" s="124"/>
      <c r="BQ846" s="124"/>
      <c r="BR846" s="124"/>
      <c r="BS846" s="124"/>
      <c r="BT846" s="124"/>
      <c r="BU846" s="124"/>
      <c r="BV846" s="124"/>
      <c r="BW846" s="124"/>
      <c r="BX846" s="124"/>
      <c r="BY846" s="124"/>
      <c r="BZ846" s="124"/>
      <c r="CA846" s="124"/>
      <c r="CB846" s="124"/>
      <c r="CC846" s="124"/>
      <c r="CD846" s="124"/>
      <c r="CE846" s="124"/>
      <c r="CF846" s="124"/>
      <c r="CG846" s="124"/>
      <c r="CH846" s="124"/>
      <c r="CI846" s="124"/>
      <c r="CJ846" s="124"/>
      <c r="CK846" s="124"/>
      <c r="CL846" s="124"/>
      <c r="CM846" s="124"/>
      <c r="CN846" s="124"/>
      <c r="CO846" s="124"/>
      <c r="CP846" s="124"/>
      <c r="CQ846" s="124"/>
      <c r="CR846" s="124"/>
      <c r="CS846" s="124"/>
      <c r="CT846" s="124"/>
      <c r="CU846" s="124"/>
      <c r="CV846" s="124"/>
      <c r="CW846" s="124"/>
      <c r="CX846" s="124"/>
      <c r="CY846" s="124"/>
      <c r="CZ846" s="124"/>
      <c r="DA846" s="124"/>
      <c r="DB846" s="124"/>
      <c r="DC846" s="124"/>
      <c r="DD846" s="124"/>
      <c r="DE846" s="124"/>
      <c r="DF846" s="124"/>
      <c r="DG846" s="115"/>
    </row>
    <row r="847" spans="1:111" ht="9" customHeight="1">
      <c r="A847"/>
      <c r="B847" s="493" t="str">
        <f>IF(B836="","","Detalhamento do Objeto:")</f>
        <v/>
      </c>
      <c r="C847" s="493"/>
      <c r="D847" s="493"/>
      <c r="E847" s="493"/>
      <c r="F847" s="493"/>
      <c r="G847" s="493"/>
      <c r="H847" s="493"/>
      <c r="I847" s="493"/>
      <c r="J847" s="493"/>
      <c r="K847" s="493"/>
      <c r="L847" s="493"/>
      <c r="M847" s="493"/>
      <c r="N847" s="493"/>
      <c r="O847" s="421"/>
      <c r="P847" s="421"/>
      <c r="Q847" s="421"/>
      <c r="R847" s="421"/>
      <c r="S847" s="421"/>
      <c r="T847" s="421"/>
      <c r="U847" s="421"/>
      <c r="V847" s="421"/>
      <c r="W847" s="421"/>
      <c r="X847" s="421"/>
      <c r="Y847" s="421"/>
      <c r="Z847" s="421"/>
      <c r="AA847" s="421"/>
      <c r="AB847" s="421"/>
      <c r="AC847" s="421"/>
      <c r="AD847" s="421"/>
      <c r="AE847" s="421"/>
      <c r="AF847" s="421"/>
      <c r="AG847" s="421"/>
      <c r="AH847" s="421"/>
      <c r="AI847" s="421"/>
      <c r="AJ847" s="421"/>
      <c r="AK847" s="421"/>
      <c r="AL847" s="421"/>
      <c r="AM847" s="421"/>
      <c r="AN847" s="421"/>
      <c r="AO847" s="421"/>
      <c r="AP847" s="421"/>
      <c r="AQ847" s="421"/>
      <c r="AR847" s="421"/>
      <c r="AS847" s="421"/>
      <c r="AT847" s="421"/>
      <c r="AU847" s="421"/>
      <c r="AV847" s="421"/>
      <c r="AW847" s="421"/>
      <c r="AX847" s="421"/>
      <c r="AY847" s="421"/>
      <c r="AZ847" s="421"/>
      <c r="BA847" s="421"/>
      <c r="BB847"/>
      <c r="BC847" s="115"/>
      <c r="BD847" s="115"/>
      <c r="BE847" s="115"/>
      <c r="BF847" s="115"/>
      <c r="BG847" s="115"/>
      <c r="BH847" s="124"/>
      <c r="BI847" s="124"/>
      <c r="BJ847" s="124"/>
      <c r="BK847" s="124"/>
      <c r="BL847" s="124"/>
      <c r="BM847" s="124"/>
      <c r="BN847" s="124"/>
      <c r="BO847" s="124"/>
      <c r="BP847" s="124"/>
      <c r="BQ847" s="124"/>
      <c r="BR847" s="124"/>
      <c r="BS847" s="124"/>
      <c r="BT847" s="124"/>
      <c r="BU847" s="124"/>
      <c r="BV847" s="124"/>
      <c r="BW847" s="124"/>
      <c r="BX847" s="124"/>
      <c r="BY847" s="124"/>
      <c r="BZ847" s="124"/>
      <c r="CA847" s="124"/>
      <c r="CB847" s="124"/>
      <c r="CC847" s="124"/>
      <c r="CD847" s="124"/>
      <c r="CE847" s="124"/>
      <c r="CF847" s="124"/>
      <c r="CG847" s="124"/>
      <c r="CH847" s="124"/>
      <c r="CI847" s="124"/>
      <c r="CJ847" s="124"/>
      <c r="CK847" s="124"/>
      <c r="CL847" s="124"/>
      <c r="CM847" s="124"/>
      <c r="CN847" s="124"/>
      <c r="CO847" s="124"/>
      <c r="CP847" s="124"/>
      <c r="CQ847" s="124"/>
      <c r="CR847" s="124"/>
      <c r="CS847" s="124"/>
      <c r="CT847" s="124"/>
      <c r="CU847" s="124"/>
      <c r="CV847" s="124"/>
      <c r="CW847" s="124"/>
      <c r="CX847" s="124"/>
      <c r="CY847" s="124"/>
      <c r="CZ847" s="124"/>
      <c r="DA847" s="124"/>
      <c r="DB847" s="124"/>
      <c r="DC847" s="124"/>
      <c r="DD847" s="124"/>
      <c r="DE847" s="124"/>
      <c r="DF847" s="124"/>
      <c r="DG847" s="115"/>
    </row>
    <row r="848" spans="1:111" ht="9" customHeight="1">
      <c r="A848"/>
      <c r="B848" s="493"/>
      <c r="C848" s="493"/>
      <c r="D848" s="493"/>
      <c r="E848" s="493"/>
      <c r="F848" s="493"/>
      <c r="G848" s="493"/>
      <c r="H848" s="493"/>
      <c r="I848" s="493"/>
      <c r="J848" s="493"/>
      <c r="K848" s="493"/>
      <c r="L848" s="493"/>
      <c r="M848" s="493"/>
      <c r="N848" s="493"/>
      <c r="O848" s="421"/>
      <c r="P848" s="421"/>
      <c r="Q848" s="421"/>
      <c r="R848" s="421"/>
      <c r="S848" s="421"/>
      <c r="T848" s="421"/>
      <c r="U848" s="421"/>
      <c r="V848" s="421"/>
      <c r="W848" s="421"/>
      <c r="X848" s="421"/>
      <c r="Y848" s="421"/>
      <c r="Z848" s="421"/>
      <c r="AA848" s="421"/>
      <c r="AB848" s="421"/>
      <c r="AC848" s="421"/>
      <c r="AD848" s="421"/>
      <c r="AE848" s="421"/>
      <c r="AF848" s="421"/>
      <c r="AG848" s="421"/>
      <c r="AH848" s="421"/>
      <c r="AI848" s="421"/>
      <c r="AJ848" s="421"/>
      <c r="AK848" s="421"/>
      <c r="AL848" s="421"/>
      <c r="AM848" s="421"/>
      <c r="AN848" s="421"/>
      <c r="AO848" s="421"/>
      <c r="AP848" s="421"/>
      <c r="AQ848" s="421"/>
      <c r="AR848" s="421"/>
      <c r="AS848" s="421"/>
      <c r="AT848" s="421"/>
      <c r="AU848" s="421"/>
      <c r="AV848" s="421"/>
      <c r="AW848" s="421"/>
      <c r="AX848" s="421"/>
      <c r="AY848" s="421"/>
      <c r="AZ848" s="421"/>
      <c r="BA848" s="421"/>
      <c r="BB848"/>
      <c r="BC848" s="115"/>
      <c r="BD848" s="115"/>
      <c r="BE848" s="115"/>
      <c r="BF848" s="115"/>
      <c r="BG848" s="115"/>
      <c r="BH848" s="124"/>
      <c r="BI848" s="124"/>
      <c r="BJ848" s="124"/>
      <c r="BK848" s="124"/>
      <c r="BL848" s="124"/>
      <c r="BM848" s="124"/>
      <c r="BN848" s="124"/>
      <c r="BO848" s="124"/>
      <c r="BP848" s="124"/>
      <c r="BQ848" s="124"/>
      <c r="BR848" s="124"/>
      <c r="BS848" s="124"/>
      <c r="BT848" s="124"/>
      <c r="BU848" s="124"/>
      <c r="BV848" s="124"/>
      <c r="BW848" s="124"/>
      <c r="BX848" s="124"/>
      <c r="BY848" s="124"/>
      <c r="BZ848" s="124"/>
      <c r="CA848" s="124"/>
      <c r="CB848" s="124"/>
      <c r="CC848" s="124"/>
      <c r="CD848" s="124"/>
      <c r="CE848" s="124"/>
      <c r="CF848" s="124"/>
      <c r="CG848" s="124"/>
      <c r="CH848" s="124"/>
      <c r="CI848" s="124"/>
      <c r="CJ848" s="124"/>
      <c r="CK848" s="124"/>
      <c r="CL848" s="124"/>
      <c r="CM848" s="124"/>
      <c r="CN848" s="124"/>
      <c r="CO848" s="124"/>
      <c r="CP848" s="124"/>
      <c r="CQ848" s="124"/>
      <c r="CR848" s="124"/>
      <c r="CS848" s="124"/>
      <c r="CT848" s="124"/>
      <c r="CU848" s="124"/>
      <c r="CV848" s="124"/>
      <c r="CW848" s="124"/>
      <c r="CX848" s="124"/>
      <c r="CY848" s="124"/>
      <c r="CZ848" s="124"/>
      <c r="DA848" s="124"/>
      <c r="DB848" s="124"/>
      <c r="DC848" s="124"/>
      <c r="DD848" s="124"/>
      <c r="DE848" s="124"/>
      <c r="DF848" s="124"/>
      <c r="DG848" s="115"/>
    </row>
    <row r="849" spans="1:111" ht="9" customHeight="1">
      <c r="A849"/>
      <c r="B849" s="143"/>
      <c r="C849" s="143"/>
      <c r="D849" s="143"/>
      <c r="E849" s="143"/>
      <c r="F849" s="143"/>
      <c r="G849" s="143"/>
      <c r="H849" s="143"/>
      <c r="I849" s="143"/>
      <c r="J849" s="143"/>
      <c r="K849" s="143"/>
      <c r="L849" s="143"/>
      <c r="M849" s="143"/>
      <c r="N849" s="143"/>
      <c r="O849" s="421"/>
      <c r="P849" s="421"/>
      <c r="Q849" s="421"/>
      <c r="R849" s="421"/>
      <c r="S849" s="421"/>
      <c r="T849" s="421"/>
      <c r="U849" s="421"/>
      <c r="V849" s="421"/>
      <c r="W849" s="421"/>
      <c r="X849" s="421"/>
      <c r="Y849" s="421"/>
      <c r="Z849" s="421"/>
      <c r="AA849" s="421"/>
      <c r="AB849" s="421"/>
      <c r="AC849" s="421"/>
      <c r="AD849" s="421"/>
      <c r="AE849" s="421"/>
      <c r="AF849" s="421"/>
      <c r="AG849" s="421"/>
      <c r="AH849" s="421"/>
      <c r="AI849" s="421"/>
      <c r="AJ849" s="421"/>
      <c r="AK849" s="421"/>
      <c r="AL849" s="421"/>
      <c r="AM849" s="421"/>
      <c r="AN849" s="421"/>
      <c r="AO849" s="421"/>
      <c r="AP849" s="421"/>
      <c r="AQ849" s="421"/>
      <c r="AR849" s="421"/>
      <c r="AS849" s="421"/>
      <c r="AT849" s="421"/>
      <c r="AU849" s="421"/>
      <c r="AV849" s="421"/>
      <c r="AW849" s="421"/>
      <c r="AX849" s="421"/>
      <c r="AY849" s="421"/>
      <c r="AZ849" s="421"/>
      <c r="BA849" s="421"/>
      <c r="BB849"/>
      <c r="BC849" s="115"/>
      <c r="BD849" s="115"/>
      <c r="BE849" s="115"/>
      <c r="BF849" s="115"/>
      <c r="BG849" s="115"/>
      <c r="BH849" s="138"/>
      <c r="BI849" s="138"/>
      <c r="BJ849" s="138"/>
      <c r="BK849" s="138"/>
      <c r="BL849" s="138"/>
      <c r="BM849" s="138"/>
      <c r="BN849" s="138"/>
      <c r="BO849" s="138"/>
      <c r="BP849" s="138"/>
      <c r="BQ849" s="138"/>
      <c r="BR849" s="138"/>
      <c r="BS849" s="138"/>
      <c r="BT849" s="138"/>
      <c r="BU849" s="138"/>
      <c r="BV849" s="138"/>
      <c r="BW849" s="138"/>
      <c r="BX849" s="138"/>
      <c r="BY849" s="138"/>
      <c r="BZ849" s="138"/>
      <c r="CA849" s="138"/>
      <c r="CB849" s="138"/>
      <c r="CC849" s="138"/>
      <c r="CD849" s="138"/>
      <c r="CE849" s="138"/>
      <c r="CF849" s="138"/>
      <c r="CG849" s="138"/>
      <c r="CH849" s="138"/>
      <c r="CI849" s="138"/>
      <c r="CJ849" s="138"/>
      <c r="CK849" s="138"/>
      <c r="CL849" s="138"/>
      <c r="CM849" s="138"/>
      <c r="CN849" s="138"/>
      <c r="CO849" s="138"/>
      <c r="CP849" s="138"/>
      <c r="CQ849" s="138"/>
      <c r="CR849" s="138"/>
      <c r="CS849" s="138"/>
      <c r="CT849" s="138"/>
      <c r="CU849" s="138"/>
      <c r="CV849" s="138"/>
      <c r="CW849" s="138"/>
      <c r="CX849" s="138"/>
      <c r="CY849" s="138"/>
      <c r="CZ849" s="138"/>
      <c r="DA849" s="138"/>
      <c r="DB849" s="138"/>
      <c r="DC849" s="138"/>
      <c r="DD849" s="138"/>
      <c r="DE849" s="138"/>
      <c r="DF849" s="138"/>
      <c r="DG849" s="115"/>
    </row>
    <row r="850" spans="1:111" ht="9" customHeight="1">
      <c r="A850"/>
      <c r="B850" s="143"/>
      <c r="C850" s="143"/>
      <c r="D850" s="143"/>
      <c r="E850" s="143"/>
      <c r="F850" s="143"/>
      <c r="G850" s="143"/>
      <c r="H850" s="143"/>
      <c r="I850" s="143"/>
      <c r="J850" s="143"/>
      <c r="K850" s="143"/>
      <c r="L850" s="143"/>
      <c r="M850" s="143"/>
      <c r="N850" s="143"/>
      <c r="O850" s="421"/>
      <c r="P850" s="421"/>
      <c r="Q850" s="421"/>
      <c r="R850" s="421"/>
      <c r="S850" s="421"/>
      <c r="T850" s="421"/>
      <c r="U850" s="421"/>
      <c r="V850" s="421"/>
      <c r="W850" s="421"/>
      <c r="X850" s="421"/>
      <c r="Y850" s="421"/>
      <c r="Z850" s="421"/>
      <c r="AA850" s="421"/>
      <c r="AB850" s="421"/>
      <c r="AC850" s="421"/>
      <c r="AD850" s="421"/>
      <c r="AE850" s="421"/>
      <c r="AF850" s="421"/>
      <c r="AG850" s="421"/>
      <c r="AH850" s="421"/>
      <c r="AI850" s="421"/>
      <c r="AJ850" s="421"/>
      <c r="AK850" s="421"/>
      <c r="AL850" s="421"/>
      <c r="AM850" s="421"/>
      <c r="AN850" s="421"/>
      <c r="AO850" s="421"/>
      <c r="AP850" s="421"/>
      <c r="AQ850" s="421"/>
      <c r="AR850" s="421"/>
      <c r="AS850" s="421"/>
      <c r="AT850" s="421"/>
      <c r="AU850" s="421"/>
      <c r="AV850" s="421"/>
      <c r="AW850" s="421"/>
      <c r="AX850" s="421"/>
      <c r="AY850" s="421"/>
      <c r="AZ850" s="421"/>
      <c r="BA850" s="421"/>
      <c r="BB850"/>
      <c r="BC850" s="115"/>
      <c r="BD850" s="115"/>
      <c r="BE850" s="115"/>
      <c r="BF850" s="115"/>
      <c r="BG850" s="115"/>
      <c r="BH850" s="138"/>
      <c r="BI850" s="138"/>
      <c r="BJ850" s="138"/>
      <c r="BK850" s="138"/>
      <c r="BL850" s="138"/>
      <c r="BM850" s="138"/>
      <c r="BN850" s="138"/>
      <c r="BO850" s="138"/>
      <c r="BP850" s="138"/>
      <c r="BQ850" s="138"/>
      <c r="BR850" s="138"/>
      <c r="BS850" s="138"/>
      <c r="BT850" s="138"/>
      <c r="BU850" s="138"/>
      <c r="BV850" s="138"/>
      <c r="BW850" s="138"/>
      <c r="BX850" s="138"/>
      <c r="BY850" s="138"/>
      <c r="BZ850" s="138"/>
      <c r="CA850" s="138"/>
      <c r="CB850" s="138"/>
      <c r="CC850" s="138"/>
      <c r="CD850" s="138"/>
      <c r="CE850" s="138"/>
      <c r="CF850" s="138"/>
      <c r="CG850" s="138"/>
      <c r="CH850" s="138"/>
      <c r="CI850" s="138"/>
      <c r="CJ850" s="138"/>
      <c r="CK850" s="138"/>
      <c r="CL850" s="138"/>
      <c r="CM850" s="138"/>
      <c r="CN850" s="138"/>
      <c r="CO850" s="138"/>
      <c r="CP850" s="138"/>
      <c r="CQ850" s="138"/>
      <c r="CR850" s="138"/>
      <c r="CS850" s="138"/>
      <c r="CT850" s="138"/>
      <c r="CU850" s="138"/>
      <c r="CV850" s="138"/>
      <c r="CW850" s="138"/>
      <c r="CX850" s="138"/>
      <c r="CY850" s="138"/>
      <c r="CZ850" s="138"/>
      <c r="DA850" s="138"/>
      <c r="DB850" s="138"/>
      <c r="DC850" s="138"/>
      <c r="DD850" s="138"/>
      <c r="DE850" s="138"/>
      <c r="DF850" s="138"/>
      <c r="DG850" s="115"/>
    </row>
    <row r="851" spans="1:111" ht="9" customHeight="1">
      <c r="A851"/>
      <c r="B851" s="143"/>
      <c r="C851" s="143"/>
      <c r="D851" s="143"/>
      <c r="E851" s="143"/>
      <c r="F851" s="143"/>
      <c r="G851" s="143"/>
      <c r="H851" s="143"/>
      <c r="I851" s="143"/>
      <c r="J851" s="143"/>
      <c r="K851" s="143"/>
      <c r="L851" s="143"/>
      <c r="M851" s="143"/>
      <c r="N851" s="143"/>
      <c r="O851" s="421"/>
      <c r="P851" s="421"/>
      <c r="Q851" s="421"/>
      <c r="R851" s="421"/>
      <c r="S851" s="421"/>
      <c r="T851" s="421"/>
      <c r="U851" s="421"/>
      <c r="V851" s="421"/>
      <c r="W851" s="421"/>
      <c r="X851" s="421"/>
      <c r="Y851" s="421"/>
      <c r="Z851" s="421"/>
      <c r="AA851" s="421"/>
      <c r="AB851" s="421"/>
      <c r="AC851" s="421"/>
      <c r="AD851" s="421"/>
      <c r="AE851" s="421"/>
      <c r="AF851" s="421"/>
      <c r="AG851" s="421"/>
      <c r="AH851" s="421"/>
      <c r="AI851" s="421"/>
      <c r="AJ851" s="421"/>
      <c r="AK851" s="421"/>
      <c r="AL851" s="421"/>
      <c r="AM851" s="421"/>
      <c r="AN851" s="421"/>
      <c r="AO851" s="421"/>
      <c r="AP851" s="421"/>
      <c r="AQ851" s="421"/>
      <c r="AR851" s="421"/>
      <c r="AS851" s="421"/>
      <c r="AT851" s="421"/>
      <c r="AU851" s="421"/>
      <c r="AV851" s="421"/>
      <c r="AW851" s="421"/>
      <c r="AX851" s="421"/>
      <c r="AY851" s="421"/>
      <c r="AZ851" s="421"/>
      <c r="BA851" s="421"/>
      <c r="BB851"/>
      <c r="BC851" s="115"/>
      <c r="BD851" s="115"/>
      <c r="BE851" s="115"/>
      <c r="BF851" s="115"/>
      <c r="BG851" s="115"/>
      <c r="BH851" s="138"/>
      <c r="BI851" s="138"/>
      <c r="BJ851" s="138"/>
      <c r="BK851" s="138"/>
      <c r="BL851" s="138"/>
      <c r="BM851" s="138"/>
      <c r="BN851" s="138"/>
      <c r="BO851" s="138"/>
      <c r="BP851" s="138"/>
      <c r="BQ851" s="138"/>
      <c r="BR851" s="138"/>
      <c r="BS851" s="138"/>
      <c r="BT851" s="138"/>
      <c r="BU851" s="138"/>
      <c r="BV851" s="138"/>
      <c r="BW851" s="138"/>
      <c r="BX851" s="138"/>
      <c r="BY851" s="138"/>
      <c r="BZ851" s="138"/>
      <c r="CA851" s="138"/>
      <c r="CB851" s="138"/>
      <c r="CC851" s="138"/>
      <c r="CD851" s="138"/>
      <c r="CE851" s="138"/>
      <c r="CF851" s="138"/>
      <c r="CG851" s="138"/>
      <c r="CH851" s="138"/>
      <c r="CI851" s="138"/>
      <c r="CJ851" s="138"/>
      <c r="CK851" s="138"/>
      <c r="CL851" s="138"/>
      <c r="CM851" s="138"/>
      <c r="CN851" s="138"/>
      <c r="CO851" s="138"/>
      <c r="CP851" s="138"/>
      <c r="CQ851" s="138"/>
      <c r="CR851" s="138"/>
      <c r="CS851" s="138"/>
      <c r="CT851" s="138"/>
      <c r="CU851" s="138"/>
      <c r="CV851" s="138"/>
      <c r="CW851" s="138"/>
      <c r="CX851" s="138"/>
      <c r="CY851" s="138"/>
      <c r="CZ851" s="138"/>
      <c r="DA851" s="138"/>
      <c r="DB851" s="138"/>
      <c r="DC851" s="138"/>
      <c r="DD851" s="138"/>
      <c r="DE851" s="138"/>
      <c r="DF851" s="138"/>
      <c r="DG851" s="115"/>
    </row>
    <row r="852" spans="1:111" ht="9" customHeight="1">
      <c r="A852"/>
      <c r="B852" s="143"/>
      <c r="C852" s="143"/>
      <c r="D852" s="143"/>
      <c r="E852" s="143"/>
      <c r="F852" s="143"/>
      <c r="G852" s="143"/>
      <c r="H852" s="143"/>
      <c r="I852" s="143"/>
      <c r="J852" s="143"/>
      <c r="K852" s="143"/>
      <c r="L852" s="143"/>
      <c r="M852" s="143"/>
      <c r="N852" s="143"/>
      <c r="O852" s="421"/>
      <c r="P852" s="421"/>
      <c r="Q852" s="421"/>
      <c r="R852" s="421"/>
      <c r="S852" s="421"/>
      <c r="T852" s="421"/>
      <c r="U852" s="421"/>
      <c r="V852" s="421"/>
      <c r="W852" s="421"/>
      <c r="X852" s="421"/>
      <c r="Y852" s="421"/>
      <c r="Z852" s="421"/>
      <c r="AA852" s="421"/>
      <c r="AB852" s="421"/>
      <c r="AC852" s="421"/>
      <c r="AD852" s="421"/>
      <c r="AE852" s="421"/>
      <c r="AF852" s="421"/>
      <c r="AG852" s="421"/>
      <c r="AH852" s="421"/>
      <c r="AI852" s="421"/>
      <c r="AJ852" s="421"/>
      <c r="AK852" s="421"/>
      <c r="AL852" s="421"/>
      <c r="AM852" s="421"/>
      <c r="AN852" s="421"/>
      <c r="AO852" s="421"/>
      <c r="AP852" s="421"/>
      <c r="AQ852" s="421"/>
      <c r="AR852" s="421"/>
      <c r="AS852" s="421"/>
      <c r="AT852" s="421"/>
      <c r="AU852" s="421"/>
      <c r="AV852" s="421"/>
      <c r="AW852" s="421"/>
      <c r="AX852" s="421"/>
      <c r="AY852" s="421"/>
      <c r="AZ852" s="421"/>
      <c r="BA852" s="421"/>
      <c r="BB852"/>
      <c r="BC852" s="115"/>
      <c r="BD852" s="115"/>
      <c r="BE852" s="115"/>
      <c r="BF852" s="115"/>
      <c r="BG852" s="115"/>
      <c r="BH852" s="138"/>
      <c r="BI852" s="138"/>
      <c r="BJ852" s="138"/>
      <c r="BK852" s="138"/>
      <c r="BL852" s="138"/>
      <c r="BM852" s="138"/>
      <c r="BN852" s="138"/>
      <c r="BO852" s="138"/>
      <c r="BP852" s="138"/>
      <c r="BQ852" s="138"/>
      <c r="BR852" s="138"/>
      <c r="BS852" s="138"/>
      <c r="BT852" s="138"/>
      <c r="BU852" s="138"/>
      <c r="BV852" s="138"/>
      <c r="BW852" s="138"/>
      <c r="BX852" s="138"/>
      <c r="BY852" s="138"/>
      <c r="BZ852" s="138"/>
      <c r="CA852" s="138"/>
      <c r="CB852" s="138"/>
      <c r="CC852" s="138"/>
      <c r="CD852" s="138"/>
      <c r="CE852" s="138"/>
      <c r="CF852" s="138"/>
      <c r="CG852" s="138"/>
      <c r="CH852" s="138"/>
      <c r="CI852" s="138"/>
      <c r="CJ852" s="138"/>
      <c r="CK852" s="138"/>
      <c r="CL852" s="138"/>
      <c r="CM852" s="138"/>
      <c r="CN852" s="138"/>
      <c r="CO852" s="138"/>
      <c r="CP852" s="138"/>
      <c r="CQ852" s="138"/>
      <c r="CR852" s="138"/>
      <c r="CS852" s="138"/>
      <c r="CT852" s="138"/>
      <c r="CU852" s="138"/>
      <c r="CV852" s="138"/>
      <c r="CW852" s="138"/>
      <c r="CX852" s="138"/>
      <c r="CY852" s="138"/>
      <c r="CZ852" s="138"/>
      <c r="DA852" s="138"/>
      <c r="DB852" s="138"/>
      <c r="DC852" s="138"/>
      <c r="DD852" s="138"/>
      <c r="DE852" s="138"/>
      <c r="DF852" s="138"/>
      <c r="DG852" s="115"/>
    </row>
    <row r="853" spans="1:111" ht="9" customHeight="1">
      <c r="A853"/>
      <c r="B853" s="143"/>
      <c r="C853" s="143"/>
      <c r="D853" s="143"/>
      <c r="E853" s="143"/>
      <c r="F853" s="143"/>
      <c r="G853" s="143"/>
      <c r="H853" s="143"/>
      <c r="I853" s="143"/>
      <c r="J853" s="143"/>
      <c r="K853" s="143"/>
      <c r="L853" s="143"/>
      <c r="M853" s="143"/>
      <c r="N853" s="143"/>
      <c r="O853" s="421"/>
      <c r="P853" s="421"/>
      <c r="Q853" s="421"/>
      <c r="R853" s="421"/>
      <c r="S853" s="421"/>
      <c r="T853" s="421"/>
      <c r="U853" s="421"/>
      <c r="V853" s="421"/>
      <c r="W853" s="421"/>
      <c r="X853" s="421"/>
      <c r="Y853" s="421"/>
      <c r="Z853" s="421"/>
      <c r="AA853" s="421"/>
      <c r="AB853" s="421"/>
      <c r="AC853" s="421"/>
      <c r="AD853" s="421"/>
      <c r="AE853" s="421"/>
      <c r="AF853" s="421"/>
      <c r="AG853" s="421"/>
      <c r="AH853" s="421"/>
      <c r="AI853" s="421"/>
      <c r="AJ853" s="421"/>
      <c r="AK853" s="421"/>
      <c r="AL853" s="421"/>
      <c r="AM853" s="421"/>
      <c r="AN853" s="421"/>
      <c r="AO853" s="421"/>
      <c r="AP853" s="421"/>
      <c r="AQ853" s="421"/>
      <c r="AR853" s="421"/>
      <c r="AS853" s="421"/>
      <c r="AT853" s="421"/>
      <c r="AU853" s="421"/>
      <c r="AV853" s="421"/>
      <c r="AW853" s="421"/>
      <c r="AX853" s="421"/>
      <c r="AY853" s="421"/>
      <c r="AZ853" s="421"/>
      <c r="BA853" s="421"/>
      <c r="BB853"/>
      <c r="BC853" s="115"/>
      <c r="BD853" s="115"/>
      <c r="BE853" s="115"/>
      <c r="BF853" s="115"/>
      <c r="BG853" s="115"/>
      <c r="BH853" s="138"/>
      <c r="BI853" s="138"/>
      <c r="BJ853" s="138"/>
      <c r="BK853" s="138"/>
      <c r="BL853" s="138"/>
      <c r="BM853" s="138"/>
      <c r="BN853" s="138"/>
      <c r="BO853" s="138"/>
      <c r="BP853" s="138"/>
      <c r="BQ853" s="138"/>
      <c r="BR853" s="138"/>
      <c r="BS853" s="138"/>
      <c r="BT853" s="138"/>
      <c r="BU853" s="138"/>
      <c r="BV853" s="138"/>
      <c r="BW853" s="138"/>
      <c r="BX853" s="138"/>
      <c r="BY853" s="138"/>
      <c r="BZ853" s="138"/>
      <c r="CA853" s="138"/>
      <c r="CB853" s="138"/>
      <c r="CC853" s="138"/>
      <c r="CD853" s="138"/>
      <c r="CE853" s="138"/>
      <c r="CF853" s="138"/>
      <c r="CG853" s="138"/>
      <c r="CH853" s="138"/>
      <c r="CI853" s="138"/>
      <c r="CJ853" s="138"/>
      <c r="CK853" s="138"/>
      <c r="CL853" s="138"/>
      <c r="CM853" s="138"/>
      <c r="CN853" s="138"/>
      <c r="CO853" s="138"/>
      <c r="CP853" s="138"/>
      <c r="CQ853" s="138"/>
      <c r="CR853" s="138"/>
      <c r="CS853" s="138"/>
      <c r="CT853" s="138"/>
      <c r="CU853" s="138"/>
      <c r="CV853" s="138"/>
      <c r="CW853" s="138"/>
      <c r="CX853" s="138"/>
      <c r="CY853" s="138"/>
      <c r="CZ853" s="138"/>
      <c r="DA853" s="138"/>
      <c r="DB853" s="138"/>
      <c r="DC853" s="138"/>
      <c r="DD853" s="138"/>
      <c r="DE853" s="138"/>
      <c r="DF853" s="138"/>
      <c r="DG853" s="115"/>
    </row>
    <row r="854" spans="1:111" ht="9" customHeight="1">
      <c r="A854"/>
      <c r="B854" s="49"/>
      <c r="C854" s="49"/>
      <c r="D854" s="49"/>
      <c r="E854" s="49"/>
      <c r="F854" s="49"/>
      <c r="G854" s="49"/>
      <c r="H854" s="49"/>
      <c r="I854" s="49"/>
      <c r="J854" s="49"/>
      <c r="K854" s="49"/>
      <c r="L854" s="49"/>
      <c r="M854" s="49"/>
      <c r="N854" s="49"/>
      <c r="O854" s="421"/>
      <c r="P854" s="421"/>
      <c r="Q854" s="421"/>
      <c r="R854" s="421"/>
      <c r="S854" s="421"/>
      <c r="T854" s="421"/>
      <c r="U854" s="421"/>
      <c r="V854" s="421"/>
      <c r="W854" s="421"/>
      <c r="X854" s="421"/>
      <c r="Y854" s="421"/>
      <c r="Z854" s="421"/>
      <c r="AA854" s="421"/>
      <c r="AB854" s="421"/>
      <c r="AC854" s="421"/>
      <c r="AD854" s="421"/>
      <c r="AE854" s="421"/>
      <c r="AF854" s="421"/>
      <c r="AG854" s="421"/>
      <c r="AH854" s="421"/>
      <c r="AI854" s="421"/>
      <c r="AJ854" s="421"/>
      <c r="AK854" s="421"/>
      <c r="AL854" s="421"/>
      <c r="AM854" s="421"/>
      <c r="AN854" s="421"/>
      <c r="AO854" s="421"/>
      <c r="AP854" s="421"/>
      <c r="AQ854" s="421"/>
      <c r="AR854" s="421"/>
      <c r="AS854" s="421"/>
      <c r="AT854" s="421"/>
      <c r="AU854" s="421"/>
      <c r="AV854" s="421"/>
      <c r="AW854" s="421"/>
      <c r="AX854" s="421"/>
      <c r="AY854" s="421"/>
      <c r="AZ854" s="421"/>
      <c r="BA854" s="421"/>
      <c r="BB854"/>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c r="BY854" s="115"/>
      <c r="BZ854" s="115"/>
      <c r="CA854" s="115"/>
      <c r="CB854" s="115"/>
      <c r="CC854" s="115"/>
      <c r="CD854" s="115"/>
      <c r="CE854" s="115"/>
      <c r="CF854" s="115"/>
      <c r="CG854" s="115"/>
      <c r="CH854" s="115"/>
      <c r="CI854" s="115"/>
      <c r="CJ854" s="115"/>
      <c r="CK854" s="115"/>
      <c r="CL854" s="115"/>
      <c r="CM854" s="115"/>
      <c r="CN854" s="115"/>
      <c r="CO854" s="115"/>
      <c r="CP854" s="115"/>
      <c r="CQ854" s="115"/>
      <c r="CR854" s="115"/>
      <c r="CS854" s="115"/>
      <c r="CT854" s="115"/>
      <c r="CU854" s="115"/>
      <c r="CV854" s="115"/>
      <c r="CW854" s="115"/>
      <c r="CX854" s="115"/>
      <c r="CY854" s="115"/>
      <c r="CZ854" s="115"/>
      <c r="DA854" s="115"/>
      <c r="DB854" s="115"/>
      <c r="DC854" s="115"/>
      <c r="DD854" s="115"/>
      <c r="DE854" s="115"/>
      <c r="DF854" s="115"/>
      <c r="DG854" s="115"/>
    </row>
    <row r="855" spans="1:111" ht="4.5" customHeight="1">
      <c r="A855"/>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49"/>
      <c r="AY855" s="49"/>
      <c r="AZ855" s="49"/>
      <c r="BA855" s="49"/>
      <c r="BB855"/>
      <c r="BC855" s="115"/>
      <c r="BD855" s="115"/>
      <c r="BE855" s="115"/>
      <c r="BF855" s="115"/>
      <c r="BG855" s="115"/>
      <c r="BH855" s="124"/>
      <c r="BI855" s="124"/>
      <c r="BJ855" s="124"/>
      <c r="BK855" s="124"/>
      <c r="BL855" s="124"/>
      <c r="BM855" s="124"/>
      <c r="BN855" s="124"/>
      <c r="BO855" s="124"/>
      <c r="BP855" s="124"/>
      <c r="BQ855" s="124"/>
      <c r="BR855" s="124"/>
      <c r="BS855" s="124"/>
      <c r="BT855" s="124"/>
      <c r="BU855" s="124"/>
      <c r="BV855" s="124"/>
      <c r="BW855" s="124"/>
      <c r="BX855" s="124"/>
      <c r="BY855" s="124"/>
      <c r="BZ855" s="124"/>
      <c r="CA855" s="124"/>
      <c r="CB855" s="124"/>
      <c r="CC855" s="124"/>
      <c r="CD855" s="124"/>
      <c r="CE855" s="124"/>
      <c r="CF855" s="124"/>
      <c r="CG855" s="124"/>
      <c r="CH855" s="124"/>
      <c r="CI855" s="124"/>
      <c r="CJ855" s="124"/>
      <c r="CK855" s="124"/>
      <c r="CL855" s="124"/>
      <c r="CM855" s="124"/>
      <c r="CN855" s="124"/>
      <c r="CO855" s="124"/>
      <c r="CP855" s="124"/>
      <c r="CQ855" s="124"/>
      <c r="CR855" s="124"/>
      <c r="CS855" s="124"/>
      <c r="CT855" s="124"/>
      <c r="CU855" s="124"/>
      <c r="CV855" s="124"/>
      <c r="CW855" s="124"/>
      <c r="CX855" s="124"/>
      <c r="CY855" s="124"/>
      <c r="CZ855" s="124"/>
      <c r="DA855" s="124"/>
      <c r="DB855" s="124"/>
      <c r="DC855" s="124"/>
      <c r="DD855" s="124"/>
      <c r="DE855" s="124"/>
      <c r="DF855" s="124"/>
      <c r="DG855" s="115"/>
    </row>
    <row r="856" spans="1:111" ht="9" customHeight="1">
      <c r="A856"/>
      <c r="B856" s="493" t="str">
        <f>IF(B836="","","Justificativa:")</f>
        <v/>
      </c>
      <c r="C856" s="493"/>
      <c r="D856" s="493"/>
      <c r="E856" s="493"/>
      <c r="F856" s="493"/>
      <c r="G856" s="493"/>
      <c r="H856" s="493"/>
      <c r="I856" s="493"/>
      <c r="J856" s="493"/>
      <c r="K856" s="493"/>
      <c r="L856" s="493"/>
      <c r="M856" s="493"/>
      <c r="N856" s="493"/>
      <c r="O856" s="421"/>
      <c r="P856" s="421"/>
      <c r="Q856" s="421"/>
      <c r="R856" s="421"/>
      <c r="S856" s="421"/>
      <c r="T856" s="421"/>
      <c r="U856" s="421"/>
      <c r="V856" s="421"/>
      <c r="W856" s="421"/>
      <c r="X856" s="421"/>
      <c r="Y856" s="421"/>
      <c r="Z856" s="421"/>
      <c r="AA856" s="421"/>
      <c r="AB856" s="421"/>
      <c r="AC856" s="421"/>
      <c r="AD856" s="421"/>
      <c r="AE856" s="421"/>
      <c r="AF856" s="421"/>
      <c r="AG856" s="421"/>
      <c r="AH856" s="421"/>
      <c r="AI856" s="421"/>
      <c r="AJ856" s="421"/>
      <c r="AK856" s="421"/>
      <c r="AL856" s="421"/>
      <c r="AM856" s="421"/>
      <c r="AN856" s="421"/>
      <c r="AO856" s="421"/>
      <c r="AP856" s="421"/>
      <c r="AQ856" s="421"/>
      <c r="AR856" s="421"/>
      <c r="AS856" s="421"/>
      <c r="AT856" s="421"/>
      <c r="AU856" s="421"/>
      <c r="AV856" s="421"/>
      <c r="AW856" s="421"/>
      <c r="AX856" s="421"/>
      <c r="AY856" s="421"/>
      <c r="AZ856" s="421"/>
      <c r="BA856" s="421"/>
      <c r="BB856"/>
      <c r="BC856" s="115"/>
      <c r="BD856" s="115"/>
      <c r="BE856" s="115"/>
      <c r="BF856" s="115"/>
      <c r="BG856" s="115"/>
      <c r="BH856" s="124"/>
      <c r="BI856" s="124"/>
      <c r="BJ856" s="124"/>
      <c r="BK856" s="124"/>
      <c r="BL856" s="124"/>
      <c r="BM856" s="124"/>
      <c r="BN856" s="124"/>
      <c r="BO856" s="124"/>
      <c r="BP856" s="124"/>
      <c r="BQ856" s="124"/>
      <c r="BR856" s="124"/>
      <c r="BS856" s="124"/>
      <c r="BT856" s="124"/>
      <c r="BU856" s="124"/>
      <c r="BV856" s="124"/>
      <c r="BW856" s="124"/>
      <c r="BX856" s="124"/>
      <c r="BY856" s="124"/>
      <c r="BZ856" s="124"/>
      <c r="CA856" s="124"/>
      <c r="CB856" s="124"/>
      <c r="CC856" s="124"/>
      <c r="CD856" s="124"/>
      <c r="CE856" s="124"/>
      <c r="CF856" s="124"/>
      <c r="CG856" s="124"/>
      <c r="CH856" s="124"/>
      <c r="CI856" s="124"/>
      <c r="CJ856" s="124"/>
      <c r="CK856" s="124"/>
      <c r="CL856" s="124"/>
      <c r="CM856" s="124"/>
      <c r="CN856" s="124"/>
      <c r="CO856" s="124"/>
      <c r="CP856" s="124"/>
      <c r="CQ856" s="124"/>
      <c r="CR856" s="124"/>
      <c r="CS856" s="124"/>
      <c r="CT856" s="124"/>
      <c r="CU856" s="124"/>
      <c r="CV856" s="124"/>
      <c r="CW856" s="124"/>
      <c r="CX856" s="124"/>
      <c r="CY856" s="124"/>
      <c r="CZ856" s="124"/>
      <c r="DA856" s="124"/>
      <c r="DB856" s="124"/>
      <c r="DC856" s="124"/>
      <c r="DD856" s="124"/>
      <c r="DE856" s="124"/>
      <c r="DF856" s="124"/>
      <c r="DG856" s="115"/>
    </row>
    <row r="857" spans="1:111" ht="9" customHeight="1">
      <c r="A857"/>
      <c r="B857" s="493"/>
      <c r="C857" s="493"/>
      <c r="D857" s="493"/>
      <c r="E857" s="493"/>
      <c r="F857" s="493"/>
      <c r="G857" s="493"/>
      <c r="H857" s="493"/>
      <c r="I857" s="493"/>
      <c r="J857" s="493"/>
      <c r="K857" s="493"/>
      <c r="L857" s="493"/>
      <c r="M857" s="493"/>
      <c r="N857" s="493"/>
      <c r="O857" s="421"/>
      <c r="P857" s="421"/>
      <c r="Q857" s="421"/>
      <c r="R857" s="421"/>
      <c r="S857" s="421"/>
      <c r="T857" s="421"/>
      <c r="U857" s="421"/>
      <c r="V857" s="421"/>
      <c r="W857" s="421"/>
      <c r="X857" s="421"/>
      <c r="Y857" s="421"/>
      <c r="Z857" s="421"/>
      <c r="AA857" s="421"/>
      <c r="AB857" s="421"/>
      <c r="AC857" s="421"/>
      <c r="AD857" s="421"/>
      <c r="AE857" s="421"/>
      <c r="AF857" s="421"/>
      <c r="AG857" s="421"/>
      <c r="AH857" s="421"/>
      <c r="AI857" s="421"/>
      <c r="AJ857" s="421"/>
      <c r="AK857" s="421"/>
      <c r="AL857" s="421"/>
      <c r="AM857" s="421"/>
      <c r="AN857" s="421"/>
      <c r="AO857" s="421"/>
      <c r="AP857" s="421"/>
      <c r="AQ857" s="421"/>
      <c r="AR857" s="421"/>
      <c r="AS857" s="421"/>
      <c r="AT857" s="421"/>
      <c r="AU857" s="421"/>
      <c r="AV857" s="421"/>
      <c r="AW857" s="421"/>
      <c r="AX857" s="421"/>
      <c r="AY857" s="421"/>
      <c r="AZ857" s="421"/>
      <c r="BA857" s="421"/>
      <c r="BB857"/>
      <c r="BC857" s="115"/>
      <c r="BD857" s="115"/>
      <c r="BE857" s="115"/>
      <c r="BF857" s="115"/>
      <c r="BG857" s="115"/>
      <c r="BH857" s="124"/>
      <c r="BI857" s="124"/>
      <c r="BJ857" s="124"/>
      <c r="BK857" s="124"/>
      <c r="BL857" s="124"/>
      <c r="BM857" s="124"/>
      <c r="BN857" s="124"/>
      <c r="BO857" s="124"/>
      <c r="BP857" s="124"/>
      <c r="BQ857" s="124"/>
      <c r="BR857" s="124"/>
      <c r="BS857" s="124"/>
      <c r="BT857" s="124"/>
      <c r="BU857" s="124"/>
      <c r="BV857" s="124"/>
      <c r="BW857" s="124"/>
      <c r="BX857" s="124"/>
      <c r="BY857" s="124"/>
      <c r="BZ857" s="124"/>
      <c r="CA857" s="124"/>
      <c r="CB857" s="124"/>
      <c r="CC857" s="124"/>
      <c r="CD857" s="124"/>
      <c r="CE857" s="124"/>
      <c r="CF857" s="124"/>
      <c r="CG857" s="124"/>
      <c r="CH857" s="124"/>
      <c r="CI857" s="124"/>
      <c r="CJ857" s="124"/>
      <c r="CK857" s="124"/>
      <c r="CL857" s="124"/>
      <c r="CM857" s="124"/>
      <c r="CN857" s="124"/>
      <c r="CO857" s="124"/>
      <c r="CP857" s="124"/>
      <c r="CQ857" s="124"/>
      <c r="CR857" s="124"/>
      <c r="CS857" s="124"/>
      <c r="CT857" s="124"/>
      <c r="CU857" s="124"/>
      <c r="CV857" s="124"/>
      <c r="CW857" s="124"/>
      <c r="CX857" s="124"/>
      <c r="CY857" s="124"/>
      <c r="CZ857" s="124"/>
      <c r="DA857" s="124"/>
      <c r="DB857" s="124"/>
      <c r="DC857" s="124"/>
      <c r="DD857" s="124"/>
      <c r="DE857" s="124"/>
      <c r="DF857" s="124"/>
      <c r="DG857" s="115"/>
    </row>
    <row r="858" spans="1:111" ht="9" customHeight="1">
      <c r="A858"/>
      <c r="B858" s="143"/>
      <c r="C858" s="143"/>
      <c r="D858" s="143"/>
      <c r="E858" s="143"/>
      <c r="F858" s="143"/>
      <c r="G858" s="143"/>
      <c r="H858" s="143"/>
      <c r="I858" s="143"/>
      <c r="J858" s="143"/>
      <c r="K858" s="143"/>
      <c r="L858" s="143"/>
      <c r="M858" s="143"/>
      <c r="N858" s="143"/>
      <c r="O858" s="421"/>
      <c r="P858" s="421"/>
      <c r="Q858" s="421"/>
      <c r="R858" s="421"/>
      <c r="S858" s="421"/>
      <c r="T858" s="421"/>
      <c r="U858" s="421"/>
      <c r="V858" s="421"/>
      <c r="W858" s="421"/>
      <c r="X858" s="421"/>
      <c r="Y858" s="421"/>
      <c r="Z858" s="421"/>
      <c r="AA858" s="421"/>
      <c r="AB858" s="421"/>
      <c r="AC858" s="421"/>
      <c r="AD858" s="421"/>
      <c r="AE858" s="421"/>
      <c r="AF858" s="421"/>
      <c r="AG858" s="421"/>
      <c r="AH858" s="421"/>
      <c r="AI858" s="421"/>
      <c r="AJ858" s="421"/>
      <c r="AK858" s="421"/>
      <c r="AL858" s="421"/>
      <c r="AM858" s="421"/>
      <c r="AN858" s="421"/>
      <c r="AO858" s="421"/>
      <c r="AP858" s="421"/>
      <c r="AQ858" s="421"/>
      <c r="AR858" s="421"/>
      <c r="AS858" s="421"/>
      <c r="AT858" s="421"/>
      <c r="AU858" s="421"/>
      <c r="AV858" s="421"/>
      <c r="AW858" s="421"/>
      <c r="AX858" s="421"/>
      <c r="AY858" s="421"/>
      <c r="AZ858" s="421"/>
      <c r="BA858" s="421"/>
      <c r="BB858"/>
      <c r="BC858" s="115"/>
      <c r="BD858" s="115"/>
      <c r="BE858" s="115"/>
      <c r="BF858" s="115"/>
      <c r="BG858" s="115"/>
      <c r="BH858" s="124"/>
      <c r="BI858" s="124"/>
      <c r="BJ858" s="124"/>
      <c r="BK858" s="124"/>
      <c r="BL858" s="124"/>
      <c r="BM858" s="124"/>
      <c r="BN858" s="124"/>
      <c r="BO858" s="124"/>
      <c r="BP858" s="124"/>
      <c r="BQ858" s="124"/>
      <c r="BR858" s="124"/>
      <c r="BS858" s="124"/>
      <c r="BT858" s="124"/>
      <c r="BU858" s="124"/>
      <c r="BV858" s="124"/>
      <c r="BW858" s="124"/>
      <c r="BX858" s="124"/>
      <c r="BY858" s="124"/>
      <c r="BZ858" s="124"/>
      <c r="CA858" s="124"/>
      <c r="CB858" s="124"/>
      <c r="CC858" s="124"/>
      <c r="CD858" s="124"/>
      <c r="CE858" s="124"/>
      <c r="CF858" s="124"/>
      <c r="CG858" s="124"/>
      <c r="CH858" s="124"/>
      <c r="CI858" s="124"/>
      <c r="CJ858" s="124"/>
      <c r="CK858" s="124"/>
      <c r="CL858" s="124"/>
      <c r="CM858" s="124"/>
      <c r="CN858" s="124"/>
      <c r="CO858" s="124"/>
      <c r="CP858" s="124"/>
      <c r="CQ858" s="124"/>
      <c r="CR858" s="124"/>
      <c r="CS858" s="124"/>
      <c r="CT858" s="124"/>
      <c r="CU858" s="124"/>
      <c r="CV858" s="124"/>
      <c r="CW858" s="124"/>
      <c r="CX858" s="124"/>
      <c r="CY858" s="124"/>
      <c r="CZ858" s="124"/>
      <c r="DA858" s="124"/>
      <c r="DB858" s="124"/>
      <c r="DC858" s="124"/>
      <c r="DD858" s="124"/>
      <c r="DE858" s="124"/>
      <c r="DF858" s="124"/>
      <c r="DG858" s="115"/>
    </row>
    <row r="859" spans="1:111" ht="9" customHeight="1">
      <c r="A859"/>
      <c r="B859" s="143"/>
      <c r="C859" s="143"/>
      <c r="D859" s="143"/>
      <c r="E859" s="143"/>
      <c r="F859" s="143"/>
      <c r="G859" s="143"/>
      <c r="H859" s="143"/>
      <c r="I859" s="143"/>
      <c r="J859" s="143"/>
      <c r="K859" s="143"/>
      <c r="L859" s="143"/>
      <c r="M859" s="143"/>
      <c r="N859" s="143"/>
      <c r="O859" s="421"/>
      <c r="P859" s="421"/>
      <c r="Q859" s="421"/>
      <c r="R859" s="421"/>
      <c r="S859" s="421"/>
      <c r="T859" s="421"/>
      <c r="U859" s="421"/>
      <c r="V859" s="421"/>
      <c r="W859" s="421"/>
      <c r="X859" s="421"/>
      <c r="Y859" s="421"/>
      <c r="Z859" s="421"/>
      <c r="AA859" s="421"/>
      <c r="AB859" s="421"/>
      <c r="AC859" s="421"/>
      <c r="AD859" s="421"/>
      <c r="AE859" s="421"/>
      <c r="AF859" s="421"/>
      <c r="AG859" s="421"/>
      <c r="AH859" s="421"/>
      <c r="AI859" s="421"/>
      <c r="AJ859" s="421"/>
      <c r="AK859" s="421"/>
      <c r="AL859" s="421"/>
      <c r="AM859" s="421"/>
      <c r="AN859" s="421"/>
      <c r="AO859" s="421"/>
      <c r="AP859" s="421"/>
      <c r="AQ859" s="421"/>
      <c r="AR859" s="421"/>
      <c r="AS859" s="421"/>
      <c r="AT859" s="421"/>
      <c r="AU859" s="421"/>
      <c r="AV859" s="421"/>
      <c r="AW859" s="421"/>
      <c r="AX859" s="421"/>
      <c r="AY859" s="421"/>
      <c r="AZ859" s="421"/>
      <c r="BA859" s="421"/>
      <c r="BB859"/>
      <c r="BC859" s="115"/>
      <c r="BD859" s="115"/>
      <c r="BE859" s="115"/>
      <c r="BF859" s="115"/>
      <c r="BG859" s="115"/>
      <c r="BH859" s="138"/>
      <c r="BI859" s="138"/>
      <c r="BJ859" s="138"/>
      <c r="BK859" s="138"/>
      <c r="BL859" s="138"/>
      <c r="BM859" s="138"/>
      <c r="BN859" s="138"/>
      <c r="BO859" s="138"/>
      <c r="BP859" s="138"/>
      <c r="BQ859" s="138"/>
      <c r="BR859" s="138"/>
      <c r="BS859" s="138"/>
      <c r="BT859" s="138"/>
      <c r="BU859" s="138"/>
      <c r="BV859" s="138"/>
      <c r="BW859" s="138"/>
      <c r="BX859" s="138"/>
      <c r="BY859" s="138"/>
      <c r="BZ859" s="138"/>
      <c r="CA859" s="138"/>
      <c r="CB859" s="138"/>
      <c r="CC859" s="138"/>
      <c r="CD859" s="138"/>
      <c r="CE859" s="138"/>
      <c r="CF859" s="138"/>
      <c r="CG859" s="138"/>
      <c r="CH859" s="138"/>
      <c r="CI859" s="138"/>
      <c r="CJ859" s="138"/>
      <c r="CK859" s="138"/>
      <c r="CL859" s="138"/>
      <c r="CM859" s="138"/>
      <c r="CN859" s="138"/>
      <c r="CO859" s="138"/>
      <c r="CP859" s="138"/>
      <c r="CQ859" s="138"/>
      <c r="CR859" s="138"/>
      <c r="CS859" s="138"/>
      <c r="CT859" s="138"/>
      <c r="CU859" s="138"/>
      <c r="CV859" s="138"/>
      <c r="CW859" s="138"/>
      <c r="CX859" s="138"/>
      <c r="CY859" s="138"/>
      <c r="CZ859" s="138"/>
      <c r="DA859" s="138"/>
      <c r="DB859" s="138"/>
      <c r="DC859" s="138"/>
      <c r="DD859" s="138"/>
      <c r="DE859" s="138"/>
      <c r="DF859" s="138"/>
      <c r="DG859" s="115"/>
    </row>
    <row r="860" spans="1:111" ht="9" customHeight="1">
      <c r="A860"/>
      <c r="B860" s="143"/>
      <c r="C860" s="143"/>
      <c r="D860" s="143"/>
      <c r="E860" s="143"/>
      <c r="F860" s="143"/>
      <c r="G860" s="143"/>
      <c r="H860" s="143"/>
      <c r="I860" s="143"/>
      <c r="J860" s="143"/>
      <c r="K860" s="143"/>
      <c r="L860" s="143"/>
      <c r="M860" s="143"/>
      <c r="N860" s="143"/>
      <c r="O860" s="421"/>
      <c r="P860" s="421"/>
      <c r="Q860" s="421"/>
      <c r="R860" s="421"/>
      <c r="S860" s="421"/>
      <c r="T860" s="421"/>
      <c r="U860" s="421"/>
      <c r="V860" s="421"/>
      <c r="W860" s="421"/>
      <c r="X860" s="421"/>
      <c r="Y860" s="421"/>
      <c r="Z860" s="421"/>
      <c r="AA860" s="421"/>
      <c r="AB860" s="421"/>
      <c r="AC860" s="421"/>
      <c r="AD860" s="421"/>
      <c r="AE860" s="421"/>
      <c r="AF860" s="421"/>
      <c r="AG860" s="421"/>
      <c r="AH860" s="421"/>
      <c r="AI860" s="421"/>
      <c r="AJ860" s="421"/>
      <c r="AK860" s="421"/>
      <c r="AL860" s="421"/>
      <c r="AM860" s="421"/>
      <c r="AN860" s="421"/>
      <c r="AO860" s="421"/>
      <c r="AP860" s="421"/>
      <c r="AQ860" s="421"/>
      <c r="AR860" s="421"/>
      <c r="AS860" s="421"/>
      <c r="AT860" s="421"/>
      <c r="AU860" s="421"/>
      <c r="AV860" s="421"/>
      <c r="AW860" s="421"/>
      <c r="AX860" s="421"/>
      <c r="AY860" s="421"/>
      <c r="AZ860" s="421"/>
      <c r="BA860" s="421"/>
      <c r="BB860"/>
      <c r="BC860" s="115"/>
      <c r="BD860" s="115"/>
      <c r="BE860" s="115"/>
      <c r="BF860" s="115"/>
      <c r="BG860" s="115"/>
      <c r="BH860" s="138"/>
      <c r="BI860" s="138"/>
      <c r="BJ860" s="138"/>
      <c r="BK860" s="138"/>
      <c r="BL860" s="138"/>
      <c r="BM860" s="138"/>
      <c r="BN860" s="138"/>
      <c r="BO860" s="138"/>
      <c r="BP860" s="138"/>
      <c r="BQ860" s="138"/>
      <c r="BR860" s="138"/>
      <c r="BS860" s="138"/>
      <c r="BT860" s="138"/>
      <c r="BU860" s="138"/>
      <c r="BV860" s="138"/>
      <c r="BW860" s="138"/>
      <c r="BX860" s="138"/>
      <c r="BY860" s="138"/>
      <c r="BZ860" s="138"/>
      <c r="CA860" s="138"/>
      <c r="CB860" s="138"/>
      <c r="CC860" s="138"/>
      <c r="CD860" s="138"/>
      <c r="CE860" s="138"/>
      <c r="CF860" s="138"/>
      <c r="CG860" s="138"/>
      <c r="CH860" s="138"/>
      <c r="CI860" s="138"/>
      <c r="CJ860" s="138"/>
      <c r="CK860" s="138"/>
      <c r="CL860" s="138"/>
      <c r="CM860" s="138"/>
      <c r="CN860" s="138"/>
      <c r="CO860" s="138"/>
      <c r="CP860" s="138"/>
      <c r="CQ860" s="138"/>
      <c r="CR860" s="138"/>
      <c r="CS860" s="138"/>
      <c r="CT860" s="138"/>
      <c r="CU860" s="138"/>
      <c r="CV860" s="138"/>
      <c r="CW860" s="138"/>
      <c r="CX860" s="138"/>
      <c r="CY860" s="138"/>
      <c r="CZ860" s="138"/>
      <c r="DA860" s="138"/>
      <c r="DB860" s="138"/>
      <c r="DC860" s="138"/>
      <c r="DD860" s="138"/>
      <c r="DE860" s="138"/>
      <c r="DF860" s="138"/>
      <c r="DG860" s="115"/>
    </row>
    <row r="861" spans="1:111" ht="9" customHeight="1">
      <c r="A861"/>
      <c r="B861" s="49"/>
      <c r="C861" s="49"/>
      <c r="D861" s="49"/>
      <c r="E861" s="49"/>
      <c r="F861" s="49"/>
      <c r="G861" s="49"/>
      <c r="H861" s="49"/>
      <c r="I861" s="49"/>
      <c r="J861" s="49"/>
      <c r="K861" s="49"/>
      <c r="L861" s="49"/>
      <c r="M861" s="49"/>
      <c r="N861" s="49"/>
      <c r="O861" s="421"/>
      <c r="P861" s="421"/>
      <c r="Q861" s="421"/>
      <c r="R861" s="421"/>
      <c r="S861" s="421"/>
      <c r="T861" s="421"/>
      <c r="U861" s="421"/>
      <c r="V861" s="421"/>
      <c r="W861" s="421"/>
      <c r="X861" s="421"/>
      <c r="Y861" s="421"/>
      <c r="Z861" s="421"/>
      <c r="AA861" s="421"/>
      <c r="AB861" s="421"/>
      <c r="AC861" s="421"/>
      <c r="AD861" s="421"/>
      <c r="AE861" s="421"/>
      <c r="AF861" s="421"/>
      <c r="AG861" s="421"/>
      <c r="AH861" s="421"/>
      <c r="AI861" s="421"/>
      <c r="AJ861" s="421"/>
      <c r="AK861" s="421"/>
      <c r="AL861" s="421"/>
      <c r="AM861" s="421"/>
      <c r="AN861" s="421"/>
      <c r="AO861" s="421"/>
      <c r="AP861" s="421"/>
      <c r="AQ861" s="421"/>
      <c r="AR861" s="421"/>
      <c r="AS861" s="421"/>
      <c r="AT861" s="421"/>
      <c r="AU861" s="421"/>
      <c r="AV861" s="421"/>
      <c r="AW861" s="421"/>
      <c r="AX861" s="421"/>
      <c r="AY861" s="421"/>
      <c r="AZ861" s="421"/>
      <c r="BA861" s="421"/>
      <c r="BB861"/>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c r="BY861" s="115"/>
      <c r="BZ861" s="115"/>
      <c r="CA861" s="115"/>
      <c r="CB861" s="115"/>
      <c r="CC861" s="115"/>
      <c r="CD861" s="115"/>
      <c r="CE861" s="115"/>
      <c r="CF861" s="115"/>
      <c r="CG861" s="115"/>
      <c r="CH861" s="115"/>
      <c r="CI861" s="115"/>
      <c r="CJ861" s="115"/>
      <c r="CK861" s="115"/>
      <c r="CL861" s="115"/>
      <c r="CM861" s="115"/>
      <c r="CN861" s="115"/>
      <c r="CO861" s="115"/>
      <c r="CP861" s="115"/>
      <c r="CQ861" s="115"/>
      <c r="CR861" s="115"/>
      <c r="CS861" s="115"/>
      <c r="CT861" s="115"/>
      <c r="CU861" s="115"/>
      <c r="CV861" s="115"/>
      <c r="CW861" s="115"/>
      <c r="CX861" s="115"/>
      <c r="CY861" s="115"/>
      <c r="CZ861" s="115"/>
      <c r="DA861" s="115"/>
      <c r="DB861" s="115"/>
      <c r="DC861" s="115"/>
      <c r="DD861" s="115"/>
      <c r="DE861" s="115"/>
      <c r="DF861" s="115"/>
      <c r="DG861" s="115"/>
    </row>
    <row r="862" spans="1:111" ht="4.5" customHeight="1">
      <c r="A862"/>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49"/>
      <c r="AY862" s="49"/>
      <c r="AZ862" s="49"/>
      <c r="BA862" s="49"/>
      <c r="BB862"/>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c r="BY862" s="115"/>
      <c r="BZ862" s="115"/>
      <c r="CA862" s="115"/>
      <c r="CB862" s="115"/>
      <c r="CC862" s="115"/>
      <c r="CD862" s="115"/>
      <c r="CE862" s="115"/>
      <c r="CF862" s="115"/>
      <c r="CG862" s="115"/>
      <c r="CH862" s="115"/>
      <c r="CI862" s="115"/>
      <c r="CJ862" s="115"/>
      <c r="CK862" s="115"/>
      <c r="CL862" s="115"/>
      <c r="CM862" s="115"/>
      <c r="CN862" s="115"/>
      <c r="CO862" s="115"/>
      <c r="CP862" s="115"/>
      <c r="CQ862" s="115"/>
      <c r="CR862" s="115"/>
      <c r="CS862" s="115"/>
      <c r="CT862" s="115"/>
      <c r="CU862" s="115"/>
      <c r="CV862" s="115"/>
      <c r="CW862" s="115"/>
      <c r="CX862" s="115"/>
      <c r="CY862" s="115"/>
      <c r="CZ862" s="115"/>
      <c r="DA862" s="115"/>
      <c r="DB862" s="115"/>
      <c r="DC862" s="115"/>
      <c r="DD862" s="115"/>
      <c r="DE862" s="115"/>
      <c r="DF862" s="115"/>
      <c r="DG862" s="115"/>
    </row>
    <row r="863" spans="1:111" ht="9" customHeight="1">
      <c r="A863"/>
      <c r="B863" s="493" t="str">
        <f>IF(B836="","","Metas Vinculadas:")</f>
        <v/>
      </c>
      <c r="C863" s="493"/>
      <c r="D863" s="493"/>
      <c r="E863" s="493"/>
      <c r="F863" s="493"/>
      <c r="G863" s="493"/>
      <c r="H863" s="493"/>
      <c r="I863" s="493"/>
      <c r="J863" s="493"/>
      <c r="K863" s="493"/>
      <c r="L863" s="493"/>
      <c r="M863" s="493"/>
      <c r="N863" s="493"/>
      <c r="O863" s="421"/>
      <c r="P863" s="421"/>
      <c r="Q863" s="421"/>
      <c r="R863" s="421"/>
      <c r="S863" s="421"/>
      <c r="T863" s="421"/>
      <c r="U863" s="421"/>
      <c r="V863" s="421"/>
      <c r="W863" s="421"/>
      <c r="X863" s="421"/>
      <c r="Y863" s="421"/>
      <c r="Z863" s="421"/>
      <c r="AA863" s="421"/>
      <c r="AB863" s="421"/>
      <c r="AC863" s="421"/>
      <c r="AD863" s="421"/>
      <c r="AE863" s="421"/>
      <c r="AF863" s="421"/>
      <c r="AG863" s="421"/>
      <c r="AH863" s="421"/>
      <c r="AI863" s="421"/>
      <c r="AJ863" s="421"/>
      <c r="AK863" s="421"/>
      <c r="AL863" s="421"/>
      <c r="AM863" s="421"/>
      <c r="AN863" s="421"/>
      <c r="AO863" s="421"/>
      <c r="AP863" s="421"/>
      <c r="AQ863" s="421"/>
      <c r="AR863" s="421"/>
      <c r="AS863" s="421"/>
      <c r="AT863" s="421"/>
      <c r="AU863" s="421"/>
      <c r="AV863" s="421"/>
      <c r="AW863" s="421"/>
      <c r="AX863" s="421"/>
      <c r="AY863" s="421"/>
      <c r="AZ863" s="421"/>
      <c r="BA863" s="421"/>
      <c r="BB863"/>
      <c r="BC863" s="115"/>
      <c r="BD863" s="115"/>
      <c r="BE863" s="115"/>
      <c r="BF863" s="115"/>
      <c r="BG863" s="115"/>
      <c r="BH863" s="124"/>
      <c r="BI863" s="124"/>
      <c r="BJ863" s="124"/>
      <c r="BK863" s="124"/>
      <c r="BL863" s="124"/>
      <c r="BM863" s="124"/>
      <c r="BN863" s="124"/>
      <c r="BO863" s="124"/>
      <c r="BP863" s="124"/>
      <c r="BQ863" s="124"/>
      <c r="BR863" s="124"/>
      <c r="BS863" s="124"/>
      <c r="BT863" s="124"/>
      <c r="BU863" s="124"/>
      <c r="BV863" s="124"/>
      <c r="BW863" s="124"/>
      <c r="BX863" s="124"/>
      <c r="BY863" s="124"/>
      <c r="BZ863" s="124"/>
      <c r="CA863" s="124"/>
      <c r="CB863" s="124"/>
      <c r="CC863" s="124"/>
      <c r="CD863" s="124"/>
      <c r="CE863" s="124"/>
      <c r="CF863" s="124"/>
      <c r="CG863" s="124"/>
      <c r="CH863" s="124"/>
      <c r="CI863" s="124"/>
      <c r="CJ863" s="124"/>
      <c r="CK863" s="124"/>
      <c r="CL863" s="124"/>
      <c r="CM863" s="124"/>
      <c r="CN863" s="124"/>
      <c r="CO863" s="124"/>
      <c r="CP863" s="124"/>
      <c r="CQ863" s="124"/>
      <c r="CR863" s="124"/>
      <c r="CS863" s="124"/>
      <c r="CT863" s="124"/>
      <c r="CU863" s="124"/>
      <c r="CV863" s="124"/>
      <c r="CW863" s="124"/>
      <c r="CX863" s="124"/>
      <c r="CY863" s="124"/>
      <c r="CZ863" s="124"/>
      <c r="DA863" s="124"/>
      <c r="DB863" s="124"/>
      <c r="DC863" s="124"/>
      <c r="DD863" s="124"/>
      <c r="DE863" s="124"/>
      <c r="DF863" s="124"/>
      <c r="DG863" s="115"/>
    </row>
    <row r="864" spans="1:111" ht="9" customHeight="1">
      <c r="A864"/>
      <c r="B864" s="493"/>
      <c r="C864" s="493"/>
      <c r="D864" s="493"/>
      <c r="E864" s="493"/>
      <c r="F864" s="493"/>
      <c r="G864" s="493"/>
      <c r="H864" s="493"/>
      <c r="I864" s="493"/>
      <c r="J864" s="493"/>
      <c r="K864" s="493"/>
      <c r="L864" s="493"/>
      <c r="M864" s="493"/>
      <c r="N864" s="493"/>
      <c r="O864" s="421"/>
      <c r="P864" s="421"/>
      <c r="Q864" s="421"/>
      <c r="R864" s="421"/>
      <c r="S864" s="421"/>
      <c r="T864" s="421"/>
      <c r="U864" s="421"/>
      <c r="V864" s="421"/>
      <c r="W864" s="421"/>
      <c r="X864" s="421"/>
      <c r="Y864" s="421"/>
      <c r="Z864" s="421"/>
      <c r="AA864" s="421"/>
      <c r="AB864" s="421"/>
      <c r="AC864" s="421"/>
      <c r="AD864" s="421"/>
      <c r="AE864" s="421"/>
      <c r="AF864" s="421"/>
      <c r="AG864" s="421"/>
      <c r="AH864" s="421"/>
      <c r="AI864" s="421"/>
      <c r="AJ864" s="421"/>
      <c r="AK864" s="421"/>
      <c r="AL864" s="421"/>
      <c r="AM864" s="421"/>
      <c r="AN864" s="421"/>
      <c r="AO864" s="421"/>
      <c r="AP864" s="421"/>
      <c r="AQ864" s="421"/>
      <c r="AR864" s="421"/>
      <c r="AS864" s="421"/>
      <c r="AT864" s="421"/>
      <c r="AU864" s="421"/>
      <c r="AV864" s="421"/>
      <c r="AW864" s="421"/>
      <c r="AX864" s="421"/>
      <c r="AY864" s="421"/>
      <c r="AZ864" s="421"/>
      <c r="BA864" s="421"/>
      <c r="BB864"/>
      <c r="BC864" s="115"/>
      <c r="BD864" s="115"/>
      <c r="BE864" s="115"/>
      <c r="BF864" s="115"/>
      <c r="BG864" s="115"/>
      <c r="BH864" s="138"/>
      <c r="BI864" s="138"/>
      <c r="BJ864" s="138"/>
      <c r="BK864" s="138"/>
      <c r="BL864" s="138"/>
      <c r="BM864" s="138"/>
      <c r="BN864" s="138"/>
      <c r="BO864" s="138"/>
      <c r="BP864" s="138"/>
      <c r="BQ864" s="138"/>
      <c r="BR864" s="138"/>
      <c r="BS864" s="138"/>
      <c r="BT864" s="138"/>
      <c r="BU864" s="138"/>
      <c r="BV864" s="138"/>
      <c r="BW864" s="138"/>
      <c r="BX864" s="138"/>
      <c r="BY864" s="138"/>
      <c r="BZ864" s="138"/>
      <c r="CA864" s="138"/>
      <c r="CB864" s="138"/>
      <c r="CC864" s="138"/>
      <c r="CD864" s="138"/>
      <c r="CE864" s="138"/>
      <c r="CF864" s="138"/>
      <c r="CG864" s="138"/>
      <c r="CH864" s="138"/>
      <c r="CI864" s="138"/>
      <c r="CJ864" s="138"/>
      <c r="CK864" s="138"/>
      <c r="CL864" s="138"/>
      <c r="CM864" s="138"/>
      <c r="CN864" s="138"/>
      <c r="CO864" s="138"/>
      <c r="CP864" s="138"/>
      <c r="CQ864" s="138"/>
      <c r="CR864" s="138"/>
      <c r="CS864" s="138"/>
      <c r="CT864" s="138"/>
      <c r="CU864" s="138"/>
      <c r="CV864" s="138"/>
      <c r="CW864" s="138"/>
      <c r="CX864" s="138"/>
      <c r="CY864" s="138"/>
      <c r="CZ864" s="138"/>
      <c r="DA864" s="138"/>
      <c r="DB864" s="138"/>
      <c r="DC864" s="138"/>
      <c r="DD864" s="138"/>
      <c r="DE864" s="138"/>
      <c r="DF864" s="138"/>
      <c r="DG864" s="115"/>
    </row>
    <row r="865" spans="1:111" ht="4.5" customHeight="1">
      <c r="A865"/>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49"/>
      <c r="AY865" s="49"/>
      <c r="AZ865" s="49"/>
      <c r="BA865" s="49"/>
      <c r="BB86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c r="BY865" s="115"/>
      <c r="BZ865" s="115"/>
      <c r="CA865" s="115"/>
      <c r="CB865" s="115"/>
      <c r="CC865" s="115"/>
      <c r="CD865" s="115"/>
      <c r="CE865" s="115"/>
      <c r="CF865" s="115"/>
      <c r="CG865" s="115"/>
      <c r="CH865" s="115"/>
      <c r="CI865" s="115"/>
      <c r="CJ865" s="115"/>
      <c r="CK865" s="115"/>
      <c r="CL865" s="115"/>
      <c r="CM865" s="115"/>
      <c r="CN865" s="115"/>
      <c r="CO865" s="115"/>
      <c r="CP865" s="115"/>
      <c r="CQ865" s="115"/>
      <c r="CR865" s="115"/>
      <c r="CS865" s="115"/>
      <c r="CT865" s="115"/>
      <c r="CU865" s="115"/>
      <c r="CV865" s="115"/>
      <c r="CW865" s="115"/>
      <c r="CX865" s="115"/>
      <c r="CY865" s="115"/>
      <c r="CZ865" s="115"/>
      <c r="DA865" s="115"/>
      <c r="DB865" s="115"/>
      <c r="DC865" s="115"/>
      <c r="DD865" s="115"/>
      <c r="DE865" s="115"/>
      <c r="DF865" s="115"/>
      <c r="DG865" s="115"/>
    </row>
    <row r="866" spans="1:111" ht="9" customHeight="1">
      <c r="A866"/>
      <c r="B866" s="125"/>
      <c r="C866" s="125"/>
      <c r="D866" s="125"/>
      <c r="E866" s="125"/>
      <c r="F866" s="125"/>
      <c r="G866" s="125"/>
      <c r="H866" s="125"/>
      <c r="I866" s="125"/>
      <c r="J866" s="125"/>
      <c r="K866" s="125"/>
      <c r="L866" s="125"/>
      <c r="M866" s="125"/>
      <c r="N866" s="125"/>
      <c r="O866" s="496" t="str">
        <f>IF(B836="","","Quantidade:")</f>
        <v/>
      </c>
      <c r="P866" s="496"/>
      <c r="Q866" s="496"/>
      <c r="R866" s="496"/>
      <c r="S866" s="496"/>
      <c r="T866" s="496"/>
      <c r="U866" s="496"/>
      <c r="V866" s="417"/>
      <c r="W866" s="417"/>
      <c r="X866" s="417"/>
      <c r="Y866" s="417"/>
      <c r="Z866" s="417"/>
      <c r="AA866" s="417"/>
      <c r="AB866" s="417"/>
      <c r="AC866" s="417"/>
      <c r="AD866" s="417"/>
      <c r="AE866" s="417"/>
      <c r="AF866" s="125"/>
      <c r="AG866" s="497" t="str">
        <f>IF(B836="","","Unidade:")</f>
        <v/>
      </c>
      <c r="AH866" s="497"/>
      <c r="AI866" s="497"/>
      <c r="AJ866" s="497"/>
      <c r="AK866" s="497"/>
      <c r="AL866" s="497"/>
      <c r="AM866" s="497"/>
      <c r="AN866" s="125"/>
      <c r="AO866" s="417"/>
      <c r="AP866" s="417"/>
      <c r="AQ866" s="417"/>
      <c r="AR866" s="417"/>
      <c r="AS866" s="417"/>
      <c r="AT866" s="417"/>
      <c r="AU866" s="417"/>
      <c r="AV866" s="417"/>
      <c r="AW866" s="417"/>
      <c r="AX866" s="417"/>
      <c r="AY866" s="417"/>
      <c r="AZ866" s="417"/>
      <c r="BA866" s="417"/>
      <c r="BB866"/>
      <c r="BC866" s="115"/>
      <c r="BD866" s="115"/>
      <c r="BE866" s="115"/>
      <c r="BF866" s="115"/>
      <c r="BG866" s="115"/>
      <c r="BH866" s="124"/>
      <c r="BI866" s="124"/>
      <c r="BJ866" s="124"/>
      <c r="BK866" s="124"/>
      <c r="BL866" s="124"/>
      <c r="BM866" s="124"/>
      <c r="BN866" s="124"/>
      <c r="BO866" s="124"/>
      <c r="BP866" s="124"/>
      <c r="BQ866" s="124"/>
      <c r="BR866" s="124"/>
      <c r="BS866" s="124"/>
      <c r="BT866" s="124"/>
      <c r="BU866" s="124"/>
      <c r="BV866" s="124"/>
      <c r="BW866" s="124"/>
      <c r="BX866" s="124"/>
      <c r="BY866" s="124"/>
      <c r="BZ866" s="124"/>
      <c r="CA866" s="124"/>
      <c r="CB866" s="124"/>
      <c r="CC866" s="124"/>
      <c r="CD866" s="124"/>
      <c r="CE866" s="124"/>
      <c r="CF866" s="124"/>
      <c r="CG866" s="124"/>
      <c r="CH866" s="124"/>
      <c r="CI866" s="124"/>
      <c r="CJ866" s="124"/>
      <c r="CK866" s="124"/>
      <c r="CL866" s="124"/>
      <c r="CM866" s="124"/>
      <c r="CN866" s="124"/>
      <c r="CO866" s="124"/>
      <c r="CP866" s="124"/>
      <c r="CQ866" s="124"/>
      <c r="CR866" s="124"/>
      <c r="CS866" s="124"/>
      <c r="CT866" s="124"/>
      <c r="CU866" s="124"/>
      <c r="CV866" s="124"/>
      <c r="CW866" s="124"/>
      <c r="CX866" s="124"/>
      <c r="CY866" s="124"/>
      <c r="CZ866" s="124"/>
      <c r="DA866" s="124"/>
      <c r="DB866" s="124"/>
      <c r="DC866" s="124"/>
      <c r="DD866" s="124"/>
      <c r="DE866" s="124"/>
      <c r="DF866" s="124"/>
      <c r="DG866" s="115"/>
    </row>
    <row r="867" spans="1:111" ht="9" customHeight="1">
      <c r="A867"/>
      <c r="B867" s="125"/>
      <c r="C867" s="125"/>
      <c r="D867" s="125"/>
      <c r="E867" s="125"/>
      <c r="F867" s="125"/>
      <c r="G867" s="125"/>
      <c r="H867" s="125"/>
      <c r="I867" s="125"/>
      <c r="J867" s="125"/>
      <c r="K867" s="125"/>
      <c r="L867" s="125"/>
      <c r="M867" s="125"/>
      <c r="N867" s="125"/>
      <c r="O867" s="496"/>
      <c r="P867" s="496"/>
      <c r="Q867" s="496"/>
      <c r="R867" s="496"/>
      <c r="S867" s="496"/>
      <c r="T867" s="496"/>
      <c r="U867" s="496"/>
      <c r="V867" s="417"/>
      <c r="W867" s="417"/>
      <c r="X867" s="417"/>
      <c r="Y867" s="417"/>
      <c r="Z867" s="417"/>
      <c r="AA867" s="417"/>
      <c r="AB867" s="417"/>
      <c r="AC867" s="417"/>
      <c r="AD867" s="417"/>
      <c r="AE867" s="417"/>
      <c r="AF867" s="125"/>
      <c r="AG867" s="497"/>
      <c r="AH867" s="497"/>
      <c r="AI867" s="497"/>
      <c r="AJ867" s="497"/>
      <c r="AK867" s="497"/>
      <c r="AL867" s="497"/>
      <c r="AM867" s="497"/>
      <c r="AN867" s="125"/>
      <c r="AO867" s="417"/>
      <c r="AP867" s="417"/>
      <c r="AQ867" s="417"/>
      <c r="AR867" s="417"/>
      <c r="AS867" s="417"/>
      <c r="AT867" s="417"/>
      <c r="AU867" s="417"/>
      <c r="AV867" s="417"/>
      <c r="AW867" s="417"/>
      <c r="AX867" s="417"/>
      <c r="AY867" s="417"/>
      <c r="AZ867" s="417"/>
      <c r="BA867" s="417"/>
      <c r="BB867"/>
      <c r="BC867" s="115"/>
      <c r="BD867" s="115"/>
      <c r="BE867" s="115"/>
      <c r="BF867" s="115"/>
      <c r="BG867" s="115"/>
      <c r="BH867" s="124"/>
      <c r="BI867" s="124"/>
      <c r="BJ867" s="124"/>
      <c r="BK867" s="124"/>
      <c r="BL867" s="124"/>
      <c r="BM867" s="124"/>
      <c r="BN867" s="124"/>
      <c r="BO867" s="124"/>
      <c r="BP867" s="124"/>
      <c r="BQ867" s="124"/>
      <c r="BR867" s="124"/>
      <c r="BS867" s="124"/>
      <c r="BT867" s="124"/>
      <c r="BU867" s="124"/>
      <c r="BV867" s="124"/>
      <c r="BW867" s="124"/>
      <c r="BX867" s="124"/>
      <c r="BY867" s="124"/>
      <c r="BZ867" s="124"/>
      <c r="CA867" s="124"/>
      <c r="CB867" s="124"/>
      <c r="CC867" s="124"/>
      <c r="CD867" s="124"/>
      <c r="CE867" s="124"/>
      <c r="CF867" s="124"/>
      <c r="CG867" s="124"/>
      <c r="CH867" s="124"/>
      <c r="CI867" s="124"/>
      <c r="CJ867" s="124"/>
      <c r="CK867" s="124"/>
      <c r="CL867" s="124"/>
      <c r="CM867" s="124"/>
      <c r="CN867" s="124"/>
      <c r="CO867" s="124"/>
      <c r="CP867" s="124"/>
      <c r="CQ867" s="124"/>
      <c r="CR867" s="124"/>
      <c r="CS867" s="124"/>
      <c r="CT867" s="124"/>
      <c r="CU867" s="124"/>
      <c r="CV867" s="124"/>
      <c r="CW867" s="124"/>
      <c r="CX867" s="124"/>
      <c r="CY867" s="124"/>
      <c r="CZ867" s="124"/>
      <c r="DA867" s="124"/>
      <c r="DB867" s="124"/>
      <c r="DC867" s="124"/>
      <c r="DD867" s="124"/>
      <c r="DE867" s="124"/>
      <c r="DF867" s="124"/>
      <c r="DG867" s="115"/>
    </row>
    <row r="868" spans="1:111" ht="9" customHeight="1">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s="115"/>
      <c r="BD868" s="115"/>
      <c r="BE868" s="115"/>
      <c r="BF868" s="115"/>
      <c r="BG868" s="115"/>
      <c r="BH868" s="498"/>
      <c r="BI868" s="498"/>
      <c r="BJ868" s="498"/>
      <c r="BK868" s="498"/>
      <c r="BL868" s="498"/>
      <c r="BM868" s="498"/>
      <c r="BN868" s="498"/>
      <c r="BO868" s="498"/>
      <c r="BP868" s="498"/>
      <c r="BQ868" s="498"/>
      <c r="BR868" s="498"/>
      <c r="BS868" s="498"/>
      <c r="BT868" s="498"/>
      <c r="BU868" s="498"/>
      <c r="BV868" s="498"/>
      <c r="BW868" s="498"/>
      <c r="BX868" s="498"/>
      <c r="BY868" s="498"/>
      <c r="BZ868" s="498"/>
      <c r="CA868" s="498"/>
      <c r="CB868" s="498"/>
      <c r="CC868" s="498"/>
      <c r="CD868" s="498"/>
      <c r="CE868" s="498"/>
      <c r="CF868" s="498"/>
      <c r="CG868" s="498"/>
      <c r="CH868" s="498"/>
      <c r="CI868" s="498"/>
      <c r="CJ868" s="498"/>
      <c r="CK868" s="498"/>
      <c r="CL868" s="498"/>
      <c r="CM868" s="498"/>
      <c r="CN868" s="498"/>
      <c r="CO868" s="498"/>
      <c r="CP868" s="498"/>
      <c r="CQ868" s="498"/>
      <c r="CR868" s="498"/>
      <c r="CS868" s="498"/>
      <c r="CT868" s="498"/>
      <c r="CU868" s="498"/>
      <c r="CV868" s="498"/>
      <c r="CW868" s="498"/>
      <c r="CX868" s="498"/>
      <c r="CY868" s="498"/>
      <c r="CZ868" s="498"/>
      <c r="DA868" s="498"/>
      <c r="DB868" s="498"/>
      <c r="DC868" s="498"/>
      <c r="DD868" s="498"/>
      <c r="DE868" s="498"/>
      <c r="DF868" s="498"/>
      <c r="DG868" s="115"/>
    </row>
    <row r="869" spans="1:111" ht="9" customHeight="1">
      <c r="A869"/>
      <c r="B869" s="499" t="str">
        <f>IF($Z$32&gt;=11,"Nome da Empresa ou Nº da Ata","")</f>
        <v>Nome da Empresa ou Nº da Ata</v>
      </c>
      <c r="C869" s="499"/>
      <c r="D869" s="499"/>
      <c r="E869" s="499"/>
      <c r="F869" s="499"/>
      <c r="G869" s="499"/>
      <c r="H869" s="499"/>
      <c r="I869" s="499"/>
      <c r="J869" s="499"/>
      <c r="K869" s="499"/>
      <c r="L869" s="499"/>
      <c r="M869" s="499"/>
      <c r="N869" s="499"/>
      <c r="O869" s="499"/>
      <c r="P869" s="499"/>
      <c r="Q869" s="499"/>
      <c r="R869" s="499"/>
      <c r="S869" s="499"/>
      <c r="T869" s="499"/>
      <c r="U869" s="499"/>
      <c r="V869" s="499"/>
      <c r="W869" s="499"/>
      <c r="X869" s="499" t="str">
        <f>IF($Z$32&gt;=11,"CNPJ / CPF","")</f>
        <v>CNPJ / CPF</v>
      </c>
      <c r="Y869" s="499"/>
      <c r="Z869" s="499"/>
      <c r="AA869" s="499"/>
      <c r="AB869" s="499"/>
      <c r="AC869" s="499"/>
      <c r="AD869" s="499"/>
      <c r="AE869" s="499"/>
      <c r="AF869" s="499"/>
      <c r="AG869" s="499"/>
      <c r="AH869" s="499" t="str">
        <f>IF($Z$32&gt;=11,"Qtde","")</f>
        <v>Qtde</v>
      </c>
      <c r="AI869" s="499"/>
      <c r="AJ869" s="499"/>
      <c r="AK869" s="499"/>
      <c r="AL869" s="499" t="str">
        <f>IF($Z$32&gt;=11,"Valor Unitário (R$)","")</f>
        <v>Valor Unitário (R$)</v>
      </c>
      <c r="AM869" s="499"/>
      <c r="AN869" s="499"/>
      <c r="AO869" s="499"/>
      <c r="AP869" s="499"/>
      <c r="AQ869" s="499"/>
      <c r="AR869" s="499"/>
      <c r="AS869" s="499"/>
      <c r="AT869" s="499" t="str">
        <f>IF($Z$32&gt;=11,"Valor Total (R$)","")</f>
        <v>Valor Total (R$)</v>
      </c>
      <c r="AU869" s="499"/>
      <c r="AV869" s="499"/>
      <c r="AW869" s="499"/>
      <c r="AX869" s="499"/>
      <c r="AY869" s="499"/>
      <c r="AZ869" s="499"/>
      <c r="BA869" s="499"/>
      <c r="BB869"/>
      <c r="BC869" s="115"/>
      <c r="BD869" s="115"/>
      <c r="BE869" s="115"/>
      <c r="BF869" s="115"/>
      <c r="BG869" s="115"/>
      <c r="BH869" s="498"/>
      <c r="BI869" s="498"/>
      <c r="BJ869" s="498"/>
      <c r="BK869" s="498"/>
      <c r="BL869" s="498"/>
      <c r="BM869" s="498"/>
      <c r="BN869" s="498"/>
      <c r="BO869" s="498"/>
      <c r="BP869" s="498"/>
      <c r="BQ869" s="498"/>
      <c r="BR869" s="498"/>
      <c r="BS869" s="498"/>
      <c r="BT869" s="498"/>
      <c r="BU869" s="498"/>
      <c r="BV869" s="498"/>
      <c r="BW869" s="498"/>
      <c r="BX869" s="498"/>
      <c r="BY869" s="498"/>
      <c r="BZ869" s="498"/>
      <c r="CA869" s="498"/>
      <c r="CB869" s="498"/>
      <c r="CC869" s="498"/>
      <c r="CD869" s="498"/>
      <c r="CE869" s="498"/>
      <c r="CF869" s="498"/>
      <c r="CG869" s="498"/>
      <c r="CH869" s="498"/>
      <c r="CI869" s="498"/>
      <c r="CJ869" s="498"/>
      <c r="CK869" s="498"/>
      <c r="CL869" s="498"/>
      <c r="CM869" s="498"/>
      <c r="CN869" s="498"/>
      <c r="CO869" s="498"/>
      <c r="CP869" s="498"/>
      <c r="CQ869" s="498"/>
      <c r="CR869" s="498"/>
      <c r="CS869" s="498"/>
      <c r="CT869" s="498"/>
      <c r="CU869" s="498"/>
      <c r="CV869" s="498"/>
      <c r="CW869" s="498"/>
      <c r="CX869" s="498"/>
      <c r="CY869" s="498"/>
      <c r="CZ869" s="498"/>
      <c r="DA869" s="498"/>
      <c r="DB869" s="498"/>
      <c r="DC869" s="498"/>
      <c r="DD869" s="498"/>
      <c r="DE869" s="498"/>
      <c r="DF869" s="498"/>
      <c r="DG869" s="115"/>
    </row>
    <row r="870" spans="1:111" ht="9" customHeight="1">
      <c r="A870"/>
      <c r="B870" s="499"/>
      <c r="C870" s="499"/>
      <c r="D870" s="499"/>
      <c r="E870" s="499"/>
      <c r="F870" s="499"/>
      <c r="G870" s="499"/>
      <c r="H870" s="499"/>
      <c r="I870" s="499"/>
      <c r="J870" s="499"/>
      <c r="K870" s="499"/>
      <c r="L870" s="499"/>
      <c r="M870" s="499"/>
      <c r="N870" s="499"/>
      <c r="O870" s="499"/>
      <c r="P870" s="499"/>
      <c r="Q870" s="499"/>
      <c r="R870" s="499"/>
      <c r="S870" s="499"/>
      <c r="T870" s="499"/>
      <c r="U870" s="499"/>
      <c r="V870" s="499"/>
      <c r="W870" s="499"/>
      <c r="X870" s="499"/>
      <c r="Y870" s="499"/>
      <c r="Z870" s="499"/>
      <c r="AA870" s="499"/>
      <c r="AB870" s="499"/>
      <c r="AC870" s="499"/>
      <c r="AD870" s="499"/>
      <c r="AE870" s="499"/>
      <c r="AF870" s="499"/>
      <c r="AG870" s="499"/>
      <c r="AH870" s="499"/>
      <c r="AI870" s="499"/>
      <c r="AJ870" s="499"/>
      <c r="AK870" s="499"/>
      <c r="AL870" s="499"/>
      <c r="AM870" s="499"/>
      <c r="AN870" s="499"/>
      <c r="AO870" s="499"/>
      <c r="AP870" s="499"/>
      <c r="AQ870" s="499"/>
      <c r="AR870" s="499"/>
      <c r="AS870" s="499"/>
      <c r="AT870" s="499"/>
      <c r="AU870" s="499"/>
      <c r="AV870" s="499"/>
      <c r="AW870" s="499"/>
      <c r="AX870" s="499"/>
      <c r="AY870" s="499"/>
      <c r="AZ870" s="499"/>
      <c r="BA870" s="499"/>
      <c r="BB870" s="176" t="e">
        <f>AVERAGE(AL871:AS873)</f>
        <v>#DIV/0!</v>
      </c>
      <c r="BC870" s="115"/>
      <c r="BD870" s="115"/>
      <c r="BE870" s="115"/>
      <c r="BF870" s="115"/>
      <c r="BG870" s="115"/>
      <c r="BH870" s="498"/>
      <c r="BI870" s="498"/>
      <c r="BJ870" s="498"/>
      <c r="BK870" s="498"/>
      <c r="BL870" s="498"/>
      <c r="BM870" s="498"/>
      <c r="BN870" s="498"/>
      <c r="BO870" s="498"/>
      <c r="BP870" s="498"/>
      <c r="BQ870" s="498"/>
      <c r="BR870" s="498"/>
      <c r="BS870" s="498"/>
      <c r="BT870" s="498"/>
      <c r="BU870" s="498"/>
      <c r="BV870" s="498"/>
      <c r="BW870" s="498"/>
      <c r="BX870" s="498"/>
      <c r="BY870" s="498"/>
      <c r="BZ870" s="498"/>
      <c r="CA870" s="498"/>
      <c r="CB870" s="498"/>
      <c r="CC870" s="498"/>
      <c r="CD870" s="498"/>
      <c r="CE870" s="498"/>
      <c r="CF870" s="498"/>
      <c r="CG870" s="498"/>
      <c r="CH870" s="498"/>
      <c r="CI870" s="498"/>
      <c r="CJ870" s="498"/>
      <c r="CK870" s="498"/>
      <c r="CL870" s="498"/>
      <c r="CM870" s="498"/>
      <c r="CN870" s="498"/>
      <c r="CO870" s="498"/>
      <c r="CP870" s="498"/>
      <c r="CQ870" s="498"/>
      <c r="CR870" s="498"/>
      <c r="CS870" s="498"/>
      <c r="CT870" s="498"/>
      <c r="CU870" s="498"/>
      <c r="CV870" s="498"/>
      <c r="CW870" s="498"/>
      <c r="CX870" s="498"/>
      <c r="CY870" s="498"/>
      <c r="CZ870" s="498"/>
      <c r="DA870" s="498"/>
      <c r="DB870" s="498"/>
      <c r="DC870" s="498"/>
      <c r="DD870" s="498"/>
      <c r="DE870" s="498"/>
      <c r="DF870" s="498"/>
      <c r="DG870" s="115"/>
    </row>
    <row r="871" spans="1:111" ht="18" customHeight="1">
      <c r="A871"/>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486"/>
      <c r="Y871" s="486"/>
      <c r="Z871" s="486"/>
      <c r="AA871" s="486"/>
      <c r="AB871" s="486"/>
      <c r="AC871" s="486"/>
      <c r="AD871" s="486"/>
      <c r="AE871" s="486"/>
      <c r="AF871" s="486"/>
      <c r="AG871" s="486"/>
      <c r="AH871" s="417"/>
      <c r="AI871" s="417"/>
      <c r="AJ871" s="417"/>
      <c r="AK871" s="417"/>
      <c r="AL871" s="419"/>
      <c r="AM871" s="419"/>
      <c r="AN871" s="419"/>
      <c r="AO871" s="419"/>
      <c r="AP871" s="419"/>
      <c r="AQ871" s="419"/>
      <c r="AR871" s="419"/>
      <c r="AS871" s="419"/>
      <c r="AT871" s="487">
        <f>IF($Z$32&gt;=11,(AH871*AL871),"")</f>
        <v>0</v>
      </c>
      <c r="AU871" s="487"/>
      <c r="AV871" s="487"/>
      <c r="AW871" s="487"/>
      <c r="AX871" s="487"/>
      <c r="AY871" s="487"/>
      <c r="AZ871" s="487"/>
      <c r="BA871" s="487"/>
      <c r="BB871"/>
      <c r="BC871" s="115"/>
      <c r="BD871" s="115"/>
      <c r="BE871" s="115"/>
      <c r="BF871" s="115"/>
      <c r="BG871" s="115"/>
      <c r="BH871" s="498"/>
      <c r="BI871" s="498"/>
      <c r="BJ871" s="498"/>
      <c r="BK871" s="498"/>
      <c r="BL871" s="498"/>
      <c r="BM871" s="498"/>
      <c r="BN871" s="498"/>
      <c r="BO871" s="498"/>
      <c r="BP871" s="498"/>
      <c r="BQ871" s="498"/>
      <c r="BR871" s="498"/>
      <c r="BS871" s="498"/>
      <c r="BT871" s="498"/>
      <c r="BU871" s="498"/>
      <c r="BV871" s="498"/>
      <c r="BW871" s="498"/>
      <c r="BX871" s="498"/>
      <c r="BY871" s="498"/>
      <c r="BZ871" s="498"/>
      <c r="CA871" s="498"/>
      <c r="CB871" s="498"/>
      <c r="CC871" s="498"/>
      <c r="CD871" s="498"/>
      <c r="CE871" s="498"/>
      <c r="CF871" s="498"/>
      <c r="CG871" s="498"/>
      <c r="CH871" s="498"/>
      <c r="CI871" s="498"/>
      <c r="CJ871" s="498"/>
      <c r="CK871" s="498"/>
      <c r="CL871" s="498"/>
      <c r="CM871" s="498"/>
      <c r="CN871" s="498"/>
      <c r="CO871" s="498"/>
      <c r="CP871" s="498"/>
      <c r="CQ871" s="498"/>
      <c r="CR871" s="498"/>
      <c r="CS871" s="498"/>
      <c r="CT871" s="498"/>
      <c r="CU871" s="498"/>
      <c r="CV871" s="498"/>
      <c r="CW871" s="498"/>
      <c r="CX871" s="498"/>
      <c r="CY871" s="498"/>
      <c r="CZ871" s="498"/>
      <c r="DA871" s="498"/>
      <c r="DB871" s="498"/>
      <c r="DC871" s="498"/>
      <c r="DD871" s="498"/>
      <c r="DE871" s="498"/>
      <c r="DF871" s="498"/>
      <c r="DG871" s="115"/>
    </row>
    <row r="872" spans="1:111" ht="18" customHeight="1">
      <c r="A872"/>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486"/>
      <c r="Y872" s="486"/>
      <c r="Z872" s="486"/>
      <c r="AA872" s="486"/>
      <c r="AB872" s="486"/>
      <c r="AC872" s="486"/>
      <c r="AD872" s="486"/>
      <c r="AE872" s="486"/>
      <c r="AF872" s="486"/>
      <c r="AG872" s="486"/>
      <c r="AH872" s="417"/>
      <c r="AI872" s="417"/>
      <c r="AJ872" s="417"/>
      <c r="AK872" s="417"/>
      <c r="AL872" s="419"/>
      <c r="AM872" s="419"/>
      <c r="AN872" s="419"/>
      <c r="AO872" s="419"/>
      <c r="AP872" s="419"/>
      <c r="AQ872" s="419"/>
      <c r="AR872" s="419"/>
      <c r="AS872" s="419"/>
      <c r="AT872" s="487">
        <f>IF($Z$32&gt;=11,(AH872*AL872),"")</f>
        <v>0</v>
      </c>
      <c r="AU872" s="487"/>
      <c r="AV872" s="487"/>
      <c r="AW872" s="487"/>
      <c r="AX872" s="487"/>
      <c r="AY872" s="487"/>
      <c r="AZ872" s="487"/>
      <c r="BA872" s="487"/>
      <c r="BB872"/>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c r="BY872" s="115"/>
      <c r="BZ872" s="115"/>
      <c r="CA872" s="115"/>
      <c r="CB872" s="115"/>
      <c r="CC872" s="115"/>
      <c r="CD872" s="115"/>
      <c r="CE872" s="115"/>
      <c r="CF872" s="115"/>
      <c r="CG872" s="115"/>
      <c r="CH872" s="115"/>
      <c r="CI872" s="115"/>
      <c r="CJ872" s="115"/>
      <c r="CK872" s="115"/>
      <c r="CL872" s="115"/>
      <c r="CM872" s="115"/>
      <c r="CN872" s="115"/>
      <c r="CO872" s="115"/>
      <c r="CP872" s="115"/>
      <c r="CQ872" s="115"/>
      <c r="CR872" s="115"/>
      <c r="CS872" s="115"/>
      <c r="CT872" s="115"/>
      <c r="CU872" s="115"/>
      <c r="CV872" s="115"/>
      <c r="CW872" s="115"/>
      <c r="CX872" s="115"/>
      <c r="CY872" s="115"/>
      <c r="CZ872" s="115"/>
      <c r="DA872" s="115"/>
      <c r="DB872" s="115"/>
      <c r="DC872" s="115"/>
      <c r="DD872" s="115"/>
      <c r="DE872" s="115"/>
      <c r="DF872" s="115"/>
      <c r="DG872" s="115"/>
    </row>
    <row r="873" spans="1:111" ht="18" customHeight="1">
      <c r="A87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486"/>
      <c r="Y873" s="486"/>
      <c r="Z873" s="486"/>
      <c r="AA873" s="486"/>
      <c r="AB873" s="486"/>
      <c r="AC873" s="486"/>
      <c r="AD873" s="486"/>
      <c r="AE873" s="486"/>
      <c r="AF873" s="486"/>
      <c r="AG873" s="486"/>
      <c r="AH873" s="417"/>
      <c r="AI873" s="417"/>
      <c r="AJ873" s="417"/>
      <c r="AK873" s="417"/>
      <c r="AL873" s="419"/>
      <c r="AM873" s="419"/>
      <c r="AN873" s="419"/>
      <c r="AO873" s="419"/>
      <c r="AP873" s="419"/>
      <c r="AQ873" s="419"/>
      <c r="AR873" s="419"/>
      <c r="AS873" s="419"/>
      <c r="AT873" s="487">
        <f>IF($Z$32&gt;=11,(AH873*AL873),"")</f>
        <v>0</v>
      </c>
      <c r="AU873" s="487"/>
      <c r="AV873" s="487"/>
      <c r="AW873" s="487"/>
      <c r="AX873" s="487"/>
      <c r="AY873" s="487"/>
      <c r="AZ873" s="487"/>
      <c r="BA873" s="487"/>
      <c r="BB873"/>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c r="BY873" s="115"/>
      <c r="BZ873" s="115"/>
      <c r="CA873" s="115"/>
      <c r="CB873" s="115"/>
      <c r="CC873" s="115"/>
      <c r="CD873" s="115"/>
      <c r="CE873" s="115"/>
      <c r="CF873" s="115"/>
      <c r="CG873" s="115"/>
      <c r="CH873" s="115"/>
      <c r="CI873" s="115"/>
      <c r="CJ873" s="115"/>
      <c r="CK873" s="115"/>
      <c r="CL873" s="115"/>
      <c r="CM873" s="115"/>
      <c r="CN873" s="115"/>
      <c r="CO873" s="115"/>
      <c r="CP873" s="115"/>
      <c r="CQ873" s="115"/>
      <c r="CR873" s="115"/>
      <c r="CS873" s="115"/>
      <c r="CT873" s="115"/>
      <c r="CU873" s="115"/>
      <c r="CV873" s="115"/>
      <c r="CW873" s="115"/>
      <c r="CX873" s="115"/>
      <c r="CY873" s="115"/>
      <c r="CZ873" s="115"/>
      <c r="DA873" s="115"/>
      <c r="DB873" s="115"/>
      <c r="DC873" s="115"/>
      <c r="DD873" s="115"/>
      <c r="DE873" s="115"/>
      <c r="DF873" s="115"/>
      <c r="DG873" s="115"/>
    </row>
    <row r="874" spans="1:111" ht="15" customHeight="1">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s="500" t="str">
        <f>IF(B871="","",IF(AL872="",AT871,IF(AL873="",AVERAGE(AT871:BA872),AVERAGE(AT871:AT873))))</f>
        <v/>
      </c>
      <c r="AU874" s="500"/>
      <c r="AV874" s="500"/>
      <c r="AW874" s="500"/>
      <c r="AX874" s="500"/>
      <c r="AY874" s="500"/>
      <c r="AZ874" s="500"/>
      <c r="BA874" s="500"/>
      <c r="BB874"/>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c r="BY874" s="115"/>
      <c r="BZ874" s="115"/>
      <c r="CA874" s="115"/>
      <c r="CB874" s="115"/>
      <c r="CC874" s="115"/>
      <c r="CD874" s="115"/>
      <c r="CE874" s="115"/>
      <c r="CF874" s="115"/>
      <c r="CG874" s="115"/>
      <c r="CH874" s="115"/>
      <c r="CI874" s="115"/>
      <c r="CJ874" s="115"/>
      <c r="CK874" s="115"/>
      <c r="CL874" s="115"/>
      <c r="CM874" s="115"/>
      <c r="CN874" s="115"/>
      <c r="CO874" s="115"/>
      <c r="CP874" s="115"/>
      <c r="CQ874" s="115"/>
      <c r="CR874" s="115"/>
      <c r="CS874" s="115"/>
      <c r="CT874" s="115"/>
      <c r="CU874" s="115"/>
      <c r="CV874" s="115"/>
      <c r="CW874" s="115"/>
      <c r="CX874" s="115"/>
      <c r="CY874" s="115"/>
      <c r="CZ874" s="115"/>
      <c r="DA874" s="115"/>
      <c r="DB874" s="115"/>
      <c r="DC874" s="115"/>
      <c r="DD874" s="115"/>
      <c r="DE874" s="115"/>
      <c r="DF874" s="115"/>
      <c r="DG874" s="115"/>
    </row>
    <row r="875" spans="1:111" ht="15" customHeight="1">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c r="BY875" s="115"/>
      <c r="BZ875" s="115"/>
      <c r="CA875" s="115"/>
      <c r="CB875" s="115"/>
      <c r="CC875" s="115"/>
      <c r="CD875" s="115"/>
      <c r="CE875" s="115"/>
      <c r="CF875" s="115"/>
      <c r="CG875" s="115"/>
      <c r="CH875" s="115"/>
      <c r="CI875" s="115"/>
      <c r="CJ875" s="115"/>
      <c r="CK875" s="115"/>
      <c r="CL875" s="115"/>
      <c r="CM875" s="115"/>
      <c r="CN875" s="115"/>
      <c r="CO875" s="115"/>
      <c r="CP875" s="115"/>
      <c r="CQ875" s="115"/>
      <c r="CR875" s="115"/>
      <c r="CS875" s="115"/>
      <c r="CT875" s="115"/>
      <c r="CU875" s="115"/>
      <c r="CV875" s="115"/>
      <c r="CW875" s="115"/>
      <c r="CX875" s="115"/>
      <c r="CY875" s="115"/>
      <c r="CZ875" s="115"/>
      <c r="DA875" s="115"/>
      <c r="DB875" s="115"/>
      <c r="DC875" s="115"/>
      <c r="DD875" s="115"/>
      <c r="DE875" s="115"/>
      <c r="DF875" s="115"/>
      <c r="DG875" s="115"/>
    </row>
    <row r="876" spans="1:111" ht="9" customHeight="1">
      <c r="A876"/>
      <c r="B876" s="494" t="str">
        <f>IF($Z$32&gt;=22,"Item 22","")</f>
        <v/>
      </c>
      <c r="C876" s="495"/>
      <c r="D876" s="495"/>
      <c r="E876" s="495"/>
      <c r="F876" s="495"/>
      <c r="G876" s="495"/>
      <c r="H876" s="495"/>
      <c r="I876" s="495"/>
      <c r="J876" s="495"/>
      <c r="K876" s="495"/>
      <c r="L876" s="495"/>
      <c r="M876" s="495"/>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c r="BY876" s="115"/>
      <c r="BZ876" s="115"/>
      <c r="CA876" s="115"/>
      <c r="CB876" s="115"/>
      <c r="CC876" s="115"/>
      <c r="CD876" s="115"/>
      <c r="CE876" s="115"/>
      <c r="CF876" s="115"/>
      <c r="CG876" s="115"/>
      <c r="CH876" s="115"/>
      <c r="CI876" s="115"/>
      <c r="CJ876" s="115"/>
      <c r="CK876" s="115"/>
      <c r="CL876" s="115"/>
      <c r="CM876" s="115"/>
      <c r="CN876" s="115"/>
      <c r="CO876" s="115"/>
      <c r="CP876" s="115"/>
      <c r="CQ876" s="115"/>
      <c r="CR876" s="115"/>
      <c r="CS876" s="115"/>
      <c r="CT876" s="115"/>
      <c r="CU876" s="115"/>
      <c r="CV876" s="115"/>
      <c r="CW876" s="115"/>
      <c r="CX876" s="115"/>
      <c r="CY876" s="115"/>
      <c r="CZ876" s="115"/>
      <c r="DA876" s="115"/>
      <c r="DB876" s="115"/>
      <c r="DC876" s="115"/>
      <c r="DD876" s="115"/>
      <c r="DE876" s="115"/>
      <c r="DF876" s="115"/>
      <c r="DG876" s="115"/>
    </row>
    <row r="877" spans="1:111" ht="9" customHeight="1">
      <c r="A877"/>
      <c r="B877" s="495"/>
      <c r="C877" s="495"/>
      <c r="D877" s="495"/>
      <c r="E877" s="495"/>
      <c r="F877" s="495"/>
      <c r="G877" s="495"/>
      <c r="H877" s="495"/>
      <c r="I877" s="495"/>
      <c r="J877" s="495"/>
      <c r="K877" s="495"/>
      <c r="L877" s="495"/>
      <c r="M877" s="495"/>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c r="BY877" s="115"/>
      <c r="BZ877" s="115"/>
      <c r="CA877" s="115"/>
      <c r="CB877" s="115"/>
      <c r="CC877" s="115"/>
      <c r="CD877" s="115"/>
      <c r="CE877" s="115"/>
      <c r="CF877" s="115"/>
      <c r="CG877" s="115"/>
      <c r="CH877" s="115"/>
      <c r="CI877" s="115"/>
      <c r="CJ877" s="115"/>
      <c r="CK877" s="115"/>
      <c r="CL877" s="115"/>
      <c r="CM877" s="115"/>
      <c r="CN877" s="115"/>
      <c r="CO877" s="115"/>
      <c r="CP877" s="115"/>
      <c r="CQ877" s="115"/>
      <c r="CR877" s="115"/>
      <c r="CS877" s="115"/>
      <c r="CT877" s="115"/>
      <c r="CU877" s="115"/>
      <c r="CV877" s="115"/>
      <c r="CW877" s="115"/>
      <c r="CX877" s="115"/>
      <c r="CY877" s="115"/>
      <c r="CZ877" s="115"/>
      <c r="DA877" s="115"/>
      <c r="DB877" s="115"/>
      <c r="DC877" s="115"/>
      <c r="DD877" s="115"/>
      <c r="DE877" s="115"/>
      <c r="DF877" s="115"/>
      <c r="DG877" s="115"/>
    </row>
    <row r="878" spans="1:111" ht="4.5" customHeight="1">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c r="BY878" s="115"/>
      <c r="BZ878" s="115"/>
      <c r="CA878" s="115"/>
      <c r="CB878" s="115"/>
      <c r="CC878" s="115"/>
      <c r="CD878" s="115"/>
      <c r="CE878" s="115"/>
      <c r="CF878" s="115"/>
      <c r="CG878" s="115"/>
      <c r="CH878" s="115"/>
      <c r="CI878" s="115"/>
      <c r="CJ878" s="115"/>
      <c r="CK878" s="115"/>
      <c r="CL878" s="115"/>
      <c r="CM878" s="115"/>
      <c r="CN878" s="115"/>
      <c r="CO878" s="115"/>
      <c r="CP878" s="115"/>
      <c r="CQ878" s="115"/>
      <c r="CR878" s="115"/>
      <c r="CS878" s="115"/>
      <c r="CT878" s="115"/>
      <c r="CU878" s="115"/>
      <c r="CV878" s="115"/>
      <c r="CW878" s="115"/>
      <c r="CX878" s="115"/>
      <c r="CY878" s="115"/>
      <c r="CZ878" s="115"/>
      <c r="DA878" s="115"/>
      <c r="DB878" s="115"/>
      <c r="DC878" s="115"/>
      <c r="DD878" s="115"/>
      <c r="DE878" s="115"/>
      <c r="DF878" s="115"/>
      <c r="DG878" s="115"/>
    </row>
    <row r="879" spans="1:111" ht="9" customHeight="1">
      <c r="A879"/>
      <c r="B879" s="493" t="str">
        <f>IF(B876="","","Elemento de Despesa:")</f>
        <v/>
      </c>
      <c r="C879" s="493"/>
      <c r="D879" s="493"/>
      <c r="E879" s="493"/>
      <c r="F879" s="493"/>
      <c r="G879" s="493"/>
      <c r="H879" s="493"/>
      <c r="I879" s="493"/>
      <c r="J879" s="493"/>
      <c r="K879" s="493"/>
      <c r="L879" s="493"/>
      <c r="M879" s="493"/>
      <c r="N879" s="493"/>
      <c r="O879" s="241"/>
      <c r="P879" s="241"/>
      <c r="Q879" s="241"/>
      <c r="R879" s="241"/>
      <c r="S879" s="241"/>
      <c r="T879" s="241"/>
      <c r="U879" s="241"/>
      <c r="V879" s="241"/>
      <c r="W879" s="241"/>
      <c r="X879" s="241"/>
      <c r="Y879" s="241"/>
      <c r="Z879" s="241"/>
      <c r="AA879" s="241"/>
      <c r="AB879" s="241"/>
      <c r="AC879" s="241"/>
      <c r="AD879" s="241"/>
      <c r="AE879" s="241"/>
      <c r="AF879" s="241"/>
      <c r="AG879" s="241"/>
      <c r="AH879" s="241"/>
      <c r="AI879" s="241"/>
      <c r="AJ879" s="241"/>
      <c r="AK879" s="241"/>
      <c r="AL879" s="241"/>
      <c r="AM879" s="241"/>
      <c r="AN879" s="241"/>
      <c r="AO879" s="241"/>
      <c r="AP879" s="241"/>
      <c r="AQ879" s="241"/>
      <c r="AR879" s="241"/>
      <c r="AS879" s="241"/>
      <c r="AT879" s="241"/>
      <c r="AU879" s="241"/>
      <c r="AV879" s="241"/>
      <c r="AW879" s="241"/>
      <c r="AX879" s="241"/>
      <c r="AY879" s="241"/>
      <c r="AZ879" s="241"/>
      <c r="BA879" s="241"/>
      <c r="BB879"/>
      <c r="BC879" s="115"/>
      <c r="BD879" s="115"/>
      <c r="BE879" s="115"/>
      <c r="BF879" s="115"/>
      <c r="BG879" s="115"/>
      <c r="BH879" s="124"/>
      <c r="BI879" s="124"/>
      <c r="BJ879" s="124"/>
      <c r="BK879" s="124"/>
      <c r="BL879" s="124"/>
      <c r="BM879" s="124"/>
      <c r="BN879" s="124"/>
      <c r="BO879" s="124"/>
      <c r="BP879" s="124"/>
      <c r="BQ879" s="124"/>
      <c r="BR879" s="124"/>
      <c r="BS879" s="124"/>
      <c r="BT879" s="124"/>
      <c r="BU879" s="124"/>
      <c r="BV879" s="124"/>
      <c r="BW879" s="124"/>
      <c r="BX879" s="124"/>
      <c r="BY879" s="124"/>
      <c r="BZ879" s="124"/>
      <c r="CA879" s="124"/>
      <c r="CB879" s="124"/>
      <c r="CC879" s="124"/>
      <c r="CD879" s="124"/>
      <c r="CE879" s="124"/>
      <c r="CF879" s="124"/>
      <c r="CG879" s="124"/>
      <c r="CH879" s="124"/>
      <c r="CI879" s="124"/>
      <c r="CJ879" s="124"/>
      <c r="CK879" s="124"/>
      <c r="CL879" s="124"/>
      <c r="CM879" s="124"/>
      <c r="CN879" s="124"/>
      <c r="CO879" s="124"/>
      <c r="CP879" s="124"/>
      <c r="CQ879" s="124"/>
      <c r="CR879" s="124"/>
      <c r="CS879" s="124"/>
      <c r="CT879" s="124"/>
      <c r="CU879" s="124"/>
      <c r="CV879" s="124"/>
      <c r="CW879" s="124"/>
      <c r="CX879" s="124"/>
      <c r="CY879" s="124"/>
      <c r="CZ879" s="124"/>
      <c r="DA879" s="124"/>
      <c r="DB879" s="124"/>
      <c r="DC879" s="124"/>
      <c r="DD879" s="124"/>
      <c r="DE879" s="124"/>
      <c r="DF879" s="124"/>
      <c r="DG879" s="115"/>
    </row>
    <row r="880" spans="1:111" ht="9" customHeight="1">
      <c r="A880"/>
      <c r="B880" s="493"/>
      <c r="C880" s="493"/>
      <c r="D880" s="493"/>
      <c r="E880" s="493"/>
      <c r="F880" s="493"/>
      <c r="G880" s="493"/>
      <c r="H880" s="493"/>
      <c r="I880" s="493"/>
      <c r="J880" s="493"/>
      <c r="K880" s="493"/>
      <c r="L880" s="493"/>
      <c r="M880" s="493"/>
      <c r="N880" s="493"/>
      <c r="O880" s="241"/>
      <c r="P880" s="241"/>
      <c r="Q880" s="241"/>
      <c r="R880" s="241"/>
      <c r="S880" s="241"/>
      <c r="T880" s="241"/>
      <c r="U880" s="241"/>
      <c r="V880" s="241"/>
      <c r="W880" s="241"/>
      <c r="X880" s="241"/>
      <c r="Y880" s="241"/>
      <c r="Z880" s="241"/>
      <c r="AA880" s="241"/>
      <c r="AB880" s="241"/>
      <c r="AC880" s="241"/>
      <c r="AD880" s="241"/>
      <c r="AE880" s="241"/>
      <c r="AF880" s="241"/>
      <c r="AG880" s="241"/>
      <c r="AH880" s="241"/>
      <c r="AI880" s="241"/>
      <c r="AJ880" s="241"/>
      <c r="AK880" s="241"/>
      <c r="AL880" s="241"/>
      <c r="AM880" s="241"/>
      <c r="AN880" s="241"/>
      <c r="AO880" s="241"/>
      <c r="AP880" s="241"/>
      <c r="AQ880" s="241"/>
      <c r="AR880" s="241"/>
      <c r="AS880" s="241"/>
      <c r="AT880" s="241"/>
      <c r="AU880" s="241"/>
      <c r="AV880" s="241"/>
      <c r="AW880" s="241"/>
      <c r="AX880" s="241"/>
      <c r="AY880" s="241"/>
      <c r="AZ880" s="241"/>
      <c r="BA880" s="241"/>
      <c r="BB880"/>
      <c r="BC880" s="115"/>
      <c r="BD880" s="115"/>
      <c r="BE880" s="115"/>
      <c r="BF880" s="115"/>
      <c r="BG880" s="115"/>
      <c r="BH880" s="124"/>
      <c r="BI880" s="124"/>
      <c r="BJ880" s="124"/>
      <c r="BK880" s="124"/>
      <c r="BL880" s="124"/>
      <c r="BM880" s="124"/>
      <c r="BN880" s="124"/>
      <c r="BO880" s="124"/>
      <c r="BP880" s="124"/>
      <c r="BQ880" s="124"/>
      <c r="BR880" s="124"/>
      <c r="BS880" s="124"/>
      <c r="BT880" s="124"/>
      <c r="BU880" s="124"/>
      <c r="BV880" s="124"/>
      <c r="BW880" s="124"/>
      <c r="BX880" s="124"/>
      <c r="BY880" s="124"/>
      <c r="BZ880" s="124"/>
      <c r="CA880" s="124"/>
      <c r="CB880" s="124"/>
      <c r="CC880" s="124"/>
      <c r="CD880" s="124"/>
      <c r="CE880" s="124"/>
      <c r="CF880" s="124"/>
      <c r="CG880" s="124"/>
      <c r="CH880" s="124"/>
      <c r="CI880" s="124"/>
      <c r="CJ880" s="124"/>
      <c r="CK880" s="124"/>
      <c r="CL880" s="124"/>
      <c r="CM880" s="124"/>
      <c r="CN880" s="124"/>
      <c r="CO880" s="124"/>
      <c r="CP880" s="124"/>
      <c r="CQ880" s="124"/>
      <c r="CR880" s="124"/>
      <c r="CS880" s="124"/>
      <c r="CT880" s="124"/>
      <c r="CU880" s="124"/>
      <c r="CV880" s="124"/>
      <c r="CW880" s="124"/>
      <c r="CX880" s="124"/>
      <c r="CY880" s="124"/>
      <c r="CZ880" s="124"/>
      <c r="DA880" s="124"/>
      <c r="DB880" s="124"/>
      <c r="DC880" s="124"/>
      <c r="DD880" s="124"/>
      <c r="DE880" s="124"/>
      <c r="DF880" s="124"/>
      <c r="DG880" s="115"/>
    </row>
    <row r="881" spans="1:111" ht="4.5" customHeight="1">
      <c r="A881"/>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49"/>
      <c r="AY881" s="49"/>
      <c r="AZ881" s="49"/>
      <c r="BA881" s="49"/>
      <c r="BB881"/>
      <c r="BC881" s="115"/>
      <c r="BD881" s="115"/>
      <c r="BE881" s="115"/>
      <c r="BF881" s="115"/>
      <c r="BG881" s="115"/>
      <c r="BH881" s="124"/>
      <c r="BI881" s="124"/>
      <c r="BJ881" s="124"/>
      <c r="BK881" s="124"/>
      <c r="BL881" s="124"/>
      <c r="BM881" s="124"/>
      <c r="BN881" s="124"/>
      <c r="BO881" s="124"/>
      <c r="BP881" s="124"/>
      <c r="BQ881" s="124"/>
      <c r="BR881" s="124"/>
      <c r="BS881" s="124"/>
      <c r="BT881" s="124"/>
      <c r="BU881" s="124"/>
      <c r="BV881" s="124"/>
      <c r="BW881" s="124"/>
      <c r="BX881" s="124"/>
      <c r="BY881" s="124"/>
      <c r="BZ881" s="124"/>
      <c r="CA881" s="124"/>
      <c r="CB881" s="124"/>
      <c r="CC881" s="124"/>
      <c r="CD881" s="124"/>
      <c r="CE881" s="124"/>
      <c r="CF881" s="124"/>
      <c r="CG881" s="124"/>
      <c r="CH881" s="124"/>
      <c r="CI881" s="124"/>
      <c r="CJ881" s="124"/>
      <c r="CK881" s="124"/>
      <c r="CL881" s="124"/>
      <c r="CM881" s="124"/>
      <c r="CN881" s="124"/>
      <c r="CO881" s="124"/>
      <c r="CP881" s="124"/>
      <c r="CQ881" s="124"/>
      <c r="CR881" s="124"/>
      <c r="CS881" s="124"/>
      <c r="CT881" s="124"/>
      <c r="CU881" s="124"/>
      <c r="CV881" s="124"/>
      <c r="CW881" s="124"/>
      <c r="CX881" s="124"/>
      <c r="CY881" s="124"/>
      <c r="CZ881" s="124"/>
      <c r="DA881" s="124"/>
      <c r="DB881" s="124"/>
      <c r="DC881" s="124"/>
      <c r="DD881" s="124"/>
      <c r="DE881" s="124"/>
      <c r="DF881" s="124"/>
      <c r="DG881" s="115"/>
    </row>
    <row r="882" spans="1:111" ht="9" customHeight="1">
      <c r="A882"/>
      <c r="B882" s="493" t="str">
        <f>IF(B876="","","Objeto:")</f>
        <v/>
      </c>
      <c r="C882" s="493"/>
      <c r="D882" s="493"/>
      <c r="E882" s="493"/>
      <c r="F882" s="493"/>
      <c r="G882" s="493"/>
      <c r="H882" s="493"/>
      <c r="I882" s="493"/>
      <c r="J882" s="493"/>
      <c r="K882" s="493"/>
      <c r="L882" s="493"/>
      <c r="M882" s="493"/>
      <c r="N882" s="493"/>
      <c r="O882" s="421"/>
      <c r="P882" s="421"/>
      <c r="Q882" s="421"/>
      <c r="R882" s="421"/>
      <c r="S882" s="421"/>
      <c r="T882" s="421"/>
      <c r="U882" s="421"/>
      <c r="V882" s="421"/>
      <c r="W882" s="421"/>
      <c r="X882" s="421"/>
      <c r="Y882" s="421"/>
      <c r="Z882" s="421"/>
      <c r="AA882" s="421"/>
      <c r="AB882" s="421"/>
      <c r="AC882" s="421"/>
      <c r="AD882" s="421"/>
      <c r="AE882" s="421"/>
      <c r="AF882" s="421"/>
      <c r="AG882" s="421"/>
      <c r="AH882" s="421"/>
      <c r="AI882" s="421"/>
      <c r="AJ882" s="421"/>
      <c r="AK882" s="421"/>
      <c r="AL882" s="421"/>
      <c r="AM882" s="421"/>
      <c r="AN882" s="421"/>
      <c r="AO882" s="421"/>
      <c r="AP882" s="421"/>
      <c r="AQ882" s="421"/>
      <c r="AR882" s="421"/>
      <c r="AS882" s="421"/>
      <c r="AT882" s="421"/>
      <c r="AU882" s="421"/>
      <c r="AV882" s="421"/>
      <c r="AW882" s="421"/>
      <c r="AX882" s="421"/>
      <c r="AY882" s="421"/>
      <c r="AZ882" s="421"/>
      <c r="BA882" s="421"/>
      <c r="BB882"/>
      <c r="BC882" s="115"/>
      <c r="BD882" s="115"/>
      <c r="BE882" s="115"/>
      <c r="BF882" s="115"/>
      <c r="BG882" s="115"/>
      <c r="BH882" s="124"/>
      <c r="BI882" s="124"/>
      <c r="BJ882" s="124"/>
      <c r="BK882" s="124"/>
      <c r="BL882" s="124"/>
      <c r="BM882" s="124"/>
      <c r="BN882" s="124"/>
      <c r="BO882" s="124"/>
      <c r="BP882" s="124"/>
      <c r="BQ882" s="124"/>
      <c r="BR882" s="124"/>
      <c r="BS882" s="124"/>
      <c r="BT882" s="124"/>
      <c r="BU882" s="124"/>
      <c r="BV882" s="124"/>
      <c r="BW882" s="124"/>
      <c r="BX882" s="124"/>
      <c r="BY882" s="124"/>
      <c r="BZ882" s="124"/>
      <c r="CA882" s="124"/>
      <c r="CB882" s="124"/>
      <c r="CC882" s="124"/>
      <c r="CD882" s="124"/>
      <c r="CE882" s="124"/>
      <c r="CF882" s="124"/>
      <c r="CG882" s="124"/>
      <c r="CH882" s="124"/>
      <c r="CI882" s="124"/>
      <c r="CJ882" s="124"/>
      <c r="CK882" s="124"/>
      <c r="CL882" s="124"/>
      <c r="CM882" s="124"/>
      <c r="CN882" s="124"/>
      <c r="CO882" s="124"/>
      <c r="CP882" s="124"/>
      <c r="CQ882" s="124"/>
      <c r="CR882" s="124"/>
      <c r="CS882" s="124"/>
      <c r="CT882" s="124"/>
      <c r="CU882" s="124"/>
      <c r="CV882" s="124"/>
      <c r="CW882" s="124"/>
      <c r="CX882" s="124"/>
      <c r="CY882" s="124"/>
      <c r="CZ882" s="124"/>
      <c r="DA882" s="124"/>
      <c r="DB882" s="124"/>
      <c r="DC882" s="124"/>
      <c r="DD882" s="124"/>
      <c r="DE882" s="124"/>
      <c r="DF882" s="124"/>
      <c r="DG882" s="115"/>
    </row>
    <row r="883" spans="1:111" ht="9" customHeight="1">
      <c r="A883"/>
      <c r="B883" s="493"/>
      <c r="C883" s="493"/>
      <c r="D883" s="493"/>
      <c r="E883" s="493"/>
      <c r="F883" s="493"/>
      <c r="G883" s="493"/>
      <c r="H883" s="493"/>
      <c r="I883" s="493"/>
      <c r="J883" s="493"/>
      <c r="K883" s="493"/>
      <c r="L883" s="493"/>
      <c r="M883" s="493"/>
      <c r="N883" s="493"/>
      <c r="O883" s="421"/>
      <c r="P883" s="421"/>
      <c r="Q883" s="421"/>
      <c r="R883" s="421"/>
      <c r="S883" s="421"/>
      <c r="T883" s="421"/>
      <c r="U883" s="421"/>
      <c r="V883" s="421"/>
      <c r="W883" s="421"/>
      <c r="X883" s="421"/>
      <c r="Y883" s="421"/>
      <c r="Z883" s="421"/>
      <c r="AA883" s="421"/>
      <c r="AB883" s="421"/>
      <c r="AC883" s="421"/>
      <c r="AD883" s="421"/>
      <c r="AE883" s="421"/>
      <c r="AF883" s="421"/>
      <c r="AG883" s="421"/>
      <c r="AH883" s="421"/>
      <c r="AI883" s="421"/>
      <c r="AJ883" s="421"/>
      <c r="AK883" s="421"/>
      <c r="AL883" s="421"/>
      <c r="AM883" s="421"/>
      <c r="AN883" s="421"/>
      <c r="AO883" s="421"/>
      <c r="AP883" s="421"/>
      <c r="AQ883" s="421"/>
      <c r="AR883" s="421"/>
      <c r="AS883" s="421"/>
      <c r="AT883" s="421"/>
      <c r="AU883" s="421"/>
      <c r="AV883" s="421"/>
      <c r="AW883" s="421"/>
      <c r="AX883" s="421"/>
      <c r="AY883" s="421"/>
      <c r="AZ883" s="421"/>
      <c r="BA883" s="421"/>
      <c r="BB883"/>
      <c r="BC883" s="115"/>
      <c r="BD883" s="115"/>
      <c r="BE883" s="115"/>
      <c r="BF883" s="115"/>
      <c r="BG883" s="115"/>
      <c r="BH883" s="124"/>
      <c r="BI883" s="124"/>
      <c r="BJ883" s="124"/>
      <c r="BK883" s="124"/>
      <c r="BL883" s="124"/>
      <c r="BM883" s="124"/>
      <c r="BN883" s="124"/>
      <c r="BO883" s="124"/>
      <c r="BP883" s="124"/>
      <c r="BQ883" s="124"/>
      <c r="BR883" s="124"/>
      <c r="BS883" s="124"/>
      <c r="BT883" s="124"/>
      <c r="BU883" s="124"/>
      <c r="BV883" s="124"/>
      <c r="BW883" s="124"/>
      <c r="BX883" s="124"/>
      <c r="BY883" s="124"/>
      <c r="BZ883" s="124"/>
      <c r="CA883" s="124"/>
      <c r="CB883" s="124"/>
      <c r="CC883" s="124"/>
      <c r="CD883" s="124"/>
      <c r="CE883" s="124"/>
      <c r="CF883" s="124"/>
      <c r="CG883" s="124"/>
      <c r="CH883" s="124"/>
      <c r="CI883" s="124"/>
      <c r="CJ883" s="124"/>
      <c r="CK883" s="124"/>
      <c r="CL883" s="124"/>
      <c r="CM883" s="124"/>
      <c r="CN883" s="124"/>
      <c r="CO883" s="124"/>
      <c r="CP883" s="124"/>
      <c r="CQ883" s="124"/>
      <c r="CR883" s="124"/>
      <c r="CS883" s="124"/>
      <c r="CT883" s="124"/>
      <c r="CU883" s="124"/>
      <c r="CV883" s="124"/>
      <c r="CW883" s="124"/>
      <c r="CX883" s="124"/>
      <c r="CY883" s="124"/>
      <c r="CZ883" s="124"/>
      <c r="DA883" s="124"/>
      <c r="DB883" s="124"/>
      <c r="DC883" s="124"/>
      <c r="DD883" s="124"/>
      <c r="DE883" s="124"/>
      <c r="DF883" s="124"/>
      <c r="DG883" s="115"/>
    </row>
    <row r="884" spans="1:111" ht="9" customHeight="1">
      <c r="A884"/>
      <c r="B884" s="143"/>
      <c r="C884" s="143"/>
      <c r="D884" s="143"/>
      <c r="E884" s="143"/>
      <c r="F884" s="143"/>
      <c r="G884" s="143"/>
      <c r="H884" s="143"/>
      <c r="I884" s="143"/>
      <c r="J884" s="143"/>
      <c r="K884" s="143"/>
      <c r="L884" s="143"/>
      <c r="M884" s="143"/>
      <c r="N884" s="143"/>
      <c r="O884" s="421"/>
      <c r="P884" s="421"/>
      <c r="Q884" s="421"/>
      <c r="R884" s="421"/>
      <c r="S884" s="421"/>
      <c r="T884" s="421"/>
      <c r="U884" s="421"/>
      <c r="V884" s="421"/>
      <c r="W884" s="421"/>
      <c r="X884" s="421"/>
      <c r="Y884" s="421"/>
      <c r="Z884" s="421"/>
      <c r="AA884" s="421"/>
      <c r="AB884" s="421"/>
      <c r="AC884" s="421"/>
      <c r="AD884" s="421"/>
      <c r="AE884" s="421"/>
      <c r="AF884" s="421"/>
      <c r="AG884" s="421"/>
      <c r="AH884" s="421"/>
      <c r="AI884" s="421"/>
      <c r="AJ884" s="421"/>
      <c r="AK884" s="421"/>
      <c r="AL884" s="421"/>
      <c r="AM884" s="421"/>
      <c r="AN884" s="421"/>
      <c r="AO884" s="421"/>
      <c r="AP884" s="421"/>
      <c r="AQ884" s="421"/>
      <c r="AR884" s="421"/>
      <c r="AS884" s="421"/>
      <c r="AT884" s="421"/>
      <c r="AU884" s="421"/>
      <c r="AV884" s="421"/>
      <c r="AW884" s="421"/>
      <c r="AX884" s="421"/>
      <c r="AY884" s="421"/>
      <c r="AZ884" s="421"/>
      <c r="BA884" s="421"/>
      <c r="BB884"/>
      <c r="BC884" s="115"/>
      <c r="BD884" s="115"/>
      <c r="BE884" s="115"/>
      <c r="BF884" s="115"/>
      <c r="BG884" s="115"/>
      <c r="BH884" s="138"/>
      <c r="BI884" s="138"/>
      <c r="BJ884" s="138"/>
      <c r="BK884" s="138"/>
      <c r="BL884" s="138"/>
      <c r="BM884" s="138"/>
      <c r="BN884" s="138"/>
      <c r="BO884" s="138"/>
      <c r="BP884" s="138"/>
      <c r="BQ884" s="138"/>
      <c r="BR884" s="138"/>
      <c r="BS884" s="138"/>
      <c r="BT884" s="138"/>
      <c r="BU884" s="138"/>
      <c r="BV884" s="138"/>
      <c r="BW884" s="138"/>
      <c r="BX884" s="138"/>
      <c r="BY884" s="138"/>
      <c r="BZ884" s="138"/>
      <c r="CA884" s="138"/>
      <c r="CB884" s="138"/>
      <c r="CC884" s="138"/>
      <c r="CD884" s="138"/>
      <c r="CE884" s="138"/>
      <c r="CF884" s="138"/>
      <c r="CG884" s="138"/>
      <c r="CH884" s="138"/>
      <c r="CI884" s="138"/>
      <c r="CJ884" s="138"/>
      <c r="CK884" s="138"/>
      <c r="CL884" s="138"/>
      <c r="CM884" s="138"/>
      <c r="CN884" s="138"/>
      <c r="CO884" s="138"/>
      <c r="CP884" s="138"/>
      <c r="CQ884" s="138"/>
      <c r="CR884" s="138"/>
      <c r="CS884" s="138"/>
      <c r="CT884" s="138"/>
      <c r="CU884" s="138"/>
      <c r="CV884" s="138"/>
      <c r="CW884" s="138"/>
      <c r="CX884" s="138"/>
      <c r="CY884" s="138"/>
      <c r="CZ884" s="138"/>
      <c r="DA884" s="138"/>
      <c r="DB884" s="138"/>
      <c r="DC884" s="138"/>
      <c r="DD884" s="138"/>
      <c r="DE884" s="138"/>
      <c r="DF884" s="138"/>
      <c r="DG884" s="115"/>
    </row>
    <row r="885" spans="1:111" ht="9" customHeight="1">
      <c r="A885"/>
      <c r="B885" s="49"/>
      <c r="C885" s="49"/>
      <c r="D885" s="49"/>
      <c r="E885" s="49"/>
      <c r="F885" s="49"/>
      <c r="G885" s="49"/>
      <c r="H885" s="49"/>
      <c r="I885" s="49"/>
      <c r="J885" s="49"/>
      <c r="K885" s="49"/>
      <c r="L885" s="49"/>
      <c r="M885" s="49"/>
      <c r="N885" s="49"/>
      <c r="O885" s="421"/>
      <c r="P885" s="421"/>
      <c r="Q885" s="421"/>
      <c r="R885" s="421"/>
      <c r="S885" s="421"/>
      <c r="T885" s="421"/>
      <c r="U885" s="421"/>
      <c r="V885" s="421"/>
      <c r="W885" s="421"/>
      <c r="X885" s="421"/>
      <c r="Y885" s="421"/>
      <c r="Z885" s="421"/>
      <c r="AA885" s="421"/>
      <c r="AB885" s="421"/>
      <c r="AC885" s="421"/>
      <c r="AD885" s="421"/>
      <c r="AE885" s="421"/>
      <c r="AF885" s="421"/>
      <c r="AG885" s="421"/>
      <c r="AH885" s="421"/>
      <c r="AI885" s="421"/>
      <c r="AJ885" s="421"/>
      <c r="AK885" s="421"/>
      <c r="AL885" s="421"/>
      <c r="AM885" s="421"/>
      <c r="AN885" s="421"/>
      <c r="AO885" s="421"/>
      <c r="AP885" s="421"/>
      <c r="AQ885" s="421"/>
      <c r="AR885" s="421"/>
      <c r="AS885" s="421"/>
      <c r="AT885" s="421"/>
      <c r="AU885" s="421"/>
      <c r="AV885" s="421"/>
      <c r="AW885" s="421"/>
      <c r="AX885" s="421"/>
      <c r="AY885" s="421"/>
      <c r="AZ885" s="421"/>
      <c r="BA885" s="421"/>
      <c r="BB88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c r="BY885" s="115"/>
      <c r="BZ885" s="115"/>
      <c r="CA885" s="115"/>
      <c r="CB885" s="115"/>
      <c r="CC885" s="115"/>
      <c r="CD885" s="115"/>
      <c r="CE885" s="115"/>
      <c r="CF885" s="115"/>
      <c r="CG885" s="115"/>
      <c r="CH885" s="115"/>
      <c r="CI885" s="115"/>
      <c r="CJ885" s="115"/>
      <c r="CK885" s="115"/>
      <c r="CL885" s="115"/>
      <c r="CM885" s="115"/>
      <c r="CN885" s="115"/>
      <c r="CO885" s="115"/>
      <c r="CP885" s="115"/>
      <c r="CQ885" s="115"/>
      <c r="CR885" s="115"/>
      <c r="CS885" s="115"/>
      <c r="CT885" s="115"/>
      <c r="CU885" s="115"/>
      <c r="CV885" s="115"/>
      <c r="CW885" s="115"/>
      <c r="CX885" s="115"/>
      <c r="CY885" s="115"/>
      <c r="CZ885" s="115"/>
      <c r="DA885" s="115"/>
      <c r="DB885" s="115"/>
      <c r="DC885" s="115"/>
      <c r="DD885" s="115"/>
      <c r="DE885" s="115"/>
      <c r="DF885" s="115"/>
      <c r="DG885" s="115"/>
    </row>
    <row r="886" spans="1:111" ht="4.5" customHeight="1">
      <c r="A886"/>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c r="AY886" s="49"/>
      <c r="AZ886" s="49"/>
      <c r="BA886" s="49"/>
      <c r="BB886"/>
      <c r="BC886" s="115"/>
      <c r="BD886" s="115"/>
      <c r="BE886" s="115"/>
      <c r="BF886" s="115"/>
      <c r="BG886" s="115"/>
      <c r="BH886" s="124"/>
      <c r="BI886" s="124"/>
      <c r="BJ886" s="124"/>
      <c r="BK886" s="124"/>
      <c r="BL886" s="124"/>
      <c r="BM886" s="124"/>
      <c r="BN886" s="124"/>
      <c r="BO886" s="124"/>
      <c r="BP886" s="124"/>
      <c r="BQ886" s="124"/>
      <c r="BR886" s="124"/>
      <c r="BS886" s="124"/>
      <c r="BT886" s="124"/>
      <c r="BU886" s="124"/>
      <c r="BV886" s="124"/>
      <c r="BW886" s="124"/>
      <c r="BX886" s="124"/>
      <c r="BY886" s="124"/>
      <c r="BZ886" s="124"/>
      <c r="CA886" s="124"/>
      <c r="CB886" s="124"/>
      <c r="CC886" s="124"/>
      <c r="CD886" s="124"/>
      <c r="CE886" s="124"/>
      <c r="CF886" s="124"/>
      <c r="CG886" s="124"/>
      <c r="CH886" s="124"/>
      <c r="CI886" s="124"/>
      <c r="CJ886" s="124"/>
      <c r="CK886" s="124"/>
      <c r="CL886" s="124"/>
      <c r="CM886" s="124"/>
      <c r="CN886" s="124"/>
      <c r="CO886" s="124"/>
      <c r="CP886" s="124"/>
      <c r="CQ886" s="124"/>
      <c r="CR886" s="124"/>
      <c r="CS886" s="124"/>
      <c r="CT886" s="124"/>
      <c r="CU886" s="124"/>
      <c r="CV886" s="124"/>
      <c r="CW886" s="124"/>
      <c r="CX886" s="124"/>
      <c r="CY886" s="124"/>
      <c r="CZ886" s="124"/>
      <c r="DA886" s="124"/>
      <c r="DB886" s="124"/>
      <c r="DC886" s="124"/>
      <c r="DD886" s="124"/>
      <c r="DE886" s="124"/>
      <c r="DF886" s="124"/>
      <c r="DG886" s="115"/>
    </row>
    <row r="887" spans="1:111" ht="9" customHeight="1">
      <c r="A887"/>
      <c r="B887" s="493" t="str">
        <f>IF(B876="","","Detalhamento do Objeto:")</f>
        <v/>
      </c>
      <c r="C887" s="493"/>
      <c r="D887" s="493"/>
      <c r="E887" s="493"/>
      <c r="F887" s="493"/>
      <c r="G887" s="493"/>
      <c r="H887" s="493"/>
      <c r="I887" s="493"/>
      <c r="J887" s="493"/>
      <c r="K887" s="493"/>
      <c r="L887" s="493"/>
      <c r="M887" s="493"/>
      <c r="N887" s="493"/>
      <c r="O887" s="421"/>
      <c r="P887" s="421"/>
      <c r="Q887" s="421"/>
      <c r="R887" s="421"/>
      <c r="S887" s="421"/>
      <c r="T887" s="421"/>
      <c r="U887" s="421"/>
      <c r="V887" s="421"/>
      <c r="W887" s="421"/>
      <c r="X887" s="421"/>
      <c r="Y887" s="421"/>
      <c r="Z887" s="421"/>
      <c r="AA887" s="421"/>
      <c r="AB887" s="421"/>
      <c r="AC887" s="421"/>
      <c r="AD887" s="421"/>
      <c r="AE887" s="421"/>
      <c r="AF887" s="421"/>
      <c r="AG887" s="421"/>
      <c r="AH887" s="421"/>
      <c r="AI887" s="421"/>
      <c r="AJ887" s="421"/>
      <c r="AK887" s="421"/>
      <c r="AL887" s="421"/>
      <c r="AM887" s="421"/>
      <c r="AN887" s="421"/>
      <c r="AO887" s="421"/>
      <c r="AP887" s="421"/>
      <c r="AQ887" s="421"/>
      <c r="AR887" s="421"/>
      <c r="AS887" s="421"/>
      <c r="AT887" s="421"/>
      <c r="AU887" s="421"/>
      <c r="AV887" s="421"/>
      <c r="AW887" s="421"/>
      <c r="AX887" s="421"/>
      <c r="AY887" s="421"/>
      <c r="AZ887" s="421"/>
      <c r="BA887" s="421"/>
      <c r="BB887"/>
      <c r="BC887" s="115"/>
      <c r="BD887" s="115"/>
      <c r="BE887" s="115"/>
      <c r="BF887" s="115"/>
      <c r="BG887" s="115"/>
      <c r="BH887" s="124"/>
      <c r="BI887" s="124"/>
      <c r="BJ887" s="124"/>
      <c r="BK887" s="124"/>
      <c r="BL887" s="124"/>
      <c r="BM887" s="124"/>
      <c r="BN887" s="124"/>
      <c r="BO887" s="124"/>
      <c r="BP887" s="124"/>
      <c r="BQ887" s="124"/>
      <c r="BR887" s="124"/>
      <c r="BS887" s="124"/>
      <c r="BT887" s="124"/>
      <c r="BU887" s="124"/>
      <c r="BV887" s="124"/>
      <c r="BW887" s="124"/>
      <c r="BX887" s="124"/>
      <c r="BY887" s="124"/>
      <c r="BZ887" s="124"/>
      <c r="CA887" s="124"/>
      <c r="CB887" s="124"/>
      <c r="CC887" s="124"/>
      <c r="CD887" s="124"/>
      <c r="CE887" s="124"/>
      <c r="CF887" s="124"/>
      <c r="CG887" s="124"/>
      <c r="CH887" s="124"/>
      <c r="CI887" s="124"/>
      <c r="CJ887" s="124"/>
      <c r="CK887" s="124"/>
      <c r="CL887" s="124"/>
      <c r="CM887" s="124"/>
      <c r="CN887" s="124"/>
      <c r="CO887" s="124"/>
      <c r="CP887" s="124"/>
      <c r="CQ887" s="124"/>
      <c r="CR887" s="124"/>
      <c r="CS887" s="124"/>
      <c r="CT887" s="124"/>
      <c r="CU887" s="124"/>
      <c r="CV887" s="124"/>
      <c r="CW887" s="124"/>
      <c r="CX887" s="124"/>
      <c r="CY887" s="124"/>
      <c r="CZ887" s="124"/>
      <c r="DA887" s="124"/>
      <c r="DB887" s="124"/>
      <c r="DC887" s="124"/>
      <c r="DD887" s="124"/>
      <c r="DE887" s="124"/>
      <c r="DF887" s="124"/>
      <c r="DG887" s="115"/>
    </row>
    <row r="888" spans="1:111" ht="9" customHeight="1">
      <c r="A888"/>
      <c r="B888" s="493"/>
      <c r="C888" s="493"/>
      <c r="D888" s="493"/>
      <c r="E888" s="493"/>
      <c r="F888" s="493"/>
      <c r="G888" s="493"/>
      <c r="H888" s="493"/>
      <c r="I888" s="493"/>
      <c r="J888" s="493"/>
      <c r="K888" s="493"/>
      <c r="L888" s="493"/>
      <c r="M888" s="493"/>
      <c r="N888" s="493"/>
      <c r="O888" s="421"/>
      <c r="P888" s="421"/>
      <c r="Q888" s="421"/>
      <c r="R888" s="421"/>
      <c r="S888" s="421"/>
      <c r="T888" s="421"/>
      <c r="U888" s="421"/>
      <c r="V888" s="421"/>
      <c r="W888" s="421"/>
      <c r="X888" s="421"/>
      <c r="Y888" s="421"/>
      <c r="Z888" s="421"/>
      <c r="AA888" s="421"/>
      <c r="AB888" s="421"/>
      <c r="AC888" s="421"/>
      <c r="AD888" s="421"/>
      <c r="AE888" s="421"/>
      <c r="AF888" s="421"/>
      <c r="AG888" s="421"/>
      <c r="AH888" s="421"/>
      <c r="AI888" s="421"/>
      <c r="AJ888" s="421"/>
      <c r="AK888" s="421"/>
      <c r="AL888" s="421"/>
      <c r="AM888" s="421"/>
      <c r="AN888" s="421"/>
      <c r="AO888" s="421"/>
      <c r="AP888" s="421"/>
      <c r="AQ888" s="421"/>
      <c r="AR888" s="421"/>
      <c r="AS888" s="421"/>
      <c r="AT888" s="421"/>
      <c r="AU888" s="421"/>
      <c r="AV888" s="421"/>
      <c r="AW888" s="421"/>
      <c r="AX888" s="421"/>
      <c r="AY888" s="421"/>
      <c r="AZ888" s="421"/>
      <c r="BA888" s="421"/>
      <c r="BB888"/>
      <c r="BC888" s="115"/>
      <c r="BD888" s="115"/>
      <c r="BE888" s="115"/>
      <c r="BF888" s="115"/>
      <c r="BG888" s="115"/>
      <c r="BH888" s="124"/>
      <c r="BI888" s="124"/>
      <c r="BJ888" s="124"/>
      <c r="BK888" s="124"/>
      <c r="BL888" s="124"/>
      <c r="BM888" s="124"/>
      <c r="BN888" s="124"/>
      <c r="BO888" s="124"/>
      <c r="BP888" s="124"/>
      <c r="BQ888" s="124"/>
      <c r="BR888" s="124"/>
      <c r="BS888" s="124"/>
      <c r="BT888" s="124"/>
      <c r="BU888" s="124"/>
      <c r="BV888" s="124"/>
      <c r="BW888" s="124"/>
      <c r="BX888" s="124"/>
      <c r="BY888" s="124"/>
      <c r="BZ888" s="124"/>
      <c r="CA888" s="124"/>
      <c r="CB888" s="124"/>
      <c r="CC888" s="124"/>
      <c r="CD888" s="124"/>
      <c r="CE888" s="124"/>
      <c r="CF888" s="124"/>
      <c r="CG888" s="124"/>
      <c r="CH888" s="124"/>
      <c r="CI888" s="124"/>
      <c r="CJ888" s="124"/>
      <c r="CK888" s="124"/>
      <c r="CL888" s="124"/>
      <c r="CM888" s="124"/>
      <c r="CN888" s="124"/>
      <c r="CO888" s="124"/>
      <c r="CP888" s="124"/>
      <c r="CQ888" s="124"/>
      <c r="CR888" s="124"/>
      <c r="CS888" s="124"/>
      <c r="CT888" s="124"/>
      <c r="CU888" s="124"/>
      <c r="CV888" s="124"/>
      <c r="CW888" s="124"/>
      <c r="CX888" s="124"/>
      <c r="CY888" s="124"/>
      <c r="CZ888" s="124"/>
      <c r="DA888" s="124"/>
      <c r="DB888" s="124"/>
      <c r="DC888" s="124"/>
      <c r="DD888" s="124"/>
      <c r="DE888" s="124"/>
      <c r="DF888" s="124"/>
      <c r="DG888" s="115"/>
    </row>
    <row r="889" spans="1:111" ht="9" customHeight="1">
      <c r="A889"/>
      <c r="B889" s="143"/>
      <c r="C889" s="143"/>
      <c r="D889" s="143"/>
      <c r="E889" s="143"/>
      <c r="F889" s="143"/>
      <c r="G889" s="143"/>
      <c r="H889" s="143"/>
      <c r="I889" s="143"/>
      <c r="J889" s="143"/>
      <c r="K889" s="143"/>
      <c r="L889" s="143"/>
      <c r="M889" s="143"/>
      <c r="N889" s="143"/>
      <c r="O889" s="421"/>
      <c r="P889" s="421"/>
      <c r="Q889" s="421"/>
      <c r="R889" s="421"/>
      <c r="S889" s="421"/>
      <c r="T889" s="421"/>
      <c r="U889" s="421"/>
      <c r="V889" s="421"/>
      <c r="W889" s="421"/>
      <c r="X889" s="421"/>
      <c r="Y889" s="421"/>
      <c r="Z889" s="421"/>
      <c r="AA889" s="421"/>
      <c r="AB889" s="421"/>
      <c r="AC889" s="421"/>
      <c r="AD889" s="421"/>
      <c r="AE889" s="421"/>
      <c r="AF889" s="421"/>
      <c r="AG889" s="421"/>
      <c r="AH889" s="421"/>
      <c r="AI889" s="421"/>
      <c r="AJ889" s="421"/>
      <c r="AK889" s="421"/>
      <c r="AL889" s="421"/>
      <c r="AM889" s="421"/>
      <c r="AN889" s="421"/>
      <c r="AO889" s="421"/>
      <c r="AP889" s="421"/>
      <c r="AQ889" s="421"/>
      <c r="AR889" s="421"/>
      <c r="AS889" s="421"/>
      <c r="AT889" s="421"/>
      <c r="AU889" s="421"/>
      <c r="AV889" s="421"/>
      <c r="AW889" s="421"/>
      <c r="AX889" s="421"/>
      <c r="AY889" s="421"/>
      <c r="AZ889" s="421"/>
      <c r="BA889" s="421"/>
      <c r="BB889"/>
      <c r="BC889" s="115"/>
      <c r="BD889" s="115"/>
      <c r="BE889" s="115"/>
      <c r="BF889" s="115"/>
      <c r="BG889" s="115"/>
      <c r="BH889" s="138"/>
      <c r="BI889" s="138"/>
      <c r="BJ889" s="138"/>
      <c r="BK889" s="138"/>
      <c r="BL889" s="138"/>
      <c r="BM889" s="138"/>
      <c r="BN889" s="138"/>
      <c r="BO889" s="138"/>
      <c r="BP889" s="138"/>
      <c r="BQ889" s="138"/>
      <c r="BR889" s="138"/>
      <c r="BS889" s="138"/>
      <c r="BT889" s="138"/>
      <c r="BU889" s="138"/>
      <c r="BV889" s="138"/>
      <c r="BW889" s="138"/>
      <c r="BX889" s="138"/>
      <c r="BY889" s="138"/>
      <c r="BZ889" s="138"/>
      <c r="CA889" s="138"/>
      <c r="CB889" s="138"/>
      <c r="CC889" s="138"/>
      <c r="CD889" s="138"/>
      <c r="CE889" s="138"/>
      <c r="CF889" s="138"/>
      <c r="CG889" s="138"/>
      <c r="CH889" s="138"/>
      <c r="CI889" s="138"/>
      <c r="CJ889" s="138"/>
      <c r="CK889" s="138"/>
      <c r="CL889" s="138"/>
      <c r="CM889" s="138"/>
      <c r="CN889" s="138"/>
      <c r="CO889" s="138"/>
      <c r="CP889" s="138"/>
      <c r="CQ889" s="138"/>
      <c r="CR889" s="138"/>
      <c r="CS889" s="138"/>
      <c r="CT889" s="138"/>
      <c r="CU889" s="138"/>
      <c r="CV889" s="138"/>
      <c r="CW889" s="138"/>
      <c r="CX889" s="138"/>
      <c r="CY889" s="138"/>
      <c r="CZ889" s="138"/>
      <c r="DA889" s="138"/>
      <c r="DB889" s="138"/>
      <c r="DC889" s="138"/>
      <c r="DD889" s="138"/>
      <c r="DE889" s="138"/>
      <c r="DF889" s="138"/>
      <c r="DG889" s="115"/>
    </row>
    <row r="890" spans="1:111" ht="9" customHeight="1">
      <c r="A890"/>
      <c r="B890" s="143"/>
      <c r="C890" s="143"/>
      <c r="D890" s="143"/>
      <c r="E890" s="143"/>
      <c r="F890" s="143"/>
      <c r="G890" s="143"/>
      <c r="H890" s="143"/>
      <c r="I890" s="143"/>
      <c r="J890" s="143"/>
      <c r="K890" s="143"/>
      <c r="L890" s="143"/>
      <c r="M890" s="143"/>
      <c r="N890" s="143"/>
      <c r="O890" s="421"/>
      <c r="P890" s="421"/>
      <c r="Q890" s="421"/>
      <c r="R890" s="421"/>
      <c r="S890" s="421"/>
      <c r="T890" s="421"/>
      <c r="U890" s="421"/>
      <c r="V890" s="421"/>
      <c r="W890" s="421"/>
      <c r="X890" s="421"/>
      <c r="Y890" s="421"/>
      <c r="Z890" s="421"/>
      <c r="AA890" s="421"/>
      <c r="AB890" s="421"/>
      <c r="AC890" s="421"/>
      <c r="AD890" s="421"/>
      <c r="AE890" s="421"/>
      <c r="AF890" s="421"/>
      <c r="AG890" s="421"/>
      <c r="AH890" s="421"/>
      <c r="AI890" s="421"/>
      <c r="AJ890" s="421"/>
      <c r="AK890" s="421"/>
      <c r="AL890" s="421"/>
      <c r="AM890" s="421"/>
      <c r="AN890" s="421"/>
      <c r="AO890" s="421"/>
      <c r="AP890" s="421"/>
      <c r="AQ890" s="421"/>
      <c r="AR890" s="421"/>
      <c r="AS890" s="421"/>
      <c r="AT890" s="421"/>
      <c r="AU890" s="421"/>
      <c r="AV890" s="421"/>
      <c r="AW890" s="421"/>
      <c r="AX890" s="421"/>
      <c r="AY890" s="421"/>
      <c r="AZ890" s="421"/>
      <c r="BA890" s="421"/>
      <c r="BB890"/>
      <c r="BC890" s="115"/>
      <c r="BD890" s="115"/>
      <c r="BE890" s="115"/>
      <c r="BF890" s="115"/>
      <c r="BG890" s="115"/>
      <c r="BH890" s="138"/>
      <c r="BI890" s="138"/>
      <c r="BJ890" s="138"/>
      <c r="BK890" s="138"/>
      <c r="BL890" s="138"/>
      <c r="BM890" s="138"/>
      <c r="BN890" s="138"/>
      <c r="BO890" s="138"/>
      <c r="BP890" s="138"/>
      <c r="BQ890" s="138"/>
      <c r="BR890" s="138"/>
      <c r="BS890" s="138"/>
      <c r="BT890" s="138"/>
      <c r="BU890" s="138"/>
      <c r="BV890" s="138"/>
      <c r="BW890" s="138"/>
      <c r="BX890" s="138"/>
      <c r="BY890" s="138"/>
      <c r="BZ890" s="138"/>
      <c r="CA890" s="138"/>
      <c r="CB890" s="138"/>
      <c r="CC890" s="138"/>
      <c r="CD890" s="138"/>
      <c r="CE890" s="138"/>
      <c r="CF890" s="138"/>
      <c r="CG890" s="138"/>
      <c r="CH890" s="138"/>
      <c r="CI890" s="138"/>
      <c r="CJ890" s="138"/>
      <c r="CK890" s="138"/>
      <c r="CL890" s="138"/>
      <c r="CM890" s="138"/>
      <c r="CN890" s="138"/>
      <c r="CO890" s="138"/>
      <c r="CP890" s="138"/>
      <c r="CQ890" s="138"/>
      <c r="CR890" s="138"/>
      <c r="CS890" s="138"/>
      <c r="CT890" s="138"/>
      <c r="CU890" s="138"/>
      <c r="CV890" s="138"/>
      <c r="CW890" s="138"/>
      <c r="CX890" s="138"/>
      <c r="CY890" s="138"/>
      <c r="CZ890" s="138"/>
      <c r="DA890" s="138"/>
      <c r="DB890" s="138"/>
      <c r="DC890" s="138"/>
      <c r="DD890" s="138"/>
      <c r="DE890" s="138"/>
      <c r="DF890" s="138"/>
      <c r="DG890" s="115"/>
    </row>
    <row r="891" spans="1:111" ht="9" customHeight="1">
      <c r="A891"/>
      <c r="B891" s="143"/>
      <c r="C891" s="143"/>
      <c r="D891" s="143"/>
      <c r="E891" s="143"/>
      <c r="F891" s="143"/>
      <c r="G891" s="143"/>
      <c r="H891" s="143"/>
      <c r="I891" s="143"/>
      <c r="J891" s="143"/>
      <c r="K891" s="143"/>
      <c r="L891" s="143"/>
      <c r="M891" s="143"/>
      <c r="N891" s="143"/>
      <c r="O891" s="421"/>
      <c r="P891" s="421"/>
      <c r="Q891" s="421"/>
      <c r="R891" s="421"/>
      <c r="S891" s="421"/>
      <c r="T891" s="421"/>
      <c r="U891" s="421"/>
      <c r="V891" s="421"/>
      <c r="W891" s="421"/>
      <c r="X891" s="421"/>
      <c r="Y891" s="421"/>
      <c r="Z891" s="421"/>
      <c r="AA891" s="421"/>
      <c r="AB891" s="421"/>
      <c r="AC891" s="421"/>
      <c r="AD891" s="421"/>
      <c r="AE891" s="421"/>
      <c r="AF891" s="421"/>
      <c r="AG891" s="421"/>
      <c r="AH891" s="421"/>
      <c r="AI891" s="421"/>
      <c r="AJ891" s="421"/>
      <c r="AK891" s="421"/>
      <c r="AL891" s="421"/>
      <c r="AM891" s="421"/>
      <c r="AN891" s="421"/>
      <c r="AO891" s="421"/>
      <c r="AP891" s="421"/>
      <c r="AQ891" s="421"/>
      <c r="AR891" s="421"/>
      <c r="AS891" s="421"/>
      <c r="AT891" s="421"/>
      <c r="AU891" s="421"/>
      <c r="AV891" s="421"/>
      <c r="AW891" s="421"/>
      <c r="AX891" s="421"/>
      <c r="AY891" s="421"/>
      <c r="AZ891" s="421"/>
      <c r="BA891" s="421"/>
      <c r="BB891"/>
      <c r="BC891" s="115"/>
      <c r="BD891" s="115"/>
      <c r="BE891" s="115"/>
      <c r="BF891" s="115"/>
      <c r="BG891" s="115"/>
      <c r="BH891" s="138"/>
      <c r="BI891" s="138"/>
      <c r="BJ891" s="138"/>
      <c r="BK891" s="138"/>
      <c r="BL891" s="138"/>
      <c r="BM891" s="138"/>
      <c r="BN891" s="138"/>
      <c r="BO891" s="138"/>
      <c r="BP891" s="138"/>
      <c r="BQ891" s="138"/>
      <c r="BR891" s="138"/>
      <c r="BS891" s="138"/>
      <c r="BT891" s="138"/>
      <c r="BU891" s="138"/>
      <c r="BV891" s="138"/>
      <c r="BW891" s="138"/>
      <c r="BX891" s="138"/>
      <c r="BY891" s="138"/>
      <c r="BZ891" s="138"/>
      <c r="CA891" s="138"/>
      <c r="CB891" s="138"/>
      <c r="CC891" s="138"/>
      <c r="CD891" s="138"/>
      <c r="CE891" s="138"/>
      <c r="CF891" s="138"/>
      <c r="CG891" s="138"/>
      <c r="CH891" s="138"/>
      <c r="CI891" s="138"/>
      <c r="CJ891" s="138"/>
      <c r="CK891" s="138"/>
      <c r="CL891" s="138"/>
      <c r="CM891" s="138"/>
      <c r="CN891" s="138"/>
      <c r="CO891" s="138"/>
      <c r="CP891" s="138"/>
      <c r="CQ891" s="138"/>
      <c r="CR891" s="138"/>
      <c r="CS891" s="138"/>
      <c r="CT891" s="138"/>
      <c r="CU891" s="138"/>
      <c r="CV891" s="138"/>
      <c r="CW891" s="138"/>
      <c r="CX891" s="138"/>
      <c r="CY891" s="138"/>
      <c r="CZ891" s="138"/>
      <c r="DA891" s="138"/>
      <c r="DB891" s="138"/>
      <c r="DC891" s="138"/>
      <c r="DD891" s="138"/>
      <c r="DE891" s="138"/>
      <c r="DF891" s="138"/>
      <c r="DG891" s="115"/>
    </row>
    <row r="892" spans="1:111" ht="9" customHeight="1">
      <c r="A892"/>
      <c r="B892" s="143"/>
      <c r="C892" s="143"/>
      <c r="D892" s="143"/>
      <c r="E892" s="143"/>
      <c r="F892" s="143"/>
      <c r="G892" s="143"/>
      <c r="H892" s="143"/>
      <c r="I892" s="143"/>
      <c r="J892" s="143"/>
      <c r="K892" s="143"/>
      <c r="L892" s="143"/>
      <c r="M892" s="143"/>
      <c r="N892" s="143"/>
      <c r="O892" s="421"/>
      <c r="P892" s="421"/>
      <c r="Q892" s="421"/>
      <c r="R892" s="421"/>
      <c r="S892" s="421"/>
      <c r="T892" s="421"/>
      <c r="U892" s="421"/>
      <c r="V892" s="421"/>
      <c r="W892" s="421"/>
      <c r="X892" s="421"/>
      <c r="Y892" s="421"/>
      <c r="Z892" s="421"/>
      <c r="AA892" s="421"/>
      <c r="AB892" s="421"/>
      <c r="AC892" s="421"/>
      <c r="AD892" s="421"/>
      <c r="AE892" s="421"/>
      <c r="AF892" s="421"/>
      <c r="AG892" s="421"/>
      <c r="AH892" s="421"/>
      <c r="AI892" s="421"/>
      <c r="AJ892" s="421"/>
      <c r="AK892" s="421"/>
      <c r="AL892" s="421"/>
      <c r="AM892" s="421"/>
      <c r="AN892" s="421"/>
      <c r="AO892" s="421"/>
      <c r="AP892" s="421"/>
      <c r="AQ892" s="421"/>
      <c r="AR892" s="421"/>
      <c r="AS892" s="421"/>
      <c r="AT892" s="421"/>
      <c r="AU892" s="421"/>
      <c r="AV892" s="421"/>
      <c r="AW892" s="421"/>
      <c r="AX892" s="421"/>
      <c r="AY892" s="421"/>
      <c r="AZ892" s="421"/>
      <c r="BA892" s="421"/>
      <c r="BB892"/>
      <c r="BC892" s="115"/>
      <c r="BD892" s="115"/>
      <c r="BE892" s="115"/>
      <c r="BF892" s="115"/>
      <c r="BG892" s="115"/>
      <c r="BH892" s="138"/>
      <c r="BI892" s="138"/>
      <c r="BJ892" s="138"/>
      <c r="BK892" s="138"/>
      <c r="BL892" s="138"/>
      <c r="BM892" s="138"/>
      <c r="BN892" s="138"/>
      <c r="BO892" s="138"/>
      <c r="BP892" s="138"/>
      <c r="BQ892" s="138"/>
      <c r="BR892" s="138"/>
      <c r="BS892" s="138"/>
      <c r="BT892" s="138"/>
      <c r="BU892" s="138"/>
      <c r="BV892" s="138"/>
      <c r="BW892" s="138"/>
      <c r="BX892" s="138"/>
      <c r="BY892" s="138"/>
      <c r="BZ892" s="138"/>
      <c r="CA892" s="138"/>
      <c r="CB892" s="138"/>
      <c r="CC892" s="138"/>
      <c r="CD892" s="138"/>
      <c r="CE892" s="138"/>
      <c r="CF892" s="138"/>
      <c r="CG892" s="138"/>
      <c r="CH892" s="138"/>
      <c r="CI892" s="138"/>
      <c r="CJ892" s="138"/>
      <c r="CK892" s="138"/>
      <c r="CL892" s="138"/>
      <c r="CM892" s="138"/>
      <c r="CN892" s="138"/>
      <c r="CO892" s="138"/>
      <c r="CP892" s="138"/>
      <c r="CQ892" s="138"/>
      <c r="CR892" s="138"/>
      <c r="CS892" s="138"/>
      <c r="CT892" s="138"/>
      <c r="CU892" s="138"/>
      <c r="CV892" s="138"/>
      <c r="CW892" s="138"/>
      <c r="CX892" s="138"/>
      <c r="CY892" s="138"/>
      <c r="CZ892" s="138"/>
      <c r="DA892" s="138"/>
      <c r="DB892" s="138"/>
      <c r="DC892" s="138"/>
      <c r="DD892" s="138"/>
      <c r="DE892" s="138"/>
      <c r="DF892" s="138"/>
      <c r="DG892" s="115"/>
    </row>
    <row r="893" spans="1:111" ht="9" customHeight="1">
      <c r="A893"/>
      <c r="B893" s="143"/>
      <c r="C893" s="143"/>
      <c r="D893" s="143"/>
      <c r="E893" s="143"/>
      <c r="F893" s="143"/>
      <c r="G893" s="143"/>
      <c r="H893" s="143"/>
      <c r="I893" s="143"/>
      <c r="J893" s="143"/>
      <c r="K893" s="143"/>
      <c r="L893" s="143"/>
      <c r="M893" s="143"/>
      <c r="N893" s="143"/>
      <c r="O893" s="421"/>
      <c r="P893" s="421"/>
      <c r="Q893" s="421"/>
      <c r="R893" s="421"/>
      <c r="S893" s="421"/>
      <c r="T893" s="421"/>
      <c r="U893" s="421"/>
      <c r="V893" s="421"/>
      <c r="W893" s="421"/>
      <c r="X893" s="421"/>
      <c r="Y893" s="421"/>
      <c r="Z893" s="421"/>
      <c r="AA893" s="421"/>
      <c r="AB893" s="421"/>
      <c r="AC893" s="421"/>
      <c r="AD893" s="421"/>
      <c r="AE893" s="421"/>
      <c r="AF893" s="421"/>
      <c r="AG893" s="421"/>
      <c r="AH893" s="421"/>
      <c r="AI893" s="421"/>
      <c r="AJ893" s="421"/>
      <c r="AK893" s="421"/>
      <c r="AL893" s="421"/>
      <c r="AM893" s="421"/>
      <c r="AN893" s="421"/>
      <c r="AO893" s="421"/>
      <c r="AP893" s="421"/>
      <c r="AQ893" s="421"/>
      <c r="AR893" s="421"/>
      <c r="AS893" s="421"/>
      <c r="AT893" s="421"/>
      <c r="AU893" s="421"/>
      <c r="AV893" s="421"/>
      <c r="AW893" s="421"/>
      <c r="AX893" s="421"/>
      <c r="AY893" s="421"/>
      <c r="AZ893" s="421"/>
      <c r="BA893" s="421"/>
      <c r="BB893"/>
      <c r="BC893" s="115"/>
      <c r="BD893" s="115"/>
      <c r="BE893" s="115"/>
      <c r="BF893" s="115"/>
      <c r="BG893" s="115"/>
      <c r="BH893" s="138"/>
      <c r="BI893" s="138"/>
      <c r="BJ893" s="138"/>
      <c r="BK893" s="138"/>
      <c r="BL893" s="138"/>
      <c r="BM893" s="138"/>
      <c r="BN893" s="138"/>
      <c r="BO893" s="138"/>
      <c r="BP893" s="138"/>
      <c r="BQ893" s="138"/>
      <c r="BR893" s="138"/>
      <c r="BS893" s="138"/>
      <c r="BT893" s="138"/>
      <c r="BU893" s="138"/>
      <c r="BV893" s="138"/>
      <c r="BW893" s="138"/>
      <c r="BX893" s="138"/>
      <c r="BY893" s="138"/>
      <c r="BZ893" s="138"/>
      <c r="CA893" s="138"/>
      <c r="CB893" s="138"/>
      <c r="CC893" s="138"/>
      <c r="CD893" s="138"/>
      <c r="CE893" s="138"/>
      <c r="CF893" s="138"/>
      <c r="CG893" s="138"/>
      <c r="CH893" s="138"/>
      <c r="CI893" s="138"/>
      <c r="CJ893" s="138"/>
      <c r="CK893" s="138"/>
      <c r="CL893" s="138"/>
      <c r="CM893" s="138"/>
      <c r="CN893" s="138"/>
      <c r="CO893" s="138"/>
      <c r="CP893" s="138"/>
      <c r="CQ893" s="138"/>
      <c r="CR893" s="138"/>
      <c r="CS893" s="138"/>
      <c r="CT893" s="138"/>
      <c r="CU893" s="138"/>
      <c r="CV893" s="138"/>
      <c r="CW893" s="138"/>
      <c r="CX893" s="138"/>
      <c r="CY893" s="138"/>
      <c r="CZ893" s="138"/>
      <c r="DA893" s="138"/>
      <c r="DB893" s="138"/>
      <c r="DC893" s="138"/>
      <c r="DD893" s="138"/>
      <c r="DE893" s="138"/>
      <c r="DF893" s="138"/>
      <c r="DG893" s="115"/>
    </row>
    <row r="894" spans="1:111" ht="9" customHeight="1">
      <c r="A894"/>
      <c r="B894" s="49"/>
      <c r="C894" s="49"/>
      <c r="D894" s="49"/>
      <c r="E894" s="49"/>
      <c r="F894" s="49"/>
      <c r="G894" s="49"/>
      <c r="H894" s="49"/>
      <c r="I894" s="49"/>
      <c r="J894" s="49"/>
      <c r="K894" s="49"/>
      <c r="L894" s="49"/>
      <c r="M894" s="49"/>
      <c r="N894" s="49"/>
      <c r="O894" s="421"/>
      <c r="P894" s="421"/>
      <c r="Q894" s="421"/>
      <c r="R894" s="421"/>
      <c r="S894" s="421"/>
      <c r="T894" s="421"/>
      <c r="U894" s="421"/>
      <c r="V894" s="421"/>
      <c r="W894" s="421"/>
      <c r="X894" s="421"/>
      <c r="Y894" s="421"/>
      <c r="Z894" s="421"/>
      <c r="AA894" s="421"/>
      <c r="AB894" s="421"/>
      <c r="AC894" s="421"/>
      <c r="AD894" s="421"/>
      <c r="AE894" s="421"/>
      <c r="AF894" s="421"/>
      <c r="AG894" s="421"/>
      <c r="AH894" s="421"/>
      <c r="AI894" s="421"/>
      <c r="AJ894" s="421"/>
      <c r="AK894" s="421"/>
      <c r="AL894" s="421"/>
      <c r="AM894" s="421"/>
      <c r="AN894" s="421"/>
      <c r="AO894" s="421"/>
      <c r="AP894" s="421"/>
      <c r="AQ894" s="421"/>
      <c r="AR894" s="421"/>
      <c r="AS894" s="421"/>
      <c r="AT894" s="421"/>
      <c r="AU894" s="421"/>
      <c r="AV894" s="421"/>
      <c r="AW894" s="421"/>
      <c r="AX894" s="421"/>
      <c r="AY894" s="421"/>
      <c r="AZ894" s="421"/>
      <c r="BA894" s="421"/>
      <c r="BB894"/>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c r="BY894" s="115"/>
      <c r="BZ894" s="115"/>
      <c r="CA894" s="115"/>
      <c r="CB894" s="115"/>
      <c r="CC894" s="115"/>
      <c r="CD894" s="115"/>
      <c r="CE894" s="115"/>
      <c r="CF894" s="115"/>
      <c r="CG894" s="115"/>
      <c r="CH894" s="115"/>
      <c r="CI894" s="115"/>
      <c r="CJ894" s="115"/>
      <c r="CK894" s="115"/>
      <c r="CL894" s="115"/>
      <c r="CM894" s="115"/>
      <c r="CN894" s="115"/>
      <c r="CO894" s="115"/>
      <c r="CP894" s="115"/>
      <c r="CQ894" s="115"/>
      <c r="CR894" s="115"/>
      <c r="CS894" s="115"/>
      <c r="CT894" s="115"/>
      <c r="CU894" s="115"/>
      <c r="CV894" s="115"/>
      <c r="CW894" s="115"/>
      <c r="CX894" s="115"/>
      <c r="CY894" s="115"/>
      <c r="CZ894" s="115"/>
      <c r="DA894" s="115"/>
      <c r="DB894" s="115"/>
      <c r="DC894" s="115"/>
      <c r="DD894" s="115"/>
      <c r="DE894" s="115"/>
      <c r="DF894" s="115"/>
      <c r="DG894" s="115"/>
    </row>
    <row r="895" spans="1:111" ht="4.5" customHeight="1">
      <c r="A895"/>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49"/>
      <c r="AY895" s="49"/>
      <c r="AZ895" s="49"/>
      <c r="BA895" s="49"/>
      <c r="BB895"/>
      <c r="BC895" s="115"/>
      <c r="BD895" s="115"/>
      <c r="BE895" s="115"/>
      <c r="BF895" s="115"/>
      <c r="BG895" s="115"/>
      <c r="BH895" s="124"/>
      <c r="BI895" s="124"/>
      <c r="BJ895" s="124"/>
      <c r="BK895" s="124"/>
      <c r="BL895" s="124"/>
      <c r="BM895" s="124"/>
      <c r="BN895" s="124"/>
      <c r="BO895" s="124"/>
      <c r="BP895" s="124"/>
      <c r="BQ895" s="124"/>
      <c r="BR895" s="124"/>
      <c r="BS895" s="124"/>
      <c r="BT895" s="124"/>
      <c r="BU895" s="124"/>
      <c r="BV895" s="124"/>
      <c r="BW895" s="124"/>
      <c r="BX895" s="124"/>
      <c r="BY895" s="124"/>
      <c r="BZ895" s="124"/>
      <c r="CA895" s="124"/>
      <c r="CB895" s="124"/>
      <c r="CC895" s="124"/>
      <c r="CD895" s="124"/>
      <c r="CE895" s="124"/>
      <c r="CF895" s="124"/>
      <c r="CG895" s="124"/>
      <c r="CH895" s="124"/>
      <c r="CI895" s="124"/>
      <c r="CJ895" s="124"/>
      <c r="CK895" s="124"/>
      <c r="CL895" s="124"/>
      <c r="CM895" s="124"/>
      <c r="CN895" s="124"/>
      <c r="CO895" s="124"/>
      <c r="CP895" s="124"/>
      <c r="CQ895" s="124"/>
      <c r="CR895" s="124"/>
      <c r="CS895" s="124"/>
      <c r="CT895" s="124"/>
      <c r="CU895" s="124"/>
      <c r="CV895" s="124"/>
      <c r="CW895" s="124"/>
      <c r="CX895" s="124"/>
      <c r="CY895" s="124"/>
      <c r="CZ895" s="124"/>
      <c r="DA895" s="124"/>
      <c r="DB895" s="124"/>
      <c r="DC895" s="124"/>
      <c r="DD895" s="124"/>
      <c r="DE895" s="124"/>
      <c r="DF895" s="124"/>
      <c r="DG895" s="115"/>
    </row>
    <row r="896" spans="1:111" ht="9" customHeight="1">
      <c r="A896"/>
      <c r="B896" s="493" t="str">
        <f>IF(B876="","","Justificativa:")</f>
        <v/>
      </c>
      <c r="C896" s="493"/>
      <c r="D896" s="493"/>
      <c r="E896" s="493"/>
      <c r="F896" s="493"/>
      <c r="G896" s="493"/>
      <c r="H896" s="493"/>
      <c r="I896" s="493"/>
      <c r="J896" s="493"/>
      <c r="K896" s="493"/>
      <c r="L896" s="493"/>
      <c r="M896" s="493"/>
      <c r="N896" s="493"/>
      <c r="O896" s="421"/>
      <c r="P896" s="421"/>
      <c r="Q896" s="421"/>
      <c r="R896" s="421"/>
      <c r="S896" s="421"/>
      <c r="T896" s="421"/>
      <c r="U896" s="421"/>
      <c r="V896" s="421"/>
      <c r="W896" s="421"/>
      <c r="X896" s="421"/>
      <c r="Y896" s="421"/>
      <c r="Z896" s="421"/>
      <c r="AA896" s="421"/>
      <c r="AB896" s="421"/>
      <c r="AC896" s="421"/>
      <c r="AD896" s="421"/>
      <c r="AE896" s="421"/>
      <c r="AF896" s="421"/>
      <c r="AG896" s="421"/>
      <c r="AH896" s="421"/>
      <c r="AI896" s="421"/>
      <c r="AJ896" s="421"/>
      <c r="AK896" s="421"/>
      <c r="AL896" s="421"/>
      <c r="AM896" s="421"/>
      <c r="AN896" s="421"/>
      <c r="AO896" s="421"/>
      <c r="AP896" s="421"/>
      <c r="AQ896" s="421"/>
      <c r="AR896" s="421"/>
      <c r="AS896" s="421"/>
      <c r="AT896" s="421"/>
      <c r="AU896" s="421"/>
      <c r="AV896" s="421"/>
      <c r="AW896" s="421"/>
      <c r="AX896" s="421"/>
      <c r="AY896" s="421"/>
      <c r="AZ896" s="421"/>
      <c r="BA896" s="421"/>
      <c r="BB896"/>
      <c r="BC896" s="115"/>
      <c r="BD896" s="115"/>
      <c r="BE896" s="115"/>
      <c r="BF896" s="115"/>
      <c r="BG896" s="115"/>
      <c r="BH896" s="124"/>
      <c r="BI896" s="124"/>
      <c r="BJ896" s="124"/>
      <c r="BK896" s="124"/>
      <c r="BL896" s="124"/>
      <c r="BM896" s="124"/>
      <c r="BN896" s="124"/>
      <c r="BO896" s="124"/>
      <c r="BP896" s="124"/>
      <c r="BQ896" s="124"/>
      <c r="BR896" s="124"/>
      <c r="BS896" s="124"/>
      <c r="BT896" s="124"/>
      <c r="BU896" s="124"/>
      <c r="BV896" s="124"/>
      <c r="BW896" s="124"/>
      <c r="BX896" s="124"/>
      <c r="BY896" s="124"/>
      <c r="BZ896" s="124"/>
      <c r="CA896" s="124"/>
      <c r="CB896" s="124"/>
      <c r="CC896" s="124"/>
      <c r="CD896" s="124"/>
      <c r="CE896" s="124"/>
      <c r="CF896" s="124"/>
      <c r="CG896" s="124"/>
      <c r="CH896" s="124"/>
      <c r="CI896" s="124"/>
      <c r="CJ896" s="124"/>
      <c r="CK896" s="124"/>
      <c r="CL896" s="124"/>
      <c r="CM896" s="124"/>
      <c r="CN896" s="124"/>
      <c r="CO896" s="124"/>
      <c r="CP896" s="124"/>
      <c r="CQ896" s="124"/>
      <c r="CR896" s="124"/>
      <c r="CS896" s="124"/>
      <c r="CT896" s="124"/>
      <c r="CU896" s="124"/>
      <c r="CV896" s="124"/>
      <c r="CW896" s="124"/>
      <c r="CX896" s="124"/>
      <c r="CY896" s="124"/>
      <c r="CZ896" s="124"/>
      <c r="DA896" s="124"/>
      <c r="DB896" s="124"/>
      <c r="DC896" s="124"/>
      <c r="DD896" s="124"/>
      <c r="DE896" s="124"/>
      <c r="DF896" s="124"/>
      <c r="DG896" s="115"/>
    </row>
    <row r="897" spans="1:111" ht="9" customHeight="1">
      <c r="A897"/>
      <c r="B897" s="493"/>
      <c r="C897" s="493"/>
      <c r="D897" s="493"/>
      <c r="E897" s="493"/>
      <c r="F897" s="493"/>
      <c r="G897" s="493"/>
      <c r="H897" s="493"/>
      <c r="I897" s="493"/>
      <c r="J897" s="493"/>
      <c r="K897" s="493"/>
      <c r="L897" s="493"/>
      <c r="M897" s="493"/>
      <c r="N897" s="493"/>
      <c r="O897" s="421"/>
      <c r="P897" s="421"/>
      <c r="Q897" s="421"/>
      <c r="R897" s="421"/>
      <c r="S897" s="421"/>
      <c r="T897" s="421"/>
      <c r="U897" s="421"/>
      <c r="V897" s="421"/>
      <c r="W897" s="421"/>
      <c r="X897" s="421"/>
      <c r="Y897" s="421"/>
      <c r="Z897" s="421"/>
      <c r="AA897" s="421"/>
      <c r="AB897" s="421"/>
      <c r="AC897" s="421"/>
      <c r="AD897" s="421"/>
      <c r="AE897" s="421"/>
      <c r="AF897" s="421"/>
      <c r="AG897" s="421"/>
      <c r="AH897" s="421"/>
      <c r="AI897" s="421"/>
      <c r="AJ897" s="421"/>
      <c r="AK897" s="421"/>
      <c r="AL897" s="421"/>
      <c r="AM897" s="421"/>
      <c r="AN897" s="421"/>
      <c r="AO897" s="421"/>
      <c r="AP897" s="421"/>
      <c r="AQ897" s="421"/>
      <c r="AR897" s="421"/>
      <c r="AS897" s="421"/>
      <c r="AT897" s="421"/>
      <c r="AU897" s="421"/>
      <c r="AV897" s="421"/>
      <c r="AW897" s="421"/>
      <c r="AX897" s="421"/>
      <c r="AY897" s="421"/>
      <c r="AZ897" s="421"/>
      <c r="BA897" s="421"/>
      <c r="BB897"/>
      <c r="BC897" s="115"/>
      <c r="BD897" s="115"/>
      <c r="BE897" s="115"/>
      <c r="BF897" s="115"/>
      <c r="BG897" s="115"/>
      <c r="BH897" s="124"/>
      <c r="BI897" s="124"/>
      <c r="BJ897" s="124"/>
      <c r="BK897" s="124"/>
      <c r="BL897" s="124"/>
      <c r="BM897" s="124"/>
      <c r="BN897" s="124"/>
      <c r="BO897" s="124"/>
      <c r="BP897" s="124"/>
      <c r="BQ897" s="124"/>
      <c r="BR897" s="124"/>
      <c r="BS897" s="124"/>
      <c r="BT897" s="124"/>
      <c r="BU897" s="124"/>
      <c r="BV897" s="124"/>
      <c r="BW897" s="124"/>
      <c r="BX897" s="124"/>
      <c r="BY897" s="124"/>
      <c r="BZ897" s="124"/>
      <c r="CA897" s="124"/>
      <c r="CB897" s="124"/>
      <c r="CC897" s="124"/>
      <c r="CD897" s="124"/>
      <c r="CE897" s="124"/>
      <c r="CF897" s="124"/>
      <c r="CG897" s="124"/>
      <c r="CH897" s="124"/>
      <c r="CI897" s="124"/>
      <c r="CJ897" s="124"/>
      <c r="CK897" s="124"/>
      <c r="CL897" s="124"/>
      <c r="CM897" s="124"/>
      <c r="CN897" s="124"/>
      <c r="CO897" s="124"/>
      <c r="CP897" s="124"/>
      <c r="CQ897" s="124"/>
      <c r="CR897" s="124"/>
      <c r="CS897" s="124"/>
      <c r="CT897" s="124"/>
      <c r="CU897" s="124"/>
      <c r="CV897" s="124"/>
      <c r="CW897" s="124"/>
      <c r="CX897" s="124"/>
      <c r="CY897" s="124"/>
      <c r="CZ897" s="124"/>
      <c r="DA897" s="124"/>
      <c r="DB897" s="124"/>
      <c r="DC897" s="124"/>
      <c r="DD897" s="124"/>
      <c r="DE897" s="124"/>
      <c r="DF897" s="124"/>
      <c r="DG897" s="115"/>
    </row>
    <row r="898" spans="1:111" ht="9" customHeight="1">
      <c r="A898"/>
      <c r="B898" s="143"/>
      <c r="C898" s="143"/>
      <c r="D898" s="143"/>
      <c r="E898" s="143"/>
      <c r="F898" s="143"/>
      <c r="G898" s="143"/>
      <c r="H898" s="143"/>
      <c r="I898" s="143"/>
      <c r="J898" s="143"/>
      <c r="K898" s="143"/>
      <c r="L898" s="143"/>
      <c r="M898" s="143"/>
      <c r="N898" s="143"/>
      <c r="O898" s="421"/>
      <c r="P898" s="421"/>
      <c r="Q898" s="421"/>
      <c r="R898" s="421"/>
      <c r="S898" s="421"/>
      <c r="T898" s="421"/>
      <c r="U898" s="421"/>
      <c r="V898" s="421"/>
      <c r="W898" s="421"/>
      <c r="X898" s="421"/>
      <c r="Y898" s="421"/>
      <c r="Z898" s="421"/>
      <c r="AA898" s="421"/>
      <c r="AB898" s="421"/>
      <c r="AC898" s="421"/>
      <c r="AD898" s="421"/>
      <c r="AE898" s="421"/>
      <c r="AF898" s="421"/>
      <c r="AG898" s="421"/>
      <c r="AH898" s="421"/>
      <c r="AI898" s="421"/>
      <c r="AJ898" s="421"/>
      <c r="AK898" s="421"/>
      <c r="AL898" s="421"/>
      <c r="AM898" s="421"/>
      <c r="AN898" s="421"/>
      <c r="AO898" s="421"/>
      <c r="AP898" s="421"/>
      <c r="AQ898" s="421"/>
      <c r="AR898" s="421"/>
      <c r="AS898" s="421"/>
      <c r="AT898" s="421"/>
      <c r="AU898" s="421"/>
      <c r="AV898" s="421"/>
      <c r="AW898" s="421"/>
      <c r="AX898" s="421"/>
      <c r="AY898" s="421"/>
      <c r="AZ898" s="421"/>
      <c r="BA898" s="421"/>
      <c r="BB898"/>
      <c r="BC898" s="115"/>
      <c r="BD898" s="115"/>
      <c r="BE898" s="115"/>
      <c r="BF898" s="115"/>
      <c r="BG898" s="115"/>
      <c r="BH898" s="124"/>
      <c r="BI898" s="124"/>
      <c r="BJ898" s="124"/>
      <c r="BK898" s="124"/>
      <c r="BL898" s="124"/>
      <c r="BM898" s="124"/>
      <c r="BN898" s="124"/>
      <c r="BO898" s="124"/>
      <c r="BP898" s="124"/>
      <c r="BQ898" s="124"/>
      <c r="BR898" s="124"/>
      <c r="BS898" s="124"/>
      <c r="BT898" s="124"/>
      <c r="BU898" s="124"/>
      <c r="BV898" s="124"/>
      <c r="BW898" s="124"/>
      <c r="BX898" s="124"/>
      <c r="BY898" s="124"/>
      <c r="BZ898" s="124"/>
      <c r="CA898" s="124"/>
      <c r="CB898" s="124"/>
      <c r="CC898" s="124"/>
      <c r="CD898" s="124"/>
      <c r="CE898" s="124"/>
      <c r="CF898" s="124"/>
      <c r="CG898" s="124"/>
      <c r="CH898" s="124"/>
      <c r="CI898" s="124"/>
      <c r="CJ898" s="124"/>
      <c r="CK898" s="124"/>
      <c r="CL898" s="124"/>
      <c r="CM898" s="124"/>
      <c r="CN898" s="124"/>
      <c r="CO898" s="124"/>
      <c r="CP898" s="124"/>
      <c r="CQ898" s="124"/>
      <c r="CR898" s="124"/>
      <c r="CS898" s="124"/>
      <c r="CT898" s="124"/>
      <c r="CU898" s="124"/>
      <c r="CV898" s="124"/>
      <c r="CW898" s="124"/>
      <c r="CX898" s="124"/>
      <c r="CY898" s="124"/>
      <c r="CZ898" s="124"/>
      <c r="DA898" s="124"/>
      <c r="DB898" s="124"/>
      <c r="DC898" s="124"/>
      <c r="DD898" s="124"/>
      <c r="DE898" s="124"/>
      <c r="DF898" s="124"/>
      <c r="DG898" s="115"/>
    </row>
    <row r="899" spans="1:111" ht="9" customHeight="1">
      <c r="A899"/>
      <c r="B899" s="143"/>
      <c r="C899" s="143"/>
      <c r="D899" s="143"/>
      <c r="E899" s="143"/>
      <c r="F899" s="143"/>
      <c r="G899" s="143"/>
      <c r="H899" s="143"/>
      <c r="I899" s="143"/>
      <c r="J899" s="143"/>
      <c r="K899" s="143"/>
      <c r="L899" s="143"/>
      <c r="M899" s="143"/>
      <c r="N899" s="143"/>
      <c r="O899" s="421"/>
      <c r="P899" s="421"/>
      <c r="Q899" s="421"/>
      <c r="R899" s="421"/>
      <c r="S899" s="421"/>
      <c r="T899" s="421"/>
      <c r="U899" s="421"/>
      <c r="V899" s="421"/>
      <c r="W899" s="421"/>
      <c r="X899" s="421"/>
      <c r="Y899" s="421"/>
      <c r="Z899" s="421"/>
      <c r="AA899" s="421"/>
      <c r="AB899" s="421"/>
      <c r="AC899" s="421"/>
      <c r="AD899" s="421"/>
      <c r="AE899" s="421"/>
      <c r="AF899" s="421"/>
      <c r="AG899" s="421"/>
      <c r="AH899" s="421"/>
      <c r="AI899" s="421"/>
      <c r="AJ899" s="421"/>
      <c r="AK899" s="421"/>
      <c r="AL899" s="421"/>
      <c r="AM899" s="421"/>
      <c r="AN899" s="421"/>
      <c r="AO899" s="421"/>
      <c r="AP899" s="421"/>
      <c r="AQ899" s="421"/>
      <c r="AR899" s="421"/>
      <c r="AS899" s="421"/>
      <c r="AT899" s="421"/>
      <c r="AU899" s="421"/>
      <c r="AV899" s="421"/>
      <c r="AW899" s="421"/>
      <c r="AX899" s="421"/>
      <c r="AY899" s="421"/>
      <c r="AZ899" s="421"/>
      <c r="BA899" s="421"/>
      <c r="BB899"/>
      <c r="BC899" s="115"/>
      <c r="BD899" s="115"/>
      <c r="BE899" s="115"/>
      <c r="BF899" s="115"/>
      <c r="BG899" s="115"/>
      <c r="BH899" s="138"/>
      <c r="BI899" s="138"/>
      <c r="BJ899" s="138"/>
      <c r="BK899" s="138"/>
      <c r="BL899" s="138"/>
      <c r="BM899" s="138"/>
      <c r="BN899" s="138"/>
      <c r="BO899" s="138"/>
      <c r="BP899" s="138"/>
      <c r="BQ899" s="138"/>
      <c r="BR899" s="138"/>
      <c r="BS899" s="138"/>
      <c r="BT899" s="138"/>
      <c r="BU899" s="138"/>
      <c r="BV899" s="138"/>
      <c r="BW899" s="138"/>
      <c r="BX899" s="138"/>
      <c r="BY899" s="138"/>
      <c r="BZ899" s="138"/>
      <c r="CA899" s="138"/>
      <c r="CB899" s="138"/>
      <c r="CC899" s="138"/>
      <c r="CD899" s="138"/>
      <c r="CE899" s="138"/>
      <c r="CF899" s="138"/>
      <c r="CG899" s="138"/>
      <c r="CH899" s="138"/>
      <c r="CI899" s="138"/>
      <c r="CJ899" s="138"/>
      <c r="CK899" s="138"/>
      <c r="CL899" s="138"/>
      <c r="CM899" s="138"/>
      <c r="CN899" s="138"/>
      <c r="CO899" s="138"/>
      <c r="CP899" s="138"/>
      <c r="CQ899" s="138"/>
      <c r="CR899" s="138"/>
      <c r="CS899" s="138"/>
      <c r="CT899" s="138"/>
      <c r="CU899" s="138"/>
      <c r="CV899" s="138"/>
      <c r="CW899" s="138"/>
      <c r="CX899" s="138"/>
      <c r="CY899" s="138"/>
      <c r="CZ899" s="138"/>
      <c r="DA899" s="138"/>
      <c r="DB899" s="138"/>
      <c r="DC899" s="138"/>
      <c r="DD899" s="138"/>
      <c r="DE899" s="138"/>
      <c r="DF899" s="138"/>
      <c r="DG899" s="115"/>
    </row>
    <row r="900" spans="1:111" ht="9" customHeight="1">
      <c r="A900"/>
      <c r="B900" s="143"/>
      <c r="C900" s="143"/>
      <c r="D900" s="143"/>
      <c r="E900" s="143"/>
      <c r="F900" s="143"/>
      <c r="G900" s="143"/>
      <c r="H900" s="143"/>
      <c r="I900" s="143"/>
      <c r="J900" s="143"/>
      <c r="K900" s="143"/>
      <c r="L900" s="143"/>
      <c r="M900" s="143"/>
      <c r="N900" s="143"/>
      <c r="O900" s="421"/>
      <c r="P900" s="421"/>
      <c r="Q900" s="421"/>
      <c r="R900" s="421"/>
      <c r="S900" s="421"/>
      <c r="T900" s="421"/>
      <c r="U900" s="421"/>
      <c r="V900" s="421"/>
      <c r="W900" s="421"/>
      <c r="X900" s="421"/>
      <c r="Y900" s="421"/>
      <c r="Z900" s="421"/>
      <c r="AA900" s="421"/>
      <c r="AB900" s="421"/>
      <c r="AC900" s="421"/>
      <c r="AD900" s="421"/>
      <c r="AE900" s="421"/>
      <c r="AF900" s="421"/>
      <c r="AG900" s="421"/>
      <c r="AH900" s="421"/>
      <c r="AI900" s="421"/>
      <c r="AJ900" s="421"/>
      <c r="AK900" s="421"/>
      <c r="AL900" s="421"/>
      <c r="AM900" s="421"/>
      <c r="AN900" s="421"/>
      <c r="AO900" s="421"/>
      <c r="AP900" s="421"/>
      <c r="AQ900" s="421"/>
      <c r="AR900" s="421"/>
      <c r="AS900" s="421"/>
      <c r="AT900" s="421"/>
      <c r="AU900" s="421"/>
      <c r="AV900" s="421"/>
      <c r="AW900" s="421"/>
      <c r="AX900" s="421"/>
      <c r="AY900" s="421"/>
      <c r="AZ900" s="421"/>
      <c r="BA900" s="421"/>
      <c r="BB900"/>
      <c r="BC900" s="115"/>
      <c r="BD900" s="115"/>
      <c r="BE900" s="115"/>
      <c r="BF900" s="115"/>
      <c r="BG900" s="115"/>
      <c r="BH900" s="138"/>
      <c r="BI900" s="138"/>
      <c r="BJ900" s="138"/>
      <c r="BK900" s="138"/>
      <c r="BL900" s="138"/>
      <c r="BM900" s="138"/>
      <c r="BN900" s="138"/>
      <c r="BO900" s="138"/>
      <c r="BP900" s="138"/>
      <c r="BQ900" s="138"/>
      <c r="BR900" s="138"/>
      <c r="BS900" s="138"/>
      <c r="BT900" s="138"/>
      <c r="BU900" s="138"/>
      <c r="BV900" s="138"/>
      <c r="BW900" s="138"/>
      <c r="BX900" s="138"/>
      <c r="BY900" s="138"/>
      <c r="BZ900" s="138"/>
      <c r="CA900" s="138"/>
      <c r="CB900" s="138"/>
      <c r="CC900" s="138"/>
      <c r="CD900" s="138"/>
      <c r="CE900" s="138"/>
      <c r="CF900" s="138"/>
      <c r="CG900" s="138"/>
      <c r="CH900" s="138"/>
      <c r="CI900" s="138"/>
      <c r="CJ900" s="138"/>
      <c r="CK900" s="138"/>
      <c r="CL900" s="138"/>
      <c r="CM900" s="138"/>
      <c r="CN900" s="138"/>
      <c r="CO900" s="138"/>
      <c r="CP900" s="138"/>
      <c r="CQ900" s="138"/>
      <c r="CR900" s="138"/>
      <c r="CS900" s="138"/>
      <c r="CT900" s="138"/>
      <c r="CU900" s="138"/>
      <c r="CV900" s="138"/>
      <c r="CW900" s="138"/>
      <c r="CX900" s="138"/>
      <c r="CY900" s="138"/>
      <c r="CZ900" s="138"/>
      <c r="DA900" s="138"/>
      <c r="DB900" s="138"/>
      <c r="DC900" s="138"/>
      <c r="DD900" s="138"/>
      <c r="DE900" s="138"/>
      <c r="DF900" s="138"/>
      <c r="DG900" s="115"/>
    </row>
    <row r="901" spans="1:111" ht="9" customHeight="1">
      <c r="A901"/>
      <c r="B901" s="49"/>
      <c r="C901" s="49"/>
      <c r="D901" s="49"/>
      <c r="E901" s="49"/>
      <c r="F901" s="49"/>
      <c r="G901" s="49"/>
      <c r="H901" s="49"/>
      <c r="I901" s="49"/>
      <c r="J901" s="49"/>
      <c r="K901" s="49"/>
      <c r="L901" s="49"/>
      <c r="M901" s="49"/>
      <c r="N901" s="49"/>
      <c r="O901" s="421"/>
      <c r="P901" s="421"/>
      <c r="Q901" s="421"/>
      <c r="R901" s="421"/>
      <c r="S901" s="421"/>
      <c r="T901" s="421"/>
      <c r="U901" s="421"/>
      <c r="V901" s="421"/>
      <c r="W901" s="421"/>
      <c r="X901" s="421"/>
      <c r="Y901" s="421"/>
      <c r="Z901" s="421"/>
      <c r="AA901" s="421"/>
      <c r="AB901" s="421"/>
      <c r="AC901" s="421"/>
      <c r="AD901" s="421"/>
      <c r="AE901" s="421"/>
      <c r="AF901" s="421"/>
      <c r="AG901" s="421"/>
      <c r="AH901" s="421"/>
      <c r="AI901" s="421"/>
      <c r="AJ901" s="421"/>
      <c r="AK901" s="421"/>
      <c r="AL901" s="421"/>
      <c r="AM901" s="421"/>
      <c r="AN901" s="421"/>
      <c r="AO901" s="421"/>
      <c r="AP901" s="421"/>
      <c r="AQ901" s="421"/>
      <c r="AR901" s="421"/>
      <c r="AS901" s="421"/>
      <c r="AT901" s="421"/>
      <c r="AU901" s="421"/>
      <c r="AV901" s="421"/>
      <c r="AW901" s="421"/>
      <c r="AX901" s="421"/>
      <c r="AY901" s="421"/>
      <c r="AZ901" s="421"/>
      <c r="BA901" s="421"/>
      <c r="BB901"/>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c r="BY901" s="115"/>
      <c r="BZ901" s="115"/>
      <c r="CA901" s="115"/>
      <c r="CB901" s="115"/>
      <c r="CC901" s="115"/>
      <c r="CD901" s="115"/>
      <c r="CE901" s="115"/>
      <c r="CF901" s="115"/>
      <c r="CG901" s="115"/>
      <c r="CH901" s="115"/>
      <c r="CI901" s="115"/>
      <c r="CJ901" s="115"/>
      <c r="CK901" s="115"/>
      <c r="CL901" s="115"/>
      <c r="CM901" s="115"/>
      <c r="CN901" s="115"/>
      <c r="CO901" s="115"/>
      <c r="CP901" s="115"/>
      <c r="CQ901" s="115"/>
      <c r="CR901" s="115"/>
      <c r="CS901" s="115"/>
      <c r="CT901" s="115"/>
      <c r="CU901" s="115"/>
      <c r="CV901" s="115"/>
      <c r="CW901" s="115"/>
      <c r="CX901" s="115"/>
      <c r="CY901" s="115"/>
      <c r="CZ901" s="115"/>
      <c r="DA901" s="115"/>
      <c r="DB901" s="115"/>
      <c r="DC901" s="115"/>
      <c r="DD901" s="115"/>
      <c r="DE901" s="115"/>
      <c r="DF901" s="115"/>
      <c r="DG901" s="115"/>
    </row>
    <row r="902" spans="1:111" ht="4.5" customHeight="1">
      <c r="A902"/>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49"/>
      <c r="AY902" s="49"/>
      <c r="AZ902" s="49"/>
      <c r="BA902" s="49"/>
      <c r="BB902"/>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c r="BY902" s="115"/>
      <c r="BZ902" s="115"/>
      <c r="CA902" s="115"/>
      <c r="CB902" s="115"/>
      <c r="CC902" s="115"/>
      <c r="CD902" s="115"/>
      <c r="CE902" s="115"/>
      <c r="CF902" s="115"/>
      <c r="CG902" s="115"/>
      <c r="CH902" s="115"/>
      <c r="CI902" s="115"/>
      <c r="CJ902" s="115"/>
      <c r="CK902" s="115"/>
      <c r="CL902" s="115"/>
      <c r="CM902" s="115"/>
      <c r="CN902" s="115"/>
      <c r="CO902" s="115"/>
      <c r="CP902" s="115"/>
      <c r="CQ902" s="115"/>
      <c r="CR902" s="115"/>
      <c r="CS902" s="115"/>
      <c r="CT902" s="115"/>
      <c r="CU902" s="115"/>
      <c r="CV902" s="115"/>
      <c r="CW902" s="115"/>
      <c r="CX902" s="115"/>
      <c r="CY902" s="115"/>
      <c r="CZ902" s="115"/>
      <c r="DA902" s="115"/>
      <c r="DB902" s="115"/>
      <c r="DC902" s="115"/>
      <c r="DD902" s="115"/>
      <c r="DE902" s="115"/>
      <c r="DF902" s="115"/>
      <c r="DG902" s="115"/>
    </row>
    <row r="903" spans="1:111" ht="9" customHeight="1">
      <c r="A903"/>
      <c r="B903" s="493" t="str">
        <f>IF(B876="","","Metas Vinculadas:")</f>
        <v/>
      </c>
      <c r="C903" s="493"/>
      <c r="D903" s="493"/>
      <c r="E903" s="493"/>
      <c r="F903" s="493"/>
      <c r="G903" s="493"/>
      <c r="H903" s="493"/>
      <c r="I903" s="493"/>
      <c r="J903" s="493"/>
      <c r="K903" s="493"/>
      <c r="L903" s="493"/>
      <c r="M903" s="493"/>
      <c r="N903" s="493"/>
      <c r="O903" s="421"/>
      <c r="P903" s="421"/>
      <c r="Q903" s="421"/>
      <c r="R903" s="421"/>
      <c r="S903" s="421"/>
      <c r="T903" s="421"/>
      <c r="U903" s="421"/>
      <c r="V903" s="421"/>
      <c r="W903" s="421"/>
      <c r="X903" s="421"/>
      <c r="Y903" s="421"/>
      <c r="Z903" s="421"/>
      <c r="AA903" s="421"/>
      <c r="AB903" s="421"/>
      <c r="AC903" s="421"/>
      <c r="AD903" s="421"/>
      <c r="AE903" s="421"/>
      <c r="AF903" s="421"/>
      <c r="AG903" s="421"/>
      <c r="AH903" s="421"/>
      <c r="AI903" s="421"/>
      <c r="AJ903" s="421"/>
      <c r="AK903" s="421"/>
      <c r="AL903" s="421"/>
      <c r="AM903" s="421"/>
      <c r="AN903" s="421"/>
      <c r="AO903" s="421"/>
      <c r="AP903" s="421"/>
      <c r="AQ903" s="421"/>
      <c r="AR903" s="421"/>
      <c r="AS903" s="421"/>
      <c r="AT903" s="421"/>
      <c r="AU903" s="421"/>
      <c r="AV903" s="421"/>
      <c r="AW903" s="421"/>
      <c r="AX903" s="421"/>
      <c r="AY903" s="421"/>
      <c r="AZ903" s="421"/>
      <c r="BA903" s="421"/>
      <c r="BB903"/>
      <c r="BC903" s="115"/>
      <c r="BD903" s="115"/>
      <c r="BE903" s="115"/>
      <c r="BF903" s="115"/>
      <c r="BG903" s="115"/>
      <c r="BH903" s="124"/>
      <c r="BI903" s="124"/>
      <c r="BJ903" s="124"/>
      <c r="BK903" s="124"/>
      <c r="BL903" s="124"/>
      <c r="BM903" s="124"/>
      <c r="BN903" s="124"/>
      <c r="BO903" s="124"/>
      <c r="BP903" s="124"/>
      <c r="BQ903" s="124"/>
      <c r="BR903" s="124"/>
      <c r="BS903" s="124"/>
      <c r="BT903" s="124"/>
      <c r="BU903" s="124"/>
      <c r="BV903" s="124"/>
      <c r="BW903" s="124"/>
      <c r="BX903" s="124"/>
      <c r="BY903" s="124"/>
      <c r="BZ903" s="124"/>
      <c r="CA903" s="124"/>
      <c r="CB903" s="124"/>
      <c r="CC903" s="124"/>
      <c r="CD903" s="124"/>
      <c r="CE903" s="124"/>
      <c r="CF903" s="124"/>
      <c r="CG903" s="124"/>
      <c r="CH903" s="124"/>
      <c r="CI903" s="124"/>
      <c r="CJ903" s="124"/>
      <c r="CK903" s="124"/>
      <c r="CL903" s="124"/>
      <c r="CM903" s="124"/>
      <c r="CN903" s="124"/>
      <c r="CO903" s="124"/>
      <c r="CP903" s="124"/>
      <c r="CQ903" s="124"/>
      <c r="CR903" s="124"/>
      <c r="CS903" s="124"/>
      <c r="CT903" s="124"/>
      <c r="CU903" s="124"/>
      <c r="CV903" s="124"/>
      <c r="CW903" s="124"/>
      <c r="CX903" s="124"/>
      <c r="CY903" s="124"/>
      <c r="CZ903" s="124"/>
      <c r="DA903" s="124"/>
      <c r="DB903" s="124"/>
      <c r="DC903" s="124"/>
      <c r="DD903" s="124"/>
      <c r="DE903" s="124"/>
      <c r="DF903" s="124"/>
      <c r="DG903" s="115"/>
    </row>
    <row r="904" spans="1:111" ht="9" customHeight="1">
      <c r="A904"/>
      <c r="B904" s="493"/>
      <c r="C904" s="493"/>
      <c r="D904" s="493"/>
      <c r="E904" s="493"/>
      <c r="F904" s="493"/>
      <c r="G904" s="493"/>
      <c r="H904" s="493"/>
      <c r="I904" s="493"/>
      <c r="J904" s="493"/>
      <c r="K904" s="493"/>
      <c r="L904" s="493"/>
      <c r="M904" s="493"/>
      <c r="N904" s="493"/>
      <c r="O904" s="421"/>
      <c r="P904" s="421"/>
      <c r="Q904" s="421"/>
      <c r="R904" s="421"/>
      <c r="S904" s="421"/>
      <c r="T904" s="421"/>
      <c r="U904" s="421"/>
      <c r="V904" s="421"/>
      <c r="W904" s="421"/>
      <c r="X904" s="421"/>
      <c r="Y904" s="421"/>
      <c r="Z904" s="421"/>
      <c r="AA904" s="421"/>
      <c r="AB904" s="421"/>
      <c r="AC904" s="421"/>
      <c r="AD904" s="421"/>
      <c r="AE904" s="421"/>
      <c r="AF904" s="421"/>
      <c r="AG904" s="421"/>
      <c r="AH904" s="421"/>
      <c r="AI904" s="421"/>
      <c r="AJ904" s="421"/>
      <c r="AK904" s="421"/>
      <c r="AL904" s="421"/>
      <c r="AM904" s="421"/>
      <c r="AN904" s="421"/>
      <c r="AO904" s="421"/>
      <c r="AP904" s="421"/>
      <c r="AQ904" s="421"/>
      <c r="AR904" s="421"/>
      <c r="AS904" s="421"/>
      <c r="AT904" s="421"/>
      <c r="AU904" s="421"/>
      <c r="AV904" s="421"/>
      <c r="AW904" s="421"/>
      <c r="AX904" s="421"/>
      <c r="AY904" s="421"/>
      <c r="AZ904" s="421"/>
      <c r="BA904" s="421"/>
      <c r="BB904"/>
      <c r="BC904" s="115"/>
      <c r="BD904" s="115"/>
      <c r="BE904" s="115"/>
      <c r="BF904" s="115"/>
      <c r="BG904" s="115"/>
      <c r="BH904" s="138"/>
      <c r="BI904" s="138"/>
      <c r="BJ904" s="138"/>
      <c r="BK904" s="138"/>
      <c r="BL904" s="138"/>
      <c r="BM904" s="138"/>
      <c r="BN904" s="138"/>
      <c r="BO904" s="138"/>
      <c r="BP904" s="138"/>
      <c r="BQ904" s="138"/>
      <c r="BR904" s="138"/>
      <c r="BS904" s="138"/>
      <c r="BT904" s="138"/>
      <c r="BU904" s="138"/>
      <c r="BV904" s="138"/>
      <c r="BW904" s="138"/>
      <c r="BX904" s="138"/>
      <c r="BY904" s="138"/>
      <c r="BZ904" s="138"/>
      <c r="CA904" s="138"/>
      <c r="CB904" s="138"/>
      <c r="CC904" s="138"/>
      <c r="CD904" s="138"/>
      <c r="CE904" s="138"/>
      <c r="CF904" s="138"/>
      <c r="CG904" s="138"/>
      <c r="CH904" s="138"/>
      <c r="CI904" s="138"/>
      <c r="CJ904" s="138"/>
      <c r="CK904" s="138"/>
      <c r="CL904" s="138"/>
      <c r="CM904" s="138"/>
      <c r="CN904" s="138"/>
      <c r="CO904" s="138"/>
      <c r="CP904" s="138"/>
      <c r="CQ904" s="138"/>
      <c r="CR904" s="138"/>
      <c r="CS904" s="138"/>
      <c r="CT904" s="138"/>
      <c r="CU904" s="138"/>
      <c r="CV904" s="138"/>
      <c r="CW904" s="138"/>
      <c r="CX904" s="138"/>
      <c r="CY904" s="138"/>
      <c r="CZ904" s="138"/>
      <c r="DA904" s="138"/>
      <c r="DB904" s="138"/>
      <c r="DC904" s="138"/>
      <c r="DD904" s="138"/>
      <c r="DE904" s="138"/>
      <c r="DF904" s="138"/>
      <c r="DG904" s="115"/>
    </row>
    <row r="905" spans="1:111" ht="4.5" customHeight="1">
      <c r="A905"/>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49"/>
      <c r="AY905" s="49"/>
      <c r="AZ905" s="49"/>
      <c r="BA905" s="49"/>
      <c r="BB90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c r="BY905" s="115"/>
      <c r="BZ905" s="115"/>
      <c r="CA905" s="115"/>
      <c r="CB905" s="115"/>
      <c r="CC905" s="115"/>
      <c r="CD905" s="115"/>
      <c r="CE905" s="115"/>
      <c r="CF905" s="115"/>
      <c r="CG905" s="115"/>
      <c r="CH905" s="115"/>
      <c r="CI905" s="115"/>
      <c r="CJ905" s="115"/>
      <c r="CK905" s="115"/>
      <c r="CL905" s="115"/>
      <c r="CM905" s="115"/>
      <c r="CN905" s="115"/>
      <c r="CO905" s="115"/>
      <c r="CP905" s="115"/>
      <c r="CQ905" s="115"/>
      <c r="CR905" s="115"/>
      <c r="CS905" s="115"/>
      <c r="CT905" s="115"/>
      <c r="CU905" s="115"/>
      <c r="CV905" s="115"/>
      <c r="CW905" s="115"/>
      <c r="CX905" s="115"/>
      <c r="CY905" s="115"/>
      <c r="CZ905" s="115"/>
      <c r="DA905" s="115"/>
      <c r="DB905" s="115"/>
      <c r="DC905" s="115"/>
      <c r="DD905" s="115"/>
      <c r="DE905" s="115"/>
      <c r="DF905" s="115"/>
      <c r="DG905" s="115"/>
    </row>
    <row r="906" spans="1:111" ht="9" customHeight="1">
      <c r="A906"/>
      <c r="B906" s="125"/>
      <c r="C906" s="125"/>
      <c r="D906" s="125"/>
      <c r="E906" s="125"/>
      <c r="F906" s="125"/>
      <c r="G906" s="125"/>
      <c r="H906" s="125"/>
      <c r="I906" s="125"/>
      <c r="J906" s="125"/>
      <c r="K906" s="125"/>
      <c r="L906" s="125"/>
      <c r="M906" s="125"/>
      <c r="N906" s="125"/>
      <c r="O906" s="496" t="str">
        <f>IF(B876="","","Quantidade:")</f>
        <v/>
      </c>
      <c r="P906" s="496"/>
      <c r="Q906" s="496"/>
      <c r="R906" s="496"/>
      <c r="S906" s="496"/>
      <c r="T906" s="496"/>
      <c r="U906" s="496"/>
      <c r="V906" s="417"/>
      <c r="W906" s="417"/>
      <c r="X906" s="417"/>
      <c r="Y906" s="417"/>
      <c r="Z906" s="417"/>
      <c r="AA906" s="417"/>
      <c r="AB906" s="417"/>
      <c r="AC906" s="417"/>
      <c r="AD906" s="417"/>
      <c r="AE906" s="417"/>
      <c r="AF906" s="125"/>
      <c r="AG906" s="497" t="str">
        <f>IF(B876="","","Unidade:")</f>
        <v/>
      </c>
      <c r="AH906" s="497"/>
      <c r="AI906" s="497"/>
      <c r="AJ906" s="497"/>
      <c r="AK906" s="497"/>
      <c r="AL906" s="497"/>
      <c r="AM906" s="497"/>
      <c r="AN906" s="125"/>
      <c r="AO906" s="417"/>
      <c r="AP906" s="417"/>
      <c r="AQ906" s="417"/>
      <c r="AR906" s="417"/>
      <c r="AS906" s="417"/>
      <c r="AT906" s="417"/>
      <c r="AU906" s="417"/>
      <c r="AV906" s="417"/>
      <c r="AW906" s="417"/>
      <c r="AX906" s="417"/>
      <c r="AY906" s="417"/>
      <c r="AZ906" s="417"/>
      <c r="BA906" s="417"/>
      <c r="BB906"/>
      <c r="BC906" s="115"/>
      <c r="BD906" s="115"/>
      <c r="BE906" s="115"/>
      <c r="BF906" s="115"/>
      <c r="BG906" s="115"/>
      <c r="BH906" s="124"/>
      <c r="BI906" s="124"/>
      <c r="BJ906" s="124"/>
      <c r="BK906" s="124"/>
      <c r="BL906" s="124"/>
      <c r="BM906" s="124"/>
      <c r="BN906" s="124"/>
      <c r="BO906" s="124"/>
      <c r="BP906" s="124"/>
      <c r="BQ906" s="124"/>
      <c r="BR906" s="124"/>
      <c r="BS906" s="124"/>
      <c r="BT906" s="124"/>
      <c r="BU906" s="124"/>
      <c r="BV906" s="124"/>
      <c r="BW906" s="124"/>
      <c r="BX906" s="124"/>
      <c r="BY906" s="124"/>
      <c r="BZ906" s="124"/>
      <c r="CA906" s="124"/>
      <c r="CB906" s="124"/>
      <c r="CC906" s="124"/>
      <c r="CD906" s="124"/>
      <c r="CE906" s="124"/>
      <c r="CF906" s="124"/>
      <c r="CG906" s="124"/>
      <c r="CH906" s="124"/>
      <c r="CI906" s="124"/>
      <c r="CJ906" s="124"/>
      <c r="CK906" s="124"/>
      <c r="CL906" s="124"/>
      <c r="CM906" s="124"/>
      <c r="CN906" s="124"/>
      <c r="CO906" s="124"/>
      <c r="CP906" s="124"/>
      <c r="CQ906" s="124"/>
      <c r="CR906" s="124"/>
      <c r="CS906" s="124"/>
      <c r="CT906" s="124"/>
      <c r="CU906" s="124"/>
      <c r="CV906" s="124"/>
      <c r="CW906" s="124"/>
      <c r="CX906" s="124"/>
      <c r="CY906" s="124"/>
      <c r="CZ906" s="124"/>
      <c r="DA906" s="124"/>
      <c r="DB906" s="124"/>
      <c r="DC906" s="124"/>
      <c r="DD906" s="124"/>
      <c r="DE906" s="124"/>
      <c r="DF906" s="124"/>
      <c r="DG906" s="115"/>
    </row>
    <row r="907" spans="1:111" ht="9" customHeight="1">
      <c r="A907"/>
      <c r="B907" s="125"/>
      <c r="C907" s="125"/>
      <c r="D907" s="125"/>
      <c r="E907" s="125"/>
      <c r="F907" s="125"/>
      <c r="G907" s="125"/>
      <c r="H907" s="125"/>
      <c r="I907" s="125"/>
      <c r="J907" s="125"/>
      <c r="K907" s="125"/>
      <c r="L907" s="125"/>
      <c r="M907" s="125"/>
      <c r="N907" s="125"/>
      <c r="O907" s="496"/>
      <c r="P907" s="496"/>
      <c r="Q907" s="496"/>
      <c r="R907" s="496"/>
      <c r="S907" s="496"/>
      <c r="T907" s="496"/>
      <c r="U907" s="496"/>
      <c r="V907" s="417"/>
      <c r="W907" s="417"/>
      <c r="X907" s="417"/>
      <c r="Y907" s="417"/>
      <c r="Z907" s="417"/>
      <c r="AA907" s="417"/>
      <c r="AB907" s="417"/>
      <c r="AC907" s="417"/>
      <c r="AD907" s="417"/>
      <c r="AE907" s="417"/>
      <c r="AF907" s="125"/>
      <c r="AG907" s="497"/>
      <c r="AH907" s="497"/>
      <c r="AI907" s="497"/>
      <c r="AJ907" s="497"/>
      <c r="AK907" s="497"/>
      <c r="AL907" s="497"/>
      <c r="AM907" s="497"/>
      <c r="AN907" s="125"/>
      <c r="AO907" s="417"/>
      <c r="AP907" s="417"/>
      <c r="AQ907" s="417"/>
      <c r="AR907" s="417"/>
      <c r="AS907" s="417"/>
      <c r="AT907" s="417"/>
      <c r="AU907" s="417"/>
      <c r="AV907" s="417"/>
      <c r="AW907" s="417"/>
      <c r="AX907" s="417"/>
      <c r="AY907" s="417"/>
      <c r="AZ907" s="417"/>
      <c r="BA907" s="417"/>
      <c r="BB907"/>
      <c r="BC907" s="115"/>
      <c r="BD907" s="115"/>
      <c r="BE907" s="115"/>
      <c r="BF907" s="115"/>
      <c r="BG907" s="115"/>
      <c r="BH907" s="124"/>
      <c r="BI907" s="124"/>
      <c r="BJ907" s="124"/>
      <c r="BK907" s="124"/>
      <c r="BL907" s="124"/>
      <c r="BM907" s="124"/>
      <c r="BN907" s="124"/>
      <c r="BO907" s="124"/>
      <c r="BP907" s="124"/>
      <c r="BQ907" s="124"/>
      <c r="BR907" s="124"/>
      <c r="BS907" s="124"/>
      <c r="BT907" s="124"/>
      <c r="BU907" s="124"/>
      <c r="BV907" s="124"/>
      <c r="BW907" s="124"/>
      <c r="BX907" s="124"/>
      <c r="BY907" s="124"/>
      <c r="BZ907" s="124"/>
      <c r="CA907" s="124"/>
      <c r="CB907" s="124"/>
      <c r="CC907" s="124"/>
      <c r="CD907" s="124"/>
      <c r="CE907" s="124"/>
      <c r="CF907" s="124"/>
      <c r="CG907" s="124"/>
      <c r="CH907" s="124"/>
      <c r="CI907" s="124"/>
      <c r="CJ907" s="124"/>
      <c r="CK907" s="124"/>
      <c r="CL907" s="124"/>
      <c r="CM907" s="124"/>
      <c r="CN907" s="124"/>
      <c r="CO907" s="124"/>
      <c r="CP907" s="124"/>
      <c r="CQ907" s="124"/>
      <c r="CR907" s="124"/>
      <c r="CS907" s="124"/>
      <c r="CT907" s="124"/>
      <c r="CU907" s="124"/>
      <c r="CV907" s="124"/>
      <c r="CW907" s="124"/>
      <c r="CX907" s="124"/>
      <c r="CY907" s="124"/>
      <c r="CZ907" s="124"/>
      <c r="DA907" s="124"/>
      <c r="DB907" s="124"/>
      <c r="DC907" s="124"/>
      <c r="DD907" s="124"/>
      <c r="DE907" s="124"/>
      <c r="DF907" s="124"/>
      <c r="DG907" s="115"/>
    </row>
    <row r="908" spans="1:111" ht="9" customHeight="1">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s="115"/>
      <c r="BD908" s="115"/>
      <c r="BE908" s="115"/>
      <c r="BF908" s="115"/>
      <c r="BG908" s="115"/>
      <c r="BH908" s="498"/>
      <c r="BI908" s="498"/>
      <c r="BJ908" s="498"/>
      <c r="BK908" s="498"/>
      <c r="BL908" s="498"/>
      <c r="BM908" s="498"/>
      <c r="BN908" s="498"/>
      <c r="BO908" s="498"/>
      <c r="BP908" s="498"/>
      <c r="BQ908" s="498"/>
      <c r="BR908" s="498"/>
      <c r="BS908" s="498"/>
      <c r="BT908" s="498"/>
      <c r="BU908" s="498"/>
      <c r="BV908" s="498"/>
      <c r="BW908" s="498"/>
      <c r="BX908" s="498"/>
      <c r="BY908" s="498"/>
      <c r="BZ908" s="498"/>
      <c r="CA908" s="498"/>
      <c r="CB908" s="498"/>
      <c r="CC908" s="498"/>
      <c r="CD908" s="498"/>
      <c r="CE908" s="498"/>
      <c r="CF908" s="498"/>
      <c r="CG908" s="498"/>
      <c r="CH908" s="498"/>
      <c r="CI908" s="498"/>
      <c r="CJ908" s="498"/>
      <c r="CK908" s="498"/>
      <c r="CL908" s="498"/>
      <c r="CM908" s="498"/>
      <c r="CN908" s="498"/>
      <c r="CO908" s="498"/>
      <c r="CP908" s="498"/>
      <c r="CQ908" s="498"/>
      <c r="CR908" s="498"/>
      <c r="CS908" s="498"/>
      <c r="CT908" s="498"/>
      <c r="CU908" s="498"/>
      <c r="CV908" s="498"/>
      <c r="CW908" s="498"/>
      <c r="CX908" s="498"/>
      <c r="CY908" s="498"/>
      <c r="CZ908" s="498"/>
      <c r="DA908" s="498"/>
      <c r="DB908" s="498"/>
      <c r="DC908" s="498"/>
      <c r="DD908" s="498"/>
      <c r="DE908" s="498"/>
      <c r="DF908" s="498"/>
      <c r="DG908" s="115"/>
    </row>
    <row r="909" spans="1:111" ht="9" customHeight="1">
      <c r="A909"/>
      <c r="B909" s="499" t="str">
        <f>IF($Z$32&gt;=12,"Nome da Empresa ou Nº da Ata","")</f>
        <v>Nome da Empresa ou Nº da Ata</v>
      </c>
      <c r="C909" s="499"/>
      <c r="D909" s="499"/>
      <c r="E909" s="499"/>
      <c r="F909" s="499"/>
      <c r="G909" s="499"/>
      <c r="H909" s="499"/>
      <c r="I909" s="499"/>
      <c r="J909" s="499"/>
      <c r="K909" s="499"/>
      <c r="L909" s="499"/>
      <c r="M909" s="499"/>
      <c r="N909" s="499"/>
      <c r="O909" s="499"/>
      <c r="P909" s="499"/>
      <c r="Q909" s="499"/>
      <c r="R909" s="499"/>
      <c r="S909" s="499"/>
      <c r="T909" s="499"/>
      <c r="U909" s="499"/>
      <c r="V909" s="499"/>
      <c r="W909" s="499"/>
      <c r="X909" s="499" t="str">
        <f>IF($Z$32&gt;=12,"CNPJ / CPF","")</f>
        <v>CNPJ / CPF</v>
      </c>
      <c r="Y909" s="499"/>
      <c r="Z909" s="499"/>
      <c r="AA909" s="499"/>
      <c r="AB909" s="499"/>
      <c r="AC909" s="499"/>
      <c r="AD909" s="499"/>
      <c r="AE909" s="499"/>
      <c r="AF909" s="499"/>
      <c r="AG909" s="499"/>
      <c r="AH909" s="499" t="str">
        <f>IF($Z$32&gt;=12,"Qtde","")</f>
        <v>Qtde</v>
      </c>
      <c r="AI909" s="499"/>
      <c r="AJ909" s="499"/>
      <c r="AK909" s="499"/>
      <c r="AL909" s="499" t="str">
        <f>IF($Z$32&gt;=12,"Valor Unitário (R$)","")</f>
        <v>Valor Unitário (R$)</v>
      </c>
      <c r="AM909" s="499"/>
      <c r="AN909" s="499"/>
      <c r="AO909" s="499"/>
      <c r="AP909" s="499"/>
      <c r="AQ909" s="499"/>
      <c r="AR909" s="499"/>
      <c r="AS909" s="499"/>
      <c r="AT909" s="499" t="str">
        <f>IF($Z$32&gt;=12,"Valor Total (R$)","")</f>
        <v>Valor Total (R$)</v>
      </c>
      <c r="AU909" s="499"/>
      <c r="AV909" s="499"/>
      <c r="AW909" s="499"/>
      <c r="AX909" s="499"/>
      <c r="AY909" s="499"/>
      <c r="AZ909" s="499"/>
      <c r="BA909" s="499"/>
      <c r="BB909"/>
      <c r="BC909" s="115"/>
      <c r="BD909" s="115"/>
      <c r="BE909" s="115"/>
      <c r="BF909" s="115"/>
      <c r="BG909" s="115"/>
      <c r="BH909" s="498"/>
      <c r="BI909" s="498"/>
      <c r="BJ909" s="498"/>
      <c r="BK909" s="498"/>
      <c r="BL909" s="498"/>
      <c r="BM909" s="498"/>
      <c r="BN909" s="498"/>
      <c r="BO909" s="498"/>
      <c r="BP909" s="498"/>
      <c r="BQ909" s="498"/>
      <c r="BR909" s="498"/>
      <c r="BS909" s="498"/>
      <c r="BT909" s="498"/>
      <c r="BU909" s="498"/>
      <c r="BV909" s="498"/>
      <c r="BW909" s="498"/>
      <c r="BX909" s="498"/>
      <c r="BY909" s="498"/>
      <c r="BZ909" s="498"/>
      <c r="CA909" s="498"/>
      <c r="CB909" s="498"/>
      <c r="CC909" s="498"/>
      <c r="CD909" s="498"/>
      <c r="CE909" s="498"/>
      <c r="CF909" s="498"/>
      <c r="CG909" s="498"/>
      <c r="CH909" s="498"/>
      <c r="CI909" s="498"/>
      <c r="CJ909" s="498"/>
      <c r="CK909" s="498"/>
      <c r="CL909" s="498"/>
      <c r="CM909" s="498"/>
      <c r="CN909" s="498"/>
      <c r="CO909" s="498"/>
      <c r="CP909" s="498"/>
      <c r="CQ909" s="498"/>
      <c r="CR909" s="498"/>
      <c r="CS909" s="498"/>
      <c r="CT909" s="498"/>
      <c r="CU909" s="498"/>
      <c r="CV909" s="498"/>
      <c r="CW909" s="498"/>
      <c r="CX909" s="498"/>
      <c r="CY909" s="498"/>
      <c r="CZ909" s="498"/>
      <c r="DA909" s="498"/>
      <c r="DB909" s="498"/>
      <c r="DC909" s="498"/>
      <c r="DD909" s="498"/>
      <c r="DE909" s="498"/>
      <c r="DF909" s="498"/>
      <c r="DG909" s="115"/>
    </row>
    <row r="910" spans="1:111" ht="9" customHeight="1">
      <c r="A910"/>
      <c r="B910" s="499"/>
      <c r="C910" s="499"/>
      <c r="D910" s="499"/>
      <c r="E910" s="499"/>
      <c r="F910" s="499"/>
      <c r="G910" s="499"/>
      <c r="H910" s="499"/>
      <c r="I910" s="499"/>
      <c r="J910" s="499"/>
      <c r="K910" s="499"/>
      <c r="L910" s="499"/>
      <c r="M910" s="499"/>
      <c r="N910" s="499"/>
      <c r="O910" s="499"/>
      <c r="P910" s="499"/>
      <c r="Q910" s="499"/>
      <c r="R910" s="499"/>
      <c r="S910" s="499"/>
      <c r="T910" s="499"/>
      <c r="U910" s="499"/>
      <c r="V910" s="499"/>
      <c r="W910" s="499"/>
      <c r="X910" s="499"/>
      <c r="Y910" s="499"/>
      <c r="Z910" s="499"/>
      <c r="AA910" s="499"/>
      <c r="AB910" s="499"/>
      <c r="AC910" s="499"/>
      <c r="AD910" s="499"/>
      <c r="AE910" s="499"/>
      <c r="AF910" s="499"/>
      <c r="AG910" s="499"/>
      <c r="AH910" s="499"/>
      <c r="AI910" s="499"/>
      <c r="AJ910" s="499"/>
      <c r="AK910" s="499"/>
      <c r="AL910" s="499"/>
      <c r="AM910" s="499"/>
      <c r="AN910" s="499"/>
      <c r="AO910" s="499"/>
      <c r="AP910" s="499"/>
      <c r="AQ910" s="499"/>
      <c r="AR910" s="499"/>
      <c r="AS910" s="499"/>
      <c r="AT910" s="499"/>
      <c r="AU910" s="499"/>
      <c r="AV910" s="499"/>
      <c r="AW910" s="499"/>
      <c r="AX910" s="499"/>
      <c r="AY910" s="499"/>
      <c r="AZ910" s="499"/>
      <c r="BA910" s="499"/>
      <c r="BB910" s="176" t="e">
        <f>AVERAGE(AL911:AS913)</f>
        <v>#DIV/0!</v>
      </c>
      <c r="BC910" s="115"/>
      <c r="BD910" s="115"/>
      <c r="BE910" s="115"/>
      <c r="BF910" s="115"/>
      <c r="BG910" s="115"/>
      <c r="BH910" s="498"/>
      <c r="BI910" s="498"/>
      <c r="BJ910" s="498"/>
      <c r="BK910" s="498"/>
      <c r="BL910" s="498"/>
      <c r="BM910" s="498"/>
      <c r="BN910" s="498"/>
      <c r="BO910" s="498"/>
      <c r="BP910" s="498"/>
      <c r="BQ910" s="498"/>
      <c r="BR910" s="498"/>
      <c r="BS910" s="498"/>
      <c r="BT910" s="498"/>
      <c r="BU910" s="498"/>
      <c r="BV910" s="498"/>
      <c r="BW910" s="498"/>
      <c r="BX910" s="498"/>
      <c r="BY910" s="498"/>
      <c r="BZ910" s="498"/>
      <c r="CA910" s="498"/>
      <c r="CB910" s="498"/>
      <c r="CC910" s="498"/>
      <c r="CD910" s="498"/>
      <c r="CE910" s="498"/>
      <c r="CF910" s="498"/>
      <c r="CG910" s="498"/>
      <c r="CH910" s="498"/>
      <c r="CI910" s="498"/>
      <c r="CJ910" s="498"/>
      <c r="CK910" s="498"/>
      <c r="CL910" s="498"/>
      <c r="CM910" s="498"/>
      <c r="CN910" s="498"/>
      <c r="CO910" s="498"/>
      <c r="CP910" s="498"/>
      <c r="CQ910" s="498"/>
      <c r="CR910" s="498"/>
      <c r="CS910" s="498"/>
      <c r="CT910" s="498"/>
      <c r="CU910" s="498"/>
      <c r="CV910" s="498"/>
      <c r="CW910" s="498"/>
      <c r="CX910" s="498"/>
      <c r="CY910" s="498"/>
      <c r="CZ910" s="498"/>
      <c r="DA910" s="498"/>
      <c r="DB910" s="498"/>
      <c r="DC910" s="498"/>
      <c r="DD910" s="498"/>
      <c r="DE910" s="498"/>
      <c r="DF910" s="498"/>
      <c r="DG910" s="115"/>
    </row>
    <row r="911" spans="1:111" ht="18" customHeight="1">
      <c r="A911"/>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486"/>
      <c r="Y911" s="486"/>
      <c r="Z911" s="486"/>
      <c r="AA911" s="486"/>
      <c r="AB911" s="486"/>
      <c r="AC911" s="486"/>
      <c r="AD911" s="486"/>
      <c r="AE911" s="486"/>
      <c r="AF911" s="486"/>
      <c r="AG911" s="486"/>
      <c r="AH911" s="417"/>
      <c r="AI911" s="417"/>
      <c r="AJ911" s="417"/>
      <c r="AK911" s="417"/>
      <c r="AL911" s="419"/>
      <c r="AM911" s="419"/>
      <c r="AN911" s="419"/>
      <c r="AO911" s="419"/>
      <c r="AP911" s="419"/>
      <c r="AQ911" s="419"/>
      <c r="AR911" s="419"/>
      <c r="AS911" s="419"/>
      <c r="AT911" s="487">
        <f>IF($Z$32&gt;=12,(AH911*AL911),"")</f>
        <v>0</v>
      </c>
      <c r="AU911" s="487"/>
      <c r="AV911" s="487"/>
      <c r="AW911" s="487"/>
      <c r="AX911" s="487"/>
      <c r="AY911" s="487"/>
      <c r="AZ911" s="487"/>
      <c r="BA911" s="487"/>
      <c r="BB911"/>
      <c r="BC911" s="115"/>
      <c r="BD911" s="115"/>
      <c r="BE911" s="115"/>
      <c r="BF911" s="115"/>
      <c r="BG911" s="115"/>
      <c r="BH911" s="498"/>
      <c r="BI911" s="498"/>
      <c r="BJ911" s="498"/>
      <c r="BK911" s="498"/>
      <c r="BL911" s="498"/>
      <c r="BM911" s="498"/>
      <c r="BN911" s="498"/>
      <c r="BO911" s="498"/>
      <c r="BP911" s="498"/>
      <c r="BQ911" s="498"/>
      <c r="BR911" s="498"/>
      <c r="BS911" s="498"/>
      <c r="BT911" s="498"/>
      <c r="BU911" s="498"/>
      <c r="BV911" s="498"/>
      <c r="BW911" s="498"/>
      <c r="BX911" s="498"/>
      <c r="BY911" s="498"/>
      <c r="BZ911" s="498"/>
      <c r="CA911" s="498"/>
      <c r="CB911" s="498"/>
      <c r="CC911" s="498"/>
      <c r="CD911" s="498"/>
      <c r="CE911" s="498"/>
      <c r="CF911" s="498"/>
      <c r="CG911" s="498"/>
      <c r="CH911" s="498"/>
      <c r="CI911" s="498"/>
      <c r="CJ911" s="498"/>
      <c r="CK911" s="498"/>
      <c r="CL911" s="498"/>
      <c r="CM911" s="498"/>
      <c r="CN911" s="498"/>
      <c r="CO911" s="498"/>
      <c r="CP911" s="498"/>
      <c r="CQ911" s="498"/>
      <c r="CR911" s="498"/>
      <c r="CS911" s="498"/>
      <c r="CT911" s="498"/>
      <c r="CU911" s="498"/>
      <c r="CV911" s="498"/>
      <c r="CW911" s="498"/>
      <c r="CX911" s="498"/>
      <c r="CY911" s="498"/>
      <c r="CZ911" s="498"/>
      <c r="DA911" s="498"/>
      <c r="DB911" s="498"/>
      <c r="DC911" s="498"/>
      <c r="DD911" s="498"/>
      <c r="DE911" s="498"/>
      <c r="DF911" s="498"/>
      <c r="DG911" s="115"/>
    </row>
    <row r="912" spans="1:111" ht="18" customHeight="1">
      <c r="A912"/>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486"/>
      <c r="Y912" s="486"/>
      <c r="Z912" s="486"/>
      <c r="AA912" s="486"/>
      <c r="AB912" s="486"/>
      <c r="AC912" s="486"/>
      <c r="AD912" s="486"/>
      <c r="AE912" s="486"/>
      <c r="AF912" s="486"/>
      <c r="AG912" s="486"/>
      <c r="AH912" s="417"/>
      <c r="AI912" s="417"/>
      <c r="AJ912" s="417"/>
      <c r="AK912" s="417"/>
      <c r="AL912" s="419"/>
      <c r="AM912" s="419"/>
      <c r="AN912" s="419"/>
      <c r="AO912" s="419"/>
      <c r="AP912" s="419"/>
      <c r="AQ912" s="419"/>
      <c r="AR912" s="419"/>
      <c r="AS912" s="419"/>
      <c r="AT912" s="487">
        <f>IF($Z$32&gt;=12,(AH912*AL912),"")</f>
        <v>0</v>
      </c>
      <c r="AU912" s="487"/>
      <c r="AV912" s="487"/>
      <c r="AW912" s="487"/>
      <c r="AX912" s="487"/>
      <c r="AY912" s="487"/>
      <c r="AZ912" s="487"/>
      <c r="BA912" s="487"/>
      <c r="BB912"/>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c r="BY912" s="115"/>
      <c r="BZ912" s="115"/>
      <c r="CA912" s="115"/>
      <c r="CB912" s="115"/>
      <c r="CC912" s="115"/>
      <c r="CD912" s="115"/>
      <c r="CE912" s="115"/>
      <c r="CF912" s="115"/>
      <c r="CG912" s="115"/>
      <c r="CH912" s="115"/>
      <c r="CI912" s="115"/>
      <c r="CJ912" s="115"/>
      <c r="CK912" s="115"/>
      <c r="CL912" s="115"/>
      <c r="CM912" s="115"/>
      <c r="CN912" s="115"/>
      <c r="CO912" s="115"/>
      <c r="CP912" s="115"/>
      <c r="CQ912" s="115"/>
      <c r="CR912" s="115"/>
      <c r="CS912" s="115"/>
      <c r="CT912" s="115"/>
      <c r="CU912" s="115"/>
      <c r="CV912" s="115"/>
      <c r="CW912" s="115"/>
      <c r="CX912" s="115"/>
      <c r="CY912" s="115"/>
      <c r="CZ912" s="115"/>
      <c r="DA912" s="115"/>
      <c r="DB912" s="115"/>
      <c r="DC912" s="115"/>
      <c r="DD912" s="115"/>
      <c r="DE912" s="115"/>
      <c r="DF912" s="115"/>
      <c r="DG912" s="115"/>
    </row>
    <row r="913" spans="1:111" ht="18" customHeight="1">
      <c r="A91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486"/>
      <c r="Y913" s="486"/>
      <c r="Z913" s="486"/>
      <c r="AA913" s="486"/>
      <c r="AB913" s="486"/>
      <c r="AC913" s="486"/>
      <c r="AD913" s="486"/>
      <c r="AE913" s="486"/>
      <c r="AF913" s="486"/>
      <c r="AG913" s="486"/>
      <c r="AH913" s="417"/>
      <c r="AI913" s="417"/>
      <c r="AJ913" s="417"/>
      <c r="AK913" s="417"/>
      <c r="AL913" s="419"/>
      <c r="AM913" s="419"/>
      <c r="AN913" s="419"/>
      <c r="AO913" s="419"/>
      <c r="AP913" s="419"/>
      <c r="AQ913" s="419"/>
      <c r="AR913" s="419"/>
      <c r="AS913" s="419"/>
      <c r="AT913" s="487">
        <f>IF($Z$32&gt;=12,(AH913*AL913),"")</f>
        <v>0</v>
      </c>
      <c r="AU913" s="487"/>
      <c r="AV913" s="487"/>
      <c r="AW913" s="487"/>
      <c r="AX913" s="487"/>
      <c r="AY913" s="487"/>
      <c r="AZ913" s="487"/>
      <c r="BA913" s="487"/>
      <c r="BB913"/>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c r="BY913" s="115"/>
      <c r="BZ913" s="115"/>
      <c r="CA913" s="115"/>
      <c r="CB913" s="115"/>
      <c r="CC913" s="115"/>
      <c r="CD913" s="115"/>
      <c r="CE913" s="115"/>
      <c r="CF913" s="115"/>
      <c r="CG913" s="115"/>
      <c r="CH913" s="115"/>
      <c r="CI913" s="115"/>
      <c r="CJ913" s="115"/>
      <c r="CK913" s="115"/>
      <c r="CL913" s="115"/>
      <c r="CM913" s="115"/>
      <c r="CN913" s="115"/>
      <c r="CO913" s="115"/>
      <c r="CP913" s="115"/>
      <c r="CQ913" s="115"/>
      <c r="CR913" s="115"/>
      <c r="CS913" s="115"/>
      <c r="CT913" s="115"/>
      <c r="CU913" s="115"/>
      <c r="CV913" s="115"/>
      <c r="CW913" s="115"/>
      <c r="CX913" s="115"/>
      <c r="CY913" s="115"/>
      <c r="CZ913" s="115"/>
      <c r="DA913" s="115"/>
      <c r="DB913" s="115"/>
      <c r="DC913" s="115"/>
      <c r="DD913" s="115"/>
      <c r="DE913" s="115"/>
      <c r="DF913" s="115"/>
      <c r="DG913" s="115"/>
    </row>
    <row r="914" spans="1:111" ht="15" customHeight="1">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500" t="str">
        <f>IF(B911="","",IF(AL912="",AT911,IF(AL913="",AVERAGE(AT911:BA912),AVERAGE(AT911:AT913))))</f>
        <v/>
      </c>
      <c r="AU914" s="500"/>
      <c r="AV914" s="500"/>
      <c r="AW914" s="500"/>
      <c r="AX914" s="500"/>
      <c r="AY914" s="500"/>
      <c r="AZ914" s="500"/>
      <c r="BA914" s="500"/>
      <c r="BB914"/>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c r="BY914" s="115"/>
      <c r="BZ914" s="115"/>
      <c r="CA914" s="115"/>
      <c r="CB914" s="115"/>
      <c r="CC914" s="115"/>
      <c r="CD914" s="115"/>
      <c r="CE914" s="115"/>
      <c r="CF914" s="115"/>
      <c r="CG914" s="115"/>
      <c r="CH914" s="115"/>
      <c r="CI914" s="115"/>
      <c r="CJ914" s="115"/>
      <c r="CK914" s="115"/>
      <c r="CL914" s="115"/>
      <c r="CM914" s="115"/>
      <c r="CN914" s="115"/>
      <c r="CO914" s="115"/>
      <c r="CP914" s="115"/>
      <c r="CQ914" s="115"/>
      <c r="CR914" s="115"/>
      <c r="CS914" s="115"/>
      <c r="CT914" s="115"/>
      <c r="CU914" s="115"/>
      <c r="CV914" s="115"/>
      <c r="CW914" s="115"/>
      <c r="CX914" s="115"/>
      <c r="CY914" s="115"/>
      <c r="CZ914" s="115"/>
      <c r="DA914" s="115"/>
      <c r="DB914" s="115"/>
      <c r="DC914" s="115"/>
      <c r="DD914" s="115"/>
      <c r="DE914" s="115"/>
      <c r="DF914" s="115"/>
      <c r="DG914" s="115"/>
    </row>
    <row r="915" spans="1:111" ht="15" customHeight="1">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c r="BY915" s="115"/>
      <c r="BZ915" s="115"/>
      <c r="CA915" s="115"/>
      <c r="CB915" s="115"/>
      <c r="CC915" s="115"/>
      <c r="CD915" s="115"/>
      <c r="CE915" s="115"/>
      <c r="CF915" s="115"/>
      <c r="CG915" s="115"/>
      <c r="CH915" s="115"/>
      <c r="CI915" s="115"/>
      <c r="CJ915" s="115"/>
      <c r="CK915" s="115"/>
      <c r="CL915" s="115"/>
      <c r="CM915" s="115"/>
      <c r="CN915" s="115"/>
      <c r="CO915" s="115"/>
      <c r="CP915" s="115"/>
      <c r="CQ915" s="115"/>
      <c r="CR915" s="115"/>
      <c r="CS915" s="115"/>
      <c r="CT915" s="115"/>
      <c r="CU915" s="115"/>
      <c r="CV915" s="115"/>
      <c r="CW915" s="115"/>
      <c r="CX915" s="115"/>
      <c r="CY915" s="115"/>
      <c r="CZ915" s="115"/>
      <c r="DA915" s="115"/>
      <c r="DB915" s="115"/>
      <c r="DC915" s="115"/>
      <c r="DD915" s="115"/>
      <c r="DE915" s="115"/>
      <c r="DF915" s="115"/>
      <c r="DG915" s="115"/>
    </row>
    <row r="916" spans="1:111" ht="9" customHeight="1">
      <c r="A916"/>
      <c r="B916" s="494" t="str">
        <f>IF($Z$32&gt;=23,"Item 23","")</f>
        <v/>
      </c>
      <c r="C916" s="495"/>
      <c r="D916" s="495"/>
      <c r="E916" s="495"/>
      <c r="F916" s="495"/>
      <c r="G916" s="495"/>
      <c r="H916" s="495"/>
      <c r="I916" s="495"/>
      <c r="J916" s="495"/>
      <c r="K916" s="495"/>
      <c r="L916" s="495"/>
      <c r="M916" s="495"/>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c r="BY916" s="115"/>
      <c r="BZ916" s="115"/>
      <c r="CA916" s="115"/>
      <c r="CB916" s="115"/>
      <c r="CC916" s="115"/>
      <c r="CD916" s="115"/>
      <c r="CE916" s="115"/>
      <c r="CF916" s="115"/>
      <c r="CG916" s="115"/>
      <c r="CH916" s="115"/>
      <c r="CI916" s="115"/>
      <c r="CJ916" s="115"/>
      <c r="CK916" s="115"/>
      <c r="CL916" s="115"/>
      <c r="CM916" s="115"/>
      <c r="CN916" s="115"/>
      <c r="CO916" s="115"/>
      <c r="CP916" s="115"/>
      <c r="CQ916" s="115"/>
      <c r="CR916" s="115"/>
      <c r="CS916" s="115"/>
      <c r="CT916" s="115"/>
      <c r="CU916" s="115"/>
      <c r="CV916" s="115"/>
      <c r="CW916" s="115"/>
      <c r="CX916" s="115"/>
      <c r="CY916" s="115"/>
      <c r="CZ916" s="115"/>
      <c r="DA916" s="115"/>
      <c r="DB916" s="115"/>
      <c r="DC916" s="115"/>
      <c r="DD916" s="115"/>
      <c r="DE916" s="115"/>
      <c r="DF916" s="115"/>
      <c r="DG916" s="115"/>
    </row>
    <row r="917" spans="1:111" ht="9" customHeight="1">
      <c r="A917"/>
      <c r="B917" s="495"/>
      <c r="C917" s="495"/>
      <c r="D917" s="495"/>
      <c r="E917" s="495"/>
      <c r="F917" s="495"/>
      <c r="G917" s="495"/>
      <c r="H917" s="495"/>
      <c r="I917" s="495"/>
      <c r="J917" s="495"/>
      <c r="K917" s="495"/>
      <c r="L917" s="495"/>
      <c r="M917" s="495"/>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c r="BY917" s="115"/>
      <c r="BZ917" s="115"/>
      <c r="CA917" s="115"/>
      <c r="CB917" s="115"/>
      <c r="CC917" s="115"/>
      <c r="CD917" s="115"/>
      <c r="CE917" s="115"/>
      <c r="CF917" s="115"/>
      <c r="CG917" s="115"/>
      <c r="CH917" s="115"/>
      <c r="CI917" s="115"/>
      <c r="CJ917" s="115"/>
      <c r="CK917" s="115"/>
      <c r="CL917" s="115"/>
      <c r="CM917" s="115"/>
      <c r="CN917" s="115"/>
      <c r="CO917" s="115"/>
      <c r="CP917" s="115"/>
      <c r="CQ917" s="115"/>
      <c r="CR917" s="115"/>
      <c r="CS917" s="115"/>
      <c r="CT917" s="115"/>
      <c r="CU917" s="115"/>
      <c r="CV917" s="115"/>
      <c r="CW917" s="115"/>
      <c r="CX917" s="115"/>
      <c r="CY917" s="115"/>
      <c r="CZ917" s="115"/>
      <c r="DA917" s="115"/>
      <c r="DB917" s="115"/>
      <c r="DC917" s="115"/>
      <c r="DD917" s="115"/>
      <c r="DE917" s="115"/>
      <c r="DF917" s="115"/>
      <c r="DG917" s="115"/>
    </row>
    <row r="918" spans="1:111" ht="4.5" customHeight="1">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c r="BY918" s="115"/>
      <c r="BZ918" s="115"/>
      <c r="CA918" s="115"/>
      <c r="CB918" s="115"/>
      <c r="CC918" s="115"/>
      <c r="CD918" s="115"/>
      <c r="CE918" s="115"/>
      <c r="CF918" s="115"/>
      <c r="CG918" s="115"/>
      <c r="CH918" s="115"/>
      <c r="CI918" s="115"/>
      <c r="CJ918" s="115"/>
      <c r="CK918" s="115"/>
      <c r="CL918" s="115"/>
      <c r="CM918" s="115"/>
      <c r="CN918" s="115"/>
      <c r="CO918" s="115"/>
      <c r="CP918" s="115"/>
      <c r="CQ918" s="115"/>
      <c r="CR918" s="115"/>
      <c r="CS918" s="115"/>
      <c r="CT918" s="115"/>
      <c r="CU918" s="115"/>
      <c r="CV918" s="115"/>
      <c r="CW918" s="115"/>
      <c r="CX918" s="115"/>
      <c r="CY918" s="115"/>
      <c r="CZ918" s="115"/>
      <c r="DA918" s="115"/>
      <c r="DB918" s="115"/>
      <c r="DC918" s="115"/>
      <c r="DD918" s="115"/>
      <c r="DE918" s="115"/>
      <c r="DF918" s="115"/>
      <c r="DG918" s="115"/>
    </row>
    <row r="919" spans="1:111" ht="9" customHeight="1">
      <c r="A919"/>
      <c r="B919" s="493" t="str">
        <f>IF(B916="","","Elemento de Despesa:")</f>
        <v/>
      </c>
      <c r="C919" s="493"/>
      <c r="D919" s="493"/>
      <c r="E919" s="493"/>
      <c r="F919" s="493"/>
      <c r="G919" s="493"/>
      <c r="H919" s="493"/>
      <c r="I919" s="493"/>
      <c r="J919" s="493"/>
      <c r="K919" s="493"/>
      <c r="L919" s="493"/>
      <c r="M919" s="493"/>
      <c r="N919" s="493"/>
      <c r="O919" s="241"/>
      <c r="P919" s="241"/>
      <c r="Q919" s="241"/>
      <c r="R919" s="241"/>
      <c r="S919" s="241"/>
      <c r="T919" s="241"/>
      <c r="U919" s="241"/>
      <c r="V919" s="241"/>
      <c r="W919" s="241"/>
      <c r="X919" s="241"/>
      <c r="Y919" s="241"/>
      <c r="Z919" s="241"/>
      <c r="AA919" s="241"/>
      <c r="AB919" s="241"/>
      <c r="AC919" s="241"/>
      <c r="AD919" s="241"/>
      <c r="AE919" s="241"/>
      <c r="AF919" s="241"/>
      <c r="AG919" s="241"/>
      <c r="AH919" s="241"/>
      <c r="AI919" s="241"/>
      <c r="AJ919" s="241"/>
      <c r="AK919" s="241"/>
      <c r="AL919" s="241"/>
      <c r="AM919" s="241"/>
      <c r="AN919" s="241"/>
      <c r="AO919" s="241"/>
      <c r="AP919" s="241"/>
      <c r="AQ919" s="241"/>
      <c r="AR919" s="241"/>
      <c r="AS919" s="241"/>
      <c r="AT919" s="241"/>
      <c r="AU919" s="241"/>
      <c r="AV919" s="241"/>
      <c r="AW919" s="241"/>
      <c r="AX919" s="241"/>
      <c r="AY919" s="241"/>
      <c r="AZ919" s="241"/>
      <c r="BA919" s="241"/>
      <c r="BB919"/>
      <c r="BC919" s="115"/>
      <c r="BD919" s="115"/>
      <c r="BE919" s="115"/>
      <c r="BF919" s="115"/>
      <c r="BG919" s="115"/>
      <c r="BH919" s="124"/>
      <c r="BI919" s="124"/>
      <c r="BJ919" s="124"/>
      <c r="BK919" s="124"/>
      <c r="BL919" s="124"/>
      <c r="BM919" s="124"/>
      <c r="BN919" s="124"/>
      <c r="BO919" s="124"/>
      <c r="BP919" s="124"/>
      <c r="BQ919" s="124"/>
      <c r="BR919" s="124"/>
      <c r="BS919" s="124"/>
      <c r="BT919" s="124"/>
      <c r="BU919" s="124"/>
      <c r="BV919" s="124"/>
      <c r="BW919" s="124"/>
      <c r="BX919" s="124"/>
      <c r="BY919" s="124"/>
      <c r="BZ919" s="124"/>
      <c r="CA919" s="124"/>
      <c r="CB919" s="124"/>
      <c r="CC919" s="124"/>
      <c r="CD919" s="124"/>
      <c r="CE919" s="124"/>
      <c r="CF919" s="124"/>
      <c r="CG919" s="124"/>
      <c r="CH919" s="124"/>
      <c r="CI919" s="124"/>
      <c r="CJ919" s="124"/>
      <c r="CK919" s="124"/>
      <c r="CL919" s="124"/>
      <c r="CM919" s="124"/>
      <c r="CN919" s="124"/>
      <c r="CO919" s="124"/>
      <c r="CP919" s="124"/>
      <c r="CQ919" s="124"/>
      <c r="CR919" s="124"/>
      <c r="CS919" s="124"/>
      <c r="CT919" s="124"/>
      <c r="CU919" s="124"/>
      <c r="CV919" s="124"/>
      <c r="CW919" s="124"/>
      <c r="CX919" s="124"/>
      <c r="CY919" s="124"/>
      <c r="CZ919" s="124"/>
      <c r="DA919" s="124"/>
      <c r="DB919" s="124"/>
      <c r="DC919" s="124"/>
      <c r="DD919" s="124"/>
      <c r="DE919" s="124"/>
      <c r="DF919" s="124"/>
      <c r="DG919" s="115"/>
    </row>
    <row r="920" spans="1:111" ht="9" customHeight="1">
      <c r="A920"/>
      <c r="B920" s="493"/>
      <c r="C920" s="493"/>
      <c r="D920" s="493"/>
      <c r="E920" s="493"/>
      <c r="F920" s="493"/>
      <c r="G920" s="493"/>
      <c r="H920" s="493"/>
      <c r="I920" s="493"/>
      <c r="J920" s="493"/>
      <c r="K920" s="493"/>
      <c r="L920" s="493"/>
      <c r="M920" s="493"/>
      <c r="N920" s="493"/>
      <c r="O920" s="241"/>
      <c r="P920" s="241"/>
      <c r="Q920" s="241"/>
      <c r="R920" s="241"/>
      <c r="S920" s="241"/>
      <c r="T920" s="241"/>
      <c r="U920" s="241"/>
      <c r="V920" s="241"/>
      <c r="W920" s="241"/>
      <c r="X920" s="241"/>
      <c r="Y920" s="241"/>
      <c r="Z920" s="241"/>
      <c r="AA920" s="241"/>
      <c r="AB920" s="241"/>
      <c r="AC920" s="241"/>
      <c r="AD920" s="241"/>
      <c r="AE920" s="241"/>
      <c r="AF920" s="241"/>
      <c r="AG920" s="241"/>
      <c r="AH920" s="241"/>
      <c r="AI920" s="241"/>
      <c r="AJ920" s="241"/>
      <c r="AK920" s="241"/>
      <c r="AL920" s="241"/>
      <c r="AM920" s="241"/>
      <c r="AN920" s="241"/>
      <c r="AO920" s="241"/>
      <c r="AP920" s="241"/>
      <c r="AQ920" s="241"/>
      <c r="AR920" s="241"/>
      <c r="AS920" s="241"/>
      <c r="AT920" s="241"/>
      <c r="AU920" s="241"/>
      <c r="AV920" s="241"/>
      <c r="AW920" s="241"/>
      <c r="AX920" s="241"/>
      <c r="AY920" s="241"/>
      <c r="AZ920" s="241"/>
      <c r="BA920" s="241"/>
      <c r="BB920"/>
      <c r="BC920" s="115"/>
      <c r="BD920" s="115"/>
      <c r="BE920" s="115"/>
      <c r="BF920" s="115"/>
      <c r="BG920" s="115"/>
      <c r="BH920" s="124"/>
      <c r="BI920" s="124"/>
      <c r="BJ920" s="124"/>
      <c r="BK920" s="124"/>
      <c r="BL920" s="124"/>
      <c r="BM920" s="124"/>
      <c r="BN920" s="124"/>
      <c r="BO920" s="124"/>
      <c r="BP920" s="124"/>
      <c r="BQ920" s="124"/>
      <c r="BR920" s="124"/>
      <c r="BS920" s="124"/>
      <c r="BT920" s="124"/>
      <c r="BU920" s="124"/>
      <c r="BV920" s="124"/>
      <c r="BW920" s="124"/>
      <c r="BX920" s="124"/>
      <c r="BY920" s="124"/>
      <c r="BZ920" s="124"/>
      <c r="CA920" s="124"/>
      <c r="CB920" s="124"/>
      <c r="CC920" s="124"/>
      <c r="CD920" s="124"/>
      <c r="CE920" s="124"/>
      <c r="CF920" s="124"/>
      <c r="CG920" s="124"/>
      <c r="CH920" s="124"/>
      <c r="CI920" s="124"/>
      <c r="CJ920" s="124"/>
      <c r="CK920" s="124"/>
      <c r="CL920" s="124"/>
      <c r="CM920" s="124"/>
      <c r="CN920" s="124"/>
      <c r="CO920" s="124"/>
      <c r="CP920" s="124"/>
      <c r="CQ920" s="124"/>
      <c r="CR920" s="124"/>
      <c r="CS920" s="124"/>
      <c r="CT920" s="124"/>
      <c r="CU920" s="124"/>
      <c r="CV920" s="124"/>
      <c r="CW920" s="124"/>
      <c r="CX920" s="124"/>
      <c r="CY920" s="124"/>
      <c r="CZ920" s="124"/>
      <c r="DA920" s="124"/>
      <c r="DB920" s="124"/>
      <c r="DC920" s="124"/>
      <c r="DD920" s="124"/>
      <c r="DE920" s="124"/>
      <c r="DF920" s="124"/>
      <c r="DG920" s="115"/>
    </row>
    <row r="921" spans="1:111" ht="4.5" customHeight="1">
      <c r="A921"/>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49"/>
      <c r="AT921" s="49"/>
      <c r="AU921" s="49"/>
      <c r="AV921" s="49"/>
      <c r="AW921" s="49"/>
      <c r="AX921" s="49"/>
      <c r="AY921" s="49"/>
      <c r="AZ921" s="49"/>
      <c r="BA921" s="49"/>
      <c r="BB921"/>
      <c r="BC921" s="115"/>
      <c r="BD921" s="115"/>
      <c r="BE921" s="115"/>
      <c r="BF921" s="115"/>
      <c r="BG921" s="115"/>
      <c r="BH921" s="124"/>
      <c r="BI921" s="124"/>
      <c r="BJ921" s="124"/>
      <c r="BK921" s="124"/>
      <c r="BL921" s="124"/>
      <c r="BM921" s="124"/>
      <c r="BN921" s="124"/>
      <c r="BO921" s="124"/>
      <c r="BP921" s="124"/>
      <c r="BQ921" s="124"/>
      <c r="BR921" s="124"/>
      <c r="BS921" s="124"/>
      <c r="BT921" s="124"/>
      <c r="BU921" s="124"/>
      <c r="BV921" s="124"/>
      <c r="BW921" s="124"/>
      <c r="BX921" s="124"/>
      <c r="BY921" s="124"/>
      <c r="BZ921" s="124"/>
      <c r="CA921" s="124"/>
      <c r="CB921" s="124"/>
      <c r="CC921" s="124"/>
      <c r="CD921" s="124"/>
      <c r="CE921" s="124"/>
      <c r="CF921" s="124"/>
      <c r="CG921" s="124"/>
      <c r="CH921" s="124"/>
      <c r="CI921" s="124"/>
      <c r="CJ921" s="124"/>
      <c r="CK921" s="124"/>
      <c r="CL921" s="124"/>
      <c r="CM921" s="124"/>
      <c r="CN921" s="124"/>
      <c r="CO921" s="124"/>
      <c r="CP921" s="124"/>
      <c r="CQ921" s="124"/>
      <c r="CR921" s="124"/>
      <c r="CS921" s="124"/>
      <c r="CT921" s="124"/>
      <c r="CU921" s="124"/>
      <c r="CV921" s="124"/>
      <c r="CW921" s="124"/>
      <c r="CX921" s="124"/>
      <c r="CY921" s="124"/>
      <c r="CZ921" s="124"/>
      <c r="DA921" s="124"/>
      <c r="DB921" s="124"/>
      <c r="DC921" s="124"/>
      <c r="DD921" s="124"/>
      <c r="DE921" s="124"/>
      <c r="DF921" s="124"/>
      <c r="DG921" s="115"/>
    </row>
    <row r="922" spans="1:111" ht="9" customHeight="1">
      <c r="A922"/>
      <c r="B922" s="493" t="str">
        <f>IF(B916="","","Objeto:")</f>
        <v/>
      </c>
      <c r="C922" s="493"/>
      <c r="D922" s="493"/>
      <c r="E922" s="493"/>
      <c r="F922" s="493"/>
      <c r="G922" s="493"/>
      <c r="H922" s="493"/>
      <c r="I922" s="493"/>
      <c r="J922" s="493"/>
      <c r="K922" s="493"/>
      <c r="L922" s="493"/>
      <c r="M922" s="493"/>
      <c r="N922" s="493"/>
      <c r="O922" s="421"/>
      <c r="P922" s="421"/>
      <c r="Q922" s="421"/>
      <c r="R922" s="421"/>
      <c r="S922" s="421"/>
      <c r="T922" s="421"/>
      <c r="U922" s="421"/>
      <c r="V922" s="421"/>
      <c r="W922" s="421"/>
      <c r="X922" s="421"/>
      <c r="Y922" s="421"/>
      <c r="Z922" s="421"/>
      <c r="AA922" s="421"/>
      <c r="AB922" s="421"/>
      <c r="AC922" s="421"/>
      <c r="AD922" s="421"/>
      <c r="AE922" s="421"/>
      <c r="AF922" s="421"/>
      <c r="AG922" s="421"/>
      <c r="AH922" s="421"/>
      <c r="AI922" s="421"/>
      <c r="AJ922" s="421"/>
      <c r="AK922" s="421"/>
      <c r="AL922" s="421"/>
      <c r="AM922" s="421"/>
      <c r="AN922" s="421"/>
      <c r="AO922" s="421"/>
      <c r="AP922" s="421"/>
      <c r="AQ922" s="421"/>
      <c r="AR922" s="421"/>
      <c r="AS922" s="421"/>
      <c r="AT922" s="421"/>
      <c r="AU922" s="421"/>
      <c r="AV922" s="421"/>
      <c r="AW922" s="421"/>
      <c r="AX922" s="421"/>
      <c r="AY922" s="421"/>
      <c r="AZ922" s="421"/>
      <c r="BA922" s="421"/>
      <c r="BB922"/>
      <c r="BC922" s="115"/>
      <c r="BD922" s="115"/>
      <c r="BE922" s="115"/>
      <c r="BF922" s="115"/>
      <c r="BG922" s="115"/>
      <c r="BH922" s="124"/>
      <c r="BI922" s="124"/>
      <c r="BJ922" s="124"/>
      <c r="BK922" s="124"/>
      <c r="BL922" s="124"/>
      <c r="BM922" s="124"/>
      <c r="BN922" s="124"/>
      <c r="BO922" s="124"/>
      <c r="BP922" s="124"/>
      <c r="BQ922" s="124"/>
      <c r="BR922" s="124"/>
      <c r="BS922" s="124"/>
      <c r="BT922" s="124"/>
      <c r="BU922" s="124"/>
      <c r="BV922" s="124"/>
      <c r="BW922" s="124"/>
      <c r="BX922" s="124"/>
      <c r="BY922" s="124"/>
      <c r="BZ922" s="124"/>
      <c r="CA922" s="124"/>
      <c r="CB922" s="124"/>
      <c r="CC922" s="124"/>
      <c r="CD922" s="124"/>
      <c r="CE922" s="124"/>
      <c r="CF922" s="124"/>
      <c r="CG922" s="124"/>
      <c r="CH922" s="124"/>
      <c r="CI922" s="124"/>
      <c r="CJ922" s="124"/>
      <c r="CK922" s="124"/>
      <c r="CL922" s="124"/>
      <c r="CM922" s="124"/>
      <c r="CN922" s="124"/>
      <c r="CO922" s="124"/>
      <c r="CP922" s="124"/>
      <c r="CQ922" s="124"/>
      <c r="CR922" s="124"/>
      <c r="CS922" s="124"/>
      <c r="CT922" s="124"/>
      <c r="CU922" s="124"/>
      <c r="CV922" s="124"/>
      <c r="CW922" s="124"/>
      <c r="CX922" s="124"/>
      <c r="CY922" s="124"/>
      <c r="CZ922" s="124"/>
      <c r="DA922" s="124"/>
      <c r="DB922" s="124"/>
      <c r="DC922" s="124"/>
      <c r="DD922" s="124"/>
      <c r="DE922" s="124"/>
      <c r="DF922" s="124"/>
      <c r="DG922" s="115"/>
    </row>
    <row r="923" spans="1:111" ht="9" customHeight="1">
      <c r="A923"/>
      <c r="B923" s="493"/>
      <c r="C923" s="493"/>
      <c r="D923" s="493"/>
      <c r="E923" s="493"/>
      <c r="F923" s="493"/>
      <c r="G923" s="493"/>
      <c r="H923" s="493"/>
      <c r="I923" s="493"/>
      <c r="J923" s="493"/>
      <c r="K923" s="493"/>
      <c r="L923" s="493"/>
      <c r="M923" s="493"/>
      <c r="N923" s="493"/>
      <c r="O923" s="421"/>
      <c r="P923" s="421"/>
      <c r="Q923" s="421"/>
      <c r="R923" s="421"/>
      <c r="S923" s="421"/>
      <c r="T923" s="421"/>
      <c r="U923" s="421"/>
      <c r="V923" s="421"/>
      <c r="W923" s="421"/>
      <c r="X923" s="421"/>
      <c r="Y923" s="421"/>
      <c r="Z923" s="421"/>
      <c r="AA923" s="421"/>
      <c r="AB923" s="421"/>
      <c r="AC923" s="421"/>
      <c r="AD923" s="421"/>
      <c r="AE923" s="421"/>
      <c r="AF923" s="421"/>
      <c r="AG923" s="421"/>
      <c r="AH923" s="421"/>
      <c r="AI923" s="421"/>
      <c r="AJ923" s="421"/>
      <c r="AK923" s="421"/>
      <c r="AL923" s="421"/>
      <c r="AM923" s="421"/>
      <c r="AN923" s="421"/>
      <c r="AO923" s="421"/>
      <c r="AP923" s="421"/>
      <c r="AQ923" s="421"/>
      <c r="AR923" s="421"/>
      <c r="AS923" s="421"/>
      <c r="AT923" s="421"/>
      <c r="AU923" s="421"/>
      <c r="AV923" s="421"/>
      <c r="AW923" s="421"/>
      <c r="AX923" s="421"/>
      <c r="AY923" s="421"/>
      <c r="AZ923" s="421"/>
      <c r="BA923" s="421"/>
      <c r="BB923"/>
      <c r="BC923" s="115"/>
      <c r="BD923" s="115"/>
      <c r="BE923" s="115"/>
      <c r="BF923" s="115"/>
      <c r="BG923" s="115"/>
      <c r="BH923" s="124"/>
      <c r="BI923" s="124"/>
      <c r="BJ923" s="124"/>
      <c r="BK923" s="124"/>
      <c r="BL923" s="124"/>
      <c r="BM923" s="124"/>
      <c r="BN923" s="124"/>
      <c r="BO923" s="124"/>
      <c r="BP923" s="124"/>
      <c r="BQ923" s="124"/>
      <c r="BR923" s="124"/>
      <c r="BS923" s="124"/>
      <c r="BT923" s="124"/>
      <c r="BU923" s="124"/>
      <c r="BV923" s="124"/>
      <c r="BW923" s="124"/>
      <c r="BX923" s="124"/>
      <c r="BY923" s="124"/>
      <c r="BZ923" s="124"/>
      <c r="CA923" s="124"/>
      <c r="CB923" s="124"/>
      <c r="CC923" s="124"/>
      <c r="CD923" s="124"/>
      <c r="CE923" s="124"/>
      <c r="CF923" s="124"/>
      <c r="CG923" s="124"/>
      <c r="CH923" s="124"/>
      <c r="CI923" s="124"/>
      <c r="CJ923" s="124"/>
      <c r="CK923" s="124"/>
      <c r="CL923" s="124"/>
      <c r="CM923" s="124"/>
      <c r="CN923" s="124"/>
      <c r="CO923" s="124"/>
      <c r="CP923" s="124"/>
      <c r="CQ923" s="124"/>
      <c r="CR923" s="124"/>
      <c r="CS923" s="124"/>
      <c r="CT923" s="124"/>
      <c r="CU923" s="124"/>
      <c r="CV923" s="124"/>
      <c r="CW923" s="124"/>
      <c r="CX923" s="124"/>
      <c r="CY923" s="124"/>
      <c r="CZ923" s="124"/>
      <c r="DA923" s="124"/>
      <c r="DB923" s="124"/>
      <c r="DC923" s="124"/>
      <c r="DD923" s="124"/>
      <c r="DE923" s="124"/>
      <c r="DF923" s="124"/>
      <c r="DG923" s="115"/>
    </row>
    <row r="924" spans="1:111" ht="9" customHeight="1">
      <c r="A924"/>
      <c r="B924" s="143"/>
      <c r="C924" s="143"/>
      <c r="D924" s="143"/>
      <c r="E924" s="143"/>
      <c r="F924" s="143"/>
      <c r="G924" s="143"/>
      <c r="H924" s="143"/>
      <c r="I924" s="143"/>
      <c r="J924" s="143"/>
      <c r="K924" s="143"/>
      <c r="L924" s="143"/>
      <c r="M924" s="143"/>
      <c r="N924" s="143"/>
      <c r="O924" s="421"/>
      <c r="P924" s="421"/>
      <c r="Q924" s="421"/>
      <c r="R924" s="421"/>
      <c r="S924" s="421"/>
      <c r="T924" s="421"/>
      <c r="U924" s="421"/>
      <c r="V924" s="421"/>
      <c r="W924" s="421"/>
      <c r="X924" s="421"/>
      <c r="Y924" s="421"/>
      <c r="Z924" s="421"/>
      <c r="AA924" s="421"/>
      <c r="AB924" s="421"/>
      <c r="AC924" s="421"/>
      <c r="AD924" s="421"/>
      <c r="AE924" s="421"/>
      <c r="AF924" s="421"/>
      <c r="AG924" s="421"/>
      <c r="AH924" s="421"/>
      <c r="AI924" s="421"/>
      <c r="AJ924" s="421"/>
      <c r="AK924" s="421"/>
      <c r="AL924" s="421"/>
      <c r="AM924" s="421"/>
      <c r="AN924" s="421"/>
      <c r="AO924" s="421"/>
      <c r="AP924" s="421"/>
      <c r="AQ924" s="421"/>
      <c r="AR924" s="421"/>
      <c r="AS924" s="421"/>
      <c r="AT924" s="421"/>
      <c r="AU924" s="421"/>
      <c r="AV924" s="421"/>
      <c r="AW924" s="421"/>
      <c r="AX924" s="421"/>
      <c r="AY924" s="421"/>
      <c r="AZ924" s="421"/>
      <c r="BA924" s="421"/>
      <c r="BB924"/>
      <c r="BC924" s="115"/>
      <c r="BD924" s="115"/>
      <c r="BE924" s="115"/>
      <c r="BF924" s="115"/>
      <c r="BG924" s="115"/>
      <c r="BH924" s="138"/>
      <c r="BI924" s="138"/>
      <c r="BJ924" s="138"/>
      <c r="BK924" s="138"/>
      <c r="BL924" s="138"/>
      <c r="BM924" s="138"/>
      <c r="BN924" s="138"/>
      <c r="BO924" s="138"/>
      <c r="BP924" s="138"/>
      <c r="BQ924" s="138"/>
      <c r="BR924" s="138"/>
      <c r="BS924" s="138"/>
      <c r="BT924" s="138"/>
      <c r="BU924" s="138"/>
      <c r="BV924" s="138"/>
      <c r="BW924" s="138"/>
      <c r="BX924" s="138"/>
      <c r="BY924" s="138"/>
      <c r="BZ924" s="138"/>
      <c r="CA924" s="138"/>
      <c r="CB924" s="138"/>
      <c r="CC924" s="138"/>
      <c r="CD924" s="138"/>
      <c r="CE924" s="138"/>
      <c r="CF924" s="138"/>
      <c r="CG924" s="138"/>
      <c r="CH924" s="138"/>
      <c r="CI924" s="138"/>
      <c r="CJ924" s="138"/>
      <c r="CK924" s="138"/>
      <c r="CL924" s="138"/>
      <c r="CM924" s="138"/>
      <c r="CN924" s="138"/>
      <c r="CO924" s="138"/>
      <c r="CP924" s="138"/>
      <c r="CQ924" s="138"/>
      <c r="CR924" s="138"/>
      <c r="CS924" s="138"/>
      <c r="CT924" s="138"/>
      <c r="CU924" s="138"/>
      <c r="CV924" s="138"/>
      <c r="CW924" s="138"/>
      <c r="CX924" s="138"/>
      <c r="CY924" s="138"/>
      <c r="CZ924" s="138"/>
      <c r="DA924" s="138"/>
      <c r="DB924" s="138"/>
      <c r="DC924" s="138"/>
      <c r="DD924" s="138"/>
      <c r="DE924" s="138"/>
      <c r="DF924" s="138"/>
      <c r="DG924" s="115"/>
    </row>
    <row r="925" spans="1:111" ht="9" customHeight="1">
      <c r="A925"/>
      <c r="B925" s="49"/>
      <c r="C925" s="49"/>
      <c r="D925" s="49"/>
      <c r="E925" s="49"/>
      <c r="F925" s="49"/>
      <c r="G925" s="49"/>
      <c r="H925" s="49"/>
      <c r="I925" s="49"/>
      <c r="J925" s="49"/>
      <c r="K925" s="49"/>
      <c r="L925" s="49"/>
      <c r="M925" s="49"/>
      <c r="N925" s="49"/>
      <c r="O925" s="421"/>
      <c r="P925" s="421"/>
      <c r="Q925" s="421"/>
      <c r="R925" s="421"/>
      <c r="S925" s="421"/>
      <c r="T925" s="421"/>
      <c r="U925" s="421"/>
      <c r="V925" s="421"/>
      <c r="W925" s="421"/>
      <c r="X925" s="421"/>
      <c r="Y925" s="421"/>
      <c r="Z925" s="421"/>
      <c r="AA925" s="421"/>
      <c r="AB925" s="421"/>
      <c r="AC925" s="421"/>
      <c r="AD925" s="421"/>
      <c r="AE925" s="421"/>
      <c r="AF925" s="421"/>
      <c r="AG925" s="421"/>
      <c r="AH925" s="421"/>
      <c r="AI925" s="421"/>
      <c r="AJ925" s="421"/>
      <c r="AK925" s="421"/>
      <c r="AL925" s="421"/>
      <c r="AM925" s="421"/>
      <c r="AN925" s="421"/>
      <c r="AO925" s="421"/>
      <c r="AP925" s="421"/>
      <c r="AQ925" s="421"/>
      <c r="AR925" s="421"/>
      <c r="AS925" s="421"/>
      <c r="AT925" s="421"/>
      <c r="AU925" s="421"/>
      <c r="AV925" s="421"/>
      <c r="AW925" s="421"/>
      <c r="AX925" s="421"/>
      <c r="AY925" s="421"/>
      <c r="AZ925" s="421"/>
      <c r="BA925" s="421"/>
      <c r="BB92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c r="BY925" s="115"/>
      <c r="BZ925" s="115"/>
      <c r="CA925" s="115"/>
      <c r="CB925" s="115"/>
      <c r="CC925" s="115"/>
      <c r="CD925" s="115"/>
      <c r="CE925" s="115"/>
      <c r="CF925" s="115"/>
      <c r="CG925" s="115"/>
      <c r="CH925" s="115"/>
      <c r="CI925" s="115"/>
      <c r="CJ925" s="115"/>
      <c r="CK925" s="115"/>
      <c r="CL925" s="115"/>
      <c r="CM925" s="115"/>
      <c r="CN925" s="115"/>
      <c r="CO925" s="115"/>
      <c r="CP925" s="115"/>
      <c r="CQ925" s="115"/>
      <c r="CR925" s="115"/>
      <c r="CS925" s="115"/>
      <c r="CT925" s="115"/>
      <c r="CU925" s="115"/>
      <c r="CV925" s="115"/>
      <c r="CW925" s="115"/>
      <c r="CX925" s="115"/>
      <c r="CY925" s="115"/>
      <c r="CZ925" s="115"/>
      <c r="DA925" s="115"/>
      <c r="DB925" s="115"/>
      <c r="DC925" s="115"/>
      <c r="DD925" s="115"/>
      <c r="DE925" s="115"/>
      <c r="DF925" s="115"/>
      <c r="DG925" s="115"/>
    </row>
    <row r="926" spans="1:111" ht="4.5" customHeight="1">
      <c r="A926"/>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49"/>
      <c r="AT926" s="49"/>
      <c r="AU926" s="49"/>
      <c r="AV926" s="49"/>
      <c r="AW926" s="49"/>
      <c r="AX926" s="49"/>
      <c r="AY926" s="49"/>
      <c r="AZ926" s="49"/>
      <c r="BA926" s="49"/>
      <c r="BB926"/>
      <c r="BC926" s="115"/>
      <c r="BD926" s="115"/>
      <c r="BE926" s="115"/>
      <c r="BF926" s="115"/>
      <c r="BG926" s="115"/>
      <c r="BH926" s="124"/>
      <c r="BI926" s="124"/>
      <c r="BJ926" s="124"/>
      <c r="BK926" s="124"/>
      <c r="BL926" s="124"/>
      <c r="BM926" s="124"/>
      <c r="BN926" s="124"/>
      <c r="BO926" s="124"/>
      <c r="BP926" s="124"/>
      <c r="BQ926" s="124"/>
      <c r="BR926" s="124"/>
      <c r="BS926" s="124"/>
      <c r="BT926" s="124"/>
      <c r="BU926" s="124"/>
      <c r="BV926" s="124"/>
      <c r="BW926" s="124"/>
      <c r="BX926" s="124"/>
      <c r="BY926" s="124"/>
      <c r="BZ926" s="124"/>
      <c r="CA926" s="124"/>
      <c r="CB926" s="124"/>
      <c r="CC926" s="124"/>
      <c r="CD926" s="124"/>
      <c r="CE926" s="124"/>
      <c r="CF926" s="124"/>
      <c r="CG926" s="124"/>
      <c r="CH926" s="124"/>
      <c r="CI926" s="124"/>
      <c r="CJ926" s="124"/>
      <c r="CK926" s="124"/>
      <c r="CL926" s="124"/>
      <c r="CM926" s="124"/>
      <c r="CN926" s="124"/>
      <c r="CO926" s="124"/>
      <c r="CP926" s="124"/>
      <c r="CQ926" s="124"/>
      <c r="CR926" s="124"/>
      <c r="CS926" s="124"/>
      <c r="CT926" s="124"/>
      <c r="CU926" s="124"/>
      <c r="CV926" s="124"/>
      <c r="CW926" s="124"/>
      <c r="CX926" s="124"/>
      <c r="CY926" s="124"/>
      <c r="CZ926" s="124"/>
      <c r="DA926" s="124"/>
      <c r="DB926" s="124"/>
      <c r="DC926" s="124"/>
      <c r="DD926" s="124"/>
      <c r="DE926" s="124"/>
      <c r="DF926" s="124"/>
      <c r="DG926" s="115"/>
    </row>
    <row r="927" spans="1:111" ht="9" customHeight="1">
      <c r="A927"/>
      <c r="B927" s="493" t="str">
        <f>IF(B916="","","Detalhamento do Objeto:")</f>
        <v/>
      </c>
      <c r="C927" s="493"/>
      <c r="D927" s="493"/>
      <c r="E927" s="493"/>
      <c r="F927" s="493"/>
      <c r="G927" s="493"/>
      <c r="H927" s="493"/>
      <c r="I927" s="493"/>
      <c r="J927" s="493"/>
      <c r="K927" s="493"/>
      <c r="L927" s="493"/>
      <c r="M927" s="493"/>
      <c r="N927" s="493"/>
      <c r="O927" s="421"/>
      <c r="P927" s="421"/>
      <c r="Q927" s="421"/>
      <c r="R927" s="421"/>
      <c r="S927" s="421"/>
      <c r="T927" s="421"/>
      <c r="U927" s="421"/>
      <c r="V927" s="421"/>
      <c r="W927" s="421"/>
      <c r="X927" s="421"/>
      <c r="Y927" s="421"/>
      <c r="Z927" s="421"/>
      <c r="AA927" s="421"/>
      <c r="AB927" s="421"/>
      <c r="AC927" s="421"/>
      <c r="AD927" s="421"/>
      <c r="AE927" s="421"/>
      <c r="AF927" s="421"/>
      <c r="AG927" s="421"/>
      <c r="AH927" s="421"/>
      <c r="AI927" s="421"/>
      <c r="AJ927" s="421"/>
      <c r="AK927" s="421"/>
      <c r="AL927" s="421"/>
      <c r="AM927" s="421"/>
      <c r="AN927" s="421"/>
      <c r="AO927" s="421"/>
      <c r="AP927" s="421"/>
      <c r="AQ927" s="421"/>
      <c r="AR927" s="421"/>
      <c r="AS927" s="421"/>
      <c r="AT927" s="421"/>
      <c r="AU927" s="421"/>
      <c r="AV927" s="421"/>
      <c r="AW927" s="421"/>
      <c r="AX927" s="421"/>
      <c r="AY927" s="421"/>
      <c r="AZ927" s="421"/>
      <c r="BA927" s="421"/>
      <c r="BB927"/>
      <c r="BC927" s="115"/>
      <c r="BD927" s="115"/>
      <c r="BE927" s="115"/>
      <c r="BF927" s="115"/>
      <c r="BG927" s="115"/>
      <c r="BH927" s="124"/>
      <c r="BI927" s="124"/>
      <c r="BJ927" s="124"/>
      <c r="BK927" s="124"/>
      <c r="BL927" s="124"/>
      <c r="BM927" s="124"/>
      <c r="BN927" s="124"/>
      <c r="BO927" s="124"/>
      <c r="BP927" s="124"/>
      <c r="BQ927" s="124"/>
      <c r="BR927" s="124"/>
      <c r="BS927" s="124"/>
      <c r="BT927" s="124"/>
      <c r="BU927" s="124"/>
      <c r="BV927" s="124"/>
      <c r="BW927" s="124"/>
      <c r="BX927" s="124"/>
      <c r="BY927" s="124"/>
      <c r="BZ927" s="124"/>
      <c r="CA927" s="124"/>
      <c r="CB927" s="124"/>
      <c r="CC927" s="124"/>
      <c r="CD927" s="124"/>
      <c r="CE927" s="124"/>
      <c r="CF927" s="124"/>
      <c r="CG927" s="124"/>
      <c r="CH927" s="124"/>
      <c r="CI927" s="124"/>
      <c r="CJ927" s="124"/>
      <c r="CK927" s="124"/>
      <c r="CL927" s="124"/>
      <c r="CM927" s="124"/>
      <c r="CN927" s="124"/>
      <c r="CO927" s="124"/>
      <c r="CP927" s="124"/>
      <c r="CQ927" s="124"/>
      <c r="CR927" s="124"/>
      <c r="CS927" s="124"/>
      <c r="CT927" s="124"/>
      <c r="CU927" s="124"/>
      <c r="CV927" s="124"/>
      <c r="CW927" s="124"/>
      <c r="CX927" s="124"/>
      <c r="CY927" s="124"/>
      <c r="CZ927" s="124"/>
      <c r="DA927" s="124"/>
      <c r="DB927" s="124"/>
      <c r="DC927" s="124"/>
      <c r="DD927" s="124"/>
      <c r="DE927" s="124"/>
      <c r="DF927" s="124"/>
      <c r="DG927" s="115"/>
    </row>
    <row r="928" spans="1:111" ht="9" customHeight="1">
      <c r="A928"/>
      <c r="B928" s="493"/>
      <c r="C928" s="493"/>
      <c r="D928" s="493"/>
      <c r="E928" s="493"/>
      <c r="F928" s="493"/>
      <c r="G928" s="493"/>
      <c r="H928" s="493"/>
      <c r="I928" s="493"/>
      <c r="J928" s="493"/>
      <c r="K928" s="493"/>
      <c r="L928" s="493"/>
      <c r="M928" s="493"/>
      <c r="N928" s="493"/>
      <c r="O928" s="421"/>
      <c r="P928" s="421"/>
      <c r="Q928" s="421"/>
      <c r="R928" s="421"/>
      <c r="S928" s="421"/>
      <c r="T928" s="421"/>
      <c r="U928" s="421"/>
      <c r="V928" s="421"/>
      <c r="W928" s="421"/>
      <c r="X928" s="421"/>
      <c r="Y928" s="421"/>
      <c r="Z928" s="421"/>
      <c r="AA928" s="421"/>
      <c r="AB928" s="421"/>
      <c r="AC928" s="421"/>
      <c r="AD928" s="421"/>
      <c r="AE928" s="421"/>
      <c r="AF928" s="421"/>
      <c r="AG928" s="421"/>
      <c r="AH928" s="421"/>
      <c r="AI928" s="421"/>
      <c r="AJ928" s="421"/>
      <c r="AK928" s="421"/>
      <c r="AL928" s="421"/>
      <c r="AM928" s="421"/>
      <c r="AN928" s="421"/>
      <c r="AO928" s="421"/>
      <c r="AP928" s="421"/>
      <c r="AQ928" s="421"/>
      <c r="AR928" s="421"/>
      <c r="AS928" s="421"/>
      <c r="AT928" s="421"/>
      <c r="AU928" s="421"/>
      <c r="AV928" s="421"/>
      <c r="AW928" s="421"/>
      <c r="AX928" s="421"/>
      <c r="AY928" s="421"/>
      <c r="AZ928" s="421"/>
      <c r="BA928" s="421"/>
      <c r="BB928"/>
      <c r="BC928" s="115"/>
      <c r="BD928" s="115"/>
      <c r="BE928" s="115"/>
      <c r="BF928" s="115"/>
      <c r="BG928" s="115"/>
      <c r="BH928" s="124"/>
      <c r="BI928" s="124"/>
      <c r="BJ928" s="124"/>
      <c r="BK928" s="124"/>
      <c r="BL928" s="124"/>
      <c r="BM928" s="124"/>
      <c r="BN928" s="124"/>
      <c r="BO928" s="124"/>
      <c r="BP928" s="124"/>
      <c r="BQ928" s="124"/>
      <c r="BR928" s="124"/>
      <c r="BS928" s="124"/>
      <c r="BT928" s="124"/>
      <c r="BU928" s="124"/>
      <c r="BV928" s="124"/>
      <c r="BW928" s="124"/>
      <c r="BX928" s="124"/>
      <c r="BY928" s="124"/>
      <c r="BZ928" s="124"/>
      <c r="CA928" s="124"/>
      <c r="CB928" s="124"/>
      <c r="CC928" s="124"/>
      <c r="CD928" s="124"/>
      <c r="CE928" s="124"/>
      <c r="CF928" s="124"/>
      <c r="CG928" s="124"/>
      <c r="CH928" s="124"/>
      <c r="CI928" s="124"/>
      <c r="CJ928" s="124"/>
      <c r="CK928" s="124"/>
      <c r="CL928" s="124"/>
      <c r="CM928" s="124"/>
      <c r="CN928" s="124"/>
      <c r="CO928" s="124"/>
      <c r="CP928" s="124"/>
      <c r="CQ928" s="124"/>
      <c r="CR928" s="124"/>
      <c r="CS928" s="124"/>
      <c r="CT928" s="124"/>
      <c r="CU928" s="124"/>
      <c r="CV928" s="124"/>
      <c r="CW928" s="124"/>
      <c r="CX928" s="124"/>
      <c r="CY928" s="124"/>
      <c r="CZ928" s="124"/>
      <c r="DA928" s="124"/>
      <c r="DB928" s="124"/>
      <c r="DC928" s="124"/>
      <c r="DD928" s="124"/>
      <c r="DE928" s="124"/>
      <c r="DF928" s="124"/>
      <c r="DG928" s="115"/>
    </row>
    <row r="929" spans="1:111" ht="9" customHeight="1">
      <c r="A929"/>
      <c r="B929" s="143"/>
      <c r="C929" s="143"/>
      <c r="D929" s="143"/>
      <c r="E929" s="143"/>
      <c r="F929" s="143"/>
      <c r="G929" s="143"/>
      <c r="H929" s="143"/>
      <c r="I929" s="143"/>
      <c r="J929" s="143"/>
      <c r="K929" s="143"/>
      <c r="L929" s="143"/>
      <c r="M929" s="143"/>
      <c r="N929" s="143"/>
      <c r="O929" s="421"/>
      <c r="P929" s="421"/>
      <c r="Q929" s="421"/>
      <c r="R929" s="421"/>
      <c r="S929" s="421"/>
      <c r="T929" s="421"/>
      <c r="U929" s="421"/>
      <c r="V929" s="421"/>
      <c r="W929" s="421"/>
      <c r="X929" s="421"/>
      <c r="Y929" s="421"/>
      <c r="Z929" s="421"/>
      <c r="AA929" s="421"/>
      <c r="AB929" s="421"/>
      <c r="AC929" s="421"/>
      <c r="AD929" s="421"/>
      <c r="AE929" s="421"/>
      <c r="AF929" s="421"/>
      <c r="AG929" s="421"/>
      <c r="AH929" s="421"/>
      <c r="AI929" s="421"/>
      <c r="AJ929" s="421"/>
      <c r="AK929" s="421"/>
      <c r="AL929" s="421"/>
      <c r="AM929" s="421"/>
      <c r="AN929" s="421"/>
      <c r="AO929" s="421"/>
      <c r="AP929" s="421"/>
      <c r="AQ929" s="421"/>
      <c r="AR929" s="421"/>
      <c r="AS929" s="421"/>
      <c r="AT929" s="421"/>
      <c r="AU929" s="421"/>
      <c r="AV929" s="421"/>
      <c r="AW929" s="421"/>
      <c r="AX929" s="421"/>
      <c r="AY929" s="421"/>
      <c r="AZ929" s="421"/>
      <c r="BA929" s="421"/>
      <c r="BB929"/>
      <c r="BC929" s="115"/>
      <c r="BD929" s="115"/>
      <c r="BE929" s="115"/>
      <c r="BF929" s="115"/>
      <c r="BG929" s="115"/>
      <c r="BH929" s="138"/>
      <c r="BI929" s="138"/>
      <c r="BJ929" s="138"/>
      <c r="BK929" s="138"/>
      <c r="BL929" s="138"/>
      <c r="BM929" s="138"/>
      <c r="BN929" s="138"/>
      <c r="BO929" s="138"/>
      <c r="BP929" s="138"/>
      <c r="BQ929" s="138"/>
      <c r="BR929" s="138"/>
      <c r="BS929" s="138"/>
      <c r="BT929" s="138"/>
      <c r="BU929" s="138"/>
      <c r="BV929" s="138"/>
      <c r="BW929" s="138"/>
      <c r="BX929" s="138"/>
      <c r="BY929" s="138"/>
      <c r="BZ929" s="138"/>
      <c r="CA929" s="138"/>
      <c r="CB929" s="138"/>
      <c r="CC929" s="138"/>
      <c r="CD929" s="138"/>
      <c r="CE929" s="138"/>
      <c r="CF929" s="138"/>
      <c r="CG929" s="138"/>
      <c r="CH929" s="138"/>
      <c r="CI929" s="138"/>
      <c r="CJ929" s="138"/>
      <c r="CK929" s="138"/>
      <c r="CL929" s="138"/>
      <c r="CM929" s="138"/>
      <c r="CN929" s="138"/>
      <c r="CO929" s="138"/>
      <c r="CP929" s="138"/>
      <c r="CQ929" s="138"/>
      <c r="CR929" s="138"/>
      <c r="CS929" s="138"/>
      <c r="CT929" s="138"/>
      <c r="CU929" s="138"/>
      <c r="CV929" s="138"/>
      <c r="CW929" s="138"/>
      <c r="CX929" s="138"/>
      <c r="CY929" s="138"/>
      <c r="CZ929" s="138"/>
      <c r="DA929" s="138"/>
      <c r="DB929" s="138"/>
      <c r="DC929" s="138"/>
      <c r="DD929" s="138"/>
      <c r="DE929" s="138"/>
      <c r="DF929" s="138"/>
      <c r="DG929" s="115"/>
    </row>
    <row r="930" spans="1:111" ht="9" customHeight="1">
      <c r="A930"/>
      <c r="B930" s="143"/>
      <c r="C930" s="143"/>
      <c r="D930" s="143"/>
      <c r="E930" s="143"/>
      <c r="F930" s="143"/>
      <c r="G930" s="143"/>
      <c r="H930" s="143"/>
      <c r="I930" s="143"/>
      <c r="J930" s="143"/>
      <c r="K930" s="143"/>
      <c r="L930" s="143"/>
      <c r="M930" s="143"/>
      <c r="N930" s="143"/>
      <c r="O930" s="421"/>
      <c r="P930" s="421"/>
      <c r="Q930" s="421"/>
      <c r="R930" s="421"/>
      <c r="S930" s="421"/>
      <c r="T930" s="421"/>
      <c r="U930" s="421"/>
      <c r="V930" s="421"/>
      <c r="W930" s="421"/>
      <c r="X930" s="421"/>
      <c r="Y930" s="421"/>
      <c r="Z930" s="421"/>
      <c r="AA930" s="421"/>
      <c r="AB930" s="421"/>
      <c r="AC930" s="421"/>
      <c r="AD930" s="421"/>
      <c r="AE930" s="421"/>
      <c r="AF930" s="421"/>
      <c r="AG930" s="421"/>
      <c r="AH930" s="421"/>
      <c r="AI930" s="421"/>
      <c r="AJ930" s="421"/>
      <c r="AK930" s="421"/>
      <c r="AL930" s="421"/>
      <c r="AM930" s="421"/>
      <c r="AN930" s="421"/>
      <c r="AO930" s="421"/>
      <c r="AP930" s="421"/>
      <c r="AQ930" s="421"/>
      <c r="AR930" s="421"/>
      <c r="AS930" s="421"/>
      <c r="AT930" s="421"/>
      <c r="AU930" s="421"/>
      <c r="AV930" s="421"/>
      <c r="AW930" s="421"/>
      <c r="AX930" s="421"/>
      <c r="AY930" s="421"/>
      <c r="AZ930" s="421"/>
      <c r="BA930" s="421"/>
      <c r="BB930"/>
      <c r="BC930" s="115"/>
      <c r="BD930" s="115"/>
      <c r="BE930" s="115"/>
      <c r="BF930" s="115"/>
      <c r="BG930" s="115"/>
      <c r="BH930" s="138"/>
      <c r="BI930" s="138"/>
      <c r="BJ930" s="138"/>
      <c r="BK930" s="138"/>
      <c r="BL930" s="138"/>
      <c r="BM930" s="138"/>
      <c r="BN930" s="138"/>
      <c r="BO930" s="138"/>
      <c r="BP930" s="138"/>
      <c r="BQ930" s="138"/>
      <c r="BR930" s="138"/>
      <c r="BS930" s="138"/>
      <c r="BT930" s="138"/>
      <c r="BU930" s="138"/>
      <c r="BV930" s="138"/>
      <c r="BW930" s="138"/>
      <c r="BX930" s="138"/>
      <c r="BY930" s="138"/>
      <c r="BZ930" s="138"/>
      <c r="CA930" s="138"/>
      <c r="CB930" s="138"/>
      <c r="CC930" s="138"/>
      <c r="CD930" s="138"/>
      <c r="CE930" s="138"/>
      <c r="CF930" s="138"/>
      <c r="CG930" s="138"/>
      <c r="CH930" s="138"/>
      <c r="CI930" s="138"/>
      <c r="CJ930" s="138"/>
      <c r="CK930" s="138"/>
      <c r="CL930" s="138"/>
      <c r="CM930" s="138"/>
      <c r="CN930" s="138"/>
      <c r="CO930" s="138"/>
      <c r="CP930" s="138"/>
      <c r="CQ930" s="138"/>
      <c r="CR930" s="138"/>
      <c r="CS930" s="138"/>
      <c r="CT930" s="138"/>
      <c r="CU930" s="138"/>
      <c r="CV930" s="138"/>
      <c r="CW930" s="138"/>
      <c r="CX930" s="138"/>
      <c r="CY930" s="138"/>
      <c r="CZ930" s="138"/>
      <c r="DA930" s="138"/>
      <c r="DB930" s="138"/>
      <c r="DC930" s="138"/>
      <c r="DD930" s="138"/>
      <c r="DE930" s="138"/>
      <c r="DF930" s="138"/>
      <c r="DG930" s="115"/>
    </row>
    <row r="931" spans="1:111" ht="9" customHeight="1">
      <c r="A931"/>
      <c r="B931" s="143"/>
      <c r="C931" s="143"/>
      <c r="D931" s="143"/>
      <c r="E931" s="143"/>
      <c r="F931" s="143"/>
      <c r="G931" s="143"/>
      <c r="H931" s="143"/>
      <c r="I931" s="143"/>
      <c r="J931" s="143"/>
      <c r="K931" s="143"/>
      <c r="L931" s="143"/>
      <c r="M931" s="143"/>
      <c r="N931" s="143"/>
      <c r="O931" s="421"/>
      <c r="P931" s="421"/>
      <c r="Q931" s="421"/>
      <c r="R931" s="421"/>
      <c r="S931" s="421"/>
      <c r="T931" s="421"/>
      <c r="U931" s="421"/>
      <c r="V931" s="421"/>
      <c r="W931" s="421"/>
      <c r="X931" s="421"/>
      <c r="Y931" s="421"/>
      <c r="Z931" s="421"/>
      <c r="AA931" s="421"/>
      <c r="AB931" s="421"/>
      <c r="AC931" s="421"/>
      <c r="AD931" s="421"/>
      <c r="AE931" s="421"/>
      <c r="AF931" s="421"/>
      <c r="AG931" s="421"/>
      <c r="AH931" s="421"/>
      <c r="AI931" s="421"/>
      <c r="AJ931" s="421"/>
      <c r="AK931" s="421"/>
      <c r="AL931" s="421"/>
      <c r="AM931" s="421"/>
      <c r="AN931" s="421"/>
      <c r="AO931" s="421"/>
      <c r="AP931" s="421"/>
      <c r="AQ931" s="421"/>
      <c r="AR931" s="421"/>
      <c r="AS931" s="421"/>
      <c r="AT931" s="421"/>
      <c r="AU931" s="421"/>
      <c r="AV931" s="421"/>
      <c r="AW931" s="421"/>
      <c r="AX931" s="421"/>
      <c r="AY931" s="421"/>
      <c r="AZ931" s="421"/>
      <c r="BA931" s="421"/>
      <c r="BB931"/>
      <c r="BC931" s="115"/>
      <c r="BD931" s="115"/>
      <c r="BE931" s="115"/>
      <c r="BF931" s="115"/>
      <c r="BG931" s="115"/>
      <c r="BH931" s="138"/>
      <c r="BI931" s="138"/>
      <c r="BJ931" s="138"/>
      <c r="BK931" s="138"/>
      <c r="BL931" s="138"/>
      <c r="BM931" s="138"/>
      <c r="BN931" s="138"/>
      <c r="BO931" s="138"/>
      <c r="BP931" s="138"/>
      <c r="BQ931" s="138"/>
      <c r="BR931" s="138"/>
      <c r="BS931" s="138"/>
      <c r="BT931" s="138"/>
      <c r="BU931" s="138"/>
      <c r="BV931" s="138"/>
      <c r="BW931" s="138"/>
      <c r="BX931" s="138"/>
      <c r="BY931" s="138"/>
      <c r="BZ931" s="138"/>
      <c r="CA931" s="138"/>
      <c r="CB931" s="138"/>
      <c r="CC931" s="138"/>
      <c r="CD931" s="138"/>
      <c r="CE931" s="138"/>
      <c r="CF931" s="138"/>
      <c r="CG931" s="138"/>
      <c r="CH931" s="138"/>
      <c r="CI931" s="138"/>
      <c r="CJ931" s="138"/>
      <c r="CK931" s="138"/>
      <c r="CL931" s="138"/>
      <c r="CM931" s="138"/>
      <c r="CN931" s="138"/>
      <c r="CO931" s="138"/>
      <c r="CP931" s="138"/>
      <c r="CQ931" s="138"/>
      <c r="CR931" s="138"/>
      <c r="CS931" s="138"/>
      <c r="CT931" s="138"/>
      <c r="CU931" s="138"/>
      <c r="CV931" s="138"/>
      <c r="CW931" s="138"/>
      <c r="CX931" s="138"/>
      <c r="CY931" s="138"/>
      <c r="CZ931" s="138"/>
      <c r="DA931" s="138"/>
      <c r="DB931" s="138"/>
      <c r="DC931" s="138"/>
      <c r="DD931" s="138"/>
      <c r="DE931" s="138"/>
      <c r="DF931" s="138"/>
      <c r="DG931" s="115"/>
    </row>
    <row r="932" spans="1:111" ht="9" customHeight="1">
      <c r="A932"/>
      <c r="B932" s="143"/>
      <c r="C932" s="143"/>
      <c r="D932" s="143"/>
      <c r="E932" s="143"/>
      <c r="F932" s="143"/>
      <c r="G932" s="143"/>
      <c r="H932" s="143"/>
      <c r="I932" s="143"/>
      <c r="J932" s="143"/>
      <c r="K932" s="143"/>
      <c r="L932" s="143"/>
      <c r="M932" s="143"/>
      <c r="N932" s="143"/>
      <c r="O932" s="421"/>
      <c r="P932" s="421"/>
      <c r="Q932" s="421"/>
      <c r="R932" s="421"/>
      <c r="S932" s="421"/>
      <c r="T932" s="421"/>
      <c r="U932" s="421"/>
      <c r="V932" s="421"/>
      <c r="W932" s="421"/>
      <c r="X932" s="421"/>
      <c r="Y932" s="421"/>
      <c r="Z932" s="421"/>
      <c r="AA932" s="421"/>
      <c r="AB932" s="421"/>
      <c r="AC932" s="421"/>
      <c r="AD932" s="421"/>
      <c r="AE932" s="421"/>
      <c r="AF932" s="421"/>
      <c r="AG932" s="421"/>
      <c r="AH932" s="421"/>
      <c r="AI932" s="421"/>
      <c r="AJ932" s="421"/>
      <c r="AK932" s="421"/>
      <c r="AL932" s="421"/>
      <c r="AM932" s="421"/>
      <c r="AN932" s="421"/>
      <c r="AO932" s="421"/>
      <c r="AP932" s="421"/>
      <c r="AQ932" s="421"/>
      <c r="AR932" s="421"/>
      <c r="AS932" s="421"/>
      <c r="AT932" s="421"/>
      <c r="AU932" s="421"/>
      <c r="AV932" s="421"/>
      <c r="AW932" s="421"/>
      <c r="AX932" s="421"/>
      <c r="AY932" s="421"/>
      <c r="AZ932" s="421"/>
      <c r="BA932" s="421"/>
      <c r="BB932"/>
      <c r="BC932" s="115"/>
      <c r="BD932" s="115"/>
      <c r="BE932" s="115"/>
      <c r="BF932" s="115"/>
      <c r="BG932" s="115"/>
      <c r="BH932" s="138"/>
      <c r="BI932" s="138"/>
      <c r="BJ932" s="138"/>
      <c r="BK932" s="138"/>
      <c r="BL932" s="138"/>
      <c r="BM932" s="138"/>
      <c r="BN932" s="138"/>
      <c r="BO932" s="138"/>
      <c r="BP932" s="138"/>
      <c r="BQ932" s="138"/>
      <c r="BR932" s="138"/>
      <c r="BS932" s="138"/>
      <c r="BT932" s="138"/>
      <c r="BU932" s="138"/>
      <c r="BV932" s="138"/>
      <c r="BW932" s="138"/>
      <c r="BX932" s="138"/>
      <c r="BY932" s="138"/>
      <c r="BZ932" s="138"/>
      <c r="CA932" s="138"/>
      <c r="CB932" s="138"/>
      <c r="CC932" s="138"/>
      <c r="CD932" s="138"/>
      <c r="CE932" s="138"/>
      <c r="CF932" s="138"/>
      <c r="CG932" s="138"/>
      <c r="CH932" s="138"/>
      <c r="CI932" s="138"/>
      <c r="CJ932" s="138"/>
      <c r="CK932" s="138"/>
      <c r="CL932" s="138"/>
      <c r="CM932" s="138"/>
      <c r="CN932" s="138"/>
      <c r="CO932" s="138"/>
      <c r="CP932" s="138"/>
      <c r="CQ932" s="138"/>
      <c r="CR932" s="138"/>
      <c r="CS932" s="138"/>
      <c r="CT932" s="138"/>
      <c r="CU932" s="138"/>
      <c r="CV932" s="138"/>
      <c r="CW932" s="138"/>
      <c r="CX932" s="138"/>
      <c r="CY932" s="138"/>
      <c r="CZ932" s="138"/>
      <c r="DA932" s="138"/>
      <c r="DB932" s="138"/>
      <c r="DC932" s="138"/>
      <c r="DD932" s="138"/>
      <c r="DE932" s="138"/>
      <c r="DF932" s="138"/>
      <c r="DG932" s="115"/>
    </row>
    <row r="933" spans="1:111" ht="9" customHeight="1">
      <c r="A933"/>
      <c r="B933" s="143"/>
      <c r="C933" s="143"/>
      <c r="D933" s="143"/>
      <c r="E933" s="143"/>
      <c r="F933" s="143"/>
      <c r="G933" s="143"/>
      <c r="H933" s="143"/>
      <c r="I933" s="143"/>
      <c r="J933" s="143"/>
      <c r="K933" s="143"/>
      <c r="L933" s="143"/>
      <c r="M933" s="143"/>
      <c r="N933" s="143"/>
      <c r="O933" s="421"/>
      <c r="P933" s="421"/>
      <c r="Q933" s="421"/>
      <c r="R933" s="421"/>
      <c r="S933" s="421"/>
      <c r="T933" s="421"/>
      <c r="U933" s="421"/>
      <c r="V933" s="421"/>
      <c r="W933" s="421"/>
      <c r="X933" s="421"/>
      <c r="Y933" s="421"/>
      <c r="Z933" s="421"/>
      <c r="AA933" s="421"/>
      <c r="AB933" s="421"/>
      <c r="AC933" s="421"/>
      <c r="AD933" s="421"/>
      <c r="AE933" s="421"/>
      <c r="AF933" s="421"/>
      <c r="AG933" s="421"/>
      <c r="AH933" s="421"/>
      <c r="AI933" s="421"/>
      <c r="AJ933" s="421"/>
      <c r="AK933" s="421"/>
      <c r="AL933" s="421"/>
      <c r="AM933" s="421"/>
      <c r="AN933" s="421"/>
      <c r="AO933" s="421"/>
      <c r="AP933" s="421"/>
      <c r="AQ933" s="421"/>
      <c r="AR933" s="421"/>
      <c r="AS933" s="421"/>
      <c r="AT933" s="421"/>
      <c r="AU933" s="421"/>
      <c r="AV933" s="421"/>
      <c r="AW933" s="421"/>
      <c r="AX933" s="421"/>
      <c r="AY933" s="421"/>
      <c r="AZ933" s="421"/>
      <c r="BA933" s="421"/>
      <c r="BB933"/>
      <c r="BC933" s="115"/>
      <c r="BD933" s="115"/>
      <c r="BE933" s="115"/>
      <c r="BF933" s="115"/>
      <c r="BG933" s="115"/>
      <c r="BH933" s="138"/>
      <c r="BI933" s="138"/>
      <c r="BJ933" s="138"/>
      <c r="BK933" s="138"/>
      <c r="BL933" s="138"/>
      <c r="BM933" s="138"/>
      <c r="BN933" s="138"/>
      <c r="BO933" s="138"/>
      <c r="BP933" s="138"/>
      <c r="BQ933" s="138"/>
      <c r="BR933" s="138"/>
      <c r="BS933" s="138"/>
      <c r="BT933" s="138"/>
      <c r="BU933" s="138"/>
      <c r="BV933" s="138"/>
      <c r="BW933" s="138"/>
      <c r="BX933" s="138"/>
      <c r="BY933" s="138"/>
      <c r="BZ933" s="138"/>
      <c r="CA933" s="138"/>
      <c r="CB933" s="138"/>
      <c r="CC933" s="138"/>
      <c r="CD933" s="138"/>
      <c r="CE933" s="138"/>
      <c r="CF933" s="138"/>
      <c r="CG933" s="138"/>
      <c r="CH933" s="138"/>
      <c r="CI933" s="138"/>
      <c r="CJ933" s="138"/>
      <c r="CK933" s="138"/>
      <c r="CL933" s="138"/>
      <c r="CM933" s="138"/>
      <c r="CN933" s="138"/>
      <c r="CO933" s="138"/>
      <c r="CP933" s="138"/>
      <c r="CQ933" s="138"/>
      <c r="CR933" s="138"/>
      <c r="CS933" s="138"/>
      <c r="CT933" s="138"/>
      <c r="CU933" s="138"/>
      <c r="CV933" s="138"/>
      <c r="CW933" s="138"/>
      <c r="CX933" s="138"/>
      <c r="CY933" s="138"/>
      <c r="CZ933" s="138"/>
      <c r="DA933" s="138"/>
      <c r="DB933" s="138"/>
      <c r="DC933" s="138"/>
      <c r="DD933" s="138"/>
      <c r="DE933" s="138"/>
      <c r="DF933" s="138"/>
      <c r="DG933" s="115"/>
    </row>
    <row r="934" spans="1:111" ht="9" customHeight="1">
      <c r="A934"/>
      <c r="B934" s="49"/>
      <c r="C934" s="49"/>
      <c r="D934" s="49"/>
      <c r="E934" s="49"/>
      <c r="F934" s="49"/>
      <c r="G934" s="49"/>
      <c r="H934" s="49"/>
      <c r="I934" s="49"/>
      <c r="J934" s="49"/>
      <c r="K934" s="49"/>
      <c r="L934" s="49"/>
      <c r="M934" s="49"/>
      <c r="N934" s="49"/>
      <c r="O934" s="421"/>
      <c r="P934" s="421"/>
      <c r="Q934" s="421"/>
      <c r="R934" s="421"/>
      <c r="S934" s="421"/>
      <c r="T934" s="421"/>
      <c r="U934" s="421"/>
      <c r="V934" s="421"/>
      <c r="W934" s="421"/>
      <c r="X934" s="421"/>
      <c r="Y934" s="421"/>
      <c r="Z934" s="421"/>
      <c r="AA934" s="421"/>
      <c r="AB934" s="421"/>
      <c r="AC934" s="421"/>
      <c r="AD934" s="421"/>
      <c r="AE934" s="421"/>
      <c r="AF934" s="421"/>
      <c r="AG934" s="421"/>
      <c r="AH934" s="421"/>
      <c r="AI934" s="421"/>
      <c r="AJ934" s="421"/>
      <c r="AK934" s="421"/>
      <c r="AL934" s="421"/>
      <c r="AM934" s="421"/>
      <c r="AN934" s="421"/>
      <c r="AO934" s="421"/>
      <c r="AP934" s="421"/>
      <c r="AQ934" s="421"/>
      <c r="AR934" s="421"/>
      <c r="AS934" s="421"/>
      <c r="AT934" s="421"/>
      <c r="AU934" s="421"/>
      <c r="AV934" s="421"/>
      <c r="AW934" s="421"/>
      <c r="AX934" s="421"/>
      <c r="AY934" s="421"/>
      <c r="AZ934" s="421"/>
      <c r="BA934" s="421"/>
      <c r="BB934"/>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c r="BY934" s="115"/>
      <c r="BZ934" s="115"/>
      <c r="CA934" s="115"/>
      <c r="CB934" s="115"/>
      <c r="CC934" s="115"/>
      <c r="CD934" s="115"/>
      <c r="CE934" s="115"/>
      <c r="CF934" s="115"/>
      <c r="CG934" s="115"/>
      <c r="CH934" s="115"/>
      <c r="CI934" s="115"/>
      <c r="CJ934" s="115"/>
      <c r="CK934" s="115"/>
      <c r="CL934" s="115"/>
      <c r="CM934" s="115"/>
      <c r="CN934" s="115"/>
      <c r="CO934" s="115"/>
      <c r="CP934" s="115"/>
      <c r="CQ934" s="115"/>
      <c r="CR934" s="115"/>
      <c r="CS934" s="115"/>
      <c r="CT934" s="115"/>
      <c r="CU934" s="115"/>
      <c r="CV934" s="115"/>
      <c r="CW934" s="115"/>
      <c r="CX934" s="115"/>
      <c r="CY934" s="115"/>
      <c r="CZ934" s="115"/>
      <c r="DA934" s="115"/>
      <c r="DB934" s="115"/>
      <c r="DC934" s="115"/>
      <c r="DD934" s="115"/>
      <c r="DE934" s="115"/>
      <c r="DF934" s="115"/>
      <c r="DG934" s="115"/>
    </row>
    <row r="935" spans="1:111" ht="4.5" customHeight="1">
      <c r="A935"/>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AY935" s="49"/>
      <c r="AZ935" s="49"/>
      <c r="BA935" s="49"/>
      <c r="BB935"/>
      <c r="BC935" s="115"/>
      <c r="BD935" s="115"/>
      <c r="BE935" s="115"/>
      <c r="BF935" s="115"/>
      <c r="BG935" s="115"/>
      <c r="BH935" s="124"/>
      <c r="BI935" s="124"/>
      <c r="BJ935" s="124"/>
      <c r="BK935" s="124"/>
      <c r="BL935" s="124"/>
      <c r="BM935" s="124"/>
      <c r="BN935" s="124"/>
      <c r="BO935" s="124"/>
      <c r="BP935" s="124"/>
      <c r="BQ935" s="124"/>
      <c r="BR935" s="124"/>
      <c r="BS935" s="124"/>
      <c r="BT935" s="124"/>
      <c r="BU935" s="124"/>
      <c r="BV935" s="124"/>
      <c r="BW935" s="124"/>
      <c r="BX935" s="124"/>
      <c r="BY935" s="124"/>
      <c r="BZ935" s="124"/>
      <c r="CA935" s="124"/>
      <c r="CB935" s="124"/>
      <c r="CC935" s="124"/>
      <c r="CD935" s="124"/>
      <c r="CE935" s="124"/>
      <c r="CF935" s="124"/>
      <c r="CG935" s="124"/>
      <c r="CH935" s="124"/>
      <c r="CI935" s="124"/>
      <c r="CJ935" s="124"/>
      <c r="CK935" s="124"/>
      <c r="CL935" s="124"/>
      <c r="CM935" s="124"/>
      <c r="CN935" s="124"/>
      <c r="CO935" s="124"/>
      <c r="CP935" s="124"/>
      <c r="CQ935" s="124"/>
      <c r="CR935" s="124"/>
      <c r="CS935" s="124"/>
      <c r="CT935" s="124"/>
      <c r="CU935" s="124"/>
      <c r="CV935" s="124"/>
      <c r="CW935" s="124"/>
      <c r="CX935" s="124"/>
      <c r="CY935" s="124"/>
      <c r="CZ935" s="124"/>
      <c r="DA935" s="124"/>
      <c r="DB935" s="124"/>
      <c r="DC935" s="124"/>
      <c r="DD935" s="124"/>
      <c r="DE935" s="124"/>
      <c r="DF935" s="124"/>
      <c r="DG935" s="115"/>
    </row>
    <row r="936" spans="1:111" ht="9" customHeight="1">
      <c r="A936"/>
      <c r="B936" s="493" t="str">
        <f>IF(B916="","","Justificativa:")</f>
        <v/>
      </c>
      <c r="C936" s="493"/>
      <c r="D936" s="493"/>
      <c r="E936" s="493"/>
      <c r="F936" s="493"/>
      <c r="G936" s="493"/>
      <c r="H936" s="493"/>
      <c r="I936" s="493"/>
      <c r="J936" s="493"/>
      <c r="K936" s="493"/>
      <c r="L936" s="493"/>
      <c r="M936" s="493"/>
      <c r="N936" s="493"/>
      <c r="O936" s="421"/>
      <c r="P936" s="421"/>
      <c r="Q936" s="421"/>
      <c r="R936" s="421"/>
      <c r="S936" s="421"/>
      <c r="T936" s="421"/>
      <c r="U936" s="421"/>
      <c r="V936" s="421"/>
      <c r="W936" s="421"/>
      <c r="X936" s="421"/>
      <c r="Y936" s="421"/>
      <c r="Z936" s="421"/>
      <c r="AA936" s="421"/>
      <c r="AB936" s="421"/>
      <c r="AC936" s="421"/>
      <c r="AD936" s="421"/>
      <c r="AE936" s="421"/>
      <c r="AF936" s="421"/>
      <c r="AG936" s="421"/>
      <c r="AH936" s="421"/>
      <c r="AI936" s="421"/>
      <c r="AJ936" s="421"/>
      <c r="AK936" s="421"/>
      <c r="AL936" s="421"/>
      <c r="AM936" s="421"/>
      <c r="AN936" s="421"/>
      <c r="AO936" s="421"/>
      <c r="AP936" s="421"/>
      <c r="AQ936" s="421"/>
      <c r="AR936" s="421"/>
      <c r="AS936" s="421"/>
      <c r="AT936" s="421"/>
      <c r="AU936" s="421"/>
      <c r="AV936" s="421"/>
      <c r="AW936" s="421"/>
      <c r="AX936" s="421"/>
      <c r="AY936" s="421"/>
      <c r="AZ936" s="421"/>
      <c r="BA936" s="421"/>
      <c r="BB936"/>
      <c r="BC936" s="115"/>
      <c r="BD936" s="115"/>
      <c r="BE936" s="115"/>
      <c r="BF936" s="115"/>
      <c r="BG936" s="115"/>
      <c r="BH936" s="124"/>
      <c r="BI936" s="124"/>
      <c r="BJ936" s="124"/>
      <c r="BK936" s="124"/>
      <c r="BL936" s="124"/>
      <c r="BM936" s="124"/>
      <c r="BN936" s="124"/>
      <c r="BO936" s="124"/>
      <c r="BP936" s="124"/>
      <c r="BQ936" s="124"/>
      <c r="BR936" s="124"/>
      <c r="BS936" s="124"/>
      <c r="BT936" s="124"/>
      <c r="BU936" s="124"/>
      <c r="BV936" s="124"/>
      <c r="BW936" s="124"/>
      <c r="BX936" s="124"/>
      <c r="BY936" s="124"/>
      <c r="BZ936" s="124"/>
      <c r="CA936" s="124"/>
      <c r="CB936" s="124"/>
      <c r="CC936" s="124"/>
      <c r="CD936" s="124"/>
      <c r="CE936" s="124"/>
      <c r="CF936" s="124"/>
      <c r="CG936" s="124"/>
      <c r="CH936" s="124"/>
      <c r="CI936" s="124"/>
      <c r="CJ936" s="124"/>
      <c r="CK936" s="124"/>
      <c r="CL936" s="124"/>
      <c r="CM936" s="124"/>
      <c r="CN936" s="124"/>
      <c r="CO936" s="124"/>
      <c r="CP936" s="124"/>
      <c r="CQ936" s="124"/>
      <c r="CR936" s="124"/>
      <c r="CS936" s="124"/>
      <c r="CT936" s="124"/>
      <c r="CU936" s="124"/>
      <c r="CV936" s="124"/>
      <c r="CW936" s="124"/>
      <c r="CX936" s="124"/>
      <c r="CY936" s="124"/>
      <c r="CZ936" s="124"/>
      <c r="DA936" s="124"/>
      <c r="DB936" s="124"/>
      <c r="DC936" s="124"/>
      <c r="DD936" s="124"/>
      <c r="DE936" s="124"/>
      <c r="DF936" s="124"/>
      <c r="DG936" s="115"/>
    </row>
    <row r="937" spans="1:111" ht="9" customHeight="1">
      <c r="A937"/>
      <c r="B937" s="493"/>
      <c r="C937" s="493"/>
      <c r="D937" s="493"/>
      <c r="E937" s="493"/>
      <c r="F937" s="493"/>
      <c r="G937" s="493"/>
      <c r="H937" s="493"/>
      <c r="I937" s="493"/>
      <c r="J937" s="493"/>
      <c r="K937" s="493"/>
      <c r="L937" s="493"/>
      <c r="M937" s="493"/>
      <c r="N937" s="493"/>
      <c r="O937" s="421"/>
      <c r="P937" s="421"/>
      <c r="Q937" s="421"/>
      <c r="R937" s="421"/>
      <c r="S937" s="421"/>
      <c r="T937" s="421"/>
      <c r="U937" s="421"/>
      <c r="V937" s="421"/>
      <c r="W937" s="421"/>
      <c r="X937" s="421"/>
      <c r="Y937" s="421"/>
      <c r="Z937" s="421"/>
      <c r="AA937" s="421"/>
      <c r="AB937" s="421"/>
      <c r="AC937" s="421"/>
      <c r="AD937" s="421"/>
      <c r="AE937" s="421"/>
      <c r="AF937" s="421"/>
      <c r="AG937" s="421"/>
      <c r="AH937" s="421"/>
      <c r="AI937" s="421"/>
      <c r="AJ937" s="421"/>
      <c r="AK937" s="421"/>
      <c r="AL937" s="421"/>
      <c r="AM937" s="421"/>
      <c r="AN937" s="421"/>
      <c r="AO937" s="421"/>
      <c r="AP937" s="421"/>
      <c r="AQ937" s="421"/>
      <c r="AR937" s="421"/>
      <c r="AS937" s="421"/>
      <c r="AT937" s="421"/>
      <c r="AU937" s="421"/>
      <c r="AV937" s="421"/>
      <c r="AW937" s="421"/>
      <c r="AX937" s="421"/>
      <c r="AY937" s="421"/>
      <c r="AZ937" s="421"/>
      <c r="BA937" s="421"/>
      <c r="BB937"/>
      <c r="BC937" s="115"/>
      <c r="BD937" s="115"/>
      <c r="BE937" s="115"/>
      <c r="BF937" s="115"/>
      <c r="BG937" s="115"/>
      <c r="BH937" s="124"/>
      <c r="BI937" s="124"/>
      <c r="BJ937" s="124"/>
      <c r="BK937" s="124"/>
      <c r="BL937" s="124"/>
      <c r="BM937" s="124"/>
      <c r="BN937" s="124"/>
      <c r="BO937" s="124"/>
      <c r="BP937" s="124"/>
      <c r="BQ937" s="124"/>
      <c r="BR937" s="124"/>
      <c r="BS937" s="124"/>
      <c r="BT937" s="124"/>
      <c r="BU937" s="124"/>
      <c r="BV937" s="124"/>
      <c r="BW937" s="124"/>
      <c r="BX937" s="124"/>
      <c r="BY937" s="124"/>
      <c r="BZ937" s="124"/>
      <c r="CA937" s="124"/>
      <c r="CB937" s="124"/>
      <c r="CC937" s="124"/>
      <c r="CD937" s="124"/>
      <c r="CE937" s="124"/>
      <c r="CF937" s="124"/>
      <c r="CG937" s="124"/>
      <c r="CH937" s="124"/>
      <c r="CI937" s="124"/>
      <c r="CJ937" s="124"/>
      <c r="CK937" s="124"/>
      <c r="CL937" s="124"/>
      <c r="CM937" s="124"/>
      <c r="CN937" s="124"/>
      <c r="CO937" s="124"/>
      <c r="CP937" s="124"/>
      <c r="CQ937" s="124"/>
      <c r="CR937" s="124"/>
      <c r="CS937" s="124"/>
      <c r="CT937" s="124"/>
      <c r="CU937" s="124"/>
      <c r="CV937" s="124"/>
      <c r="CW937" s="124"/>
      <c r="CX937" s="124"/>
      <c r="CY937" s="124"/>
      <c r="CZ937" s="124"/>
      <c r="DA937" s="124"/>
      <c r="DB937" s="124"/>
      <c r="DC937" s="124"/>
      <c r="DD937" s="124"/>
      <c r="DE937" s="124"/>
      <c r="DF937" s="124"/>
      <c r="DG937" s="115"/>
    </row>
    <row r="938" spans="1:111" ht="9" customHeight="1">
      <c r="A938"/>
      <c r="B938" s="143"/>
      <c r="C938" s="143"/>
      <c r="D938" s="143"/>
      <c r="E938" s="143"/>
      <c r="F938" s="143"/>
      <c r="G938" s="143"/>
      <c r="H938" s="143"/>
      <c r="I938" s="143"/>
      <c r="J938" s="143"/>
      <c r="K938" s="143"/>
      <c r="L938" s="143"/>
      <c r="M938" s="143"/>
      <c r="N938" s="143"/>
      <c r="O938" s="421"/>
      <c r="P938" s="421"/>
      <c r="Q938" s="421"/>
      <c r="R938" s="421"/>
      <c r="S938" s="421"/>
      <c r="T938" s="421"/>
      <c r="U938" s="421"/>
      <c r="V938" s="421"/>
      <c r="W938" s="421"/>
      <c r="X938" s="421"/>
      <c r="Y938" s="421"/>
      <c r="Z938" s="421"/>
      <c r="AA938" s="421"/>
      <c r="AB938" s="421"/>
      <c r="AC938" s="421"/>
      <c r="AD938" s="421"/>
      <c r="AE938" s="421"/>
      <c r="AF938" s="421"/>
      <c r="AG938" s="421"/>
      <c r="AH938" s="421"/>
      <c r="AI938" s="421"/>
      <c r="AJ938" s="421"/>
      <c r="AK938" s="421"/>
      <c r="AL938" s="421"/>
      <c r="AM938" s="421"/>
      <c r="AN938" s="421"/>
      <c r="AO938" s="421"/>
      <c r="AP938" s="421"/>
      <c r="AQ938" s="421"/>
      <c r="AR938" s="421"/>
      <c r="AS938" s="421"/>
      <c r="AT938" s="421"/>
      <c r="AU938" s="421"/>
      <c r="AV938" s="421"/>
      <c r="AW938" s="421"/>
      <c r="AX938" s="421"/>
      <c r="AY938" s="421"/>
      <c r="AZ938" s="421"/>
      <c r="BA938" s="421"/>
      <c r="BB938"/>
      <c r="BC938" s="115"/>
      <c r="BD938" s="115"/>
      <c r="BE938" s="115"/>
      <c r="BF938" s="115"/>
      <c r="BG938" s="115"/>
      <c r="BH938" s="124"/>
      <c r="BI938" s="124"/>
      <c r="BJ938" s="124"/>
      <c r="BK938" s="124"/>
      <c r="BL938" s="124"/>
      <c r="BM938" s="124"/>
      <c r="BN938" s="124"/>
      <c r="BO938" s="124"/>
      <c r="BP938" s="124"/>
      <c r="BQ938" s="124"/>
      <c r="BR938" s="124"/>
      <c r="BS938" s="124"/>
      <c r="BT938" s="124"/>
      <c r="BU938" s="124"/>
      <c r="BV938" s="124"/>
      <c r="BW938" s="124"/>
      <c r="BX938" s="124"/>
      <c r="BY938" s="124"/>
      <c r="BZ938" s="124"/>
      <c r="CA938" s="124"/>
      <c r="CB938" s="124"/>
      <c r="CC938" s="124"/>
      <c r="CD938" s="124"/>
      <c r="CE938" s="124"/>
      <c r="CF938" s="124"/>
      <c r="CG938" s="124"/>
      <c r="CH938" s="124"/>
      <c r="CI938" s="124"/>
      <c r="CJ938" s="124"/>
      <c r="CK938" s="124"/>
      <c r="CL938" s="124"/>
      <c r="CM938" s="124"/>
      <c r="CN938" s="124"/>
      <c r="CO938" s="124"/>
      <c r="CP938" s="124"/>
      <c r="CQ938" s="124"/>
      <c r="CR938" s="124"/>
      <c r="CS938" s="124"/>
      <c r="CT938" s="124"/>
      <c r="CU938" s="124"/>
      <c r="CV938" s="124"/>
      <c r="CW938" s="124"/>
      <c r="CX938" s="124"/>
      <c r="CY938" s="124"/>
      <c r="CZ938" s="124"/>
      <c r="DA938" s="124"/>
      <c r="DB938" s="124"/>
      <c r="DC938" s="124"/>
      <c r="DD938" s="124"/>
      <c r="DE938" s="124"/>
      <c r="DF938" s="124"/>
      <c r="DG938" s="115"/>
    </row>
    <row r="939" spans="1:111" ht="9" customHeight="1">
      <c r="A939"/>
      <c r="B939" s="143"/>
      <c r="C939" s="143"/>
      <c r="D939" s="143"/>
      <c r="E939" s="143"/>
      <c r="F939" s="143"/>
      <c r="G939" s="143"/>
      <c r="H939" s="143"/>
      <c r="I939" s="143"/>
      <c r="J939" s="143"/>
      <c r="K939" s="143"/>
      <c r="L939" s="143"/>
      <c r="M939" s="143"/>
      <c r="N939" s="143"/>
      <c r="O939" s="421"/>
      <c r="P939" s="421"/>
      <c r="Q939" s="421"/>
      <c r="R939" s="421"/>
      <c r="S939" s="421"/>
      <c r="T939" s="421"/>
      <c r="U939" s="421"/>
      <c r="V939" s="421"/>
      <c r="W939" s="421"/>
      <c r="X939" s="421"/>
      <c r="Y939" s="421"/>
      <c r="Z939" s="421"/>
      <c r="AA939" s="421"/>
      <c r="AB939" s="421"/>
      <c r="AC939" s="421"/>
      <c r="AD939" s="421"/>
      <c r="AE939" s="421"/>
      <c r="AF939" s="421"/>
      <c r="AG939" s="421"/>
      <c r="AH939" s="421"/>
      <c r="AI939" s="421"/>
      <c r="AJ939" s="421"/>
      <c r="AK939" s="421"/>
      <c r="AL939" s="421"/>
      <c r="AM939" s="421"/>
      <c r="AN939" s="421"/>
      <c r="AO939" s="421"/>
      <c r="AP939" s="421"/>
      <c r="AQ939" s="421"/>
      <c r="AR939" s="421"/>
      <c r="AS939" s="421"/>
      <c r="AT939" s="421"/>
      <c r="AU939" s="421"/>
      <c r="AV939" s="421"/>
      <c r="AW939" s="421"/>
      <c r="AX939" s="421"/>
      <c r="AY939" s="421"/>
      <c r="AZ939" s="421"/>
      <c r="BA939" s="421"/>
      <c r="BB939"/>
      <c r="BC939" s="115"/>
      <c r="BD939" s="115"/>
      <c r="BE939" s="115"/>
      <c r="BF939" s="115"/>
      <c r="BG939" s="115"/>
      <c r="BH939" s="138"/>
      <c r="BI939" s="138"/>
      <c r="BJ939" s="138"/>
      <c r="BK939" s="138"/>
      <c r="BL939" s="138"/>
      <c r="BM939" s="138"/>
      <c r="BN939" s="138"/>
      <c r="BO939" s="138"/>
      <c r="BP939" s="138"/>
      <c r="BQ939" s="138"/>
      <c r="BR939" s="138"/>
      <c r="BS939" s="138"/>
      <c r="BT939" s="138"/>
      <c r="BU939" s="138"/>
      <c r="BV939" s="138"/>
      <c r="BW939" s="138"/>
      <c r="BX939" s="138"/>
      <c r="BY939" s="138"/>
      <c r="BZ939" s="138"/>
      <c r="CA939" s="138"/>
      <c r="CB939" s="138"/>
      <c r="CC939" s="138"/>
      <c r="CD939" s="138"/>
      <c r="CE939" s="138"/>
      <c r="CF939" s="138"/>
      <c r="CG939" s="138"/>
      <c r="CH939" s="138"/>
      <c r="CI939" s="138"/>
      <c r="CJ939" s="138"/>
      <c r="CK939" s="138"/>
      <c r="CL939" s="138"/>
      <c r="CM939" s="138"/>
      <c r="CN939" s="138"/>
      <c r="CO939" s="138"/>
      <c r="CP939" s="138"/>
      <c r="CQ939" s="138"/>
      <c r="CR939" s="138"/>
      <c r="CS939" s="138"/>
      <c r="CT939" s="138"/>
      <c r="CU939" s="138"/>
      <c r="CV939" s="138"/>
      <c r="CW939" s="138"/>
      <c r="CX939" s="138"/>
      <c r="CY939" s="138"/>
      <c r="CZ939" s="138"/>
      <c r="DA939" s="138"/>
      <c r="DB939" s="138"/>
      <c r="DC939" s="138"/>
      <c r="DD939" s="138"/>
      <c r="DE939" s="138"/>
      <c r="DF939" s="138"/>
      <c r="DG939" s="115"/>
    </row>
    <row r="940" spans="1:111" ht="9" customHeight="1">
      <c r="A940"/>
      <c r="B940" s="143"/>
      <c r="C940" s="143"/>
      <c r="D940" s="143"/>
      <c r="E940" s="143"/>
      <c r="F940" s="143"/>
      <c r="G940" s="143"/>
      <c r="H940" s="143"/>
      <c r="I940" s="143"/>
      <c r="J940" s="143"/>
      <c r="K940" s="143"/>
      <c r="L940" s="143"/>
      <c r="M940" s="143"/>
      <c r="N940" s="143"/>
      <c r="O940" s="421"/>
      <c r="P940" s="421"/>
      <c r="Q940" s="421"/>
      <c r="R940" s="421"/>
      <c r="S940" s="421"/>
      <c r="T940" s="421"/>
      <c r="U940" s="421"/>
      <c r="V940" s="421"/>
      <c r="W940" s="421"/>
      <c r="X940" s="421"/>
      <c r="Y940" s="421"/>
      <c r="Z940" s="421"/>
      <c r="AA940" s="421"/>
      <c r="AB940" s="421"/>
      <c r="AC940" s="421"/>
      <c r="AD940" s="421"/>
      <c r="AE940" s="421"/>
      <c r="AF940" s="421"/>
      <c r="AG940" s="421"/>
      <c r="AH940" s="421"/>
      <c r="AI940" s="421"/>
      <c r="AJ940" s="421"/>
      <c r="AK940" s="421"/>
      <c r="AL940" s="421"/>
      <c r="AM940" s="421"/>
      <c r="AN940" s="421"/>
      <c r="AO940" s="421"/>
      <c r="AP940" s="421"/>
      <c r="AQ940" s="421"/>
      <c r="AR940" s="421"/>
      <c r="AS940" s="421"/>
      <c r="AT940" s="421"/>
      <c r="AU940" s="421"/>
      <c r="AV940" s="421"/>
      <c r="AW940" s="421"/>
      <c r="AX940" s="421"/>
      <c r="AY940" s="421"/>
      <c r="AZ940" s="421"/>
      <c r="BA940" s="421"/>
      <c r="BB940"/>
      <c r="BC940" s="115"/>
      <c r="BD940" s="115"/>
      <c r="BE940" s="115"/>
      <c r="BF940" s="115"/>
      <c r="BG940" s="115"/>
      <c r="BH940" s="138"/>
      <c r="BI940" s="138"/>
      <c r="BJ940" s="138"/>
      <c r="BK940" s="138"/>
      <c r="BL940" s="138"/>
      <c r="BM940" s="138"/>
      <c r="BN940" s="138"/>
      <c r="BO940" s="138"/>
      <c r="BP940" s="138"/>
      <c r="BQ940" s="138"/>
      <c r="BR940" s="138"/>
      <c r="BS940" s="138"/>
      <c r="BT940" s="138"/>
      <c r="BU940" s="138"/>
      <c r="BV940" s="138"/>
      <c r="BW940" s="138"/>
      <c r="BX940" s="138"/>
      <c r="BY940" s="138"/>
      <c r="BZ940" s="138"/>
      <c r="CA940" s="138"/>
      <c r="CB940" s="138"/>
      <c r="CC940" s="138"/>
      <c r="CD940" s="138"/>
      <c r="CE940" s="138"/>
      <c r="CF940" s="138"/>
      <c r="CG940" s="138"/>
      <c r="CH940" s="138"/>
      <c r="CI940" s="138"/>
      <c r="CJ940" s="138"/>
      <c r="CK940" s="138"/>
      <c r="CL940" s="138"/>
      <c r="CM940" s="138"/>
      <c r="CN940" s="138"/>
      <c r="CO940" s="138"/>
      <c r="CP940" s="138"/>
      <c r="CQ940" s="138"/>
      <c r="CR940" s="138"/>
      <c r="CS940" s="138"/>
      <c r="CT940" s="138"/>
      <c r="CU940" s="138"/>
      <c r="CV940" s="138"/>
      <c r="CW940" s="138"/>
      <c r="CX940" s="138"/>
      <c r="CY940" s="138"/>
      <c r="CZ940" s="138"/>
      <c r="DA940" s="138"/>
      <c r="DB940" s="138"/>
      <c r="DC940" s="138"/>
      <c r="DD940" s="138"/>
      <c r="DE940" s="138"/>
      <c r="DF940" s="138"/>
      <c r="DG940" s="115"/>
    </row>
    <row r="941" spans="1:111" ht="9" customHeight="1">
      <c r="A941"/>
      <c r="B941" s="49"/>
      <c r="C941" s="49"/>
      <c r="D941" s="49"/>
      <c r="E941" s="49"/>
      <c r="F941" s="49"/>
      <c r="G941" s="49"/>
      <c r="H941" s="49"/>
      <c r="I941" s="49"/>
      <c r="J941" s="49"/>
      <c r="K941" s="49"/>
      <c r="L941" s="49"/>
      <c r="M941" s="49"/>
      <c r="N941" s="49"/>
      <c r="O941" s="421"/>
      <c r="P941" s="421"/>
      <c r="Q941" s="421"/>
      <c r="R941" s="421"/>
      <c r="S941" s="421"/>
      <c r="T941" s="421"/>
      <c r="U941" s="421"/>
      <c r="V941" s="421"/>
      <c r="W941" s="421"/>
      <c r="X941" s="421"/>
      <c r="Y941" s="421"/>
      <c r="Z941" s="421"/>
      <c r="AA941" s="421"/>
      <c r="AB941" s="421"/>
      <c r="AC941" s="421"/>
      <c r="AD941" s="421"/>
      <c r="AE941" s="421"/>
      <c r="AF941" s="421"/>
      <c r="AG941" s="421"/>
      <c r="AH941" s="421"/>
      <c r="AI941" s="421"/>
      <c r="AJ941" s="421"/>
      <c r="AK941" s="421"/>
      <c r="AL941" s="421"/>
      <c r="AM941" s="421"/>
      <c r="AN941" s="421"/>
      <c r="AO941" s="421"/>
      <c r="AP941" s="421"/>
      <c r="AQ941" s="421"/>
      <c r="AR941" s="421"/>
      <c r="AS941" s="421"/>
      <c r="AT941" s="421"/>
      <c r="AU941" s="421"/>
      <c r="AV941" s="421"/>
      <c r="AW941" s="421"/>
      <c r="AX941" s="421"/>
      <c r="AY941" s="421"/>
      <c r="AZ941" s="421"/>
      <c r="BA941" s="421"/>
      <c r="BB941"/>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c r="BY941" s="115"/>
      <c r="BZ941" s="115"/>
      <c r="CA941" s="115"/>
      <c r="CB941" s="115"/>
      <c r="CC941" s="115"/>
      <c r="CD941" s="115"/>
      <c r="CE941" s="115"/>
      <c r="CF941" s="115"/>
      <c r="CG941" s="115"/>
      <c r="CH941" s="115"/>
      <c r="CI941" s="115"/>
      <c r="CJ941" s="115"/>
      <c r="CK941" s="115"/>
      <c r="CL941" s="115"/>
      <c r="CM941" s="115"/>
      <c r="CN941" s="115"/>
      <c r="CO941" s="115"/>
      <c r="CP941" s="115"/>
      <c r="CQ941" s="115"/>
      <c r="CR941" s="115"/>
      <c r="CS941" s="115"/>
      <c r="CT941" s="115"/>
      <c r="CU941" s="115"/>
      <c r="CV941" s="115"/>
      <c r="CW941" s="115"/>
      <c r="CX941" s="115"/>
      <c r="CY941" s="115"/>
      <c r="CZ941" s="115"/>
      <c r="DA941" s="115"/>
      <c r="DB941" s="115"/>
      <c r="DC941" s="115"/>
      <c r="DD941" s="115"/>
      <c r="DE941" s="115"/>
      <c r="DF941" s="115"/>
      <c r="DG941" s="115"/>
    </row>
    <row r="942" spans="1:111" ht="4.5" customHeight="1">
      <c r="A942"/>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49"/>
      <c r="AT942" s="49"/>
      <c r="AU942" s="49"/>
      <c r="AV942" s="49"/>
      <c r="AW942" s="49"/>
      <c r="AX942" s="49"/>
      <c r="AY942" s="49"/>
      <c r="AZ942" s="49"/>
      <c r="BA942" s="49"/>
      <c r="BB942"/>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c r="BY942" s="115"/>
      <c r="BZ942" s="115"/>
      <c r="CA942" s="115"/>
      <c r="CB942" s="115"/>
      <c r="CC942" s="115"/>
      <c r="CD942" s="115"/>
      <c r="CE942" s="115"/>
      <c r="CF942" s="115"/>
      <c r="CG942" s="115"/>
      <c r="CH942" s="115"/>
      <c r="CI942" s="115"/>
      <c r="CJ942" s="115"/>
      <c r="CK942" s="115"/>
      <c r="CL942" s="115"/>
      <c r="CM942" s="115"/>
      <c r="CN942" s="115"/>
      <c r="CO942" s="115"/>
      <c r="CP942" s="115"/>
      <c r="CQ942" s="115"/>
      <c r="CR942" s="115"/>
      <c r="CS942" s="115"/>
      <c r="CT942" s="115"/>
      <c r="CU942" s="115"/>
      <c r="CV942" s="115"/>
      <c r="CW942" s="115"/>
      <c r="CX942" s="115"/>
      <c r="CY942" s="115"/>
      <c r="CZ942" s="115"/>
      <c r="DA942" s="115"/>
      <c r="DB942" s="115"/>
      <c r="DC942" s="115"/>
      <c r="DD942" s="115"/>
      <c r="DE942" s="115"/>
      <c r="DF942" s="115"/>
      <c r="DG942" s="115"/>
    </row>
    <row r="943" spans="1:111" ht="9" customHeight="1">
      <c r="A943"/>
      <c r="B943" s="493" t="str">
        <f>IF(B916="","","Metas Vinculadas:")</f>
        <v/>
      </c>
      <c r="C943" s="493"/>
      <c r="D943" s="493"/>
      <c r="E943" s="493"/>
      <c r="F943" s="493"/>
      <c r="G943" s="493"/>
      <c r="H943" s="493"/>
      <c r="I943" s="493"/>
      <c r="J943" s="493"/>
      <c r="K943" s="493"/>
      <c r="L943" s="493"/>
      <c r="M943" s="493"/>
      <c r="N943" s="493"/>
      <c r="O943" s="421"/>
      <c r="P943" s="421"/>
      <c r="Q943" s="421"/>
      <c r="R943" s="421"/>
      <c r="S943" s="421"/>
      <c r="T943" s="421"/>
      <c r="U943" s="421"/>
      <c r="V943" s="421"/>
      <c r="W943" s="421"/>
      <c r="X943" s="421"/>
      <c r="Y943" s="421"/>
      <c r="Z943" s="421"/>
      <c r="AA943" s="421"/>
      <c r="AB943" s="421"/>
      <c r="AC943" s="421"/>
      <c r="AD943" s="421"/>
      <c r="AE943" s="421"/>
      <c r="AF943" s="421"/>
      <c r="AG943" s="421"/>
      <c r="AH943" s="421"/>
      <c r="AI943" s="421"/>
      <c r="AJ943" s="421"/>
      <c r="AK943" s="421"/>
      <c r="AL943" s="421"/>
      <c r="AM943" s="421"/>
      <c r="AN943" s="421"/>
      <c r="AO943" s="421"/>
      <c r="AP943" s="421"/>
      <c r="AQ943" s="421"/>
      <c r="AR943" s="421"/>
      <c r="AS943" s="421"/>
      <c r="AT943" s="421"/>
      <c r="AU943" s="421"/>
      <c r="AV943" s="421"/>
      <c r="AW943" s="421"/>
      <c r="AX943" s="421"/>
      <c r="AY943" s="421"/>
      <c r="AZ943" s="421"/>
      <c r="BA943" s="421"/>
      <c r="BB943"/>
      <c r="BC943" s="115"/>
      <c r="BD943" s="115"/>
      <c r="BE943" s="115"/>
      <c r="BF943" s="115"/>
      <c r="BG943" s="115"/>
      <c r="BH943" s="124"/>
      <c r="BI943" s="124"/>
      <c r="BJ943" s="124"/>
      <c r="BK943" s="124"/>
      <c r="BL943" s="124"/>
      <c r="BM943" s="124"/>
      <c r="BN943" s="124"/>
      <c r="BO943" s="124"/>
      <c r="BP943" s="124"/>
      <c r="BQ943" s="124"/>
      <c r="BR943" s="124"/>
      <c r="BS943" s="124"/>
      <c r="BT943" s="124"/>
      <c r="BU943" s="124"/>
      <c r="BV943" s="124"/>
      <c r="BW943" s="124"/>
      <c r="BX943" s="124"/>
      <c r="BY943" s="124"/>
      <c r="BZ943" s="124"/>
      <c r="CA943" s="124"/>
      <c r="CB943" s="124"/>
      <c r="CC943" s="124"/>
      <c r="CD943" s="124"/>
      <c r="CE943" s="124"/>
      <c r="CF943" s="124"/>
      <c r="CG943" s="124"/>
      <c r="CH943" s="124"/>
      <c r="CI943" s="124"/>
      <c r="CJ943" s="124"/>
      <c r="CK943" s="124"/>
      <c r="CL943" s="124"/>
      <c r="CM943" s="124"/>
      <c r="CN943" s="124"/>
      <c r="CO943" s="124"/>
      <c r="CP943" s="124"/>
      <c r="CQ943" s="124"/>
      <c r="CR943" s="124"/>
      <c r="CS943" s="124"/>
      <c r="CT943" s="124"/>
      <c r="CU943" s="124"/>
      <c r="CV943" s="124"/>
      <c r="CW943" s="124"/>
      <c r="CX943" s="124"/>
      <c r="CY943" s="124"/>
      <c r="CZ943" s="124"/>
      <c r="DA943" s="124"/>
      <c r="DB943" s="124"/>
      <c r="DC943" s="124"/>
      <c r="DD943" s="124"/>
      <c r="DE943" s="124"/>
      <c r="DF943" s="124"/>
      <c r="DG943" s="115"/>
    </row>
    <row r="944" spans="1:111" ht="9" customHeight="1">
      <c r="A944"/>
      <c r="B944" s="493"/>
      <c r="C944" s="493"/>
      <c r="D944" s="493"/>
      <c r="E944" s="493"/>
      <c r="F944" s="493"/>
      <c r="G944" s="493"/>
      <c r="H944" s="493"/>
      <c r="I944" s="493"/>
      <c r="J944" s="493"/>
      <c r="K944" s="493"/>
      <c r="L944" s="493"/>
      <c r="M944" s="493"/>
      <c r="N944" s="493"/>
      <c r="O944" s="421"/>
      <c r="P944" s="421"/>
      <c r="Q944" s="421"/>
      <c r="R944" s="421"/>
      <c r="S944" s="421"/>
      <c r="T944" s="421"/>
      <c r="U944" s="421"/>
      <c r="V944" s="421"/>
      <c r="W944" s="421"/>
      <c r="X944" s="421"/>
      <c r="Y944" s="421"/>
      <c r="Z944" s="421"/>
      <c r="AA944" s="421"/>
      <c r="AB944" s="421"/>
      <c r="AC944" s="421"/>
      <c r="AD944" s="421"/>
      <c r="AE944" s="421"/>
      <c r="AF944" s="421"/>
      <c r="AG944" s="421"/>
      <c r="AH944" s="421"/>
      <c r="AI944" s="421"/>
      <c r="AJ944" s="421"/>
      <c r="AK944" s="421"/>
      <c r="AL944" s="421"/>
      <c r="AM944" s="421"/>
      <c r="AN944" s="421"/>
      <c r="AO944" s="421"/>
      <c r="AP944" s="421"/>
      <c r="AQ944" s="421"/>
      <c r="AR944" s="421"/>
      <c r="AS944" s="421"/>
      <c r="AT944" s="421"/>
      <c r="AU944" s="421"/>
      <c r="AV944" s="421"/>
      <c r="AW944" s="421"/>
      <c r="AX944" s="421"/>
      <c r="AY944" s="421"/>
      <c r="AZ944" s="421"/>
      <c r="BA944" s="421"/>
      <c r="BB944"/>
      <c r="BC944" s="115"/>
      <c r="BD944" s="115"/>
      <c r="BE944" s="115"/>
      <c r="BF944" s="115"/>
      <c r="BG944" s="115"/>
      <c r="BH944" s="138"/>
      <c r="BI944" s="138"/>
      <c r="BJ944" s="138"/>
      <c r="BK944" s="138"/>
      <c r="BL944" s="138"/>
      <c r="BM944" s="138"/>
      <c r="BN944" s="138"/>
      <c r="BO944" s="138"/>
      <c r="BP944" s="138"/>
      <c r="BQ944" s="138"/>
      <c r="BR944" s="138"/>
      <c r="BS944" s="138"/>
      <c r="BT944" s="138"/>
      <c r="BU944" s="138"/>
      <c r="BV944" s="138"/>
      <c r="BW944" s="138"/>
      <c r="BX944" s="138"/>
      <c r="BY944" s="138"/>
      <c r="BZ944" s="138"/>
      <c r="CA944" s="138"/>
      <c r="CB944" s="138"/>
      <c r="CC944" s="138"/>
      <c r="CD944" s="138"/>
      <c r="CE944" s="138"/>
      <c r="CF944" s="138"/>
      <c r="CG944" s="138"/>
      <c r="CH944" s="138"/>
      <c r="CI944" s="138"/>
      <c r="CJ944" s="138"/>
      <c r="CK944" s="138"/>
      <c r="CL944" s="138"/>
      <c r="CM944" s="138"/>
      <c r="CN944" s="138"/>
      <c r="CO944" s="138"/>
      <c r="CP944" s="138"/>
      <c r="CQ944" s="138"/>
      <c r="CR944" s="138"/>
      <c r="CS944" s="138"/>
      <c r="CT944" s="138"/>
      <c r="CU944" s="138"/>
      <c r="CV944" s="138"/>
      <c r="CW944" s="138"/>
      <c r="CX944" s="138"/>
      <c r="CY944" s="138"/>
      <c r="CZ944" s="138"/>
      <c r="DA944" s="138"/>
      <c r="DB944" s="138"/>
      <c r="DC944" s="138"/>
      <c r="DD944" s="138"/>
      <c r="DE944" s="138"/>
      <c r="DF944" s="138"/>
      <c r="DG944" s="115"/>
    </row>
    <row r="945" spans="1:111" ht="4.5" customHeight="1">
      <c r="A945"/>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49"/>
      <c r="AT945" s="49"/>
      <c r="AU945" s="49"/>
      <c r="AV945" s="49"/>
      <c r="AW945" s="49"/>
      <c r="AX945" s="49"/>
      <c r="AY945" s="49"/>
      <c r="AZ945" s="49"/>
      <c r="BA945" s="49"/>
      <c r="BB94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c r="BY945" s="115"/>
      <c r="BZ945" s="115"/>
      <c r="CA945" s="115"/>
      <c r="CB945" s="115"/>
      <c r="CC945" s="115"/>
      <c r="CD945" s="115"/>
      <c r="CE945" s="115"/>
      <c r="CF945" s="115"/>
      <c r="CG945" s="115"/>
      <c r="CH945" s="115"/>
      <c r="CI945" s="115"/>
      <c r="CJ945" s="115"/>
      <c r="CK945" s="115"/>
      <c r="CL945" s="115"/>
      <c r="CM945" s="115"/>
      <c r="CN945" s="115"/>
      <c r="CO945" s="115"/>
      <c r="CP945" s="115"/>
      <c r="CQ945" s="115"/>
      <c r="CR945" s="115"/>
      <c r="CS945" s="115"/>
      <c r="CT945" s="115"/>
      <c r="CU945" s="115"/>
      <c r="CV945" s="115"/>
      <c r="CW945" s="115"/>
      <c r="CX945" s="115"/>
      <c r="CY945" s="115"/>
      <c r="CZ945" s="115"/>
      <c r="DA945" s="115"/>
      <c r="DB945" s="115"/>
      <c r="DC945" s="115"/>
      <c r="DD945" s="115"/>
      <c r="DE945" s="115"/>
      <c r="DF945" s="115"/>
      <c r="DG945" s="115"/>
    </row>
    <row r="946" spans="1:111" ht="9" customHeight="1">
      <c r="A946"/>
      <c r="B946" s="125"/>
      <c r="C946" s="125"/>
      <c r="D946" s="125"/>
      <c r="E946" s="125"/>
      <c r="F946" s="125"/>
      <c r="G946" s="125"/>
      <c r="H946" s="125"/>
      <c r="I946" s="125"/>
      <c r="J946" s="125"/>
      <c r="K946" s="125"/>
      <c r="L946" s="125"/>
      <c r="M946" s="125"/>
      <c r="N946" s="125"/>
      <c r="O946" s="496" t="str">
        <f>IF(B916="","","Quantidade:")</f>
        <v/>
      </c>
      <c r="P946" s="496"/>
      <c r="Q946" s="496"/>
      <c r="R946" s="496"/>
      <c r="S946" s="496"/>
      <c r="T946" s="496"/>
      <c r="U946" s="496"/>
      <c r="V946" s="417"/>
      <c r="W946" s="417"/>
      <c r="X946" s="417"/>
      <c r="Y946" s="417"/>
      <c r="Z946" s="417"/>
      <c r="AA946" s="417"/>
      <c r="AB946" s="417"/>
      <c r="AC946" s="417"/>
      <c r="AD946" s="417"/>
      <c r="AE946" s="417"/>
      <c r="AF946" s="125"/>
      <c r="AG946" s="497" t="str">
        <f>IF(B916="","","Unidade:")</f>
        <v/>
      </c>
      <c r="AH946" s="497"/>
      <c r="AI946" s="497"/>
      <c r="AJ946" s="497"/>
      <c r="AK946" s="497"/>
      <c r="AL946" s="497"/>
      <c r="AM946" s="497"/>
      <c r="AN946" s="125"/>
      <c r="AO946" s="417"/>
      <c r="AP946" s="417"/>
      <c r="AQ946" s="417"/>
      <c r="AR946" s="417"/>
      <c r="AS946" s="417"/>
      <c r="AT946" s="417"/>
      <c r="AU946" s="417"/>
      <c r="AV946" s="417"/>
      <c r="AW946" s="417"/>
      <c r="AX946" s="417"/>
      <c r="AY946" s="417"/>
      <c r="AZ946" s="417"/>
      <c r="BA946" s="417"/>
      <c r="BB946"/>
      <c r="BC946" s="115"/>
      <c r="BD946" s="115"/>
      <c r="BE946" s="115"/>
      <c r="BF946" s="115"/>
      <c r="BG946" s="115"/>
      <c r="BH946" s="124"/>
      <c r="BI946" s="124"/>
      <c r="BJ946" s="124"/>
      <c r="BK946" s="124"/>
      <c r="BL946" s="124"/>
      <c r="BM946" s="124"/>
      <c r="BN946" s="124"/>
      <c r="BO946" s="124"/>
      <c r="BP946" s="124"/>
      <c r="BQ946" s="124"/>
      <c r="BR946" s="124"/>
      <c r="BS946" s="124"/>
      <c r="BT946" s="124"/>
      <c r="BU946" s="124"/>
      <c r="BV946" s="124"/>
      <c r="BW946" s="124"/>
      <c r="BX946" s="124"/>
      <c r="BY946" s="124"/>
      <c r="BZ946" s="124"/>
      <c r="CA946" s="124"/>
      <c r="CB946" s="124"/>
      <c r="CC946" s="124"/>
      <c r="CD946" s="124"/>
      <c r="CE946" s="124"/>
      <c r="CF946" s="124"/>
      <c r="CG946" s="124"/>
      <c r="CH946" s="124"/>
      <c r="CI946" s="124"/>
      <c r="CJ946" s="124"/>
      <c r="CK946" s="124"/>
      <c r="CL946" s="124"/>
      <c r="CM946" s="124"/>
      <c r="CN946" s="124"/>
      <c r="CO946" s="124"/>
      <c r="CP946" s="124"/>
      <c r="CQ946" s="124"/>
      <c r="CR946" s="124"/>
      <c r="CS946" s="124"/>
      <c r="CT946" s="124"/>
      <c r="CU946" s="124"/>
      <c r="CV946" s="124"/>
      <c r="CW946" s="124"/>
      <c r="CX946" s="124"/>
      <c r="CY946" s="124"/>
      <c r="CZ946" s="124"/>
      <c r="DA946" s="124"/>
      <c r="DB946" s="124"/>
      <c r="DC946" s="124"/>
      <c r="DD946" s="124"/>
      <c r="DE946" s="124"/>
      <c r="DF946" s="124"/>
      <c r="DG946" s="115"/>
    </row>
    <row r="947" spans="1:111" ht="9" customHeight="1">
      <c r="A947"/>
      <c r="B947" s="125"/>
      <c r="C947" s="125"/>
      <c r="D947" s="125"/>
      <c r="E947" s="125"/>
      <c r="F947" s="125"/>
      <c r="G947" s="125"/>
      <c r="H947" s="125"/>
      <c r="I947" s="125"/>
      <c r="J947" s="125"/>
      <c r="K947" s="125"/>
      <c r="L947" s="125"/>
      <c r="M947" s="125"/>
      <c r="N947" s="125"/>
      <c r="O947" s="496"/>
      <c r="P947" s="496"/>
      <c r="Q947" s="496"/>
      <c r="R947" s="496"/>
      <c r="S947" s="496"/>
      <c r="T947" s="496"/>
      <c r="U947" s="496"/>
      <c r="V947" s="417"/>
      <c r="W947" s="417"/>
      <c r="X947" s="417"/>
      <c r="Y947" s="417"/>
      <c r="Z947" s="417"/>
      <c r="AA947" s="417"/>
      <c r="AB947" s="417"/>
      <c r="AC947" s="417"/>
      <c r="AD947" s="417"/>
      <c r="AE947" s="417"/>
      <c r="AF947" s="125"/>
      <c r="AG947" s="497"/>
      <c r="AH947" s="497"/>
      <c r="AI947" s="497"/>
      <c r="AJ947" s="497"/>
      <c r="AK947" s="497"/>
      <c r="AL947" s="497"/>
      <c r="AM947" s="497"/>
      <c r="AN947" s="125"/>
      <c r="AO947" s="417"/>
      <c r="AP947" s="417"/>
      <c r="AQ947" s="417"/>
      <c r="AR947" s="417"/>
      <c r="AS947" s="417"/>
      <c r="AT947" s="417"/>
      <c r="AU947" s="417"/>
      <c r="AV947" s="417"/>
      <c r="AW947" s="417"/>
      <c r="AX947" s="417"/>
      <c r="AY947" s="417"/>
      <c r="AZ947" s="417"/>
      <c r="BA947" s="417"/>
      <c r="BB947"/>
      <c r="BC947" s="115"/>
      <c r="BD947" s="115"/>
      <c r="BE947" s="115"/>
      <c r="BF947" s="115"/>
      <c r="BG947" s="115"/>
      <c r="BH947" s="124"/>
      <c r="BI947" s="124"/>
      <c r="BJ947" s="124"/>
      <c r="BK947" s="124"/>
      <c r="BL947" s="124"/>
      <c r="BM947" s="124"/>
      <c r="BN947" s="124"/>
      <c r="BO947" s="124"/>
      <c r="BP947" s="124"/>
      <c r="BQ947" s="124"/>
      <c r="BR947" s="124"/>
      <c r="BS947" s="124"/>
      <c r="BT947" s="124"/>
      <c r="BU947" s="124"/>
      <c r="BV947" s="124"/>
      <c r="BW947" s="124"/>
      <c r="BX947" s="124"/>
      <c r="BY947" s="124"/>
      <c r="BZ947" s="124"/>
      <c r="CA947" s="124"/>
      <c r="CB947" s="124"/>
      <c r="CC947" s="124"/>
      <c r="CD947" s="124"/>
      <c r="CE947" s="124"/>
      <c r="CF947" s="124"/>
      <c r="CG947" s="124"/>
      <c r="CH947" s="124"/>
      <c r="CI947" s="124"/>
      <c r="CJ947" s="124"/>
      <c r="CK947" s="124"/>
      <c r="CL947" s="124"/>
      <c r="CM947" s="124"/>
      <c r="CN947" s="124"/>
      <c r="CO947" s="124"/>
      <c r="CP947" s="124"/>
      <c r="CQ947" s="124"/>
      <c r="CR947" s="124"/>
      <c r="CS947" s="124"/>
      <c r="CT947" s="124"/>
      <c r="CU947" s="124"/>
      <c r="CV947" s="124"/>
      <c r="CW947" s="124"/>
      <c r="CX947" s="124"/>
      <c r="CY947" s="124"/>
      <c r="CZ947" s="124"/>
      <c r="DA947" s="124"/>
      <c r="DB947" s="124"/>
      <c r="DC947" s="124"/>
      <c r="DD947" s="124"/>
      <c r="DE947" s="124"/>
      <c r="DF947" s="124"/>
      <c r="DG947" s="115"/>
    </row>
    <row r="948" spans="1:111" ht="9" customHeight="1">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s="115"/>
      <c r="BD948" s="115"/>
      <c r="BE948" s="115"/>
      <c r="BF948" s="115"/>
      <c r="BG948" s="115"/>
      <c r="BH948" s="498"/>
      <c r="BI948" s="498"/>
      <c r="BJ948" s="498"/>
      <c r="BK948" s="498"/>
      <c r="BL948" s="498"/>
      <c r="BM948" s="498"/>
      <c r="BN948" s="498"/>
      <c r="BO948" s="498"/>
      <c r="BP948" s="498"/>
      <c r="BQ948" s="498"/>
      <c r="BR948" s="498"/>
      <c r="BS948" s="498"/>
      <c r="BT948" s="498"/>
      <c r="BU948" s="498"/>
      <c r="BV948" s="498"/>
      <c r="BW948" s="498"/>
      <c r="BX948" s="498"/>
      <c r="BY948" s="498"/>
      <c r="BZ948" s="498"/>
      <c r="CA948" s="498"/>
      <c r="CB948" s="498"/>
      <c r="CC948" s="498"/>
      <c r="CD948" s="498"/>
      <c r="CE948" s="498"/>
      <c r="CF948" s="498"/>
      <c r="CG948" s="498"/>
      <c r="CH948" s="498"/>
      <c r="CI948" s="498"/>
      <c r="CJ948" s="498"/>
      <c r="CK948" s="498"/>
      <c r="CL948" s="498"/>
      <c r="CM948" s="498"/>
      <c r="CN948" s="498"/>
      <c r="CO948" s="498"/>
      <c r="CP948" s="498"/>
      <c r="CQ948" s="498"/>
      <c r="CR948" s="498"/>
      <c r="CS948" s="498"/>
      <c r="CT948" s="498"/>
      <c r="CU948" s="498"/>
      <c r="CV948" s="498"/>
      <c r="CW948" s="498"/>
      <c r="CX948" s="498"/>
      <c r="CY948" s="498"/>
      <c r="CZ948" s="498"/>
      <c r="DA948" s="498"/>
      <c r="DB948" s="498"/>
      <c r="DC948" s="498"/>
      <c r="DD948" s="498"/>
      <c r="DE948" s="498"/>
      <c r="DF948" s="498"/>
      <c r="DG948" s="115"/>
    </row>
    <row r="949" spans="1:111" ht="9" customHeight="1">
      <c r="A949"/>
      <c r="B949" s="499" t="str">
        <f>IF($Z$32&gt;=13,"Nome da Empresa ou Nº da Ata","")</f>
        <v/>
      </c>
      <c r="C949" s="499"/>
      <c r="D949" s="499"/>
      <c r="E949" s="499"/>
      <c r="F949" s="499"/>
      <c r="G949" s="499"/>
      <c r="H949" s="499"/>
      <c r="I949" s="499"/>
      <c r="J949" s="499"/>
      <c r="K949" s="499"/>
      <c r="L949" s="499"/>
      <c r="M949" s="499"/>
      <c r="N949" s="499"/>
      <c r="O949" s="499"/>
      <c r="P949" s="499"/>
      <c r="Q949" s="499"/>
      <c r="R949" s="499"/>
      <c r="S949" s="499"/>
      <c r="T949" s="499"/>
      <c r="U949" s="499"/>
      <c r="V949" s="499"/>
      <c r="W949" s="499"/>
      <c r="X949" s="499" t="str">
        <f>IF($Z$32&gt;=13,"CNPJ / CPF","")</f>
        <v/>
      </c>
      <c r="Y949" s="499"/>
      <c r="Z949" s="499"/>
      <c r="AA949" s="499"/>
      <c r="AB949" s="499"/>
      <c r="AC949" s="499"/>
      <c r="AD949" s="499"/>
      <c r="AE949" s="499"/>
      <c r="AF949" s="499"/>
      <c r="AG949" s="499"/>
      <c r="AH949" s="499" t="str">
        <f>IF($Z$32&gt;=13,"Qtde","")</f>
        <v/>
      </c>
      <c r="AI949" s="499"/>
      <c r="AJ949" s="499"/>
      <c r="AK949" s="499"/>
      <c r="AL949" s="499" t="str">
        <f>IF($Z$32&gt;=13,"Valor Unitário (R$)","")</f>
        <v/>
      </c>
      <c r="AM949" s="499"/>
      <c r="AN949" s="499"/>
      <c r="AO949" s="499"/>
      <c r="AP949" s="499"/>
      <c r="AQ949" s="499"/>
      <c r="AR949" s="499"/>
      <c r="AS949" s="499"/>
      <c r="AT949" s="499" t="str">
        <f>IF($Z$32&gt;=13,"Valor Total (R$)","")</f>
        <v/>
      </c>
      <c r="AU949" s="499"/>
      <c r="AV949" s="499"/>
      <c r="AW949" s="499"/>
      <c r="AX949" s="499"/>
      <c r="AY949" s="499"/>
      <c r="AZ949" s="499"/>
      <c r="BA949" s="499"/>
      <c r="BB949"/>
      <c r="BC949" s="115"/>
      <c r="BD949" s="115"/>
      <c r="BE949" s="115"/>
      <c r="BF949" s="115"/>
      <c r="BG949" s="115"/>
      <c r="BH949" s="498"/>
      <c r="BI949" s="498"/>
      <c r="BJ949" s="498"/>
      <c r="BK949" s="498"/>
      <c r="BL949" s="498"/>
      <c r="BM949" s="498"/>
      <c r="BN949" s="498"/>
      <c r="BO949" s="498"/>
      <c r="BP949" s="498"/>
      <c r="BQ949" s="498"/>
      <c r="BR949" s="498"/>
      <c r="BS949" s="498"/>
      <c r="BT949" s="498"/>
      <c r="BU949" s="498"/>
      <c r="BV949" s="498"/>
      <c r="BW949" s="498"/>
      <c r="BX949" s="498"/>
      <c r="BY949" s="498"/>
      <c r="BZ949" s="498"/>
      <c r="CA949" s="498"/>
      <c r="CB949" s="498"/>
      <c r="CC949" s="498"/>
      <c r="CD949" s="498"/>
      <c r="CE949" s="498"/>
      <c r="CF949" s="498"/>
      <c r="CG949" s="498"/>
      <c r="CH949" s="498"/>
      <c r="CI949" s="498"/>
      <c r="CJ949" s="498"/>
      <c r="CK949" s="498"/>
      <c r="CL949" s="498"/>
      <c r="CM949" s="498"/>
      <c r="CN949" s="498"/>
      <c r="CO949" s="498"/>
      <c r="CP949" s="498"/>
      <c r="CQ949" s="498"/>
      <c r="CR949" s="498"/>
      <c r="CS949" s="498"/>
      <c r="CT949" s="498"/>
      <c r="CU949" s="498"/>
      <c r="CV949" s="498"/>
      <c r="CW949" s="498"/>
      <c r="CX949" s="498"/>
      <c r="CY949" s="498"/>
      <c r="CZ949" s="498"/>
      <c r="DA949" s="498"/>
      <c r="DB949" s="498"/>
      <c r="DC949" s="498"/>
      <c r="DD949" s="498"/>
      <c r="DE949" s="498"/>
      <c r="DF949" s="498"/>
      <c r="DG949" s="115"/>
    </row>
    <row r="950" spans="1:111" ht="9" customHeight="1">
      <c r="A950"/>
      <c r="B950" s="499"/>
      <c r="C950" s="499"/>
      <c r="D950" s="499"/>
      <c r="E950" s="499"/>
      <c r="F950" s="499"/>
      <c r="G950" s="499"/>
      <c r="H950" s="499"/>
      <c r="I950" s="499"/>
      <c r="J950" s="499"/>
      <c r="K950" s="499"/>
      <c r="L950" s="499"/>
      <c r="M950" s="499"/>
      <c r="N950" s="499"/>
      <c r="O950" s="499"/>
      <c r="P950" s="499"/>
      <c r="Q950" s="499"/>
      <c r="R950" s="499"/>
      <c r="S950" s="499"/>
      <c r="T950" s="499"/>
      <c r="U950" s="499"/>
      <c r="V950" s="499"/>
      <c r="W950" s="499"/>
      <c r="X950" s="499"/>
      <c r="Y950" s="499"/>
      <c r="Z950" s="499"/>
      <c r="AA950" s="499"/>
      <c r="AB950" s="499"/>
      <c r="AC950" s="499"/>
      <c r="AD950" s="499"/>
      <c r="AE950" s="499"/>
      <c r="AF950" s="499"/>
      <c r="AG950" s="499"/>
      <c r="AH950" s="499"/>
      <c r="AI950" s="499"/>
      <c r="AJ950" s="499"/>
      <c r="AK950" s="499"/>
      <c r="AL950" s="499"/>
      <c r="AM950" s="499"/>
      <c r="AN950" s="499"/>
      <c r="AO950" s="499"/>
      <c r="AP950" s="499"/>
      <c r="AQ950" s="499"/>
      <c r="AR950" s="499"/>
      <c r="AS950" s="499"/>
      <c r="AT950" s="499"/>
      <c r="AU950" s="499"/>
      <c r="AV950" s="499"/>
      <c r="AW950" s="499"/>
      <c r="AX950" s="499"/>
      <c r="AY950" s="499"/>
      <c r="AZ950" s="499"/>
      <c r="BA950" s="499"/>
      <c r="BB950" s="176" t="e">
        <f>AVERAGE(AL951:AS953)</f>
        <v>#DIV/0!</v>
      </c>
      <c r="BC950" s="115"/>
      <c r="BD950" s="115"/>
      <c r="BE950" s="115"/>
      <c r="BF950" s="115"/>
      <c r="BG950" s="115"/>
      <c r="BH950" s="498"/>
      <c r="BI950" s="498"/>
      <c r="BJ950" s="498"/>
      <c r="BK950" s="498"/>
      <c r="BL950" s="498"/>
      <c r="BM950" s="498"/>
      <c r="BN950" s="498"/>
      <c r="BO950" s="498"/>
      <c r="BP950" s="498"/>
      <c r="BQ950" s="498"/>
      <c r="BR950" s="498"/>
      <c r="BS950" s="498"/>
      <c r="BT950" s="498"/>
      <c r="BU950" s="498"/>
      <c r="BV950" s="498"/>
      <c r="BW950" s="498"/>
      <c r="BX950" s="498"/>
      <c r="BY950" s="498"/>
      <c r="BZ950" s="498"/>
      <c r="CA950" s="498"/>
      <c r="CB950" s="498"/>
      <c r="CC950" s="498"/>
      <c r="CD950" s="498"/>
      <c r="CE950" s="498"/>
      <c r="CF950" s="498"/>
      <c r="CG950" s="498"/>
      <c r="CH950" s="498"/>
      <c r="CI950" s="498"/>
      <c r="CJ950" s="498"/>
      <c r="CK950" s="498"/>
      <c r="CL950" s="498"/>
      <c r="CM950" s="498"/>
      <c r="CN950" s="498"/>
      <c r="CO950" s="498"/>
      <c r="CP950" s="498"/>
      <c r="CQ950" s="498"/>
      <c r="CR950" s="498"/>
      <c r="CS950" s="498"/>
      <c r="CT950" s="498"/>
      <c r="CU950" s="498"/>
      <c r="CV950" s="498"/>
      <c r="CW950" s="498"/>
      <c r="CX950" s="498"/>
      <c r="CY950" s="498"/>
      <c r="CZ950" s="498"/>
      <c r="DA950" s="498"/>
      <c r="DB950" s="498"/>
      <c r="DC950" s="498"/>
      <c r="DD950" s="498"/>
      <c r="DE950" s="498"/>
      <c r="DF950" s="498"/>
      <c r="DG950" s="115"/>
    </row>
    <row r="951" spans="1:111" ht="18" customHeight="1">
      <c r="A951"/>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486"/>
      <c r="Y951" s="486"/>
      <c r="Z951" s="486"/>
      <c r="AA951" s="486"/>
      <c r="AB951" s="486"/>
      <c r="AC951" s="486"/>
      <c r="AD951" s="486"/>
      <c r="AE951" s="486"/>
      <c r="AF951" s="486"/>
      <c r="AG951" s="486"/>
      <c r="AH951" s="417"/>
      <c r="AI951" s="417"/>
      <c r="AJ951" s="417"/>
      <c r="AK951" s="417"/>
      <c r="AL951" s="419"/>
      <c r="AM951" s="419"/>
      <c r="AN951" s="419"/>
      <c r="AO951" s="419"/>
      <c r="AP951" s="419"/>
      <c r="AQ951" s="419"/>
      <c r="AR951" s="419"/>
      <c r="AS951" s="419"/>
      <c r="AT951" s="487" t="str">
        <f>IF($Z$32&gt;=13,(AH951*AL951),"")</f>
        <v/>
      </c>
      <c r="AU951" s="487"/>
      <c r="AV951" s="487"/>
      <c r="AW951" s="487"/>
      <c r="AX951" s="487"/>
      <c r="AY951" s="487"/>
      <c r="AZ951" s="487"/>
      <c r="BA951" s="487"/>
      <c r="BB951"/>
      <c r="BC951" s="115"/>
      <c r="BD951" s="115"/>
      <c r="BE951" s="115"/>
      <c r="BF951" s="115"/>
      <c r="BG951" s="115"/>
      <c r="BH951" s="498"/>
      <c r="BI951" s="498"/>
      <c r="BJ951" s="498"/>
      <c r="BK951" s="498"/>
      <c r="BL951" s="498"/>
      <c r="BM951" s="498"/>
      <c r="BN951" s="498"/>
      <c r="BO951" s="498"/>
      <c r="BP951" s="498"/>
      <c r="BQ951" s="498"/>
      <c r="BR951" s="498"/>
      <c r="BS951" s="498"/>
      <c r="BT951" s="498"/>
      <c r="BU951" s="498"/>
      <c r="BV951" s="498"/>
      <c r="BW951" s="498"/>
      <c r="BX951" s="498"/>
      <c r="BY951" s="498"/>
      <c r="BZ951" s="498"/>
      <c r="CA951" s="498"/>
      <c r="CB951" s="498"/>
      <c r="CC951" s="498"/>
      <c r="CD951" s="498"/>
      <c r="CE951" s="498"/>
      <c r="CF951" s="498"/>
      <c r="CG951" s="498"/>
      <c r="CH951" s="498"/>
      <c r="CI951" s="498"/>
      <c r="CJ951" s="498"/>
      <c r="CK951" s="498"/>
      <c r="CL951" s="498"/>
      <c r="CM951" s="498"/>
      <c r="CN951" s="498"/>
      <c r="CO951" s="498"/>
      <c r="CP951" s="498"/>
      <c r="CQ951" s="498"/>
      <c r="CR951" s="498"/>
      <c r="CS951" s="498"/>
      <c r="CT951" s="498"/>
      <c r="CU951" s="498"/>
      <c r="CV951" s="498"/>
      <c r="CW951" s="498"/>
      <c r="CX951" s="498"/>
      <c r="CY951" s="498"/>
      <c r="CZ951" s="498"/>
      <c r="DA951" s="498"/>
      <c r="DB951" s="498"/>
      <c r="DC951" s="498"/>
      <c r="DD951" s="498"/>
      <c r="DE951" s="498"/>
      <c r="DF951" s="498"/>
      <c r="DG951" s="115"/>
    </row>
    <row r="952" spans="1:111" ht="18" customHeight="1">
      <c r="A952"/>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486"/>
      <c r="Y952" s="486"/>
      <c r="Z952" s="486"/>
      <c r="AA952" s="486"/>
      <c r="AB952" s="486"/>
      <c r="AC952" s="486"/>
      <c r="AD952" s="486"/>
      <c r="AE952" s="486"/>
      <c r="AF952" s="486"/>
      <c r="AG952" s="486"/>
      <c r="AH952" s="417"/>
      <c r="AI952" s="417"/>
      <c r="AJ952" s="417"/>
      <c r="AK952" s="417"/>
      <c r="AL952" s="419"/>
      <c r="AM952" s="419"/>
      <c r="AN952" s="419"/>
      <c r="AO952" s="419"/>
      <c r="AP952" s="419"/>
      <c r="AQ952" s="419"/>
      <c r="AR952" s="419"/>
      <c r="AS952" s="419"/>
      <c r="AT952" s="487" t="str">
        <f>IF($Z$32&gt;=13,(AH952*AL952),"")</f>
        <v/>
      </c>
      <c r="AU952" s="487"/>
      <c r="AV952" s="487"/>
      <c r="AW952" s="487"/>
      <c r="AX952" s="487"/>
      <c r="AY952" s="487"/>
      <c r="AZ952" s="487"/>
      <c r="BA952" s="487"/>
      <c r="BB952"/>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c r="BY952" s="115"/>
      <c r="BZ952" s="115"/>
      <c r="CA952" s="115"/>
      <c r="CB952" s="115"/>
      <c r="CC952" s="115"/>
      <c r="CD952" s="115"/>
      <c r="CE952" s="115"/>
      <c r="CF952" s="115"/>
      <c r="CG952" s="115"/>
      <c r="CH952" s="115"/>
      <c r="CI952" s="115"/>
      <c r="CJ952" s="115"/>
      <c r="CK952" s="115"/>
      <c r="CL952" s="115"/>
      <c r="CM952" s="115"/>
      <c r="CN952" s="115"/>
      <c r="CO952" s="115"/>
      <c r="CP952" s="115"/>
      <c r="CQ952" s="115"/>
      <c r="CR952" s="115"/>
      <c r="CS952" s="115"/>
      <c r="CT952" s="115"/>
      <c r="CU952" s="115"/>
      <c r="CV952" s="115"/>
      <c r="CW952" s="115"/>
      <c r="CX952" s="115"/>
      <c r="CY952" s="115"/>
      <c r="CZ952" s="115"/>
      <c r="DA952" s="115"/>
      <c r="DB952" s="115"/>
      <c r="DC952" s="115"/>
      <c r="DD952" s="115"/>
      <c r="DE952" s="115"/>
      <c r="DF952" s="115"/>
      <c r="DG952" s="115"/>
    </row>
    <row r="953" spans="1:111" ht="18" customHeight="1">
      <c r="A95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486"/>
      <c r="Y953" s="486"/>
      <c r="Z953" s="486"/>
      <c r="AA953" s="486"/>
      <c r="AB953" s="486"/>
      <c r="AC953" s="486"/>
      <c r="AD953" s="486"/>
      <c r="AE953" s="486"/>
      <c r="AF953" s="486"/>
      <c r="AG953" s="486"/>
      <c r="AH953" s="417"/>
      <c r="AI953" s="417"/>
      <c r="AJ953" s="417"/>
      <c r="AK953" s="417"/>
      <c r="AL953" s="419"/>
      <c r="AM953" s="419"/>
      <c r="AN953" s="419"/>
      <c r="AO953" s="419"/>
      <c r="AP953" s="419"/>
      <c r="AQ953" s="419"/>
      <c r="AR953" s="419"/>
      <c r="AS953" s="419"/>
      <c r="AT953" s="487" t="str">
        <f>IF($Z$32&gt;=13,(AH953*AL953),"")</f>
        <v/>
      </c>
      <c r="AU953" s="487"/>
      <c r="AV953" s="487"/>
      <c r="AW953" s="487"/>
      <c r="AX953" s="487"/>
      <c r="AY953" s="487"/>
      <c r="AZ953" s="487"/>
      <c r="BA953" s="487"/>
      <c r="BB953"/>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c r="BY953" s="115"/>
      <c r="BZ953" s="115"/>
      <c r="CA953" s="115"/>
      <c r="CB953" s="115"/>
      <c r="CC953" s="115"/>
      <c r="CD953" s="115"/>
      <c r="CE953" s="115"/>
      <c r="CF953" s="115"/>
      <c r="CG953" s="115"/>
      <c r="CH953" s="115"/>
      <c r="CI953" s="115"/>
      <c r="CJ953" s="115"/>
      <c r="CK953" s="115"/>
      <c r="CL953" s="115"/>
      <c r="CM953" s="115"/>
      <c r="CN953" s="115"/>
      <c r="CO953" s="115"/>
      <c r="CP953" s="115"/>
      <c r="CQ953" s="115"/>
      <c r="CR953" s="115"/>
      <c r="CS953" s="115"/>
      <c r="CT953" s="115"/>
      <c r="CU953" s="115"/>
      <c r="CV953" s="115"/>
      <c r="CW953" s="115"/>
      <c r="CX953" s="115"/>
      <c r="CY953" s="115"/>
      <c r="CZ953" s="115"/>
      <c r="DA953" s="115"/>
      <c r="DB953" s="115"/>
      <c r="DC953" s="115"/>
      <c r="DD953" s="115"/>
      <c r="DE953" s="115"/>
      <c r="DF953" s="115"/>
      <c r="DG953" s="115"/>
    </row>
    <row r="954" spans="1:111" ht="15" customHeight="1">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500" t="str">
        <f>IF(B951="","",IF(AL952="",AT951,IF(AL953="",AVERAGE(AT951:BA952),AVERAGE(AT951:AT953))))</f>
        <v/>
      </c>
      <c r="AU954" s="500"/>
      <c r="AV954" s="500"/>
      <c r="AW954" s="500"/>
      <c r="AX954" s="500"/>
      <c r="AY954" s="500"/>
      <c r="AZ954" s="500"/>
      <c r="BA954" s="500"/>
      <c r="BB954"/>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c r="BY954" s="115"/>
      <c r="BZ954" s="115"/>
      <c r="CA954" s="115"/>
      <c r="CB954" s="115"/>
      <c r="CC954" s="115"/>
      <c r="CD954" s="115"/>
      <c r="CE954" s="115"/>
      <c r="CF954" s="115"/>
      <c r="CG954" s="115"/>
      <c r="CH954" s="115"/>
      <c r="CI954" s="115"/>
      <c r="CJ954" s="115"/>
      <c r="CK954" s="115"/>
      <c r="CL954" s="115"/>
      <c r="CM954" s="115"/>
      <c r="CN954" s="115"/>
      <c r="CO954" s="115"/>
      <c r="CP954" s="115"/>
      <c r="CQ954" s="115"/>
      <c r="CR954" s="115"/>
      <c r="CS954" s="115"/>
      <c r="CT954" s="115"/>
      <c r="CU954" s="115"/>
      <c r="CV954" s="115"/>
      <c r="CW954" s="115"/>
      <c r="CX954" s="115"/>
      <c r="CY954" s="115"/>
      <c r="CZ954" s="115"/>
      <c r="DA954" s="115"/>
      <c r="DB954" s="115"/>
      <c r="DC954" s="115"/>
      <c r="DD954" s="115"/>
      <c r="DE954" s="115"/>
      <c r="DF954" s="115"/>
      <c r="DG954" s="115"/>
    </row>
    <row r="955" spans="1:111" ht="15" customHeight="1">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c r="BY955" s="115"/>
      <c r="BZ955" s="115"/>
      <c r="CA955" s="115"/>
      <c r="CB955" s="115"/>
      <c r="CC955" s="115"/>
      <c r="CD955" s="115"/>
      <c r="CE955" s="115"/>
      <c r="CF955" s="115"/>
      <c r="CG955" s="115"/>
      <c r="CH955" s="115"/>
      <c r="CI955" s="115"/>
      <c r="CJ955" s="115"/>
      <c r="CK955" s="115"/>
      <c r="CL955" s="115"/>
      <c r="CM955" s="115"/>
      <c r="CN955" s="115"/>
      <c r="CO955" s="115"/>
      <c r="CP955" s="115"/>
      <c r="CQ955" s="115"/>
      <c r="CR955" s="115"/>
      <c r="CS955" s="115"/>
      <c r="CT955" s="115"/>
      <c r="CU955" s="115"/>
      <c r="CV955" s="115"/>
      <c r="CW955" s="115"/>
      <c r="CX955" s="115"/>
      <c r="CY955" s="115"/>
      <c r="CZ955" s="115"/>
      <c r="DA955" s="115"/>
      <c r="DB955" s="115"/>
      <c r="DC955" s="115"/>
      <c r="DD955" s="115"/>
      <c r="DE955" s="115"/>
      <c r="DF955" s="115"/>
      <c r="DG955" s="115"/>
    </row>
    <row r="956" spans="1:111" ht="9" customHeight="1">
      <c r="A956"/>
      <c r="B956" s="494" t="str">
        <f>IF($Z$32&gt;=24,"Item 24","")</f>
        <v/>
      </c>
      <c r="C956" s="495"/>
      <c r="D956" s="495"/>
      <c r="E956" s="495"/>
      <c r="F956" s="495"/>
      <c r="G956" s="495"/>
      <c r="H956" s="495"/>
      <c r="I956" s="495"/>
      <c r="J956" s="495"/>
      <c r="K956" s="495"/>
      <c r="L956" s="495"/>
      <c r="M956" s="495"/>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c r="BY956" s="115"/>
      <c r="BZ956" s="115"/>
      <c r="CA956" s="115"/>
      <c r="CB956" s="115"/>
      <c r="CC956" s="115"/>
      <c r="CD956" s="115"/>
      <c r="CE956" s="115"/>
      <c r="CF956" s="115"/>
      <c r="CG956" s="115"/>
      <c r="CH956" s="115"/>
      <c r="CI956" s="115"/>
      <c r="CJ956" s="115"/>
      <c r="CK956" s="115"/>
      <c r="CL956" s="115"/>
      <c r="CM956" s="115"/>
      <c r="CN956" s="115"/>
      <c r="CO956" s="115"/>
      <c r="CP956" s="115"/>
      <c r="CQ956" s="115"/>
      <c r="CR956" s="115"/>
      <c r="CS956" s="115"/>
      <c r="CT956" s="115"/>
      <c r="CU956" s="115"/>
      <c r="CV956" s="115"/>
      <c r="CW956" s="115"/>
      <c r="CX956" s="115"/>
      <c r="CY956" s="115"/>
      <c r="CZ956" s="115"/>
      <c r="DA956" s="115"/>
      <c r="DB956" s="115"/>
      <c r="DC956" s="115"/>
      <c r="DD956" s="115"/>
      <c r="DE956" s="115"/>
      <c r="DF956" s="115"/>
      <c r="DG956" s="115"/>
    </row>
    <row r="957" spans="1:111" ht="9" customHeight="1">
      <c r="A957"/>
      <c r="B957" s="495"/>
      <c r="C957" s="495"/>
      <c r="D957" s="495"/>
      <c r="E957" s="495"/>
      <c r="F957" s="495"/>
      <c r="G957" s="495"/>
      <c r="H957" s="495"/>
      <c r="I957" s="495"/>
      <c r="J957" s="495"/>
      <c r="K957" s="495"/>
      <c r="L957" s="495"/>
      <c r="M957" s="495"/>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c r="BY957" s="115"/>
      <c r="BZ957" s="115"/>
      <c r="CA957" s="115"/>
      <c r="CB957" s="115"/>
      <c r="CC957" s="115"/>
      <c r="CD957" s="115"/>
      <c r="CE957" s="115"/>
      <c r="CF957" s="115"/>
      <c r="CG957" s="115"/>
      <c r="CH957" s="115"/>
      <c r="CI957" s="115"/>
      <c r="CJ957" s="115"/>
      <c r="CK957" s="115"/>
      <c r="CL957" s="115"/>
      <c r="CM957" s="115"/>
      <c r="CN957" s="115"/>
      <c r="CO957" s="115"/>
      <c r="CP957" s="115"/>
      <c r="CQ957" s="115"/>
      <c r="CR957" s="115"/>
      <c r="CS957" s="115"/>
      <c r="CT957" s="115"/>
      <c r="CU957" s="115"/>
      <c r="CV957" s="115"/>
      <c r="CW957" s="115"/>
      <c r="CX957" s="115"/>
      <c r="CY957" s="115"/>
      <c r="CZ957" s="115"/>
      <c r="DA957" s="115"/>
      <c r="DB957" s="115"/>
      <c r="DC957" s="115"/>
      <c r="DD957" s="115"/>
      <c r="DE957" s="115"/>
      <c r="DF957" s="115"/>
      <c r="DG957" s="115"/>
    </row>
    <row r="958" spans="1:111" ht="4.5" customHeight="1">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c r="BY958" s="115"/>
      <c r="BZ958" s="115"/>
      <c r="CA958" s="115"/>
      <c r="CB958" s="115"/>
      <c r="CC958" s="115"/>
      <c r="CD958" s="115"/>
      <c r="CE958" s="115"/>
      <c r="CF958" s="115"/>
      <c r="CG958" s="115"/>
      <c r="CH958" s="115"/>
      <c r="CI958" s="115"/>
      <c r="CJ958" s="115"/>
      <c r="CK958" s="115"/>
      <c r="CL958" s="115"/>
      <c r="CM958" s="115"/>
      <c r="CN958" s="115"/>
      <c r="CO958" s="115"/>
      <c r="CP958" s="115"/>
      <c r="CQ958" s="115"/>
      <c r="CR958" s="115"/>
      <c r="CS958" s="115"/>
      <c r="CT958" s="115"/>
      <c r="CU958" s="115"/>
      <c r="CV958" s="115"/>
      <c r="CW958" s="115"/>
      <c r="CX958" s="115"/>
      <c r="CY958" s="115"/>
      <c r="CZ958" s="115"/>
      <c r="DA958" s="115"/>
      <c r="DB958" s="115"/>
      <c r="DC958" s="115"/>
      <c r="DD958" s="115"/>
      <c r="DE958" s="115"/>
      <c r="DF958" s="115"/>
      <c r="DG958" s="115"/>
    </row>
    <row r="959" spans="1:111" ht="9" customHeight="1">
      <c r="A959"/>
      <c r="B959" s="493" t="str">
        <f>IF(B956="","","Elemento de Despesa:")</f>
        <v/>
      </c>
      <c r="C959" s="493"/>
      <c r="D959" s="493"/>
      <c r="E959" s="493"/>
      <c r="F959" s="493"/>
      <c r="G959" s="493"/>
      <c r="H959" s="493"/>
      <c r="I959" s="493"/>
      <c r="J959" s="493"/>
      <c r="K959" s="493"/>
      <c r="L959" s="493"/>
      <c r="M959" s="493"/>
      <c r="N959" s="493"/>
      <c r="O959" s="241"/>
      <c r="P959" s="241"/>
      <c r="Q959" s="241"/>
      <c r="R959" s="241"/>
      <c r="S959" s="241"/>
      <c r="T959" s="241"/>
      <c r="U959" s="241"/>
      <c r="V959" s="241"/>
      <c r="W959" s="241"/>
      <c r="X959" s="241"/>
      <c r="Y959" s="241"/>
      <c r="Z959" s="241"/>
      <c r="AA959" s="241"/>
      <c r="AB959" s="241"/>
      <c r="AC959" s="241"/>
      <c r="AD959" s="241"/>
      <c r="AE959" s="241"/>
      <c r="AF959" s="241"/>
      <c r="AG959" s="241"/>
      <c r="AH959" s="241"/>
      <c r="AI959" s="241"/>
      <c r="AJ959" s="241"/>
      <c r="AK959" s="241"/>
      <c r="AL959" s="241"/>
      <c r="AM959" s="241"/>
      <c r="AN959" s="241"/>
      <c r="AO959" s="241"/>
      <c r="AP959" s="241"/>
      <c r="AQ959" s="241"/>
      <c r="AR959" s="241"/>
      <c r="AS959" s="241"/>
      <c r="AT959" s="241"/>
      <c r="AU959" s="241"/>
      <c r="AV959" s="241"/>
      <c r="AW959" s="241"/>
      <c r="AX959" s="241"/>
      <c r="AY959" s="241"/>
      <c r="AZ959" s="241"/>
      <c r="BA959" s="241"/>
      <c r="BB959"/>
      <c r="BC959" s="115"/>
      <c r="BD959" s="115"/>
      <c r="BE959" s="115"/>
      <c r="BF959" s="115"/>
      <c r="BG959" s="115"/>
      <c r="BH959" s="124"/>
      <c r="BI959" s="124"/>
      <c r="BJ959" s="124"/>
      <c r="BK959" s="124"/>
      <c r="BL959" s="124"/>
      <c r="BM959" s="124"/>
      <c r="BN959" s="124"/>
      <c r="BO959" s="124"/>
      <c r="BP959" s="124"/>
      <c r="BQ959" s="124"/>
      <c r="BR959" s="124"/>
      <c r="BS959" s="124"/>
      <c r="BT959" s="124"/>
      <c r="BU959" s="124"/>
      <c r="BV959" s="124"/>
      <c r="BW959" s="124"/>
      <c r="BX959" s="124"/>
      <c r="BY959" s="124"/>
      <c r="BZ959" s="124"/>
      <c r="CA959" s="124"/>
      <c r="CB959" s="124"/>
      <c r="CC959" s="124"/>
      <c r="CD959" s="124"/>
      <c r="CE959" s="124"/>
      <c r="CF959" s="124"/>
      <c r="CG959" s="124"/>
      <c r="CH959" s="124"/>
      <c r="CI959" s="124"/>
      <c r="CJ959" s="124"/>
      <c r="CK959" s="124"/>
      <c r="CL959" s="124"/>
      <c r="CM959" s="124"/>
      <c r="CN959" s="124"/>
      <c r="CO959" s="124"/>
      <c r="CP959" s="124"/>
      <c r="CQ959" s="124"/>
      <c r="CR959" s="124"/>
      <c r="CS959" s="124"/>
      <c r="CT959" s="124"/>
      <c r="CU959" s="124"/>
      <c r="CV959" s="124"/>
      <c r="CW959" s="124"/>
      <c r="CX959" s="124"/>
      <c r="CY959" s="124"/>
      <c r="CZ959" s="124"/>
      <c r="DA959" s="124"/>
      <c r="DB959" s="124"/>
      <c r="DC959" s="124"/>
      <c r="DD959" s="124"/>
      <c r="DE959" s="124"/>
      <c r="DF959" s="124"/>
      <c r="DG959" s="115"/>
    </row>
    <row r="960" spans="1:111" ht="9" customHeight="1">
      <c r="A960"/>
      <c r="B960" s="493"/>
      <c r="C960" s="493"/>
      <c r="D960" s="493"/>
      <c r="E960" s="493"/>
      <c r="F960" s="493"/>
      <c r="G960" s="493"/>
      <c r="H960" s="493"/>
      <c r="I960" s="493"/>
      <c r="J960" s="493"/>
      <c r="K960" s="493"/>
      <c r="L960" s="493"/>
      <c r="M960" s="493"/>
      <c r="N960" s="493"/>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241"/>
      <c r="AL960" s="241"/>
      <c r="AM960" s="241"/>
      <c r="AN960" s="241"/>
      <c r="AO960" s="241"/>
      <c r="AP960" s="241"/>
      <c r="AQ960" s="241"/>
      <c r="AR960" s="241"/>
      <c r="AS960" s="241"/>
      <c r="AT960" s="241"/>
      <c r="AU960" s="241"/>
      <c r="AV960" s="241"/>
      <c r="AW960" s="241"/>
      <c r="AX960" s="241"/>
      <c r="AY960" s="241"/>
      <c r="AZ960" s="241"/>
      <c r="BA960" s="241"/>
      <c r="BB960"/>
      <c r="BC960" s="115"/>
      <c r="BD960" s="115"/>
      <c r="BE960" s="115"/>
      <c r="BF960" s="115"/>
      <c r="BG960" s="115"/>
      <c r="BH960" s="124"/>
      <c r="BI960" s="124"/>
      <c r="BJ960" s="124"/>
      <c r="BK960" s="124"/>
      <c r="BL960" s="124"/>
      <c r="BM960" s="124"/>
      <c r="BN960" s="124"/>
      <c r="BO960" s="124"/>
      <c r="BP960" s="124"/>
      <c r="BQ960" s="124"/>
      <c r="BR960" s="124"/>
      <c r="BS960" s="124"/>
      <c r="BT960" s="124"/>
      <c r="BU960" s="124"/>
      <c r="BV960" s="124"/>
      <c r="BW960" s="124"/>
      <c r="BX960" s="124"/>
      <c r="BY960" s="124"/>
      <c r="BZ960" s="124"/>
      <c r="CA960" s="124"/>
      <c r="CB960" s="124"/>
      <c r="CC960" s="124"/>
      <c r="CD960" s="124"/>
      <c r="CE960" s="124"/>
      <c r="CF960" s="124"/>
      <c r="CG960" s="124"/>
      <c r="CH960" s="124"/>
      <c r="CI960" s="124"/>
      <c r="CJ960" s="124"/>
      <c r="CK960" s="124"/>
      <c r="CL960" s="124"/>
      <c r="CM960" s="124"/>
      <c r="CN960" s="124"/>
      <c r="CO960" s="124"/>
      <c r="CP960" s="124"/>
      <c r="CQ960" s="124"/>
      <c r="CR960" s="124"/>
      <c r="CS960" s="124"/>
      <c r="CT960" s="124"/>
      <c r="CU960" s="124"/>
      <c r="CV960" s="124"/>
      <c r="CW960" s="124"/>
      <c r="CX960" s="124"/>
      <c r="CY960" s="124"/>
      <c r="CZ960" s="124"/>
      <c r="DA960" s="124"/>
      <c r="DB960" s="124"/>
      <c r="DC960" s="124"/>
      <c r="DD960" s="124"/>
      <c r="DE960" s="124"/>
      <c r="DF960" s="124"/>
      <c r="DG960" s="115"/>
    </row>
    <row r="961" spans="1:111" ht="4.5" customHeight="1">
      <c r="A961"/>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49"/>
      <c r="AT961" s="49"/>
      <c r="AU961" s="49"/>
      <c r="AV961" s="49"/>
      <c r="AW961" s="49"/>
      <c r="AX961" s="49"/>
      <c r="AY961" s="49"/>
      <c r="AZ961" s="49"/>
      <c r="BA961" s="49"/>
      <c r="BB961"/>
      <c r="BC961" s="115"/>
      <c r="BD961" s="115"/>
      <c r="BE961" s="115"/>
      <c r="BF961" s="115"/>
      <c r="BG961" s="115"/>
      <c r="BH961" s="124"/>
      <c r="BI961" s="124"/>
      <c r="BJ961" s="124"/>
      <c r="BK961" s="124"/>
      <c r="BL961" s="124"/>
      <c r="BM961" s="124"/>
      <c r="BN961" s="124"/>
      <c r="BO961" s="124"/>
      <c r="BP961" s="124"/>
      <c r="BQ961" s="124"/>
      <c r="BR961" s="124"/>
      <c r="BS961" s="124"/>
      <c r="BT961" s="124"/>
      <c r="BU961" s="124"/>
      <c r="BV961" s="124"/>
      <c r="BW961" s="124"/>
      <c r="BX961" s="124"/>
      <c r="BY961" s="124"/>
      <c r="BZ961" s="124"/>
      <c r="CA961" s="124"/>
      <c r="CB961" s="124"/>
      <c r="CC961" s="124"/>
      <c r="CD961" s="124"/>
      <c r="CE961" s="124"/>
      <c r="CF961" s="124"/>
      <c r="CG961" s="124"/>
      <c r="CH961" s="124"/>
      <c r="CI961" s="124"/>
      <c r="CJ961" s="124"/>
      <c r="CK961" s="124"/>
      <c r="CL961" s="124"/>
      <c r="CM961" s="124"/>
      <c r="CN961" s="124"/>
      <c r="CO961" s="124"/>
      <c r="CP961" s="124"/>
      <c r="CQ961" s="124"/>
      <c r="CR961" s="124"/>
      <c r="CS961" s="124"/>
      <c r="CT961" s="124"/>
      <c r="CU961" s="124"/>
      <c r="CV961" s="124"/>
      <c r="CW961" s="124"/>
      <c r="CX961" s="124"/>
      <c r="CY961" s="124"/>
      <c r="CZ961" s="124"/>
      <c r="DA961" s="124"/>
      <c r="DB961" s="124"/>
      <c r="DC961" s="124"/>
      <c r="DD961" s="124"/>
      <c r="DE961" s="124"/>
      <c r="DF961" s="124"/>
      <c r="DG961" s="115"/>
    </row>
    <row r="962" spans="1:111" ht="9" customHeight="1">
      <c r="A962"/>
      <c r="B962" s="493" t="str">
        <f>IF(B956="","","Objeto:")</f>
        <v/>
      </c>
      <c r="C962" s="493"/>
      <c r="D962" s="493"/>
      <c r="E962" s="493"/>
      <c r="F962" s="493"/>
      <c r="G962" s="493"/>
      <c r="H962" s="493"/>
      <c r="I962" s="493"/>
      <c r="J962" s="493"/>
      <c r="K962" s="493"/>
      <c r="L962" s="493"/>
      <c r="M962" s="493"/>
      <c r="N962" s="493"/>
      <c r="O962" s="421"/>
      <c r="P962" s="421"/>
      <c r="Q962" s="421"/>
      <c r="R962" s="421"/>
      <c r="S962" s="421"/>
      <c r="T962" s="421"/>
      <c r="U962" s="421"/>
      <c r="V962" s="421"/>
      <c r="W962" s="421"/>
      <c r="X962" s="421"/>
      <c r="Y962" s="421"/>
      <c r="Z962" s="421"/>
      <c r="AA962" s="421"/>
      <c r="AB962" s="421"/>
      <c r="AC962" s="421"/>
      <c r="AD962" s="421"/>
      <c r="AE962" s="421"/>
      <c r="AF962" s="421"/>
      <c r="AG962" s="421"/>
      <c r="AH962" s="421"/>
      <c r="AI962" s="421"/>
      <c r="AJ962" s="421"/>
      <c r="AK962" s="421"/>
      <c r="AL962" s="421"/>
      <c r="AM962" s="421"/>
      <c r="AN962" s="421"/>
      <c r="AO962" s="421"/>
      <c r="AP962" s="421"/>
      <c r="AQ962" s="421"/>
      <c r="AR962" s="421"/>
      <c r="AS962" s="421"/>
      <c r="AT962" s="421"/>
      <c r="AU962" s="421"/>
      <c r="AV962" s="421"/>
      <c r="AW962" s="421"/>
      <c r="AX962" s="421"/>
      <c r="AY962" s="421"/>
      <c r="AZ962" s="421"/>
      <c r="BA962" s="421"/>
      <c r="BB962"/>
      <c r="BC962" s="115"/>
      <c r="BD962" s="115"/>
      <c r="BE962" s="115"/>
      <c r="BF962" s="115"/>
      <c r="BG962" s="115"/>
      <c r="BH962" s="124"/>
      <c r="BI962" s="124"/>
      <c r="BJ962" s="124"/>
      <c r="BK962" s="124"/>
      <c r="BL962" s="124"/>
      <c r="BM962" s="124"/>
      <c r="BN962" s="124"/>
      <c r="BO962" s="124"/>
      <c r="BP962" s="124"/>
      <c r="BQ962" s="124"/>
      <c r="BR962" s="124"/>
      <c r="BS962" s="124"/>
      <c r="BT962" s="124"/>
      <c r="BU962" s="124"/>
      <c r="BV962" s="124"/>
      <c r="BW962" s="124"/>
      <c r="BX962" s="124"/>
      <c r="BY962" s="124"/>
      <c r="BZ962" s="124"/>
      <c r="CA962" s="124"/>
      <c r="CB962" s="124"/>
      <c r="CC962" s="124"/>
      <c r="CD962" s="124"/>
      <c r="CE962" s="124"/>
      <c r="CF962" s="124"/>
      <c r="CG962" s="124"/>
      <c r="CH962" s="124"/>
      <c r="CI962" s="124"/>
      <c r="CJ962" s="124"/>
      <c r="CK962" s="124"/>
      <c r="CL962" s="124"/>
      <c r="CM962" s="124"/>
      <c r="CN962" s="124"/>
      <c r="CO962" s="124"/>
      <c r="CP962" s="124"/>
      <c r="CQ962" s="124"/>
      <c r="CR962" s="124"/>
      <c r="CS962" s="124"/>
      <c r="CT962" s="124"/>
      <c r="CU962" s="124"/>
      <c r="CV962" s="124"/>
      <c r="CW962" s="124"/>
      <c r="CX962" s="124"/>
      <c r="CY962" s="124"/>
      <c r="CZ962" s="124"/>
      <c r="DA962" s="124"/>
      <c r="DB962" s="124"/>
      <c r="DC962" s="124"/>
      <c r="DD962" s="124"/>
      <c r="DE962" s="124"/>
      <c r="DF962" s="124"/>
      <c r="DG962" s="115"/>
    </row>
    <row r="963" spans="1:111" ht="9" customHeight="1">
      <c r="A963"/>
      <c r="B963" s="493"/>
      <c r="C963" s="493"/>
      <c r="D963" s="493"/>
      <c r="E963" s="493"/>
      <c r="F963" s="493"/>
      <c r="G963" s="493"/>
      <c r="H963" s="493"/>
      <c r="I963" s="493"/>
      <c r="J963" s="493"/>
      <c r="K963" s="493"/>
      <c r="L963" s="493"/>
      <c r="M963" s="493"/>
      <c r="N963" s="493"/>
      <c r="O963" s="421"/>
      <c r="P963" s="421"/>
      <c r="Q963" s="421"/>
      <c r="R963" s="421"/>
      <c r="S963" s="421"/>
      <c r="T963" s="421"/>
      <c r="U963" s="421"/>
      <c r="V963" s="421"/>
      <c r="W963" s="421"/>
      <c r="X963" s="421"/>
      <c r="Y963" s="421"/>
      <c r="Z963" s="421"/>
      <c r="AA963" s="421"/>
      <c r="AB963" s="421"/>
      <c r="AC963" s="421"/>
      <c r="AD963" s="421"/>
      <c r="AE963" s="421"/>
      <c r="AF963" s="421"/>
      <c r="AG963" s="421"/>
      <c r="AH963" s="421"/>
      <c r="AI963" s="421"/>
      <c r="AJ963" s="421"/>
      <c r="AK963" s="421"/>
      <c r="AL963" s="421"/>
      <c r="AM963" s="421"/>
      <c r="AN963" s="421"/>
      <c r="AO963" s="421"/>
      <c r="AP963" s="421"/>
      <c r="AQ963" s="421"/>
      <c r="AR963" s="421"/>
      <c r="AS963" s="421"/>
      <c r="AT963" s="421"/>
      <c r="AU963" s="421"/>
      <c r="AV963" s="421"/>
      <c r="AW963" s="421"/>
      <c r="AX963" s="421"/>
      <c r="AY963" s="421"/>
      <c r="AZ963" s="421"/>
      <c r="BA963" s="421"/>
      <c r="BB963"/>
      <c r="BC963" s="115"/>
      <c r="BD963" s="115"/>
      <c r="BE963" s="115"/>
      <c r="BF963" s="115"/>
      <c r="BG963" s="115"/>
      <c r="BH963" s="124"/>
      <c r="BI963" s="124"/>
      <c r="BJ963" s="124"/>
      <c r="BK963" s="124"/>
      <c r="BL963" s="124"/>
      <c r="BM963" s="124"/>
      <c r="BN963" s="124"/>
      <c r="BO963" s="124"/>
      <c r="BP963" s="124"/>
      <c r="BQ963" s="124"/>
      <c r="BR963" s="124"/>
      <c r="BS963" s="124"/>
      <c r="BT963" s="124"/>
      <c r="BU963" s="124"/>
      <c r="BV963" s="124"/>
      <c r="BW963" s="124"/>
      <c r="BX963" s="124"/>
      <c r="BY963" s="124"/>
      <c r="BZ963" s="124"/>
      <c r="CA963" s="124"/>
      <c r="CB963" s="124"/>
      <c r="CC963" s="124"/>
      <c r="CD963" s="124"/>
      <c r="CE963" s="124"/>
      <c r="CF963" s="124"/>
      <c r="CG963" s="124"/>
      <c r="CH963" s="124"/>
      <c r="CI963" s="124"/>
      <c r="CJ963" s="124"/>
      <c r="CK963" s="124"/>
      <c r="CL963" s="124"/>
      <c r="CM963" s="124"/>
      <c r="CN963" s="124"/>
      <c r="CO963" s="124"/>
      <c r="CP963" s="124"/>
      <c r="CQ963" s="124"/>
      <c r="CR963" s="124"/>
      <c r="CS963" s="124"/>
      <c r="CT963" s="124"/>
      <c r="CU963" s="124"/>
      <c r="CV963" s="124"/>
      <c r="CW963" s="124"/>
      <c r="CX963" s="124"/>
      <c r="CY963" s="124"/>
      <c r="CZ963" s="124"/>
      <c r="DA963" s="124"/>
      <c r="DB963" s="124"/>
      <c r="DC963" s="124"/>
      <c r="DD963" s="124"/>
      <c r="DE963" s="124"/>
      <c r="DF963" s="124"/>
      <c r="DG963" s="115"/>
    </row>
    <row r="964" spans="1:111" ht="9" customHeight="1">
      <c r="A964"/>
      <c r="B964" s="143"/>
      <c r="C964" s="143"/>
      <c r="D964" s="143"/>
      <c r="E964" s="143"/>
      <c r="F964" s="143"/>
      <c r="G964" s="143"/>
      <c r="H964" s="143"/>
      <c r="I964" s="143"/>
      <c r="J964" s="143"/>
      <c r="K964" s="143"/>
      <c r="L964" s="143"/>
      <c r="M964" s="143"/>
      <c r="N964" s="143"/>
      <c r="O964" s="421"/>
      <c r="P964" s="421"/>
      <c r="Q964" s="421"/>
      <c r="R964" s="421"/>
      <c r="S964" s="421"/>
      <c r="T964" s="421"/>
      <c r="U964" s="421"/>
      <c r="V964" s="421"/>
      <c r="W964" s="421"/>
      <c r="X964" s="421"/>
      <c r="Y964" s="421"/>
      <c r="Z964" s="421"/>
      <c r="AA964" s="421"/>
      <c r="AB964" s="421"/>
      <c r="AC964" s="421"/>
      <c r="AD964" s="421"/>
      <c r="AE964" s="421"/>
      <c r="AF964" s="421"/>
      <c r="AG964" s="421"/>
      <c r="AH964" s="421"/>
      <c r="AI964" s="421"/>
      <c r="AJ964" s="421"/>
      <c r="AK964" s="421"/>
      <c r="AL964" s="421"/>
      <c r="AM964" s="421"/>
      <c r="AN964" s="421"/>
      <c r="AO964" s="421"/>
      <c r="AP964" s="421"/>
      <c r="AQ964" s="421"/>
      <c r="AR964" s="421"/>
      <c r="AS964" s="421"/>
      <c r="AT964" s="421"/>
      <c r="AU964" s="421"/>
      <c r="AV964" s="421"/>
      <c r="AW964" s="421"/>
      <c r="AX964" s="421"/>
      <c r="AY964" s="421"/>
      <c r="AZ964" s="421"/>
      <c r="BA964" s="421"/>
      <c r="BB964"/>
      <c r="BC964" s="115"/>
      <c r="BD964" s="115"/>
      <c r="BE964" s="115"/>
      <c r="BF964" s="115"/>
      <c r="BG964" s="115"/>
      <c r="BH964" s="138"/>
      <c r="BI964" s="138"/>
      <c r="BJ964" s="138"/>
      <c r="BK964" s="138"/>
      <c r="BL964" s="138"/>
      <c r="BM964" s="138"/>
      <c r="BN964" s="138"/>
      <c r="BO964" s="138"/>
      <c r="BP964" s="138"/>
      <c r="BQ964" s="138"/>
      <c r="BR964" s="138"/>
      <c r="BS964" s="138"/>
      <c r="BT964" s="138"/>
      <c r="BU964" s="138"/>
      <c r="BV964" s="138"/>
      <c r="BW964" s="138"/>
      <c r="BX964" s="138"/>
      <c r="BY964" s="138"/>
      <c r="BZ964" s="138"/>
      <c r="CA964" s="138"/>
      <c r="CB964" s="138"/>
      <c r="CC964" s="138"/>
      <c r="CD964" s="138"/>
      <c r="CE964" s="138"/>
      <c r="CF964" s="138"/>
      <c r="CG964" s="138"/>
      <c r="CH964" s="138"/>
      <c r="CI964" s="138"/>
      <c r="CJ964" s="138"/>
      <c r="CK964" s="138"/>
      <c r="CL964" s="138"/>
      <c r="CM964" s="138"/>
      <c r="CN964" s="138"/>
      <c r="CO964" s="138"/>
      <c r="CP964" s="138"/>
      <c r="CQ964" s="138"/>
      <c r="CR964" s="138"/>
      <c r="CS964" s="138"/>
      <c r="CT964" s="138"/>
      <c r="CU964" s="138"/>
      <c r="CV964" s="138"/>
      <c r="CW964" s="138"/>
      <c r="CX964" s="138"/>
      <c r="CY964" s="138"/>
      <c r="CZ964" s="138"/>
      <c r="DA964" s="138"/>
      <c r="DB964" s="138"/>
      <c r="DC964" s="138"/>
      <c r="DD964" s="138"/>
      <c r="DE964" s="138"/>
      <c r="DF964" s="138"/>
      <c r="DG964" s="115"/>
    </row>
    <row r="965" spans="1:111" ht="9" customHeight="1">
      <c r="A965"/>
      <c r="B965" s="49"/>
      <c r="C965" s="49"/>
      <c r="D965" s="49"/>
      <c r="E965" s="49"/>
      <c r="F965" s="49"/>
      <c r="G965" s="49"/>
      <c r="H965" s="49"/>
      <c r="I965" s="49"/>
      <c r="J965" s="49"/>
      <c r="K965" s="49"/>
      <c r="L965" s="49"/>
      <c r="M965" s="49"/>
      <c r="N965" s="49"/>
      <c r="O965" s="421"/>
      <c r="P965" s="421"/>
      <c r="Q965" s="421"/>
      <c r="R965" s="421"/>
      <c r="S965" s="421"/>
      <c r="T965" s="421"/>
      <c r="U965" s="421"/>
      <c r="V965" s="421"/>
      <c r="W965" s="421"/>
      <c r="X965" s="421"/>
      <c r="Y965" s="421"/>
      <c r="Z965" s="421"/>
      <c r="AA965" s="421"/>
      <c r="AB965" s="421"/>
      <c r="AC965" s="421"/>
      <c r="AD965" s="421"/>
      <c r="AE965" s="421"/>
      <c r="AF965" s="421"/>
      <c r="AG965" s="421"/>
      <c r="AH965" s="421"/>
      <c r="AI965" s="421"/>
      <c r="AJ965" s="421"/>
      <c r="AK965" s="421"/>
      <c r="AL965" s="421"/>
      <c r="AM965" s="421"/>
      <c r="AN965" s="421"/>
      <c r="AO965" s="421"/>
      <c r="AP965" s="421"/>
      <c r="AQ965" s="421"/>
      <c r="AR965" s="421"/>
      <c r="AS965" s="421"/>
      <c r="AT965" s="421"/>
      <c r="AU965" s="421"/>
      <c r="AV965" s="421"/>
      <c r="AW965" s="421"/>
      <c r="AX965" s="421"/>
      <c r="AY965" s="421"/>
      <c r="AZ965" s="421"/>
      <c r="BA965" s="421"/>
      <c r="BB96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c r="BY965" s="115"/>
      <c r="BZ965" s="115"/>
      <c r="CA965" s="115"/>
      <c r="CB965" s="115"/>
      <c r="CC965" s="115"/>
      <c r="CD965" s="115"/>
      <c r="CE965" s="115"/>
      <c r="CF965" s="115"/>
      <c r="CG965" s="115"/>
      <c r="CH965" s="115"/>
      <c r="CI965" s="115"/>
      <c r="CJ965" s="115"/>
      <c r="CK965" s="115"/>
      <c r="CL965" s="115"/>
      <c r="CM965" s="115"/>
      <c r="CN965" s="115"/>
      <c r="CO965" s="115"/>
      <c r="CP965" s="115"/>
      <c r="CQ965" s="115"/>
      <c r="CR965" s="115"/>
      <c r="CS965" s="115"/>
      <c r="CT965" s="115"/>
      <c r="CU965" s="115"/>
      <c r="CV965" s="115"/>
      <c r="CW965" s="115"/>
      <c r="CX965" s="115"/>
      <c r="CY965" s="115"/>
      <c r="CZ965" s="115"/>
      <c r="DA965" s="115"/>
      <c r="DB965" s="115"/>
      <c r="DC965" s="115"/>
      <c r="DD965" s="115"/>
      <c r="DE965" s="115"/>
      <c r="DF965" s="115"/>
      <c r="DG965" s="115"/>
    </row>
    <row r="966" spans="1:111" ht="4.5" customHeight="1">
      <c r="A966"/>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49"/>
      <c r="AW966" s="49"/>
      <c r="AX966" s="49"/>
      <c r="AY966" s="49"/>
      <c r="AZ966" s="49"/>
      <c r="BA966" s="49"/>
      <c r="BB966"/>
      <c r="BC966" s="115"/>
      <c r="BD966" s="115"/>
      <c r="BE966" s="115"/>
      <c r="BF966" s="115"/>
      <c r="BG966" s="115"/>
      <c r="BH966" s="124"/>
      <c r="BI966" s="124"/>
      <c r="BJ966" s="124"/>
      <c r="BK966" s="124"/>
      <c r="BL966" s="124"/>
      <c r="BM966" s="124"/>
      <c r="BN966" s="124"/>
      <c r="BO966" s="124"/>
      <c r="BP966" s="124"/>
      <c r="BQ966" s="124"/>
      <c r="BR966" s="124"/>
      <c r="BS966" s="124"/>
      <c r="BT966" s="124"/>
      <c r="BU966" s="124"/>
      <c r="BV966" s="124"/>
      <c r="BW966" s="124"/>
      <c r="BX966" s="124"/>
      <c r="BY966" s="124"/>
      <c r="BZ966" s="124"/>
      <c r="CA966" s="124"/>
      <c r="CB966" s="124"/>
      <c r="CC966" s="124"/>
      <c r="CD966" s="124"/>
      <c r="CE966" s="124"/>
      <c r="CF966" s="124"/>
      <c r="CG966" s="124"/>
      <c r="CH966" s="124"/>
      <c r="CI966" s="124"/>
      <c r="CJ966" s="124"/>
      <c r="CK966" s="124"/>
      <c r="CL966" s="124"/>
      <c r="CM966" s="124"/>
      <c r="CN966" s="124"/>
      <c r="CO966" s="124"/>
      <c r="CP966" s="124"/>
      <c r="CQ966" s="124"/>
      <c r="CR966" s="124"/>
      <c r="CS966" s="124"/>
      <c r="CT966" s="124"/>
      <c r="CU966" s="124"/>
      <c r="CV966" s="124"/>
      <c r="CW966" s="124"/>
      <c r="CX966" s="124"/>
      <c r="CY966" s="124"/>
      <c r="CZ966" s="124"/>
      <c r="DA966" s="124"/>
      <c r="DB966" s="124"/>
      <c r="DC966" s="124"/>
      <c r="DD966" s="124"/>
      <c r="DE966" s="124"/>
      <c r="DF966" s="124"/>
      <c r="DG966" s="115"/>
    </row>
    <row r="967" spans="1:111" ht="9" customHeight="1">
      <c r="A967"/>
      <c r="B967" s="493" t="str">
        <f>IF(B956="","","Detalhamento do Objeto:")</f>
        <v/>
      </c>
      <c r="C967" s="493"/>
      <c r="D967" s="493"/>
      <c r="E967" s="493"/>
      <c r="F967" s="493"/>
      <c r="G967" s="493"/>
      <c r="H967" s="493"/>
      <c r="I967" s="493"/>
      <c r="J967" s="493"/>
      <c r="K967" s="493"/>
      <c r="L967" s="493"/>
      <c r="M967" s="493"/>
      <c r="N967" s="493"/>
      <c r="O967" s="421"/>
      <c r="P967" s="421"/>
      <c r="Q967" s="421"/>
      <c r="R967" s="421"/>
      <c r="S967" s="421"/>
      <c r="T967" s="421"/>
      <c r="U967" s="421"/>
      <c r="V967" s="421"/>
      <c r="W967" s="421"/>
      <c r="X967" s="421"/>
      <c r="Y967" s="421"/>
      <c r="Z967" s="421"/>
      <c r="AA967" s="421"/>
      <c r="AB967" s="421"/>
      <c r="AC967" s="421"/>
      <c r="AD967" s="421"/>
      <c r="AE967" s="421"/>
      <c r="AF967" s="421"/>
      <c r="AG967" s="421"/>
      <c r="AH967" s="421"/>
      <c r="AI967" s="421"/>
      <c r="AJ967" s="421"/>
      <c r="AK967" s="421"/>
      <c r="AL967" s="421"/>
      <c r="AM967" s="421"/>
      <c r="AN967" s="421"/>
      <c r="AO967" s="421"/>
      <c r="AP967" s="421"/>
      <c r="AQ967" s="421"/>
      <c r="AR967" s="421"/>
      <c r="AS967" s="421"/>
      <c r="AT967" s="421"/>
      <c r="AU967" s="421"/>
      <c r="AV967" s="421"/>
      <c r="AW967" s="421"/>
      <c r="AX967" s="421"/>
      <c r="AY967" s="421"/>
      <c r="AZ967" s="421"/>
      <c r="BA967" s="421"/>
      <c r="BB967"/>
      <c r="BC967" s="115"/>
      <c r="BD967" s="115"/>
      <c r="BE967" s="115"/>
      <c r="BF967" s="115"/>
      <c r="BG967" s="115"/>
      <c r="BH967" s="124"/>
      <c r="BI967" s="124"/>
      <c r="BJ967" s="124"/>
      <c r="BK967" s="124"/>
      <c r="BL967" s="124"/>
      <c r="BM967" s="124"/>
      <c r="BN967" s="124"/>
      <c r="BO967" s="124"/>
      <c r="BP967" s="124"/>
      <c r="BQ967" s="124"/>
      <c r="BR967" s="124"/>
      <c r="BS967" s="124"/>
      <c r="BT967" s="124"/>
      <c r="BU967" s="124"/>
      <c r="BV967" s="124"/>
      <c r="BW967" s="124"/>
      <c r="BX967" s="124"/>
      <c r="BY967" s="124"/>
      <c r="BZ967" s="124"/>
      <c r="CA967" s="124"/>
      <c r="CB967" s="124"/>
      <c r="CC967" s="124"/>
      <c r="CD967" s="124"/>
      <c r="CE967" s="124"/>
      <c r="CF967" s="124"/>
      <c r="CG967" s="124"/>
      <c r="CH967" s="124"/>
      <c r="CI967" s="124"/>
      <c r="CJ967" s="124"/>
      <c r="CK967" s="124"/>
      <c r="CL967" s="124"/>
      <c r="CM967" s="124"/>
      <c r="CN967" s="124"/>
      <c r="CO967" s="124"/>
      <c r="CP967" s="124"/>
      <c r="CQ967" s="124"/>
      <c r="CR967" s="124"/>
      <c r="CS967" s="124"/>
      <c r="CT967" s="124"/>
      <c r="CU967" s="124"/>
      <c r="CV967" s="124"/>
      <c r="CW967" s="124"/>
      <c r="CX967" s="124"/>
      <c r="CY967" s="124"/>
      <c r="CZ967" s="124"/>
      <c r="DA967" s="124"/>
      <c r="DB967" s="124"/>
      <c r="DC967" s="124"/>
      <c r="DD967" s="124"/>
      <c r="DE967" s="124"/>
      <c r="DF967" s="124"/>
      <c r="DG967" s="115"/>
    </row>
    <row r="968" spans="1:111" ht="9" customHeight="1">
      <c r="A968"/>
      <c r="B968" s="493"/>
      <c r="C968" s="493"/>
      <c r="D968" s="493"/>
      <c r="E968" s="493"/>
      <c r="F968" s="493"/>
      <c r="G968" s="493"/>
      <c r="H968" s="493"/>
      <c r="I968" s="493"/>
      <c r="J968" s="493"/>
      <c r="K968" s="493"/>
      <c r="L968" s="493"/>
      <c r="M968" s="493"/>
      <c r="N968" s="493"/>
      <c r="O968" s="421"/>
      <c r="P968" s="421"/>
      <c r="Q968" s="421"/>
      <c r="R968" s="421"/>
      <c r="S968" s="421"/>
      <c r="T968" s="421"/>
      <c r="U968" s="421"/>
      <c r="V968" s="421"/>
      <c r="W968" s="421"/>
      <c r="X968" s="421"/>
      <c r="Y968" s="421"/>
      <c r="Z968" s="421"/>
      <c r="AA968" s="421"/>
      <c r="AB968" s="421"/>
      <c r="AC968" s="421"/>
      <c r="AD968" s="421"/>
      <c r="AE968" s="421"/>
      <c r="AF968" s="421"/>
      <c r="AG968" s="421"/>
      <c r="AH968" s="421"/>
      <c r="AI968" s="421"/>
      <c r="AJ968" s="421"/>
      <c r="AK968" s="421"/>
      <c r="AL968" s="421"/>
      <c r="AM968" s="421"/>
      <c r="AN968" s="421"/>
      <c r="AO968" s="421"/>
      <c r="AP968" s="421"/>
      <c r="AQ968" s="421"/>
      <c r="AR968" s="421"/>
      <c r="AS968" s="421"/>
      <c r="AT968" s="421"/>
      <c r="AU968" s="421"/>
      <c r="AV968" s="421"/>
      <c r="AW968" s="421"/>
      <c r="AX968" s="421"/>
      <c r="AY968" s="421"/>
      <c r="AZ968" s="421"/>
      <c r="BA968" s="421"/>
      <c r="BB968"/>
      <c r="BC968" s="115"/>
      <c r="BD968" s="115"/>
      <c r="BE968" s="115"/>
      <c r="BF968" s="115"/>
      <c r="BG968" s="115"/>
      <c r="BH968" s="124"/>
      <c r="BI968" s="124"/>
      <c r="BJ968" s="124"/>
      <c r="BK968" s="124"/>
      <c r="BL968" s="124"/>
      <c r="BM968" s="124"/>
      <c r="BN968" s="124"/>
      <c r="BO968" s="124"/>
      <c r="BP968" s="124"/>
      <c r="BQ968" s="124"/>
      <c r="BR968" s="124"/>
      <c r="BS968" s="124"/>
      <c r="BT968" s="124"/>
      <c r="BU968" s="124"/>
      <c r="BV968" s="124"/>
      <c r="BW968" s="124"/>
      <c r="BX968" s="124"/>
      <c r="BY968" s="124"/>
      <c r="BZ968" s="124"/>
      <c r="CA968" s="124"/>
      <c r="CB968" s="124"/>
      <c r="CC968" s="124"/>
      <c r="CD968" s="124"/>
      <c r="CE968" s="124"/>
      <c r="CF968" s="124"/>
      <c r="CG968" s="124"/>
      <c r="CH968" s="124"/>
      <c r="CI968" s="124"/>
      <c r="CJ968" s="124"/>
      <c r="CK968" s="124"/>
      <c r="CL968" s="124"/>
      <c r="CM968" s="124"/>
      <c r="CN968" s="124"/>
      <c r="CO968" s="124"/>
      <c r="CP968" s="124"/>
      <c r="CQ968" s="124"/>
      <c r="CR968" s="124"/>
      <c r="CS968" s="124"/>
      <c r="CT968" s="124"/>
      <c r="CU968" s="124"/>
      <c r="CV968" s="124"/>
      <c r="CW968" s="124"/>
      <c r="CX968" s="124"/>
      <c r="CY968" s="124"/>
      <c r="CZ968" s="124"/>
      <c r="DA968" s="124"/>
      <c r="DB968" s="124"/>
      <c r="DC968" s="124"/>
      <c r="DD968" s="124"/>
      <c r="DE968" s="124"/>
      <c r="DF968" s="124"/>
      <c r="DG968" s="115"/>
    </row>
    <row r="969" spans="1:111" ht="9" customHeight="1">
      <c r="A969"/>
      <c r="B969" s="143"/>
      <c r="C969" s="143"/>
      <c r="D969" s="143"/>
      <c r="E969" s="143"/>
      <c r="F969" s="143"/>
      <c r="G969" s="143"/>
      <c r="H969" s="143"/>
      <c r="I969" s="143"/>
      <c r="J969" s="143"/>
      <c r="K969" s="143"/>
      <c r="L969" s="143"/>
      <c r="M969" s="143"/>
      <c r="N969" s="143"/>
      <c r="O969" s="421"/>
      <c r="P969" s="421"/>
      <c r="Q969" s="421"/>
      <c r="R969" s="421"/>
      <c r="S969" s="421"/>
      <c r="T969" s="421"/>
      <c r="U969" s="421"/>
      <c r="V969" s="421"/>
      <c r="W969" s="421"/>
      <c r="X969" s="421"/>
      <c r="Y969" s="421"/>
      <c r="Z969" s="421"/>
      <c r="AA969" s="421"/>
      <c r="AB969" s="421"/>
      <c r="AC969" s="421"/>
      <c r="AD969" s="421"/>
      <c r="AE969" s="421"/>
      <c r="AF969" s="421"/>
      <c r="AG969" s="421"/>
      <c r="AH969" s="421"/>
      <c r="AI969" s="421"/>
      <c r="AJ969" s="421"/>
      <c r="AK969" s="421"/>
      <c r="AL969" s="421"/>
      <c r="AM969" s="421"/>
      <c r="AN969" s="421"/>
      <c r="AO969" s="421"/>
      <c r="AP969" s="421"/>
      <c r="AQ969" s="421"/>
      <c r="AR969" s="421"/>
      <c r="AS969" s="421"/>
      <c r="AT969" s="421"/>
      <c r="AU969" s="421"/>
      <c r="AV969" s="421"/>
      <c r="AW969" s="421"/>
      <c r="AX969" s="421"/>
      <c r="AY969" s="421"/>
      <c r="AZ969" s="421"/>
      <c r="BA969" s="421"/>
      <c r="BB969"/>
      <c r="BC969" s="115"/>
      <c r="BD969" s="115"/>
      <c r="BE969" s="115"/>
      <c r="BF969" s="115"/>
      <c r="BG969" s="115"/>
      <c r="BH969" s="138"/>
      <c r="BI969" s="138"/>
      <c r="BJ969" s="138"/>
      <c r="BK969" s="138"/>
      <c r="BL969" s="138"/>
      <c r="BM969" s="138"/>
      <c r="BN969" s="138"/>
      <c r="BO969" s="138"/>
      <c r="BP969" s="138"/>
      <c r="BQ969" s="138"/>
      <c r="BR969" s="138"/>
      <c r="BS969" s="138"/>
      <c r="BT969" s="138"/>
      <c r="BU969" s="138"/>
      <c r="BV969" s="138"/>
      <c r="BW969" s="138"/>
      <c r="BX969" s="138"/>
      <c r="BY969" s="138"/>
      <c r="BZ969" s="138"/>
      <c r="CA969" s="138"/>
      <c r="CB969" s="138"/>
      <c r="CC969" s="138"/>
      <c r="CD969" s="138"/>
      <c r="CE969" s="138"/>
      <c r="CF969" s="138"/>
      <c r="CG969" s="138"/>
      <c r="CH969" s="138"/>
      <c r="CI969" s="138"/>
      <c r="CJ969" s="138"/>
      <c r="CK969" s="138"/>
      <c r="CL969" s="138"/>
      <c r="CM969" s="138"/>
      <c r="CN969" s="138"/>
      <c r="CO969" s="138"/>
      <c r="CP969" s="138"/>
      <c r="CQ969" s="138"/>
      <c r="CR969" s="138"/>
      <c r="CS969" s="138"/>
      <c r="CT969" s="138"/>
      <c r="CU969" s="138"/>
      <c r="CV969" s="138"/>
      <c r="CW969" s="138"/>
      <c r="CX969" s="138"/>
      <c r="CY969" s="138"/>
      <c r="CZ969" s="138"/>
      <c r="DA969" s="138"/>
      <c r="DB969" s="138"/>
      <c r="DC969" s="138"/>
      <c r="DD969" s="138"/>
      <c r="DE969" s="138"/>
      <c r="DF969" s="138"/>
      <c r="DG969" s="115"/>
    </row>
    <row r="970" spans="1:111" ht="9" customHeight="1">
      <c r="A970"/>
      <c r="B970" s="143"/>
      <c r="C970" s="143"/>
      <c r="D970" s="143"/>
      <c r="E970" s="143"/>
      <c r="F970" s="143"/>
      <c r="G970" s="143"/>
      <c r="H970" s="143"/>
      <c r="I970" s="143"/>
      <c r="J970" s="143"/>
      <c r="K970" s="143"/>
      <c r="L970" s="143"/>
      <c r="M970" s="143"/>
      <c r="N970" s="143"/>
      <c r="O970" s="421"/>
      <c r="P970" s="421"/>
      <c r="Q970" s="421"/>
      <c r="R970" s="421"/>
      <c r="S970" s="421"/>
      <c r="T970" s="421"/>
      <c r="U970" s="421"/>
      <c r="V970" s="421"/>
      <c r="W970" s="421"/>
      <c r="X970" s="421"/>
      <c r="Y970" s="421"/>
      <c r="Z970" s="421"/>
      <c r="AA970" s="421"/>
      <c r="AB970" s="421"/>
      <c r="AC970" s="421"/>
      <c r="AD970" s="421"/>
      <c r="AE970" s="421"/>
      <c r="AF970" s="421"/>
      <c r="AG970" s="421"/>
      <c r="AH970" s="421"/>
      <c r="AI970" s="421"/>
      <c r="AJ970" s="421"/>
      <c r="AK970" s="421"/>
      <c r="AL970" s="421"/>
      <c r="AM970" s="421"/>
      <c r="AN970" s="421"/>
      <c r="AO970" s="421"/>
      <c r="AP970" s="421"/>
      <c r="AQ970" s="421"/>
      <c r="AR970" s="421"/>
      <c r="AS970" s="421"/>
      <c r="AT970" s="421"/>
      <c r="AU970" s="421"/>
      <c r="AV970" s="421"/>
      <c r="AW970" s="421"/>
      <c r="AX970" s="421"/>
      <c r="AY970" s="421"/>
      <c r="AZ970" s="421"/>
      <c r="BA970" s="421"/>
      <c r="BB970"/>
      <c r="BC970" s="115"/>
      <c r="BD970" s="115"/>
      <c r="BE970" s="115"/>
      <c r="BF970" s="115"/>
      <c r="BG970" s="115"/>
      <c r="BH970" s="138"/>
      <c r="BI970" s="138"/>
      <c r="BJ970" s="138"/>
      <c r="BK970" s="138"/>
      <c r="BL970" s="138"/>
      <c r="BM970" s="138"/>
      <c r="BN970" s="138"/>
      <c r="BO970" s="138"/>
      <c r="BP970" s="138"/>
      <c r="BQ970" s="138"/>
      <c r="BR970" s="138"/>
      <c r="BS970" s="138"/>
      <c r="BT970" s="138"/>
      <c r="BU970" s="138"/>
      <c r="BV970" s="138"/>
      <c r="BW970" s="138"/>
      <c r="BX970" s="138"/>
      <c r="BY970" s="138"/>
      <c r="BZ970" s="138"/>
      <c r="CA970" s="138"/>
      <c r="CB970" s="138"/>
      <c r="CC970" s="138"/>
      <c r="CD970" s="138"/>
      <c r="CE970" s="138"/>
      <c r="CF970" s="138"/>
      <c r="CG970" s="138"/>
      <c r="CH970" s="138"/>
      <c r="CI970" s="138"/>
      <c r="CJ970" s="138"/>
      <c r="CK970" s="138"/>
      <c r="CL970" s="138"/>
      <c r="CM970" s="138"/>
      <c r="CN970" s="138"/>
      <c r="CO970" s="138"/>
      <c r="CP970" s="138"/>
      <c r="CQ970" s="138"/>
      <c r="CR970" s="138"/>
      <c r="CS970" s="138"/>
      <c r="CT970" s="138"/>
      <c r="CU970" s="138"/>
      <c r="CV970" s="138"/>
      <c r="CW970" s="138"/>
      <c r="CX970" s="138"/>
      <c r="CY970" s="138"/>
      <c r="CZ970" s="138"/>
      <c r="DA970" s="138"/>
      <c r="DB970" s="138"/>
      <c r="DC970" s="138"/>
      <c r="DD970" s="138"/>
      <c r="DE970" s="138"/>
      <c r="DF970" s="138"/>
      <c r="DG970" s="115"/>
    </row>
    <row r="971" spans="1:111" ht="9" customHeight="1">
      <c r="A971"/>
      <c r="B971" s="143"/>
      <c r="C971" s="143"/>
      <c r="D971" s="143"/>
      <c r="E971" s="143"/>
      <c r="F971" s="143"/>
      <c r="G971" s="143"/>
      <c r="H971" s="143"/>
      <c r="I971" s="143"/>
      <c r="J971" s="143"/>
      <c r="K971" s="143"/>
      <c r="L971" s="143"/>
      <c r="M971" s="143"/>
      <c r="N971" s="143"/>
      <c r="O971" s="421"/>
      <c r="P971" s="421"/>
      <c r="Q971" s="421"/>
      <c r="R971" s="421"/>
      <c r="S971" s="421"/>
      <c r="T971" s="421"/>
      <c r="U971" s="421"/>
      <c r="V971" s="421"/>
      <c r="W971" s="421"/>
      <c r="X971" s="421"/>
      <c r="Y971" s="421"/>
      <c r="Z971" s="421"/>
      <c r="AA971" s="421"/>
      <c r="AB971" s="421"/>
      <c r="AC971" s="421"/>
      <c r="AD971" s="421"/>
      <c r="AE971" s="421"/>
      <c r="AF971" s="421"/>
      <c r="AG971" s="421"/>
      <c r="AH971" s="421"/>
      <c r="AI971" s="421"/>
      <c r="AJ971" s="421"/>
      <c r="AK971" s="421"/>
      <c r="AL971" s="421"/>
      <c r="AM971" s="421"/>
      <c r="AN971" s="421"/>
      <c r="AO971" s="421"/>
      <c r="AP971" s="421"/>
      <c r="AQ971" s="421"/>
      <c r="AR971" s="421"/>
      <c r="AS971" s="421"/>
      <c r="AT971" s="421"/>
      <c r="AU971" s="421"/>
      <c r="AV971" s="421"/>
      <c r="AW971" s="421"/>
      <c r="AX971" s="421"/>
      <c r="AY971" s="421"/>
      <c r="AZ971" s="421"/>
      <c r="BA971" s="421"/>
      <c r="BB971"/>
      <c r="BC971" s="115"/>
      <c r="BD971" s="115"/>
      <c r="BE971" s="115"/>
      <c r="BF971" s="115"/>
      <c r="BG971" s="115"/>
      <c r="BH971" s="138"/>
      <c r="BI971" s="138"/>
      <c r="BJ971" s="138"/>
      <c r="BK971" s="138"/>
      <c r="BL971" s="138"/>
      <c r="BM971" s="138"/>
      <c r="BN971" s="138"/>
      <c r="BO971" s="138"/>
      <c r="BP971" s="138"/>
      <c r="BQ971" s="138"/>
      <c r="BR971" s="138"/>
      <c r="BS971" s="138"/>
      <c r="BT971" s="138"/>
      <c r="BU971" s="138"/>
      <c r="BV971" s="138"/>
      <c r="BW971" s="138"/>
      <c r="BX971" s="138"/>
      <c r="BY971" s="138"/>
      <c r="BZ971" s="138"/>
      <c r="CA971" s="138"/>
      <c r="CB971" s="138"/>
      <c r="CC971" s="138"/>
      <c r="CD971" s="138"/>
      <c r="CE971" s="138"/>
      <c r="CF971" s="138"/>
      <c r="CG971" s="138"/>
      <c r="CH971" s="138"/>
      <c r="CI971" s="138"/>
      <c r="CJ971" s="138"/>
      <c r="CK971" s="138"/>
      <c r="CL971" s="138"/>
      <c r="CM971" s="138"/>
      <c r="CN971" s="138"/>
      <c r="CO971" s="138"/>
      <c r="CP971" s="138"/>
      <c r="CQ971" s="138"/>
      <c r="CR971" s="138"/>
      <c r="CS971" s="138"/>
      <c r="CT971" s="138"/>
      <c r="CU971" s="138"/>
      <c r="CV971" s="138"/>
      <c r="CW971" s="138"/>
      <c r="CX971" s="138"/>
      <c r="CY971" s="138"/>
      <c r="CZ971" s="138"/>
      <c r="DA971" s="138"/>
      <c r="DB971" s="138"/>
      <c r="DC971" s="138"/>
      <c r="DD971" s="138"/>
      <c r="DE971" s="138"/>
      <c r="DF971" s="138"/>
      <c r="DG971" s="115"/>
    </row>
    <row r="972" spans="1:111" ht="9" customHeight="1">
      <c r="A972"/>
      <c r="B972" s="143"/>
      <c r="C972" s="143"/>
      <c r="D972" s="143"/>
      <c r="E972" s="143"/>
      <c r="F972" s="143"/>
      <c r="G972" s="143"/>
      <c r="H972" s="143"/>
      <c r="I972" s="143"/>
      <c r="J972" s="143"/>
      <c r="K972" s="143"/>
      <c r="L972" s="143"/>
      <c r="M972" s="143"/>
      <c r="N972" s="143"/>
      <c r="O972" s="421"/>
      <c r="P972" s="421"/>
      <c r="Q972" s="421"/>
      <c r="R972" s="421"/>
      <c r="S972" s="421"/>
      <c r="T972" s="421"/>
      <c r="U972" s="421"/>
      <c r="V972" s="421"/>
      <c r="W972" s="421"/>
      <c r="X972" s="421"/>
      <c r="Y972" s="421"/>
      <c r="Z972" s="421"/>
      <c r="AA972" s="421"/>
      <c r="AB972" s="421"/>
      <c r="AC972" s="421"/>
      <c r="AD972" s="421"/>
      <c r="AE972" s="421"/>
      <c r="AF972" s="421"/>
      <c r="AG972" s="421"/>
      <c r="AH972" s="421"/>
      <c r="AI972" s="421"/>
      <c r="AJ972" s="421"/>
      <c r="AK972" s="421"/>
      <c r="AL972" s="421"/>
      <c r="AM972" s="421"/>
      <c r="AN972" s="421"/>
      <c r="AO972" s="421"/>
      <c r="AP972" s="421"/>
      <c r="AQ972" s="421"/>
      <c r="AR972" s="421"/>
      <c r="AS972" s="421"/>
      <c r="AT972" s="421"/>
      <c r="AU972" s="421"/>
      <c r="AV972" s="421"/>
      <c r="AW972" s="421"/>
      <c r="AX972" s="421"/>
      <c r="AY972" s="421"/>
      <c r="AZ972" s="421"/>
      <c r="BA972" s="421"/>
      <c r="BB972"/>
      <c r="BC972" s="115"/>
      <c r="BD972" s="115"/>
      <c r="BE972" s="115"/>
      <c r="BF972" s="115"/>
      <c r="BG972" s="115"/>
      <c r="BH972" s="138"/>
      <c r="BI972" s="138"/>
      <c r="BJ972" s="138"/>
      <c r="BK972" s="138"/>
      <c r="BL972" s="138"/>
      <c r="BM972" s="138"/>
      <c r="BN972" s="138"/>
      <c r="BO972" s="138"/>
      <c r="BP972" s="138"/>
      <c r="BQ972" s="138"/>
      <c r="BR972" s="138"/>
      <c r="BS972" s="138"/>
      <c r="BT972" s="138"/>
      <c r="BU972" s="138"/>
      <c r="BV972" s="138"/>
      <c r="BW972" s="138"/>
      <c r="BX972" s="138"/>
      <c r="BY972" s="138"/>
      <c r="BZ972" s="138"/>
      <c r="CA972" s="138"/>
      <c r="CB972" s="138"/>
      <c r="CC972" s="138"/>
      <c r="CD972" s="138"/>
      <c r="CE972" s="138"/>
      <c r="CF972" s="138"/>
      <c r="CG972" s="138"/>
      <c r="CH972" s="138"/>
      <c r="CI972" s="138"/>
      <c r="CJ972" s="138"/>
      <c r="CK972" s="138"/>
      <c r="CL972" s="138"/>
      <c r="CM972" s="138"/>
      <c r="CN972" s="138"/>
      <c r="CO972" s="138"/>
      <c r="CP972" s="138"/>
      <c r="CQ972" s="138"/>
      <c r="CR972" s="138"/>
      <c r="CS972" s="138"/>
      <c r="CT972" s="138"/>
      <c r="CU972" s="138"/>
      <c r="CV972" s="138"/>
      <c r="CW972" s="138"/>
      <c r="CX972" s="138"/>
      <c r="CY972" s="138"/>
      <c r="CZ972" s="138"/>
      <c r="DA972" s="138"/>
      <c r="DB972" s="138"/>
      <c r="DC972" s="138"/>
      <c r="DD972" s="138"/>
      <c r="DE972" s="138"/>
      <c r="DF972" s="138"/>
      <c r="DG972" s="115"/>
    </row>
    <row r="973" spans="1:111" ht="9" customHeight="1">
      <c r="A973"/>
      <c r="B973" s="143"/>
      <c r="C973" s="143"/>
      <c r="D973" s="143"/>
      <c r="E973" s="143"/>
      <c r="F973" s="143"/>
      <c r="G973" s="143"/>
      <c r="H973" s="143"/>
      <c r="I973" s="143"/>
      <c r="J973" s="143"/>
      <c r="K973" s="143"/>
      <c r="L973" s="143"/>
      <c r="M973" s="143"/>
      <c r="N973" s="143"/>
      <c r="O973" s="421"/>
      <c r="P973" s="421"/>
      <c r="Q973" s="421"/>
      <c r="R973" s="421"/>
      <c r="S973" s="421"/>
      <c r="T973" s="421"/>
      <c r="U973" s="421"/>
      <c r="V973" s="421"/>
      <c r="W973" s="421"/>
      <c r="X973" s="421"/>
      <c r="Y973" s="421"/>
      <c r="Z973" s="421"/>
      <c r="AA973" s="421"/>
      <c r="AB973" s="421"/>
      <c r="AC973" s="421"/>
      <c r="AD973" s="421"/>
      <c r="AE973" s="421"/>
      <c r="AF973" s="421"/>
      <c r="AG973" s="421"/>
      <c r="AH973" s="421"/>
      <c r="AI973" s="421"/>
      <c r="AJ973" s="421"/>
      <c r="AK973" s="421"/>
      <c r="AL973" s="421"/>
      <c r="AM973" s="421"/>
      <c r="AN973" s="421"/>
      <c r="AO973" s="421"/>
      <c r="AP973" s="421"/>
      <c r="AQ973" s="421"/>
      <c r="AR973" s="421"/>
      <c r="AS973" s="421"/>
      <c r="AT973" s="421"/>
      <c r="AU973" s="421"/>
      <c r="AV973" s="421"/>
      <c r="AW973" s="421"/>
      <c r="AX973" s="421"/>
      <c r="AY973" s="421"/>
      <c r="AZ973" s="421"/>
      <c r="BA973" s="421"/>
      <c r="BB973"/>
      <c r="BC973" s="115"/>
      <c r="BD973" s="115"/>
      <c r="BE973" s="115"/>
      <c r="BF973" s="115"/>
      <c r="BG973" s="115"/>
      <c r="BH973" s="138"/>
      <c r="BI973" s="138"/>
      <c r="BJ973" s="138"/>
      <c r="BK973" s="138"/>
      <c r="BL973" s="138"/>
      <c r="BM973" s="138"/>
      <c r="BN973" s="138"/>
      <c r="BO973" s="138"/>
      <c r="BP973" s="138"/>
      <c r="BQ973" s="138"/>
      <c r="BR973" s="138"/>
      <c r="BS973" s="138"/>
      <c r="BT973" s="138"/>
      <c r="BU973" s="138"/>
      <c r="BV973" s="138"/>
      <c r="BW973" s="138"/>
      <c r="BX973" s="138"/>
      <c r="BY973" s="138"/>
      <c r="BZ973" s="138"/>
      <c r="CA973" s="138"/>
      <c r="CB973" s="138"/>
      <c r="CC973" s="138"/>
      <c r="CD973" s="138"/>
      <c r="CE973" s="138"/>
      <c r="CF973" s="138"/>
      <c r="CG973" s="138"/>
      <c r="CH973" s="138"/>
      <c r="CI973" s="138"/>
      <c r="CJ973" s="138"/>
      <c r="CK973" s="138"/>
      <c r="CL973" s="138"/>
      <c r="CM973" s="138"/>
      <c r="CN973" s="138"/>
      <c r="CO973" s="138"/>
      <c r="CP973" s="138"/>
      <c r="CQ973" s="138"/>
      <c r="CR973" s="138"/>
      <c r="CS973" s="138"/>
      <c r="CT973" s="138"/>
      <c r="CU973" s="138"/>
      <c r="CV973" s="138"/>
      <c r="CW973" s="138"/>
      <c r="CX973" s="138"/>
      <c r="CY973" s="138"/>
      <c r="CZ973" s="138"/>
      <c r="DA973" s="138"/>
      <c r="DB973" s="138"/>
      <c r="DC973" s="138"/>
      <c r="DD973" s="138"/>
      <c r="DE973" s="138"/>
      <c r="DF973" s="138"/>
      <c r="DG973" s="115"/>
    </row>
    <row r="974" spans="1:111" ht="9" customHeight="1">
      <c r="A974"/>
      <c r="B974" s="49"/>
      <c r="C974" s="49"/>
      <c r="D974" s="49"/>
      <c r="E974" s="49"/>
      <c r="F974" s="49"/>
      <c r="G974" s="49"/>
      <c r="H974" s="49"/>
      <c r="I974" s="49"/>
      <c r="J974" s="49"/>
      <c r="K974" s="49"/>
      <c r="L974" s="49"/>
      <c r="M974" s="49"/>
      <c r="N974" s="49"/>
      <c r="O974" s="421"/>
      <c r="P974" s="421"/>
      <c r="Q974" s="421"/>
      <c r="R974" s="421"/>
      <c r="S974" s="421"/>
      <c r="T974" s="421"/>
      <c r="U974" s="421"/>
      <c r="V974" s="421"/>
      <c r="W974" s="421"/>
      <c r="X974" s="421"/>
      <c r="Y974" s="421"/>
      <c r="Z974" s="421"/>
      <c r="AA974" s="421"/>
      <c r="AB974" s="421"/>
      <c r="AC974" s="421"/>
      <c r="AD974" s="421"/>
      <c r="AE974" s="421"/>
      <c r="AF974" s="421"/>
      <c r="AG974" s="421"/>
      <c r="AH974" s="421"/>
      <c r="AI974" s="421"/>
      <c r="AJ974" s="421"/>
      <c r="AK974" s="421"/>
      <c r="AL974" s="421"/>
      <c r="AM974" s="421"/>
      <c r="AN974" s="421"/>
      <c r="AO974" s="421"/>
      <c r="AP974" s="421"/>
      <c r="AQ974" s="421"/>
      <c r="AR974" s="421"/>
      <c r="AS974" s="421"/>
      <c r="AT974" s="421"/>
      <c r="AU974" s="421"/>
      <c r="AV974" s="421"/>
      <c r="AW974" s="421"/>
      <c r="AX974" s="421"/>
      <c r="AY974" s="421"/>
      <c r="AZ974" s="421"/>
      <c r="BA974" s="421"/>
      <c r="BB974"/>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c r="BY974" s="115"/>
      <c r="BZ974" s="115"/>
      <c r="CA974" s="115"/>
      <c r="CB974" s="115"/>
      <c r="CC974" s="115"/>
      <c r="CD974" s="115"/>
      <c r="CE974" s="115"/>
      <c r="CF974" s="115"/>
      <c r="CG974" s="115"/>
      <c r="CH974" s="115"/>
      <c r="CI974" s="115"/>
      <c r="CJ974" s="115"/>
      <c r="CK974" s="115"/>
      <c r="CL974" s="115"/>
      <c r="CM974" s="115"/>
      <c r="CN974" s="115"/>
      <c r="CO974" s="115"/>
      <c r="CP974" s="115"/>
      <c r="CQ974" s="115"/>
      <c r="CR974" s="115"/>
      <c r="CS974" s="115"/>
      <c r="CT974" s="115"/>
      <c r="CU974" s="115"/>
      <c r="CV974" s="115"/>
      <c r="CW974" s="115"/>
      <c r="CX974" s="115"/>
      <c r="CY974" s="115"/>
      <c r="CZ974" s="115"/>
      <c r="DA974" s="115"/>
      <c r="DB974" s="115"/>
      <c r="DC974" s="115"/>
      <c r="DD974" s="115"/>
      <c r="DE974" s="115"/>
      <c r="DF974" s="115"/>
      <c r="DG974" s="115"/>
    </row>
    <row r="975" spans="1:111" ht="4.5" customHeight="1">
      <c r="A975"/>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49"/>
      <c r="AT975" s="49"/>
      <c r="AU975" s="49"/>
      <c r="AV975" s="49"/>
      <c r="AW975" s="49"/>
      <c r="AX975" s="49"/>
      <c r="AY975" s="49"/>
      <c r="AZ975" s="49"/>
      <c r="BA975" s="49"/>
      <c r="BB975"/>
      <c r="BC975" s="115"/>
      <c r="BD975" s="115"/>
      <c r="BE975" s="115"/>
      <c r="BF975" s="115"/>
      <c r="BG975" s="115"/>
      <c r="BH975" s="124"/>
      <c r="BI975" s="124"/>
      <c r="BJ975" s="124"/>
      <c r="BK975" s="124"/>
      <c r="BL975" s="124"/>
      <c r="BM975" s="124"/>
      <c r="BN975" s="124"/>
      <c r="BO975" s="124"/>
      <c r="BP975" s="124"/>
      <c r="BQ975" s="124"/>
      <c r="BR975" s="124"/>
      <c r="BS975" s="124"/>
      <c r="BT975" s="124"/>
      <c r="BU975" s="124"/>
      <c r="BV975" s="124"/>
      <c r="BW975" s="124"/>
      <c r="BX975" s="124"/>
      <c r="BY975" s="124"/>
      <c r="BZ975" s="124"/>
      <c r="CA975" s="124"/>
      <c r="CB975" s="124"/>
      <c r="CC975" s="124"/>
      <c r="CD975" s="124"/>
      <c r="CE975" s="124"/>
      <c r="CF975" s="124"/>
      <c r="CG975" s="124"/>
      <c r="CH975" s="124"/>
      <c r="CI975" s="124"/>
      <c r="CJ975" s="124"/>
      <c r="CK975" s="124"/>
      <c r="CL975" s="124"/>
      <c r="CM975" s="124"/>
      <c r="CN975" s="124"/>
      <c r="CO975" s="124"/>
      <c r="CP975" s="124"/>
      <c r="CQ975" s="124"/>
      <c r="CR975" s="124"/>
      <c r="CS975" s="124"/>
      <c r="CT975" s="124"/>
      <c r="CU975" s="124"/>
      <c r="CV975" s="124"/>
      <c r="CW975" s="124"/>
      <c r="CX975" s="124"/>
      <c r="CY975" s="124"/>
      <c r="CZ975" s="124"/>
      <c r="DA975" s="124"/>
      <c r="DB975" s="124"/>
      <c r="DC975" s="124"/>
      <c r="DD975" s="124"/>
      <c r="DE975" s="124"/>
      <c r="DF975" s="124"/>
      <c r="DG975" s="115"/>
    </row>
    <row r="976" spans="1:111" ht="9" customHeight="1">
      <c r="A976"/>
      <c r="B976" s="493" t="str">
        <f>IF(B956="","","Justificativa:")</f>
        <v/>
      </c>
      <c r="C976" s="493"/>
      <c r="D976" s="493"/>
      <c r="E976" s="493"/>
      <c r="F976" s="493"/>
      <c r="G976" s="493"/>
      <c r="H976" s="493"/>
      <c r="I976" s="493"/>
      <c r="J976" s="493"/>
      <c r="K976" s="493"/>
      <c r="L976" s="493"/>
      <c r="M976" s="493"/>
      <c r="N976" s="493"/>
      <c r="O976" s="421"/>
      <c r="P976" s="421"/>
      <c r="Q976" s="421"/>
      <c r="R976" s="421"/>
      <c r="S976" s="421"/>
      <c r="T976" s="421"/>
      <c r="U976" s="421"/>
      <c r="V976" s="421"/>
      <c r="W976" s="421"/>
      <c r="X976" s="421"/>
      <c r="Y976" s="421"/>
      <c r="Z976" s="421"/>
      <c r="AA976" s="421"/>
      <c r="AB976" s="421"/>
      <c r="AC976" s="421"/>
      <c r="AD976" s="421"/>
      <c r="AE976" s="421"/>
      <c r="AF976" s="421"/>
      <c r="AG976" s="421"/>
      <c r="AH976" s="421"/>
      <c r="AI976" s="421"/>
      <c r="AJ976" s="421"/>
      <c r="AK976" s="421"/>
      <c r="AL976" s="421"/>
      <c r="AM976" s="421"/>
      <c r="AN976" s="421"/>
      <c r="AO976" s="421"/>
      <c r="AP976" s="421"/>
      <c r="AQ976" s="421"/>
      <c r="AR976" s="421"/>
      <c r="AS976" s="421"/>
      <c r="AT976" s="421"/>
      <c r="AU976" s="421"/>
      <c r="AV976" s="421"/>
      <c r="AW976" s="421"/>
      <c r="AX976" s="421"/>
      <c r="AY976" s="421"/>
      <c r="AZ976" s="421"/>
      <c r="BA976" s="421"/>
      <c r="BB976"/>
      <c r="BC976" s="115"/>
      <c r="BD976" s="115"/>
      <c r="BE976" s="115"/>
      <c r="BF976" s="115"/>
      <c r="BG976" s="115"/>
      <c r="BH976" s="124"/>
      <c r="BI976" s="124"/>
      <c r="BJ976" s="124"/>
      <c r="BK976" s="124"/>
      <c r="BL976" s="124"/>
      <c r="BM976" s="124"/>
      <c r="BN976" s="124"/>
      <c r="BO976" s="124"/>
      <c r="BP976" s="124"/>
      <c r="BQ976" s="124"/>
      <c r="BR976" s="124"/>
      <c r="BS976" s="124"/>
      <c r="BT976" s="124"/>
      <c r="BU976" s="124"/>
      <c r="BV976" s="124"/>
      <c r="BW976" s="124"/>
      <c r="BX976" s="124"/>
      <c r="BY976" s="124"/>
      <c r="BZ976" s="124"/>
      <c r="CA976" s="124"/>
      <c r="CB976" s="124"/>
      <c r="CC976" s="124"/>
      <c r="CD976" s="124"/>
      <c r="CE976" s="124"/>
      <c r="CF976" s="124"/>
      <c r="CG976" s="124"/>
      <c r="CH976" s="124"/>
      <c r="CI976" s="124"/>
      <c r="CJ976" s="124"/>
      <c r="CK976" s="124"/>
      <c r="CL976" s="124"/>
      <c r="CM976" s="124"/>
      <c r="CN976" s="124"/>
      <c r="CO976" s="124"/>
      <c r="CP976" s="124"/>
      <c r="CQ976" s="124"/>
      <c r="CR976" s="124"/>
      <c r="CS976" s="124"/>
      <c r="CT976" s="124"/>
      <c r="CU976" s="124"/>
      <c r="CV976" s="124"/>
      <c r="CW976" s="124"/>
      <c r="CX976" s="124"/>
      <c r="CY976" s="124"/>
      <c r="CZ976" s="124"/>
      <c r="DA976" s="124"/>
      <c r="DB976" s="124"/>
      <c r="DC976" s="124"/>
      <c r="DD976" s="124"/>
      <c r="DE976" s="124"/>
      <c r="DF976" s="124"/>
      <c r="DG976" s="115"/>
    </row>
    <row r="977" spans="1:111" ht="9" customHeight="1">
      <c r="A977"/>
      <c r="B977" s="493"/>
      <c r="C977" s="493"/>
      <c r="D977" s="493"/>
      <c r="E977" s="493"/>
      <c r="F977" s="493"/>
      <c r="G977" s="493"/>
      <c r="H977" s="493"/>
      <c r="I977" s="493"/>
      <c r="J977" s="493"/>
      <c r="K977" s="493"/>
      <c r="L977" s="493"/>
      <c r="M977" s="493"/>
      <c r="N977" s="493"/>
      <c r="O977" s="421"/>
      <c r="P977" s="421"/>
      <c r="Q977" s="421"/>
      <c r="R977" s="421"/>
      <c r="S977" s="421"/>
      <c r="T977" s="421"/>
      <c r="U977" s="421"/>
      <c r="V977" s="421"/>
      <c r="W977" s="421"/>
      <c r="X977" s="421"/>
      <c r="Y977" s="421"/>
      <c r="Z977" s="421"/>
      <c r="AA977" s="421"/>
      <c r="AB977" s="421"/>
      <c r="AC977" s="421"/>
      <c r="AD977" s="421"/>
      <c r="AE977" s="421"/>
      <c r="AF977" s="421"/>
      <c r="AG977" s="421"/>
      <c r="AH977" s="421"/>
      <c r="AI977" s="421"/>
      <c r="AJ977" s="421"/>
      <c r="AK977" s="421"/>
      <c r="AL977" s="421"/>
      <c r="AM977" s="421"/>
      <c r="AN977" s="421"/>
      <c r="AO977" s="421"/>
      <c r="AP977" s="421"/>
      <c r="AQ977" s="421"/>
      <c r="AR977" s="421"/>
      <c r="AS977" s="421"/>
      <c r="AT977" s="421"/>
      <c r="AU977" s="421"/>
      <c r="AV977" s="421"/>
      <c r="AW977" s="421"/>
      <c r="AX977" s="421"/>
      <c r="AY977" s="421"/>
      <c r="AZ977" s="421"/>
      <c r="BA977" s="421"/>
      <c r="BB977"/>
      <c r="BC977" s="115"/>
      <c r="BD977" s="115"/>
      <c r="BE977" s="115"/>
      <c r="BF977" s="115"/>
      <c r="BG977" s="115"/>
      <c r="BH977" s="124"/>
      <c r="BI977" s="124"/>
      <c r="BJ977" s="124"/>
      <c r="BK977" s="124"/>
      <c r="BL977" s="124"/>
      <c r="BM977" s="124"/>
      <c r="BN977" s="124"/>
      <c r="BO977" s="124"/>
      <c r="BP977" s="124"/>
      <c r="BQ977" s="124"/>
      <c r="BR977" s="124"/>
      <c r="BS977" s="124"/>
      <c r="BT977" s="124"/>
      <c r="BU977" s="124"/>
      <c r="BV977" s="124"/>
      <c r="BW977" s="124"/>
      <c r="BX977" s="124"/>
      <c r="BY977" s="124"/>
      <c r="BZ977" s="124"/>
      <c r="CA977" s="124"/>
      <c r="CB977" s="124"/>
      <c r="CC977" s="124"/>
      <c r="CD977" s="124"/>
      <c r="CE977" s="124"/>
      <c r="CF977" s="124"/>
      <c r="CG977" s="124"/>
      <c r="CH977" s="124"/>
      <c r="CI977" s="124"/>
      <c r="CJ977" s="124"/>
      <c r="CK977" s="124"/>
      <c r="CL977" s="124"/>
      <c r="CM977" s="124"/>
      <c r="CN977" s="124"/>
      <c r="CO977" s="124"/>
      <c r="CP977" s="124"/>
      <c r="CQ977" s="124"/>
      <c r="CR977" s="124"/>
      <c r="CS977" s="124"/>
      <c r="CT977" s="124"/>
      <c r="CU977" s="124"/>
      <c r="CV977" s="124"/>
      <c r="CW977" s="124"/>
      <c r="CX977" s="124"/>
      <c r="CY977" s="124"/>
      <c r="CZ977" s="124"/>
      <c r="DA977" s="124"/>
      <c r="DB977" s="124"/>
      <c r="DC977" s="124"/>
      <c r="DD977" s="124"/>
      <c r="DE977" s="124"/>
      <c r="DF977" s="124"/>
      <c r="DG977" s="115"/>
    </row>
    <row r="978" spans="1:111" ht="9" customHeight="1">
      <c r="A978"/>
      <c r="B978" s="143"/>
      <c r="C978" s="143"/>
      <c r="D978" s="143"/>
      <c r="E978" s="143"/>
      <c r="F978" s="143"/>
      <c r="G978" s="143"/>
      <c r="H978" s="143"/>
      <c r="I978" s="143"/>
      <c r="J978" s="143"/>
      <c r="K978" s="143"/>
      <c r="L978" s="143"/>
      <c r="M978" s="143"/>
      <c r="N978" s="143"/>
      <c r="O978" s="421"/>
      <c r="P978" s="421"/>
      <c r="Q978" s="421"/>
      <c r="R978" s="421"/>
      <c r="S978" s="421"/>
      <c r="T978" s="421"/>
      <c r="U978" s="421"/>
      <c r="V978" s="421"/>
      <c r="W978" s="421"/>
      <c r="X978" s="421"/>
      <c r="Y978" s="421"/>
      <c r="Z978" s="421"/>
      <c r="AA978" s="421"/>
      <c r="AB978" s="421"/>
      <c r="AC978" s="421"/>
      <c r="AD978" s="421"/>
      <c r="AE978" s="421"/>
      <c r="AF978" s="421"/>
      <c r="AG978" s="421"/>
      <c r="AH978" s="421"/>
      <c r="AI978" s="421"/>
      <c r="AJ978" s="421"/>
      <c r="AK978" s="421"/>
      <c r="AL978" s="421"/>
      <c r="AM978" s="421"/>
      <c r="AN978" s="421"/>
      <c r="AO978" s="421"/>
      <c r="AP978" s="421"/>
      <c r="AQ978" s="421"/>
      <c r="AR978" s="421"/>
      <c r="AS978" s="421"/>
      <c r="AT978" s="421"/>
      <c r="AU978" s="421"/>
      <c r="AV978" s="421"/>
      <c r="AW978" s="421"/>
      <c r="AX978" s="421"/>
      <c r="AY978" s="421"/>
      <c r="AZ978" s="421"/>
      <c r="BA978" s="421"/>
      <c r="BB978"/>
      <c r="BC978" s="115"/>
      <c r="BD978" s="115"/>
      <c r="BE978" s="115"/>
      <c r="BF978" s="115"/>
      <c r="BG978" s="115"/>
      <c r="BH978" s="124"/>
      <c r="BI978" s="124"/>
      <c r="BJ978" s="124"/>
      <c r="BK978" s="124"/>
      <c r="BL978" s="124"/>
      <c r="BM978" s="124"/>
      <c r="BN978" s="124"/>
      <c r="BO978" s="124"/>
      <c r="BP978" s="124"/>
      <c r="BQ978" s="124"/>
      <c r="BR978" s="124"/>
      <c r="BS978" s="124"/>
      <c r="BT978" s="124"/>
      <c r="BU978" s="124"/>
      <c r="BV978" s="124"/>
      <c r="BW978" s="124"/>
      <c r="BX978" s="124"/>
      <c r="BY978" s="124"/>
      <c r="BZ978" s="124"/>
      <c r="CA978" s="124"/>
      <c r="CB978" s="124"/>
      <c r="CC978" s="124"/>
      <c r="CD978" s="124"/>
      <c r="CE978" s="124"/>
      <c r="CF978" s="124"/>
      <c r="CG978" s="124"/>
      <c r="CH978" s="124"/>
      <c r="CI978" s="124"/>
      <c r="CJ978" s="124"/>
      <c r="CK978" s="124"/>
      <c r="CL978" s="124"/>
      <c r="CM978" s="124"/>
      <c r="CN978" s="124"/>
      <c r="CO978" s="124"/>
      <c r="CP978" s="124"/>
      <c r="CQ978" s="124"/>
      <c r="CR978" s="124"/>
      <c r="CS978" s="124"/>
      <c r="CT978" s="124"/>
      <c r="CU978" s="124"/>
      <c r="CV978" s="124"/>
      <c r="CW978" s="124"/>
      <c r="CX978" s="124"/>
      <c r="CY978" s="124"/>
      <c r="CZ978" s="124"/>
      <c r="DA978" s="124"/>
      <c r="DB978" s="124"/>
      <c r="DC978" s="124"/>
      <c r="DD978" s="124"/>
      <c r="DE978" s="124"/>
      <c r="DF978" s="124"/>
      <c r="DG978" s="115"/>
    </row>
    <row r="979" spans="1:111" ht="9" customHeight="1">
      <c r="A979"/>
      <c r="B979" s="143"/>
      <c r="C979" s="143"/>
      <c r="D979" s="143"/>
      <c r="E979" s="143"/>
      <c r="F979" s="143"/>
      <c r="G979" s="143"/>
      <c r="H979" s="143"/>
      <c r="I979" s="143"/>
      <c r="J979" s="143"/>
      <c r="K979" s="143"/>
      <c r="L979" s="143"/>
      <c r="M979" s="143"/>
      <c r="N979" s="143"/>
      <c r="O979" s="421"/>
      <c r="P979" s="421"/>
      <c r="Q979" s="421"/>
      <c r="R979" s="421"/>
      <c r="S979" s="421"/>
      <c r="T979" s="421"/>
      <c r="U979" s="421"/>
      <c r="V979" s="421"/>
      <c r="W979" s="421"/>
      <c r="X979" s="421"/>
      <c r="Y979" s="421"/>
      <c r="Z979" s="421"/>
      <c r="AA979" s="421"/>
      <c r="AB979" s="421"/>
      <c r="AC979" s="421"/>
      <c r="AD979" s="421"/>
      <c r="AE979" s="421"/>
      <c r="AF979" s="421"/>
      <c r="AG979" s="421"/>
      <c r="AH979" s="421"/>
      <c r="AI979" s="421"/>
      <c r="AJ979" s="421"/>
      <c r="AK979" s="421"/>
      <c r="AL979" s="421"/>
      <c r="AM979" s="421"/>
      <c r="AN979" s="421"/>
      <c r="AO979" s="421"/>
      <c r="AP979" s="421"/>
      <c r="AQ979" s="421"/>
      <c r="AR979" s="421"/>
      <c r="AS979" s="421"/>
      <c r="AT979" s="421"/>
      <c r="AU979" s="421"/>
      <c r="AV979" s="421"/>
      <c r="AW979" s="421"/>
      <c r="AX979" s="421"/>
      <c r="AY979" s="421"/>
      <c r="AZ979" s="421"/>
      <c r="BA979" s="421"/>
      <c r="BB979"/>
      <c r="BC979" s="115"/>
      <c r="BD979" s="115"/>
      <c r="BE979" s="115"/>
      <c r="BF979" s="115"/>
      <c r="BG979" s="115"/>
      <c r="BH979" s="138"/>
      <c r="BI979" s="138"/>
      <c r="BJ979" s="138"/>
      <c r="BK979" s="138"/>
      <c r="BL979" s="138"/>
      <c r="BM979" s="138"/>
      <c r="BN979" s="138"/>
      <c r="BO979" s="138"/>
      <c r="BP979" s="138"/>
      <c r="BQ979" s="138"/>
      <c r="BR979" s="138"/>
      <c r="BS979" s="138"/>
      <c r="BT979" s="138"/>
      <c r="BU979" s="138"/>
      <c r="BV979" s="138"/>
      <c r="BW979" s="138"/>
      <c r="BX979" s="138"/>
      <c r="BY979" s="138"/>
      <c r="BZ979" s="138"/>
      <c r="CA979" s="138"/>
      <c r="CB979" s="138"/>
      <c r="CC979" s="138"/>
      <c r="CD979" s="138"/>
      <c r="CE979" s="138"/>
      <c r="CF979" s="138"/>
      <c r="CG979" s="138"/>
      <c r="CH979" s="138"/>
      <c r="CI979" s="138"/>
      <c r="CJ979" s="138"/>
      <c r="CK979" s="138"/>
      <c r="CL979" s="138"/>
      <c r="CM979" s="138"/>
      <c r="CN979" s="138"/>
      <c r="CO979" s="138"/>
      <c r="CP979" s="138"/>
      <c r="CQ979" s="138"/>
      <c r="CR979" s="138"/>
      <c r="CS979" s="138"/>
      <c r="CT979" s="138"/>
      <c r="CU979" s="138"/>
      <c r="CV979" s="138"/>
      <c r="CW979" s="138"/>
      <c r="CX979" s="138"/>
      <c r="CY979" s="138"/>
      <c r="CZ979" s="138"/>
      <c r="DA979" s="138"/>
      <c r="DB979" s="138"/>
      <c r="DC979" s="138"/>
      <c r="DD979" s="138"/>
      <c r="DE979" s="138"/>
      <c r="DF979" s="138"/>
      <c r="DG979" s="115"/>
    </row>
    <row r="980" spans="1:111" ht="9" customHeight="1">
      <c r="A980"/>
      <c r="B980" s="143"/>
      <c r="C980" s="143"/>
      <c r="D980" s="143"/>
      <c r="E980" s="143"/>
      <c r="F980" s="143"/>
      <c r="G980" s="143"/>
      <c r="H980" s="143"/>
      <c r="I980" s="143"/>
      <c r="J980" s="143"/>
      <c r="K980" s="143"/>
      <c r="L980" s="143"/>
      <c r="M980" s="143"/>
      <c r="N980" s="143"/>
      <c r="O980" s="421"/>
      <c r="P980" s="421"/>
      <c r="Q980" s="421"/>
      <c r="R980" s="421"/>
      <c r="S980" s="421"/>
      <c r="T980" s="421"/>
      <c r="U980" s="421"/>
      <c r="V980" s="421"/>
      <c r="W980" s="421"/>
      <c r="X980" s="421"/>
      <c r="Y980" s="421"/>
      <c r="Z980" s="421"/>
      <c r="AA980" s="421"/>
      <c r="AB980" s="421"/>
      <c r="AC980" s="421"/>
      <c r="AD980" s="421"/>
      <c r="AE980" s="421"/>
      <c r="AF980" s="421"/>
      <c r="AG980" s="421"/>
      <c r="AH980" s="421"/>
      <c r="AI980" s="421"/>
      <c r="AJ980" s="421"/>
      <c r="AK980" s="421"/>
      <c r="AL980" s="421"/>
      <c r="AM980" s="421"/>
      <c r="AN980" s="421"/>
      <c r="AO980" s="421"/>
      <c r="AP980" s="421"/>
      <c r="AQ980" s="421"/>
      <c r="AR980" s="421"/>
      <c r="AS980" s="421"/>
      <c r="AT980" s="421"/>
      <c r="AU980" s="421"/>
      <c r="AV980" s="421"/>
      <c r="AW980" s="421"/>
      <c r="AX980" s="421"/>
      <c r="AY980" s="421"/>
      <c r="AZ980" s="421"/>
      <c r="BA980" s="421"/>
      <c r="BB980"/>
      <c r="BC980" s="115"/>
      <c r="BD980" s="115"/>
      <c r="BE980" s="115"/>
      <c r="BF980" s="115"/>
      <c r="BG980" s="115"/>
      <c r="BH980" s="138"/>
      <c r="BI980" s="138"/>
      <c r="BJ980" s="138"/>
      <c r="BK980" s="138"/>
      <c r="BL980" s="138"/>
      <c r="BM980" s="138"/>
      <c r="BN980" s="138"/>
      <c r="BO980" s="138"/>
      <c r="BP980" s="138"/>
      <c r="BQ980" s="138"/>
      <c r="BR980" s="138"/>
      <c r="BS980" s="138"/>
      <c r="BT980" s="138"/>
      <c r="BU980" s="138"/>
      <c r="BV980" s="138"/>
      <c r="BW980" s="138"/>
      <c r="BX980" s="138"/>
      <c r="BY980" s="138"/>
      <c r="BZ980" s="138"/>
      <c r="CA980" s="138"/>
      <c r="CB980" s="138"/>
      <c r="CC980" s="138"/>
      <c r="CD980" s="138"/>
      <c r="CE980" s="138"/>
      <c r="CF980" s="138"/>
      <c r="CG980" s="138"/>
      <c r="CH980" s="138"/>
      <c r="CI980" s="138"/>
      <c r="CJ980" s="138"/>
      <c r="CK980" s="138"/>
      <c r="CL980" s="138"/>
      <c r="CM980" s="138"/>
      <c r="CN980" s="138"/>
      <c r="CO980" s="138"/>
      <c r="CP980" s="138"/>
      <c r="CQ980" s="138"/>
      <c r="CR980" s="138"/>
      <c r="CS980" s="138"/>
      <c r="CT980" s="138"/>
      <c r="CU980" s="138"/>
      <c r="CV980" s="138"/>
      <c r="CW980" s="138"/>
      <c r="CX980" s="138"/>
      <c r="CY980" s="138"/>
      <c r="CZ980" s="138"/>
      <c r="DA980" s="138"/>
      <c r="DB980" s="138"/>
      <c r="DC980" s="138"/>
      <c r="DD980" s="138"/>
      <c r="DE980" s="138"/>
      <c r="DF980" s="138"/>
      <c r="DG980" s="115"/>
    </row>
    <row r="981" spans="1:111" ht="9" customHeight="1">
      <c r="A981"/>
      <c r="B981" s="49"/>
      <c r="C981" s="49"/>
      <c r="D981" s="49"/>
      <c r="E981" s="49"/>
      <c r="F981" s="49"/>
      <c r="G981" s="49"/>
      <c r="H981" s="49"/>
      <c r="I981" s="49"/>
      <c r="J981" s="49"/>
      <c r="K981" s="49"/>
      <c r="L981" s="49"/>
      <c r="M981" s="49"/>
      <c r="N981" s="49"/>
      <c r="O981" s="421"/>
      <c r="P981" s="421"/>
      <c r="Q981" s="421"/>
      <c r="R981" s="421"/>
      <c r="S981" s="421"/>
      <c r="T981" s="421"/>
      <c r="U981" s="421"/>
      <c r="V981" s="421"/>
      <c r="W981" s="421"/>
      <c r="X981" s="421"/>
      <c r="Y981" s="421"/>
      <c r="Z981" s="421"/>
      <c r="AA981" s="421"/>
      <c r="AB981" s="421"/>
      <c r="AC981" s="421"/>
      <c r="AD981" s="421"/>
      <c r="AE981" s="421"/>
      <c r="AF981" s="421"/>
      <c r="AG981" s="421"/>
      <c r="AH981" s="421"/>
      <c r="AI981" s="421"/>
      <c r="AJ981" s="421"/>
      <c r="AK981" s="421"/>
      <c r="AL981" s="421"/>
      <c r="AM981" s="421"/>
      <c r="AN981" s="421"/>
      <c r="AO981" s="421"/>
      <c r="AP981" s="421"/>
      <c r="AQ981" s="421"/>
      <c r="AR981" s="421"/>
      <c r="AS981" s="421"/>
      <c r="AT981" s="421"/>
      <c r="AU981" s="421"/>
      <c r="AV981" s="421"/>
      <c r="AW981" s="421"/>
      <c r="AX981" s="421"/>
      <c r="AY981" s="421"/>
      <c r="AZ981" s="421"/>
      <c r="BA981" s="421"/>
      <c r="BB981"/>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c r="BY981" s="115"/>
      <c r="BZ981" s="115"/>
      <c r="CA981" s="115"/>
      <c r="CB981" s="115"/>
      <c r="CC981" s="115"/>
      <c r="CD981" s="115"/>
      <c r="CE981" s="115"/>
      <c r="CF981" s="115"/>
      <c r="CG981" s="115"/>
      <c r="CH981" s="115"/>
      <c r="CI981" s="115"/>
      <c r="CJ981" s="115"/>
      <c r="CK981" s="115"/>
      <c r="CL981" s="115"/>
      <c r="CM981" s="115"/>
      <c r="CN981" s="115"/>
      <c r="CO981" s="115"/>
      <c r="CP981" s="115"/>
      <c r="CQ981" s="115"/>
      <c r="CR981" s="115"/>
      <c r="CS981" s="115"/>
      <c r="CT981" s="115"/>
      <c r="CU981" s="115"/>
      <c r="CV981" s="115"/>
      <c r="CW981" s="115"/>
      <c r="CX981" s="115"/>
      <c r="CY981" s="115"/>
      <c r="CZ981" s="115"/>
      <c r="DA981" s="115"/>
      <c r="DB981" s="115"/>
      <c r="DC981" s="115"/>
      <c r="DD981" s="115"/>
      <c r="DE981" s="115"/>
      <c r="DF981" s="115"/>
      <c r="DG981" s="115"/>
    </row>
    <row r="982" spans="1:111" ht="4.5" customHeight="1">
      <c r="A982"/>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49"/>
      <c r="AT982" s="49"/>
      <c r="AU982" s="49"/>
      <c r="AV982" s="49"/>
      <c r="AW982" s="49"/>
      <c r="AX982" s="49"/>
      <c r="AY982" s="49"/>
      <c r="AZ982" s="49"/>
      <c r="BA982" s="49"/>
      <c r="BB982"/>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c r="BY982" s="115"/>
      <c r="BZ982" s="115"/>
      <c r="CA982" s="115"/>
      <c r="CB982" s="115"/>
      <c r="CC982" s="115"/>
      <c r="CD982" s="115"/>
      <c r="CE982" s="115"/>
      <c r="CF982" s="115"/>
      <c r="CG982" s="115"/>
      <c r="CH982" s="115"/>
      <c r="CI982" s="115"/>
      <c r="CJ982" s="115"/>
      <c r="CK982" s="115"/>
      <c r="CL982" s="115"/>
      <c r="CM982" s="115"/>
      <c r="CN982" s="115"/>
      <c r="CO982" s="115"/>
      <c r="CP982" s="115"/>
      <c r="CQ982" s="115"/>
      <c r="CR982" s="115"/>
      <c r="CS982" s="115"/>
      <c r="CT982" s="115"/>
      <c r="CU982" s="115"/>
      <c r="CV982" s="115"/>
      <c r="CW982" s="115"/>
      <c r="CX982" s="115"/>
      <c r="CY982" s="115"/>
      <c r="CZ982" s="115"/>
      <c r="DA982" s="115"/>
      <c r="DB982" s="115"/>
      <c r="DC982" s="115"/>
      <c r="DD982" s="115"/>
      <c r="DE982" s="115"/>
      <c r="DF982" s="115"/>
      <c r="DG982" s="115"/>
    </row>
    <row r="983" spans="1:111" ht="9" customHeight="1">
      <c r="A983"/>
      <c r="B983" s="493" t="str">
        <f>IF(B956="","","Metas Vinculadas:")</f>
        <v/>
      </c>
      <c r="C983" s="493"/>
      <c r="D983" s="493"/>
      <c r="E983" s="493"/>
      <c r="F983" s="493"/>
      <c r="G983" s="493"/>
      <c r="H983" s="493"/>
      <c r="I983" s="493"/>
      <c r="J983" s="493"/>
      <c r="K983" s="493"/>
      <c r="L983" s="493"/>
      <c r="M983" s="493"/>
      <c r="N983" s="493"/>
      <c r="O983" s="421"/>
      <c r="P983" s="421"/>
      <c r="Q983" s="421"/>
      <c r="R983" s="421"/>
      <c r="S983" s="421"/>
      <c r="T983" s="421"/>
      <c r="U983" s="421"/>
      <c r="V983" s="421"/>
      <c r="W983" s="421"/>
      <c r="X983" s="421"/>
      <c r="Y983" s="421"/>
      <c r="Z983" s="421"/>
      <c r="AA983" s="421"/>
      <c r="AB983" s="421"/>
      <c r="AC983" s="421"/>
      <c r="AD983" s="421"/>
      <c r="AE983" s="421"/>
      <c r="AF983" s="421"/>
      <c r="AG983" s="421"/>
      <c r="AH983" s="421"/>
      <c r="AI983" s="421"/>
      <c r="AJ983" s="421"/>
      <c r="AK983" s="421"/>
      <c r="AL983" s="421"/>
      <c r="AM983" s="421"/>
      <c r="AN983" s="421"/>
      <c r="AO983" s="421"/>
      <c r="AP983" s="421"/>
      <c r="AQ983" s="421"/>
      <c r="AR983" s="421"/>
      <c r="AS983" s="421"/>
      <c r="AT983" s="421"/>
      <c r="AU983" s="421"/>
      <c r="AV983" s="421"/>
      <c r="AW983" s="421"/>
      <c r="AX983" s="421"/>
      <c r="AY983" s="421"/>
      <c r="AZ983" s="421"/>
      <c r="BA983" s="421"/>
      <c r="BB983"/>
      <c r="BC983" s="115"/>
      <c r="BD983" s="115"/>
      <c r="BE983" s="115"/>
      <c r="BF983" s="115"/>
      <c r="BG983" s="115"/>
      <c r="BH983" s="124"/>
      <c r="BI983" s="124"/>
      <c r="BJ983" s="124"/>
      <c r="BK983" s="124"/>
      <c r="BL983" s="124"/>
      <c r="BM983" s="124"/>
      <c r="BN983" s="124"/>
      <c r="BO983" s="124"/>
      <c r="BP983" s="124"/>
      <c r="BQ983" s="124"/>
      <c r="BR983" s="124"/>
      <c r="BS983" s="124"/>
      <c r="BT983" s="124"/>
      <c r="BU983" s="124"/>
      <c r="BV983" s="124"/>
      <c r="BW983" s="124"/>
      <c r="BX983" s="124"/>
      <c r="BY983" s="124"/>
      <c r="BZ983" s="124"/>
      <c r="CA983" s="124"/>
      <c r="CB983" s="124"/>
      <c r="CC983" s="124"/>
      <c r="CD983" s="124"/>
      <c r="CE983" s="124"/>
      <c r="CF983" s="124"/>
      <c r="CG983" s="124"/>
      <c r="CH983" s="124"/>
      <c r="CI983" s="124"/>
      <c r="CJ983" s="124"/>
      <c r="CK983" s="124"/>
      <c r="CL983" s="124"/>
      <c r="CM983" s="124"/>
      <c r="CN983" s="124"/>
      <c r="CO983" s="124"/>
      <c r="CP983" s="124"/>
      <c r="CQ983" s="124"/>
      <c r="CR983" s="124"/>
      <c r="CS983" s="124"/>
      <c r="CT983" s="124"/>
      <c r="CU983" s="124"/>
      <c r="CV983" s="124"/>
      <c r="CW983" s="124"/>
      <c r="CX983" s="124"/>
      <c r="CY983" s="124"/>
      <c r="CZ983" s="124"/>
      <c r="DA983" s="124"/>
      <c r="DB983" s="124"/>
      <c r="DC983" s="124"/>
      <c r="DD983" s="124"/>
      <c r="DE983" s="124"/>
      <c r="DF983" s="124"/>
      <c r="DG983" s="115"/>
    </row>
    <row r="984" spans="1:111" ht="9" customHeight="1">
      <c r="A984"/>
      <c r="B984" s="493"/>
      <c r="C984" s="493"/>
      <c r="D984" s="493"/>
      <c r="E984" s="493"/>
      <c r="F984" s="493"/>
      <c r="G984" s="493"/>
      <c r="H984" s="493"/>
      <c r="I984" s="493"/>
      <c r="J984" s="493"/>
      <c r="K984" s="493"/>
      <c r="L984" s="493"/>
      <c r="M984" s="493"/>
      <c r="N984" s="493"/>
      <c r="O984" s="421"/>
      <c r="P984" s="421"/>
      <c r="Q984" s="421"/>
      <c r="R984" s="421"/>
      <c r="S984" s="421"/>
      <c r="T984" s="421"/>
      <c r="U984" s="421"/>
      <c r="V984" s="421"/>
      <c r="W984" s="421"/>
      <c r="X984" s="421"/>
      <c r="Y984" s="421"/>
      <c r="Z984" s="421"/>
      <c r="AA984" s="421"/>
      <c r="AB984" s="421"/>
      <c r="AC984" s="421"/>
      <c r="AD984" s="421"/>
      <c r="AE984" s="421"/>
      <c r="AF984" s="421"/>
      <c r="AG984" s="421"/>
      <c r="AH984" s="421"/>
      <c r="AI984" s="421"/>
      <c r="AJ984" s="421"/>
      <c r="AK984" s="421"/>
      <c r="AL984" s="421"/>
      <c r="AM984" s="421"/>
      <c r="AN984" s="421"/>
      <c r="AO984" s="421"/>
      <c r="AP984" s="421"/>
      <c r="AQ984" s="421"/>
      <c r="AR984" s="421"/>
      <c r="AS984" s="421"/>
      <c r="AT984" s="421"/>
      <c r="AU984" s="421"/>
      <c r="AV984" s="421"/>
      <c r="AW984" s="421"/>
      <c r="AX984" s="421"/>
      <c r="AY984" s="421"/>
      <c r="AZ984" s="421"/>
      <c r="BA984" s="421"/>
      <c r="BB984"/>
      <c r="BC984" s="115"/>
      <c r="BD984" s="115"/>
      <c r="BE984" s="115"/>
      <c r="BF984" s="115"/>
      <c r="BG984" s="115"/>
      <c r="BH984" s="138"/>
      <c r="BI984" s="138"/>
      <c r="BJ984" s="138"/>
      <c r="BK984" s="138"/>
      <c r="BL984" s="138"/>
      <c r="BM984" s="138"/>
      <c r="BN984" s="138"/>
      <c r="BO984" s="138"/>
      <c r="BP984" s="138"/>
      <c r="BQ984" s="138"/>
      <c r="BR984" s="138"/>
      <c r="BS984" s="138"/>
      <c r="BT984" s="138"/>
      <c r="BU984" s="138"/>
      <c r="BV984" s="138"/>
      <c r="BW984" s="138"/>
      <c r="BX984" s="138"/>
      <c r="BY984" s="138"/>
      <c r="BZ984" s="138"/>
      <c r="CA984" s="138"/>
      <c r="CB984" s="138"/>
      <c r="CC984" s="138"/>
      <c r="CD984" s="138"/>
      <c r="CE984" s="138"/>
      <c r="CF984" s="138"/>
      <c r="CG984" s="138"/>
      <c r="CH984" s="138"/>
      <c r="CI984" s="138"/>
      <c r="CJ984" s="138"/>
      <c r="CK984" s="138"/>
      <c r="CL984" s="138"/>
      <c r="CM984" s="138"/>
      <c r="CN984" s="138"/>
      <c r="CO984" s="138"/>
      <c r="CP984" s="138"/>
      <c r="CQ984" s="138"/>
      <c r="CR984" s="138"/>
      <c r="CS984" s="138"/>
      <c r="CT984" s="138"/>
      <c r="CU984" s="138"/>
      <c r="CV984" s="138"/>
      <c r="CW984" s="138"/>
      <c r="CX984" s="138"/>
      <c r="CY984" s="138"/>
      <c r="CZ984" s="138"/>
      <c r="DA984" s="138"/>
      <c r="DB984" s="138"/>
      <c r="DC984" s="138"/>
      <c r="DD984" s="138"/>
      <c r="DE984" s="138"/>
      <c r="DF984" s="138"/>
      <c r="DG984" s="115"/>
    </row>
    <row r="985" spans="1:111" ht="4.5" customHeight="1">
      <c r="A985"/>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49"/>
      <c r="AT985" s="49"/>
      <c r="AU985" s="49"/>
      <c r="AV985" s="49"/>
      <c r="AW985" s="49"/>
      <c r="AX985" s="49"/>
      <c r="AY985" s="49"/>
      <c r="AZ985" s="49"/>
      <c r="BA985" s="49"/>
      <c r="BB98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c r="BY985" s="115"/>
      <c r="BZ985" s="115"/>
      <c r="CA985" s="115"/>
      <c r="CB985" s="115"/>
      <c r="CC985" s="115"/>
      <c r="CD985" s="115"/>
      <c r="CE985" s="115"/>
      <c r="CF985" s="115"/>
      <c r="CG985" s="115"/>
      <c r="CH985" s="115"/>
      <c r="CI985" s="115"/>
      <c r="CJ985" s="115"/>
      <c r="CK985" s="115"/>
      <c r="CL985" s="115"/>
      <c r="CM985" s="115"/>
      <c r="CN985" s="115"/>
      <c r="CO985" s="115"/>
      <c r="CP985" s="115"/>
      <c r="CQ985" s="115"/>
      <c r="CR985" s="115"/>
      <c r="CS985" s="115"/>
      <c r="CT985" s="115"/>
      <c r="CU985" s="115"/>
      <c r="CV985" s="115"/>
      <c r="CW985" s="115"/>
      <c r="CX985" s="115"/>
      <c r="CY985" s="115"/>
      <c r="CZ985" s="115"/>
      <c r="DA985" s="115"/>
      <c r="DB985" s="115"/>
      <c r="DC985" s="115"/>
      <c r="DD985" s="115"/>
      <c r="DE985" s="115"/>
      <c r="DF985" s="115"/>
      <c r="DG985" s="115"/>
    </row>
    <row r="986" spans="1:111" ht="9" customHeight="1">
      <c r="A986"/>
      <c r="B986" s="125"/>
      <c r="C986" s="125"/>
      <c r="D986" s="125"/>
      <c r="E986" s="125"/>
      <c r="F986" s="125"/>
      <c r="G986" s="125"/>
      <c r="H986" s="125"/>
      <c r="I986" s="125"/>
      <c r="J986" s="125"/>
      <c r="K986" s="125"/>
      <c r="L986" s="125"/>
      <c r="M986" s="125"/>
      <c r="N986" s="125"/>
      <c r="O986" s="496" t="str">
        <f>IF(B956="","","Quantidade:")</f>
        <v/>
      </c>
      <c r="P986" s="496"/>
      <c r="Q986" s="496"/>
      <c r="R986" s="496"/>
      <c r="S986" s="496"/>
      <c r="T986" s="496"/>
      <c r="U986" s="496"/>
      <c r="V986" s="417"/>
      <c r="W986" s="417"/>
      <c r="X986" s="417"/>
      <c r="Y986" s="417"/>
      <c r="Z986" s="417"/>
      <c r="AA986" s="417"/>
      <c r="AB986" s="417"/>
      <c r="AC986" s="417"/>
      <c r="AD986" s="417"/>
      <c r="AE986" s="417"/>
      <c r="AF986" s="125"/>
      <c r="AG986" s="497" t="str">
        <f>IF(B956="","","Unidade:")</f>
        <v/>
      </c>
      <c r="AH986" s="497"/>
      <c r="AI986" s="497"/>
      <c r="AJ986" s="497"/>
      <c r="AK986" s="497"/>
      <c r="AL986" s="497"/>
      <c r="AM986" s="497"/>
      <c r="AN986" s="125"/>
      <c r="AO986" s="417"/>
      <c r="AP986" s="417"/>
      <c r="AQ986" s="417"/>
      <c r="AR986" s="417"/>
      <c r="AS986" s="417"/>
      <c r="AT986" s="417"/>
      <c r="AU986" s="417"/>
      <c r="AV986" s="417"/>
      <c r="AW986" s="417"/>
      <c r="AX986" s="417"/>
      <c r="AY986" s="417"/>
      <c r="AZ986" s="417"/>
      <c r="BA986" s="417"/>
      <c r="BB986"/>
      <c r="BC986" s="115"/>
      <c r="BD986" s="115"/>
      <c r="BE986" s="115"/>
      <c r="BF986" s="115"/>
      <c r="BG986" s="115"/>
      <c r="BH986" s="124"/>
      <c r="BI986" s="124"/>
      <c r="BJ986" s="124"/>
      <c r="BK986" s="124"/>
      <c r="BL986" s="124"/>
      <c r="BM986" s="124"/>
      <c r="BN986" s="124"/>
      <c r="BO986" s="124"/>
      <c r="BP986" s="124"/>
      <c r="BQ986" s="124"/>
      <c r="BR986" s="124"/>
      <c r="BS986" s="124"/>
      <c r="BT986" s="124"/>
      <c r="BU986" s="124"/>
      <c r="BV986" s="124"/>
      <c r="BW986" s="124"/>
      <c r="BX986" s="124"/>
      <c r="BY986" s="124"/>
      <c r="BZ986" s="124"/>
      <c r="CA986" s="124"/>
      <c r="CB986" s="124"/>
      <c r="CC986" s="124"/>
      <c r="CD986" s="124"/>
      <c r="CE986" s="124"/>
      <c r="CF986" s="124"/>
      <c r="CG986" s="124"/>
      <c r="CH986" s="124"/>
      <c r="CI986" s="124"/>
      <c r="CJ986" s="124"/>
      <c r="CK986" s="124"/>
      <c r="CL986" s="124"/>
      <c r="CM986" s="124"/>
      <c r="CN986" s="124"/>
      <c r="CO986" s="124"/>
      <c r="CP986" s="124"/>
      <c r="CQ986" s="124"/>
      <c r="CR986" s="124"/>
      <c r="CS986" s="124"/>
      <c r="CT986" s="124"/>
      <c r="CU986" s="124"/>
      <c r="CV986" s="124"/>
      <c r="CW986" s="124"/>
      <c r="CX986" s="124"/>
      <c r="CY986" s="124"/>
      <c r="CZ986" s="124"/>
      <c r="DA986" s="124"/>
      <c r="DB986" s="124"/>
      <c r="DC986" s="124"/>
      <c r="DD986" s="124"/>
      <c r="DE986" s="124"/>
      <c r="DF986" s="124"/>
      <c r="DG986" s="115"/>
    </row>
    <row r="987" spans="1:111" ht="9" customHeight="1">
      <c r="A987"/>
      <c r="B987" s="125"/>
      <c r="C987" s="125"/>
      <c r="D987" s="125"/>
      <c r="E987" s="125"/>
      <c r="F987" s="125"/>
      <c r="G987" s="125"/>
      <c r="H987" s="125"/>
      <c r="I987" s="125"/>
      <c r="J987" s="125"/>
      <c r="K987" s="125"/>
      <c r="L987" s="125"/>
      <c r="M987" s="125"/>
      <c r="N987" s="125"/>
      <c r="O987" s="496"/>
      <c r="P987" s="496"/>
      <c r="Q987" s="496"/>
      <c r="R987" s="496"/>
      <c r="S987" s="496"/>
      <c r="T987" s="496"/>
      <c r="U987" s="496"/>
      <c r="V987" s="417"/>
      <c r="W987" s="417"/>
      <c r="X987" s="417"/>
      <c r="Y987" s="417"/>
      <c r="Z987" s="417"/>
      <c r="AA987" s="417"/>
      <c r="AB987" s="417"/>
      <c r="AC987" s="417"/>
      <c r="AD987" s="417"/>
      <c r="AE987" s="417"/>
      <c r="AF987" s="125"/>
      <c r="AG987" s="497"/>
      <c r="AH987" s="497"/>
      <c r="AI987" s="497"/>
      <c r="AJ987" s="497"/>
      <c r="AK987" s="497"/>
      <c r="AL987" s="497"/>
      <c r="AM987" s="497"/>
      <c r="AN987" s="125"/>
      <c r="AO987" s="417"/>
      <c r="AP987" s="417"/>
      <c r="AQ987" s="417"/>
      <c r="AR987" s="417"/>
      <c r="AS987" s="417"/>
      <c r="AT987" s="417"/>
      <c r="AU987" s="417"/>
      <c r="AV987" s="417"/>
      <c r="AW987" s="417"/>
      <c r="AX987" s="417"/>
      <c r="AY987" s="417"/>
      <c r="AZ987" s="417"/>
      <c r="BA987" s="417"/>
      <c r="BB987"/>
      <c r="BC987" s="115"/>
      <c r="BD987" s="115"/>
      <c r="BE987" s="115"/>
      <c r="BF987" s="115"/>
      <c r="BG987" s="115"/>
      <c r="BH987" s="124"/>
      <c r="BI987" s="124"/>
      <c r="BJ987" s="124"/>
      <c r="BK987" s="124"/>
      <c r="BL987" s="124"/>
      <c r="BM987" s="124"/>
      <c r="BN987" s="124"/>
      <c r="BO987" s="124"/>
      <c r="BP987" s="124"/>
      <c r="BQ987" s="124"/>
      <c r="BR987" s="124"/>
      <c r="BS987" s="124"/>
      <c r="BT987" s="124"/>
      <c r="BU987" s="124"/>
      <c r="BV987" s="124"/>
      <c r="BW987" s="124"/>
      <c r="BX987" s="124"/>
      <c r="BY987" s="124"/>
      <c r="BZ987" s="124"/>
      <c r="CA987" s="124"/>
      <c r="CB987" s="124"/>
      <c r="CC987" s="124"/>
      <c r="CD987" s="124"/>
      <c r="CE987" s="124"/>
      <c r="CF987" s="124"/>
      <c r="CG987" s="124"/>
      <c r="CH987" s="124"/>
      <c r="CI987" s="124"/>
      <c r="CJ987" s="124"/>
      <c r="CK987" s="124"/>
      <c r="CL987" s="124"/>
      <c r="CM987" s="124"/>
      <c r="CN987" s="124"/>
      <c r="CO987" s="124"/>
      <c r="CP987" s="124"/>
      <c r="CQ987" s="124"/>
      <c r="CR987" s="124"/>
      <c r="CS987" s="124"/>
      <c r="CT987" s="124"/>
      <c r="CU987" s="124"/>
      <c r="CV987" s="124"/>
      <c r="CW987" s="124"/>
      <c r="CX987" s="124"/>
      <c r="CY987" s="124"/>
      <c r="CZ987" s="124"/>
      <c r="DA987" s="124"/>
      <c r="DB987" s="124"/>
      <c r="DC987" s="124"/>
      <c r="DD987" s="124"/>
      <c r="DE987" s="124"/>
      <c r="DF987" s="124"/>
      <c r="DG987" s="115"/>
    </row>
    <row r="988" spans="1:111" ht="9" customHeight="1">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s="115"/>
      <c r="BD988" s="115"/>
      <c r="BE988" s="115"/>
      <c r="BF988" s="115"/>
      <c r="BG988" s="115"/>
      <c r="BH988" s="498"/>
      <c r="BI988" s="498"/>
      <c r="BJ988" s="498"/>
      <c r="BK988" s="498"/>
      <c r="BL988" s="498"/>
      <c r="BM988" s="498"/>
      <c r="BN988" s="498"/>
      <c r="BO988" s="498"/>
      <c r="BP988" s="498"/>
      <c r="BQ988" s="498"/>
      <c r="BR988" s="498"/>
      <c r="BS988" s="498"/>
      <c r="BT988" s="498"/>
      <c r="BU988" s="498"/>
      <c r="BV988" s="498"/>
      <c r="BW988" s="498"/>
      <c r="BX988" s="498"/>
      <c r="BY988" s="498"/>
      <c r="BZ988" s="498"/>
      <c r="CA988" s="498"/>
      <c r="CB988" s="498"/>
      <c r="CC988" s="498"/>
      <c r="CD988" s="498"/>
      <c r="CE988" s="498"/>
      <c r="CF988" s="498"/>
      <c r="CG988" s="498"/>
      <c r="CH988" s="498"/>
      <c r="CI988" s="498"/>
      <c r="CJ988" s="498"/>
      <c r="CK988" s="498"/>
      <c r="CL988" s="498"/>
      <c r="CM988" s="498"/>
      <c r="CN988" s="498"/>
      <c r="CO988" s="498"/>
      <c r="CP988" s="498"/>
      <c r="CQ988" s="498"/>
      <c r="CR988" s="498"/>
      <c r="CS988" s="498"/>
      <c r="CT988" s="498"/>
      <c r="CU988" s="498"/>
      <c r="CV988" s="498"/>
      <c r="CW988" s="498"/>
      <c r="CX988" s="498"/>
      <c r="CY988" s="498"/>
      <c r="CZ988" s="498"/>
      <c r="DA988" s="498"/>
      <c r="DB988" s="498"/>
      <c r="DC988" s="498"/>
      <c r="DD988" s="498"/>
      <c r="DE988" s="498"/>
      <c r="DF988" s="498"/>
      <c r="DG988" s="115"/>
    </row>
    <row r="989" spans="1:111" ht="9" customHeight="1">
      <c r="A989"/>
      <c r="B989" s="499" t="str">
        <f>IF($Z$32&gt;=14,"Nome da Empresa ou Nº da Ata","")</f>
        <v/>
      </c>
      <c r="C989" s="499"/>
      <c r="D989" s="499"/>
      <c r="E989" s="499"/>
      <c r="F989" s="499"/>
      <c r="G989" s="499"/>
      <c r="H989" s="499"/>
      <c r="I989" s="499"/>
      <c r="J989" s="499"/>
      <c r="K989" s="499"/>
      <c r="L989" s="499"/>
      <c r="M989" s="499"/>
      <c r="N989" s="499"/>
      <c r="O989" s="499"/>
      <c r="P989" s="499"/>
      <c r="Q989" s="499"/>
      <c r="R989" s="499"/>
      <c r="S989" s="499"/>
      <c r="T989" s="499"/>
      <c r="U989" s="499"/>
      <c r="V989" s="499"/>
      <c r="W989" s="499"/>
      <c r="X989" s="499" t="str">
        <f>IF($Z$32&gt;=14,"CNPJ / CPF","")</f>
        <v/>
      </c>
      <c r="Y989" s="499"/>
      <c r="Z989" s="499"/>
      <c r="AA989" s="499"/>
      <c r="AB989" s="499"/>
      <c r="AC989" s="499"/>
      <c r="AD989" s="499"/>
      <c r="AE989" s="499"/>
      <c r="AF989" s="499"/>
      <c r="AG989" s="499"/>
      <c r="AH989" s="499" t="str">
        <f>IF($Z$32&gt;=14,"Qtde","")</f>
        <v/>
      </c>
      <c r="AI989" s="499"/>
      <c r="AJ989" s="499"/>
      <c r="AK989" s="499"/>
      <c r="AL989" s="499" t="str">
        <f>IF($Z$32&gt;=14,"Valor Unitário (R$)","")</f>
        <v/>
      </c>
      <c r="AM989" s="499"/>
      <c r="AN989" s="499"/>
      <c r="AO989" s="499"/>
      <c r="AP989" s="499"/>
      <c r="AQ989" s="499"/>
      <c r="AR989" s="499"/>
      <c r="AS989" s="499"/>
      <c r="AT989" s="499" t="str">
        <f>IF($Z$32&gt;=14,"Valor Total (R$)","")</f>
        <v/>
      </c>
      <c r="AU989" s="499"/>
      <c r="AV989" s="499"/>
      <c r="AW989" s="499"/>
      <c r="AX989" s="499"/>
      <c r="AY989" s="499"/>
      <c r="AZ989" s="499"/>
      <c r="BA989" s="499"/>
      <c r="BB989"/>
      <c r="BC989" s="115"/>
      <c r="BD989" s="115"/>
      <c r="BE989" s="115"/>
      <c r="BF989" s="115"/>
      <c r="BG989" s="115"/>
      <c r="BH989" s="498"/>
      <c r="BI989" s="498"/>
      <c r="BJ989" s="498"/>
      <c r="BK989" s="498"/>
      <c r="BL989" s="498"/>
      <c r="BM989" s="498"/>
      <c r="BN989" s="498"/>
      <c r="BO989" s="498"/>
      <c r="BP989" s="498"/>
      <c r="BQ989" s="498"/>
      <c r="BR989" s="498"/>
      <c r="BS989" s="498"/>
      <c r="BT989" s="498"/>
      <c r="BU989" s="498"/>
      <c r="BV989" s="498"/>
      <c r="BW989" s="498"/>
      <c r="BX989" s="498"/>
      <c r="BY989" s="498"/>
      <c r="BZ989" s="498"/>
      <c r="CA989" s="498"/>
      <c r="CB989" s="498"/>
      <c r="CC989" s="498"/>
      <c r="CD989" s="498"/>
      <c r="CE989" s="498"/>
      <c r="CF989" s="498"/>
      <c r="CG989" s="498"/>
      <c r="CH989" s="498"/>
      <c r="CI989" s="498"/>
      <c r="CJ989" s="498"/>
      <c r="CK989" s="498"/>
      <c r="CL989" s="498"/>
      <c r="CM989" s="498"/>
      <c r="CN989" s="498"/>
      <c r="CO989" s="498"/>
      <c r="CP989" s="498"/>
      <c r="CQ989" s="498"/>
      <c r="CR989" s="498"/>
      <c r="CS989" s="498"/>
      <c r="CT989" s="498"/>
      <c r="CU989" s="498"/>
      <c r="CV989" s="498"/>
      <c r="CW989" s="498"/>
      <c r="CX989" s="498"/>
      <c r="CY989" s="498"/>
      <c r="CZ989" s="498"/>
      <c r="DA989" s="498"/>
      <c r="DB989" s="498"/>
      <c r="DC989" s="498"/>
      <c r="DD989" s="498"/>
      <c r="DE989" s="498"/>
      <c r="DF989" s="498"/>
      <c r="DG989" s="115"/>
    </row>
    <row r="990" spans="1:111" ht="9" customHeight="1">
      <c r="A990"/>
      <c r="B990" s="499"/>
      <c r="C990" s="499"/>
      <c r="D990" s="499"/>
      <c r="E990" s="499"/>
      <c r="F990" s="499"/>
      <c r="G990" s="499"/>
      <c r="H990" s="499"/>
      <c r="I990" s="499"/>
      <c r="J990" s="499"/>
      <c r="K990" s="499"/>
      <c r="L990" s="499"/>
      <c r="M990" s="499"/>
      <c r="N990" s="499"/>
      <c r="O990" s="499"/>
      <c r="P990" s="499"/>
      <c r="Q990" s="499"/>
      <c r="R990" s="499"/>
      <c r="S990" s="499"/>
      <c r="T990" s="499"/>
      <c r="U990" s="499"/>
      <c r="V990" s="499"/>
      <c r="W990" s="499"/>
      <c r="X990" s="499"/>
      <c r="Y990" s="499"/>
      <c r="Z990" s="499"/>
      <c r="AA990" s="499"/>
      <c r="AB990" s="499"/>
      <c r="AC990" s="499"/>
      <c r="AD990" s="499"/>
      <c r="AE990" s="499"/>
      <c r="AF990" s="499"/>
      <c r="AG990" s="499"/>
      <c r="AH990" s="499"/>
      <c r="AI990" s="499"/>
      <c r="AJ990" s="499"/>
      <c r="AK990" s="499"/>
      <c r="AL990" s="499"/>
      <c r="AM990" s="499"/>
      <c r="AN990" s="499"/>
      <c r="AO990" s="499"/>
      <c r="AP990" s="499"/>
      <c r="AQ990" s="499"/>
      <c r="AR990" s="499"/>
      <c r="AS990" s="499"/>
      <c r="AT990" s="499"/>
      <c r="AU990" s="499"/>
      <c r="AV990" s="499"/>
      <c r="AW990" s="499"/>
      <c r="AX990" s="499"/>
      <c r="AY990" s="499"/>
      <c r="AZ990" s="499"/>
      <c r="BA990" s="499"/>
      <c r="BB990" s="176" t="e">
        <f>AVERAGE(AL991:AS993)</f>
        <v>#DIV/0!</v>
      </c>
      <c r="BC990" s="115"/>
      <c r="BD990" s="115"/>
      <c r="BE990" s="115"/>
      <c r="BF990" s="115"/>
      <c r="BG990" s="115"/>
      <c r="BH990" s="498"/>
      <c r="BI990" s="498"/>
      <c r="BJ990" s="498"/>
      <c r="BK990" s="498"/>
      <c r="BL990" s="498"/>
      <c r="BM990" s="498"/>
      <c r="BN990" s="498"/>
      <c r="BO990" s="498"/>
      <c r="BP990" s="498"/>
      <c r="BQ990" s="498"/>
      <c r="BR990" s="498"/>
      <c r="BS990" s="498"/>
      <c r="BT990" s="498"/>
      <c r="BU990" s="498"/>
      <c r="BV990" s="498"/>
      <c r="BW990" s="498"/>
      <c r="BX990" s="498"/>
      <c r="BY990" s="498"/>
      <c r="BZ990" s="498"/>
      <c r="CA990" s="498"/>
      <c r="CB990" s="498"/>
      <c r="CC990" s="498"/>
      <c r="CD990" s="498"/>
      <c r="CE990" s="498"/>
      <c r="CF990" s="498"/>
      <c r="CG990" s="498"/>
      <c r="CH990" s="498"/>
      <c r="CI990" s="498"/>
      <c r="CJ990" s="498"/>
      <c r="CK990" s="498"/>
      <c r="CL990" s="498"/>
      <c r="CM990" s="498"/>
      <c r="CN990" s="498"/>
      <c r="CO990" s="498"/>
      <c r="CP990" s="498"/>
      <c r="CQ990" s="498"/>
      <c r="CR990" s="498"/>
      <c r="CS990" s="498"/>
      <c r="CT990" s="498"/>
      <c r="CU990" s="498"/>
      <c r="CV990" s="498"/>
      <c r="CW990" s="498"/>
      <c r="CX990" s="498"/>
      <c r="CY990" s="498"/>
      <c r="CZ990" s="498"/>
      <c r="DA990" s="498"/>
      <c r="DB990" s="498"/>
      <c r="DC990" s="498"/>
      <c r="DD990" s="498"/>
      <c r="DE990" s="498"/>
      <c r="DF990" s="498"/>
      <c r="DG990" s="115"/>
    </row>
    <row r="991" spans="1:111" ht="18" customHeight="1">
      <c r="A991"/>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486"/>
      <c r="Y991" s="486"/>
      <c r="Z991" s="486"/>
      <c r="AA991" s="486"/>
      <c r="AB991" s="486"/>
      <c r="AC991" s="486"/>
      <c r="AD991" s="486"/>
      <c r="AE991" s="486"/>
      <c r="AF991" s="486"/>
      <c r="AG991" s="486"/>
      <c r="AH991" s="417"/>
      <c r="AI991" s="417"/>
      <c r="AJ991" s="417"/>
      <c r="AK991" s="417"/>
      <c r="AL991" s="419"/>
      <c r="AM991" s="419"/>
      <c r="AN991" s="419"/>
      <c r="AO991" s="419"/>
      <c r="AP991" s="419"/>
      <c r="AQ991" s="419"/>
      <c r="AR991" s="419"/>
      <c r="AS991" s="419"/>
      <c r="AT991" s="487" t="str">
        <f>IF($Z$32&gt;=14,(AH991*AL991),"")</f>
        <v/>
      </c>
      <c r="AU991" s="487"/>
      <c r="AV991" s="487"/>
      <c r="AW991" s="487"/>
      <c r="AX991" s="487"/>
      <c r="AY991" s="487"/>
      <c r="AZ991" s="487"/>
      <c r="BA991" s="487"/>
      <c r="BB991"/>
      <c r="BC991" s="115"/>
      <c r="BD991" s="115"/>
      <c r="BE991" s="115"/>
      <c r="BF991" s="115"/>
      <c r="BG991" s="115"/>
      <c r="BH991" s="498"/>
      <c r="BI991" s="498"/>
      <c r="BJ991" s="498"/>
      <c r="BK991" s="498"/>
      <c r="BL991" s="498"/>
      <c r="BM991" s="498"/>
      <c r="BN991" s="498"/>
      <c r="BO991" s="498"/>
      <c r="BP991" s="498"/>
      <c r="BQ991" s="498"/>
      <c r="BR991" s="498"/>
      <c r="BS991" s="498"/>
      <c r="BT991" s="498"/>
      <c r="BU991" s="498"/>
      <c r="BV991" s="498"/>
      <c r="BW991" s="498"/>
      <c r="BX991" s="498"/>
      <c r="BY991" s="498"/>
      <c r="BZ991" s="498"/>
      <c r="CA991" s="498"/>
      <c r="CB991" s="498"/>
      <c r="CC991" s="498"/>
      <c r="CD991" s="498"/>
      <c r="CE991" s="498"/>
      <c r="CF991" s="498"/>
      <c r="CG991" s="498"/>
      <c r="CH991" s="498"/>
      <c r="CI991" s="498"/>
      <c r="CJ991" s="498"/>
      <c r="CK991" s="498"/>
      <c r="CL991" s="498"/>
      <c r="CM991" s="498"/>
      <c r="CN991" s="498"/>
      <c r="CO991" s="498"/>
      <c r="CP991" s="498"/>
      <c r="CQ991" s="498"/>
      <c r="CR991" s="498"/>
      <c r="CS991" s="498"/>
      <c r="CT991" s="498"/>
      <c r="CU991" s="498"/>
      <c r="CV991" s="498"/>
      <c r="CW991" s="498"/>
      <c r="CX991" s="498"/>
      <c r="CY991" s="498"/>
      <c r="CZ991" s="498"/>
      <c r="DA991" s="498"/>
      <c r="DB991" s="498"/>
      <c r="DC991" s="498"/>
      <c r="DD991" s="498"/>
      <c r="DE991" s="498"/>
      <c r="DF991" s="498"/>
      <c r="DG991" s="115"/>
    </row>
    <row r="992" spans="1:111" ht="18" customHeight="1">
      <c r="A992"/>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486"/>
      <c r="Y992" s="486"/>
      <c r="Z992" s="486"/>
      <c r="AA992" s="486"/>
      <c r="AB992" s="486"/>
      <c r="AC992" s="486"/>
      <c r="AD992" s="486"/>
      <c r="AE992" s="486"/>
      <c r="AF992" s="486"/>
      <c r="AG992" s="486"/>
      <c r="AH992" s="417"/>
      <c r="AI992" s="417"/>
      <c r="AJ992" s="417"/>
      <c r="AK992" s="417"/>
      <c r="AL992" s="419"/>
      <c r="AM992" s="419"/>
      <c r="AN992" s="419"/>
      <c r="AO992" s="419"/>
      <c r="AP992" s="419"/>
      <c r="AQ992" s="419"/>
      <c r="AR992" s="419"/>
      <c r="AS992" s="419"/>
      <c r="AT992" s="487" t="str">
        <f>IF($Z$32&gt;=14,(AH992*AL992),"")</f>
        <v/>
      </c>
      <c r="AU992" s="487"/>
      <c r="AV992" s="487"/>
      <c r="AW992" s="487"/>
      <c r="AX992" s="487"/>
      <c r="AY992" s="487"/>
      <c r="AZ992" s="487"/>
      <c r="BA992" s="487"/>
      <c r="BB992"/>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c r="BY992" s="115"/>
      <c r="BZ992" s="115"/>
      <c r="CA992" s="115"/>
      <c r="CB992" s="115"/>
      <c r="CC992" s="115"/>
      <c r="CD992" s="115"/>
      <c r="CE992" s="115"/>
      <c r="CF992" s="115"/>
      <c r="CG992" s="115"/>
      <c r="CH992" s="115"/>
      <c r="CI992" s="115"/>
      <c r="CJ992" s="115"/>
      <c r="CK992" s="115"/>
      <c r="CL992" s="115"/>
      <c r="CM992" s="115"/>
      <c r="CN992" s="115"/>
      <c r="CO992" s="115"/>
      <c r="CP992" s="115"/>
      <c r="CQ992" s="115"/>
      <c r="CR992" s="115"/>
      <c r="CS992" s="115"/>
      <c r="CT992" s="115"/>
      <c r="CU992" s="115"/>
      <c r="CV992" s="115"/>
      <c r="CW992" s="115"/>
      <c r="CX992" s="115"/>
      <c r="CY992" s="115"/>
      <c r="CZ992" s="115"/>
      <c r="DA992" s="115"/>
      <c r="DB992" s="115"/>
      <c r="DC992" s="115"/>
      <c r="DD992" s="115"/>
      <c r="DE992" s="115"/>
      <c r="DF992" s="115"/>
      <c r="DG992" s="115"/>
    </row>
    <row r="993" spans="1:111" ht="18" customHeight="1">
      <c r="A99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486"/>
      <c r="Y993" s="486"/>
      <c r="Z993" s="486"/>
      <c r="AA993" s="486"/>
      <c r="AB993" s="486"/>
      <c r="AC993" s="486"/>
      <c r="AD993" s="486"/>
      <c r="AE993" s="486"/>
      <c r="AF993" s="486"/>
      <c r="AG993" s="486"/>
      <c r="AH993" s="417"/>
      <c r="AI993" s="417"/>
      <c r="AJ993" s="417"/>
      <c r="AK993" s="417"/>
      <c r="AL993" s="419"/>
      <c r="AM993" s="419"/>
      <c r="AN993" s="419"/>
      <c r="AO993" s="419"/>
      <c r="AP993" s="419"/>
      <c r="AQ993" s="419"/>
      <c r="AR993" s="419"/>
      <c r="AS993" s="419"/>
      <c r="AT993" s="487" t="str">
        <f>IF($Z$32&gt;=14,(AH993*AL993),"")</f>
        <v/>
      </c>
      <c r="AU993" s="487"/>
      <c r="AV993" s="487"/>
      <c r="AW993" s="487"/>
      <c r="AX993" s="487"/>
      <c r="AY993" s="487"/>
      <c r="AZ993" s="487"/>
      <c r="BA993" s="487"/>
      <c r="BB993"/>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c r="BY993" s="115"/>
      <c r="BZ993" s="115"/>
      <c r="CA993" s="115"/>
      <c r="CB993" s="115"/>
      <c r="CC993" s="115"/>
      <c r="CD993" s="115"/>
      <c r="CE993" s="115"/>
      <c r="CF993" s="115"/>
      <c r="CG993" s="115"/>
      <c r="CH993" s="115"/>
      <c r="CI993" s="115"/>
      <c r="CJ993" s="115"/>
      <c r="CK993" s="115"/>
      <c r="CL993" s="115"/>
      <c r="CM993" s="115"/>
      <c r="CN993" s="115"/>
      <c r="CO993" s="115"/>
      <c r="CP993" s="115"/>
      <c r="CQ993" s="115"/>
      <c r="CR993" s="115"/>
      <c r="CS993" s="115"/>
      <c r="CT993" s="115"/>
      <c r="CU993" s="115"/>
      <c r="CV993" s="115"/>
      <c r="CW993" s="115"/>
      <c r="CX993" s="115"/>
      <c r="CY993" s="115"/>
      <c r="CZ993" s="115"/>
      <c r="DA993" s="115"/>
      <c r="DB993" s="115"/>
      <c r="DC993" s="115"/>
      <c r="DD993" s="115"/>
      <c r="DE993" s="115"/>
      <c r="DF993" s="115"/>
      <c r="DG993" s="115"/>
    </row>
    <row r="994" spans="1:111" ht="15" customHeight="1">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s="500" t="str">
        <f>IF(B991="","",IF(AL992="",AT991,IF(AL993="",AVERAGE(AT991:BA992),AVERAGE(AT991:AT993))))</f>
        <v/>
      </c>
      <c r="AU994" s="500"/>
      <c r="AV994" s="500"/>
      <c r="AW994" s="500"/>
      <c r="AX994" s="500"/>
      <c r="AY994" s="500"/>
      <c r="AZ994" s="500"/>
      <c r="BA994" s="500"/>
      <c r="BB994"/>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c r="BY994" s="115"/>
      <c r="BZ994" s="115"/>
      <c r="CA994" s="115"/>
      <c r="CB994" s="115"/>
      <c r="CC994" s="115"/>
      <c r="CD994" s="115"/>
      <c r="CE994" s="115"/>
      <c r="CF994" s="115"/>
      <c r="CG994" s="115"/>
      <c r="CH994" s="115"/>
      <c r="CI994" s="115"/>
      <c r="CJ994" s="115"/>
      <c r="CK994" s="115"/>
      <c r="CL994" s="115"/>
      <c r="CM994" s="115"/>
      <c r="CN994" s="115"/>
      <c r="CO994" s="115"/>
      <c r="CP994" s="115"/>
      <c r="CQ994" s="115"/>
      <c r="CR994" s="115"/>
      <c r="CS994" s="115"/>
      <c r="CT994" s="115"/>
      <c r="CU994" s="115"/>
      <c r="CV994" s="115"/>
      <c r="CW994" s="115"/>
      <c r="CX994" s="115"/>
      <c r="CY994" s="115"/>
      <c r="CZ994" s="115"/>
      <c r="DA994" s="115"/>
      <c r="DB994" s="115"/>
      <c r="DC994" s="115"/>
      <c r="DD994" s="115"/>
      <c r="DE994" s="115"/>
      <c r="DF994" s="115"/>
      <c r="DG994" s="115"/>
    </row>
    <row r="995" spans="1:111" ht="15" customHeight="1">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c r="BY995" s="115"/>
      <c r="BZ995" s="115"/>
      <c r="CA995" s="115"/>
      <c r="CB995" s="115"/>
      <c r="CC995" s="115"/>
      <c r="CD995" s="115"/>
      <c r="CE995" s="115"/>
      <c r="CF995" s="115"/>
      <c r="CG995" s="115"/>
      <c r="CH995" s="115"/>
      <c r="CI995" s="115"/>
      <c r="CJ995" s="115"/>
      <c r="CK995" s="115"/>
      <c r="CL995" s="115"/>
      <c r="CM995" s="115"/>
      <c r="CN995" s="115"/>
      <c r="CO995" s="115"/>
      <c r="CP995" s="115"/>
      <c r="CQ995" s="115"/>
      <c r="CR995" s="115"/>
      <c r="CS995" s="115"/>
      <c r="CT995" s="115"/>
      <c r="CU995" s="115"/>
      <c r="CV995" s="115"/>
      <c r="CW995" s="115"/>
      <c r="CX995" s="115"/>
      <c r="CY995" s="115"/>
      <c r="CZ995" s="115"/>
      <c r="DA995" s="115"/>
      <c r="DB995" s="115"/>
      <c r="DC995" s="115"/>
      <c r="DD995" s="115"/>
      <c r="DE995" s="115"/>
      <c r="DF995" s="115"/>
      <c r="DG995" s="115"/>
    </row>
    <row r="996" spans="1:111" ht="9" customHeight="1">
      <c r="A996"/>
      <c r="B996" s="494" t="str">
        <f>IF($Z$32&gt;=25,"Item 25","")</f>
        <v/>
      </c>
      <c r="C996" s="495"/>
      <c r="D996" s="495"/>
      <c r="E996" s="495"/>
      <c r="F996" s="495"/>
      <c r="G996" s="495"/>
      <c r="H996" s="495"/>
      <c r="I996" s="495"/>
      <c r="J996" s="495"/>
      <c r="K996" s="495"/>
      <c r="L996" s="495"/>
      <c r="M996" s="495"/>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c r="BY996" s="115"/>
      <c r="BZ996" s="115"/>
      <c r="CA996" s="115"/>
      <c r="CB996" s="115"/>
      <c r="CC996" s="115"/>
      <c r="CD996" s="115"/>
      <c r="CE996" s="115"/>
      <c r="CF996" s="115"/>
      <c r="CG996" s="115"/>
      <c r="CH996" s="115"/>
      <c r="CI996" s="115"/>
      <c r="CJ996" s="115"/>
      <c r="CK996" s="115"/>
      <c r="CL996" s="115"/>
      <c r="CM996" s="115"/>
      <c r="CN996" s="115"/>
      <c r="CO996" s="115"/>
      <c r="CP996" s="115"/>
      <c r="CQ996" s="115"/>
      <c r="CR996" s="115"/>
      <c r="CS996" s="115"/>
      <c r="CT996" s="115"/>
      <c r="CU996" s="115"/>
      <c r="CV996" s="115"/>
      <c r="CW996" s="115"/>
      <c r="CX996" s="115"/>
      <c r="CY996" s="115"/>
      <c r="CZ996" s="115"/>
      <c r="DA996" s="115"/>
      <c r="DB996" s="115"/>
      <c r="DC996" s="115"/>
      <c r="DD996" s="115"/>
      <c r="DE996" s="115"/>
      <c r="DF996" s="115"/>
      <c r="DG996" s="115"/>
    </row>
    <row r="997" spans="1:111" ht="9" customHeight="1">
      <c r="A997"/>
      <c r="B997" s="495"/>
      <c r="C997" s="495"/>
      <c r="D997" s="495"/>
      <c r="E997" s="495"/>
      <c r="F997" s="495"/>
      <c r="G997" s="495"/>
      <c r="H997" s="495"/>
      <c r="I997" s="495"/>
      <c r="J997" s="495"/>
      <c r="K997" s="495"/>
      <c r="L997" s="495"/>
      <c r="M997" s="495"/>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c r="BY997" s="115"/>
      <c r="BZ997" s="115"/>
      <c r="CA997" s="115"/>
      <c r="CB997" s="115"/>
      <c r="CC997" s="115"/>
      <c r="CD997" s="115"/>
      <c r="CE997" s="115"/>
      <c r="CF997" s="115"/>
      <c r="CG997" s="115"/>
      <c r="CH997" s="115"/>
      <c r="CI997" s="115"/>
      <c r="CJ997" s="115"/>
      <c r="CK997" s="115"/>
      <c r="CL997" s="115"/>
      <c r="CM997" s="115"/>
      <c r="CN997" s="115"/>
      <c r="CO997" s="115"/>
      <c r="CP997" s="115"/>
      <c r="CQ997" s="115"/>
      <c r="CR997" s="115"/>
      <c r="CS997" s="115"/>
      <c r="CT997" s="115"/>
      <c r="CU997" s="115"/>
      <c r="CV997" s="115"/>
      <c r="CW997" s="115"/>
      <c r="CX997" s="115"/>
      <c r="CY997" s="115"/>
      <c r="CZ997" s="115"/>
      <c r="DA997" s="115"/>
      <c r="DB997" s="115"/>
      <c r="DC997" s="115"/>
      <c r="DD997" s="115"/>
      <c r="DE997" s="115"/>
      <c r="DF997" s="115"/>
      <c r="DG997" s="115"/>
    </row>
    <row r="998" spans="1:111" ht="4.5" customHeight="1">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c r="BY998" s="115"/>
      <c r="BZ998" s="115"/>
      <c r="CA998" s="115"/>
      <c r="CB998" s="115"/>
      <c r="CC998" s="115"/>
      <c r="CD998" s="115"/>
      <c r="CE998" s="115"/>
      <c r="CF998" s="115"/>
      <c r="CG998" s="115"/>
      <c r="CH998" s="115"/>
      <c r="CI998" s="115"/>
      <c r="CJ998" s="115"/>
      <c r="CK998" s="115"/>
      <c r="CL998" s="115"/>
      <c r="CM998" s="115"/>
      <c r="CN998" s="115"/>
      <c r="CO998" s="115"/>
      <c r="CP998" s="115"/>
      <c r="CQ998" s="115"/>
      <c r="CR998" s="115"/>
      <c r="CS998" s="115"/>
      <c r="CT998" s="115"/>
      <c r="CU998" s="115"/>
      <c r="CV998" s="115"/>
      <c r="CW998" s="115"/>
      <c r="CX998" s="115"/>
      <c r="CY998" s="115"/>
      <c r="CZ998" s="115"/>
      <c r="DA998" s="115"/>
      <c r="DB998" s="115"/>
      <c r="DC998" s="115"/>
      <c r="DD998" s="115"/>
      <c r="DE998" s="115"/>
      <c r="DF998" s="115"/>
      <c r="DG998" s="115"/>
    </row>
    <row r="999" spans="1:111" ht="9" customHeight="1">
      <c r="A999"/>
      <c r="B999" s="493" t="str">
        <f>IF(B996="","","Elemento de Despesa:")</f>
        <v/>
      </c>
      <c r="C999" s="493"/>
      <c r="D999" s="493"/>
      <c r="E999" s="493"/>
      <c r="F999" s="493"/>
      <c r="G999" s="493"/>
      <c r="H999" s="493"/>
      <c r="I999" s="493"/>
      <c r="J999" s="493"/>
      <c r="K999" s="493"/>
      <c r="L999" s="493"/>
      <c r="M999" s="493"/>
      <c r="N999" s="493"/>
      <c r="O999" s="241"/>
      <c r="P999" s="241"/>
      <c r="Q999" s="241"/>
      <c r="R999" s="241"/>
      <c r="S999" s="241"/>
      <c r="T999" s="241"/>
      <c r="U999" s="241"/>
      <c r="V999" s="241"/>
      <c r="W999" s="241"/>
      <c r="X999" s="241"/>
      <c r="Y999" s="241"/>
      <c r="Z999" s="241"/>
      <c r="AA999" s="241"/>
      <c r="AB999" s="241"/>
      <c r="AC999" s="241"/>
      <c r="AD999" s="241"/>
      <c r="AE999" s="241"/>
      <c r="AF999" s="241"/>
      <c r="AG999" s="241"/>
      <c r="AH999" s="241"/>
      <c r="AI999" s="241"/>
      <c r="AJ999" s="241"/>
      <c r="AK999" s="241"/>
      <c r="AL999" s="241"/>
      <c r="AM999" s="241"/>
      <c r="AN999" s="241"/>
      <c r="AO999" s="241"/>
      <c r="AP999" s="241"/>
      <c r="AQ999" s="241"/>
      <c r="AR999" s="241"/>
      <c r="AS999" s="241"/>
      <c r="AT999" s="241"/>
      <c r="AU999" s="241"/>
      <c r="AV999" s="241"/>
      <c r="AW999" s="241"/>
      <c r="AX999" s="241"/>
      <c r="AY999" s="241"/>
      <c r="AZ999" s="241"/>
      <c r="BA999" s="241"/>
      <c r="BB999"/>
      <c r="BC999" s="115"/>
      <c r="BD999" s="115"/>
      <c r="BE999" s="115"/>
      <c r="BF999" s="115"/>
      <c r="BG999" s="115"/>
      <c r="BH999" s="124"/>
      <c r="BI999" s="124"/>
      <c r="BJ999" s="124"/>
      <c r="BK999" s="124"/>
      <c r="BL999" s="124"/>
      <c r="BM999" s="124"/>
      <c r="BN999" s="124"/>
      <c r="BO999" s="124"/>
      <c r="BP999" s="124"/>
      <c r="BQ999" s="124"/>
      <c r="BR999" s="124"/>
      <c r="BS999" s="124"/>
      <c r="BT999" s="124"/>
      <c r="BU999" s="124"/>
      <c r="BV999" s="124"/>
      <c r="BW999" s="124"/>
      <c r="BX999" s="124"/>
      <c r="BY999" s="124"/>
      <c r="BZ999" s="124"/>
      <c r="CA999" s="124"/>
      <c r="CB999" s="124"/>
      <c r="CC999" s="124"/>
      <c r="CD999" s="124"/>
      <c r="CE999" s="124"/>
      <c r="CF999" s="124"/>
      <c r="CG999" s="124"/>
      <c r="CH999" s="124"/>
      <c r="CI999" s="124"/>
      <c r="CJ999" s="124"/>
      <c r="CK999" s="124"/>
      <c r="CL999" s="124"/>
      <c r="CM999" s="124"/>
      <c r="CN999" s="124"/>
      <c r="CO999" s="124"/>
      <c r="CP999" s="124"/>
      <c r="CQ999" s="124"/>
      <c r="CR999" s="124"/>
      <c r="CS999" s="124"/>
      <c r="CT999" s="124"/>
      <c r="CU999" s="124"/>
      <c r="CV999" s="124"/>
      <c r="CW999" s="124"/>
      <c r="CX999" s="124"/>
      <c r="CY999" s="124"/>
      <c r="CZ999" s="124"/>
      <c r="DA999" s="124"/>
      <c r="DB999" s="124"/>
      <c r="DC999" s="124"/>
      <c r="DD999" s="124"/>
      <c r="DE999" s="124"/>
      <c r="DF999" s="124"/>
      <c r="DG999" s="115"/>
    </row>
    <row r="1000" spans="1:111" ht="9" customHeight="1">
      <c r="A1000"/>
      <c r="B1000" s="493"/>
      <c r="C1000" s="493"/>
      <c r="D1000" s="493"/>
      <c r="E1000" s="493"/>
      <c r="F1000" s="493"/>
      <c r="G1000" s="493"/>
      <c r="H1000" s="493"/>
      <c r="I1000" s="493"/>
      <c r="J1000" s="493"/>
      <c r="K1000" s="493"/>
      <c r="L1000" s="493"/>
      <c r="M1000" s="493"/>
      <c r="N1000" s="493"/>
      <c r="O1000" s="241"/>
      <c r="P1000" s="241"/>
      <c r="Q1000" s="241"/>
      <c r="R1000" s="241"/>
      <c r="S1000" s="241"/>
      <c r="T1000" s="241"/>
      <c r="U1000" s="241"/>
      <c r="V1000" s="241"/>
      <c r="W1000" s="241"/>
      <c r="X1000" s="241"/>
      <c r="Y1000" s="241"/>
      <c r="Z1000" s="241"/>
      <c r="AA1000" s="241"/>
      <c r="AB1000" s="241"/>
      <c r="AC1000" s="241"/>
      <c r="AD1000" s="241"/>
      <c r="AE1000" s="241"/>
      <c r="AF1000" s="241"/>
      <c r="AG1000" s="241"/>
      <c r="AH1000" s="241"/>
      <c r="AI1000" s="241"/>
      <c r="AJ1000" s="241"/>
      <c r="AK1000" s="241"/>
      <c r="AL1000" s="241"/>
      <c r="AM1000" s="241"/>
      <c r="AN1000" s="241"/>
      <c r="AO1000" s="241"/>
      <c r="AP1000" s="241"/>
      <c r="AQ1000" s="241"/>
      <c r="AR1000" s="241"/>
      <c r="AS1000" s="241"/>
      <c r="AT1000" s="241"/>
      <c r="AU1000" s="241"/>
      <c r="AV1000" s="241"/>
      <c r="AW1000" s="241"/>
      <c r="AX1000" s="241"/>
      <c r="AY1000" s="241"/>
      <c r="AZ1000" s="241"/>
      <c r="BA1000" s="241"/>
      <c r="BB1000"/>
      <c r="BC1000" s="115"/>
      <c r="BD1000" s="115"/>
      <c r="BE1000" s="115"/>
      <c r="BF1000" s="115"/>
      <c r="BG1000" s="115"/>
      <c r="BH1000" s="124"/>
      <c r="BI1000" s="124"/>
      <c r="BJ1000" s="124"/>
      <c r="BK1000" s="124"/>
      <c r="BL1000" s="124"/>
      <c r="BM1000" s="124"/>
      <c r="BN1000" s="124"/>
      <c r="BO1000" s="124"/>
      <c r="BP1000" s="124"/>
      <c r="BQ1000" s="124"/>
      <c r="BR1000" s="124"/>
      <c r="BS1000" s="124"/>
      <c r="BT1000" s="124"/>
      <c r="BU1000" s="124"/>
      <c r="BV1000" s="124"/>
      <c r="BW1000" s="124"/>
      <c r="BX1000" s="124"/>
      <c r="BY1000" s="124"/>
      <c r="BZ1000" s="124"/>
      <c r="CA1000" s="124"/>
      <c r="CB1000" s="124"/>
      <c r="CC1000" s="124"/>
      <c r="CD1000" s="124"/>
      <c r="CE1000" s="124"/>
      <c r="CF1000" s="124"/>
      <c r="CG1000" s="124"/>
      <c r="CH1000" s="124"/>
      <c r="CI1000" s="124"/>
      <c r="CJ1000" s="124"/>
      <c r="CK1000" s="124"/>
      <c r="CL1000" s="124"/>
      <c r="CM1000" s="124"/>
      <c r="CN1000" s="124"/>
      <c r="CO1000" s="124"/>
      <c r="CP1000" s="124"/>
      <c r="CQ1000" s="124"/>
      <c r="CR1000" s="124"/>
      <c r="CS1000" s="124"/>
      <c r="CT1000" s="124"/>
      <c r="CU1000" s="124"/>
      <c r="CV1000" s="124"/>
      <c r="CW1000" s="124"/>
      <c r="CX1000" s="124"/>
      <c r="CY1000" s="124"/>
      <c r="CZ1000" s="124"/>
      <c r="DA1000" s="124"/>
      <c r="DB1000" s="124"/>
      <c r="DC1000" s="124"/>
      <c r="DD1000" s="124"/>
      <c r="DE1000" s="124"/>
      <c r="DF1000" s="124"/>
      <c r="DG1000" s="115"/>
    </row>
    <row r="1001" spans="1:111" ht="4.5" customHeight="1">
      <c r="A1001"/>
      <c r="B1001" s="49"/>
      <c r="C1001" s="49"/>
      <c r="D1001" s="49"/>
      <c r="E1001" s="49"/>
      <c r="F1001" s="49"/>
      <c r="G1001" s="49"/>
      <c r="H1001" s="49"/>
      <c r="I1001" s="49"/>
      <c r="J1001" s="49"/>
      <c r="K1001" s="49"/>
      <c r="L1001" s="49"/>
      <c r="M1001" s="49"/>
      <c r="N1001" s="49"/>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49"/>
      <c r="AT1001" s="49"/>
      <c r="AU1001" s="49"/>
      <c r="AV1001" s="49"/>
      <c r="AW1001" s="49"/>
      <c r="AX1001" s="49"/>
      <c r="AY1001" s="49"/>
      <c r="AZ1001" s="49"/>
      <c r="BA1001" s="49"/>
      <c r="BB1001"/>
      <c r="BC1001" s="115"/>
      <c r="BD1001" s="115"/>
      <c r="BE1001" s="115"/>
      <c r="BF1001" s="115"/>
      <c r="BG1001" s="115"/>
      <c r="BH1001" s="124"/>
      <c r="BI1001" s="124"/>
      <c r="BJ1001" s="124"/>
      <c r="BK1001" s="124"/>
      <c r="BL1001" s="124"/>
      <c r="BM1001" s="124"/>
      <c r="BN1001" s="124"/>
      <c r="BO1001" s="124"/>
      <c r="BP1001" s="124"/>
      <c r="BQ1001" s="124"/>
      <c r="BR1001" s="124"/>
      <c r="BS1001" s="124"/>
      <c r="BT1001" s="124"/>
      <c r="BU1001" s="124"/>
      <c r="BV1001" s="124"/>
      <c r="BW1001" s="124"/>
      <c r="BX1001" s="124"/>
      <c r="BY1001" s="124"/>
      <c r="BZ1001" s="124"/>
      <c r="CA1001" s="124"/>
      <c r="CB1001" s="124"/>
      <c r="CC1001" s="124"/>
      <c r="CD1001" s="124"/>
      <c r="CE1001" s="124"/>
      <c r="CF1001" s="124"/>
      <c r="CG1001" s="124"/>
      <c r="CH1001" s="124"/>
      <c r="CI1001" s="124"/>
      <c r="CJ1001" s="124"/>
      <c r="CK1001" s="124"/>
      <c r="CL1001" s="124"/>
      <c r="CM1001" s="124"/>
      <c r="CN1001" s="124"/>
      <c r="CO1001" s="124"/>
      <c r="CP1001" s="124"/>
      <c r="CQ1001" s="124"/>
      <c r="CR1001" s="124"/>
      <c r="CS1001" s="124"/>
      <c r="CT1001" s="124"/>
      <c r="CU1001" s="124"/>
      <c r="CV1001" s="124"/>
      <c r="CW1001" s="124"/>
      <c r="CX1001" s="124"/>
      <c r="CY1001" s="124"/>
      <c r="CZ1001" s="124"/>
      <c r="DA1001" s="124"/>
      <c r="DB1001" s="124"/>
      <c r="DC1001" s="124"/>
      <c r="DD1001" s="124"/>
      <c r="DE1001" s="124"/>
      <c r="DF1001" s="124"/>
      <c r="DG1001" s="115"/>
    </row>
    <row r="1002" spans="1:111" ht="9" customHeight="1">
      <c r="A1002"/>
      <c r="B1002" s="493" t="str">
        <f>IF(B996="","","Objeto:")</f>
        <v/>
      </c>
      <c r="C1002" s="493"/>
      <c r="D1002" s="493"/>
      <c r="E1002" s="493"/>
      <c r="F1002" s="493"/>
      <c r="G1002" s="493"/>
      <c r="H1002" s="493"/>
      <c r="I1002" s="493"/>
      <c r="J1002" s="493"/>
      <c r="K1002" s="493"/>
      <c r="L1002" s="493"/>
      <c r="M1002" s="493"/>
      <c r="N1002" s="493"/>
      <c r="O1002" s="421"/>
      <c r="P1002" s="421"/>
      <c r="Q1002" s="421"/>
      <c r="R1002" s="421"/>
      <c r="S1002" s="421"/>
      <c r="T1002" s="421"/>
      <c r="U1002" s="421"/>
      <c r="V1002" s="421"/>
      <c r="W1002" s="421"/>
      <c r="X1002" s="421"/>
      <c r="Y1002" s="421"/>
      <c r="Z1002" s="421"/>
      <c r="AA1002" s="421"/>
      <c r="AB1002" s="421"/>
      <c r="AC1002" s="421"/>
      <c r="AD1002" s="421"/>
      <c r="AE1002" s="421"/>
      <c r="AF1002" s="421"/>
      <c r="AG1002" s="421"/>
      <c r="AH1002" s="421"/>
      <c r="AI1002" s="421"/>
      <c r="AJ1002" s="421"/>
      <c r="AK1002" s="421"/>
      <c r="AL1002" s="421"/>
      <c r="AM1002" s="421"/>
      <c r="AN1002" s="421"/>
      <c r="AO1002" s="421"/>
      <c r="AP1002" s="421"/>
      <c r="AQ1002" s="421"/>
      <c r="AR1002" s="421"/>
      <c r="AS1002" s="421"/>
      <c r="AT1002" s="421"/>
      <c r="AU1002" s="421"/>
      <c r="AV1002" s="421"/>
      <c r="AW1002" s="421"/>
      <c r="AX1002" s="421"/>
      <c r="AY1002" s="421"/>
      <c r="AZ1002" s="421"/>
      <c r="BA1002" s="421"/>
      <c r="BB1002"/>
      <c r="BC1002" s="115"/>
      <c r="BD1002" s="115"/>
      <c r="BE1002" s="115"/>
      <c r="BF1002" s="115"/>
      <c r="BG1002" s="115"/>
      <c r="BH1002" s="124"/>
      <c r="BI1002" s="124"/>
      <c r="BJ1002" s="124"/>
      <c r="BK1002" s="124"/>
      <c r="BL1002" s="124"/>
      <c r="BM1002" s="124"/>
      <c r="BN1002" s="124"/>
      <c r="BO1002" s="124"/>
      <c r="BP1002" s="124"/>
      <c r="BQ1002" s="124"/>
      <c r="BR1002" s="124"/>
      <c r="BS1002" s="124"/>
      <c r="BT1002" s="124"/>
      <c r="BU1002" s="124"/>
      <c r="BV1002" s="124"/>
      <c r="BW1002" s="124"/>
      <c r="BX1002" s="124"/>
      <c r="BY1002" s="124"/>
      <c r="BZ1002" s="124"/>
      <c r="CA1002" s="124"/>
      <c r="CB1002" s="124"/>
      <c r="CC1002" s="124"/>
      <c r="CD1002" s="124"/>
      <c r="CE1002" s="124"/>
      <c r="CF1002" s="124"/>
      <c r="CG1002" s="124"/>
      <c r="CH1002" s="124"/>
      <c r="CI1002" s="124"/>
      <c r="CJ1002" s="124"/>
      <c r="CK1002" s="124"/>
      <c r="CL1002" s="124"/>
      <c r="CM1002" s="124"/>
      <c r="CN1002" s="124"/>
      <c r="CO1002" s="124"/>
      <c r="CP1002" s="124"/>
      <c r="CQ1002" s="124"/>
      <c r="CR1002" s="124"/>
      <c r="CS1002" s="124"/>
      <c r="CT1002" s="124"/>
      <c r="CU1002" s="124"/>
      <c r="CV1002" s="124"/>
      <c r="CW1002" s="124"/>
      <c r="CX1002" s="124"/>
      <c r="CY1002" s="124"/>
      <c r="CZ1002" s="124"/>
      <c r="DA1002" s="124"/>
      <c r="DB1002" s="124"/>
      <c r="DC1002" s="124"/>
      <c r="DD1002" s="124"/>
      <c r="DE1002" s="124"/>
      <c r="DF1002" s="124"/>
      <c r="DG1002" s="115"/>
    </row>
    <row r="1003" spans="1:111" ht="9" customHeight="1">
      <c r="A1003"/>
      <c r="B1003" s="493"/>
      <c r="C1003" s="493"/>
      <c r="D1003" s="493"/>
      <c r="E1003" s="493"/>
      <c r="F1003" s="493"/>
      <c r="G1003" s="493"/>
      <c r="H1003" s="493"/>
      <c r="I1003" s="493"/>
      <c r="J1003" s="493"/>
      <c r="K1003" s="493"/>
      <c r="L1003" s="493"/>
      <c r="M1003" s="493"/>
      <c r="N1003" s="493"/>
      <c r="O1003" s="421"/>
      <c r="P1003" s="421"/>
      <c r="Q1003" s="421"/>
      <c r="R1003" s="421"/>
      <c r="S1003" s="421"/>
      <c r="T1003" s="421"/>
      <c r="U1003" s="421"/>
      <c r="V1003" s="421"/>
      <c r="W1003" s="421"/>
      <c r="X1003" s="421"/>
      <c r="Y1003" s="421"/>
      <c r="Z1003" s="421"/>
      <c r="AA1003" s="421"/>
      <c r="AB1003" s="421"/>
      <c r="AC1003" s="421"/>
      <c r="AD1003" s="421"/>
      <c r="AE1003" s="421"/>
      <c r="AF1003" s="421"/>
      <c r="AG1003" s="421"/>
      <c r="AH1003" s="421"/>
      <c r="AI1003" s="421"/>
      <c r="AJ1003" s="421"/>
      <c r="AK1003" s="421"/>
      <c r="AL1003" s="421"/>
      <c r="AM1003" s="421"/>
      <c r="AN1003" s="421"/>
      <c r="AO1003" s="421"/>
      <c r="AP1003" s="421"/>
      <c r="AQ1003" s="421"/>
      <c r="AR1003" s="421"/>
      <c r="AS1003" s="421"/>
      <c r="AT1003" s="421"/>
      <c r="AU1003" s="421"/>
      <c r="AV1003" s="421"/>
      <c r="AW1003" s="421"/>
      <c r="AX1003" s="421"/>
      <c r="AY1003" s="421"/>
      <c r="AZ1003" s="421"/>
      <c r="BA1003" s="421"/>
      <c r="BB1003"/>
      <c r="BC1003" s="115"/>
      <c r="BD1003" s="115"/>
      <c r="BE1003" s="115"/>
      <c r="BF1003" s="115"/>
      <c r="BG1003" s="115"/>
      <c r="BH1003" s="124"/>
      <c r="BI1003" s="124"/>
      <c r="BJ1003" s="124"/>
      <c r="BK1003" s="124"/>
      <c r="BL1003" s="124"/>
      <c r="BM1003" s="124"/>
      <c r="BN1003" s="124"/>
      <c r="BO1003" s="124"/>
      <c r="BP1003" s="124"/>
      <c r="BQ1003" s="124"/>
      <c r="BR1003" s="124"/>
      <c r="BS1003" s="124"/>
      <c r="BT1003" s="124"/>
      <c r="BU1003" s="124"/>
      <c r="BV1003" s="124"/>
      <c r="BW1003" s="124"/>
      <c r="BX1003" s="124"/>
      <c r="BY1003" s="124"/>
      <c r="BZ1003" s="124"/>
      <c r="CA1003" s="124"/>
      <c r="CB1003" s="124"/>
      <c r="CC1003" s="124"/>
      <c r="CD1003" s="124"/>
      <c r="CE1003" s="124"/>
      <c r="CF1003" s="124"/>
      <c r="CG1003" s="124"/>
      <c r="CH1003" s="124"/>
      <c r="CI1003" s="124"/>
      <c r="CJ1003" s="124"/>
      <c r="CK1003" s="124"/>
      <c r="CL1003" s="124"/>
      <c r="CM1003" s="124"/>
      <c r="CN1003" s="124"/>
      <c r="CO1003" s="124"/>
      <c r="CP1003" s="124"/>
      <c r="CQ1003" s="124"/>
      <c r="CR1003" s="124"/>
      <c r="CS1003" s="124"/>
      <c r="CT1003" s="124"/>
      <c r="CU1003" s="124"/>
      <c r="CV1003" s="124"/>
      <c r="CW1003" s="124"/>
      <c r="CX1003" s="124"/>
      <c r="CY1003" s="124"/>
      <c r="CZ1003" s="124"/>
      <c r="DA1003" s="124"/>
      <c r="DB1003" s="124"/>
      <c r="DC1003" s="124"/>
      <c r="DD1003" s="124"/>
      <c r="DE1003" s="124"/>
      <c r="DF1003" s="124"/>
      <c r="DG1003" s="115"/>
    </row>
    <row r="1004" spans="1:111" ht="9" customHeight="1">
      <c r="A1004"/>
      <c r="B1004" s="143"/>
      <c r="C1004" s="143"/>
      <c r="D1004" s="143"/>
      <c r="E1004" s="143"/>
      <c r="F1004" s="143"/>
      <c r="G1004" s="143"/>
      <c r="H1004" s="143"/>
      <c r="I1004" s="143"/>
      <c r="J1004" s="143"/>
      <c r="K1004" s="143"/>
      <c r="L1004" s="143"/>
      <c r="M1004" s="143"/>
      <c r="N1004" s="143"/>
      <c r="O1004" s="421"/>
      <c r="P1004" s="421"/>
      <c r="Q1004" s="421"/>
      <c r="R1004" s="421"/>
      <c r="S1004" s="421"/>
      <c r="T1004" s="421"/>
      <c r="U1004" s="421"/>
      <c r="V1004" s="421"/>
      <c r="W1004" s="421"/>
      <c r="X1004" s="421"/>
      <c r="Y1004" s="421"/>
      <c r="Z1004" s="421"/>
      <c r="AA1004" s="421"/>
      <c r="AB1004" s="421"/>
      <c r="AC1004" s="421"/>
      <c r="AD1004" s="421"/>
      <c r="AE1004" s="421"/>
      <c r="AF1004" s="421"/>
      <c r="AG1004" s="421"/>
      <c r="AH1004" s="421"/>
      <c r="AI1004" s="421"/>
      <c r="AJ1004" s="421"/>
      <c r="AK1004" s="421"/>
      <c r="AL1004" s="421"/>
      <c r="AM1004" s="421"/>
      <c r="AN1004" s="421"/>
      <c r="AO1004" s="421"/>
      <c r="AP1004" s="421"/>
      <c r="AQ1004" s="421"/>
      <c r="AR1004" s="421"/>
      <c r="AS1004" s="421"/>
      <c r="AT1004" s="421"/>
      <c r="AU1004" s="421"/>
      <c r="AV1004" s="421"/>
      <c r="AW1004" s="421"/>
      <c r="AX1004" s="421"/>
      <c r="AY1004" s="421"/>
      <c r="AZ1004" s="421"/>
      <c r="BA1004" s="421"/>
      <c r="BB1004"/>
      <c r="BC1004" s="115"/>
      <c r="BD1004" s="115"/>
      <c r="BE1004" s="115"/>
      <c r="BF1004" s="115"/>
      <c r="BG1004" s="115"/>
      <c r="BH1004" s="138"/>
      <c r="BI1004" s="138"/>
      <c r="BJ1004" s="138"/>
      <c r="BK1004" s="138"/>
      <c r="BL1004" s="138"/>
      <c r="BM1004" s="138"/>
      <c r="BN1004" s="138"/>
      <c r="BO1004" s="138"/>
      <c r="BP1004" s="138"/>
      <c r="BQ1004" s="138"/>
      <c r="BR1004" s="138"/>
      <c r="BS1004" s="138"/>
      <c r="BT1004" s="138"/>
      <c r="BU1004" s="138"/>
      <c r="BV1004" s="138"/>
      <c r="BW1004" s="138"/>
      <c r="BX1004" s="138"/>
      <c r="BY1004" s="138"/>
      <c r="BZ1004" s="138"/>
      <c r="CA1004" s="138"/>
      <c r="CB1004" s="138"/>
      <c r="CC1004" s="138"/>
      <c r="CD1004" s="138"/>
      <c r="CE1004" s="138"/>
      <c r="CF1004" s="138"/>
      <c r="CG1004" s="138"/>
      <c r="CH1004" s="138"/>
      <c r="CI1004" s="138"/>
      <c r="CJ1004" s="138"/>
      <c r="CK1004" s="138"/>
      <c r="CL1004" s="138"/>
      <c r="CM1004" s="138"/>
      <c r="CN1004" s="138"/>
      <c r="CO1004" s="138"/>
      <c r="CP1004" s="138"/>
      <c r="CQ1004" s="138"/>
      <c r="CR1004" s="138"/>
      <c r="CS1004" s="138"/>
      <c r="CT1004" s="138"/>
      <c r="CU1004" s="138"/>
      <c r="CV1004" s="138"/>
      <c r="CW1004" s="138"/>
      <c r="CX1004" s="138"/>
      <c r="CY1004" s="138"/>
      <c r="CZ1004" s="138"/>
      <c r="DA1004" s="138"/>
      <c r="DB1004" s="138"/>
      <c r="DC1004" s="138"/>
      <c r="DD1004" s="138"/>
      <c r="DE1004" s="138"/>
      <c r="DF1004" s="138"/>
      <c r="DG1004" s="115"/>
    </row>
    <row r="1005" spans="1:111" ht="9" customHeight="1">
      <c r="A1005"/>
      <c r="B1005" s="49"/>
      <c r="C1005" s="49"/>
      <c r="D1005" s="49"/>
      <c r="E1005" s="49"/>
      <c r="F1005" s="49"/>
      <c r="G1005" s="49"/>
      <c r="H1005" s="49"/>
      <c r="I1005" s="49"/>
      <c r="J1005" s="49"/>
      <c r="K1005" s="49"/>
      <c r="L1005" s="49"/>
      <c r="M1005" s="49"/>
      <c r="N1005" s="49"/>
      <c r="O1005" s="421"/>
      <c r="P1005" s="421"/>
      <c r="Q1005" s="421"/>
      <c r="R1005" s="421"/>
      <c r="S1005" s="421"/>
      <c r="T1005" s="421"/>
      <c r="U1005" s="421"/>
      <c r="V1005" s="421"/>
      <c r="W1005" s="421"/>
      <c r="X1005" s="421"/>
      <c r="Y1005" s="421"/>
      <c r="Z1005" s="421"/>
      <c r="AA1005" s="421"/>
      <c r="AB1005" s="421"/>
      <c r="AC1005" s="421"/>
      <c r="AD1005" s="421"/>
      <c r="AE1005" s="421"/>
      <c r="AF1005" s="421"/>
      <c r="AG1005" s="421"/>
      <c r="AH1005" s="421"/>
      <c r="AI1005" s="421"/>
      <c r="AJ1005" s="421"/>
      <c r="AK1005" s="421"/>
      <c r="AL1005" s="421"/>
      <c r="AM1005" s="421"/>
      <c r="AN1005" s="421"/>
      <c r="AO1005" s="421"/>
      <c r="AP1005" s="421"/>
      <c r="AQ1005" s="421"/>
      <c r="AR1005" s="421"/>
      <c r="AS1005" s="421"/>
      <c r="AT1005" s="421"/>
      <c r="AU1005" s="421"/>
      <c r="AV1005" s="421"/>
      <c r="AW1005" s="421"/>
      <c r="AX1005" s="421"/>
      <c r="AY1005" s="421"/>
      <c r="AZ1005" s="421"/>
      <c r="BA1005" s="421"/>
      <c r="BB100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c r="BY1005" s="115"/>
      <c r="BZ1005" s="115"/>
      <c r="CA1005" s="115"/>
      <c r="CB1005" s="115"/>
      <c r="CC1005" s="115"/>
      <c r="CD1005" s="115"/>
      <c r="CE1005" s="115"/>
      <c r="CF1005" s="115"/>
      <c r="CG1005" s="115"/>
      <c r="CH1005" s="115"/>
      <c r="CI1005" s="115"/>
      <c r="CJ1005" s="115"/>
      <c r="CK1005" s="115"/>
      <c r="CL1005" s="115"/>
      <c r="CM1005" s="115"/>
      <c r="CN1005" s="115"/>
      <c r="CO1005" s="115"/>
      <c r="CP1005" s="115"/>
      <c r="CQ1005" s="115"/>
      <c r="CR1005" s="115"/>
      <c r="CS1005" s="115"/>
      <c r="CT1005" s="115"/>
      <c r="CU1005" s="115"/>
      <c r="CV1005" s="115"/>
      <c r="CW1005" s="115"/>
      <c r="CX1005" s="115"/>
      <c r="CY1005" s="115"/>
      <c r="CZ1005" s="115"/>
      <c r="DA1005" s="115"/>
      <c r="DB1005" s="115"/>
      <c r="DC1005" s="115"/>
      <c r="DD1005" s="115"/>
      <c r="DE1005" s="115"/>
      <c r="DF1005" s="115"/>
      <c r="DG1005" s="115"/>
    </row>
    <row r="1006" spans="1:111" ht="4.5" customHeight="1">
      <c r="A1006"/>
      <c r="B1006" s="49"/>
      <c r="C1006" s="49"/>
      <c r="D1006" s="49"/>
      <c r="E1006" s="49"/>
      <c r="F1006" s="49"/>
      <c r="G1006" s="49"/>
      <c r="H1006" s="49"/>
      <c r="I1006" s="49"/>
      <c r="J1006" s="49"/>
      <c r="K1006" s="49"/>
      <c r="L1006" s="49"/>
      <c r="M1006" s="49"/>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c r="AN1006" s="49"/>
      <c r="AO1006" s="49"/>
      <c r="AP1006" s="49"/>
      <c r="AQ1006" s="49"/>
      <c r="AR1006" s="49"/>
      <c r="AS1006" s="49"/>
      <c r="AT1006" s="49"/>
      <c r="AU1006" s="49"/>
      <c r="AV1006" s="49"/>
      <c r="AW1006" s="49"/>
      <c r="AX1006" s="49"/>
      <c r="AY1006" s="49"/>
      <c r="AZ1006" s="49"/>
      <c r="BA1006" s="49"/>
      <c r="BB1006"/>
      <c r="BC1006" s="115"/>
      <c r="BD1006" s="115"/>
      <c r="BE1006" s="115"/>
      <c r="BF1006" s="115"/>
      <c r="BG1006" s="115"/>
      <c r="BH1006" s="124"/>
      <c r="BI1006" s="124"/>
      <c r="BJ1006" s="124"/>
      <c r="BK1006" s="124"/>
      <c r="BL1006" s="124"/>
      <c r="BM1006" s="124"/>
      <c r="BN1006" s="124"/>
      <c r="BO1006" s="124"/>
      <c r="BP1006" s="124"/>
      <c r="BQ1006" s="124"/>
      <c r="BR1006" s="124"/>
      <c r="BS1006" s="124"/>
      <c r="BT1006" s="124"/>
      <c r="BU1006" s="124"/>
      <c r="BV1006" s="124"/>
      <c r="BW1006" s="124"/>
      <c r="BX1006" s="124"/>
      <c r="BY1006" s="124"/>
      <c r="BZ1006" s="124"/>
      <c r="CA1006" s="124"/>
      <c r="CB1006" s="124"/>
      <c r="CC1006" s="124"/>
      <c r="CD1006" s="124"/>
      <c r="CE1006" s="124"/>
      <c r="CF1006" s="124"/>
      <c r="CG1006" s="124"/>
      <c r="CH1006" s="124"/>
      <c r="CI1006" s="124"/>
      <c r="CJ1006" s="124"/>
      <c r="CK1006" s="124"/>
      <c r="CL1006" s="124"/>
      <c r="CM1006" s="124"/>
      <c r="CN1006" s="124"/>
      <c r="CO1006" s="124"/>
      <c r="CP1006" s="124"/>
      <c r="CQ1006" s="124"/>
      <c r="CR1006" s="124"/>
      <c r="CS1006" s="124"/>
      <c r="CT1006" s="124"/>
      <c r="CU1006" s="124"/>
      <c r="CV1006" s="124"/>
      <c r="CW1006" s="124"/>
      <c r="CX1006" s="124"/>
      <c r="CY1006" s="124"/>
      <c r="CZ1006" s="124"/>
      <c r="DA1006" s="124"/>
      <c r="DB1006" s="124"/>
      <c r="DC1006" s="124"/>
      <c r="DD1006" s="124"/>
      <c r="DE1006" s="124"/>
      <c r="DF1006" s="124"/>
      <c r="DG1006" s="115"/>
    </row>
    <row r="1007" spans="1:111" ht="9" customHeight="1">
      <c r="A1007"/>
      <c r="B1007" s="493" t="str">
        <f>IF(B996="","","Detalhamento do Objeto:")</f>
        <v/>
      </c>
      <c r="C1007" s="493"/>
      <c r="D1007" s="493"/>
      <c r="E1007" s="493"/>
      <c r="F1007" s="493"/>
      <c r="G1007" s="493"/>
      <c r="H1007" s="493"/>
      <c r="I1007" s="493"/>
      <c r="J1007" s="493"/>
      <c r="K1007" s="493"/>
      <c r="L1007" s="493"/>
      <c r="M1007" s="493"/>
      <c r="N1007" s="493"/>
      <c r="O1007" s="421"/>
      <c r="P1007" s="421"/>
      <c r="Q1007" s="421"/>
      <c r="R1007" s="421"/>
      <c r="S1007" s="421"/>
      <c r="T1007" s="421"/>
      <c r="U1007" s="421"/>
      <c r="V1007" s="421"/>
      <c r="W1007" s="421"/>
      <c r="X1007" s="421"/>
      <c r="Y1007" s="421"/>
      <c r="Z1007" s="421"/>
      <c r="AA1007" s="421"/>
      <c r="AB1007" s="421"/>
      <c r="AC1007" s="421"/>
      <c r="AD1007" s="421"/>
      <c r="AE1007" s="421"/>
      <c r="AF1007" s="421"/>
      <c r="AG1007" s="421"/>
      <c r="AH1007" s="421"/>
      <c r="AI1007" s="421"/>
      <c r="AJ1007" s="421"/>
      <c r="AK1007" s="421"/>
      <c r="AL1007" s="421"/>
      <c r="AM1007" s="421"/>
      <c r="AN1007" s="421"/>
      <c r="AO1007" s="421"/>
      <c r="AP1007" s="421"/>
      <c r="AQ1007" s="421"/>
      <c r="AR1007" s="421"/>
      <c r="AS1007" s="421"/>
      <c r="AT1007" s="421"/>
      <c r="AU1007" s="421"/>
      <c r="AV1007" s="421"/>
      <c r="AW1007" s="421"/>
      <c r="AX1007" s="421"/>
      <c r="AY1007" s="421"/>
      <c r="AZ1007" s="421"/>
      <c r="BA1007" s="421"/>
      <c r="BB1007"/>
      <c r="BC1007" s="115"/>
      <c r="BD1007" s="115"/>
      <c r="BE1007" s="115"/>
      <c r="BF1007" s="115"/>
      <c r="BG1007" s="115"/>
      <c r="BH1007" s="124"/>
      <c r="BI1007" s="124"/>
      <c r="BJ1007" s="124"/>
      <c r="BK1007" s="124"/>
      <c r="BL1007" s="124"/>
      <c r="BM1007" s="124"/>
      <c r="BN1007" s="124"/>
      <c r="BO1007" s="124"/>
      <c r="BP1007" s="124"/>
      <c r="BQ1007" s="124"/>
      <c r="BR1007" s="124"/>
      <c r="BS1007" s="124"/>
      <c r="BT1007" s="124"/>
      <c r="BU1007" s="124"/>
      <c r="BV1007" s="124"/>
      <c r="BW1007" s="124"/>
      <c r="BX1007" s="124"/>
      <c r="BY1007" s="124"/>
      <c r="BZ1007" s="124"/>
      <c r="CA1007" s="124"/>
      <c r="CB1007" s="124"/>
      <c r="CC1007" s="124"/>
      <c r="CD1007" s="124"/>
      <c r="CE1007" s="124"/>
      <c r="CF1007" s="124"/>
      <c r="CG1007" s="124"/>
      <c r="CH1007" s="124"/>
      <c r="CI1007" s="124"/>
      <c r="CJ1007" s="124"/>
      <c r="CK1007" s="124"/>
      <c r="CL1007" s="124"/>
      <c r="CM1007" s="124"/>
      <c r="CN1007" s="124"/>
      <c r="CO1007" s="124"/>
      <c r="CP1007" s="124"/>
      <c r="CQ1007" s="124"/>
      <c r="CR1007" s="124"/>
      <c r="CS1007" s="124"/>
      <c r="CT1007" s="124"/>
      <c r="CU1007" s="124"/>
      <c r="CV1007" s="124"/>
      <c r="CW1007" s="124"/>
      <c r="CX1007" s="124"/>
      <c r="CY1007" s="124"/>
      <c r="CZ1007" s="124"/>
      <c r="DA1007" s="124"/>
      <c r="DB1007" s="124"/>
      <c r="DC1007" s="124"/>
      <c r="DD1007" s="124"/>
      <c r="DE1007" s="124"/>
      <c r="DF1007" s="124"/>
      <c r="DG1007" s="115"/>
    </row>
    <row r="1008" spans="1:111" ht="9" customHeight="1">
      <c r="A1008"/>
      <c r="B1008" s="493"/>
      <c r="C1008" s="493"/>
      <c r="D1008" s="493"/>
      <c r="E1008" s="493"/>
      <c r="F1008" s="493"/>
      <c r="G1008" s="493"/>
      <c r="H1008" s="493"/>
      <c r="I1008" s="493"/>
      <c r="J1008" s="493"/>
      <c r="K1008" s="493"/>
      <c r="L1008" s="493"/>
      <c r="M1008" s="493"/>
      <c r="N1008" s="493"/>
      <c r="O1008" s="421"/>
      <c r="P1008" s="421"/>
      <c r="Q1008" s="421"/>
      <c r="R1008" s="421"/>
      <c r="S1008" s="421"/>
      <c r="T1008" s="421"/>
      <c r="U1008" s="421"/>
      <c r="V1008" s="421"/>
      <c r="W1008" s="421"/>
      <c r="X1008" s="421"/>
      <c r="Y1008" s="421"/>
      <c r="Z1008" s="421"/>
      <c r="AA1008" s="421"/>
      <c r="AB1008" s="421"/>
      <c r="AC1008" s="421"/>
      <c r="AD1008" s="421"/>
      <c r="AE1008" s="421"/>
      <c r="AF1008" s="421"/>
      <c r="AG1008" s="421"/>
      <c r="AH1008" s="421"/>
      <c r="AI1008" s="421"/>
      <c r="AJ1008" s="421"/>
      <c r="AK1008" s="421"/>
      <c r="AL1008" s="421"/>
      <c r="AM1008" s="421"/>
      <c r="AN1008" s="421"/>
      <c r="AO1008" s="421"/>
      <c r="AP1008" s="421"/>
      <c r="AQ1008" s="421"/>
      <c r="AR1008" s="421"/>
      <c r="AS1008" s="421"/>
      <c r="AT1008" s="421"/>
      <c r="AU1008" s="421"/>
      <c r="AV1008" s="421"/>
      <c r="AW1008" s="421"/>
      <c r="AX1008" s="421"/>
      <c r="AY1008" s="421"/>
      <c r="AZ1008" s="421"/>
      <c r="BA1008" s="421"/>
      <c r="BB1008"/>
      <c r="BC1008" s="115"/>
      <c r="BD1008" s="115"/>
      <c r="BE1008" s="115"/>
      <c r="BF1008" s="115"/>
      <c r="BG1008" s="115"/>
      <c r="BH1008" s="124"/>
      <c r="BI1008" s="124"/>
      <c r="BJ1008" s="124"/>
      <c r="BK1008" s="124"/>
      <c r="BL1008" s="124"/>
      <c r="BM1008" s="124"/>
      <c r="BN1008" s="124"/>
      <c r="BO1008" s="124"/>
      <c r="BP1008" s="124"/>
      <c r="BQ1008" s="124"/>
      <c r="BR1008" s="124"/>
      <c r="BS1008" s="124"/>
      <c r="BT1008" s="124"/>
      <c r="BU1008" s="124"/>
      <c r="BV1008" s="124"/>
      <c r="BW1008" s="124"/>
      <c r="BX1008" s="124"/>
      <c r="BY1008" s="124"/>
      <c r="BZ1008" s="124"/>
      <c r="CA1008" s="124"/>
      <c r="CB1008" s="124"/>
      <c r="CC1008" s="124"/>
      <c r="CD1008" s="124"/>
      <c r="CE1008" s="124"/>
      <c r="CF1008" s="124"/>
      <c r="CG1008" s="124"/>
      <c r="CH1008" s="124"/>
      <c r="CI1008" s="124"/>
      <c r="CJ1008" s="124"/>
      <c r="CK1008" s="124"/>
      <c r="CL1008" s="124"/>
      <c r="CM1008" s="124"/>
      <c r="CN1008" s="124"/>
      <c r="CO1008" s="124"/>
      <c r="CP1008" s="124"/>
      <c r="CQ1008" s="124"/>
      <c r="CR1008" s="124"/>
      <c r="CS1008" s="124"/>
      <c r="CT1008" s="124"/>
      <c r="CU1008" s="124"/>
      <c r="CV1008" s="124"/>
      <c r="CW1008" s="124"/>
      <c r="CX1008" s="124"/>
      <c r="CY1008" s="124"/>
      <c r="CZ1008" s="124"/>
      <c r="DA1008" s="124"/>
      <c r="DB1008" s="124"/>
      <c r="DC1008" s="124"/>
      <c r="DD1008" s="124"/>
      <c r="DE1008" s="124"/>
      <c r="DF1008" s="124"/>
      <c r="DG1008" s="115"/>
    </row>
    <row r="1009" spans="1:111" ht="9" customHeight="1">
      <c r="A1009"/>
      <c r="B1009" s="143"/>
      <c r="C1009" s="143"/>
      <c r="D1009" s="143"/>
      <c r="E1009" s="143"/>
      <c r="F1009" s="143"/>
      <c r="G1009" s="143"/>
      <c r="H1009" s="143"/>
      <c r="I1009" s="143"/>
      <c r="J1009" s="143"/>
      <c r="K1009" s="143"/>
      <c r="L1009" s="143"/>
      <c r="M1009" s="143"/>
      <c r="N1009" s="143"/>
      <c r="O1009" s="421"/>
      <c r="P1009" s="421"/>
      <c r="Q1009" s="421"/>
      <c r="R1009" s="421"/>
      <c r="S1009" s="421"/>
      <c r="T1009" s="421"/>
      <c r="U1009" s="421"/>
      <c r="V1009" s="421"/>
      <c r="W1009" s="421"/>
      <c r="X1009" s="421"/>
      <c r="Y1009" s="421"/>
      <c r="Z1009" s="421"/>
      <c r="AA1009" s="421"/>
      <c r="AB1009" s="421"/>
      <c r="AC1009" s="421"/>
      <c r="AD1009" s="421"/>
      <c r="AE1009" s="421"/>
      <c r="AF1009" s="421"/>
      <c r="AG1009" s="421"/>
      <c r="AH1009" s="421"/>
      <c r="AI1009" s="421"/>
      <c r="AJ1009" s="421"/>
      <c r="AK1009" s="421"/>
      <c r="AL1009" s="421"/>
      <c r="AM1009" s="421"/>
      <c r="AN1009" s="421"/>
      <c r="AO1009" s="421"/>
      <c r="AP1009" s="421"/>
      <c r="AQ1009" s="421"/>
      <c r="AR1009" s="421"/>
      <c r="AS1009" s="421"/>
      <c r="AT1009" s="421"/>
      <c r="AU1009" s="421"/>
      <c r="AV1009" s="421"/>
      <c r="AW1009" s="421"/>
      <c r="AX1009" s="421"/>
      <c r="AY1009" s="421"/>
      <c r="AZ1009" s="421"/>
      <c r="BA1009" s="421"/>
      <c r="BB1009"/>
      <c r="BC1009" s="115"/>
      <c r="BD1009" s="115"/>
      <c r="BE1009" s="115"/>
      <c r="BF1009" s="115"/>
      <c r="BG1009" s="115"/>
      <c r="BH1009" s="138"/>
      <c r="BI1009" s="138"/>
      <c r="BJ1009" s="138"/>
      <c r="BK1009" s="138"/>
      <c r="BL1009" s="138"/>
      <c r="BM1009" s="138"/>
      <c r="BN1009" s="138"/>
      <c r="BO1009" s="138"/>
      <c r="BP1009" s="138"/>
      <c r="BQ1009" s="138"/>
      <c r="BR1009" s="138"/>
      <c r="BS1009" s="138"/>
      <c r="BT1009" s="138"/>
      <c r="BU1009" s="138"/>
      <c r="BV1009" s="138"/>
      <c r="BW1009" s="138"/>
      <c r="BX1009" s="138"/>
      <c r="BY1009" s="138"/>
      <c r="BZ1009" s="138"/>
      <c r="CA1009" s="138"/>
      <c r="CB1009" s="138"/>
      <c r="CC1009" s="138"/>
      <c r="CD1009" s="138"/>
      <c r="CE1009" s="138"/>
      <c r="CF1009" s="138"/>
      <c r="CG1009" s="138"/>
      <c r="CH1009" s="138"/>
      <c r="CI1009" s="138"/>
      <c r="CJ1009" s="138"/>
      <c r="CK1009" s="138"/>
      <c r="CL1009" s="138"/>
      <c r="CM1009" s="138"/>
      <c r="CN1009" s="138"/>
      <c r="CO1009" s="138"/>
      <c r="CP1009" s="138"/>
      <c r="CQ1009" s="138"/>
      <c r="CR1009" s="138"/>
      <c r="CS1009" s="138"/>
      <c r="CT1009" s="138"/>
      <c r="CU1009" s="138"/>
      <c r="CV1009" s="138"/>
      <c r="CW1009" s="138"/>
      <c r="CX1009" s="138"/>
      <c r="CY1009" s="138"/>
      <c r="CZ1009" s="138"/>
      <c r="DA1009" s="138"/>
      <c r="DB1009" s="138"/>
      <c r="DC1009" s="138"/>
      <c r="DD1009" s="138"/>
      <c r="DE1009" s="138"/>
      <c r="DF1009" s="138"/>
      <c r="DG1009" s="115"/>
    </row>
    <row r="1010" spans="1:111" ht="9" customHeight="1">
      <c r="A1010"/>
      <c r="B1010" s="143"/>
      <c r="C1010" s="143"/>
      <c r="D1010" s="143"/>
      <c r="E1010" s="143"/>
      <c r="F1010" s="143"/>
      <c r="G1010" s="143"/>
      <c r="H1010" s="143"/>
      <c r="I1010" s="143"/>
      <c r="J1010" s="143"/>
      <c r="K1010" s="143"/>
      <c r="L1010" s="143"/>
      <c r="M1010" s="143"/>
      <c r="N1010" s="143"/>
      <c r="O1010" s="421"/>
      <c r="P1010" s="421"/>
      <c r="Q1010" s="421"/>
      <c r="R1010" s="421"/>
      <c r="S1010" s="421"/>
      <c r="T1010" s="421"/>
      <c r="U1010" s="421"/>
      <c r="V1010" s="421"/>
      <c r="W1010" s="421"/>
      <c r="X1010" s="421"/>
      <c r="Y1010" s="421"/>
      <c r="Z1010" s="421"/>
      <c r="AA1010" s="421"/>
      <c r="AB1010" s="421"/>
      <c r="AC1010" s="421"/>
      <c r="AD1010" s="421"/>
      <c r="AE1010" s="421"/>
      <c r="AF1010" s="421"/>
      <c r="AG1010" s="421"/>
      <c r="AH1010" s="421"/>
      <c r="AI1010" s="421"/>
      <c r="AJ1010" s="421"/>
      <c r="AK1010" s="421"/>
      <c r="AL1010" s="421"/>
      <c r="AM1010" s="421"/>
      <c r="AN1010" s="421"/>
      <c r="AO1010" s="421"/>
      <c r="AP1010" s="421"/>
      <c r="AQ1010" s="421"/>
      <c r="AR1010" s="421"/>
      <c r="AS1010" s="421"/>
      <c r="AT1010" s="421"/>
      <c r="AU1010" s="421"/>
      <c r="AV1010" s="421"/>
      <c r="AW1010" s="421"/>
      <c r="AX1010" s="421"/>
      <c r="AY1010" s="421"/>
      <c r="AZ1010" s="421"/>
      <c r="BA1010" s="421"/>
      <c r="BB1010"/>
      <c r="BC1010" s="115"/>
      <c r="BD1010" s="115"/>
      <c r="BE1010" s="115"/>
      <c r="BF1010" s="115"/>
      <c r="BG1010" s="115"/>
      <c r="BH1010" s="138"/>
      <c r="BI1010" s="138"/>
      <c r="BJ1010" s="138"/>
      <c r="BK1010" s="138"/>
      <c r="BL1010" s="138"/>
      <c r="BM1010" s="138"/>
      <c r="BN1010" s="138"/>
      <c r="BO1010" s="138"/>
      <c r="BP1010" s="138"/>
      <c r="BQ1010" s="138"/>
      <c r="BR1010" s="138"/>
      <c r="BS1010" s="138"/>
      <c r="BT1010" s="138"/>
      <c r="BU1010" s="138"/>
      <c r="BV1010" s="138"/>
      <c r="BW1010" s="138"/>
      <c r="BX1010" s="138"/>
      <c r="BY1010" s="138"/>
      <c r="BZ1010" s="138"/>
      <c r="CA1010" s="138"/>
      <c r="CB1010" s="138"/>
      <c r="CC1010" s="138"/>
      <c r="CD1010" s="138"/>
      <c r="CE1010" s="138"/>
      <c r="CF1010" s="138"/>
      <c r="CG1010" s="138"/>
      <c r="CH1010" s="138"/>
      <c r="CI1010" s="138"/>
      <c r="CJ1010" s="138"/>
      <c r="CK1010" s="138"/>
      <c r="CL1010" s="138"/>
      <c r="CM1010" s="138"/>
      <c r="CN1010" s="138"/>
      <c r="CO1010" s="138"/>
      <c r="CP1010" s="138"/>
      <c r="CQ1010" s="138"/>
      <c r="CR1010" s="138"/>
      <c r="CS1010" s="138"/>
      <c r="CT1010" s="138"/>
      <c r="CU1010" s="138"/>
      <c r="CV1010" s="138"/>
      <c r="CW1010" s="138"/>
      <c r="CX1010" s="138"/>
      <c r="CY1010" s="138"/>
      <c r="CZ1010" s="138"/>
      <c r="DA1010" s="138"/>
      <c r="DB1010" s="138"/>
      <c r="DC1010" s="138"/>
      <c r="DD1010" s="138"/>
      <c r="DE1010" s="138"/>
      <c r="DF1010" s="138"/>
      <c r="DG1010" s="115"/>
    </row>
    <row r="1011" spans="1:111" ht="9" customHeight="1">
      <c r="A1011"/>
      <c r="B1011" s="143"/>
      <c r="C1011" s="143"/>
      <c r="D1011" s="143"/>
      <c r="E1011" s="143"/>
      <c r="F1011" s="143"/>
      <c r="G1011" s="143"/>
      <c r="H1011" s="143"/>
      <c r="I1011" s="143"/>
      <c r="J1011" s="143"/>
      <c r="K1011" s="143"/>
      <c r="L1011" s="143"/>
      <c r="M1011" s="143"/>
      <c r="N1011" s="143"/>
      <c r="O1011" s="421"/>
      <c r="P1011" s="421"/>
      <c r="Q1011" s="421"/>
      <c r="R1011" s="421"/>
      <c r="S1011" s="421"/>
      <c r="T1011" s="421"/>
      <c r="U1011" s="421"/>
      <c r="V1011" s="421"/>
      <c r="W1011" s="421"/>
      <c r="X1011" s="421"/>
      <c r="Y1011" s="421"/>
      <c r="Z1011" s="421"/>
      <c r="AA1011" s="421"/>
      <c r="AB1011" s="421"/>
      <c r="AC1011" s="421"/>
      <c r="AD1011" s="421"/>
      <c r="AE1011" s="421"/>
      <c r="AF1011" s="421"/>
      <c r="AG1011" s="421"/>
      <c r="AH1011" s="421"/>
      <c r="AI1011" s="421"/>
      <c r="AJ1011" s="421"/>
      <c r="AK1011" s="421"/>
      <c r="AL1011" s="421"/>
      <c r="AM1011" s="421"/>
      <c r="AN1011" s="421"/>
      <c r="AO1011" s="421"/>
      <c r="AP1011" s="421"/>
      <c r="AQ1011" s="421"/>
      <c r="AR1011" s="421"/>
      <c r="AS1011" s="421"/>
      <c r="AT1011" s="421"/>
      <c r="AU1011" s="421"/>
      <c r="AV1011" s="421"/>
      <c r="AW1011" s="421"/>
      <c r="AX1011" s="421"/>
      <c r="AY1011" s="421"/>
      <c r="AZ1011" s="421"/>
      <c r="BA1011" s="421"/>
      <c r="BB1011"/>
      <c r="BC1011" s="115"/>
      <c r="BD1011" s="115"/>
      <c r="BE1011" s="115"/>
      <c r="BF1011" s="115"/>
      <c r="BG1011" s="115"/>
      <c r="BH1011" s="138"/>
      <c r="BI1011" s="138"/>
      <c r="BJ1011" s="138"/>
      <c r="BK1011" s="138"/>
      <c r="BL1011" s="138"/>
      <c r="BM1011" s="138"/>
      <c r="BN1011" s="138"/>
      <c r="BO1011" s="138"/>
      <c r="BP1011" s="138"/>
      <c r="BQ1011" s="138"/>
      <c r="BR1011" s="138"/>
      <c r="BS1011" s="138"/>
      <c r="BT1011" s="138"/>
      <c r="BU1011" s="138"/>
      <c r="BV1011" s="138"/>
      <c r="BW1011" s="138"/>
      <c r="BX1011" s="138"/>
      <c r="BY1011" s="138"/>
      <c r="BZ1011" s="138"/>
      <c r="CA1011" s="138"/>
      <c r="CB1011" s="138"/>
      <c r="CC1011" s="138"/>
      <c r="CD1011" s="138"/>
      <c r="CE1011" s="138"/>
      <c r="CF1011" s="138"/>
      <c r="CG1011" s="138"/>
      <c r="CH1011" s="138"/>
      <c r="CI1011" s="138"/>
      <c r="CJ1011" s="138"/>
      <c r="CK1011" s="138"/>
      <c r="CL1011" s="138"/>
      <c r="CM1011" s="138"/>
      <c r="CN1011" s="138"/>
      <c r="CO1011" s="138"/>
      <c r="CP1011" s="138"/>
      <c r="CQ1011" s="138"/>
      <c r="CR1011" s="138"/>
      <c r="CS1011" s="138"/>
      <c r="CT1011" s="138"/>
      <c r="CU1011" s="138"/>
      <c r="CV1011" s="138"/>
      <c r="CW1011" s="138"/>
      <c r="CX1011" s="138"/>
      <c r="CY1011" s="138"/>
      <c r="CZ1011" s="138"/>
      <c r="DA1011" s="138"/>
      <c r="DB1011" s="138"/>
      <c r="DC1011" s="138"/>
      <c r="DD1011" s="138"/>
      <c r="DE1011" s="138"/>
      <c r="DF1011" s="138"/>
      <c r="DG1011" s="115"/>
    </row>
    <row r="1012" spans="1:111" ht="9" customHeight="1">
      <c r="A1012"/>
      <c r="B1012" s="143"/>
      <c r="C1012" s="143"/>
      <c r="D1012" s="143"/>
      <c r="E1012" s="143"/>
      <c r="F1012" s="143"/>
      <c r="G1012" s="143"/>
      <c r="H1012" s="143"/>
      <c r="I1012" s="143"/>
      <c r="J1012" s="143"/>
      <c r="K1012" s="143"/>
      <c r="L1012" s="143"/>
      <c r="M1012" s="143"/>
      <c r="N1012" s="143"/>
      <c r="O1012" s="421"/>
      <c r="P1012" s="421"/>
      <c r="Q1012" s="421"/>
      <c r="R1012" s="421"/>
      <c r="S1012" s="421"/>
      <c r="T1012" s="421"/>
      <c r="U1012" s="421"/>
      <c r="V1012" s="421"/>
      <c r="W1012" s="421"/>
      <c r="X1012" s="421"/>
      <c r="Y1012" s="421"/>
      <c r="Z1012" s="421"/>
      <c r="AA1012" s="421"/>
      <c r="AB1012" s="421"/>
      <c r="AC1012" s="421"/>
      <c r="AD1012" s="421"/>
      <c r="AE1012" s="421"/>
      <c r="AF1012" s="421"/>
      <c r="AG1012" s="421"/>
      <c r="AH1012" s="421"/>
      <c r="AI1012" s="421"/>
      <c r="AJ1012" s="421"/>
      <c r="AK1012" s="421"/>
      <c r="AL1012" s="421"/>
      <c r="AM1012" s="421"/>
      <c r="AN1012" s="421"/>
      <c r="AO1012" s="421"/>
      <c r="AP1012" s="421"/>
      <c r="AQ1012" s="421"/>
      <c r="AR1012" s="421"/>
      <c r="AS1012" s="421"/>
      <c r="AT1012" s="421"/>
      <c r="AU1012" s="421"/>
      <c r="AV1012" s="421"/>
      <c r="AW1012" s="421"/>
      <c r="AX1012" s="421"/>
      <c r="AY1012" s="421"/>
      <c r="AZ1012" s="421"/>
      <c r="BA1012" s="421"/>
      <c r="BB1012"/>
      <c r="BC1012" s="115"/>
      <c r="BD1012" s="115"/>
      <c r="BE1012" s="115"/>
      <c r="BF1012" s="115"/>
      <c r="BG1012" s="115"/>
      <c r="BH1012" s="138"/>
      <c r="BI1012" s="138"/>
      <c r="BJ1012" s="138"/>
      <c r="BK1012" s="138"/>
      <c r="BL1012" s="138"/>
      <c r="BM1012" s="138"/>
      <c r="BN1012" s="138"/>
      <c r="BO1012" s="138"/>
      <c r="BP1012" s="138"/>
      <c r="BQ1012" s="138"/>
      <c r="BR1012" s="138"/>
      <c r="BS1012" s="138"/>
      <c r="BT1012" s="138"/>
      <c r="BU1012" s="138"/>
      <c r="BV1012" s="138"/>
      <c r="BW1012" s="138"/>
      <c r="BX1012" s="138"/>
      <c r="BY1012" s="138"/>
      <c r="BZ1012" s="138"/>
      <c r="CA1012" s="138"/>
      <c r="CB1012" s="138"/>
      <c r="CC1012" s="138"/>
      <c r="CD1012" s="138"/>
      <c r="CE1012" s="138"/>
      <c r="CF1012" s="138"/>
      <c r="CG1012" s="138"/>
      <c r="CH1012" s="138"/>
      <c r="CI1012" s="138"/>
      <c r="CJ1012" s="138"/>
      <c r="CK1012" s="138"/>
      <c r="CL1012" s="138"/>
      <c r="CM1012" s="138"/>
      <c r="CN1012" s="138"/>
      <c r="CO1012" s="138"/>
      <c r="CP1012" s="138"/>
      <c r="CQ1012" s="138"/>
      <c r="CR1012" s="138"/>
      <c r="CS1012" s="138"/>
      <c r="CT1012" s="138"/>
      <c r="CU1012" s="138"/>
      <c r="CV1012" s="138"/>
      <c r="CW1012" s="138"/>
      <c r="CX1012" s="138"/>
      <c r="CY1012" s="138"/>
      <c r="CZ1012" s="138"/>
      <c r="DA1012" s="138"/>
      <c r="DB1012" s="138"/>
      <c r="DC1012" s="138"/>
      <c r="DD1012" s="138"/>
      <c r="DE1012" s="138"/>
      <c r="DF1012" s="138"/>
      <c r="DG1012" s="115"/>
    </row>
    <row r="1013" spans="1:111" ht="9" customHeight="1">
      <c r="A1013"/>
      <c r="B1013" s="143"/>
      <c r="C1013" s="143"/>
      <c r="D1013" s="143"/>
      <c r="E1013" s="143"/>
      <c r="F1013" s="143"/>
      <c r="G1013" s="143"/>
      <c r="H1013" s="143"/>
      <c r="I1013" s="143"/>
      <c r="J1013" s="143"/>
      <c r="K1013" s="143"/>
      <c r="L1013" s="143"/>
      <c r="M1013" s="143"/>
      <c r="N1013" s="143"/>
      <c r="O1013" s="421"/>
      <c r="P1013" s="421"/>
      <c r="Q1013" s="421"/>
      <c r="R1013" s="421"/>
      <c r="S1013" s="421"/>
      <c r="T1013" s="421"/>
      <c r="U1013" s="421"/>
      <c r="V1013" s="421"/>
      <c r="W1013" s="421"/>
      <c r="X1013" s="421"/>
      <c r="Y1013" s="421"/>
      <c r="Z1013" s="421"/>
      <c r="AA1013" s="421"/>
      <c r="AB1013" s="421"/>
      <c r="AC1013" s="421"/>
      <c r="AD1013" s="421"/>
      <c r="AE1013" s="421"/>
      <c r="AF1013" s="421"/>
      <c r="AG1013" s="421"/>
      <c r="AH1013" s="421"/>
      <c r="AI1013" s="421"/>
      <c r="AJ1013" s="421"/>
      <c r="AK1013" s="421"/>
      <c r="AL1013" s="421"/>
      <c r="AM1013" s="421"/>
      <c r="AN1013" s="421"/>
      <c r="AO1013" s="421"/>
      <c r="AP1013" s="421"/>
      <c r="AQ1013" s="421"/>
      <c r="AR1013" s="421"/>
      <c r="AS1013" s="421"/>
      <c r="AT1013" s="421"/>
      <c r="AU1013" s="421"/>
      <c r="AV1013" s="421"/>
      <c r="AW1013" s="421"/>
      <c r="AX1013" s="421"/>
      <c r="AY1013" s="421"/>
      <c r="AZ1013" s="421"/>
      <c r="BA1013" s="421"/>
      <c r="BB1013"/>
      <c r="BC1013" s="115"/>
      <c r="BD1013" s="115"/>
      <c r="BE1013" s="115"/>
      <c r="BF1013" s="115"/>
      <c r="BG1013" s="115"/>
      <c r="BH1013" s="138"/>
      <c r="BI1013" s="138"/>
      <c r="BJ1013" s="138"/>
      <c r="BK1013" s="138"/>
      <c r="BL1013" s="138"/>
      <c r="BM1013" s="138"/>
      <c r="BN1013" s="138"/>
      <c r="BO1013" s="138"/>
      <c r="BP1013" s="138"/>
      <c r="BQ1013" s="138"/>
      <c r="BR1013" s="138"/>
      <c r="BS1013" s="138"/>
      <c r="BT1013" s="138"/>
      <c r="BU1013" s="138"/>
      <c r="BV1013" s="138"/>
      <c r="BW1013" s="138"/>
      <c r="BX1013" s="138"/>
      <c r="BY1013" s="138"/>
      <c r="BZ1013" s="138"/>
      <c r="CA1013" s="138"/>
      <c r="CB1013" s="138"/>
      <c r="CC1013" s="138"/>
      <c r="CD1013" s="138"/>
      <c r="CE1013" s="138"/>
      <c r="CF1013" s="138"/>
      <c r="CG1013" s="138"/>
      <c r="CH1013" s="138"/>
      <c r="CI1013" s="138"/>
      <c r="CJ1013" s="138"/>
      <c r="CK1013" s="138"/>
      <c r="CL1013" s="138"/>
      <c r="CM1013" s="138"/>
      <c r="CN1013" s="138"/>
      <c r="CO1013" s="138"/>
      <c r="CP1013" s="138"/>
      <c r="CQ1013" s="138"/>
      <c r="CR1013" s="138"/>
      <c r="CS1013" s="138"/>
      <c r="CT1013" s="138"/>
      <c r="CU1013" s="138"/>
      <c r="CV1013" s="138"/>
      <c r="CW1013" s="138"/>
      <c r="CX1013" s="138"/>
      <c r="CY1013" s="138"/>
      <c r="CZ1013" s="138"/>
      <c r="DA1013" s="138"/>
      <c r="DB1013" s="138"/>
      <c r="DC1013" s="138"/>
      <c r="DD1013" s="138"/>
      <c r="DE1013" s="138"/>
      <c r="DF1013" s="138"/>
      <c r="DG1013" s="115"/>
    </row>
    <row r="1014" spans="1:111" ht="9" customHeight="1">
      <c r="A1014"/>
      <c r="B1014" s="49"/>
      <c r="C1014" s="49"/>
      <c r="D1014" s="49"/>
      <c r="E1014" s="49"/>
      <c r="F1014" s="49"/>
      <c r="G1014" s="49"/>
      <c r="H1014" s="49"/>
      <c r="I1014" s="49"/>
      <c r="J1014" s="49"/>
      <c r="K1014" s="49"/>
      <c r="L1014" s="49"/>
      <c r="M1014" s="49"/>
      <c r="N1014" s="49"/>
      <c r="O1014" s="421"/>
      <c r="P1014" s="421"/>
      <c r="Q1014" s="421"/>
      <c r="R1014" s="421"/>
      <c r="S1014" s="421"/>
      <c r="T1014" s="421"/>
      <c r="U1014" s="421"/>
      <c r="V1014" s="421"/>
      <c r="W1014" s="421"/>
      <c r="X1014" s="421"/>
      <c r="Y1014" s="421"/>
      <c r="Z1014" s="421"/>
      <c r="AA1014" s="421"/>
      <c r="AB1014" s="421"/>
      <c r="AC1014" s="421"/>
      <c r="AD1014" s="421"/>
      <c r="AE1014" s="421"/>
      <c r="AF1014" s="421"/>
      <c r="AG1014" s="421"/>
      <c r="AH1014" s="421"/>
      <c r="AI1014" s="421"/>
      <c r="AJ1014" s="421"/>
      <c r="AK1014" s="421"/>
      <c r="AL1014" s="421"/>
      <c r="AM1014" s="421"/>
      <c r="AN1014" s="421"/>
      <c r="AO1014" s="421"/>
      <c r="AP1014" s="421"/>
      <c r="AQ1014" s="421"/>
      <c r="AR1014" s="421"/>
      <c r="AS1014" s="421"/>
      <c r="AT1014" s="421"/>
      <c r="AU1014" s="421"/>
      <c r="AV1014" s="421"/>
      <c r="AW1014" s="421"/>
      <c r="AX1014" s="421"/>
      <c r="AY1014" s="421"/>
      <c r="AZ1014" s="421"/>
      <c r="BA1014" s="421"/>
      <c r="BB1014"/>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c r="BY1014" s="115"/>
      <c r="BZ1014" s="115"/>
      <c r="CA1014" s="115"/>
      <c r="CB1014" s="115"/>
      <c r="CC1014" s="115"/>
      <c r="CD1014" s="115"/>
      <c r="CE1014" s="115"/>
      <c r="CF1014" s="115"/>
      <c r="CG1014" s="115"/>
      <c r="CH1014" s="115"/>
      <c r="CI1014" s="115"/>
      <c r="CJ1014" s="115"/>
      <c r="CK1014" s="115"/>
      <c r="CL1014" s="115"/>
      <c r="CM1014" s="115"/>
      <c r="CN1014" s="115"/>
      <c r="CO1014" s="115"/>
      <c r="CP1014" s="115"/>
      <c r="CQ1014" s="115"/>
      <c r="CR1014" s="115"/>
      <c r="CS1014" s="115"/>
      <c r="CT1014" s="115"/>
      <c r="CU1014" s="115"/>
      <c r="CV1014" s="115"/>
      <c r="CW1014" s="115"/>
      <c r="CX1014" s="115"/>
      <c r="CY1014" s="115"/>
      <c r="CZ1014" s="115"/>
      <c r="DA1014" s="115"/>
      <c r="DB1014" s="115"/>
      <c r="DC1014" s="115"/>
      <c r="DD1014" s="115"/>
      <c r="DE1014" s="115"/>
      <c r="DF1014" s="115"/>
      <c r="DG1014" s="115"/>
    </row>
    <row r="1015" spans="1:111" ht="4.5" customHeight="1">
      <c r="A1015"/>
      <c r="B1015" s="49"/>
      <c r="C1015" s="49"/>
      <c r="D1015" s="49"/>
      <c r="E1015" s="49"/>
      <c r="F1015" s="49"/>
      <c r="G1015" s="49"/>
      <c r="H1015" s="49"/>
      <c r="I1015" s="49"/>
      <c r="J1015" s="49"/>
      <c r="K1015" s="49"/>
      <c r="L1015" s="49"/>
      <c r="M1015" s="49"/>
      <c r="N1015" s="49"/>
      <c r="O1015" s="49"/>
      <c r="P1015" s="49"/>
      <c r="Q1015" s="49"/>
      <c r="R1015" s="49"/>
      <c r="S1015" s="49"/>
      <c r="T1015" s="49"/>
      <c r="U1015" s="49"/>
      <c r="V1015" s="49"/>
      <c r="W1015" s="49"/>
      <c r="X1015" s="49"/>
      <c r="Y1015" s="49"/>
      <c r="Z1015" s="49"/>
      <c r="AA1015" s="49"/>
      <c r="AB1015" s="49"/>
      <c r="AC1015" s="49"/>
      <c r="AD1015" s="49"/>
      <c r="AE1015" s="49"/>
      <c r="AF1015" s="49"/>
      <c r="AG1015" s="49"/>
      <c r="AH1015" s="49"/>
      <c r="AI1015" s="49"/>
      <c r="AJ1015" s="49"/>
      <c r="AK1015" s="49"/>
      <c r="AL1015" s="49"/>
      <c r="AM1015" s="49"/>
      <c r="AN1015" s="49"/>
      <c r="AO1015" s="49"/>
      <c r="AP1015" s="49"/>
      <c r="AQ1015" s="49"/>
      <c r="AR1015" s="49"/>
      <c r="AS1015" s="49"/>
      <c r="AT1015" s="49"/>
      <c r="AU1015" s="49"/>
      <c r="AV1015" s="49"/>
      <c r="AW1015" s="49"/>
      <c r="AX1015" s="49"/>
      <c r="AY1015" s="49"/>
      <c r="AZ1015" s="49"/>
      <c r="BA1015" s="49"/>
      <c r="BB1015"/>
      <c r="BC1015" s="115"/>
      <c r="BD1015" s="115"/>
      <c r="BE1015" s="115"/>
      <c r="BF1015" s="115"/>
      <c r="BG1015" s="115"/>
      <c r="BH1015" s="124"/>
      <c r="BI1015" s="124"/>
      <c r="BJ1015" s="124"/>
      <c r="BK1015" s="124"/>
      <c r="BL1015" s="124"/>
      <c r="BM1015" s="124"/>
      <c r="BN1015" s="124"/>
      <c r="BO1015" s="124"/>
      <c r="BP1015" s="124"/>
      <c r="BQ1015" s="124"/>
      <c r="BR1015" s="124"/>
      <c r="BS1015" s="124"/>
      <c r="BT1015" s="124"/>
      <c r="BU1015" s="124"/>
      <c r="BV1015" s="124"/>
      <c r="BW1015" s="124"/>
      <c r="BX1015" s="124"/>
      <c r="BY1015" s="124"/>
      <c r="BZ1015" s="124"/>
      <c r="CA1015" s="124"/>
      <c r="CB1015" s="124"/>
      <c r="CC1015" s="124"/>
      <c r="CD1015" s="124"/>
      <c r="CE1015" s="124"/>
      <c r="CF1015" s="124"/>
      <c r="CG1015" s="124"/>
      <c r="CH1015" s="124"/>
      <c r="CI1015" s="124"/>
      <c r="CJ1015" s="124"/>
      <c r="CK1015" s="124"/>
      <c r="CL1015" s="124"/>
      <c r="CM1015" s="124"/>
      <c r="CN1015" s="124"/>
      <c r="CO1015" s="124"/>
      <c r="CP1015" s="124"/>
      <c r="CQ1015" s="124"/>
      <c r="CR1015" s="124"/>
      <c r="CS1015" s="124"/>
      <c r="CT1015" s="124"/>
      <c r="CU1015" s="124"/>
      <c r="CV1015" s="124"/>
      <c r="CW1015" s="124"/>
      <c r="CX1015" s="124"/>
      <c r="CY1015" s="124"/>
      <c r="CZ1015" s="124"/>
      <c r="DA1015" s="124"/>
      <c r="DB1015" s="124"/>
      <c r="DC1015" s="124"/>
      <c r="DD1015" s="124"/>
      <c r="DE1015" s="124"/>
      <c r="DF1015" s="124"/>
      <c r="DG1015" s="115"/>
    </row>
    <row r="1016" spans="1:111" ht="9" customHeight="1">
      <c r="A1016"/>
      <c r="B1016" s="493" t="str">
        <f>IF(B996="","","Justificativa:")</f>
        <v/>
      </c>
      <c r="C1016" s="493"/>
      <c r="D1016" s="493"/>
      <c r="E1016" s="493"/>
      <c r="F1016" s="493"/>
      <c r="G1016" s="493"/>
      <c r="H1016" s="493"/>
      <c r="I1016" s="493"/>
      <c r="J1016" s="493"/>
      <c r="K1016" s="493"/>
      <c r="L1016" s="493"/>
      <c r="M1016" s="493"/>
      <c r="N1016" s="493"/>
      <c r="O1016" s="421"/>
      <c r="P1016" s="421"/>
      <c r="Q1016" s="421"/>
      <c r="R1016" s="421"/>
      <c r="S1016" s="421"/>
      <c r="T1016" s="421"/>
      <c r="U1016" s="421"/>
      <c r="V1016" s="421"/>
      <c r="W1016" s="421"/>
      <c r="X1016" s="421"/>
      <c r="Y1016" s="421"/>
      <c r="Z1016" s="421"/>
      <c r="AA1016" s="421"/>
      <c r="AB1016" s="421"/>
      <c r="AC1016" s="421"/>
      <c r="AD1016" s="421"/>
      <c r="AE1016" s="421"/>
      <c r="AF1016" s="421"/>
      <c r="AG1016" s="421"/>
      <c r="AH1016" s="421"/>
      <c r="AI1016" s="421"/>
      <c r="AJ1016" s="421"/>
      <c r="AK1016" s="421"/>
      <c r="AL1016" s="421"/>
      <c r="AM1016" s="421"/>
      <c r="AN1016" s="421"/>
      <c r="AO1016" s="421"/>
      <c r="AP1016" s="421"/>
      <c r="AQ1016" s="421"/>
      <c r="AR1016" s="421"/>
      <c r="AS1016" s="421"/>
      <c r="AT1016" s="421"/>
      <c r="AU1016" s="421"/>
      <c r="AV1016" s="421"/>
      <c r="AW1016" s="421"/>
      <c r="AX1016" s="421"/>
      <c r="AY1016" s="421"/>
      <c r="AZ1016" s="421"/>
      <c r="BA1016" s="421"/>
      <c r="BB1016"/>
      <c r="BC1016" s="115"/>
      <c r="BD1016" s="115"/>
      <c r="BE1016" s="115"/>
      <c r="BF1016" s="115"/>
      <c r="BG1016" s="115"/>
      <c r="BH1016" s="124"/>
      <c r="BI1016" s="124"/>
      <c r="BJ1016" s="124"/>
      <c r="BK1016" s="124"/>
      <c r="BL1016" s="124"/>
      <c r="BM1016" s="124"/>
      <c r="BN1016" s="124"/>
      <c r="BO1016" s="124"/>
      <c r="BP1016" s="124"/>
      <c r="BQ1016" s="124"/>
      <c r="BR1016" s="124"/>
      <c r="BS1016" s="124"/>
      <c r="BT1016" s="124"/>
      <c r="BU1016" s="124"/>
      <c r="BV1016" s="124"/>
      <c r="BW1016" s="124"/>
      <c r="BX1016" s="124"/>
      <c r="BY1016" s="124"/>
      <c r="BZ1016" s="124"/>
      <c r="CA1016" s="124"/>
      <c r="CB1016" s="124"/>
      <c r="CC1016" s="124"/>
      <c r="CD1016" s="124"/>
      <c r="CE1016" s="124"/>
      <c r="CF1016" s="124"/>
      <c r="CG1016" s="124"/>
      <c r="CH1016" s="124"/>
      <c r="CI1016" s="124"/>
      <c r="CJ1016" s="124"/>
      <c r="CK1016" s="124"/>
      <c r="CL1016" s="124"/>
      <c r="CM1016" s="124"/>
      <c r="CN1016" s="124"/>
      <c r="CO1016" s="124"/>
      <c r="CP1016" s="124"/>
      <c r="CQ1016" s="124"/>
      <c r="CR1016" s="124"/>
      <c r="CS1016" s="124"/>
      <c r="CT1016" s="124"/>
      <c r="CU1016" s="124"/>
      <c r="CV1016" s="124"/>
      <c r="CW1016" s="124"/>
      <c r="CX1016" s="124"/>
      <c r="CY1016" s="124"/>
      <c r="CZ1016" s="124"/>
      <c r="DA1016" s="124"/>
      <c r="DB1016" s="124"/>
      <c r="DC1016" s="124"/>
      <c r="DD1016" s="124"/>
      <c r="DE1016" s="124"/>
      <c r="DF1016" s="124"/>
      <c r="DG1016" s="115"/>
    </row>
    <row r="1017" spans="1:111" ht="9" customHeight="1">
      <c r="A1017"/>
      <c r="B1017" s="493"/>
      <c r="C1017" s="493"/>
      <c r="D1017" s="493"/>
      <c r="E1017" s="493"/>
      <c r="F1017" s="493"/>
      <c r="G1017" s="493"/>
      <c r="H1017" s="493"/>
      <c r="I1017" s="493"/>
      <c r="J1017" s="493"/>
      <c r="K1017" s="493"/>
      <c r="L1017" s="493"/>
      <c r="M1017" s="493"/>
      <c r="N1017" s="493"/>
      <c r="O1017" s="421"/>
      <c r="P1017" s="421"/>
      <c r="Q1017" s="421"/>
      <c r="R1017" s="421"/>
      <c r="S1017" s="421"/>
      <c r="T1017" s="421"/>
      <c r="U1017" s="421"/>
      <c r="V1017" s="421"/>
      <c r="W1017" s="421"/>
      <c r="X1017" s="421"/>
      <c r="Y1017" s="421"/>
      <c r="Z1017" s="421"/>
      <c r="AA1017" s="421"/>
      <c r="AB1017" s="421"/>
      <c r="AC1017" s="421"/>
      <c r="AD1017" s="421"/>
      <c r="AE1017" s="421"/>
      <c r="AF1017" s="421"/>
      <c r="AG1017" s="421"/>
      <c r="AH1017" s="421"/>
      <c r="AI1017" s="421"/>
      <c r="AJ1017" s="421"/>
      <c r="AK1017" s="421"/>
      <c r="AL1017" s="421"/>
      <c r="AM1017" s="421"/>
      <c r="AN1017" s="421"/>
      <c r="AO1017" s="421"/>
      <c r="AP1017" s="421"/>
      <c r="AQ1017" s="421"/>
      <c r="AR1017" s="421"/>
      <c r="AS1017" s="421"/>
      <c r="AT1017" s="421"/>
      <c r="AU1017" s="421"/>
      <c r="AV1017" s="421"/>
      <c r="AW1017" s="421"/>
      <c r="AX1017" s="421"/>
      <c r="AY1017" s="421"/>
      <c r="AZ1017" s="421"/>
      <c r="BA1017" s="421"/>
      <c r="BB1017"/>
      <c r="BC1017" s="115"/>
      <c r="BD1017" s="115"/>
      <c r="BE1017" s="115"/>
      <c r="BF1017" s="115"/>
      <c r="BG1017" s="115"/>
      <c r="BH1017" s="124"/>
      <c r="BI1017" s="124"/>
      <c r="BJ1017" s="124"/>
      <c r="BK1017" s="124"/>
      <c r="BL1017" s="124"/>
      <c r="BM1017" s="124"/>
      <c r="BN1017" s="124"/>
      <c r="BO1017" s="124"/>
      <c r="BP1017" s="124"/>
      <c r="BQ1017" s="124"/>
      <c r="BR1017" s="124"/>
      <c r="BS1017" s="124"/>
      <c r="BT1017" s="124"/>
      <c r="BU1017" s="124"/>
      <c r="BV1017" s="124"/>
      <c r="BW1017" s="124"/>
      <c r="BX1017" s="124"/>
      <c r="BY1017" s="124"/>
      <c r="BZ1017" s="124"/>
      <c r="CA1017" s="124"/>
      <c r="CB1017" s="124"/>
      <c r="CC1017" s="124"/>
      <c r="CD1017" s="124"/>
      <c r="CE1017" s="124"/>
      <c r="CF1017" s="124"/>
      <c r="CG1017" s="124"/>
      <c r="CH1017" s="124"/>
      <c r="CI1017" s="124"/>
      <c r="CJ1017" s="124"/>
      <c r="CK1017" s="124"/>
      <c r="CL1017" s="124"/>
      <c r="CM1017" s="124"/>
      <c r="CN1017" s="124"/>
      <c r="CO1017" s="124"/>
      <c r="CP1017" s="124"/>
      <c r="CQ1017" s="124"/>
      <c r="CR1017" s="124"/>
      <c r="CS1017" s="124"/>
      <c r="CT1017" s="124"/>
      <c r="CU1017" s="124"/>
      <c r="CV1017" s="124"/>
      <c r="CW1017" s="124"/>
      <c r="CX1017" s="124"/>
      <c r="CY1017" s="124"/>
      <c r="CZ1017" s="124"/>
      <c r="DA1017" s="124"/>
      <c r="DB1017" s="124"/>
      <c r="DC1017" s="124"/>
      <c r="DD1017" s="124"/>
      <c r="DE1017" s="124"/>
      <c r="DF1017" s="124"/>
      <c r="DG1017" s="115"/>
    </row>
    <row r="1018" spans="1:111" ht="9" customHeight="1">
      <c r="A1018"/>
      <c r="B1018" s="143"/>
      <c r="C1018" s="143"/>
      <c r="D1018" s="143"/>
      <c r="E1018" s="143"/>
      <c r="F1018" s="143"/>
      <c r="G1018" s="143"/>
      <c r="H1018" s="143"/>
      <c r="I1018" s="143"/>
      <c r="J1018" s="143"/>
      <c r="K1018" s="143"/>
      <c r="L1018" s="143"/>
      <c r="M1018" s="143"/>
      <c r="N1018" s="143"/>
      <c r="O1018" s="421"/>
      <c r="P1018" s="421"/>
      <c r="Q1018" s="421"/>
      <c r="R1018" s="421"/>
      <c r="S1018" s="421"/>
      <c r="T1018" s="421"/>
      <c r="U1018" s="421"/>
      <c r="V1018" s="421"/>
      <c r="W1018" s="421"/>
      <c r="X1018" s="421"/>
      <c r="Y1018" s="421"/>
      <c r="Z1018" s="421"/>
      <c r="AA1018" s="421"/>
      <c r="AB1018" s="421"/>
      <c r="AC1018" s="421"/>
      <c r="AD1018" s="421"/>
      <c r="AE1018" s="421"/>
      <c r="AF1018" s="421"/>
      <c r="AG1018" s="421"/>
      <c r="AH1018" s="421"/>
      <c r="AI1018" s="421"/>
      <c r="AJ1018" s="421"/>
      <c r="AK1018" s="421"/>
      <c r="AL1018" s="421"/>
      <c r="AM1018" s="421"/>
      <c r="AN1018" s="421"/>
      <c r="AO1018" s="421"/>
      <c r="AP1018" s="421"/>
      <c r="AQ1018" s="421"/>
      <c r="AR1018" s="421"/>
      <c r="AS1018" s="421"/>
      <c r="AT1018" s="421"/>
      <c r="AU1018" s="421"/>
      <c r="AV1018" s="421"/>
      <c r="AW1018" s="421"/>
      <c r="AX1018" s="421"/>
      <c r="AY1018" s="421"/>
      <c r="AZ1018" s="421"/>
      <c r="BA1018" s="421"/>
      <c r="BB1018"/>
      <c r="BC1018" s="115"/>
      <c r="BD1018" s="115"/>
      <c r="BE1018" s="115"/>
      <c r="BF1018" s="115"/>
      <c r="BG1018" s="115"/>
      <c r="BH1018" s="124"/>
      <c r="BI1018" s="124"/>
      <c r="BJ1018" s="124"/>
      <c r="BK1018" s="124"/>
      <c r="BL1018" s="124"/>
      <c r="BM1018" s="124"/>
      <c r="BN1018" s="124"/>
      <c r="BO1018" s="124"/>
      <c r="BP1018" s="124"/>
      <c r="BQ1018" s="124"/>
      <c r="BR1018" s="124"/>
      <c r="BS1018" s="124"/>
      <c r="BT1018" s="124"/>
      <c r="BU1018" s="124"/>
      <c r="BV1018" s="124"/>
      <c r="BW1018" s="124"/>
      <c r="BX1018" s="124"/>
      <c r="BY1018" s="124"/>
      <c r="BZ1018" s="124"/>
      <c r="CA1018" s="124"/>
      <c r="CB1018" s="124"/>
      <c r="CC1018" s="124"/>
      <c r="CD1018" s="124"/>
      <c r="CE1018" s="124"/>
      <c r="CF1018" s="124"/>
      <c r="CG1018" s="124"/>
      <c r="CH1018" s="124"/>
      <c r="CI1018" s="124"/>
      <c r="CJ1018" s="124"/>
      <c r="CK1018" s="124"/>
      <c r="CL1018" s="124"/>
      <c r="CM1018" s="124"/>
      <c r="CN1018" s="124"/>
      <c r="CO1018" s="124"/>
      <c r="CP1018" s="124"/>
      <c r="CQ1018" s="124"/>
      <c r="CR1018" s="124"/>
      <c r="CS1018" s="124"/>
      <c r="CT1018" s="124"/>
      <c r="CU1018" s="124"/>
      <c r="CV1018" s="124"/>
      <c r="CW1018" s="124"/>
      <c r="CX1018" s="124"/>
      <c r="CY1018" s="124"/>
      <c r="CZ1018" s="124"/>
      <c r="DA1018" s="124"/>
      <c r="DB1018" s="124"/>
      <c r="DC1018" s="124"/>
      <c r="DD1018" s="124"/>
      <c r="DE1018" s="124"/>
      <c r="DF1018" s="124"/>
      <c r="DG1018" s="115"/>
    </row>
    <row r="1019" spans="1:111" ht="9" customHeight="1">
      <c r="A1019"/>
      <c r="B1019" s="143"/>
      <c r="C1019" s="143"/>
      <c r="D1019" s="143"/>
      <c r="E1019" s="143"/>
      <c r="F1019" s="143"/>
      <c r="G1019" s="143"/>
      <c r="H1019" s="143"/>
      <c r="I1019" s="143"/>
      <c r="J1019" s="143"/>
      <c r="K1019" s="143"/>
      <c r="L1019" s="143"/>
      <c r="M1019" s="143"/>
      <c r="N1019" s="143"/>
      <c r="O1019" s="421"/>
      <c r="P1019" s="421"/>
      <c r="Q1019" s="421"/>
      <c r="R1019" s="421"/>
      <c r="S1019" s="421"/>
      <c r="T1019" s="421"/>
      <c r="U1019" s="421"/>
      <c r="V1019" s="421"/>
      <c r="W1019" s="421"/>
      <c r="X1019" s="421"/>
      <c r="Y1019" s="421"/>
      <c r="Z1019" s="421"/>
      <c r="AA1019" s="421"/>
      <c r="AB1019" s="421"/>
      <c r="AC1019" s="421"/>
      <c r="AD1019" s="421"/>
      <c r="AE1019" s="421"/>
      <c r="AF1019" s="421"/>
      <c r="AG1019" s="421"/>
      <c r="AH1019" s="421"/>
      <c r="AI1019" s="421"/>
      <c r="AJ1019" s="421"/>
      <c r="AK1019" s="421"/>
      <c r="AL1019" s="421"/>
      <c r="AM1019" s="421"/>
      <c r="AN1019" s="421"/>
      <c r="AO1019" s="421"/>
      <c r="AP1019" s="421"/>
      <c r="AQ1019" s="421"/>
      <c r="AR1019" s="421"/>
      <c r="AS1019" s="421"/>
      <c r="AT1019" s="421"/>
      <c r="AU1019" s="421"/>
      <c r="AV1019" s="421"/>
      <c r="AW1019" s="421"/>
      <c r="AX1019" s="421"/>
      <c r="AY1019" s="421"/>
      <c r="AZ1019" s="421"/>
      <c r="BA1019" s="421"/>
      <c r="BB1019"/>
      <c r="BC1019" s="115"/>
      <c r="BD1019" s="115"/>
      <c r="BE1019" s="115"/>
      <c r="BF1019" s="115"/>
      <c r="BG1019" s="115"/>
      <c r="BH1019" s="138"/>
      <c r="BI1019" s="138"/>
      <c r="BJ1019" s="138"/>
      <c r="BK1019" s="138"/>
      <c r="BL1019" s="138"/>
      <c r="BM1019" s="138"/>
      <c r="BN1019" s="138"/>
      <c r="BO1019" s="138"/>
      <c r="BP1019" s="138"/>
      <c r="BQ1019" s="138"/>
      <c r="BR1019" s="138"/>
      <c r="BS1019" s="138"/>
      <c r="BT1019" s="138"/>
      <c r="BU1019" s="138"/>
      <c r="BV1019" s="138"/>
      <c r="BW1019" s="138"/>
      <c r="BX1019" s="138"/>
      <c r="BY1019" s="138"/>
      <c r="BZ1019" s="138"/>
      <c r="CA1019" s="138"/>
      <c r="CB1019" s="138"/>
      <c r="CC1019" s="138"/>
      <c r="CD1019" s="138"/>
      <c r="CE1019" s="138"/>
      <c r="CF1019" s="138"/>
      <c r="CG1019" s="138"/>
      <c r="CH1019" s="138"/>
      <c r="CI1019" s="138"/>
      <c r="CJ1019" s="138"/>
      <c r="CK1019" s="138"/>
      <c r="CL1019" s="138"/>
      <c r="CM1019" s="138"/>
      <c r="CN1019" s="138"/>
      <c r="CO1019" s="138"/>
      <c r="CP1019" s="138"/>
      <c r="CQ1019" s="138"/>
      <c r="CR1019" s="138"/>
      <c r="CS1019" s="138"/>
      <c r="CT1019" s="138"/>
      <c r="CU1019" s="138"/>
      <c r="CV1019" s="138"/>
      <c r="CW1019" s="138"/>
      <c r="CX1019" s="138"/>
      <c r="CY1019" s="138"/>
      <c r="CZ1019" s="138"/>
      <c r="DA1019" s="138"/>
      <c r="DB1019" s="138"/>
      <c r="DC1019" s="138"/>
      <c r="DD1019" s="138"/>
      <c r="DE1019" s="138"/>
      <c r="DF1019" s="138"/>
      <c r="DG1019" s="115"/>
    </row>
    <row r="1020" spans="1:111" ht="9" customHeight="1">
      <c r="A1020"/>
      <c r="B1020" s="143"/>
      <c r="C1020" s="143"/>
      <c r="D1020" s="143"/>
      <c r="E1020" s="143"/>
      <c r="F1020" s="143"/>
      <c r="G1020" s="143"/>
      <c r="H1020" s="143"/>
      <c r="I1020" s="143"/>
      <c r="J1020" s="143"/>
      <c r="K1020" s="143"/>
      <c r="L1020" s="143"/>
      <c r="M1020" s="143"/>
      <c r="N1020" s="143"/>
      <c r="O1020" s="421"/>
      <c r="P1020" s="421"/>
      <c r="Q1020" s="421"/>
      <c r="R1020" s="421"/>
      <c r="S1020" s="421"/>
      <c r="T1020" s="421"/>
      <c r="U1020" s="421"/>
      <c r="V1020" s="421"/>
      <c r="W1020" s="421"/>
      <c r="X1020" s="421"/>
      <c r="Y1020" s="421"/>
      <c r="Z1020" s="421"/>
      <c r="AA1020" s="421"/>
      <c r="AB1020" s="421"/>
      <c r="AC1020" s="421"/>
      <c r="AD1020" s="421"/>
      <c r="AE1020" s="421"/>
      <c r="AF1020" s="421"/>
      <c r="AG1020" s="421"/>
      <c r="AH1020" s="421"/>
      <c r="AI1020" s="421"/>
      <c r="AJ1020" s="421"/>
      <c r="AK1020" s="421"/>
      <c r="AL1020" s="421"/>
      <c r="AM1020" s="421"/>
      <c r="AN1020" s="421"/>
      <c r="AO1020" s="421"/>
      <c r="AP1020" s="421"/>
      <c r="AQ1020" s="421"/>
      <c r="AR1020" s="421"/>
      <c r="AS1020" s="421"/>
      <c r="AT1020" s="421"/>
      <c r="AU1020" s="421"/>
      <c r="AV1020" s="421"/>
      <c r="AW1020" s="421"/>
      <c r="AX1020" s="421"/>
      <c r="AY1020" s="421"/>
      <c r="AZ1020" s="421"/>
      <c r="BA1020" s="421"/>
      <c r="BB1020"/>
      <c r="BC1020" s="115"/>
      <c r="BD1020" s="115"/>
      <c r="BE1020" s="115"/>
      <c r="BF1020" s="115"/>
      <c r="BG1020" s="115"/>
      <c r="BH1020" s="138"/>
      <c r="BI1020" s="138"/>
      <c r="BJ1020" s="138"/>
      <c r="BK1020" s="138"/>
      <c r="BL1020" s="138"/>
      <c r="BM1020" s="138"/>
      <c r="BN1020" s="138"/>
      <c r="BO1020" s="138"/>
      <c r="BP1020" s="138"/>
      <c r="BQ1020" s="138"/>
      <c r="BR1020" s="138"/>
      <c r="BS1020" s="138"/>
      <c r="BT1020" s="138"/>
      <c r="BU1020" s="138"/>
      <c r="BV1020" s="138"/>
      <c r="BW1020" s="138"/>
      <c r="BX1020" s="138"/>
      <c r="BY1020" s="138"/>
      <c r="BZ1020" s="138"/>
      <c r="CA1020" s="138"/>
      <c r="CB1020" s="138"/>
      <c r="CC1020" s="138"/>
      <c r="CD1020" s="138"/>
      <c r="CE1020" s="138"/>
      <c r="CF1020" s="138"/>
      <c r="CG1020" s="138"/>
      <c r="CH1020" s="138"/>
      <c r="CI1020" s="138"/>
      <c r="CJ1020" s="138"/>
      <c r="CK1020" s="138"/>
      <c r="CL1020" s="138"/>
      <c r="CM1020" s="138"/>
      <c r="CN1020" s="138"/>
      <c r="CO1020" s="138"/>
      <c r="CP1020" s="138"/>
      <c r="CQ1020" s="138"/>
      <c r="CR1020" s="138"/>
      <c r="CS1020" s="138"/>
      <c r="CT1020" s="138"/>
      <c r="CU1020" s="138"/>
      <c r="CV1020" s="138"/>
      <c r="CW1020" s="138"/>
      <c r="CX1020" s="138"/>
      <c r="CY1020" s="138"/>
      <c r="CZ1020" s="138"/>
      <c r="DA1020" s="138"/>
      <c r="DB1020" s="138"/>
      <c r="DC1020" s="138"/>
      <c r="DD1020" s="138"/>
      <c r="DE1020" s="138"/>
      <c r="DF1020" s="138"/>
      <c r="DG1020" s="115"/>
    </row>
    <row r="1021" spans="1:111" ht="9" customHeight="1">
      <c r="A1021"/>
      <c r="B1021" s="49"/>
      <c r="C1021" s="49"/>
      <c r="D1021" s="49"/>
      <c r="E1021" s="49"/>
      <c r="F1021" s="49"/>
      <c r="G1021" s="49"/>
      <c r="H1021" s="49"/>
      <c r="I1021" s="49"/>
      <c r="J1021" s="49"/>
      <c r="K1021" s="49"/>
      <c r="L1021" s="49"/>
      <c r="M1021" s="49"/>
      <c r="N1021" s="49"/>
      <c r="O1021" s="421"/>
      <c r="P1021" s="421"/>
      <c r="Q1021" s="421"/>
      <c r="R1021" s="421"/>
      <c r="S1021" s="421"/>
      <c r="T1021" s="421"/>
      <c r="U1021" s="421"/>
      <c r="V1021" s="421"/>
      <c r="W1021" s="421"/>
      <c r="X1021" s="421"/>
      <c r="Y1021" s="421"/>
      <c r="Z1021" s="421"/>
      <c r="AA1021" s="421"/>
      <c r="AB1021" s="421"/>
      <c r="AC1021" s="421"/>
      <c r="AD1021" s="421"/>
      <c r="AE1021" s="421"/>
      <c r="AF1021" s="421"/>
      <c r="AG1021" s="421"/>
      <c r="AH1021" s="421"/>
      <c r="AI1021" s="421"/>
      <c r="AJ1021" s="421"/>
      <c r="AK1021" s="421"/>
      <c r="AL1021" s="421"/>
      <c r="AM1021" s="421"/>
      <c r="AN1021" s="421"/>
      <c r="AO1021" s="421"/>
      <c r="AP1021" s="421"/>
      <c r="AQ1021" s="421"/>
      <c r="AR1021" s="421"/>
      <c r="AS1021" s="421"/>
      <c r="AT1021" s="421"/>
      <c r="AU1021" s="421"/>
      <c r="AV1021" s="421"/>
      <c r="AW1021" s="421"/>
      <c r="AX1021" s="421"/>
      <c r="AY1021" s="421"/>
      <c r="AZ1021" s="421"/>
      <c r="BA1021" s="421"/>
      <c r="BB1021"/>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c r="BY1021" s="115"/>
      <c r="BZ1021" s="115"/>
      <c r="CA1021" s="115"/>
      <c r="CB1021" s="115"/>
      <c r="CC1021" s="115"/>
      <c r="CD1021" s="115"/>
      <c r="CE1021" s="115"/>
      <c r="CF1021" s="115"/>
      <c r="CG1021" s="115"/>
      <c r="CH1021" s="115"/>
      <c r="CI1021" s="115"/>
      <c r="CJ1021" s="115"/>
      <c r="CK1021" s="115"/>
      <c r="CL1021" s="115"/>
      <c r="CM1021" s="115"/>
      <c r="CN1021" s="115"/>
      <c r="CO1021" s="115"/>
      <c r="CP1021" s="115"/>
      <c r="CQ1021" s="115"/>
      <c r="CR1021" s="115"/>
      <c r="CS1021" s="115"/>
      <c r="CT1021" s="115"/>
      <c r="CU1021" s="115"/>
      <c r="CV1021" s="115"/>
      <c r="CW1021" s="115"/>
      <c r="CX1021" s="115"/>
      <c r="CY1021" s="115"/>
      <c r="CZ1021" s="115"/>
      <c r="DA1021" s="115"/>
      <c r="DB1021" s="115"/>
      <c r="DC1021" s="115"/>
      <c r="DD1021" s="115"/>
      <c r="DE1021" s="115"/>
      <c r="DF1021" s="115"/>
      <c r="DG1021" s="115"/>
    </row>
    <row r="1022" spans="1:111" ht="4.5" customHeight="1">
      <c r="A1022"/>
      <c r="B1022" s="49"/>
      <c r="C1022" s="49"/>
      <c r="D1022" s="49"/>
      <c r="E1022" s="49"/>
      <c r="F1022" s="49"/>
      <c r="G1022" s="49"/>
      <c r="H1022" s="49"/>
      <c r="I1022" s="49"/>
      <c r="J1022" s="49"/>
      <c r="K1022" s="49"/>
      <c r="L1022" s="49"/>
      <c r="M1022" s="49"/>
      <c r="N1022" s="49"/>
      <c r="O1022" s="49"/>
      <c r="P1022" s="49"/>
      <c r="Q1022" s="49"/>
      <c r="R1022" s="49"/>
      <c r="S1022" s="49"/>
      <c r="T1022" s="49"/>
      <c r="U1022" s="49"/>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49"/>
      <c r="AS1022" s="49"/>
      <c r="AT1022" s="49"/>
      <c r="AU1022" s="49"/>
      <c r="AV1022" s="49"/>
      <c r="AW1022" s="49"/>
      <c r="AX1022" s="49"/>
      <c r="AY1022" s="49"/>
      <c r="AZ1022" s="49"/>
      <c r="BA1022" s="49"/>
      <c r="BB1022"/>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c r="BY1022" s="115"/>
      <c r="BZ1022" s="115"/>
      <c r="CA1022" s="115"/>
      <c r="CB1022" s="115"/>
      <c r="CC1022" s="115"/>
      <c r="CD1022" s="115"/>
      <c r="CE1022" s="115"/>
      <c r="CF1022" s="115"/>
      <c r="CG1022" s="115"/>
      <c r="CH1022" s="115"/>
      <c r="CI1022" s="115"/>
      <c r="CJ1022" s="115"/>
      <c r="CK1022" s="115"/>
      <c r="CL1022" s="115"/>
      <c r="CM1022" s="115"/>
      <c r="CN1022" s="115"/>
      <c r="CO1022" s="115"/>
      <c r="CP1022" s="115"/>
      <c r="CQ1022" s="115"/>
      <c r="CR1022" s="115"/>
      <c r="CS1022" s="115"/>
      <c r="CT1022" s="115"/>
      <c r="CU1022" s="115"/>
      <c r="CV1022" s="115"/>
      <c r="CW1022" s="115"/>
      <c r="CX1022" s="115"/>
      <c r="CY1022" s="115"/>
      <c r="CZ1022" s="115"/>
      <c r="DA1022" s="115"/>
      <c r="DB1022" s="115"/>
      <c r="DC1022" s="115"/>
      <c r="DD1022" s="115"/>
      <c r="DE1022" s="115"/>
      <c r="DF1022" s="115"/>
      <c r="DG1022" s="115"/>
    </row>
    <row r="1023" spans="1:111" ht="9" customHeight="1">
      <c r="A1023"/>
      <c r="B1023" s="493" t="str">
        <f>IF(B996="","","Metas Vinculadas:")</f>
        <v/>
      </c>
      <c r="C1023" s="493"/>
      <c r="D1023" s="493"/>
      <c r="E1023" s="493"/>
      <c r="F1023" s="493"/>
      <c r="G1023" s="493"/>
      <c r="H1023" s="493"/>
      <c r="I1023" s="493"/>
      <c r="J1023" s="493"/>
      <c r="K1023" s="493"/>
      <c r="L1023" s="493"/>
      <c r="M1023" s="493"/>
      <c r="N1023" s="493"/>
      <c r="O1023" s="421"/>
      <c r="P1023" s="421"/>
      <c r="Q1023" s="421"/>
      <c r="R1023" s="421"/>
      <c r="S1023" s="421"/>
      <c r="T1023" s="421"/>
      <c r="U1023" s="421"/>
      <c r="V1023" s="421"/>
      <c r="W1023" s="421"/>
      <c r="X1023" s="421"/>
      <c r="Y1023" s="421"/>
      <c r="Z1023" s="421"/>
      <c r="AA1023" s="421"/>
      <c r="AB1023" s="421"/>
      <c r="AC1023" s="421"/>
      <c r="AD1023" s="421"/>
      <c r="AE1023" s="421"/>
      <c r="AF1023" s="421"/>
      <c r="AG1023" s="421"/>
      <c r="AH1023" s="421"/>
      <c r="AI1023" s="421"/>
      <c r="AJ1023" s="421"/>
      <c r="AK1023" s="421"/>
      <c r="AL1023" s="421"/>
      <c r="AM1023" s="421"/>
      <c r="AN1023" s="421"/>
      <c r="AO1023" s="421"/>
      <c r="AP1023" s="421"/>
      <c r="AQ1023" s="421"/>
      <c r="AR1023" s="421"/>
      <c r="AS1023" s="421"/>
      <c r="AT1023" s="421"/>
      <c r="AU1023" s="421"/>
      <c r="AV1023" s="421"/>
      <c r="AW1023" s="421"/>
      <c r="AX1023" s="421"/>
      <c r="AY1023" s="421"/>
      <c r="AZ1023" s="421"/>
      <c r="BA1023" s="421"/>
      <c r="BB1023"/>
      <c r="BC1023" s="115"/>
      <c r="BD1023" s="115"/>
      <c r="BE1023" s="115"/>
      <c r="BF1023" s="115"/>
      <c r="BG1023" s="115"/>
      <c r="BH1023" s="124"/>
      <c r="BI1023" s="124"/>
      <c r="BJ1023" s="124"/>
      <c r="BK1023" s="124"/>
      <c r="BL1023" s="124"/>
      <c r="BM1023" s="124"/>
      <c r="BN1023" s="124"/>
      <c r="BO1023" s="124"/>
      <c r="BP1023" s="124"/>
      <c r="BQ1023" s="124"/>
      <c r="BR1023" s="124"/>
      <c r="BS1023" s="124"/>
      <c r="BT1023" s="124"/>
      <c r="BU1023" s="124"/>
      <c r="BV1023" s="124"/>
      <c r="BW1023" s="124"/>
      <c r="BX1023" s="124"/>
      <c r="BY1023" s="124"/>
      <c r="BZ1023" s="124"/>
      <c r="CA1023" s="124"/>
      <c r="CB1023" s="124"/>
      <c r="CC1023" s="124"/>
      <c r="CD1023" s="124"/>
      <c r="CE1023" s="124"/>
      <c r="CF1023" s="124"/>
      <c r="CG1023" s="124"/>
      <c r="CH1023" s="124"/>
      <c r="CI1023" s="124"/>
      <c r="CJ1023" s="124"/>
      <c r="CK1023" s="124"/>
      <c r="CL1023" s="124"/>
      <c r="CM1023" s="124"/>
      <c r="CN1023" s="124"/>
      <c r="CO1023" s="124"/>
      <c r="CP1023" s="124"/>
      <c r="CQ1023" s="124"/>
      <c r="CR1023" s="124"/>
      <c r="CS1023" s="124"/>
      <c r="CT1023" s="124"/>
      <c r="CU1023" s="124"/>
      <c r="CV1023" s="124"/>
      <c r="CW1023" s="124"/>
      <c r="CX1023" s="124"/>
      <c r="CY1023" s="124"/>
      <c r="CZ1023" s="124"/>
      <c r="DA1023" s="124"/>
      <c r="DB1023" s="124"/>
      <c r="DC1023" s="124"/>
      <c r="DD1023" s="124"/>
      <c r="DE1023" s="124"/>
      <c r="DF1023" s="124"/>
      <c r="DG1023" s="115"/>
    </row>
    <row r="1024" spans="1:111" ht="9" customHeight="1">
      <c r="A1024"/>
      <c r="B1024" s="493"/>
      <c r="C1024" s="493"/>
      <c r="D1024" s="493"/>
      <c r="E1024" s="493"/>
      <c r="F1024" s="493"/>
      <c r="G1024" s="493"/>
      <c r="H1024" s="493"/>
      <c r="I1024" s="493"/>
      <c r="J1024" s="493"/>
      <c r="K1024" s="493"/>
      <c r="L1024" s="493"/>
      <c r="M1024" s="493"/>
      <c r="N1024" s="493"/>
      <c r="O1024" s="421"/>
      <c r="P1024" s="421"/>
      <c r="Q1024" s="421"/>
      <c r="R1024" s="421"/>
      <c r="S1024" s="421"/>
      <c r="T1024" s="421"/>
      <c r="U1024" s="421"/>
      <c r="V1024" s="421"/>
      <c r="W1024" s="421"/>
      <c r="X1024" s="421"/>
      <c r="Y1024" s="421"/>
      <c r="Z1024" s="421"/>
      <c r="AA1024" s="421"/>
      <c r="AB1024" s="421"/>
      <c r="AC1024" s="421"/>
      <c r="AD1024" s="421"/>
      <c r="AE1024" s="421"/>
      <c r="AF1024" s="421"/>
      <c r="AG1024" s="421"/>
      <c r="AH1024" s="421"/>
      <c r="AI1024" s="421"/>
      <c r="AJ1024" s="421"/>
      <c r="AK1024" s="421"/>
      <c r="AL1024" s="421"/>
      <c r="AM1024" s="421"/>
      <c r="AN1024" s="421"/>
      <c r="AO1024" s="421"/>
      <c r="AP1024" s="421"/>
      <c r="AQ1024" s="421"/>
      <c r="AR1024" s="421"/>
      <c r="AS1024" s="421"/>
      <c r="AT1024" s="421"/>
      <c r="AU1024" s="421"/>
      <c r="AV1024" s="421"/>
      <c r="AW1024" s="421"/>
      <c r="AX1024" s="421"/>
      <c r="AY1024" s="421"/>
      <c r="AZ1024" s="421"/>
      <c r="BA1024" s="421"/>
      <c r="BB1024"/>
      <c r="BC1024" s="115"/>
      <c r="BD1024" s="115"/>
      <c r="BE1024" s="115"/>
      <c r="BF1024" s="115"/>
      <c r="BG1024" s="115"/>
      <c r="BH1024" s="138"/>
      <c r="BI1024" s="138"/>
      <c r="BJ1024" s="138"/>
      <c r="BK1024" s="138"/>
      <c r="BL1024" s="138"/>
      <c r="BM1024" s="138"/>
      <c r="BN1024" s="138"/>
      <c r="BO1024" s="138"/>
      <c r="BP1024" s="138"/>
      <c r="BQ1024" s="138"/>
      <c r="BR1024" s="138"/>
      <c r="BS1024" s="138"/>
      <c r="BT1024" s="138"/>
      <c r="BU1024" s="138"/>
      <c r="BV1024" s="138"/>
      <c r="BW1024" s="138"/>
      <c r="BX1024" s="138"/>
      <c r="BY1024" s="138"/>
      <c r="BZ1024" s="138"/>
      <c r="CA1024" s="138"/>
      <c r="CB1024" s="138"/>
      <c r="CC1024" s="138"/>
      <c r="CD1024" s="138"/>
      <c r="CE1024" s="138"/>
      <c r="CF1024" s="138"/>
      <c r="CG1024" s="138"/>
      <c r="CH1024" s="138"/>
      <c r="CI1024" s="138"/>
      <c r="CJ1024" s="138"/>
      <c r="CK1024" s="138"/>
      <c r="CL1024" s="138"/>
      <c r="CM1024" s="138"/>
      <c r="CN1024" s="138"/>
      <c r="CO1024" s="138"/>
      <c r="CP1024" s="138"/>
      <c r="CQ1024" s="138"/>
      <c r="CR1024" s="138"/>
      <c r="CS1024" s="138"/>
      <c r="CT1024" s="138"/>
      <c r="CU1024" s="138"/>
      <c r="CV1024" s="138"/>
      <c r="CW1024" s="138"/>
      <c r="CX1024" s="138"/>
      <c r="CY1024" s="138"/>
      <c r="CZ1024" s="138"/>
      <c r="DA1024" s="138"/>
      <c r="DB1024" s="138"/>
      <c r="DC1024" s="138"/>
      <c r="DD1024" s="138"/>
      <c r="DE1024" s="138"/>
      <c r="DF1024" s="138"/>
      <c r="DG1024" s="115"/>
    </row>
    <row r="1025" spans="1:111" ht="4.5" customHeight="1">
      <c r="A1025"/>
      <c r="B1025" s="49"/>
      <c r="C1025" s="49"/>
      <c r="D1025" s="49"/>
      <c r="E1025" s="49"/>
      <c r="F1025" s="49"/>
      <c r="G1025" s="49"/>
      <c r="H1025" s="49"/>
      <c r="I1025" s="49"/>
      <c r="J1025" s="49"/>
      <c r="K1025" s="49"/>
      <c r="L1025" s="49"/>
      <c r="M1025" s="49"/>
      <c r="N1025" s="49"/>
      <c r="O1025" s="49"/>
      <c r="P1025" s="49"/>
      <c r="Q1025" s="49"/>
      <c r="R1025" s="49"/>
      <c r="S1025" s="49"/>
      <c r="T1025" s="49"/>
      <c r="U1025" s="49"/>
      <c r="V1025" s="49"/>
      <c r="W1025" s="49"/>
      <c r="X1025" s="49"/>
      <c r="Y1025" s="49"/>
      <c r="Z1025" s="49"/>
      <c r="AA1025" s="49"/>
      <c r="AB1025" s="49"/>
      <c r="AC1025" s="49"/>
      <c r="AD1025" s="49"/>
      <c r="AE1025" s="49"/>
      <c r="AF1025" s="49"/>
      <c r="AG1025" s="49"/>
      <c r="AH1025" s="49"/>
      <c r="AI1025" s="49"/>
      <c r="AJ1025" s="49"/>
      <c r="AK1025" s="49"/>
      <c r="AL1025" s="49"/>
      <c r="AM1025" s="49"/>
      <c r="AN1025" s="49"/>
      <c r="AO1025" s="49"/>
      <c r="AP1025" s="49"/>
      <c r="AQ1025" s="49"/>
      <c r="AR1025" s="49"/>
      <c r="AS1025" s="49"/>
      <c r="AT1025" s="49"/>
      <c r="AU1025" s="49"/>
      <c r="AV1025" s="49"/>
      <c r="AW1025" s="49"/>
      <c r="AX1025" s="49"/>
      <c r="AY1025" s="49"/>
      <c r="AZ1025" s="49"/>
      <c r="BA1025" s="49"/>
      <c r="BB102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c r="BY1025" s="115"/>
      <c r="BZ1025" s="115"/>
      <c r="CA1025" s="115"/>
      <c r="CB1025" s="115"/>
      <c r="CC1025" s="115"/>
      <c r="CD1025" s="115"/>
      <c r="CE1025" s="115"/>
      <c r="CF1025" s="115"/>
      <c r="CG1025" s="115"/>
      <c r="CH1025" s="115"/>
      <c r="CI1025" s="115"/>
      <c r="CJ1025" s="115"/>
      <c r="CK1025" s="115"/>
      <c r="CL1025" s="115"/>
      <c r="CM1025" s="115"/>
      <c r="CN1025" s="115"/>
      <c r="CO1025" s="115"/>
      <c r="CP1025" s="115"/>
      <c r="CQ1025" s="115"/>
      <c r="CR1025" s="115"/>
      <c r="CS1025" s="115"/>
      <c r="CT1025" s="115"/>
      <c r="CU1025" s="115"/>
      <c r="CV1025" s="115"/>
      <c r="CW1025" s="115"/>
      <c r="CX1025" s="115"/>
      <c r="CY1025" s="115"/>
      <c r="CZ1025" s="115"/>
      <c r="DA1025" s="115"/>
      <c r="DB1025" s="115"/>
      <c r="DC1025" s="115"/>
      <c r="DD1025" s="115"/>
      <c r="DE1025" s="115"/>
      <c r="DF1025" s="115"/>
      <c r="DG1025" s="115"/>
    </row>
    <row r="1026" spans="1:111" ht="9" customHeight="1">
      <c r="A1026"/>
      <c r="B1026" s="125"/>
      <c r="C1026" s="125"/>
      <c r="D1026" s="125"/>
      <c r="E1026" s="125"/>
      <c r="F1026" s="125"/>
      <c r="G1026" s="125"/>
      <c r="H1026" s="125"/>
      <c r="I1026" s="125"/>
      <c r="J1026" s="125"/>
      <c r="K1026" s="125"/>
      <c r="L1026" s="125"/>
      <c r="M1026" s="125"/>
      <c r="N1026" s="125"/>
      <c r="O1026" s="496" t="str">
        <f>IF(B996="","","Quantidade:")</f>
        <v/>
      </c>
      <c r="P1026" s="496"/>
      <c r="Q1026" s="496"/>
      <c r="R1026" s="496"/>
      <c r="S1026" s="496"/>
      <c r="T1026" s="496"/>
      <c r="U1026" s="496"/>
      <c r="V1026" s="417"/>
      <c r="W1026" s="417"/>
      <c r="X1026" s="417"/>
      <c r="Y1026" s="417"/>
      <c r="Z1026" s="417"/>
      <c r="AA1026" s="417"/>
      <c r="AB1026" s="417"/>
      <c r="AC1026" s="417"/>
      <c r="AD1026" s="417"/>
      <c r="AE1026" s="417"/>
      <c r="AF1026" s="125"/>
      <c r="AG1026" s="497" t="str">
        <f>IF(B996="","","Unidade:")</f>
        <v/>
      </c>
      <c r="AH1026" s="497"/>
      <c r="AI1026" s="497"/>
      <c r="AJ1026" s="497"/>
      <c r="AK1026" s="497"/>
      <c r="AL1026" s="497"/>
      <c r="AM1026" s="497"/>
      <c r="AN1026" s="125"/>
      <c r="AO1026" s="417"/>
      <c r="AP1026" s="417"/>
      <c r="AQ1026" s="417"/>
      <c r="AR1026" s="417"/>
      <c r="AS1026" s="417"/>
      <c r="AT1026" s="417"/>
      <c r="AU1026" s="417"/>
      <c r="AV1026" s="417"/>
      <c r="AW1026" s="417"/>
      <c r="AX1026" s="417"/>
      <c r="AY1026" s="417"/>
      <c r="AZ1026" s="417"/>
      <c r="BA1026" s="417"/>
      <c r="BB1026"/>
      <c r="BC1026" s="115"/>
      <c r="BD1026" s="115"/>
      <c r="BE1026" s="115"/>
      <c r="BF1026" s="115"/>
      <c r="BG1026" s="115"/>
      <c r="BH1026" s="124"/>
      <c r="BI1026" s="124"/>
      <c r="BJ1026" s="124"/>
      <c r="BK1026" s="124"/>
      <c r="BL1026" s="124"/>
      <c r="BM1026" s="124"/>
      <c r="BN1026" s="124"/>
      <c r="BO1026" s="124"/>
      <c r="BP1026" s="124"/>
      <c r="BQ1026" s="124"/>
      <c r="BR1026" s="124"/>
      <c r="BS1026" s="124"/>
      <c r="BT1026" s="124"/>
      <c r="BU1026" s="124"/>
      <c r="BV1026" s="124"/>
      <c r="BW1026" s="124"/>
      <c r="BX1026" s="124"/>
      <c r="BY1026" s="124"/>
      <c r="BZ1026" s="124"/>
      <c r="CA1026" s="124"/>
      <c r="CB1026" s="124"/>
      <c r="CC1026" s="124"/>
      <c r="CD1026" s="124"/>
      <c r="CE1026" s="124"/>
      <c r="CF1026" s="124"/>
      <c r="CG1026" s="124"/>
      <c r="CH1026" s="124"/>
      <c r="CI1026" s="124"/>
      <c r="CJ1026" s="124"/>
      <c r="CK1026" s="124"/>
      <c r="CL1026" s="124"/>
      <c r="CM1026" s="124"/>
      <c r="CN1026" s="124"/>
      <c r="CO1026" s="124"/>
      <c r="CP1026" s="124"/>
      <c r="CQ1026" s="124"/>
      <c r="CR1026" s="124"/>
      <c r="CS1026" s="124"/>
      <c r="CT1026" s="124"/>
      <c r="CU1026" s="124"/>
      <c r="CV1026" s="124"/>
      <c r="CW1026" s="124"/>
      <c r="CX1026" s="124"/>
      <c r="CY1026" s="124"/>
      <c r="CZ1026" s="124"/>
      <c r="DA1026" s="124"/>
      <c r="DB1026" s="124"/>
      <c r="DC1026" s="124"/>
      <c r="DD1026" s="124"/>
      <c r="DE1026" s="124"/>
      <c r="DF1026" s="124"/>
      <c r="DG1026" s="115"/>
    </row>
    <row r="1027" spans="1:111" ht="9" customHeight="1">
      <c r="A1027"/>
      <c r="B1027" s="125"/>
      <c r="C1027" s="125"/>
      <c r="D1027" s="125"/>
      <c r="E1027" s="125"/>
      <c r="F1027" s="125"/>
      <c r="G1027" s="125"/>
      <c r="H1027" s="125"/>
      <c r="I1027" s="125"/>
      <c r="J1027" s="125"/>
      <c r="K1027" s="125"/>
      <c r="L1027" s="125"/>
      <c r="M1027" s="125"/>
      <c r="N1027" s="125"/>
      <c r="O1027" s="496"/>
      <c r="P1027" s="496"/>
      <c r="Q1027" s="496"/>
      <c r="R1027" s="496"/>
      <c r="S1027" s="496"/>
      <c r="T1027" s="496"/>
      <c r="U1027" s="496"/>
      <c r="V1027" s="417"/>
      <c r="W1027" s="417"/>
      <c r="X1027" s="417"/>
      <c r="Y1027" s="417"/>
      <c r="Z1027" s="417"/>
      <c r="AA1027" s="417"/>
      <c r="AB1027" s="417"/>
      <c r="AC1027" s="417"/>
      <c r="AD1027" s="417"/>
      <c r="AE1027" s="417"/>
      <c r="AF1027" s="125"/>
      <c r="AG1027" s="497"/>
      <c r="AH1027" s="497"/>
      <c r="AI1027" s="497"/>
      <c r="AJ1027" s="497"/>
      <c r="AK1027" s="497"/>
      <c r="AL1027" s="497"/>
      <c r="AM1027" s="497"/>
      <c r="AN1027" s="125"/>
      <c r="AO1027" s="417"/>
      <c r="AP1027" s="417"/>
      <c r="AQ1027" s="417"/>
      <c r="AR1027" s="417"/>
      <c r="AS1027" s="417"/>
      <c r="AT1027" s="417"/>
      <c r="AU1027" s="417"/>
      <c r="AV1027" s="417"/>
      <c r="AW1027" s="417"/>
      <c r="AX1027" s="417"/>
      <c r="AY1027" s="417"/>
      <c r="AZ1027" s="417"/>
      <c r="BA1027" s="417"/>
      <c r="BB1027"/>
      <c r="BC1027" s="115"/>
      <c r="BD1027" s="115"/>
      <c r="BE1027" s="115"/>
      <c r="BF1027" s="115"/>
      <c r="BG1027" s="115"/>
      <c r="BH1027" s="124"/>
      <c r="BI1027" s="124"/>
      <c r="BJ1027" s="124"/>
      <c r="BK1027" s="124"/>
      <c r="BL1027" s="124"/>
      <c r="BM1027" s="124"/>
      <c r="BN1027" s="124"/>
      <c r="BO1027" s="124"/>
      <c r="BP1027" s="124"/>
      <c r="BQ1027" s="124"/>
      <c r="BR1027" s="124"/>
      <c r="BS1027" s="124"/>
      <c r="BT1027" s="124"/>
      <c r="BU1027" s="124"/>
      <c r="BV1027" s="124"/>
      <c r="BW1027" s="124"/>
      <c r="BX1027" s="124"/>
      <c r="BY1027" s="124"/>
      <c r="BZ1027" s="124"/>
      <c r="CA1027" s="124"/>
      <c r="CB1027" s="124"/>
      <c r="CC1027" s="124"/>
      <c r="CD1027" s="124"/>
      <c r="CE1027" s="124"/>
      <c r="CF1027" s="124"/>
      <c r="CG1027" s="124"/>
      <c r="CH1027" s="124"/>
      <c r="CI1027" s="124"/>
      <c r="CJ1027" s="124"/>
      <c r="CK1027" s="124"/>
      <c r="CL1027" s="124"/>
      <c r="CM1027" s="124"/>
      <c r="CN1027" s="124"/>
      <c r="CO1027" s="124"/>
      <c r="CP1027" s="124"/>
      <c r="CQ1027" s="124"/>
      <c r="CR1027" s="124"/>
      <c r="CS1027" s="124"/>
      <c r="CT1027" s="124"/>
      <c r="CU1027" s="124"/>
      <c r="CV1027" s="124"/>
      <c r="CW1027" s="124"/>
      <c r="CX1027" s="124"/>
      <c r="CY1027" s="124"/>
      <c r="CZ1027" s="124"/>
      <c r="DA1027" s="124"/>
      <c r="DB1027" s="124"/>
      <c r="DC1027" s="124"/>
      <c r="DD1027" s="124"/>
      <c r="DE1027" s="124"/>
      <c r="DF1027" s="124"/>
      <c r="DG1027" s="115"/>
    </row>
    <row r="1028" spans="1:111" ht="9" customHeight="1">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s="115"/>
      <c r="BD1028" s="115"/>
      <c r="BE1028" s="115"/>
      <c r="BF1028" s="115"/>
      <c r="BG1028" s="115"/>
      <c r="BH1028" s="498"/>
      <c r="BI1028" s="498"/>
      <c r="BJ1028" s="498"/>
      <c r="BK1028" s="498"/>
      <c r="BL1028" s="498"/>
      <c r="BM1028" s="498"/>
      <c r="BN1028" s="498"/>
      <c r="BO1028" s="498"/>
      <c r="BP1028" s="498"/>
      <c r="BQ1028" s="498"/>
      <c r="BR1028" s="498"/>
      <c r="BS1028" s="498"/>
      <c r="BT1028" s="498"/>
      <c r="BU1028" s="498"/>
      <c r="BV1028" s="498"/>
      <c r="BW1028" s="498"/>
      <c r="BX1028" s="498"/>
      <c r="BY1028" s="498"/>
      <c r="BZ1028" s="498"/>
      <c r="CA1028" s="498"/>
      <c r="CB1028" s="498"/>
      <c r="CC1028" s="498"/>
      <c r="CD1028" s="498"/>
      <c r="CE1028" s="498"/>
      <c r="CF1028" s="498"/>
      <c r="CG1028" s="498"/>
      <c r="CH1028" s="498"/>
      <c r="CI1028" s="498"/>
      <c r="CJ1028" s="498"/>
      <c r="CK1028" s="498"/>
      <c r="CL1028" s="498"/>
      <c r="CM1028" s="498"/>
      <c r="CN1028" s="498"/>
      <c r="CO1028" s="498"/>
      <c r="CP1028" s="498"/>
      <c r="CQ1028" s="498"/>
      <c r="CR1028" s="498"/>
      <c r="CS1028" s="498"/>
      <c r="CT1028" s="498"/>
      <c r="CU1028" s="498"/>
      <c r="CV1028" s="498"/>
      <c r="CW1028" s="498"/>
      <c r="CX1028" s="498"/>
      <c r="CY1028" s="498"/>
      <c r="CZ1028" s="498"/>
      <c r="DA1028" s="498"/>
      <c r="DB1028" s="498"/>
      <c r="DC1028" s="498"/>
      <c r="DD1028" s="498"/>
      <c r="DE1028" s="498"/>
      <c r="DF1028" s="498"/>
      <c r="DG1028" s="115"/>
    </row>
    <row r="1029" spans="1:111" ht="9" customHeight="1">
      <c r="A1029"/>
      <c r="B1029" s="499" t="str">
        <f>IF($Z$32&gt;=15,"Nome da Empresa ou Nº da Ata","")</f>
        <v/>
      </c>
      <c r="C1029" s="499"/>
      <c r="D1029" s="499"/>
      <c r="E1029" s="499"/>
      <c r="F1029" s="499"/>
      <c r="G1029" s="499"/>
      <c r="H1029" s="499"/>
      <c r="I1029" s="499"/>
      <c r="J1029" s="499"/>
      <c r="K1029" s="499"/>
      <c r="L1029" s="499"/>
      <c r="M1029" s="499"/>
      <c r="N1029" s="499"/>
      <c r="O1029" s="499"/>
      <c r="P1029" s="499"/>
      <c r="Q1029" s="499"/>
      <c r="R1029" s="499"/>
      <c r="S1029" s="499"/>
      <c r="T1029" s="499"/>
      <c r="U1029" s="499"/>
      <c r="V1029" s="499"/>
      <c r="W1029" s="499"/>
      <c r="X1029" s="499" t="str">
        <f>IF($Z$32&gt;=15,"CNPJ / CPF","")</f>
        <v/>
      </c>
      <c r="Y1029" s="499"/>
      <c r="Z1029" s="499"/>
      <c r="AA1029" s="499"/>
      <c r="AB1029" s="499"/>
      <c r="AC1029" s="499"/>
      <c r="AD1029" s="499"/>
      <c r="AE1029" s="499"/>
      <c r="AF1029" s="499"/>
      <c r="AG1029" s="499"/>
      <c r="AH1029" s="499" t="str">
        <f>IF($Z$32&gt;=15,"Qtde","")</f>
        <v/>
      </c>
      <c r="AI1029" s="499"/>
      <c r="AJ1029" s="499"/>
      <c r="AK1029" s="499"/>
      <c r="AL1029" s="499" t="str">
        <f>IF($Z$32&gt;=15,"Valor Unitário (R$)","")</f>
        <v/>
      </c>
      <c r="AM1029" s="499"/>
      <c r="AN1029" s="499"/>
      <c r="AO1029" s="499"/>
      <c r="AP1029" s="499"/>
      <c r="AQ1029" s="499"/>
      <c r="AR1029" s="499"/>
      <c r="AS1029" s="499"/>
      <c r="AT1029" s="499" t="str">
        <f>IF($Z$32&gt;=15,"Valor Total (R$)","")</f>
        <v/>
      </c>
      <c r="AU1029" s="499"/>
      <c r="AV1029" s="499"/>
      <c r="AW1029" s="499"/>
      <c r="AX1029" s="499"/>
      <c r="AY1029" s="499"/>
      <c r="AZ1029" s="499"/>
      <c r="BA1029" s="499"/>
      <c r="BB1029"/>
      <c r="BC1029" s="115"/>
      <c r="BD1029" s="115"/>
      <c r="BE1029" s="115"/>
      <c r="BF1029" s="115"/>
      <c r="BG1029" s="115"/>
      <c r="BH1029" s="498"/>
      <c r="BI1029" s="498"/>
      <c r="BJ1029" s="498"/>
      <c r="BK1029" s="498"/>
      <c r="BL1029" s="498"/>
      <c r="BM1029" s="498"/>
      <c r="BN1029" s="498"/>
      <c r="BO1029" s="498"/>
      <c r="BP1029" s="498"/>
      <c r="BQ1029" s="498"/>
      <c r="BR1029" s="498"/>
      <c r="BS1029" s="498"/>
      <c r="BT1029" s="498"/>
      <c r="BU1029" s="498"/>
      <c r="BV1029" s="498"/>
      <c r="BW1029" s="498"/>
      <c r="BX1029" s="498"/>
      <c r="BY1029" s="498"/>
      <c r="BZ1029" s="498"/>
      <c r="CA1029" s="498"/>
      <c r="CB1029" s="498"/>
      <c r="CC1029" s="498"/>
      <c r="CD1029" s="498"/>
      <c r="CE1029" s="498"/>
      <c r="CF1029" s="498"/>
      <c r="CG1029" s="498"/>
      <c r="CH1029" s="498"/>
      <c r="CI1029" s="498"/>
      <c r="CJ1029" s="498"/>
      <c r="CK1029" s="498"/>
      <c r="CL1029" s="498"/>
      <c r="CM1029" s="498"/>
      <c r="CN1029" s="498"/>
      <c r="CO1029" s="498"/>
      <c r="CP1029" s="498"/>
      <c r="CQ1029" s="498"/>
      <c r="CR1029" s="498"/>
      <c r="CS1029" s="498"/>
      <c r="CT1029" s="498"/>
      <c r="CU1029" s="498"/>
      <c r="CV1029" s="498"/>
      <c r="CW1029" s="498"/>
      <c r="CX1029" s="498"/>
      <c r="CY1029" s="498"/>
      <c r="CZ1029" s="498"/>
      <c r="DA1029" s="498"/>
      <c r="DB1029" s="498"/>
      <c r="DC1029" s="498"/>
      <c r="DD1029" s="498"/>
      <c r="DE1029" s="498"/>
      <c r="DF1029" s="498"/>
      <c r="DG1029" s="115"/>
    </row>
    <row r="1030" spans="1:111" ht="9" customHeight="1">
      <c r="A1030"/>
      <c r="B1030" s="499"/>
      <c r="C1030" s="499"/>
      <c r="D1030" s="499"/>
      <c r="E1030" s="499"/>
      <c r="F1030" s="499"/>
      <c r="G1030" s="499"/>
      <c r="H1030" s="499"/>
      <c r="I1030" s="499"/>
      <c r="J1030" s="499"/>
      <c r="K1030" s="499"/>
      <c r="L1030" s="499"/>
      <c r="M1030" s="499"/>
      <c r="N1030" s="499"/>
      <c r="O1030" s="499"/>
      <c r="P1030" s="499"/>
      <c r="Q1030" s="499"/>
      <c r="R1030" s="499"/>
      <c r="S1030" s="499"/>
      <c r="T1030" s="499"/>
      <c r="U1030" s="499"/>
      <c r="V1030" s="499"/>
      <c r="W1030" s="499"/>
      <c r="X1030" s="499"/>
      <c r="Y1030" s="499"/>
      <c r="Z1030" s="499"/>
      <c r="AA1030" s="499"/>
      <c r="AB1030" s="499"/>
      <c r="AC1030" s="499"/>
      <c r="AD1030" s="499"/>
      <c r="AE1030" s="499"/>
      <c r="AF1030" s="499"/>
      <c r="AG1030" s="499"/>
      <c r="AH1030" s="499"/>
      <c r="AI1030" s="499"/>
      <c r="AJ1030" s="499"/>
      <c r="AK1030" s="499"/>
      <c r="AL1030" s="499"/>
      <c r="AM1030" s="499"/>
      <c r="AN1030" s="499"/>
      <c r="AO1030" s="499"/>
      <c r="AP1030" s="499"/>
      <c r="AQ1030" s="499"/>
      <c r="AR1030" s="499"/>
      <c r="AS1030" s="499"/>
      <c r="AT1030" s="499"/>
      <c r="AU1030" s="499"/>
      <c r="AV1030" s="499"/>
      <c r="AW1030" s="499"/>
      <c r="AX1030" s="499"/>
      <c r="AY1030" s="499"/>
      <c r="AZ1030" s="499"/>
      <c r="BA1030" s="499"/>
      <c r="BB1030" s="176" t="e">
        <f>AVERAGE(AL1031:AS1033)</f>
        <v>#DIV/0!</v>
      </c>
      <c r="BC1030" s="115"/>
      <c r="BD1030" s="115"/>
      <c r="BE1030" s="115"/>
      <c r="BF1030" s="115"/>
      <c r="BG1030" s="115"/>
      <c r="BH1030" s="498"/>
      <c r="BI1030" s="498"/>
      <c r="BJ1030" s="498"/>
      <c r="BK1030" s="498"/>
      <c r="BL1030" s="498"/>
      <c r="BM1030" s="498"/>
      <c r="BN1030" s="498"/>
      <c r="BO1030" s="498"/>
      <c r="BP1030" s="498"/>
      <c r="BQ1030" s="498"/>
      <c r="BR1030" s="498"/>
      <c r="BS1030" s="498"/>
      <c r="BT1030" s="498"/>
      <c r="BU1030" s="498"/>
      <c r="BV1030" s="498"/>
      <c r="BW1030" s="498"/>
      <c r="BX1030" s="498"/>
      <c r="BY1030" s="498"/>
      <c r="BZ1030" s="498"/>
      <c r="CA1030" s="498"/>
      <c r="CB1030" s="498"/>
      <c r="CC1030" s="498"/>
      <c r="CD1030" s="498"/>
      <c r="CE1030" s="498"/>
      <c r="CF1030" s="498"/>
      <c r="CG1030" s="498"/>
      <c r="CH1030" s="498"/>
      <c r="CI1030" s="498"/>
      <c r="CJ1030" s="498"/>
      <c r="CK1030" s="498"/>
      <c r="CL1030" s="498"/>
      <c r="CM1030" s="498"/>
      <c r="CN1030" s="498"/>
      <c r="CO1030" s="498"/>
      <c r="CP1030" s="498"/>
      <c r="CQ1030" s="498"/>
      <c r="CR1030" s="498"/>
      <c r="CS1030" s="498"/>
      <c r="CT1030" s="498"/>
      <c r="CU1030" s="498"/>
      <c r="CV1030" s="498"/>
      <c r="CW1030" s="498"/>
      <c r="CX1030" s="498"/>
      <c r="CY1030" s="498"/>
      <c r="CZ1030" s="498"/>
      <c r="DA1030" s="498"/>
      <c r="DB1030" s="498"/>
      <c r="DC1030" s="498"/>
      <c r="DD1030" s="498"/>
      <c r="DE1030" s="498"/>
      <c r="DF1030" s="498"/>
      <c r="DG1030" s="115"/>
    </row>
    <row r="1031" spans="1:111" ht="18" customHeight="1">
      <c r="A1031"/>
      <c r="B1031" s="233"/>
      <c r="C1031" s="233"/>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486"/>
      <c r="Y1031" s="486"/>
      <c r="Z1031" s="486"/>
      <c r="AA1031" s="486"/>
      <c r="AB1031" s="486"/>
      <c r="AC1031" s="486"/>
      <c r="AD1031" s="486"/>
      <c r="AE1031" s="486"/>
      <c r="AF1031" s="486"/>
      <c r="AG1031" s="486"/>
      <c r="AH1031" s="417"/>
      <c r="AI1031" s="417"/>
      <c r="AJ1031" s="417"/>
      <c r="AK1031" s="417"/>
      <c r="AL1031" s="419"/>
      <c r="AM1031" s="419"/>
      <c r="AN1031" s="419"/>
      <c r="AO1031" s="419"/>
      <c r="AP1031" s="419"/>
      <c r="AQ1031" s="419"/>
      <c r="AR1031" s="419"/>
      <c r="AS1031" s="419"/>
      <c r="AT1031" s="487" t="str">
        <f>IF($Z$32&gt;=15,(AH1031*AL1031),"")</f>
        <v/>
      </c>
      <c r="AU1031" s="487"/>
      <c r="AV1031" s="487"/>
      <c r="AW1031" s="487"/>
      <c r="AX1031" s="487"/>
      <c r="AY1031" s="487"/>
      <c r="AZ1031" s="487"/>
      <c r="BA1031" s="487"/>
      <c r="BB1031"/>
      <c r="BC1031" s="115"/>
      <c r="BD1031" s="115"/>
      <c r="BE1031" s="115"/>
      <c r="BF1031" s="115"/>
      <c r="BG1031" s="115"/>
      <c r="BH1031" s="498"/>
      <c r="BI1031" s="498"/>
      <c r="BJ1031" s="498"/>
      <c r="BK1031" s="498"/>
      <c r="BL1031" s="498"/>
      <c r="BM1031" s="498"/>
      <c r="BN1031" s="498"/>
      <c r="BO1031" s="498"/>
      <c r="BP1031" s="498"/>
      <c r="BQ1031" s="498"/>
      <c r="BR1031" s="498"/>
      <c r="BS1031" s="498"/>
      <c r="BT1031" s="498"/>
      <c r="BU1031" s="498"/>
      <c r="BV1031" s="498"/>
      <c r="BW1031" s="498"/>
      <c r="BX1031" s="498"/>
      <c r="BY1031" s="498"/>
      <c r="BZ1031" s="498"/>
      <c r="CA1031" s="498"/>
      <c r="CB1031" s="498"/>
      <c r="CC1031" s="498"/>
      <c r="CD1031" s="498"/>
      <c r="CE1031" s="498"/>
      <c r="CF1031" s="498"/>
      <c r="CG1031" s="498"/>
      <c r="CH1031" s="498"/>
      <c r="CI1031" s="498"/>
      <c r="CJ1031" s="498"/>
      <c r="CK1031" s="498"/>
      <c r="CL1031" s="498"/>
      <c r="CM1031" s="498"/>
      <c r="CN1031" s="498"/>
      <c r="CO1031" s="498"/>
      <c r="CP1031" s="498"/>
      <c r="CQ1031" s="498"/>
      <c r="CR1031" s="498"/>
      <c r="CS1031" s="498"/>
      <c r="CT1031" s="498"/>
      <c r="CU1031" s="498"/>
      <c r="CV1031" s="498"/>
      <c r="CW1031" s="498"/>
      <c r="CX1031" s="498"/>
      <c r="CY1031" s="498"/>
      <c r="CZ1031" s="498"/>
      <c r="DA1031" s="498"/>
      <c r="DB1031" s="498"/>
      <c r="DC1031" s="498"/>
      <c r="DD1031" s="498"/>
      <c r="DE1031" s="498"/>
      <c r="DF1031" s="498"/>
      <c r="DG1031" s="115"/>
    </row>
    <row r="1032" spans="1:111" ht="18" customHeight="1">
      <c r="A1032"/>
      <c r="B1032" s="233"/>
      <c r="C1032" s="233"/>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486"/>
      <c r="Y1032" s="486"/>
      <c r="Z1032" s="486"/>
      <c r="AA1032" s="486"/>
      <c r="AB1032" s="486"/>
      <c r="AC1032" s="486"/>
      <c r="AD1032" s="486"/>
      <c r="AE1032" s="486"/>
      <c r="AF1032" s="486"/>
      <c r="AG1032" s="486"/>
      <c r="AH1032" s="417"/>
      <c r="AI1032" s="417"/>
      <c r="AJ1032" s="417"/>
      <c r="AK1032" s="417"/>
      <c r="AL1032" s="419"/>
      <c r="AM1032" s="419"/>
      <c r="AN1032" s="419"/>
      <c r="AO1032" s="419"/>
      <c r="AP1032" s="419"/>
      <c r="AQ1032" s="419"/>
      <c r="AR1032" s="419"/>
      <c r="AS1032" s="419"/>
      <c r="AT1032" s="487" t="str">
        <f>IF($Z$32&gt;=15,(AH1032*AL1032),"")</f>
        <v/>
      </c>
      <c r="AU1032" s="487"/>
      <c r="AV1032" s="487"/>
      <c r="AW1032" s="487"/>
      <c r="AX1032" s="487"/>
      <c r="AY1032" s="487"/>
      <c r="AZ1032" s="487"/>
      <c r="BA1032" s="487"/>
      <c r="BB1032"/>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c r="BY1032" s="115"/>
      <c r="BZ1032" s="115"/>
      <c r="CA1032" s="115"/>
      <c r="CB1032" s="115"/>
      <c r="CC1032" s="115"/>
      <c r="CD1032" s="115"/>
      <c r="CE1032" s="115"/>
      <c r="CF1032" s="115"/>
      <c r="CG1032" s="115"/>
      <c r="CH1032" s="115"/>
      <c r="CI1032" s="115"/>
      <c r="CJ1032" s="115"/>
      <c r="CK1032" s="115"/>
      <c r="CL1032" s="115"/>
      <c r="CM1032" s="115"/>
      <c r="CN1032" s="115"/>
      <c r="CO1032" s="115"/>
      <c r="CP1032" s="115"/>
      <c r="CQ1032" s="115"/>
      <c r="CR1032" s="115"/>
      <c r="CS1032" s="115"/>
      <c r="CT1032" s="115"/>
      <c r="CU1032" s="115"/>
      <c r="CV1032" s="115"/>
      <c r="CW1032" s="115"/>
      <c r="CX1032" s="115"/>
      <c r="CY1032" s="115"/>
      <c r="CZ1032" s="115"/>
      <c r="DA1032" s="115"/>
      <c r="DB1032" s="115"/>
      <c r="DC1032" s="115"/>
      <c r="DD1032" s="115"/>
      <c r="DE1032" s="115"/>
      <c r="DF1032" s="115"/>
      <c r="DG1032" s="115"/>
    </row>
    <row r="1033" spans="1:111" ht="18" customHeight="1">
      <c r="A1033"/>
      <c r="B1033" s="233"/>
      <c r="C1033" s="233"/>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486"/>
      <c r="Y1033" s="486"/>
      <c r="Z1033" s="486"/>
      <c r="AA1033" s="486"/>
      <c r="AB1033" s="486"/>
      <c r="AC1033" s="486"/>
      <c r="AD1033" s="486"/>
      <c r="AE1033" s="486"/>
      <c r="AF1033" s="486"/>
      <c r="AG1033" s="486"/>
      <c r="AH1033" s="417"/>
      <c r="AI1033" s="417"/>
      <c r="AJ1033" s="417"/>
      <c r="AK1033" s="417"/>
      <c r="AL1033" s="419"/>
      <c r="AM1033" s="419"/>
      <c r="AN1033" s="419"/>
      <c r="AO1033" s="419"/>
      <c r="AP1033" s="419"/>
      <c r="AQ1033" s="419"/>
      <c r="AR1033" s="419"/>
      <c r="AS1033" s="419"/>
      <c r="AT1033" s="487" t="str">
        <f>IF($Z$32&gt;=15,(AH1033*AL1033),"")</f>
        <v/>
      </c>
      <c r="AU1033" s="487"/>
      <c r="AV1033" s="487"/>
      <c r="AW1033" s="487"/>
      <c r="AX1033" s="487"/>
      <c r="AY1033" s="487"/>
      <c r="AZ1033" s="487"/>
      <c r="BA1033" s="487"/>
      <c r="BB1033"/>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c r="BY1033" s="115"/>
      <c r="BZ1033" s="115"/>
      <c r="CA1033" s="115"/>
      <c r="CB1033" s="115"/>
      <c r="CC1033" s="115"/>
      <c r="CD1033" s="115"/>
      <c r="CE1033" s="115"/>
      <c r="CF1033" s="115"/>
      <c r="CG1033" s="115"/>
      <c r="CH1033" s="115"/>
      <c r="CI1033" s="115"/>
      <c r="CJ1033" s="115"/>
      <c r="CK1033" s="115"/>
      <c r="CL1033" s="115"/>
      <c r="CM1033" s="115"/>
      <c r="CN1033" s="115"/>
      <c r="CO1033" s="115"/>
      <c r="CP1033" s="115"/>
      <c r="CQ1033" s="115"/>
      <c r="CR1033" s="115"/>
      <c r="CS1033" s="115"/>
      <c r="CT1033" s="115"/>
      <c r="CU1033" s="115"/>
      <c r="CV1033" s="115"/>
      <c r="CW1033" s="115"/>
      <c r="CX1033" s="115"/>
      <c r="CY1033" s="115"/>
      <c r="CZ1033" s="115"/>
      <c r="DA1033" s="115"/>
      <c r="DB1033" s="115"/>
      <c r="DC1033" s="115"/>
      <c r="DD1033" s="115"/>
      <c r="DE1033" s="115"/>
      <c r="DF1033" s="115"/>
      <c r="DG1033" s="115"/>
    </row>
    <row r="1034" spans="1:111" ht="15" customHeight="1">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500" t="str">
        <f>IF(B1031="","",IF(AL1032="",AT1031,IF(AL1033="",AVERAGE(AT1031:BA1032),AVERAGE(AT1031:AT1033))))</f>
        <v/>
      </c>
      <c r="AU1034" s="500"/>
      <c r="AV1034" s="500"/>
      <c r="AW1034" s="500"/>
      <c r="AX1034" s="500"/>
      <c r="AY1034" s="500"/>
      <c r="AZ1034" s="500"/>
      <c r="BA1034" s="500"/>
      <c r="BB1034"/>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c r="BY1034" s="115"/>
      <c r="BZ1034" s="115"/>
      <c r="CA1034" s="115"/>
      <c r="CB1034" s="115"/>
      <c r="CC1034" s="115"/>
      <c r="CD1034" s="115"/>
      <c r="CE1034" s="115"/>
      <c r="CF1034" s="115"/>
      <c r="CG1034" s="115"/>
      <c r="CH1034" s="115"/>
      <c r="CI1034" s="115"/>
      <c r="CJ1034" s="115"/>
      <c r="CK1034" s="115"/>
      <c r="CL1034" s="115"/>
      <c r="CM1034" s="115"/>
      <c r="CN1034" s="115"/>
      <c r="CO1034" s="115"/>
      <c r="CP1034" s="115"/>
      <c r="CQ1034" s="115"/>
      <c r="CR1034" s="115"/>
      <c r="CS1034" s="115"/>
      <c r="CT1034" s="115"/>
      <c r="CU1034" s="115"/>
      <c r="CV1034" s="115"/>
      <c r="CW1034" s="115"/>
      <c r="CX1034" s="115"/>
      <c r="CY1034" s="115"/>
      <c r="CZ1034" s="115"/>
      <c r="DA1034" s="115"/>
      <c r="DB1034" s="115"/>
      <c r="DC1034" s="115"/>
      <c r="DD1034" s="115"/>
      <c r="DE1034" s="115"/>
      <c r="DF1034" s="115"/>
      <c r="DG1034" s="115"/>
    </row>
    <row r="1035" spans="1:111" ht="15" customHeight="1">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c r="BY1035" s="115"/>
      <c r="BZ1035" s="115"/>
      <c r="CA1035" s="115"/>
      <c r="CB1035" s="115"/>
      <c r="CC1035" s="115"/>
      <c r="CD1035" s="115"/>
      <c r="CE1035" s="115"/>
      <c r="CF1035" s="115"/>
      <c r="CG1035" s="115"/>
      <c r="CH1035" s="115"/>
      <c r="CI1035" s="115"/>
      <c r="CJ1035" s="115"/>
      <c r="CK1035" s="115"/>
      <c r="CL1035" s="115"/>
      <c r="CM1035" s="115"/>
      <c r="CN1035" s="115"/>
      <c r="CO1035" s="115"/>
      <c r="CP1035" s="115"/>
      <c r="CQ1035" s="115"/>
      <c r="CR1035" s="115"/>
      <c r="CS1035" s="115"/>
      <c r="CT1035" s="115"/>
      <c r="CU1035" s="115"/>
      <c r="CV1035" s="115"/>
      <c r="CW1035" s="115"/>
      <c r="CX1035" s="115"/>
      <c r="CY1035" s="115"/>
      <c r="CZ1035" s="115"/>
      <c r="DA1035" s="115"/>
      <c r="DB1035" s="115"/>
      <c r="DC1035" s="115"/>
      <c r="DD1035" s="115"/>
      <c r="DE1035" s="115"/>
      <c r="DF1035" s="115"/>
      <c r="DG1035" s="115"/>
    </row>
    <row r="1036" spans="1:111" ht="9" customHeight="1">
      <c r="A1036"/>
      <c r="B1036" s="494" t="str">
        <f>IF($Z$32&gt;=26,"Item 26","")</f>
        <v/>
      </c>
      <c r="C1036" s="495"/>
      <c r="D1036" s="495"/>
      <c r="E1036" s="495"/>
      <c r="F1036" s="495"/>
      <c r="G1036" s="495"/>
      <c r="H1036" s="495"/>
      <c r="I1036" s="495"/>
      <c r="J1036" s="495"/>
      <c r="K1036" s="495"/>
      <c r="L1036" s="495"/>
      <c r="M1036" s="495"/>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c r="BY1036" s="115"/>
      <c r="BZ1036" s="115"/>
      <c r="CA1036" s="115"/>
      <c r="CB1036" s="115"/>
      <c r="CC1036" s="115"/>
      <c r="CD1036" s="115"/>
      <c r="CE1036" s="115"/>
      <c r="CF1036" s="115"/>
      <c r="CG1036" s="115"/>
      <c r="CH1036" s="115"/>
      <c r="CI1036" s="115"/>
      <c r="CJ1036" s="115"/>
      <c r="CK1036" s="115"/>
      <c r="CL1036" s="115"/>
      <c r="CM1036" s="115"/>
      <c r="CN1036" s="115"/>
      <c r="CO1036" s="115"/>
      <c r="CP1036" s="115"/>
      <c r="CQ1036" s="115"/>
      <c r="CR1036" s="115"/>
      <c r="CS1036" s="115"/>
      <c r="CT1036" s="115"/>
      <c r="CU1036" s="115"/>
      <c r="CV1036" s="115"/>
      <c r="CW1036" s="115"/>
      <c r="CX1036" s="115"/>
      <c r="CY1036" s="115"/>
      <c r="CZ1036" s="115"/>
      <c r="DA1036" s="115"/>
      <c r="DB1036" s="115"/>
      <c r="DC1036" s="115"/>
      <c r="DD1036" s="115"/>
      <c r="DE1036" s="115"/>
      <c r="DF1036" s="115"/>
      <c r="DG1036" s="115"/>
    </row>
    <row r="1037" spans="1:111" ht="9" customHeight="1">
      <c r="A1037"/>
      <c r="B1037" s="495"/>
      <c r="C1037" s="495"/>
      <c r="D1037" s="495"/>
      <c r="E1037" s="495"/>
      <c r="F1037" s="495"/>
      <c r="G1037" s="495"/>
      <c r="H1037" s="495"/>
      <c r="I1037" s="495"/>
      <c r="J1037" s="495"/>
      <c r="K1037" s="495"/>
      <c r="L1037" s="495"/>
      <c r="M1037" s="495"/>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c r="BY1037" s="115"/>
      <c r="BZ1037" s="115"/>
      <c r="CA1037" s="115"/>
      <c r="CB1037" s="115"/>
      <c r="CC1037" s="115"/>
      <c r="CD1037" s="115"/>
      <c r="CE1037" s="115"/>
      <c r="CF1037" s="115"/>
      <c r="CG1037" s="115"/>
      <c r="CH1037" s="115"/>
      <c r="CI1037" s="115"/>
      <c r="CJ1037" s="115"/>
      <c r="CK1037" s="115"/>
      <c r="CL1037" s="115"/>
      <c r="CM1037" s="115"/>
      <c r="CN1037" s="115"/>
      <c r="CO1037" s="115"/>
      <c r="CP1037" s="115"/>
      <c r="CQ1037" s="115"/>
      <c r="CR1037" s="115"/>
      <c r="CS1037" s="115"/>
      <c r="CT1037" s="115"/>
      <c r="CU1037" s="115"/>
      <c r="CV1037" s="115"/>
      <c r="CW1037" s="115"/>
      <c r="CX1037" s="115"/>
      <c r="CY1037" s="115"/>
      <c r="CZ1037" s="115"/>
      <c r="DA1037" s="115"/>
      <c r="DB1037" s="115"/>
      <c r="DC1037" s="115"/>
      <c r="DD1037" s="115"/>
      <c r="DE1037" s="115"/>
      <c r="DF1037" s="115"/>
      <c r="DG1037" s="115"/>
    </row>
    <row r="1038" spans="1:111" ht="4.5" customHeight="1">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c r="BY1038" s="115"/>
      <c r="BZ1038" s="115"/>
      <c r="CA1038" s="115"/>
      <c r="CB1038" s="115"/>
      <c r="CC1038" s="115"/>
      <c r="CD1038" s="115"/>
      <c r="CE1038" s="115"/>
      <c r="CF1038" s="115"/>
      <c r="CG1038" s="115"/>
      <c r="CH1038" s="115"/>
      <c r="CI1038" s="115"/>
      <c r="CJ1038" s="115"/>
      <c r="CK1038" s="115"/>
      <c r="CL1038" s="115"/>
      <c r="CM1038" s="115"/>
      <c r="CN1038" s="115"/>
      <c r="CO1038" s="115"/>
      <c r="CP1038" s="115"/>
      <c r="CQ1038" s="115"/>
      <c r="CR1038" s="115"/>
      <c r="CS1038" s="115"/>
      <c r="CT1038" s="115"/>
      <c r="CU1038" s="115"/>
      <c r="CV1038" s="115"/>
      <c r="CW1038" s="115"/>
      <c r="CX1038" s="115"/>
      <c r="CY1038" s="115"/>
      <c r="CZ1038" s="115"/>
      <c r="DA1038" s="115"/>
      <c r="DB1038" s="115"/>
      <c r="DC1038" s="115"/>
      <c r="DD1038" s="115"/>
      <c r="DE1038" s="115"/>
      <c r="DF1038" s="115"/>
      <c r="DG1038" s="115"/>
    </row>
    <row r="1039" spans="1:111" ht="9" customHeight="1">
      <c r="A1039"/>
      <c r="B1039" s="493" t="str">
        <f>IF(B1036="","","Elemento de Despesa:")</f>
        <v/>
      </c>
      <c r="C1039" s="493"/>
      <c r="D1039" s="493"/>
      <c r="E1039" s="493"/>
      <c r="F1039" s="493"/>
      <c r="G1039" s="493"/>
      <c r="H1039" s="493"/>
      <c r="I1039" s="493"/>
      <c r="J1039" s="493"/>
      <c r="K1039" s="493"/>
      <c r="L1039" s="493"/>
      <c r="M1039" s="493"/>
      <c r="N1039" s="493"/>
      <c r="O1039" s="241"/>
      <c r="P1039" s="241"/>
      <c r="Q1039" s="241"/>
      <c r="R1039" s="241"/>
      <c r="S1039" s="241"/>
      <c r="T1039" s="241"/>
      <c r="U1039" s="241"/>
      <c r="V1039" s="241"/>
      <c r="W1039" s="241"/>
      <c r="X1039" s="241"/>
      <c r="Y1039" s="241"/>
      <c r="Z1039" s="241"/>
      <c r="AA1039" s="241"/>
      <c r="AB1039" s="241"/>
      <c r="AC1039" s="241"/>
      <c r="AD1039" s="241"/>
      <c r="AE1039" s="241"/>
      <c r="AF1039" s="241"/>
      <c r="AG1039" s="241"/>
      <c r="AH1039" s="241"/>
      <c r="AI1039" s="241"/>
      <c r="AJ1039" s="241"/>
      <c r="AK1039" s="241"/>
      <c r="AL1039" s="241"/>
      <c r="AM1039" s="241"/>
      <c r="AN1039" s="241"/>
      <c r="AO1039" s="241"/>
      <c r="AP1039" s="241"/>
      <c r="AQ1039" s="241"/>
      <c r="AR1039" s="241"/>
      <c r="AS1039" s="241"/>
      <c r="AT1039" s="241"/>
      <c r="AU1039" s="241"/>
      <c r="AV1039" s="241"/>
      <c r="AW1039" s="241"/>
      <c r="AX1039" s="241"/>
      <c r="AY1039" s="241"/>
      <c r="AZ1039" s="241"/>
      <c r="BA1039" s="241"/>
      <c r="BB1039"/>
      <c r="BC1039" s="115"/>
      <c r="BD1039" s="115"/>
      <c r="BE1039" s="115"/>
      <c r="BF1039" s="115"/>
      <c r="BG1039" s="115"/>
      <c r="BH1039" s="124"/>
      <c r="BI1039" s="124"/>
      <c r="BJ1039" s="124"/>
      <c r="BK1039" s="124"/>
      <c r="BL1039" s="124"/>
      <c r="BM1039" s="124"/>
      <c r="BN1039" s="124"/>
      <c r="BO1039" s="124"/>
      <c r="BP1039" s="124"/>
      <c r="BQ1039" s="124"/>
      <c r="BR1039" s="124"/>
      <c r="BS1039" s="124"/>
      <c r="BT1039" s="124"/>
      <c r="BU1039" s="124"/>
      <c r="BV1039" s="124"/>
      <c r="BW1039" s="124"/>
      <c r="BX1039" s="124"/>
      <c r="BY1039" s="124"/>
      <c r="BZ1039" s="124"/>
      <c r="CA1039" s="124"/>
      <c r="CB1039" s="124"/>
      <c r="CC1039" s="124"/>
      <c r="CD1039" s="124"/>
      <c r="CE1039" s="124"/>
      <c r="CF1039" s="124"/>
      <c r="CG1039" s="124"/>
      <c r="CH1039" s="124"/>
      <c r="CI1039" s="124"/>
      <c r="CJ1039" s="124"/>
      <c r="CK1039" s="124"/>
      <c r="CL1039" s="124"/>
      <c r="CM1039" s="124"/>
      <c r="CN1039" s="124"/>
      <c r="CO1039" s="124"/>
      <c r="CP1039" s="124"/>
      <c r="CQ1039" s="124"/>
      <c r="CR1039" s="124"/>
      <c r="CS1039" s="124"/>
      <c r="CT1039" s="124"/>
      <c r="CU1039" s="124"/>
      <c r="CV1039" s="124"/>
      <c r="CW1039" s="124"/>
      <c r="CX1039" s="124"/>
      <c r="CY1039" s="124"/>
      <c r="CZ1039" s="124"/>
      <c r="DA1039" s="124"/>
      <c r="DB1039" s="124"/>
      <c r="DC1039" s="124"/>
      <c r="DD1039" s="124"/>
      <c r="DE1039" s="124"/>
      <c r="DF1039" s="124"/>
      <c r="DG1039" s="115"/>
    </row>
    <row r="1040" spans="1:111" ht="9" customHeight="1">
      <c r="A1040"/>
      <c r="B1040" s="493"/>
      <c r="C1040" s="493"/>
      <c r="D1040" s="493"/>
      <c r="E1040" s="493"/>
      <c r="F1040" s="493"/>
      <c r="G1040" s="493"/>
      <c r="H1040" s="493"/>
      <c r="I1040" s="493"/>
      <c r="J1040" s="493"/>
      <c r="K1040" s="493"/>
      <c r="L1040" s="493"/>
      <c r="M1040" s="493"/>
      <c r="N1040" s="493"/>
      <c r="O1040" s="241"/>
      <c r="P1040" s="241"/>
      <c r="Q1040" s="241"/>
      <c r="R1040" s="241"/>
      <c r="S1040" s="241"/>
      <c r="T1040" s="241"/>
      <c r="U1040" s="241"/>
      <c r="V1040" s="241"/>
      <c r="W1040" s="241"/>
      <c r="X1040" s="241"/>
      <c r="Y1040" s="241"/>
      <c r="Z1040" s="241"/>
      <c r="AA1040" s="241"/>
      <c r="AB1040" s="241"/>
      <c r="AC1040" s="241"/>
      <c r="AD1040" s="241"/>
      <c r="AE1040" s="241"/>
      <c r="AF1040" s="241"/>
      <c r="AG1040" s="241"/>
      <c r="AH1040" s="241"/>
      <c r="AI1040" s="241"/>
      <c r="AJ1040" s="241"/>
      <c r="AK1040" s="241"/>
      <c r="AL1040" s="241"/>
      <c r="AM1040" s="241"/>
      <c r="AN1040" s="241"/>
      <c r="AO1040" s="241"/>
      <c r="AP1040" s="241"/>
      <c r="AQ1040" s="241"/>
      <c r="AR1040" s="241"/>
      <c r="AS1040" s="241"/>
      <c r="AT1040" s="241"/>
      <c r="AU1040" s="241"/>
      <c r="AV1040" s="241"/>
      <c r="AW1040" s="241"/>
      <c r="AX1040" s="241"/>
      <c r="AY1040" s="241"/>
      <c r="AZ1040" s="241"/>
      <c r="BA1040" s="241"/>
      <c r="BB1040"/>
      <c r="BC1040" s="115"/>
      <c r="BD1040" s="115"/>
      <c r="BE1040" s="115"/>
      <c r="BF1040" s="115"/>
      <c r="BG1040" s="115"/>
      <c r="BH1040" s="124"/>
      <c r="BI1040" s="124"/>
      <c r="BJ1040" s="124"/>
      <c r="BK1040" s="124"/>
      <c r="BL1040" s="124"/>
      <c r="BM1040" s="124"/>
      <c r="BN1040" s="124"/>
      <c r="BO1040" s="124"/>
      <c r="BP1040" s="124"/>
      <c r="BQ1040" s="124"/>
      <c r="BR1040" s="124"/>
      <c r="BS1040" s="124"/>
      <c r="BT1040" s="124"/>
      <c r="BU1040" s="124"/>
      <c r="BV1040" s="124"/>
      <c r="BW1040" s="124"/>
      <c r="BX1040" s="124"/>
      <c r="BY1040" s="124"/>
      <c r="BZ1040" s="124"/>
      <c r="CA1040" s="124"/>
      <c r="CB1040" s="124"/>
      <c r="CC1040" s="124"/>
      <c r="CD1040" s="124"/>
      <c r="CE1040" s="124"/>
      <c r="CF1040" s="124"/>
      <c r="CG1040" s="124"/>
      <c r="CH1040" s="124"/>
      <c r="CI1040" s="124"/>
      <c r="CJ1040" s="124"/>
      <c r="CK1040" s="124"/>
      <c r="CL1040" s="124"/>
      <c r="CM1040" s="124"/>
      <c r="CN1040" s="124"/>
      <c r="CO1040" s="124"/>
      <c r="CP1040" s="124"/>
      <c r="CQ1040" s="124"/>
      <c r="CR1040" s="124"/>
      <c r="CS1040" s="124"/>
      <c r="CT1040" s="124"/>
      <c r="CU1040" s="124"/>
      <c r="CV1040" s="124"/>
      <c r="CW1040" s="124"/>
      <c r="CX1040" s="124"/>
      <c r="CY1040" s="124"/>
      <c r="CZ1040" s="124"/>
      <c r="DA1040" s="124"/>
      <c r="DB1040" s="124"/>
      <c r="DC1040" s="124"/>
      <c r="DD1040" s="124"/>
      <c r="DE1040" s="124"/>
      <c r="DF1040" s="124"/>
      <c r="DG1040" s="115"/>
    </row>
    <row r="1041" spans="1:111" ht="4.5" customHeight="1">
      <c r="A1041"/>
      <c r="B1041" s="49"/>
      <c r="C1041" s="49"/>
      <c r="D1041" s="49"/>
      <c r="E1041" s="49"/>
      <c r="F1041" s="49"/>
      <c r="G1041" s="49"/>
      <c r="H1041" s="49"/>
      <c r="I1041" s="49"/>
      <c r="J1041" s="49"/>
      <c r="K1041" s="49"/>
      <c r="L1041" s="49"/>
      <c r="M1041" s="49"/>
      <c r="N1041" s="49"/>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49"/>
      <c r="AT1041" s="49"/>
      <c r="AU1041" s="49"/>
      <c r="AV1041" s="49"/>
      <c r="AW1041" s="49"/>
      <c r="AX1041" s="49"/>
      <c r="AY1041" s="49"/>
      <c r="AZ1041" s="49"/>
      <c r="BA1041" s="49"/>
      <c r="BB1041"/>
      <c r="BC1041" s="115"/>
      <c r="BD1041" s="115"/>
      <c r="BE1041" s="115"/>
      <c r="BF1041" s="115"/>
      <c r="BG1041" s="115"/>
      <c r="BH1041" s="124"/>
      <c r="BI1041" s="124"/>
      <c r="BJ1041" s="124"/>
      <c r="BK1041" s="124"/>
      <c r="BL1041" s="124"/>
      <c r="BM1041" s="124"/>
      <c r="BN1041" s="124"/>
      <c r="BO1041" s="124"/>
      <c r="BP1041" s="124"/>
      <c r="BQ1041" s="124"/>
      <c r="BR1041" s="124"/>
      <c r="BS1041" s="124"/>
      <c r="BT1041" s="124"/>
      <c r="BU1041" s="124"/>
      <c r="BV1041" s="124"/>
      <c r="BW1041" s="124"/>
      <c r="BX1041" s="124"/>
      <c r="BY1041" s="124"/>
      <c r="BZ1041" s="124"/>
      <c r="CA1041" s="124"/>
      <c r="CB1041" s="124"/>
      <c r="CC1041" s="124"/>
      <c r="CD1041" s="124"/>
      <c r="CE1041" s="124"/>
      <c r="CF1041" s="124"/>
      <c r="CG1041" s="124"/>
      <c r="CH1041" s="124"/>
      <c r="CI1041" s="124"/>
      <c r="CJ1041" s="124"/>
      <c r="CK1041" s="124"/>
      <c r="CL1041" s="124"/>
      <c r="CM1041" s="124"/>
      <c r="CN1041" s="124"/>
      <c r="CO1041" s="124"/>
      <c r="CP1041" s="124"/>
      <c r="CQ1041" s="124"/>
      <c r="CR1041" s="124"/>
      <c r="CS1041" s="124"/>
      <c r="CT1041" s="124"/>
      <c r="CU1041" s="124"/>
      <c r="CV1041" s="124"/>
      <c r="CW1041" s="124"/>
      <c r="CX1041" s="124"/>
      <c r="CY1041" s="124"/>
      <c r="CZ1041" s="124"/>
      <c r="DA1041" s="124"/>
      <c r="DB1041" s="124"/>
      <c r="DC1041" s="124"/>
      <c r="DD1041" s="124"/>
      <c r="DE1041" s="124"/>
      <c r="DF1041" s="124"/>
      <c r="DG1041" s="115"/>
    </row>
    <row r="1042" spans="1:111" ht="9" customHeight="1">
      <c r="A1042"/>
      <c r="B1042" s="493" t="str">
        <f>IF(B1036="","","Objeto:")</f>
        <v/>
      </c>
      <c r="C1042" s="493"/>
      <c r="D1042" s="493"/>
      <c r="E1042" s="493"/>
      <c r="F1042" s="493"/>
      <c r="G1042" s="493"/>
      <c r="H1042" s="493"/>
      <c r="I1042" s="493"/>
      <c r="J1042" s="493"/>
      <c r="K1042" s="493"/>
      <c r="L1042" s="493"/>
      <c r="M1042" s="493"/>
      <c r="N1042" s="493"/>
      <c r="O1042" s="421"/>
      <c r="P1042" s="421"/>
      <c r="Q1042" s="421"/>
      <c r="R1042" s="421"/>
      <c r="S1042" s="421"/>
      <c r="T1042" s="421"/>
      <c r="U1042" s="421"/>
      <c r="V1042" s="421"/>
      <c r="W1042" s="421"/>
      <c r="X1042" s="421"/>
      <c r="Y1042" s="421"/>
      <c r="Z1042" s="421"/>
      <c r="AA1042" s="421"/>
      <c r="AB1042" s="421"/>
      <c r="AC1042" s="421"/>
      <c r="AD1042" s="421"/>
      <c r="AE1042" s="421"/>
      <c r="AF1042" s="421"/>
      <c r="AG1042" s="421"/>
      <c r="AH1042" s="421"/>
      <c r="AI1042" s="421"/>
      <c r="AJ1042" s="421"/>
      <c r="AK1042" s="421"/>
      <c r="AL1042" s="421"/>
      <c r="AM1042" s="421"/>
      <c r="AN1042" s="421"/>
      <c r="AO1042" s="421"/>
      <c r="AP1042" s="421"/>
      <c r="AQ1042" s="421"/>
      <c r="AR1042" s="421"/>
      <c r="AS1042" s="421"/>
      <c r="AT1042" s="421"/>
      <c r="AU1042" s="421"/>
      <c r="AV1042" s="421"/>
      <c r="AW1042" s="421"/>
      <c r="AX1042" s="421"/>
      <c r="AY1042" s="421"/>
      <c r="AZ1042" s="421"/>
      <c r="BA1042" s="421"/>
      <c r="BB1042"/>
      <c r="BC1042" s="115"/>
      <c r="BD1042" s="115"/>
      <c r="BE1042" s="115"/>
      <c r="BF1042" s="115"/>
      <c r="BG1042" s="115"/>
      <c r="BH1042" s="124"/>
      <c r="BI1042" s="124"/>
      <c r="BJ1042" s="124"/>
      <c r="BK1042" s="124"/>
      <c r="BL1042" s="124"/>
      <c r="BM1042" s="124"/>
      <c r="BN1042" s="124"/>
      <c r="BO1042" s="124"/>
      <c r="BP1042" s="124"/>
      <c r="BQ1042" s="124"/>
      <c r="BR1042" s="124"/>
      <c r="BS1042" s="124"/>
      <c r="BT1042" s="124"/>
      <c r="BU1042" s="124"/>
      <c r="BV1042" s="124"/>
      <c r="BW1042" s="124"/>
      <c r="BX1042" s="124"/>
      <c r="BY1042" s="124"/>
      <c r="BZ1042" s="124"/>
      <c r="CA1042" s="124"/>
      <c r="CB1042" s="124"/>
      <c r="CC1042" s="124"/>
      <c r="CD1042" s="124"/>
      <c r="CE1042" s="124"/>
      <c r="CF1042" s="124"/>
      <c r="CG1042" s="124"/>
      <c r="CH1042" s="124"/>
      <c r="CI1042" s="124"/>
      <c r="CJ1042" s="124"/>
      <c r="CK1042" s="124"/>
      <c r="CL1042" s="124"/>
      <c r="CM1042" s="124"/>
      <c r="CN1042" s="124"/>
      <c r="CO1042" s="124"/>
      <c r="CP1042" s="124"/>
      <c r="CQ1042" s="124"/>
      <c r="CR1042" s="124"/>
      <c r="CS1042" s="124"/>
      <c r="CT1042" s="124"/>
      <c r="CU1042" s="124"/>
      <c r="CV1042" s="124"/>
      <c r="CW1042" s="124"/>
      <c r="CX1042" s="124"/>
      <c r="CY1042" s="124"/>
      <c r="CZ1042" s="124"/>
      <c r="DA1042" s="124"/>
      <c r="DB1042" s="124"/>
      <c r="DC1042" s="124"/>
      <c r="DD1042" s="124"/>
      <c r="DE1042" s="124"/>
      <c r="DF1042" s="124"/>
      <c r="DG1042" s="115"/>
    </row>
    <row r="1043" spans="1:111" ht="9" customHeight="1">
      <c r="A1043"/>
      <c r="B1043" s="493"/>
      <c r="C1043" s="493"/>
      <c r="D1043" s="493"/>
      <c r="E1043" s="493"/>
      <c r="F1043" s="493"/>
      <c r="G1043" s="493"/>
      <c r="H1043" s="493"/>
      <c r="I1043" s="493"/>
      <c r="J1043" s="493"/>
      <c r="K1043" s="493"/>
      <c r="L1043" s="493"/>
      <c r="M1043" s="493"/>
      <c r="N1043" s="493"/>
      <c r="O1043" s="421"/>
      <c r="P1043" s="421"/>
      <c r="Q1043" s="421"/>
      <c r="R1043" s="421"/>
      <c r="S1043" s="421"/>
      <c r="T1043" s="421"/>
      <c r="U1043" s="421"/>
      <c r="V1043" s="421"/>
      <c r="W1043" s="421"/>
      <c r="X1043" s="421"/>
      <c r="Y1043" s="421"/>
      <c r="Z1043" s="421"/>
      <c r="AA1043" s="421"/>
      <c r="AB1043" s="421"/>
      <c r="AC1043" s="421"/>
      <c r="AD1043" s="421"/>
      <c r="AE1043" s="421"/>
      <c r="AF1043" s="421"/>
      <c r="AG1043" s="421"/>
      <c r="AH1043" s="421"/>
      <c r="AI1043" s="421"/>
      <c r="AJ1043" s="421"/>
      <c r="AK1043" s="421"/>
      <c r="AL1043" s="421"/>
      <c r="AM1043" s="421"/>
      <c r="AN1043" s="421"/>
      <c r="AO1043" s="421"/>
      <c r="AP1043" s="421"/>
      <c r="AQ1043" s="421"/>
      <c r="AR1043" s="421"/>
      <c r="AS1043" s="421"/>
      <c r="AT1043" s="421"/>
      <c r="AU1043" s="421"/>
      <c r="AV1043" s="421"/>
      <c r="AW1043" s="421"/>
      <c r="AX1043" s="421"/>
      <c r="AY1043" s="421"/>
      <c r="AZ1043" s="421"/>
      <c r="BA1043" s="421"/>
      <c r="BB1043"/>
      <c r="BC1043" s="115"/>
      <c r="BD1043" s="115"/>
      <c r="BE1043" s="115"/>
      <c r="BF1043" s="115"/>
      <c r="BG1043" s="115"/>
      <c r="BH1043" s="124"/>
      <c r="BI1043" s="124"/>
      <c r="BJ1043" s="124"/>
      <c r="BK1043" s="124"/>
      <c r="BL1043" s="124"/>
      <c r="BM1043" s="124"/>
      <c r="BN1043" s="124"/>
      <c r="BO1043" s="124"/>
      <c r="BP1043" s="124"/>
      <c r="BQ1043" s="124"/>
      <c r="BR1043" s="124"/>
      <c r="BS1043" s="124"/>
      <c r="BT1043" s="124"/>
      <c r="BU1043" s="124"/>
      <c r="BV1043" s="124"/>
      <c r="BW1043" s="124"/>
      <c r="BX1043" s="124"/>
      <c r="BY1043" s="124"/>
      <c r="BZ1043" s="124"/>
      <c r="CA1043" s="124"/>
      <c r="CB1043" s="124"/>
      <c r="CC1043" s="124"/>
      <c r="CD1043" s="124"/>
      <c r="CE1043" s="124"/>
      <c r="CF1043" s="124"/>
      <c r="CG1043" s="124"/>
      <c r="CH1043" s="124"/>
      <c r="CI1043" s="124"/>
      <c r="CJ1043" s="124"/>
      <c r="CK1043" s="124"/>
      <c r="CL1043" s="124"/>
      <c r="CM1043" s="124"/>
      <c r="CN1043" s="124"/>
      <c r="CO1043" s="124"/>
      <c r="CP1043" s="124"/>
      <c r="CQ1043" s="124"/>
      <c r="CR1043" s="124"/>
      <c r="CS1043" s="124"/>
      <c r="CT1043" s="124"/>
      <c r="CU1043" s="124"/>
      <c r="CV1043" s="124"/>
      <c r="CW1043" s="124"/>
      <c r="CX1043" s="124"/>
      <c r="CY1043" s="124"/>
      <c r="CZ1043" s="124"/>
      <c r="DA1043" s="124"/>
      <c r="DB1043" s="124"/>
      <c r="DC1043" s="124"/>
      <c r="DD1043" s="124"/>
      <c r="DE1043" s="124"/>
      <c r="DF1043" s="124"/>
      <c r="DG1043" s="115"/>
    </row>
    <row r="1044" spans="1:111" ht="9" customHeight="1">
      <c r="A1044"/>
      <c r="B1044" s="143"/>
      <c r="C1044" s="143"/>
      <c r="D1044" s="143"/>
      <c r="E1044" s="143"/>
      <c r="F1044" s="143"/>
      <c r="G1044" s="143"/>
      <c r="H1044" s="143"/>
      <c r="I1044" s="143"/>
      <c r="J1044" s="143"/>
      <c r="K1044" s="143"/>
      <c r="L1044" s="143"/>
      <c r="M1044" s="143"/>
      <c r="N1044" s="143"/>
      <c r="O1044" s="421"/>
      <c r="P1044" s="421"/>
      <c r="Q1044" s="421"/>
      <c r="R1044" s="421"/>
      <c r="S1044" s="421"/>
      <c r="T1044" s="421"/>
      <c r="U1044" s="421"/>
      <c r="V1044" s="421"/>
      <c r="W1044" s="421"/>
      <c r="X1044" s="421"/>
      <c r="Y1044" s="421"/>
      <c r="Z1044" s="421"/>
      <c r="AA1044" s="421"/>
      <c r="AB1044" s="421"/>
      <c r="AC1044" s="421"/>
      <c r="AD1044" s="421"/>
      <c r="AE1044" s="421"/>
      <c r="AF1044" s="421"/>
      <c r="AG1044" s="421"/>
      <c r="AH1044" s="421"/>
      <c r="AI1044" s="421"/>
      <c r="AJ1044" s="421"/>
      <c r="AK1044" s="421"/>
      <c r="AL1044" s="421"/>
      <c r="AM1044" s="421"/>
      <c r="AN1044" s="421"/>
      <c r="AO1044" s="421"/>
      <c r="AP1044" s="421"/>
      <c r="AQ1044" s="421"/>
      <c r="AR1044" s="421"/>
      <c r="AS1044" s="421"/>
      <c r="AT1044" s="421"/>
      <c r="AU1044" s="421"/>
      <c r="AV1044" s="421"/>
      <c r="AW1044" s="421"/>
      <c r="AX1044" s="421"/>
      <c r="AY1044" s="421"/>
      <c r="AZ1044" s="421"/>
      <c r="BA1044" s="421"/>
      <c r="BB1044"/>
      <c r="BC1044" s="115"/>
      <c r="BD1044" s="115"/>
      <c r="BE1044" s="115"/>
      <c r="BF1044" s="115"/>
      <c r="BG1044" s="115"/>
      <c r="BH1044" s="138"/>
      <c r="BI1044" s="138"/>
      <c r="BJ1044" s="138"/>
      <c r="BK1044" s="138"/>
      <c r="BL1044" s="138"/>
      <c r="BM1044" s="138"/>
      <c r="BN1044" s="138"/>
      <c r="BO1044" s="138"/>
      <c r="BP1044" s="138"/>
      <c r="BQ1044" s="138"/>
      <c r="BR1044" s="138"/>
      <c r="BS1044" s="138"/>
      <c r="BT1044" s="138"/>
      <c r="BU1044" s="138"/>
      <c r="BV1044" s="138"/>
      <c r="BW1044" s="138"/>
      <c r="BX1044" s="138"/>
      <c r="BY1044" s="138"/>
      <c r="BZ1044" s="138"/>
      <c r="CA1044" s="138"/>
      <c r="CB1044" s="138"/>
      <c r="CC1044" s="138"/>
      <c r="CD1044" s="138"/>
      <c r="CE1044" s="138"/>
      <c r="CF1044" s="138"/>
      <c r="CG1044" s="138"/>
      <c r="CH1044" s="138"/>
      <c r="CI1044" s="138"/>
      <c r="CJ1044" s="138"/>
      <c r="CK1044" s="138"/>
      <c r="CL1044" s="138"/>
      <c r="CM1044" s="138"/>
      <c r="CN1044" s="138"/>
      <c r="CO1044" s="138"/>
      <c r="CP1044" s="138"/>
      <c r="CQ1044" s="138"/>
      <c r="CR1044" s="138"/>
      <c r="CS1044" s="138"/>
      <c r="CT1044" s="138"/>
      <c r="CU1044" s="138"/>
      <c r="CV1044" s="138"/>
      <c r="CW1044" s="138"/>
      <c r="CX1044" s="138"/>
      <c r="CY1044" s="138"/>
      <c r="CZ1044" s="138"/>
      <c r="DA1044" s="138"/>
      <c r="DB1044" s="138"/>
      <c r="DC1044" s="138"/>
      <c r="DD1044" s="138"/>
      <c r="DE1044" s="138"/>
      <c r="DF1044" s="138"/>
      <c r="DG1044" s="115"/>
    </row>
    <row r="1045" spans="1:111" ht="9" customHeight="1">
      <c r="A1045"/>
      <c r="B1045" s="49"/>
      <c r="C1045" s="49"/>
      <c r="D1045" s="49"/>
      <c r="E1045" s="49"/>
      <c r="F1045" s="49"/>
      <c r="G1045" s="49"/>
      <c r="H1045" s="49"/>
      <c r="I1045" s="49"/>
      <c r="J1045" s="49"/>
      <c r="K1045" s="49"/>
      <c r="L1045" s="49"/>
      <c r="M1045" s="49"/>
      <c r="N1045" s="49"/>
      <c r="O1045" s="421"/>
      <c r="P1045" s="421"/>
      <c r="Q1045" s="421"/>
      <c r="R1045" s="421"/>
      <c r="S1045" s="421"/>
      <c r="T1045" s="421"/>
      <c r="U1045" s="421"/>
      <c r="V1045" s="421"/>
      <c r="W1045" s="421"/>
      <c r="X1045" s="421"/>
      <c r="Y1045" s="421"/>
      <c r="Z1045" s="421"/>
      <c r="AA1045" s="421"/>
      <c r="AB1045" s="421"/>
      <c r="AC1045" s="421"/>
      <c r="AD1045" s="421"/>
      <c r="AE1045" s="421"/>
      <c r="AF1045" s="421"/>
      <c r="AG1045" s="421"/>
      <c r="AH1045" s="421"/>
      <c r="AI1045" s="421"/>
      <c r="AJ1045" s="421"/>
      <c r="AK1045" s="421"/>
      <c r="AL1045" s="421"/>
      <c r="AM1045" s="421"/>
      <c r="AN1045" s="421"/>
      <c r="AO1045" s="421"/>
      <c r="AP1045" s="421"/>
      <c r="AQ1045" s="421"/>
      <c r="AR1045" s="421"/>
      <c r="AS1045" s="421"/>
      <c r="AT1045" s="421"/>
      <c r="AU1045" s="421"/>
      <c r="AV1045" s="421"/>
      <c r="AW1045" s="421"/>
      <c r="AX1045" s="421"/>
      <c r="AY1045" s="421"/>
      <c r="AZ1045" s="421"/>
      <c r="BA1045" s="421"/>
      <c r="BB104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c r="BY1045" s="115"/>
      <c r="BZ1045" s="115"/>
      <c r="CA1045" s="115"/>
      <c r="CB1045" s="115"/>
      <c r="CC1045" s="115"/>
      <c r="CD1045" s="115"/>
      <c r="CE1045" s="115"/>
      <c r="CF1045" s="115"/>
      <c r="CG1045" s="115"/>
      <c r="CH1045" s="115"/>
      <c r="CI1045" s="115"/>
      <c r="CJ1045" s="115"/>
      <c r="CK1045" s="115"/>
      <c r="CL1045" s="115"/>
      <c r="CM1045" s="115"/>
      <c r="CN1045" s="115"/>
      <c r="CO1045" s="115"/>
      <c r="CP1045" s="115"/>
      <c r="CQ1045" s="115"/>
      <c r="CR1045" s="115"/>
      <c r="CS1045" s="115"/>
      <c r="CT1045" s="115"/>
      <c r="CU1045" s="115"/>
      <c r="CV1045" s="115"/>
      <c r="CW1045" s="115"/>
      <c r="CX1045" s="115"/>
      <c r="CY1045" s="115"/>
      <c r="CZ1045" s="115"/>
      <c r="DA1045" s="115"/>
      <c r="DB1045" s="115"/>
      <c r="DC1045" s="115"/>
      <c r="DD1045" s="115"/>
      <c r="DE1045" s="115"/>
      <c r="DF1045" s="115"/>
      <c r="DG1045" s="115"/>
    </row>
    <row r="1046" spans="1:111" ht="4.5" customHeight="1">
      <c r="A1046"/>
      <c r="B1046" s="49"/>
      <c r="C1046" s="49"/>
      <c r="D1046" s="49"/>
      <c r="E1046" s="49"/>
      <c r="F1046" s="49"/>
      <c r="G1046" s="49"/>
      <c r="H1046" s="49"/>
      <c r="I1046" s="49"/>
      <c r="J1046" s="49"/>
      <c r="K1046" s="49"/>
      <c r="L1046" s="49"/>
      <c r="M1046" s="49"/>
      <c r="N1046" s="49"/>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49"/>
      <c r="AS1046" s="49"/>
      <c r="AT1046" s="49"/>
      <c r="AU1046" s="49"/>
      <c r="AV1046" s="49"/>
      <c r="AW1046" s="49"/>
      <c r="AX1046" s="49"/>
      <c r="AY1046" s="49"/>
      <c r="AZ1046" s="49"/>
      <c r="BA1046" s="49"/>
      <c r="BB1046"/>
      <c r="BC1046" s="115"/>
      <c r="BD1046" s="115"/>
      <c r="BE1046" s="115"/>
      <c r="BF1046" s="115"/>
      <c r="BG1046" s="115"/>
      <c r="BH1046" s="124"/>
      <c r="BI1046" s="124"/>
      <c r="BJ1046" s="124"/>
      <c r="BK1046" s="124"/>
      <c r="BL1046" s="124"/>
      <c r="BM1046" s="124"/>
      <c r="BN1046" s="124"/>
      <c r="BO1046" s="124"/>
      <c r="BP1046" s="124"/>
      <c r="BQ1046" s="124"/>
      <c r="BR1046" s="124"/>
      <c r="BS1046" s="124"/>
      <c r="BT1046" s="124"/>
      <c r="BU1046" s="124"/>
      <c r="BV1046" s="124"/>
      <c r="BW1046" s="124"/>
      <c r="BX1046" s="124"/>
      <c r="BY1046" s="124"/>
      <c r="BZ1046" s="124"/>
      <c r="CA1046" s="124"/>
      <c r="CB1046" s="124"/>
      <c r="CC1046" s="124"/>
      <c r="CD1046" s="124"/>
      <c r="CE1046" s="124"/>
      <c r="CF1046" s="124"/>
      <c r="CG1046" s="124"/>
      <c r="CH1046" s="124"/>
      <c r="CI1046" s="124"/>
      <c r="CJ1046" s="124"/>
      <c r="CK1046" s="124"/>
      <c r="CL1046" s="124"/>
      <c r="CM1046" s="124"/>
      <c r="CN1046" s="124"/>
      <c r="CO1046" s="124"/>
      <c r="CP1046" s="124"/>
      <c r="CQ1046" s="124"/>
      <c r="CR1046" s="124"/>
      <c r="CS1046" s="124"/>
      <c r="CT1046" s="124"/>
      <c r="CU1046" s="124"/>
      <c r="CV1046" s="124"/>
      <c r="CW1046" s="124"/>
      <c r="CX1046" s="124"/>
      <c r="CY1046" s="124"/>
      <c r="CZ1046" s="124"/>
      <c r="DA1046" s="124"/>
      <c r="DB1046" s="124"/>
      <c r="DC1046" s="124"/>
      <c r="DD1046" s="124"/>
      <c r="DE1046" s="124"/>
      <c r="DF1046" s="124"/>
      <c r="DG1046" s="115"/>
    </row>
    <row r="1047" spans="1:111" ht="9" customHeight="1">
      <c r="A1047"/>
      <c r="B1047" s="493" t="str">
        <f>IF(B1036="","","Detalhamento do Objeto:")</f>
        <v/>
      </c>
      <c r="C1047" s="493"/>
      <c r="D1047" s="493"/>
      <c r="E1047" s="493"/>
      <c r="F1047" s="493"/>
      <c r="G1047" s="493"/>
      <c r="H1047" s="493"/>
      <c r="I1047" s="493"/>
      <c r="J1047" s="493"/>
      <c r="K1047" s="493"/>
      <c r="L1047" s="493"/>
      <c r="M1047" s="493"/>
      <c r="N1047" s="493"/>
      <c r="O1047" s="421"/>
      <c r="P1047" s="421"/>
      <c r="Q1047" s="421"/>
      <c r="R1047" s="421"/>
      <c r="S1047" s="421"/>
      <c r="T1047" s="421"/>
      <c r="U1047" s="421"/>
      <c r="V1047" s="421"/>
      <c r="W1047" s="421"/>
      <c r="X1047" s="421"/>
      <c r="Y1047" s="421"/>
      <c r="Z1047" s="421"/>
      <c r="AA1047" s="421"/>
      <c r="AB1047" s="421"/>
      <c r="AC1047" s="421"/>
      <c r="AD1047" s="421"/>
      <c r="AE1047" s="421"/>
      <c r="AF1047" s="421"/>
      <c r="AG1047" s="421"/>
      <c r="AH1047" s="421"/>
      <c r="AI1047" s="421"/>
      <c r="AJ1047" s="421"/>
      <c r="AK1047" s="421"/>
      <c r="AL1047" s="421"/>
      <c r="AM1047" s="421"/>
      <c r="AN1047" s="421"/>
      <c r="AO1047" s="421"/>
      <c r="AP1047" s="421"/>
      <c r="AQ1047" s="421"/>
      <c r="AR1047" s="421"/>
      <c r="AS1047" s="421"/>
      <c r="AT1047" s="421"/>
      <c r="AU1047" s="421"/>
      <c r="AV1047" s="421"/>
      <c r="AW1047" s="421"/>
      <c r="AX1047" s="421"/>
      <c r="AY1047" s="421"/>
      <c r="AZ1047" s="421"/>
      <c r="BA1047" s="421"/>
      <c r="BB1047"/>
      <c r="BC1047" s="115"/>
      <c r="BD1047" s="115"/>
      <c r="BE1047" s="115"/>
      <c r="BF1047" s="115"/>
      <c r="BG1047" s="115"/>
      <c r="BH1047" s="124"/>
      <c r="BI1047" s="124"/>
      <c r="BJ1047" s="124"/>
      <c r="BK1047" s="124"/>
      <c r="BL1047" s="124"/>
      <c r="BM1047" s="124"/>
      <c r="BN1047" s="124"/>
      <c r="BO1047" s="124"/>
      <c r="BP1047" s="124"/>
      <c r="BQ1047" s="124"/>
      <c r="BR1047" s="124"/>
      <c r="BS1047" s="124"/>
      <c r="BT1047" s="124"/>
      <c r="BU1047" s="124"/>
      <c r="BV1047" s="124"/>
      <c r="BW1047" s="124"/>
      <c r="BX1047" s="124"/>
      <c r="BY1047" s="124"/>
      <c r="BZ1047" s="124"/>
      <c r="CA1047" s="124"/>
      <c r="CB1047" s="124"/>
      <c r="CC1047" s="124"/>
      <c r="CD1047" s="124"/>
      <c r="CE1047" s="124"/>
      <c r="CF1047" s="124"/>
      <c r="CG1047" s="124"/>
      <c r="CH1047" s="124"/>
      <c r="CI1047" s="124"/>
      <c r="CJ1047" s="124"/>
      <c r="CK1047" s="124"/>
      <c r="CL1047" s="124"/>
      <c r="CM1047" s="124"/>
      <c r="CN1047" s="124"/>
      <c r="CO1047" s="124"/>
      <c r="CP1047" s="124"/>
      <c r="CQ1047" s="124"/>
      <c r="CR1047" s="124"/>
      <c r="CS1047" s="124"/>
      <c r="CT1047" s="124"/>
      <c r="CU1047" s="124"/>
      <c r="CV1047" s="124"/>
      <c r="CW1047" s="124"/>
      <c r="CX1047" s="124"/>
      <c r="CY1047" s="124"/>
      <c r="CZ1047" s="124"/>
      <c r="DA1047" s="124"/>
      <c r="DB1047" s="124"/>
      <c r="DC1047" s="124"/>
      <c r="DD1047" s="124"/>
      <c r="DE1047" s="124"/>
      <c r="DF1047" s="124"/>
      <c r="DG1047" s="115"/>
    </row>
    <row r="1048" spans="1:111" ht="9" customHeight="1">
      <c r="A1048"/>
      <c r="B1048" s="493"/>
      <c r="C1048" s="493"/>
      <c r="D1048" s="493"/>
      <c r="E1048" s="493"/>
      <c r="F1048" s="493"/>
      <c r="G1048" s="493"/>
      <c r="H1048" s="493"/>
      <c r="I1048" s="493"/>
      <c r="J1048" s="493"/>
      <c r="K1048" s="493"/>
      <c r="L1048" s="493"/>
      <c r="M1048" s="493"/>
      <c r="N1048" s="493"/>
      <c r="O1048" s="421"/>
      <c r="P1048" s="421"/>
      <c r="Q1048" s="421"/>
      <c r="R1048" s="421"/>
      <c r="S1048" s="421"/>
      <c r="T1048" s="421"/>
      <c r="U1048" s="421"/>
      <c r="V1048" s="421"/>
      <c r="W1048" s="421"/>
      <c r="X1048" s="421"/>
      <c r="Y1048" s="421"/>
      <c r="Z1048" s="421"/>
      <c r="AA1048" s="421"/>
      <c r="AB1048" s="421"/>
      <c r="AC1048" s="421"/>
      <c r="AD1048" s="421"/>
      <c r="AE1048" s="421"/>
      <c r="AF1048" s="421"/>
      <c r="AG1048" s="421"/>
      <c r="AH1048" s="421"/>
      <c r="AI1048" s="421"/>
      <c r="AJ1048" s="421"/>
      <c r="AK1048" s="421"/>
      <c r="AL1048" s="421"/>
      <c r="AM1048" s="421"/>
      <c r="AN1048" s="421"/>
      <c r="AO1048" s="421"/>
      <c r="AP1048" s="421"/>
      <c r="AQ1048" s="421"/>
      <c r="AR1048" s="421"/>
      <c r="AS1048" s="421"/>
      <c r="AT1048" s="421"/>
      <c r="AU1048" s="421"/>
      <c r="AV1048" s="421"/>
      <c r="AW1048" s="421"/>
      <c r="AX1048" s="421"/>
      <c r="AY1048" s="421"/>
      <c r="AZ1048" s="421"/>
      <c r="BA1048" s="421"/>
      <c r="BB1048"/>
      <c r="BC1048" s="115"/>
      <c r="BD1048" s="115"/>
      <c r="BE1048" s="115"/>
      <c r="BF1048" s="115"/>
      <c r="BG1048" s="115"/>
      <c r="BH1048" s="124"/>
      <c r="BI1048" s="124"/>
      <c r="BJ1048" s="124"/>
      <c r="BK1048" s="124"/>
      <c r="BL1048" s="124"/>
      <c r="BM1048" s="124"/>
      <c r="BN1048" s="124"/>
      <c r="BO1048" s="124"/>
      <c r="BP1048" s="124"/>
      <c r="BQ1048" s="124"/>
      <c r="BR1048" s="124"/>
      <c r="BS1048" s="124"/>
      <c r="BT1048" s="124"/>
      <c r="BU1048" s="124"/>
      <c r="BV1048" s="124"/>
      <c r="BW1048" s="124"/>
      <c r="BX1048" s="124"/>
      <c r="BY1048" s="124"/>
      <c r="BZ1048" s="124"/>
      <c r="CA1048" s="124"/>
      <c r="CB1048" s="124"/>
      <c r="CC1048" s="124"/>
      <c r="CD1048" s="124"/>
      <c r="CE1048" s="124"/>
      <c r="CF1048" s="124"/>
      <c r="CG1048" s="124"/>
      <c r="CH1048" s="124"/>
      <c r="CI1048" s="124"/>
      <c r="CJ1048" s="124"/>
      <c r="CK1048" s="124"/>
      <c r="CL1048" s="124"/>
      <c r="CM1048" s="124"/>
      <c r="CN1048" s="124"/>
      <c r="CO1048" s="124"/>
      <c r="CP1048" s="124"/>
      <c r="CQ1048" s="124"/>
      <c r="CR1048" s="124"/>
      <c r="CS1048" s="124"/>
      <c r="CT1048" s="124"/>
      <c r="CU1048" s="124"/>
      <c r="CV1048" s="124"/>
      <c r="CW1048" s="124"/>
      <c r="CX1048" s="124"/>
      <c r="CY1048" s="124"/>
      <c r="CZ1048" s="124"/>
      <c r="DA1048" s="124"/>
      <c r="DB1048" s="124"/>
      <c r="DC1048" s="124"/>
      <c r="DD1048" s="124"/>
      <c r="DE1048" s="124"/>
      <c r="DF1048" s="124"/>
      <c r="DG1048" s="115"/>
    </row>
    <row r="1049" spans="1:111" ht="9" customHeight="1">
      <c r="A1049"/>
      <c r="B1049" s="143"/>
      <c r="C1049" s="143"/>
      <c r="D1049" s="143"/>
      <c r="E1049" s="143"/>
      <c r="F1049" s="143"/>
      <c r="G1049" s="143"/>
      <c r="H1049" s="143"/>
      <c r="I1049" s="143"/>
      <c r="J1049" s="143"/>
      <c r="K1049" s="143"/>
      <c r="L1049" s="143"/>
      <c r="M1049" s="143"/>
      <c r="N1049" s="143"/>
      <c r="O1049" s="421"/>
      <c r="P1049" s="421"/>
      <c r="Q1049" s="421"/>
      <c r="R1049" s="421"/>
      <c r="S1049" s="421"/>
      <c r="T1049" s="421"/>
      <c r="U1049" s="421"/>
      <c r="V1049" s="421"/>
      <c r="W1049" s="421"/>
      <c r="X1049" s="421"/>
      <c r="Y1049" s="421"/>
      <c r="Z1049" s="421"/>
      <c r="AA1049" s="421"/>
      <c r="AB1049" s="421"/>
      <c r="AC1049" s="421"/>
      <c r="AD1049" s="421"/>
      <c r="AE1049" s="421"/>
      <c r="AF1049" s="421"/>
      <c r="AG1049" s="421"/>
      <c r="AH1049" s="421"/>
      <c r="AI1049" s="421"/>
      <c r="AJ1049" s="421"/>
      <c r="AK1049" s="421"/>
      <c r="AL1049" s="421"/>
      <c r="AM1049" s="421"/>
      <c r="AN1049" s="421"/>
      <c r="AO1049" s="421"/>
      <c r="AP1049" s="421"/>
      <c r="AQ1049" s="421"/>
      <c r="AR1049" s="421"/>
      <c r="AS1049" s="421"/>
      <c r="AT1049" s="421"/>
      <c r="AU1049" s="421"/>
      <c r="AV1049" s="421"/>
      <c r="AW1049" s="421"/>
      <c r="AX1049" s="421"/>
      <c r="AY1049" s="421"/>
      <c r="AZ1049" s="421"/>
      <c r="BA1049" s="421"/>
      <c r="BB1049"/>
      <c r="BC1049" s="115"/>
      <c r="BD1049" s="115"/>
      <c r="BE1049" s="115"/>
      <c r="BF1049" s="115"/>
      <c r="BG1049" s="115"/>
      <c r="BH1049" s="138"/>
      <c r="BI1049" s="138"/>
      <c r="BJ1049" s="138"/>
      <c r="BK1049" s="138"/>
      <c r="BL1049" s="138"/>
      <c r="BM1049" s="138"/>
      <c r="BN1049" s="138"/>
      <c r="BO1049" s="138"/>
      <c r="BP1049" s="138"/>
      <c r="BQ1049" s="138"/>
      <c r="BR1049" s="138"/>
      <c r="BS1049" s="138"/>
      <c r="BT1049" s="138"/>
      <c r="BU1049" s="138"/>
      <c r="BV1049" s="138"/>
      <c r="BW1049" s="138"/>
      <c r="BX1049" s="138"/>
      <c r="BY1049" s="138"/>
      <c r="BZ1049" s="138"/>
      <c r="CA1049" s="138"/>
      <c r="CB1049" s="138"/>
      <c r="CC1049" s="138"/>
      <c r="CD1049" s="138"/>
      <c r="CE1049" s="138"/>
      <c r="CF1049" s="138"/>
      <c r="CG1049" s="138"/>
      <c r="CH1049" s="138"/>
      <c r="CI1049" s="138"/>
      <c r="CJ1049" s="138"/>
      <c r="CK1049" s="138"/>
      <c r="CL1049" s="138"/>
      <c r="CM1049" s="138"/>
      <c r="CN1049" s="138"/>
      <c r="CO1049" s="138"/>
      <c r="CP1049" s="138"/>
      <c r="CQ1049" s="138"/>
      <c r="CR1049" s="138"/>
      <c r="CS1049" s="138"/>
      <c r="CT1049" s="138"/>
      <c r="CU1049" s="138"/>
      <c r="CV1049" s="138"/>
      <c r="CW1049" s="138"/>
      <c r="CX1049" s="138"/>
      <c r="CY1049" s="138"/>
      <c r="CZ1049" s="138"/>
      <c r="DA1049" s="138"/>
      <c r="DB1049" s="138"/>
      <c r="DC1049" s="138"/>
      <c r="DD1049" s="138"/>
      <c r="DE1049" s="138"/>
      <c r="DF1049" s="138"/>
      <c r="DG1049" s="115"/>
    </row>
    <row r="1050" spans="1:111" ht="9" customHeight="1">
      <c r="A1050"/>
      <c r="B1050" s="143"/>
      <c r="C1050" s="143"/>
      <c r="D1050" s="143"/>
      <c r="E1050" s="143"/>
      <c r="F1050" s="143"/>
      <c r="G1050" s="143"/>
      <c r="H1050" s="143"/>
      <c r="I1050" s="143"/>
      <c r="J1050" s="143"/>
      <c r="K1050" s="143"/>
      <c r="L1050" s="143"/>
      <c r="M1050" s="143"/>
      <c r="N1050" s="143"/>
      <c r="O1050" s="421"/>
      <c r="P1050" s="421"/>
      <c r="Q1050" s="421"/>
      <c r="R1050" s="421"/>
      <c r="S1050" s="421"/>
      <c r="T1050" s="421"/>
      <c r="U1050" s="421"/>
      <c r="V1050" s="421"/>
      <c r="W1050" s="421"/>
      <c r="X1050" s="421"/>
      <c r="Y1050" s="421"/>
      <c r="Z1050" s="421"/>
      <c r="AA1050" s="421"/>
      <c r="AB1050" s="421"/>
      <c r="AC1050" s="421"/>
      <c r="AD1050" s="421"/>
      <c r="AE1050" s="421"/>
      <c r="AF1050" s="421"/>
      <c r="AG1050" s="421"/>
      <c r="AH1050" s="421"/>
      <c r="AI1050" s="421"/>
      <c r="AJ1050" s="421"/>
      <c r="AK1050" s="421"/>
      <c r="AL1050" s="421"/>
      <c r="AM1050" s="421"/>
      <c r="AN1050" s="421"/>
      <c r="AO1050" s="421"/>
      <c r="AP1050" s="421"/>
      <c r="AQ1050" s="421"/>
      <c r="AR1050" s="421"/>
      <c r="AS1050" s="421"/>
      <c r="AT1050" s="421"/>
      <c r="AU1050" s="421"/>
      <c r="AV1050" s="421"/>
      <c r="AW1050" s="421"/>
      <c r="AX1050" s="421"/>
      <c r="AY1050" s="421"/>
      <c r="AZ1050" s="421"/>
      <c r="BA1050" s="421"/>
      <c r="BB1050"/>
      <c r="BC1050" s="115"/>
      <c r="BD1050" s="115"/>
      <c r="BE1050" s="115"/>
      <c r="BF1050" s="115"/>
      <c r="BG1050" s="115"/>
      <c r="BH1050" s="138"/>
      <c r="BI1050" s="138"/>
      <c r="BJ1050" s="138"/>
      <c r="BK1050" s="138"/>
      <c r="BL1050" s="138"/>
      <c r="BM1050" s="138"/>
      <c r="BN1050" s="138"/>
      <c r="BO1050" s="138"/>
      <c r="BP1050" s="138"/>
      <c r="BQ1050" s="138"/>
      <c r="BR1050" s="138"/>
      <c r="BS1050" s="138"/>
      <c r="BT1050" s="138"/>
      <c r="BU1050" s="138"/>
      <c r="BV1050" s="138"/>
      <c r="BW1050" s="138"/>
      <c r="BX1050" s="138"/>
      <c r="BY1050" s="138"/>
      <c r="BZ1050" s="138"/>
      <c r="CA1050" s="138"/>
      <c r="CB1050" s="138"/>
      <c r="CC1050" s="138"/>
      <c r="CD1050" s="138"/>
      <c r="CE1050" s="138"/>
      <c r="CF1050" s="138"/>
      <c r="CG1050" s="138"/>
      <c r="CH1050" s="138"/>
      <c r="CI1050" s="138"/>
      <c r="CJ1050" s="138"/>
      <c r="CK1050" s="138"/>
      <c r="CL1050" s="138"/>
      <c r="CM1050" s="138"/>
      <c r="CN1050" s="138"/>
      <c r="CO1050" s="138"/>
      <c r="CP1050" s="138"/>
      <c r="CQ1050" s="138"/>
      <c r="CR1050" s="138"/>
      <c r="CS1050" s="138"/>
      <c r="CT1050" s="138"/>
      <c r="CU1050" s="138"/>
      <c r="CV1050" s="138"/>
      <c r="CW1050" s="138"/>
      <c r="CX1050" s="138"/>
      <c r="CY1050" s="138"/>
      <c r="CZ1050" s="138"/>
      <c r="DA1050" s="138"/>
      <c r="DB1050" s="138"/>
      <c r="DC1050" s="138"/>
      <c r="DD1050" s="138"/>
      <c r="DE1050" s="138"/>
      <c r="DF1050" s="138"/>
      <c r="DG1050" s="115"/>
    </row>
    <row r="1051" spans="1:111" ht="9" customHeight="1">
      <c r="A1051"/>
      <c r="B1051" s="143"/>
      <c r="C1051" s="143"/>
      <c r="D1051" s="143"/>
      <c r="E1051" s="143"/>
      <c r="F1051" s="143"/>
      <c r="G1051" s="143"/>
      <c r="H1051" s="143"/>
      <c r="I1051" s="143"/>
      <c r="J1051" s="143"/>
      <c r="K1051" s="143"/>
      <c r="L1051" s="143"/>
      <c r="M1051" s="143"/>
      <c r="N1051" s="143"/>
      <c r="O1051" s="421"/>
      <c r="P1051" s="421"/>
      <c r="Q1051" s="421"/>
      <c r="R1051" s="421"/>
      <c r="S1051" s="421"/>
      <c r="T1051" s="421"/>
      <c r="U1051" s="421"/>
      <c r="V1051" s="421"/>
      <c r="W1051" s="421"/>
      <c r="X1051" s="421"/>
      <c r="Y1051" s="421"/>
      <c r="Z1051" s="421"/>
      <c r="AA1051" s="421"/>
      <c r="AB1051" s="421"/>
      <c r="AC1051" s="421"/>
      <c r="AD1051" s="421"/>
      <c r="AE1051" s="421"/>
      <c r="AF1051" s="421"/>
      <c r="AG1051" s="421"/>
      <c r="AH1051" s="421"/>
      <c r="AI1051" s="421"/>
      <c r="AJ1051" s="421"/>
      <c r="AK1051" s="421"/>
      <c r="AL1051" s="421"/>
      <c r="AM1051" s="421"/>
      <c r="AN1051" s="421"/>
      <c r="AO1051" s="421"/>
      <c r="AP1051" s="421"/>
      <c r="AQ1051" s="421"/>
      <c r="AR1051" s="421"/>
      <c r="AS1051" s="421"/>
      <c r="AT1051" s="421"/>
      <c r="AU1051" s="421"/>
      <c r="AV1051" s="421"/>
      <c r="AW1051" s="421"/>
      <c r="AX1051" s="421"/>
      <c r="AY1051" s="421"/>
      <c r="AZ1051" s="421"/>
      <c r="BA1051" s="421"/>
      <c r="BB1051"/>
      <c r="BC1051" s="115"/>
      <c r="BD1051" s="115"/>
      <c r="BE1051" s="115"/>
      <c r="BF1051" s="115"/>
      <c r="BG1051" s="115"/>
      <c r="BH1051" s="138"/>
      <c r="BI1051" s="138"/>
      <c r="BJ1051" s="138"/>
      <c r="BK1051" s="138"/>
      <c r="BL1051" s="138"/>
      <c r="BM1051" s="138"/>
      <c r="BN1051" s="138"/>
      <c r="BO1051" s="138"/>
      <c r="BP1051" s="138"/>
      <c r="BQ1051" s="138"/>
      <c r="BR1051" s="138"/>
      <c r="BS1051" s="138"/>
      <c r="BT1051" s="138"/>
      <c r="BU1051" s="138"/>
      <c r="BV1051" s="138"/>
      <c r="BW1051" s="138"/>
      <c r="BX1051" s="138"/>
      <c r="BY1051" s="138"/>
      <c r="BZ1051" s="138"/>
      <c r="CA1051" s="138"/>
      <c r="CB1051" s="138"/>
      <c r="CC1051" s="138"/>
      <c r="CD1051" s="138"/>
      <c r="CE1051" s="138"/>
      <c r="CF1051" s="138"/>
      <c r="CG1051" s="138"/>
      <c r="CH1051" s="138"/>
      <c r="CI1051" s="138"/>
      <c r="CJ1051" s="138"/>
      <c r="CK1051" s="138"/>
      <c r="CL1051" s="138"/>
      <c r="CM1051" s="138"/>
      <c r="CN1051" s="138"/>
      <c r="CO1051" s="138"/>
      <c r="CP1051" s="138"/>
      <c r="CQ1051" s="138"/>
      <c r="CR1051" s="138"/>
      <c r="CS1051" s="138"/>
      <c r="CT1051" s="138"/>
      <c r="CU1051" s="138"/>
      <c r="CV1051" s="138"/>
      <c r="CW1051" s="138"/>
      <c r="CX1051" s="138"/>
      <c r="CY1051" s="138"/>
      <c r="CZ1051" s="138"/>
      <c r="DA1051" s="138"/>
      <c r="DB1051" s="138"/>
      <c r="DC1051" s="138"/>
      <c r="DD1051" s="138"/>
      <c r="DE1051" s="138"/>
      <c r="DF1051" s="138"/>
      <c r="DG1051" s="115"/>
    </row>
    <row r="1052" spans="1:111" ht="9" customHeight="1">
      <c r="A1052"/>
      <c r="B1052" s="143"/>
      <c r="C1052" s="143"/>
      <c r="D1052" s="143"/>
      <c r="E1052" s="143"/>
      <c r="F1052" s="143"/>
      <c r="G1052" s="143"/>
      <c r="H1052" s="143"/>
      <c r="I1052" s="143"/>
      <c r="J1052" s="143"/>
      <c r="K1052" s="143"/>
      <c r="L1052" s="143"/>
      <c r="M1052" s="143"/>
      <c r="N1052" s="143"/>
      <c r="O1052" s="421"/>
      <c r="P1052" s="421"/>
      <c r="Q1052" s="421"/>
      <c r="R1052" s="421"/>
      <c r="S1052" s="421"/>
      <c r="T1052" s="421"/>
      <c r="U1052" s="421"/>
      <c r="V1052" s="421"/>
      <c r="W1052" s="421"/>
      <c r="X1052" s="421"/>
      <c r="Y1052" s="421"/>
      <c r="Z1052" s="421"/>
      <c r="AA1052" s="421"/>
      <c r="AB1052" s="421"/>
      <c r="AC1052" s="421"/>
      <c r="AD1052" s="421"/>
      <c r="AE1052" s="421"/>
      <c r="AF1052" s="421"/>
      <c r="AG1052" s="421"/>
      <c r="AH1052" s="421"/>
      <c r="AI1052" s="421"/>
      <c r="AJ1052" s="421"/>
      <c r="AK1052" s="421"/>
      <c r="AL1052" s="421"/>
      <c r="AM1052" s="421"/>
      <c r="AN1052" s="421"/>
      <c r="AO1052" s="421"/>
      <c r="AP1052" s="421"/>
      <c r="AQ1052" s="421"/>
      <c r="AR1052" s="421"/>
      <c r="AS1052" s="421"/>
      <c r="AT1052" s="421"/>
      <c r="AU1052" s="421"/>
      <c r="AV1052" s="421"/>
      <c r="AW1052" s="421"/>
      <c r="AX1052" s="421"/>
      <c r="AY1052" s="421"/>
      <c r="AZ1052" s="421"/>
      <c r="BA1052" s="421"/>
      <c r="BB1052"/>
      <c r="BC1052" s="115"/>
      <c r="BD1052" s="115"/>
      <c r="BE1052" s="115"/>
      <c r="BF1052" s="115"/>
      <c r="BG1052" s="115"/>
      <c r="BH1052" s="138"/>
      <c r="BI1052" s="138"/>
      <c r="BJ1052" s="138"/>
      <c r="BK1052" s="138"/>
      <c r="BL1052" s="138"/>
      <c r="BM1052" s="138"/>
      <c r="BN1052" s="138"/>
      <c r="BO1052" s="138"/>
      <c r="BP1052" s="138"/>
      <c r="BQ1052" s="138"/>
      <c r="BR1052" s="138"/>
      <c r="BS1052" s="138"/>
      <c r="BT1052" s="138"/>
      <c r="BU1052" s="138"/>
      <c r="BV1052" s="138"/>
      <c r="BW1052" s="138"/>
      <c r="BX1052" s="138"/>
      <c r="BY1052" s="138"/>
      <c r="BZ1052" s="138"/>
      <c r="CA1052" s="138"/>
      <c r="CB1052" s="138"/>
      <c r="CC1052" s="138"/>
      <c r="CD1052" s="138"/>
      <c r="CE1052" s="138"/>
      <c r="CF1052" s="138"/>
      <c r="CG1052" s="138"/>
      <c r="CH1052" s="138"/>
      <c r="CI1052" s="138"/>
      <c r="CJ1052" s="138"/>
      <c r="CK1052" s="138"/>
      <c r="CL1052" s="138"/>
      <c r="CM1052" s="138"/>
      <c r="CN1052" s="138"/>
      <c r="CO1052" s="138"/>
      <c r="CP1052" s="138"/>
      <c r="CQ1052" s="138"/>
      <c r="CR1052" s="138"/>
      <c r="CS1052" s="138"/>
      <c r="CT1052" s="138"/>
      <c r="CU1052" s="138"/>
      <c r="CV1052" s="138"/>
      <c r="CW1052" s="138"/>
      <c r="CX1052" s="138"/>
      <c r="CY1052" s="138"/>
      <c r="CZ1052" s="138"/>
      <c r="DA1052" s="138"/>
      <c r="DB1052" s="138"/>
      <c r="DC1052" s="138"/>
      <c r="DD1052" s="138"/>
      <c r="DE1052" s="138"/>
      <c r="DF1052" s="138"/>
      <c r="DG1052" s="115"/>
    </row>
    <row r="1053" spans="1:111" ht="9" customHeight="1">
      <c r="A1053"/>
      <c r="B1053" s="143"/>
      <c r="C1053" s="143"/>
      <c r="D1053" s="143"/>
      <c r="E1053" s="143"/>
      <c r="F1053" s="143"/>
      <c r="G1053" s="143"/>
      <c r="H1053" s="143"/>
      <c r="I1053" s="143"/>
      <c r="J1053" s="143"/>
      <c r="K1053" s="143"/>
      <c r="L1053" s="143"/>
      <c r="M1053" s="143"/>
      <c r="N1053" s="143"/>
      <c r="O1053" s="421"/>
      <c r="P1053" s="421"/>
      <c r="Q1053" s="421"/>
      <c r="R1053" s="421"/>
      <c r="S1053" s="421"/>
      <c r="T1053" s="421"/>
      <c r="U1053" s="421"/>
      <c r="V1053" s="421"/>
      <c r="W1053" s="421"/>
      <c r="X1053" s="421"/>
      <c r="Y1053" s="421"/>
      <c r="Z1053" s="421"/>
      <c r="AA1053" s="421"/>
      <c r="AB1053" s="421"/>
      <c r="AC1053" s="421"/>
      <c r="AD1053" s="421"/>
      <c r="AE1053" s="421"/>
      <c r="AF1053" s="421"/>
      <c r="AG1053" s="421"/>
      <c r="AH1053" s="421"/>
      <c r="AI1053" s="421"/>
      <c r="AJ1053" s="421"/>
      <c r="AK1053" s="421"/>
      <c r="AL1053" s="421"/>
      <c r="AM1053" s="421"/>
      <c r="AN1053" s="421"/>
      <c r="AO1053" s="421"/>
      <c r="AP1053" s="421"/>
      <c r="AQ1053" s="421"/>
      <c r="AR1053" s="421"/>
      <c r="AS1053" s="421"/>
      <c r="AT1053" s="421"/>
      <c r="AU1053" s="421"/>
      <c r="AV1053" s="421"/>
      <c r="AW1053" s="421"/>
      <c r="AX1053" s="421"/>
      <c r="AY1053" s="421"/>
      <c r="AZ1053" s="421"/>
      <c r="BA1053" s="421"/>
      <c r="BB1053"/>
      <c r="BC1053" s="115"/>
      <c r="BD1053" s="115"/>
      <c r="BE1053" s="115"/>
      <c r="BF1053" s="115"/>
      <c r="BG1053" s="115"/>
      <c r="BH1053" s="138"/>
      <c r="BI1053" s="138"/>
      <c r="BJ1053" s="138"/>
      <c r="BK1053" s="138"/>
      <c r="BL1053" s="138"/>
      <c r="BM1053" s="138"/>
      <c r="BN1053" s="138"/>
      <c r="BO1053" s="138"/>
      <c r="BP1053" s="138"/>
      <c r="BQ1053" s="138"/>
      <c r="BR1053" s="138"/>
      <c r="BS1053" s="138"/>
      <c r="BT1053" s="138"/>
      <c r="BU1053" s="138"/>
      <c r="BV1053" s="138"/>
      <c r="BW1053" s="138"/>
      <c r="BX1053" s="138"/>
      <c r="BY1053" s="138"/>
      <c r="BZ1053" s="138"/>
      <c r="CA1053" s="138"/>
      <c r="CB1053" s="138"/>
      <c r="CC1053" s="138"/>
      <c r="CD1053" s="138"/>
      <c r="CE1053" s="138"/>
      <c r="CF1053" s="138"/>
      <c r="CG1053" s="138"/>
      <c r="CH1053" s="138"/>
      <c r="CI1053" s="138"/>
      <c r="CJ1053" s="138"/>
      <c r="CK1053" s="138"/>
      <c r="CL1053" s="138"/>
      <c r="CM1053" s="138"/>
      <c r="CN1053" s="138"/>
      <c r="CO1053" s="138"/>
      <c r="CP1053" s="138"/>
      <c r="CQ1053" s="138"/>
      <c r="CR1053" s="138"/>
      <c r="CS1053" s="138"/>
      <c r="CT1053" s="138"/>
      <c r="CU1053" s="138"/>
      <c r="CV1053" s="138"/>
      <c r="CW1053" s="138"/>
      <c r="CX1053" s="138"/>
      <c r="CY1053" s="138"/>
      <c r="CZ1053" s="138"/>
      <c r="DA1053" s="138"/>
      <c r="DB1053" s="138"/>
      <c r="DC1053" s="138"/>
      <c r="DD1053" s="138"/>
      <c r="DE1053" s="138"/>
      <c r="DF1053" s="138"/>
      <c r="DG1053" s="115"/>
    </row>
    <row r="1054" spans="1:111" ht="9" customHeight="1">
      <c r="A1054"/>
      <c r="B1054" s="49"/>
      <c r="C1054" s="49"/>
      <c r="D1054" s="49"/>
      <c r="E1054" s="49"/>
      <c r="F1054" s="49"/>
      <c r="G1054" s="49"/>
      <c r="H1054" s="49"/>
      <c r="I1054" s="49"/>
      <c r="J1054" s="49"/>
      <c r="K1054" s="49"/>
      <c r="L1054" s="49"/>
      <c r="M1054" s="49"/>
      <c r="N1054" s="49"/>
      <c r="O1054" s="421"/>
      <c r="P1054" s="421"/>
      <c r="Q1054" s="421"/>
      <c r="R1054" s="421"/>
      <c r="S1054" s="421"/>
      <c r="T1054" s="421"/>
      <c r="U1054" s="421"/>
      <c r="V1054" s="421"/>
      <c r="W1054" s="421"/>
      <c r="X1054" s="421"/>
      <c r="Y1054" s="421"/>
      <c r="Z1054" s="421"/>
      <c r="AA1054" s="421"/>
      <c r="AB1054" s="421"/>
      <c r="AC1054" s="421"/>
      <c r="AD1054" s="421"/>
      <c r="AE1054" s="421"/>
      <c r="AF1054" s="421"/>
      <c r="AG1054" s="421"/>
      <c r="AH1054" s="421"/>
      <c r="AI1054" s="421"/>
      <c r="AJ1054" s="421"/>
      <c r="AK1054" s="421"/>
      <c r="AL1054" s="421"/>
      <c r="AM1054" s="421"/>
      <c r="AN1054" s="421"/>
      <c r="AO1054" s="421"/>
      <c r="AP1054" s="421"/>
      <c r="AQ1054" s="421"/>
      <c r="AR1054" s="421"/>
      <c r="AS1054" s="421"/>
      <c r="AT1054" s="421"/>
      <c r="AU1054" s="421"/>
      <c r="AV1054" s="421"/>
      <c r="AW1054" s="421"/>
      <c r="AX1054" s="421"/>
      <c r="AY1054" s="421"/>
      <c r="AZ1054" s="421"/>
      <c r="BA1054" s="421"/>
      <c r="BB1054"/>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c r="BY1054" s="115"/>
      <c r="BZ1054" s="115"/>
      <c r="CA1054" s="115"/>
      <c r="CB1054" s="115"/>
      <c r="CC1054" s="115"/>
      <c r="CD1054" s="115"/>
      <c r="CE1054" s="115"/>
      <c r="CF1054" s="115"/>
      <c r="CG1054" s="115"/>
      <c r="CH1054" s="115"/>
      <c r="CI1054" s="115"/>
      <c r="CJ1054" s="115"/>
      <c r="CK1054" s="115"/>
      <c r="CL1054" s="115"/>
      <c r="CM1054" s="115"/>
      <c r="CN1054" s="115"/>
      <c r="CO1054" s="115"/>
      <c r="CP1054" s="115"/>
      <c r="CQ1054" s="115"/>
      <c r="CR1054" s="115"/>
      <c r="CS1054" s="115"/>
      <c r="CT1054" s="115"/>
      <c r="CU1054" s="115"/>
      <c r="CV1054" s="115"/>
      <c r="CW1054" s="115"/>
      <c r="CX1054" s="115"/>
      <c r="CY1054" s="115"/>
      <c r="CZ1054" s="115"/>
      <c r="DA1054" s="115"/>
      <c r="DB1054" s="115"/>
      <c r="DC1054" s="115"/>
      <c r="DD1054" s="115"/>
      <c r="DE1054" s="115"/>
      <c r="DF1054" s="115"/>
      <c r="DG1054" s="115"/>
    </row>
    <row r="1055" spans="1:111" ht="4.5" customHeight="1">
      <c r="A1055"/>
      <c r="B1055" s="49"/>
      <c r="C1055" s="49"/>
      <c r="D1055" s="49"/>
      <c r="E1055" s="49"/>
      <c r="F1055" s="49"/>
      <c r="G1055" s="49"/>
      <c r="H1055" s="49"/>
      <c r="I1055" s="49"/>
      <c r="J1055" s="49"/>
      <c r="K1055" s="49"/>
      <c r="L1055" s="49"/>
      <c r="M1055" s="49"/>
      <c r="N1055" s="49"/>
      <c r="O1055" s="49"/>
      <c r="P1055" s="49"/>
      <c r="Q1055" s="49"/>
      <c r="R1055" s="49"/>
      <c r="S1055" s="49"/>
      <c r="T1055" s="49"/>
      <c r="U1055" s="49"/>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49"/>
      <c r="AS1055" s="49"/>
      <c r="AT1055" s="49"/>
      <c r="AU1055" s="49"/>
      <c r="AV1055" s="49"/>
      <c r="AW1055" s="49"/>
      <c r="AX1055" s="49"/>
      <c r="AY1055" s="49"/>
      <c r="AZ1055" s="49"/>
      <c r="BA1055" s="49"/>
      <c r="BB1055"/>
      <c r="BC1055" s="115"/>
      <c r="BD1055" s="115"/>
      <c r="BE1055" s="115"/>
      <c r="BF1055" s="115"/>
      <c r="BG1055" s="115"/>
      <c r="BH1055" s="124"/>
      <c r="BI1055" s="124"/>
      <c r="BJ1055" s="124"/>
      <c r="BK1055" s="124"/>
      <c r="BL1055" s="124"/>
      <c r="BM1055" s="124"/>
      <c r="BN1055" s="124"/>
      <c r="BO1055" s="124"/>
      <c r="BP1055" s="124"/>
      <c r="BQ1055" s="124"/>
      <c r="BR1055" s="124"/>
      <c r="BS1055" s="124"/>
      <c r="BT1055" s="124"/>
      <c r="BU1055" s="124"/>
      <c r="BV1055" s="124"/>
      <c r="BW1055" s="124"/>
      <c r="BX1055" s="124"/>
      <c r="BY1055" s="124"/>
      <c r="BZ1055" s="124"/>
      <c r="CA1055" s="124"/>
      <c r="CB1055" s="124"/>
      <c r="CC1055" s="124"/>
      <c r="CD1055" s="124"/>
      <c r="CE1055" s="124"/>
      <c r="CF1055" s="124"/>
      <c r="CG1055" s="124"/>
      <c r="CH1055" s="124"/>
      <c r="CI1055" s="124"/>
      <c r="CJ1055" s="124"/>
      <c r="CK1055" s="124"/>
      <c r="CL1055" s="124"/>
      <c r="CM1055" s="124"/>
      <c r="CN1055" s="124"/>
      <c r="CO1055" s="124"/>
      <c r="CP1055" s="124"/>
      <c r="CQ1055" s="124"/>
      <c r="CR1055" s="124"/>
      <c r="CS1055" s="124"/>
      <c r="CT1055" s="124"/>
      <c r="CU1055" s="124"/>
      <c r="CV1055" s="124"/>
      <c r="CW1055" s="124"/>
      <c r="CX1055" s="124"/>
      <c r="CY1055" s="124"/>
      <c r="CZ1055" s="124"/>
      <c r="DA1055" s="124"/>
      <c r="DB1055" s="124"/>
      <c r="DC1055" s="124"/>
      <c r="DD1055" s="124"/>
      <c r="DE1055" s="124"/>
      <c r="DF1055" s="124"/>
      <c r="DG1055" s="115"/>
    </row>
    <row r="1056" spans="1:111" ht="9" customHeight="1">
      <c r="A1056"/>
      <c r="B1056" s="493" t="str">
        <f>IF(B1036="","","Justificativa:")</f>
        <v/>
      </c>
      <c r="C1056" s="493"/>
      <c r="D1056" s="493"/>
      <c r="E1056" s="493"/>
      <c r="F1056" s="493"/>
      <c r="G1056" s="493"/>
      <c r="H1056" s="493"/>
      <c r="I1056" s="493"/>
      <c r="J1056" s="493"/>
      <c r="K1056" s="493"/>
      <c r="L1056" s="493"/>
      <c r="M1056" s="493"/>
      <c r="N1056" s="493"/>
      <c r="O1056" s="421"/>
      <c r="P1056" s="421"/>
      <c r="Q1056" s="421"/>
      <c r="R1056" s="421"/>
      <c r="S1056" s="421"/>
      <c r="T1056" s="421"/>
      <c r="U1056" s="421"/>
      <c r="V1056" s="421"/>
      <c r="W1056" s="421"/>
      <c r="X1056" s="421"/>
      <c r="Y1056" s="421"/>
      <c r="Z1056" s="421"/>
      <c r="AA1056" s="421"/>
      <c r="AB1056" s="421"/>
      <c r="AC1056" s="421"/>
      <c r="AD1056" s="421"/>
      <c r="AE1056" s="421"/>
      <c r="AF1056" s="421"/>
      <c r="AG1056" s="421"/>
      <c r="AH1056" s="421"/>
      <c r="AI1056" s="421"/>
      <c r="AJ1056" s="421"/>
      <c r="AK1056" s="421"/>
      <c r="AL1056" s="421"/>
      <c r="AM1056" s="421"/>
      <c r="AN1056" s="421"/>
      <c r="AO1056" s="421"/>
      <c r="AP1056" s="421"/>
      <c r="AQ1056" s="421"/>
      <c r="AR1056" s="421"/>
      <c r="AS1056" s="421"/>
      <c r="AT1056" s="421"/>
      <c r="AU1056" s="421"/>
      <c r="AV1056" s="421"/>
      <c r="AW1056" s="421"/>
      <c r="AX1056" s="421"/>
      <c r="AY1056" s="421"/>
      <c r="AZ1056" s="421"/>
      <c r="BA1056" s="421"/>
      <c r="BB1056"/>
      <c r="BC1056" s="115"/>
      <c r="BD1056" s="115"/>
      <c r="BE1056" s="115"/>
      <c r="BF1056" s="115"/>
      <c r="BG1056" s="115"/>
      <c r="BH1056" s="124"/>
      <c r="BI1056" s="124"/>
      <c r="BJ1056" s="124"/>
      <c r="BK1056" s="124"/>
      <c r="BL1056" s="124"/>
      <c r="BM1056" s="124"/>
      <c r="BN1056" s="124"/>
      <c r="BO1056" s="124"/>
      <c r="BP1056" s="124"/>
      <c r="BQ1056" s="124"/>
      <c r="BR1056" s="124"/>
      <c r="BS1056" s="124"/>
      <c r="BT1056" s="124"/>
      <c r="BU1056" s="124"/>
      <c r="BV1056" s="124"/>
      <c r="BW1056" s="124"/>
      <c r="BX1056" s="124"/>
      <c r="BY1056" s="124"/>
      <c r="BZ1056" s="124"/>
      <c r="CA1056" s="124"/>
      <c r="CB1056" s="124"/>
      <c r="CC1056" s="124"/>
      <c r="CD1056" s="124"/>
      <c r="CE1056" s="124"/>
      <c r="CF1056" s="124"/>
      <c r="CG1056" s="124"/>
      <c r="CH1056" s="124"/>
      <c r="CI1056" s="124"/>
      <c r="CJ1056" s="124"/>
      <c r="CK1056" s="124"/>
      <c r="CL1056" s="124"/>
      <c r="CM1056" s="124"/>
      <c r="CN1056" s="124"/>
      <c r="CO1056" s="124"/>
      <c r="CP1056" s="124"/>
      <c r="CQ1056" s="124"/>
      <c r="CR1056" s="124"/>
      <c r="CS1056" s="124"/>
      <c r="CT1056" s="124"/>
      <c r="CU1056" s="124"/>
      <c r="CV1056" s="124"/>
      <c r="CW1056" s="124"/>
      <c r="CX1056" s="124"/>
      <c r="CY1056" s="124"/>
      <c r="CZ1056" s="124"/>
      <c r="DA1056" s="124"/>
      <c r="DB1056" s="124"/>
      <c r="DC1056" s="124"/>
      <c r="DD1056" s="124"/>
      <c r="DE1056" s="124"/>
      <c r="DF1056" s="124"/>
      <c r="DG1056" s="115"/>
    </row>
    <row r="1057" spans="1:111" ht="9" customHeight="1">
      <c r="A1057"/>
      <c r="B1057" s="493"/>
      <c r="C1057" s="493"/>
      <c r="D1057" s="493"/>
      <c r="E1057" s="493"/>
      <c r="F1057" s="493"/>
      <c r="G1057" s="493"/>
      <c r="H1057" s="493"/>
      <c r="I1057" s="493"/>
      <c r="J1057" s="493"/>
      <c r="K1057" s="493"/>
      <c r="L1057" s="493"/>
      <c r="M1057" s="493"/>
      <c r="N1057" s="493"/>
      <c r="O1057" s="421"/>
      <c r="P1057" s="421"/>
      <c r="Q1057" s="421"/>
      <c r="R1057" s="421"/>
      <c r="S1057" s="421"/>
      <c r="T1057" s="421"/>
      <c r="U1057" s="421"/>
      <c r="V1057" s="421"/>
      <c r="W1057" s="421"/>
      <c r="X1057" s="421"/>
      <c r="Y1057" s="421"/>
      <c r="Z1057" s="421"/>
      <c r="AA1057" s="421"/>
      <c r="AB1057" s="421"/>
      <c r="AC1057" s="421"/>
      <c r="AD1057" s="421"/>
      <c r="AE1057" s="421"/>
      <c r="AF1057" s="421"/>
      <c r="AG1057" s="421"/>
      <c r="AH1057" s="421"/>
      <c r="AI1057" s="421"/>
      <c r="AJ1057" s="421"/>
      <c r="AK1057" s="421"/>
      <c r="AL1057" s="421"/>
      <c r="AM1057" s="421"/>
      <c r="AN1057" s="421"/>
      <c r="AO1057" s="421"/>
      <c r="AP1057" s="421"/>
      <c r="AQ1057" s="421"/>
      <c r="AR1057" s="421"/>
      <c r="AS1057" s="421"/>
      <c r="AT1057" s="421"/>
      <c r="AU1057" s="421"/>
      <c r="AV1057" s="421"/>
      <c r="AW1057" s="421"/>
      <c r="AX1057" s="421"/>
      <c r="AY1057" s="421"/>
      <c r="AZ1057" s="421"/>
      <c r="BA1057" s="421"/>
      <c r="BB1057"/>
      <c r="BC1057" s="115"/>
      <c r="BD1057" s="115"/>
      <c r="BE1057" s="115"/>
      <c r="BF1057" s="115"/>
      <c r="BG1057" s="115"/>
      <c r="BH1057" s="124"/>
      <c r="BI1057" s="124"/>
      <c r="BJ1057" s="124"/>
      <c r="BK1057" s="124"/>
      <c r="BL1057" s="124"/>
      <c r="BM1057" s="124"/>
      <c r="BN1057" s="124"/>
      <c r="BO1057" s="124"/>
      <c r="BP1057" s="124"/>
      <c r="BQ1057" s="124"/>
      <c r="BR1057" s="124"/>
      <c r="BS1057" s="124"/>
      <c r="BT1057" s="124"/>
      <c r="BU1057" s="124"/>
      <c r="BV1057" s="124"/>
      <c r="BW1057" s="124"/>
      <c r="BX1057" s="124"/>
      <c r="BY1057" s="124"/>
      <c r="BZ1057" s="124"/>
      <c r="CA1057" s="124"/>
      <c r="CB1057" s="124"/>
      <c r="CC1057" s="124"/>
      <c r="CD1057" s="124"/>
      <c r="CE1057" s="124"/>
      <c r="CF1057" s="124"/>
      <c r="CG1057" s="124"/>
      <c r="CH1057" s="124"/>
      <c r="CI1057" s="124"/>
      <c r="CJ1057" s="124"/>
      <c r="CK1057" s="124"/>
      <c r="CL1057" s="124"/>
      <c r="CM1057" s="124"/>
      <c r="CN1057" s="124"/>
      <c r="CO1057" s="124"/>
      <c r="CP1057" s="124"/>
      <c r="CQ1057" s="124"/>
      <c r="CR1057" s="124"/>
      <c r="CS1057" s="124"/>
      <c r="CT1057" s="124"/>
      <c r="CU1057" s="124"/>
      <c r="CV1057" s="124"/>
      <c r="CW1057" s="124"/>
      <c r="CX1057" s="124"/>
      <c r="CY1057" s="124"/>
      <c r="CZ1057" s="124"/>
      <c r="DA1057" s="124"/>
      <c r="DB1057" s="124"/>
      <c r="DC1057" s="124"/>
      <c r="DD1057" s="124"/>
      <c r="DE1057" s="124"/>
      <c r="DF1057" s="124"/>
      <c r="DG1057" s="115"/>
    </row>
    <row r="1058" spans="1:111" ht="9" customHeight="1">
      <c r="A1058"/>
      <c r="B1058" s="143"/>
      <c r="C1058" s="143"/>
      <c r="D1058" s="143"/>
      <c r="E1058" s="143"/>
      <c r="F1058" s="143"/>
      <c r="G1058" s="143"/>
      <c r="H1058" s="143"/>
      <c r="I1058" s="143"/>
      <c r="J1058" s="143"/>
      <c r="K1058" s="143"/>
      <c r="L1058" s="143"/>
      <c r="M1058" s="143"/>
      <c r="N1058" s="143"/>
      <c r="O1058" s="421"/>
      <c r="P1058" s="421"/>
      <c r="Q1058" s="421"/>
      <c r="R1058" s="421"/>
      <c r="S1058" s="421"/>
      <c r="T1058" s="421"/>
      <c r="U1058" s="421"/>
      <c r="V1058" s="421"/>
      <c r="W1058" s="421"/>
      <c r="X1058" s="421"/>
      <c r="Y1058" s="421"/>
      <c r="Z1058" s="421"/>
      <c r="AA1058" s="421"/>
      <c r="AB1058" s="421"/>
      <c r="AC1058" s="421"/>
      <c r="AD1058" s="421"/>
      <c r="AE1058" s="421"/>
      <c r="AF1058" s="421"/>
      <c r="AG1058" s="421"/>
      <c r="AH1058" s="421"/>
      <c r="AI1058" s="421"/>
      <c r="AJ1058" s="421"/>
      <c r="AK1058" s="421"/>
      <c r="AL1058" s="421"/>
      <c r="AM1058" s="421"/>
      <c r="AN1058" s="421"/>
      <c r="AO1058" s="421"/>
      <c r="AP1058" s="421"/>
      <c r="AQ1058" s="421"/>
      <c r="AR1058" s="421"/>
      <c r="AS1058" s="421"/>
      <c r="AT1058" s="421"/>
      <c r="AU1058" s="421"/>
      <c r="AV1058" s="421"/>
      <c r="AW1058" s="421"/>
      <c r="AX1058" s="421"/>
      <c r="AY1058" s="421"/>
      <c r="AZ1058" s="421"/>
      <c r="BA1058" s="421"/>
      <c r="BB1058"/>
      <c r="BC1058" s="115"/>
      <c r="BD1058" s="115"/>
      <c r="BE1058" s="115"/>
      <c r="BF1058" s="115"/>
      <c r="BG1058" s="115"/>
      <c r="BH1058" s="124"/>
      <c r="BI1058" s="124"/>
      <c r="BJ1058" s="124"/>
      <c r="BK1058" s="124"/>
      <c r="BL1058" s="124"/>
      <c r="BM1058" s="124"/>
      <c r="BN1058" s="124"/>
      <c r="BO1058" s="124"/>
      <c r="BP1058" s="124"/>
      <c r="BQ1058" s="124"/>
      <c r="BR1058" s="124"/>
      <c r="BS1058" s="124"/>
      <c r="BT1058" s="124"/>
      <c r="BU1058" s="124"/>
      <c r="BV1058" s="124"/>
      <c r="BW1058" s="124"/>
      <c r="BX1058" s="124"/>
      <c r="BY1058" s="124"/>
      <c r="BZ1058" s="124"/>
      <c r="CA1058" s="124"/>
      <c r="CB1058" s="124"/>
      <c r="CC1058" s="124"/>
      <c r="CD1058" s="124"/>
      <c r="CE1058" s="124"/>
      <c r="CF1058" s="124"/>
      <c r="CG1058" s="124"/>
      <c r="CH1058" s="124"/>
      <c r="CI1058" s="124"/>
      <c r="CJ1058" s="124"/>
      <c r="CK1058" s="124"/>
      <c r="CL1058" s="124"/>
      <c r="CM1058" s="124"/>
      <c r="CN1058" s="124"/>
      <c r="CO1058" s="124"/>
      <c r="CP1058" s="124"/>
      <c r="CQ1058" s="124"/>
      <c r="CR1058" s="124"/>
      <c r="CS1058" s="124"/>
      <c r="CT1058" s="124"/>
      <c r="CU1058" s="124"/>
      <c r="CV1058" s="124"/>
      <c r="CW1058" s="124"/>
      <c r="CX1058" s="124"/>
      <c r="CY1058" s="124"/>
      <c r="CZ1058" s="124"/>
      <c r="DA1058" s="124"/>
      <c r="DB1058" s="124"/>
      <c r="DC1058" s="124"/>
      <c r="DD1058" s="124"/>
      <c r="DE1058" s="124"/>
      <c r="DF1058" s="124"/>
      <c r="DG1058" s="115"/>
    </row>
    <row r="1059" spans="1:111" ht="9" customHeight="1">
      <c r="A1059"/>
      <c r="B1059" s="143"/>
      <c r="C1059" s="143"/>
      <c r="D1059" s="143"/>
      <c r="E1059" s="143"/>
      <c r="F1059" s="143"/>
      <c r="G1059" s="143"/>
      <c r="H1059" s="143"/>
      <c r="I1059" s="143"/>
      <c r="J1059" s="143"/>
      <c r="K1059" s="143"/>
      <c r="L1059" s="143"/>
      <c r="M1059" s="143"/>
      <c r="N1059" s="143"/>
      <c r="O1059" s="421"/>
      <c r="P1059" s="421"/>
      <c r="Q1059" s="421"/>
      <c r="R1059" s="421"/>
      <c r="S1059" s="421"/>
      <c r="T1059" s="421"/>
      <c r="U1059" s="421"/>
      <c r="V1059" s="421"/>
      <c r="W1059" s="421"/>
      <c r="X1059" s="421"/>
      <c r="Y1059" s="421"/>
      <c r="Z1059" s="421"/>
      <c r="AA1059" s="421"/>
      <c r="AB1059" s="421"/>
      <c r="AC1059" s="421"/>
      <c r="AD1059" s="421"/>
      <c r="AE1059" s="421"/>
      <c r="AF1059" s="421"/>
      <c r="AG1059" s="421"/>
      <c r="AH1059" s="421"/>
      <c r="AI1059" s="421"/>
      <c r="AJ1059" s="421"/>
      <c r="AK1059" s="421"/>
      <c r="AL1059" s="421"/>
      <c r="AM1059" s="421"/>
      <c r="AN1059" s="421"/>
      <c r="AO1059" s="421"/>
      <c r="AP1059" s="421"/>
      <c r="AQ1059" s="421"/>
      <c r="AR1059" s="421"/>
      <c r="AS1059" s="421"/>
      <c r="AT1059" s="421"/>
      <c r="AU1059" s="421"/>
      <c r="AV1059" s="421"/>
      <c r="AW1059" s="421"/>
      <c r="AX1059" s="421"/>
      <c r="AY1059" s="421"/>
      <c r="AZ1059" s="421"/>
      <c r="BA1059" s="421"/>
      <c r="BB1059"/>
      <c r="BC1059" s="115"/>
      <c r="BD1059" s="115"/>
      <c r="BE1059" s="115"/>
      <c r="BF1059" s="115"/>
      <c r="BG1059" s="115"/>
      <c r="BH1059" s="138"/>
      <c r="BI1059" s="138"/>
      <c r="BJ1059" s="138"/>
      <c r="BK1059" s="138"/>
      <c r="BL1059" s="138"/>
      <c r="BM1059" s="138"/>
      <c r="BN1059" s="138"/>
      <c r="BO1059" s="138"/>
      <c r="BP1059" s="138"/>
      <c r="BQ1059" s="138"/>
      <c r="BR1059" s="138"/>
      <c r="BS1059" s="138"/>
      <c r="BT1059" s="138"/>
      <c r="BU1059" s="138"/>
      <c r="BV1059" s="138"/>
      <c r="BW1059" s="138"/>
      <c r="BX1059" s="138"/>
      <c r="BY1059" s="138"/>
      <c r="BZ1059" s="138"/>
      <c r="CA1059" s="138"/>
      <c r="CB1059" s="138"/>
      <c r="CC1059" s="138"/>
      <c r="CD1059" s="138"/>
      <c r="CE1059" s="138"/>
      <c r="CF1059" s="138"/>
      <c r="CG1059" s="138"/>
      <c r="CH1059" s="138"/>
      <c r="CI1059" s="138"/>
      <c r="CJ1059" s="138"/>
      <c r="CK1059" s="138"/>
      <c r="CL1059" s="138"/>
      <c r="CM1059" s="138"/>
      <c r="CN1059" s="138"/>
      <c r="CO1059" s="138"/>
      <c r="CP1059" s="138"/>
      <c r="CQ1059" s="138"/>
      <c r="CR1059" s="138"/>
      <c r="CS1059" s="138"/>
      <c r="CT1059" s="138"/>
      <c r="CU1059" s="138"/>
      <c r="CV1059" s="138"/>
      <c r="CW1059" s="138"/>
      <c r="CX1059" s="138"/>
      <c r="CY1059" s="138"/>
      <c r="CZ1059" s="138"/>
      <c r="DA1059" s="138"/>
      <c r="DB1059" s="138"/>
      <c r="DC1059" s="138"/>
      <c r="DD1059" s="138"/>
      <c r="DE1059" s="138"/>
      <c r="DF1059" s="138"/>
      <c r="DG1059" s="115"/>
    </row>
    <row r="1060" spans="1:111" ht="9" customHeight="1">
      <c r="A1060"/>
      <c r="B1060" s="143"/>
      <c r="C1060" s="143"/>
      <c r="D1060" s="143"/>
      <c r="E1060" s="143"/>
      <c r="F1060" s="143"/>
      <c r="G1060" s="143"/>
      <c r="H1060" s="143"/>
      <c r="I1060" s="143"/>
      <c r="J1060" s="143"/>
      <c r="K1060" s="143"/>
      <c r="L1060" s="143"/>
      <c r="M1060" s="143"/>
      <c r="N1060" s="143"/>
      <c r="O1060" s="421"/>
      <c r="P1060" s="421"/>
      <c r="Q1060" s="421"/>
      <c r="R1060" s="421"/>
      <c r="S1060" s="421"/>
      <c r="T1060" s="421"/>
      <c r="U1060" s="421"/>
      <c r="V1060" s="421"/>
      <c r="W1060" s="421"/>
      <c r="X1060" s="421"/>
      <c r="Y1060" s="421"/>
      <c r="Z1060" s="421"/>
      <c r="AA1060" s="421"/>
      <c r="AB1060" s="421"/>
      <c r="AC1060" s="421"/>
      <c r="AD1060" s="421"/>
      <c r="AE1060" s="421"/>
      <c r="AF1060" s="421"/>
      <c r="AG1060" s="421"/>
      <c r="AH1060" s="421"/>
      <c r="AI1060" s="421"/>
      <c r="AJ1060" s="421"/>
      <c r="AK1060" s="421"/>
      <c r="AL1060" s="421"/>
      <c r="AM1060" s="421"/>
      <c r="AN1060" s="421"/>
      <c r="AO1060" s="421"/>
      <c r="AP1060" s="421"/>
      <c r="AQ1060" s="421"/>
      <c r="AR1060" s="421"/>
      <c r="AS1060" s="421"/>
      <c r="AT1060" s="421"/>
      <c r="AU1060" s="421"/>
      <c r="AV1060" s="421"/>
      <c r="AW1060" s="421"/>
      <c r="AX1060" s="421"/>
      <c r="AY1060" s="421"/>
      <c r="AZ1060" s="421"/>
      <c r="BA1060" s="421"/>
      <c r="BB1060"/>
      <c r="BC1060" s="115"/>
      <c r="BD1060" s="115"/>
      <c r="BE1060" s="115"/>
      <c r="BF1060" s="115"/>
      <c r="BG1060" s="115"/>
      <c r="BH1060" s="138"/>
      <c r="BI1060" s="138"/>
      <c r="BJ1060" s="138"/>
      <c r="BK1060" s="138"/>
      <c r="BL1060" s="138"/>
      <c r="BM1060" s="138"/>
      <c r="BN1060" s="138"/>
      <c r="BO1060" s="138"/>
      <c r="BP1060" s="138"/>
      <c r="BQ1060" s="138"/>
      <c r="BR1060" s="138"/>
      <c r="BS1060" s="138"/>
      <c r="BT1060" s="138"/>
      <c r="BU1060" s="138"/>
      <c r="BV1060" s="138"/>
      <c r="BW1060" s="138"/>
      <c r="BX1060" s="138"/>
      <c r="BY1060" s="138"/>
      <c r="BZ1060" s="138"/>
      <c r="CA1060" s="138"/>
      <c r="CB1060" s="138"/>
      <c r="CC1060" s="138"/>
      <c r="CD1060" s="138"/>
      <c r="CE1060" s="138"/>
      <c r="CF1060" s="138"/>
      <c r="CG1060" s="138"/>
      <c r="CH1060" s="138"/>
      <c r="CI1060" s="138"/>
      <c r="CJ1060" s="138"/>
      <c r="CK1060" s="138"/>
      <c r="CL1060" s="138"/>
      <c r="CM1060" s="138"/>
      <c r="CN1060" s="138"/>
      <c r="CO1060" s="138"/>
      <c r="CP1060" s="138"/>
      <c r="CQ1060" s="138"/>
      <c r="CR1060" s="138"/>
      <c r="CS1060" s="138"/>
      <c r="CT1060" s="138"/>
      <c r="CU1060" s="138"/>
      <c r="CV1060" s="138"/>
      <c r="CW1060" s="138"/>
      <c r="CX1060" s="138"/>
      <c r="CY1060" s="138"/>
      <c r="CZ1060" s="138"/>
      <c r="DA1060" s="138"/>
      <c r="DB1060" s="138"/>
      <c r="DC1060" s="138"/>
      <c r="DD1060" s="138"/>
      <c r="DE1060" s="138"/>
      <c r="DF1060" s="138"/>
      <c r="DG1060" s="115"/>
    </row>
    <row r="1061" spans="1:111" ht="9" customHeight="1">
      <c r="A1061"/>
      <c r="B1061" s="49"/>
      <c r="C1061" s="49"/>
      <c r="D1061" s="49"/>
      <c r="E1061" s="49"/>
      <c r="F1061" s="49"/>
      <c r="G1061" s="49"/>
      <c r="H1061" s="49"/>
      <c r="I1061" s="49"/>
      <c r="J1061" s="49"/>
      <c r="K1061" s="49"/>
      <c r="L1061" s="49"/>
      <c r="M1061" s="49"/>
      <c r="N1061" s="49"/>
      <c r="O1061" s="421"/>
      <c r="P1061" s="421"/>
      <c r="Q1061" s="421"/>
      <c r="R1061" s="421"/>
      <c r="S1061" s="421"/>
      <c r="T1061" s="421"/>
      <c r="U1061" s="421"/>
      <c r="V1061" s="421"/>
      <c r="W1061" s="421"/>
      <c r="X1061" s="421"/>
      <c r="Y1061" s="421"/>
      <c r="Z1061" s="421"/>
      <c r="AA1061" s="421"/>
      <c r="AB1061" s="421"/>
      <c r="AC1061" s="421"/>
      <c r="AD1061" s="421"/>
      <c r="AE1061" s="421"/>
      <c r="AF1061" s="421"/>
      <c r="AG1061" s="421"/>
      <c r="AH1061" s="421"/>
      <c r="AI1061" s="421"/>
      <c r="AJ1061" s="421"/>
      <c r="AK1061" s="421"/>
      <c r="AL1061" s="421"/>
      <c r="AM1061" s="421"/>
      <c r="AN1061" s="421"/>
      <c r="AO1061" s="421"/>
      <c r="AP1061" s="421"/>
      <c r="AQ1061" s="421"/>
      <c r="AR1061" s="421"/>
      <c r="AS1061" s="421"/>
      <c r="AT1061" s="421"/>
      <c r="AU1061" s="421"/>
      <c r="AV1061" s="421"/>
      <c r="AW1061" s="421"/>
      <c r="AX1061" s="421"/>
      <c r="AY1061" s="421"/>
      <c r="AZ1061" s="421"/>
      <c r="BA1061" s="421"/>
      <c r="BB1061"/>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c r="BY1061" s="115"/>
      <c r="BZ1061" s="115"/>
      <c r="CA1061" s="115"/>
      <c r="CB1061" s="115"/>
      <c r="CC1061" s="115"/>
      <c r="CD1061" s="115"/>
      <c r="CE1061" s="115"/>
      <c r="CF1061" s="115"/>
      <c r="CG1061" s="115"/>
      <c r="CH1061" s="115"/>
      <c r="CI1061" s="115"/>
      <c r="CJ1061" s="115"/>
      <c r="CK1061" s="115"/>
      <c r="CL1061" s="115"/>
      <c r="CM1061" s="115"/>
      <c r="CN1061" s="115"/>
      <c r="CO1061" s="115"/>
      <c r="CP1061" s="115"/>
      <c r="CQ1061" s="115"/>
      <c r="CR1061" s="115"/>
      <c r="CS1061" s="115"/>
      <c r="CT1061" s="115"/>
      <c r="CU1061" s="115"/>
      <c r="CV1061" s="115"/>
      <c r="CW1061" s="115"/>
      <c r="CX1061" s="115"/>
      <c r="CY1061" s="115"/>
      <c r="CZ1061" s="115"/>
      <c r="DA1061" s="115"/>
      <c r="DB1061" s="115"/>
      <c r="DC1061" s="115"/>
      <c r="DD1061" s="115"/>
      <c r="DE1061" s="115"/>
      <c r="DF1061" s="115"/>
      <c r="DG1061" s="115"/>
    </row>
    <row r="1062" spans="1:111" ht="4.5" customHeight="1">
      <c r="A1062"/>
      <c r="B1062" s="49"/>
      <c r="C1062" s="49"/>
      <c r="D1062" s="49"/>
      <c r="E1062" s="49"/>
      <c r="F1062" s="49"/>
      <c r="G1062" s="49"/>
      <c r="H1062" s="49"/>
      <c r="I1062" s="49"/>
      <c r="J1062" s="49"/>
      <c r="K1062" s="49"/>
      <c r="L1062" s="49"/>
      <c r="M1062" s="49"/>
      <c r="N1062" s="49"/>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49"/>
      <c r="AS1062" s="49"/>
      <c r="AT1062" s="49"/>
      <c r="AU1062" s="49"/>
      <c r="AV1062" s="49"/>
      <c r="AW1062" s="49"/>
      <c r="AX1062" s="49"/>
      <c r="AY1062" s="49"/>
      <c r="AZ1062" s="49"/>
      <c r="BA1062" s="49"/>
      <c r="BB1062"/>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c r="BY1062" s="115"/>
      <c r="BZ1062" s="115"/>
      <c r="CA1062" s="115"/>
      <c r="CB1062" s="115"/>
      <c r="CC1062" s="115"/>
      <c r="CD1062" s="115"/>
      <c r="CE1062" s="115"/>
      <c r="CF1062" s="115"/>
      <c r="CG1062" s="115"/>
      <c r="CH1062" s="115"/>
      <c r="CI1062" s="115"/>
      <c r="CJ1062" s="115"/>
      <c r="CK1062" s="115"/>
      <c r="CL1062" s="115"/>
      <c r="CM1062" s="115"/>
      <c r="CN1062" s="115"/>
      <c r="CO1062" s="115"/>
      <c r="CP1062" s="115"/>
      <c r="CQ1062" s="115"/>
      <c r="CR1062" s="115"/>
      <c r="CS1062" s="115"/>
      <c r="CT1062" s="115"/>
      <c r="CU1062" s="115"/>
      <c r="CV1062" s="115"/>
      <c r="CW1062" s="115"/>
      <c r="CX1062" s="115"/>
      <c r="CY1062" s="115"/>
      <c r="CZ1062" s="115"/>
      <c r="DA1062" s="115"/>
      <c r="DB1062" s="115"/>
      <c r="DC1062" s="115"/>
      <c r="DD1062" s="115"/>
      <c r="DE1062" s="115"/>
      <c r="DF1062" s="115"/>
      <c r="DG1062" s="115"/>
    </row>
    <row r="1063" spans="1:111" ht="9" customHeight="1">
      <c r="A1063"/>
      <c r="B1063" s="493" t="str">
        <f>IF(B1036="","","Metas Vinculadas:")</f>
        <v/>
      </c>
      <c r="C1063" s="493"/>
      <c r="D1063" s="493"/>
      <c r="E1063" s="493"/>
      <c r="F1063" s="493"/>
      <c r="G1063" s="493"/>
      <c r="H1063" s="493"/>
      <c r="I1063" s="493"/>
      <c r="J1063" s="493"/>
      <c r="K1063" s="493"/>
      <c r="L1063" s="493"/>
      <c r="M1063" s="493"/>
      <c r="N1063" s="493"/>
      <c r="O1063" s="421"/>
      <c r="P1063" s="421"/>
      <c r="Q1063" s="421"/>
      <c r="R1063" s="421"/>
      <c r="S1063" s="421"/>
      <c r="T1063" s="421"/>
      <c r="U1063" s="421"/>
      <c r="V1063" s="421"/>
      <c r="W1063" s="421"/>
      <c r="X1063" s="421"/>
      <c r="Y1063" s="421"/>
      <c r="Z1063" s="421"/>
      <c r="AA1063" s="421"/>
      <c r="AB1063" s="421"/>
      <c r="AC1063" s="421"/>
      <c r="AD1063" s="421"/>
      <c r="AE1063" s="421"/>
      <c r="AF1063" s="421"/>
      <c r="AG1063" s="421"/>
      <c r="AH1063" s="421"/>
      <c r="AI1063" s="421"/>
      <c r="AJ1063" s="421"/>
      <c r="AK1063" s="421"/>
      <c r="AL1063" s="421"/>
      <c r="AM1063" s="421"/>
      <c r="AN1063" s="421"/>
      <c r="AO1063" s="421"/>
      <c r="AP1063" s="421"/>
      <c r="AQ1063" s="421"/>
      <c r="AR1063" s="421"/>
      <c r="AS1063" s="421"/>
      <c r="AT1063" s="421"/>
      <c r="AU1063" s="421"/>
      <c r="AV1063" s="421"/>
      <c r="AW1063" s="421"/>
      <c r="AX1063" s="421"/>
      <c r="AY1063" s="421"/>
      <c r="AZ1063" s="421"/>
      <c r="BA1063" s="421"/>
      <c r="BB1063"/>
      <c r="BC1063" s="115"/>
      <c r="BD1063" s="115"/>
      <c r="BE1063" s="115"/>
      <c r="BF1063" s="115"/>
      <c r="BG1063" s="115"/>
      <c r="BH1063" s="124"/>
      <c r="BI1063" s="124"/>
      <c r="BJ1063" s="124"/>
      <c r="BK1063" s="124"/>
      <c r="BL1063" s="124"/>
      <c r="BM1063" s="124"/>
      <c r="BN1063" s="124"/>
      <c r="BO1063" s="124"/>
      <c r="BP1063" s="124"/>
      <c r="BQ1063" s="124"/>
      <c r="BR1063" s="124"/>
      <c r="BS1063" s="124"/>
      <c r="BT1063" s="124"/>
      <c r="BU1063" s="124"/>
      <c r="BV1063" s="124"/>
      <c r="BW1063" s="124"/>
      <c r="BX1063" s="124"/>
      <c r="BY1063" s="124"/>
      <c r="BZ1063" s="124"/>
      <c r="CA1063" s="124"/>
      <c r="CB1063" s="124"/>
      <c r="CC1063" s="124"/>
      <c r="CD1063" s="124"/>
      <c r="CE1063" s="124"/>
      <c r="CF1063" s="124"/>
      <c r="CG1063" s="124"/>
      <c r="CH1063" s="124"/>
      <c r="CI1063" s="124"/>
      <c r="CJ1063" s="124"/>
      <c r="CK1063" s="124"/>
      <c r="CL1063" s="124"/>
      <c r="CM1063" s="124"/>
      <c r="CN1063" s="124"/>
      <c r="CO1063" s="124"/>
      <c r="CP1063" s="124"/>
      <c r="CQ1063" s="124"/>
      <c r="CR1063" s="124"/>
      <c r="CS1063" s="124"/>
      <c r="CT1063" s="124"/>
      <c r="CU1063" s="124"/>
      <c r="CV1063" s="124"/>
      <c r="CW1063" s="124"/>
      <c r="CX1063" s="124"/>
      <c r="CY1063" s="124"/>
      <c r="CZ1063" s="124"/>
      <c r="DA1063" s="124"/>
      <c r="DB1063" s="124"/>
      <c r="DC1063" s="124"/>
      <c r="DD1063" s="124"/>
      <c r="DE1063" s="124"/>
      <c r="DF1063" s="124"/>
      <c r="DG1063" s="115"/>
    </row>
    <row r="1064" spans="1:111" ht="9" customHeight="1">
      <c r="A1064"/>
      <c r="B1064" s="493"/>
      <c r="C1064" s="493"/>
      <c r="D1064" s="493"/>
      <c r="E1064" s="493"/>
      <c r="F1064" s="493"/>
      <c r="G1064" s="493"/>
      <c r="H1064" s="493"/>
      <c r="I1064" s="493"/>
      <c r="J1064" s="493"/>
      <c r="K1064" s="493"/>
      <c r="L1064" s="493"/>
      <c r="M1064" s="493"/>
      <c r="N1064" s="493"/>
      <c r="O1064" s="421"/>
      <c r="P1064" s="421"/>
      <c r="Q1064" s="421"/>
      <c r="R1064" s="421"/>
      <c r="S1064" s="421"/>
      <c r="T1064" s="421"/>
      <c r="U1064" s="421"/>
      <c r="V1064" s="421"/>
      <c r="W1064" s="421"/>
      <c r="X1064" s="421"/>
      <c r="Y1064" s="421"/>
      <c r="Z1064" s="421"/>
      <c r="AA1064" s="421"/>
      <c r="AB1064" s="421"/>
      <c r="AC1064" s="421"/>
      <c r="AD1064" s="421"/>
      <c r="AE1064" s="421"/>
      <c r="AF1064" s="421"/>
      <c r="AG1064" s="421"/>
      <c r="AH1064" s="421"/>
      <c r="AI1064" s="421"/>
      <c r="AJ1064" s="421"/>
      <c r="AK1064" s="421"/>
      <c r="AL1064" s="421"/>
      <c r="AM1064" s="421"/>
      <c r="AN1064" s="421"/>
      <c r="AO1064" s="421"/>
      <c r="AP1064" s="421"/>
      <c r="AQ1064" s="421"/>
      <c r="AR1064" s="421"/>
      <c r="AS1064" s="421"/>
      <c r="AT1064" s="421"/>
      <c r="AU1064" s="421"/>
      <c r="AV1064" s="421"/>
      <c r="AW1064" s="421"/>
      <c r="AX1064" s="421"/>
      <c r="AY1064" s="421"/>
      <c r="AZ1064" s="421"/>
      <c r="BA1064" s="421"/>
      <c r="BB1064"/>
      <c r="BC1064" s="115"/>
      <c r="BD1064" s="115"/>
      <c r="BE1064" s="115"/>
      <c r="BF1064" s="115"/>
      <c r="BG1064" s="115"/>
      <c r="BH1064" s="138"/>
      <c r="BI1064" s="138"/>
      <c r="BJ1064" s="138"/>
      <c r="BK1064" s="138"/>
      <c r="BL1064" s="138"/>
      <c r="BM1064" s="138"/>
      <c r="BN1064" s="138"/>
      <c r="BO1064" s="138"/>
      <c r="BP1064" s="138"/>
      <c r="BQ1064" s="138"/>
      <c r="BR1064" s="138"/>
      <c r="BS1064" s="138"/>
      <c r="BT1064" s="138"/>
      <c r="BU1064" s="138"/>
      <c r="BV1064" s="138"/>
      <c r="BW1064" s="138"/>
      <c r="BX1064" s="138"/>
      <c r="BY1064" s="138"/>
      <c r="BZ1064" s="138"/>
      <c r="CA1064" s="138"/>
      <c r="CB1064" s="138"/>
      <c r="CC1064" s="138"/>
      <c r="CD1064" s="138"/>
      <c r="CE1064" s="138"/>
      <c r="CF1064" s="138"/>
      <c r="CG1064" s="138"/>
      <c r="CH1064" s="138"/>
      <c r="CI1064" s="138"/>
      <c r="CJ1064" s="138"/>
      <c r="CK1064" s="138"/>
      <c r="CL1064" s="138"/>
      <c r="CM1064" s="138"/>
      <c r="CN1064" s="138"/>
      <c r="CO1064" s="138"/>
      <c r="CP1064" s="138"/>
      <c r="CQ1064" s="138"/>
      <c r="CR1064" s="138"/>
      <c r="CS1064" s="138"/>
      <c r="CT1064" s="138"/>
      <c r="CU1064" s="138"/>
      <c r="CV1064" s="138"/>
      <c r="CW1064" s="138"/>
      <c r="CX1064" s="138"/>
      <c r="CY1064" s="138"/>
      <c r="CZ1064" s="138"/>
      <c r="DA1064" s="138"/>
      <c r="DB1064" s="138"/>
      <c r="DC1064" s="138"/>
      <c r="DD1064" s="138"/>
      <c r="DE1064" s="138"/>
      <c r="DF1064" s="138"/>
      <c r="DG1064" s="115"/>
    </row>
    <row r="1065" spans="1:111" ht="4.5" customHeight="1">
      <c r="A1065"/>
      <c r="B1065" s="49"/>
      <c r="C1065" s="49"/>
      <c r="D1065" s="49"/>
      <c r="E1065" s="49"/>
      <c r="F1065" s="49"/>
      <c r="G1065" s="49"/>
      <c r="H1065" s="49"/>
      <c r="I1065" s="49"/>
      <c r="J1065" s="49"/>
      <c r="K1065" s="49"/>
      <c r="L1065" s="49"/>
      <c r="M1065" s="49"/>
      <c r="N1065" s="49"/>
      <c r="O1065" s="49"/>
      <c r="P1065" s="49"/>
      <c r="Q1065" s="49"/>
      <c r="R1065" s="49"/>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49"/>
      <c r="AS1065" s="49"/>
      <c r="AT1065" s="49"/>
      <c r="AU1065" s="49"/>
      <c r="AV1065" s="49"/>
      <c r="AW1065" s="49"/>
      <c r="AX1065" s="49"/>
      <c r="AY1065" s="49"/>
      <c r="AZ1065" s="49"/>
      <c r="BA1065" s="49"/>
      <c r="BB106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c r="BY1065" s="115"/>
      <c r="BZ1065" s="115"/>
      <c r="CA1065" s="115"/>
      <c r="CB1065" s="115"/>
      <c r="CC1065" s="115"/>
      <c r="CD1065" s="115"/>
      <c r="CE1065" s="115"/>
      <c r="CF1065" s="115"/>
      <c r="CG1065" s="115"/>
      <c r="CH1065" s="115"/>
      <c r="CI1065" s="115"/>
      <c r="CJ1065" s="115"/>
      <c r="CK1065" s="115"/>
      <c r="CL1065" s="115"/>
      <c r="CM1065" s="115"/>
      <c r="CN1065" s="115"/>
      <c r="CO1065" s="115"/>
      <c r="CP1065" s="115"/>
      <c r="CQ1065" s="115"/>
      <c r="CR1065" s="115"/>
      <c r="CS1065" s="115"/>
      <c r="CT1065" s="115"/>
      <c r="CU1065" s="115"/>
      <c r="CV1065" s="115"/>
      <c r="CW1065" s="115"/>
      <c r="CX1065" s="115"/>
      <c r="CY1065" s="115"/>
      <c r="CZ1065" s="115"/>
      <c r="DA1065" s="115"/>
      <c r="DB1065" s="115"/>
      <c r="DC1065" s="115"/>
      <c r="DD1065" s="115"/>
      <c r="DE1065" s="115"/>
      <c r="DF1065" s="115"/>
      <c r="DG1065" s="115"/>
    </row>
    <row r="1066" spans="1:111" ht="9" customHeight="1">
      <c r="A1066"/>
      <c r="B1066" s="125"/>
      <c r="C1066" s="125"/>
      <c r="D1066" s="125"/>
      <c r="E1066" s="125"/>
      <c r="F1066" s="125"/>
      <c r="G1066" s="125"/>
      <c r="H1066" s="125"/>
      <c r="I1066" s="125"/>
      <c r="J1066" s="125"/>
      <c r="K1066" s="125"/>
      <c r="L1066" s="125"/>
      <c r="M1066" s="125"/>
      <c r="N1066" s="125"/>
      <c r="O1066" s="496" t="str">
        <f>IF(B1036="","","Quantidade:")</f>
        <v/>
      </c>
      <c r="P1066" s="496"/>
      <c r="Q1066" s="496"/>
      <c r="R1066" s="496"/>
      <c r="S1066" s="496"/>
      <c r="T1066" s="496"/>
      <c r="U1066" s="496"/>
      <c r="V1066" s="417"/>
      <c r="W1066" s="417"/>
      <c r="X1066" s="417"/>
      <c r="Y1066" s="417"/>
      <c r="Z1066" s="417"/>
      <c r="AA1066" s="417"/>
      <c r="AB1066" s="417"/>
      <c r="AC1066" s="417"/>
      <c r="AD1066" s="417"/>
      <c r="AE1066" s="417"/>
      <c r="AF1066" s="125"/>
      <c r="AG1066" s="497" t="str">
        <f>IF(B1036="","","Unidade:")</f>
        <v/>
      </c>
      <c r="AH1066" s="497"/>
      <c r="AI1066" s="497"/>
      <c r="AJ1066" s="497"/>
      <c r="AK1066" s="497"/>
      <c r="AL1066" s="497"/>
      <c r="AM1066" s="497"/>
      <c r="AN1066" s="125"/>
      <c r="AO1066" s="417"/>
      <c r="AP1066" s="417"/>
      <c r="AQ1066" s="417"/>
      <c r="AR1066" s="417"/>
      <c r="AS1066" s="417"/>
      <c r="AT1066" s="417"/>
      <c r="AU1066" s="417"/>
      <c r="AV1066" s="417"/>
      <c r="AW1066" s="417"/>
      <c r="AX1066" s="417"/>
      <c r="AY1066" s="417"/>
      <c r="AZ1066" s="417"/>
      <c r="BA1066" s="417"/>
      <c r="BB1066"/>
      <c r="BC1066" s="115"/>
      <c r="BD1066" s="115"/>
      <c r="BE1066" s="115"/>
      <c r="BF1066" s="115"/>
      <c r="BG1066" s="115"/>
      <c r="BH1066" s="124"/>
      <c r="BI1066" s="124"/>
      <c r="BJ1066" s="124"/>
      <c r="BK1066" s="124"/>
      <c r="BL1066" s="124"/>
      <c r="BM1066" s="124"/>
      <c r="BN1066" s="124"/>
      <c r="BO1066" s="124"/>
      <c r="BP1066" s="124"/>
      <c r="BQ1066" s="124"/>
      <c r="BR1066" s="124"/>
      <c r="BS1066" s="124"/>
      <c r="BT1066" s="124"/>
      <c r="BU1066" s="124"/>
      <c r="BV1066" s="124"/>
      <c r="BW1066" s="124"/>
      <c r="BX1066" s="124"/>
      <c r="BY1066" s="124"/>
      <c r="BZ1066" s="124"/>
      <c r="CA1066" s="124"/>
      <c r="CB1066" s="124"/>
      <c r="CC1066" s="124"/>
      <c r="CD1066" s="124"/>
      <c r="CE1066" s="124"/>
      <c r="CF1066" s="124"/>
      <c r="CG1066" s="124"/>
      <c r="CH1066" s="124"/>
      <c r="CI1066" s="124"/>
      <c r="CJ1066" s="124"/>
      <c r="CK1066" s="124"/>
      <c r="CL1066" s="124"/>
      <c r="CM1066" s="124"/>
      <c r="CN1066" s="124"/>
      <c r="CO1066" s="124"/>
      <c r="CP1066" s="124"/>
      <c r="CQ1066" s="124"/>
      <c r="CR1066" s="124"/>
      <c r="CS1066" s="124"/>
      <c r="CT1066" s="124"/>
      <c r="CU1066" s="124"/>
      <c r="CV1066" s="124"/>
      <c r="CW1066" s="124"/>
      <c r="CX1066" s="124"/>
      <c r="CY1066" s="124"/>
      <c r="CZ1066" s="124"/>
      <c r="DA1066" s="124"/>
      <c r="DB1066" s="124"/>
      <c r="DC1066" s="124"/>
      <c r="DD1066" s="124"/>
      <c r="DE1066" s="124"/>
      <c r="DF1066" s="124"/>
      <c r="DG1066" s="115"/>
    </row>
    <row r="1067" spans="1:111" ht="9" customHeight="1">
      <c r="A1067"/>
      <c r="B1067" s="125"/>
      <c r="C1067" s="125"/>
      <c r="D1067" s="125"/>
      <c r="E1067" s="125"/>
      <c r="F1067" s="125"/>
      <c r="G1067" s="125"/>
      <c r="H1067" s="125"/>
      <c r="I1067" s="125"/>
      <c r="J1067" s="125"/>
      <c r="K1067" s="125"/>
      <c r="L1067" s="125"/>
      <c r="M1067" s="125"/>
      <c r="N1067" s="125"/>
      <c r="O1067" s="496"/>
      <c r="P1067" s="496"/>
      <c r="Q1067" s="496"/>
      <c r="R1067" s="496"/>
      <c r="S1067" s="496"/>
      <c r="T1067" s="496"/>
      <c r="U1067" s="496"/>
      <c r="V1067" s="417"/>
      <c r="W1067" s="417"/>
      <c r="X1067" s="417"/>
      <c r="Y1067" s="417"/>
      <c r="Z1067" s="417"/>
      <c r="AA1067" s="417"/>
      <c r="AB1067" s="417"/>
      <c r="AC1067" s="417"/>
      <c r="AD1067" s="417"/>
      <c r="AE1067" s="417"/>
      <c r="AF1067" s="125"/>
      <c r="AG1067" s="497"/>
      <c r="AH1067" s="497"/>
      <c r="AI1067" s="497"/>
      <c r="AJ1067" s="497"/>
      <c r="AK1067" s="497"/>
      <c r="AL1067" s="497"/>
      <c r="AM1067" s="497"/>
      <c r="AN1067" s="125"/>
      <c r="AO1067" s="417"/>
      <c r="AP1067" s="417"/>
      <c r="AQ1067" s="417"/>
      <c r="AR1067" s="417"/>
      <c r="AS1067" s="417"/>
      <c r="AT1067" s="417"/>
      <c r="AU1067" s="417"/>
      <c r="AV1067" s="417"/>
      <c r="AW1067" s="417"/>
      <c r="AX1067" s="417"/>
      <c r="AY1067" s="417"/>
      <c r="AZ1067" s="417"/>
      <c r="BA1067" s="417"/>
      <c r="BB1067"/>
      <c r="BC1067" s="115"/>
      <c r="BD1067" s="115"/>
      <c r="BE1067" s="115"/>
      <c r="BF1067" s="115"/>
      <c r="BG1067" s="115"/>
      <c r="BH1067" s="124"/>
      <c r="BI1067" s="124"/>
      <c r="BJ1067" s="124"/>
      <c r="BK1067" s="124"/>
      <c r="BL1067" s="124"/>
      <c r="BM1067" s="124"/>
      <c r="BN1067" s="124"/>
      <c r="BO1067" s="124"/>
      <c r="BP1067" s="124"/>
      <c r="BQ1067" s="124"/>
      <c r="BR1067" s="124"/>
      <c r="BS1067" s="124"/>
      <c r="BT1067" s="124"/>
      <c r="BU1067" s="124"/>
      <c r="BV1067" s="124"/>
      <c r="BW1067" s="124"/>
      <c r="BX1067" s="124"/>
      <c r="BY1067" s="124"/>
      <c r="BZ1067" s="124"/>
      <c r="CA1067" s="124"/>
      <c r="CB1067" s="124"/>
      <c r="CC1067" s="124"/>
      <c r="CD1067" s="124"/>
      <c r="CE1067" s="124"/>
      <c r="CF1067" s="124"/>
      <c r="CG1067" s="124"/>
      <c r="CH1067" s="124"/>
      <c r="CI1067" s="124"/>
      <c r="CJ1067" s="124"/>
      <c r="CK1067" s="124"/>
      <c r="CL1067" s="124"/>
      <c r="CM1067" s="124"/>
      <c r="CN1067" s="124"/>
      <c r="CO1067" s="124"/>
      <c r="CP1067" s="124"/>
      <c r="CQ1067" s="124"/>
      <c r="CR1067" s="124"/>
      <c r="CS1067" s="124"/>
      <c r="CT1067" s="124"/>
      <c r="CU1067" s="124"/>
      <c r="CV1067" s="124"/>
      <c r="CW1067" s="124"/>
      <c r="CX1067" s="124"/>
      <c r="CY1067" s="124"/>
      <c r="CZ1067" s="124"/>
      <c r="DA1067" s="124"/>
      <c r="DB1067" s="124"/>
      <c r="DC1067" s="124"/>
      <c r="DD1067" s="124"/>
      <c r="DE1067" s="124"/>
      <c r="DF1067" s="124"/>
      <c r="DG1067" s="115"/>
    </row>
    <row r="1068" spans="1:111" ht="9" customHeight="1">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s="115"/>
      <c r="BD1068" s="115"/>
      <c r="BE1068" s="115"/>
      <c r="BF1068" s="115"/>
      <c r="BG1068" s="115"/>
      <c r="BH1068" s="498"/>
      <c r="BI1068" s="498"/>
      <c r="BJ1068" s="498"/>
      <c r="BK1068" s="498"/>
      <c r="BL1068" s="498"/>
      <c r="BM1068" s="498"/>
      <c r="BN1068" s="498"/>
      <c r="BO1068" s="498"/>
      <c r="BP1068" s="498"/>
      <c r="BQ1068" s="498"/>
      <c r="BR1068" s="498"/>
      <c r="BS1068" s="498"/>
      <c r="BT1068" s="498"/>
      <c r="BU1068" s="498"/>
      <c r="BV1068" s="498"/>
      <c r="BW1068" s="498"/>
      <c r="BX1068" s="498"/>
      <c r="BY1068" s="498"/>
      <c r="BZ1068" s="498"/>
      <c r="CA1068" s="498"/>
      <c r="CB1068" s="498"/>
      <c r="CC1068" s="498"/>
      <c r="CD1068" s="498"/>
      <c r="CE1068" s="498"/>
      <c r="CF1068" s="498"/>
      <c r="CG1068" s="498"/>
      <c r="CH1068" s="498"/>
      <c r="CI1068" s="498"/>
      <c r="CJ1068" s="498"/>
      <c r="CK1068" s="498"/>
      <c r="CL1068" s="498"/>
      <c r="CM1068" s="498"/>
      <c r="CN1068" s="498"/>
      <c r="CO1068" s="498"/>
      <c r="CP1068" s="498"/>
      <c r="CQ1068" s="498"/>
      <c r="CR1068" s="498"/>
      <c r="CS1068" s="498"/>
      <c r="CT1068" s="498"/>
      <c r="CU1068" s="498"/>
      <c r="CV1068" s="498"/>
      <c r="CW1068" s="498"/>
      <c r="CX1068" s="498"/>
      <c r="CY1068" s="498"/>
      <c r="CZ1068" s="498"/>
      <c r="DA1068" s="498"/>
      <c r="DB1068" s="498"/>
      <c r="DC1068" s="498"/>
      <c r="DD1068" s="498"/>
      <c r="DE1068" s="498"/>
      <c r="DF1068" s="498"/>
      <c r="DG1068" s="115"/>
    </row>
    <row r="1069" spans="1:111" ht="9" customHeight="1">
      <c r="A1069"/>
      <c r="B1069" s="499" t="str">
        <f>IF($Z$32&gt;=16,"Nome da Empresa ou Nº da Ata","")</f>
        <v/>
      </c>
      <c r="C1069" s="499"/>
      <c r="D1069" s="499"/>
      <c r="E1069" s="499"/>
      <c r="F1069" s="499"/>
      <c r="G1069" s="499"/>
      <c r="H1069" s="499"/>
      <c r="I1069" s="499"/>
      <c r="J1069" s="499"/>
      <c r="K1069" s="499"/>
      <c r="L1069" s="499"/>
      <c r="M1069" s="499"/>
      <c r="N1069" s="499"/>
      <c r="O1069" s="499"/>
      <c r="P1069" s="499"/>
      <c r="Q1069" s="499"/>
      <c r="R1069" s="499"/>
      <c r="S1069" s="499"/>
      <c r="T1069" s="499"/>
      <c r="U1069" s="499"/>
      <c r="V1069" s="499"/>
      <c r="W1069" s="499"/>
      <c r="X1069" s="499" t="str">
        <f>IF($Z$32&gt;=16,"CNPJ / CPF","")</f>
        <v/>
      </c>
      <c r="Y1069" s="499"/>
      <c r="Z1069" s="499"/>
      <c r="AA1069" s="499"/>
      <c r="AB1069" s="499"/>
      <c r="AC1069" s="499"/>
      <c r="AD1069" s="499"/>
      <c r="AE1069" s="499"/>
      <c r="AF1069" s="499"/>
      <c r="AG1069" s="499"/>
      <c r="AH1069" s="499" t="str">
        <f>IF($Z$32&gt;=16,"Qtde","")</f>
        <v/>
      </c>
      <c r="AI1069" s="499"/>
      <c r="AJ1069" s="499"/>
      <c r="AK1069" s="499"/>
      <c r="AL1069" s="499" t="str">
        <f>IF($Z$32&gt;=16,"Valor Unitário (R$)","")</f>
        <v/>
      </c>
      <c r="AM1069" s="499"/>
      <c r="AN1069" s="499"/>
      <c r="AO1069" s="499"/>
      <c r="AP1069" s="499"/>
      <c r="AQ1069" s="499"/>
      <c r="AR1069" s="499"/>
      <c r="AS1069" s="499"/>
      <c r="AT1069" s="499" t="str">
        <f>IF($Z$32&gt;=16,"Valor Total (R$)","")</f>
        <v/>
      </c>
      <c r="AU1069" s="499"/>
      <c r="AV1069" s="499"/>
      <c r="AW1069" s="499"/>
      <c r="AX1069" s="499"/>
      <c r="AY1069" s="499"/>
      <c r="AZ1069" s="499"/>
      <c r="BA1069" s="499"/>
      <c r="BB1069"/>
      <c r="BC1069" s="115"/>
      <c r="BD1069" s="115"/>
      <c r="BE1069" s="115"/>
      <c r="BF1069" s="115"/>
      <c r="BG1069" s="115"/>
      <c r="BH1069" s="498"/>
      <c r="BI1069" s="498"/>
      <c r="BJ1069" s="498"/>
      <c r="BK1069" s="498"/>
      <c r="BL1069" s="498"/>
      <c r="BM1069" s="498"/>
      <c r="BN1069" s="498"/>
      <c r="BO1069" s="498"/>
      <c r="BP1069" s="498"/>
      <c r="BQ1069" s="498"/>
      <c r="BR1069" s="498"/>
      <c r="BS1069" s="498"/>
      <c r="BT1069" s="498"/>
      <c r="BU1069" s="498"/>
      <c r="BV1069" s="498"/>
      <c r="BW1069" s="498"/>
      <c r="BX1069" s="498"/>
      <c r="BY1069" s="498"/>
      <c r="BZ1069" s="498"/>
      <c r="CA1069" s="498"/>
      <c r="CB1069" s="498"/>
      <c r="CC1069" s="498"/>
      <c r="CD1069" s="498"/>
      <c r="CE1069" s="498"/>
      <c r="CF1069" s="498"/>
      <c r="CG1069" s="498"/>
      <c r="CH1069" s="498"/>
      <c r="CI1069" s="498"/>
      <c r="CJ1069" s="498"/>
      <c r="CK1069" s="498"/>
      <c r="CL1069" s="498"/>
      <c r="CM1069" s="498"/>
      <c r="CN1069" s="498"/>
      <c r="CO1069" s="498"/>
      <c r="CP1069" s="498"/>
      <c r="CQ1069" s="498"/>
      <c r="CR1069" s="498"/>
      <c r="CS1069" s="498"/>
      <c r="CT1069" s="498"/>
      <c r="CU1069" s="498"/>
      <c r="CV1069" s="498"/>
      <c r="CW1069" s="498"/>
      <c r="CX1069" s="498"/>
      <c r="CY1069" s="498"/>
      <c r="CZ1069" s="498"/>
      <c r="DA1069" s="498"/>
      <c r="DB1069" s="498"/>
      <c r="DC1069" s="498"/>
      <c r="DD1069" s="498"/>
      <c r="DE1069" s="498"/>
      <c r="DF1069" s="498"/>
      <c r="DG1069" s="115"/>
    </row>
    <row r="1070" spans="1:111" ht="9" customHeight="1">
      <c r="A1070"/>
      <c r="B1070" s="499"/>
      <c r="C1070" s="499"/>
      <c r="D1070" s="499"/>
      <c r="E1070" s="499"/>
      <c r="F1070" s="499"/>
      <c r="G1070" s="499"/>
      <c r="H1070" s="499"/>
      <c r="I1070" s="499"/>
      <c r="J1070" s="499"/>
      <c r="K1070" s="499"/>
      <c r="L1070" s="499"/>
      <c r="M1070" s="499"/>
      <c r="N1070" s="499"/>
      <c r="O1070" s="499"/>
      <c r="P1070" s="499"/>
      <c r="Q1070" s="499"/>
      <c r="R1070" s="499"/>
      <c r="S1070" s="499"/>
      <c r="T1070" s="499"/>
      <c r="U1070" s="499"/>
      <c r="V1070" s="499"/>
      <c r="W1070" s="499"/>
      <c r="X1070" s="499"/>
      <c r="Y1070" s="499"/>
      <c r="Z1070" s="499"/>
      <c r="AA1070" s="499"/>
      <c r="AB1070" s="499"/>
      <c r="AC1070" s="499"/>
      <c r="AD1070" s="499"/>
      <c r="AE1070" s="499"/>
      <c r="AF1070" s="499"/>
      <c r="AG1070" s="499"/>
      <c r="AH1070" s="499"/>
      <c r="AI1070" s="499"/>
      <c r="AJ1070" s="499"/>
      <c r="AK1070" s="499"/>
      <c r="AL1070" s="499"/>
      <c r="AM1070" s="499"/>
      <c r="AN1070" s="499"/>
      <c r="AO1070" s="499"/>
      <c r="AP1070" s="499"/>
      <c r="AQ1070" s="499"/>
      <c r="AR1070" s="499"/>
      <c r="AS1070" s="499"/>
      <c r="AT1070" s="499"/>
      <c r="AU1070" s="499"/>
      <c r="AV1070" s="499"/>
      <c r="AW1070" s="499"/>
      <c r="AX1070" s="499"/>
      <c r="AY1070" s="499"/>
      <c r="AZ1070" s="499"/>
      <c r="BA1070" s="499"/>
      <c r="BB1070" s="176" t="e">
        <f>AVERAGE(AL1071:AS1073)</f>
        <v>#DIV/0!</v>
      </c>
      <c r="BC1070" s="115"/>
      <c r="BD1070" s="115"/>
      <c r="BE1070" s="115"/>
      <c r="BF1070" s="115"/>
      <c r="BG1070" s="115"/>
      <c r="BH1070" s="498"/>
      <c r="BI1070" s="498"/>
      <c r="BJ1070" s="498"/>
      <c r="BK1070" s="498"/>
      <c r="BL1070" s="498"/>
      <c r="BM1070" s="498"/>
      <c r="BN1070" s="498"/>
      <c r="BO1070" s="498"/>
      <c r="BP1070" s="498"/>
      <c r="BQ1070" s="498"/>
      <c r="BR1070" s="498"/>
      <c r="BS1070" s="498"/>
      <c r="BT1070" s="498"/>
      <c r="BU1070" s="498"/>
      <c r="BV1070" s="498"/>
      <c r="BW1070" s="498"/>
      <c r="BX1070" s="498"/>
      <c r="BY1070" s="498"/>
      <c r="BZ1070" s="498"/>
      <c r="CA1070" s="498"/>
      <c r="CB1070" s="498"/>
      <c r="CC1070" s="498"/>
      <c r="CD1070" s="498"/>
      <c r="CE1070" s="498"/>
      <c r="CF1070" s="498"/>
      <c r="CG1070" s="498"/>
      <c r="CH1070" s="498"/>
      <c r="CI1070" s="498"/>
      <c r="CJ1070" s="498"/>
      <c r="CK1070" s="498"/>
      <c r="CL1070" s="498"/>
      <c r="CM1070" s="498"/>
      <c r="CN1070" s="498"/>
      <c r="CO1070" s="498"/>
      <c r="CP1070" s="498"/>
      <c r="CQ1070" s="498"/>
      <c r="CR1070" s="498"/>
      <c r="CS1070" s="498"/>
      <c r="CT1070" s="498"/>
      <c r="CU1070" s="498"/>
      <c r="CV1070" s="498"/>
      <c r="CW1070" s="498"/>
      <c r="CX1070" s="498"/>
      <c r="CY1070" s="498"/>
      <c r="CZ1070" s="498"/>
      <c r="DA1070" s="498"/>
      <c r="DB1070" s="498"/>
      <c r="DC1070" s="498"/>
      <c r="DD1070" s="498"/>
      <c r="DE1070" s="498"/>
      <c r="DF1070" s="498"/>
      <c r="DG1070" s="115"/>
    </row>
    <row r="1071" spans="1:111" ht="18" customHeight="1">
      <c r="A1071"/>
      <c r="B1071" s="233"/>
      <c r="C1071" s="233"/>
      <c r="D1071" s="233"/>
      <c r="E1071" s="233"/>
      <c r="F1071" s="233"/>
      <c r="G1071" s="233"/>
      <c r="H1071" s="233"/>
      <c r="I1071" s="233"/>
      <c r="J1071" s="233"/>
      <c r="K1071" s="233"/>
      <c r="L1071" s="233"/>
      <c r="M1071" s="233"/>
      <c r="N1071" s="233"/>
      <c r="O1071" s="233"/>
      <c r="P1071" s="233"/>
      <c r="Q1071" s="233"/>
      <c r="R1071" s="233"/>
      <c r="S1071" s="233"/>
      <c r="T1071" s="233"/>
      <c r="U1071" s="233"/>
      <c r="V1071" s="233"/>
      <c r="W1071" s="233"/>
      <c r="X1071" s="486"/>
      <c r="Y1071" s="486"/>
      <c r="Z1071" s="486"/>
      <c r="AA1071" s="486"/>
      <c r="AB1071" s="486"/>
      <c r="AC1071" s="486"/>
      <c r="AD1071" s="486"/>
      <c r="AE1071" s="486"/>
      <c r="AF1071" s="486"/>
      <c r="AG1071" s="486"/>
      <c r="AH1071" s="417"/>
      <c r="AI1071" s="417"/>
      <c r="AJ1071" s="417"/>
      <c r="AK1071" s="417"/>
      <c r="AL1071" s="419"/>
      <c r="AM1071" s="419"/>
      <c r="AN1071" s="419"/>
      <c r="AO1071" s="419"/>
      <c r="AP1071" s="419"/>
      <c r="AQ1071" s="419"/>
      <c r="AR1071" s="419"/>
      <c r="AS1071" s="419"/>
      <c r="AT1071" s="487" t="str">
        <f>IF($Z$32&gt;=16,(AH1071*AL1071),"")</f>
        <v/>
      </c>
      <c r="AU1071" s="487"/>
      <c r="AV1071" s="487"/>
      <c r="AW1071" s="487"/>
      <c r="AX1071" s="487"/>
      <c r="AY1071" s="487"/>
      <c r="AZ1071" s="487"/>
      <c r="BA1071" s="487"/>
      <c r="BB1071"/>
      <c r="BC1071" s="115"/>
      <c r="BD1071" s="115"/>
      <c r="BE1071" s="115"/>
      <c r="BF1071" s="115"/>
      <c r="BG1071" s="115"/>
      <c r="BH1071" s="498"/>
      <c r="BI1071" s="498"/>
      <c r="BJ1071" s="498"/>
      <c r="BK1071" s="498"/>
      <c r="BL1071" s="498"/>
      <c r="BM1071" s="498"/>
      <c r="BN1071" s="498"/>
      <c r="BO1071" s="498"/>
      <c r="BP1071" s="498"/>
      <c r="BQ1071" s="498"/>
      <c r="BR1071" s="498"/>
      <c r="BS1071" s="498"/>
      <c r="BT1071" s="498"/>
      <c r="BU1071" s="498"/>
      <c r="BV1071" s="498"/>
      <c r="BW1071" s="498"/>
      <c r="BX1071" s="498"/>
      <c r="BY1071" s="498"/>
      <c r="BZ1071" s="498"/>
      <c r="CA1071" s="498"/>
      <c r="CB1071" s="498"/>
      <c r="CC1071" s="498"/>
      <c r="CD1071" s="498"/>
      <c r="CE1071" s="498"/>
      <c r="CF1071" s="498"/>
      <c r="CG1071" s="498"/>
      <c r="CH1071" s="498"/>
      <c r="CI1071" s="498"/>
      <c r="CJ1071" s="498"/>
      <c r="CK1071" s="498"/>
      <c r="CL1071" s="498"/>
      <c r="CM1071" s="498"/>
      <c r="CN1071" s="498"/>
      <c r="CO1071" s="498"/>
      <c r="CP1071" s="498"/>
      <c r="CQ1071" s="498"/>
      <c r="CR1071" s="498"/>
      <c r="CS1071" s="498"/>
      <c r="CT1071" s="498"/>
      <c r="CU1071" s="498"/>
      <c r="CV1071" s="498"/>
      <c r="CW1071" s="498"/>
      <c r="CX1071" s="498"/>
      <c r="CY1071" s="498"/>
      <c r="CZ1071" s="498"/>
      <c r="DA1071" s="498"/>
      <c r="DB1071" s="498"/>
      <c r="DC1071" s="498"/>
      <c r="DD1071" s="498"/>
      <c r="DE1071" s="498"/>
      <c r="DF1071" s="498"/>
      <c r="DG1071" s="115"/>
    </row>
    <row r="1072" spans="1:111" ht="18" customHeight="1">
      <c r="A1072"/>
      <c r="B1072" s="233"/>
      <c r="C1072" s="233"/>
      <c r="D1072" s="233"/>
      <c r="E1072" s="233"/>
      <c r="F1072" s="233"/>
      <c r="G1072" s="233"/>
      <c r="H1072" s="233"/>
      <c r="I1072" s="233"/>
      <c r="J1072" s="233"/>
      <c r="K1072" s="233"/>
      <c r="L1072" s="233"/>
      <c r="M1072" s="233"/>
      <c r="N1072" s="233"/>
      <c r="O1072" s="233"/>
      <c r="P1072" s="233"/>
      <c r="Q1072" s="233"/>
      <c r="R1072" s="233"/>
      <c r="S1072" s="233"/>
      <c r="T1072" s="233"/>
      <c r="U1072" s="233"/>
      <c r="V1072" s="233"/>
      <c r="W1072" s="233"/>
      <c r="X1072" s="486"/>
      <c r="Y1072" s="486"/>
      <c r="Z1072" s="486"/>
      <c r="AA1072" s="486"/>
      <c r="AB1072" s="486"/>
      <c r="AC1072" s="486"/>
      <c r="AD1072" s="486"/>
      <c r="AE1072" s="486"/>
      <c r="AF1072" s="486"/>
      <c r="AG1072" s="486"/>
      <c r="AH1072" s="417"/>
      <c r="AI1072" s="417"/>
      <c r="AJ1072" s="417"/>
      <c r="AK1072" s="417"/>
      <c r="AL1072" s="419"/>
      <c r="AM1072" s="419"/>
      <c r="AN1072" s="419"/>
      <c r="AO1072" s="419"/>
      <c r="AP1072" s="419"/>
      <c r="AQ1072" s="419"/>
      <c r="AR1072" s="419"/>
      <c r="AS1072" s="419"/>
      <c r="AT1072" s="487" t="str">
        <f>IF($Z$32&gt;=16,(AH1072*AL1072),"")</f>
        <v/>
      </c>
      <c r="AU1072" s="487"/>
      <c r="AV1072" s="487"/>
      <c r="AW1072" s="487"/>
      <c r="AX1072" s="487"/>
      <c r="AY1072" s="487"/>
      <c r="AZ1072" s="487"/>
      <c r="BA1072" s="487"/>
      <c r="BB1072"/>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c r="BY1072" s="115"/>
      <c r="BZ1072" s="115"/>
      <c r="CA1072" s="115"/>
      <c r="CB1072" s="115"/>
      <c r="CC1072" s="115"/>
      <c r="CD1072" s="115"/>
      <c r="CE1072" s="115"/>
      <c r="CF1072" s="115"/>
      <c r="CG1072" s="115"/>
      <c r="CH1072" s="115"/>
      <c r="CI1072" s="115"/>
      <c r="CJ1072" s="115"/>
      <c r="CK1072" s="115"/>
      <c r="CL1072" s="115"/>
      <c r="CM1072" s="115"/>
      <c r="CN1072" s="115"/>
      <c r="CO1072" s="115"/>
      <c r="CP1072" s="115"/>
      <c r="CQ1072" s="115"/>
      <c r="CR1072" s="115"/>
      <c r="CS1072" s="115"/>
      <c r="CT1072" s="115"/>
      <c r="CU1072" s="115"/>
      <c r="CV1072" s="115"/>
      <c r="CW1072" s="115"/>
      <c r="CX1072" s="115"/>
      <c r="CY1072" s="115"/>
      <c r="CZ1072" s="115"/>
      <c r="DA1072" s="115"/>
      <c r="DB1072" s="115"/>
      <c r="DC1072" s="115"/>
      <c r="DD1072" s="115"/>
      <c r="DE1072" s="115"/>
      <c r="DF1072" s="115"/>
      <c r="DG1072" s="115"/>
    </row>
    <row r="1073" spans="1:111" ht="18" customHeight="1">
      <c r="A1073"/>
      <c r="B1073" s="233"/>
      <c r="C1073" s="233"/>
      <c r="D1073" s="233"/>
      <c r="E1073" s="233"/>
      <c r="F1073" s="233"/>
      <c r="G1073" s="233"/>
      <c r="H1073" s="233"/>
      <c r="I1073" s="233"/>
      <c r="J1073" s="233"/>
      <c r="K1073" s="233"/>
      <c r="L1073" s="233"/>
      <c r="M1073" s="233"/>
      <c r="N1073" s="233"/>
      <c r="O1073" s="233"/>
      <c r="P1073" s="233"/>
      <c r="Q1073" s="233"/>
      <c r="R1073" s="233"/>
      <c r="S1073" s="233"/>
      <c r="T1073" s="233"/>
      <c r="U1073" s="233"/>
      <c r="V1073" s="233"/>
      <c r="W1073" s="233"/>
      <c r="X1073" s="486"/>
      <c r="Y1073" s="486"/>
      <c r="Z1073" s="486"/>
      <c r="AA1073" s="486"/>
      <c r="AB1073" s="486"/>
      <c r="AC1073" s="486"/>
      <c r="AD1073" s="486"/>
      <c r="AE1073" s="486"/>
      <c r="AF1073" s="486"/>
      <c r="AG1073" s="486"/>
      <c r="AH1073" s="417"/>
      <c r="AI1073" s="417"/>
      <c r="AJ1073" s="417"/>
      <c r="AK1073" s="417"/>
      <c r="AL1073" s="419"/>
      <c r="AM1073" s="419"/>
      <c r="AN1073" s="419"/>
      <c r="AO1073" s="419"/>
      <c r="AP1073" s="419"/>
      <c r="AQ1073" s="419"/>
      <c r="AR1073" s="419"/>
      <c r="AS1073" s="419"/>
      <c r="AT1073" s="487" t="str">
        <f>IF($Z$32&gt;=16,(AH1073*AL1073),"")</f>
        <v/>
      </c>
      <c r="AU1073" s="487"/>
      <c r="AV1073" s="487"/>
      <c r="AW1073" s="487"/>
      <c r="AX1073" s="487"/>
      <c r="AY1073" s="487"/>
      <c r="AZ1073" s="487"/>
      <c r="BA1073" s="487"/>
      <c r="BB1073"/>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c r="BY1073" s="115"/>
      <c r="BZ1073" s="115"/>
      <c r="CA1073" s="115"/>
      <c r="CB1073" s="115"/>
      <c r="CC1073" s="115"/>
      <c r="CD1073" s="115"/>
      <c r="CE1073" s="115"/>
      <c r="CF1073" s="115"/>
      <c r="CG1073" s="115"/>
      <c r="CH1073" s="115"/>
      <c r="CI1073" s="115"/>
      <c r="CJ1073" s="115"/>
      <c r="CK1073" s="115"/>
      <c r="CL1073" s="115"/>
      <c r="CM1073" s="115"/>
      <c r="CN1073" s="115"/>
      <c r="CO1073" s="115"/>
      <c r="CP1073" s="115"/>
      <c r="CQ1073" s="115"/>
      <c r="CR1073" s="115"/>
      <c r="CS1073" s="115"/>
      <c r="CT1073" s="115"/>
      <c r="CU1073" s="115"/>
      <c r="CV1073" s="115"/>
      <c r="CW1073" s="115"/>
      <c r="CX1073" s="115"/>
      <c r="CY1073" s="115"/>
      <c r="CZ1073" s="115"/>
      <c r="DA1073" s="115"/>
      <c r="DB1073" s="115"/>
      <c r="DC1073" s="115"/>
      <c r="DD1073" s="115"/>
      <c r="DE1073" s="115"/>
      <c r="DF1073" s="115"/>
      <c r="DG1073" s="115"/>
    </row>
    <row r="1074" spans="1:111" ht="15" customHeight="1">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500" t="str">
        <f>IF(B1071="","",IF(AL1072="",AT1071,IF(AL1073="",AVERAGE(AT1071:BA1072),AVERAGE(AT1071:AT1073))))</f>
        <v/>
      </c>
      <c r="AU1074" s="500"/>
      <c r="AV1074" s="500"/>
      <c r="AW1074" s="500"/>
      <c r="AX1074" s="500"/>
      <c r="AY1074" s="500"/>
      <c r="AZ1074" s="500"/>
      <c r="BA1074" s="500"/>
      <c r="BB1074"/>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c r="BY1074" s="115"/>
      <c r="BZ1074" s="115"/>
      <c r="CA1074" s="115"/>
      <c r="CB1074" s="115"/>
      <c r="CC1074" s="115"/>
      <c r="CD1074" s="115"/>
      <c r="CE1074" s="115"/>
      <c r="CF1074" s="115"/>
      <c r="CG1074" s="115"/>
      <c r="CH1074" s="115"/>
      <c r="CI1074" s="115"/>
      <c r="CJ1074" s="115"/>
      <c r="CK1074" s="115"/>
      <c r="CL1074" s="115"/>
      <c r="CM1074" s="115"/>
      <c r="CN1074" s="115"/>
      <c r="CO1074" s="115"/>
      <c r="CP1074" s="115"/>
      <c r="CQ1074" s="115"/>
      <c r="CR1074" s="115"/>
      <c r="CS1074" s="115"/>
      <c r="CT1074" s="115"/>
      <c r="CU1074" s="115"/>
      <c r="CV1074" s="115"/>
      <c r="CW1074" s="115"/>
      <c r="CX1074" s="115"/>
      <c r="CY1074" s="115"/>
      <c r="CZ1074" s="115"/>
      <c r="DA1074" s="115"/>
      <c r="DB1074" s="115"/>
      <c r="DC1074" s="115"/>
      <c r="DD1074" s="115"/>
      <c r="DE1074" s="115"/>
      <c r="DF1074" s="115"/>
      <c r="DG1074" s="115"/>
    </row>
    <row r="1075" spans="1:111" ht="15" customHeight="1">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c r="BY1075" s="115"/>
      <c r="BZ1075" s="115"/>
      <c r="CA1075" s="115"/>
      <c r="CB1075" s="115"/>
      <c r="CC1075" s="115"/>
      <c r="CD1075" s="115"/>
      <c r="CE1075" s="115"/>
      <c r="CF1075" s="115"/>
      <c r="CG1075" s="115"/>
      <c r="CH1075" s="115"/>
      <c r="CI1075" s="115"/>
      <c r="CJ1075" s="115"/>
      <c r="CK1075" s="115"/>
      <c r="CL1075" s="115"/>
      <c r="CM1075" s="115"/>
      <c r="CN1075" s="115"/>
      <c r="CO1075" s="115"/>
      <c r="CP1075" s="115"/>
      <c r="CQ1075" s="115"/>
      <c r="CR1075" s="115"/>
      <c r="CS1075" s="115"/>
      <c r="CT1075" s="115"/>
      <c r="CU1075" s="115"/>
      <c r="CV1075" s="115"/>
      <c r="CW1075" s="115"/>
      <c r="CX1075" s="115"/>
      <c r="CY1075" s="115"/>
      <c r="CZ1075" s="115"/>
      <c r="DA1075" s="115"/>
      <c r="DB1075" s="115"/>
      <c r="DC1075" s="115"/>
      <c r="DD1075" s="115"/>
      <c r="DE1075" s="115"/>
      <c r="DF1075" s="115"/>
      <c r="DG1075" s="115"/>
    </row>
    <row r="1076" spans="1:111" ht="9" customHeight="1">
      <c r="A1076"/>
      <c r="B1076" s="494" t="str">
        <f>IF($Z$32&gt;=27,"Item 27","")</f>
        <v/>
      </c>
      <c r="C1076" s="495"/>
      <c r="D1076" s="495"/>
      <c r="E1076" s="495"/>
      <c r="F1076" s="495"/>
      <c r="G1076" s="495"/>
      <c r="H1076" s="495"/>
      <c r="I1076" s="495"/>
      <c r="J1076" s="495"/>
      <c r="K1076" s="495"/>
      <c r="L1076" s="495"/>
      <c r="M1076" s="495"/>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c r="BY1076" s="115"/>
      <c r="BZ1076" s="115"/>
      <c r="CA1076" s="115"/>
      <c r="CB1076" s="115"/>
      <c r="CC1076" s="115"/>
      <c r="CD1076" s="115"/>
      <c r="CE1076" s="115"/>
      <c r="CF1076" s="115"/>
      <c r="CG1076" s="115"/>
      <c r="CH1076" s="115"/>
      <c r="CI1076" s="115"/>
      <c r="CJ1076" s="115"/>
      <c r="CK1076" s="115"/>
      <c r="CL1076" s="115"/>
      <c r="CM1076" s="115"/>
      <c r="CN1076" s="115"/>
      <c r="CO1076" s="115"/>
      <c r="CP1076" s="115"/>
      <c r="CQ1076" s="115"/>
      <c r="CR1076" s="115"/>
      <c r="CS1076" s="115"/>
      <c r="CT1076" s="115"/>
      <c r="CU1076" s="115"/>
      <c r="CV1076" s="115"/>
      <c r="CW1076" s="115"/>
      <c r="CX1076" s="115"/>
      <c r="CY1076" s="115"/>
      <c r="CZ1076" s="115"/>
      <c r="DA1076" s="115"/>
      <c r="DB1076" s="115"/>
      <c r="DC1076" s="115"/>
      <c r="DD1076" s="115"/>
      <c r="DE1076" s="115"/>
      <c r="DF1076" s="115"/>
      <c r="DG1076" s="115"/>
    </row>
    <row r="1077" spans="1:111" ht="9" customHeight="1">
      <c r="A1077"/>
      <c r="B1077" s="495"/>
      <c r="C1077" s="495"/>
      <c r="D1077" s="495"/>
      <c r="E1077" s="495"/>
      <c r="F1077" s="495"/>
      <c r="G1077" s="495"/>
      <c r="H1077" s="495"/>
      <c r="I1077" s="495"/>
      <c r="J1077" s="495"/>
      <c r="K1077" s="495"/>
      <c r="L1077" s="495"/>
      <c r="M1077" s="495"/>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c r="BY1077" s="115"/>
      <c r="BZ1077" s="115"/>
      <c r="CA1077" s="115"/>
      <c r="CB1077" s="115"/>
      <c r="CC1077" s="115"/>
      <c r="CD1077" s="115"/>
      <c r="CE1077" s="115"/>
      <c r="CF1077" s="115"/>
      <c r="CG1077" s="115"/>
      <c r="CH1077" s="115"/>
      <c r="CI1077" s="115"/>
      <c r="CJ1077" s="115"/>
      <c r="CK1077" s="115"/>
      <c r="CL1077" s="115"/>
      <c r="CM1077" s="115"/>
      <c r="CN1077" s="115"/>
      <c r="CO1077" s="115"/>
      <c r="CP1077" s="115"/>
      <c r="CQ1077" s="115"/>
      <c r="CR1077" s="115"/>
      <c r="CS1077" s="115"/>
      <c r="CT1077" s="115"/>
      <c r="CU1077" s="115"/>
      <c r="CV1077" s="115"/>
      <c r="CW1077" s="115"/>
      <c r="CX1077" s="115"/>
      <c r="CY1077" s="115"/>
      <c r="CZ1077" s="115"/>
      <c r="DA1077" s="115"/>
      <c r="DB1077" s="115"/>
      <c r="DC1077" s="115"/>
      <c r="DD1077" s="115"/>
      <c r="DE1077" s="115"/>
      <c r="DF1077" s="115"/>
      <c r="DG1077" s="115"/>
    </row>
    <row r="1078" spans="1:111" ht="4.5" customHeight="1">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c r="BY1078" s="115"/>
      <c r="BZ1078" s="115"/>
      <c r="CA1078" s="115"/>
      <c r="CB1078" s="115"/>
      <c r="CC1078" s="115"/>
      <c r="CD1078" s="115"/>
      <c r="CE1078" s="115"/>
      <c r="CF1078" s="115"/>
      <c r="CG1078" s="115"/>
      <c r="CH1078" s="115"/>
      <c r="CI1078" s="115"/>
      <c r="CJ1078" s="115"/>
      <c r="CK1078" s="115"/>
      <c r="CL1078" s="115"/>
      <c r="CM1078" s="115"/>
      <c r="CN1078" s="115"/>
      <c r="CO1078" s="115"/>
      <c r="CP1078" s="115"/>
      <c r="CQ1078" s="115"/>
      <c r="CR1078" s="115"/>
      <c r="CS1078" s="115"/>
      <c r="CT1078" s="115"/>
      <c r="CU1078" s="115"/>
      <c r="CV1078" s="115"/>
      <c r="CW1078" s="115"/>
      <c r="CX1078" s="115"/>
      <c r="CY1078" s="115"/>
      <c r="CZ1078" s="115"/>
      <c r="DA1078" s="115"/>
      <c r="DB1078" s="115"/>
      <c r="DC1078" s="115"/>
      <c r="DD1078" s="115"/>
      <c r="DE1078" s="115"/>
      <c r="DF1078" s="115"/>
      <c r="DG1078" s="115"/>
    </row>
    <row r="1079" spans="1:111" ht="9" customHeight="1">
      <c r="A1079"/>
      <c r="B1079" s="493" t="str">
        <f>IF(B1076="","","Elemento de Despesa:")</f>
        <v/>
      </c>
      <c r="C1079" s="493"/>
      <c r="D1079" s="493"/>
      <c r="E1079" s="493"/>
      <c r="F1079" s="493"/>
      <c r="G1079" s="493"/>
      <c r="H1079" s="493"/>
      <c r="I1079" s="493"/>
      <c r="J1079" s="493"/>
      <c r="K1079" s="493"/>
      <c r="L1079" s="493"/>
      <c r="M1079" s="493"/>
      <c r="N1079" s="493"/>
      <c r="O1079" s="241"/>
      <c r="P1079" s="241"/>
      <c r="Q1079" s="241"/>
      <c r="R1079" s="241"/>
      <c r="S1079" s="241"/>
      <c r="T1079" s="241"/>
      <c r="U1079" s="241"/>
      <c r="V1079" s="241"/>
      <c r="W1079" s="241"/>
      <c r="X1079" s="241"/>
      <c r="Y1079" s="241"/>
      <c r="Z1079" s="241"/>
      <c r="AA1079" s="241"/>
      <c r="AB1079" s="241"/>
      <c r="AC1079" s="241"/>
      <c r="AD1079" s="241"/>
      <c r="AE1079" s="241"/>
      <c r="AF1079" s="241"/>
      <c r="AG1079" s="241"/>
      <c r="AH1079" s="241"/>
      <c r="AI1079" s="241"/>
      <c r="AJ1079" s="241"/>
      <c r="AK1079" s="241"/>
      <c r="AL1079" s="241"/>
      <c r="AM1079" s="241"/>
      <c r="AN1079" s="241"/>
      <c r="AO1079" s="241"/>
      <c r="AP1079" s="241"/>
      <c r="AQ1079" s="241"/>
      <c r="AR1079" s="241"/>
      <c r="AS1079" s="241"/>
      <c r="AT1079" s="241"/>
      <c r="AU1079" s="241"/>
      <c r="AV1079" s="241"/>
      <c r="AW1079" s="241"/>
      <c r="AX1079" s="241"/>
      <c r="AY1079" s="241"/>
      <c r="AZ1079" s="241"/>
      <c r="BA1079" s="241"/>
      <c r="BB1079"/>
      <c r="BC1079" s="115"/>
      <c r="BD1079" s="115"/>
      <c r="BE1079" s="115"/>
      <c r="BF1079" s="115"/>
      <c r="BG1079" s="115"/>
      <c r="BH1079" s="124"/>
      <c r="BI1079" s="124"/>
      <c r="BJ1079" s="124"/>
      <c r="BK1079" s="124"/>
      <c r="BL1079" s="124"/>
      <c r="BM1079" s="124"/>
      <c r="BN1079" s="124"/>
      <c r="BO1079" s="124"/>
      <c r="BP1079" s="124"/>
      <c r="BQ1079" s="124"/>
      <c r="BR1079" s="124"/>
      <c r="BS1079" s="124"/>
      <c r="BT1079" s="124"/>
      <c r="BU1079" s="124"/>
      <c r="BV1079" s="124"/>
      <c r="BW1079" s="124"/>
      <c r="BX1079" s="124"/>
      <c r="BY1079" s="124"/>
      <c r="BZ1079" s="124"/>
      <c r="CA1079" s="124"/>
      <c r="CB1079" s="124"/>
      <c r="CC1079" s="124"/>
      <c r="CD1079" s="124"/>
      <c r="CE1079" s="124"/>
      <c r="CF1079" s="124"/>
      <c r="CG1079" s="124"/>
      <c r="CH1079" s="124"/>
      <c r="CI1079" s="124"/>
      <c r="CJ1079" s="124"/>
      <c r="CK1079" s="124"/>
      <c r="CL1079" s="124"/>
      <c r="CM1079" s="124"/>
      <c r="CN1079" s="124"/>
      <c r="CO1079" s="124"/>
      <c r="CP1079" s="124"/>
      <c r="CQ1079" s="124"/>
      <c r="CR1079" s="124"/>
      <c r="CS1079" s="124"/>
      <c r="CT1079" s="124"/>
      <c r="CU1079" s="124"/>
      <c r="CV1079" s="124"/>
      <c r="CW1079" s="124"/>
      <c r="CX1079" s="124"/>
      <c r="CY1079" s="124"/>
      <c r="CZ1079" s="124"/>
      <c r="DA1079" s="124"/>
      <c r="DB1079" s="124"/>
      <c r="DC1079" s="124"/>
      <c r="DD1079" s="124"/>
      <c r="DE1079" s="124"/>
      <c r="DF1079" s="124"/>
      <c r="DG1079" s="115"/>
    </row>
    <row r="1080" spans="1:111" ht="9" customHeight="1">
      <c r="A1080"/>
      <c r="B1080" s="493"/>
      <c r="C1080" s="493"/>
      <c r="D1080" s="493"/>
      <c r="E1080" s="493"/>
      <c r="F1080" s="493"/>
      <c r="G1080" s="493"/>
      <c r="H1080" s="493"/>
      <c r="I1080" s="493"/>
      <c r="J1080" s="493"/>
      <c r="K1080" s="493"/>
      <c r="L1080" s="493"/>
      <c r="M1080" s="493"/>
      <c r="N1080" s="493"/>
      <c r="O1080" s="241"/>
      <c r="P1080" s="241"/>
      <c r="Q1080" s="241"/>
      <c r="R1080" s="241"/>
      <c r="S1080" s="241"/>
      <c r="T1080" s="241"/>
      <c r="U1080" s="241"/>
      <c r="V1080" s="241"/>
      <c r="W1080" s="241"/>
      <c r="X1080" s="241"/>
      <c r="Y1080" s="241"/>
      <c r="Z1080" s="241"/>
      <c r="AA1080" s="241"/>
      <c r="AB1080" s="241"/>
      <c r="AC1080" s="241"/>
      <c r="AD1080" s="241"/>
      <c r="AE1080" s="241"/>
      <c r="AF1080" s="241"/>
      <c r="AG1080" s="241"/>
      <c r="AH1080" s="241"/>
      <c r="AI1080" s="241"/>
      <c r="AJ1080" s="241"/>
      <c r="AK1080" s="241"/>
      <c r="AL1080" s="241"/>
      <c r="AM1080" s="241"/>
      <c r="AN1080" s="241"/>
      <c r="AO1080" s="241"/>
      <c r="AP1080" s="241"/>
      <c r="AQ1080" s="241"/>
      <c r="AR1080" s="241"/>
      <c r="AS1080" s="241"/>
      <c r="AT1080" s="241"/>
      <c r="AU1080" s="241"/>
      <c r="AV1080" s="241"/>
      <c r="AW1080" s="241"/>
      <c r="AX1080" s="241"/>
      <c r="AY1080" s="241"/>
      <c r="AZ1080" s="241"/>
      <c r="BA1080" s="241"/>
      <c r="BB1080"/>
      <c r="BC1080" s="115"/>
      <c r="BD1080" s="115"/>
      <c r="BE1080" s="115"/>
      <c r="BF1080" s="115"/>
      <c r="BG1080" s="115"/>
      <c r="BH1080" s="124"/>
      <c r="BI1080" s="124"/>
      <c r="BJ1080" s="124"/>
      <c r="BK1080" s="124"/>
      <c r="BL1080" s="124"/>
      <c r="BM1080" s="124"/>
      <c r="BN1080" s="124"/>
      <c r="BO1080" s="124"/>
      <c r="BP1080" s="124"/>
      <c r="BQ1080" s="124"/>
      <c r="BR1080" s="124"/>
      <c r="BS1080" s="124"/>
      <c r="BT1080" s="124"/>
      <c r="BU1080" s="124"/>
      <c r="BV1080" s="124"/>
      <c r="BW1080" s="124"/>
      <c r="BX1080" s="124"/>
      <c r="BY1080" s="124"/>
      <c r="BZ1080" s="124"/>
      <c r="CA1080" s="124"/>
      <c r="CB1080" s="124"/>
      <c r="CC1080" s="124"/>
      <c r="CD1080" s="124"/>
      <c r="CE1080" s="124"/>
      <c r="CF1080" s="124"/>
      <c r="CG1080" s="124"/>
      <c r="CH1080" s="124"/>
      <c r="CI1080" s="124"/>
      <c r="CJ1080" s="124"/>
      <c r="CK1080" s="124"/>
      <c r="CL1080" s="124"/>
      <c r="CM1080" s="124"/>
      <c r="CN1080" s="124"/>
      <c r="CO1080" s="124"/>
      <c r="CP1080" s="124"/>
      <c r="CQ1080" s="124"/>
      <c r="CR1080" s="124"/>
      <c r="CS1080" s="124"/>
      <c r="CT1080" s="124"/>
      <c r="CU1080" s="124"/>
      <c r="CV1080" s="124"/>
      <c r="CW1080" s="124"/>
      <c r="CX1080" s="124"/>
      <c r="CY1080" s="124"/>
      <c r="CZ1080" s="124"/>
      <c r="DA1080" s="124"/>
      <c r="DB1080" s="124"/>
      <c r="DC1080" s="124"/>
      <c r="DD1080" s="124"/>
      <c r="DE1080" s="124"/>
      <c r="DF1080" s="124"/>
      <c r="DG1080" s="115"/>
    </row>
    <row r="1081" spans="1:111" ht="4.5" customHeight="1">
      <c r="A1081"/>
      <c r="B1081" s="49"/>
      <c r="C1081" s="49"/>
      <c r="D1081" s="49"/>
      <c r="E1081" s="49"/>
      <c r="F1081" s="49"/>
      <c r="G1081" s="49"/>
      <c r="H1081" s="49"/>
      <c r="I1081" s="49"/>
      <c r="J1081" s="49"/>
      <c r="K1081" s="49"/>
      <c r="L1081" s="49"/>
      <c r="M1081" s="49"/>
      <c r="N1081" s="49"/>
      <c r="O1081" s="49"/>
      <c r="P1081" s="49"/>
      <c r="Q1081" s="49"/>
      <c r="R1081" s="49"/>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49"/>
      <c r="AS1081" s="49"/>
      <c r="AT1081" s="49"/>
      <c r="AU1081" s="49"/>
      <c r="AV1081" s="49"/>
      <c r="AW1081" s="49"/>
      <c r="AX1081" s="49"/>
      <c r="AY1081" s="49"/>
      <c r="AZ1081" s="49"/>
      <c r="BA1081" s="49"/>
      <c r="BB1081"/>
      <c r="BC1081" s="115"/>
      <c r="BD1081" s="115"/>
      <c r="BE1081" s="115"/>
      <c r="BF1081" s="115"/>
      <c r="BG1081" s="115"/>
      <c r="BH1081" s="124"/>
      <c r="BI1081" s="124"/>
      <c r="BJ1081" s="124"/>
      <c r="BK1081" s="124"/>
      <c r="BL1081" s="124"/>
      <c r="BM1081" s="124"/>
      <c r="BN1081" s="124"/>
      <c r="BO1081" s="124"/>
      <c r="BP1081" s="124"/>
      <c r="BQ1081" s="124"/>
      <c r="BR1081" s="124"/>
      <c r="BS1081" s="124"/>
      <c r="BT1081" s="124"/>
      <c r="BU1081" s="124"/>
      <c r="BV1081" s="124"/>
      <c r="BW1081" s="124"/>
      <c r="BX1081" s="124"/>
      <c r="BY1081" s="124"/>
      <c r="BZ1081" s="124"/>
      <c r="CA1081" s="124"/>
      <c r="CB1081" s="124"/>
      <c r="CC1081" s="124"/>
      <c r="CD1081" s="124"/>
      <c r="CE1081" s="124"/>
      <c r="CF1081" s="124"/>
      <c r="CG1081" s="124"/>
      <c r="CH1081" s="124"/>
      <c r="CI1081" s="124"/>
      <c r="CJ1081" s="124"/>
      <c r="CK1081" s="124"/>
      <c r="CL1081" s="124"/>
      <c r="CM1081" s="124"/>
      <c r="CN1081" s="124"/>
      <c r="CO1081" s="124"/>
      <c r="CP1081" s="124"/>
      <c r="CQ1081" s="124"/>
      <c r="CR1081" s="124"/>
      <c r="CS1081" s="124"/>
      <c r="CT1081" s="124"/>
      <c r="CU1081" s="124"/>
      <c r="CV1081" s="124"/>
      <c r="CW1081" s="124"/>
      <c r="CX1081" s="124"/>
      <c r="CY1081" s="124"/>
      <c r="CZ1081" s="124"/>
      <c r="DA1081" s="124"/>
      <c r="DB1081" s="124"/>
      <c r="DC1081" s="124"/>
      <c r="DD1081" s="124"/>
      <c r="DE1081" s="124"/>
      <c r="DF1081" s="124"/>
      <c r="DG1081" s="115"/>
    </row>
    <row r="1082" spans="1:111" ht="9" customHeight="1">
      <c r="A1082"/>
      <c r="B1082" s="493" t="str">
        <f>IF(B1076="","","Objeto:")</f>
        <v/>
      </c>
      <c r="C1082" s="493"/>
      <c r="D1082" s="493"/>
      <c r="E1082" s="493"/>
      <c r="F1082" s="493"/>
      <c r="G1082" s="493"/>
      <c r="H1082" s="493"/>
      <c r="I1082" s="493"/>
      <c r="J1082" s="493"/>
      <c r="K1082" s="493"/>
      <c r="L1082" s="493"/>
      <c r="M1082" s="493"/>
      <c r="N1082" s="493"/>
      <c r="O1082" s="421"/>
      <c r="P1082" s="421"/>
      <c r="Q1082" s="421"/>
      <c r="R1082" s="421"/>
      <c r="S1082" s="421"/>
      <c r="T1082" s="421"/>
      <c r="U1082" s="421"/>
      <c r="V1082" s="421"/>
      <c r="W1082" s="421"/>
      <c r="X1082" s="421"/>
      <c r="Y1082" s="421"/>
      <c r="Z1082" s="421"/>
      <c r="AA1082" s="421"/>
      <c r="AB1082" s="421"/>
      <c r="AC1082" s="421"/>
      <c r="AD1082" s="421"/>
      <c r="AE1082" s="421"/>
      <c r="AF1082" s="421"/>
      <c r="AG1082" s="421"/>
      <c r="AH1082" s="421"/>
      <c r="AI1082" s="421"/>
      <c r="AJ1082" s="421"/>
      <c r="AK1082" s="421"/>
      <c r="AL1082" s="421"/>
      <c r="AM1082" s="421"/>
      <c r="AN1082" s="421"/>
      <c r="AO1082" s="421"/>
      <c r="AP1082" s="421"/>
      <c r="AQ1082" s="421"/>
      <c r="AR1082" s="421"/>
      <c r="AS1082" s="421"/>
      <c r="AT1082" s="421"/>
      <c r="AU1082" s="421"/>
      <c r="AV1082" s="421"/>
      <c r="AW1082" s="421"/>
      <c r="AX1082" s="421"/>
      <c r="AY1082" s="421"/>
      <c r="AZ1082" s="421"/>
      <c r="BA1082" s="421"/>
      <c r="BB1082"/>
      <c r="BC1082" s="115"/>
      <c r="BD1082" s="115"/>
      <c r="BE1082" s="115"/>
      <c r="BF1082" s="115"/>
      <c r="BG1082" s="115"/>
      <c r="BH1082" s="124"/>
      <c r="BI1082" s="124"/>
      <c r="BJ1082" s="124"/>
      <c r="BK1082" s="124"/>
      <c r="BL1082" s="124"/>
      <c r="BM1082" s="124"/>
      <c r="BN1082" s="124"/>
      <c r="BO1082" s="124"/>
      <c r="BP1082" s="124"/>
      <c r="BQ1082" s="124"/>
      <c r="BR1082" s="124"/>
      <c r="BS1082" s="124"/>
      <c r="BT1082" s="124"/>
      <c r="BU1082" s="124"/>
      <c r="BV1082" s="124"/>
      <c r="BW1082" s="124"/>
      <c r="BX1082" s="124"/>
      <c r="BY1082" s="124"/>
      <c r="BZ1082" s="124"/>
      <c r="CA1082" s="124"/>
      <c r="CB1082" s="124"/>
      <c r="CC1082" s="124"/>
      <c r="CD1082" s="124"/>
      <c r="CE1082" s="124"/>
      <c r="CF1082" s="124"/>
      <c r="CG1082" s="124"/>
      <c r="CH1082" s="124"/>
      <c r="CI1082" s="124"/>
      <c r="CJ1082" s="124"/>
      <c r="CK1082" s="124"/>
      <c r="CL1082" s="124"/>
      <c r="CM1082" s="124"/>
      <c r="CN1082" s="124"/>
      <c r="CO1082" s="124"/>
      <c r="CP1082" s="124"/>
      <c r="CQ1082" s="124"/>
      <c r="CR1082" s="124"/>
      <c r="CS1082" s="124"/>
      <c r="CT1082" s="124"/>
      <c r="CU1082" s="124"/>
      <c r="CV1082" s="124"/>
      <c r="CW1082" s="124"/>
      <c r="CX1082" s="124"/>
      <c r="CY1082" s="124"/>
      <c r="CZ1082" s="124"/>
      <c r="DA1082" s="124"/>
      <c r="DB1082" s="124"/>
      <c r="DC1082" s="124"/>
      <c r="DD1082" s="124"/>
      <c r="DE1082" s="124"/>
      <c r="DF1082" s="124"/>
      <c r="DG1082" s="115"/>
    </row>
    <row r="1083" spans="1:111" ht="9" customHeight="1">
      <c r="A1083"/>
      <c r="B1083" s="493"/>
      <c r="C1083" s="493"/>
      <c r="D1083" s="493"/>
      <c r="E1083" s="493"/>
      <c r="F1083" s="493"/>
      <c r="G1083" s="493"/>
      <c r="H1083" s="493"/>
      <c r="I1083" s="493"/>
      <c r="J1083" s="493"/>
      <c r="K1083" s="493"/>
      <c r="L1083" s="493"/>
      <c r="M1083" s="493"/>
      <c r="N1083" s="493"/>
      <c r="O1083" s="421"/>
      <c r="P1083" s="421"/>
      <c r="Q1083" s="421"/>
      <c r="R1083" s="421"/>
      <c r="S1083" s="421"/>
      <c r="T1083" s="421"/>
      <c r="U1083" s="421"/>
      <c r="V1083" s="421"/>
      <c r="W1083" s="421"/>
      <c r="X1083" s="421"/>
      <c r="Y1083" s="421"/>
      <c r="Z1083" s="421"/>
      <c r="AA1083" s="421"/>
      <c r="AB1083" s="421"/>
      <c r="AC1083" s="421"/>
      <c r="AD1083" s="421"/>
      <c r="AE1083" s="421"/>
      <c r="AF1083" s="421"/>
      <c r="AG1083" s="421"/>
      <c r="AH1083" s="421"/>
      <c r="AI1083" s="421"/>
      <c r="AJ1083" s="421"/>
      <c r="AK1083" s="421"/>
      <c r="AL1083" s="421"/>
      <c r="AM1083" s="421"/>
      <c r="AN1083" s="421"/>
      <c r="AO1083" s="421"/>
      <c r="AP1083" s="421"/>
      <c r="AQ1083" s="421"/>
      <c r="AR1083" s="421"/>
      <c r="AS1083" s="421"/>
      <c r="AT1083" s="421"/>
      <c r="AU1083" s="421"/>
      <c r="AV1083" s="421"/>
      <c r="AW1083" s="421"/>
      <c r="AX1083" s="421"/>
      <c r="AY1083" s="421"/>
      <c r="AZ1083" s="421"/>
      <c r="BA1083" s="421"/>
      <c r="BB1083"/>
      <c r="BC1083" s="115"/>
      <c r="BD1083" s="115"/>
      <c r="BE1083" s="115"/>
      <c r="BF1083" s="115"/>
      <c r="BG1083" s="115"/>
      <c r="BH1083" s="124"/>
      <c r="BI1083" s="124"/>
      <c r="BJ1083" s="124"/>
      <c r="BK1083" s="124"/>
      <c r="BL1083" s="124"/>
      <c r="BM1083" s="124"/>
      <c r="BN1083" s="124"/>
      <c r="BO1083" s="124"/>
      <c r="BP1083" s="124"/>
      <c r="BQ1083" s="124"/>
      <c r="BR1083" s="124"/>
      <c r="BS1083" s="124"/>
      <c r="BT1083" s="124"/>
      <c r="BU1083" s="124"/>
      <c r="BV1083" s="124"/>
      <c r="BW1083" s="124"/>
      <c r="BX1083" s="124"/>
      <c r="BY1083" s="124"/>
      <c r="BZ1083" s="124"/>
      <c r="CA1083" s="124"/>
      <c r="CB1083" s="124"/>
      <c r="CC1083" s="124"/>
      <c r="CD1083" s="124"/>
      <c r="CE1083" s="124"/>
      <c r="CF1083" s="124"/>
      <c r="CG1083" s="124"/>
      <c r="CH1083" s="124"/>
      <c r="CI1083" s="124"/>
      <c r="CJ1083" s="124"/>
      <c r="CK1083" s="124"/>
      <c r="CL1083" s="124"/>
      <c r="CM1083" s="124"/>
      <c r="CN1083" s="124"/>
      <c r="CO1083" s="124"/>
      <c r="CP1083" s="124"/>
      <c r="CQ1083" s="124"/>
      <c r="CR1083" s="124"/>
      <c r="CS1083" s="124"/>
      <c r="CT1083" s="124"/>
      <c r="CU1083" s="124"/>
      <c r="CV1083" s="124"/>
      <c r="CW1083" s="124"/>
      <c r="CX1083" s="124"/>
      <c r="CY1083" s="124"/>
      <c r="CZ1083" s="124"/>
      <c r="DA1083" s="124"/>
      <c r="DB1083" s="124"/>
      <c r="DC1083" s="124"/>
      <c r="DD1083" s="124"/>
      <c r="DE1083" s="124"/>
      <c r="DF1083" s="124"/>
      <c r="DG1083" s="115"/>
    </row>
    <row r="1084" spans="1:111" ht="9" customHeight="1">
      <c r="A1084"/>
      <c r="B1084" s="143"/>
      <c r="C1084" s="143"/>
      <c r="D1084" s="143"/>
      <c r="E1084" s="143"/>
      <c r="F1084" s="143"/>
      <c r="G1084" s="143"/>
      <c r="H1084" s="143"/>
      <c r="I1084" s="143"/>
      <c r="J1084" s="143"/>
      <c r="K1084" s="143"/>
      <c r="L1084" s="143"/>
      <c r="M1084" s="143"/>
      <c r="N1084" s="143"/>
      <c r="O1084" s="421"/>
      <c r="P1084" s="421"/>
      <c r="Q1084" s="421"/>
      <c r="R1084" s="421"/>
      <c r="S1084" s="421"/>
      <c r="T1084" s="421"/>
      <c r="U1084" s="421"/>
      <c r="V1084" s="421"/>
      <c r="W1084" s="421"/>
      <c r="X1084" s="421"/>
      <c r="Y1084" s="421"/>
      <c r="Z1084" s="421"/>
      <c r="AA1084" s="421"/>
      <c r="AB1084" s="421"/>
      <c r="AC1084" s="421"/>
      <c r="AD1084" s="421"/>
      <c r="AE1084" s="421"/>
      <c r="AF1084" s="421"/>
      <c r="AG1084" s="421"/>
      <c r="AH1084" s="421"/>
      <c r="AI1084" s="421"/>
      <c r="AJ1084" s="421"/>
      <c r="AK1084" s="421"/>
      <c r="AL1084" s="421"/>
      <c r="AM1084" s="421"/>
      <c r="AN1084" s="421"/>
      <c r="AO1084" s="421"/>
      <c r="AP1084" s="421"/>
      <c r="AQ1084" s="421"/>
      <c r="AR1084" s="421"/>
      <c r="AS1084" s="421"/>
      <c r="AT1084" s="421"/>
      <c r="AU1084" s="421"/>
      <c r="AV1084" s="421"/>
      <c r="AW1084" s="421"/>
      <c r="AX1084" s="421"/>
      <c r="AY1084" s="421"/>
      <c r="AZ1084" s="421"/>
      <c r="BA1084" s="421"/>
      <c r="BB1084"/>
      <c r="BC1084" s="115"/>
      <c r="BD1084" s="115"/>
      <c r="BE1084" s="115"/>
      <c r="BF1084" s="115"/>
      <c r="BG1084" s="115"/>
      <c r="BH1084" s="138"/>
      <c r="BI1084" s="138"/>
      <c r="BJ1084" s="138"/>
      <c r="BK1084" s="138"/>
      <c r="BL1084" s="138"/>
      <c r="BM1084" s="138"/>
      <c r="BN1084" s="138"/>
      <c r="BO1084" s="138"/>
      <c r="BP1084" s="138"/>
      <c r="BQ1084" s="138"/>
      <c r="BR1084" s="138"/>
      <c r="BS1084" s="138"/>
      <c r="BT1084" s="138"/>
      <c r="BU1084" s="138"/>
      <c r="BV1084" s="138"/>
      <c r="BW1084" s="138"/>
      <c r="BX1084" s="138"/>
      <c r="BY1084" s="138"/>
      <c r="BZ1084" s="138"/>
      <c r="CA1084" s="138"/>
      <c r="CB1084" s="138"/>
      <c r="CC1084" s="138"/>
      <c r="CD1084" s="138"/>
      <c r="CE1084" s="138"/>
      <c r="CF1084" s="138"/>
      <c r="CG1084" s="138"/>
      <c r="CH1084" s="138"/>
      <c r="CI1084" s="138"/>
      <c r="CJ1084" s="138"/>
      <c r="CK1084" s="138"/>
      <c r="CL1084" s="138"/>
      <c r="CM1084" s="138"/>
      <c r="CN1084" s="138"/>
      <c r="CO1084" s="138"/>
      <c r="CP1084" s="138"/>
      <c r="CQ1084" s="138"/>
      <c r="CR1084" s="138"/>
      <c r="CS1084" s="138"/>
      <c r="CT1084" s="138"/>
      <c r="CU1084" s="138"/>
      <c r="CV1084" s="138"/>
      <c r="CW1084" s="138"/>
      <c r="CX1084" s="138"/>
      <c r="CY1084" s="138"/>
      <c r="CZ1084" s="138"/>
      <c r="DA1084" s="138"/>
      <c r="DB1084" s="138"/>
      <c r="DC1084" s="138"/>
      <c r="DD1084" s="138"/>
      <c r="DE1084" s="138"/>
      <c r="DF1084" s="138"/>
      <c r="DG1084" s="115"/>
    </row>
    <row r="1085" spans="1:111" ht="9" customHeight="1">
      <c r="A1085"/>
      <c r="B1085" s="49"/>
      <c r="C1085" s="49"/>
      <c r="D1085" s="49"/>
      <c r="E1085" s="49"/>
      <c r="F1085" s="49"/>
      <c r="G1085" s="49"/>
      <c r="H1085" s="49"/>
      <c r="I1085" s="49"/>
      <c r="J1085" s="49"/>
      <c r="K1085" s="49"/>
      <c r="L1085" s="49"/>
      <c r="M1085" s="49"/>
      <c r="N1085" s="49"/>
      <c r="O1085" s="421"/>
      <c r="P1085" s="421"/>
      <c r="Q1085" s="421"/>
      <c r="R1085" s="421"/>
      <c r="S1085" s="421"/>
      <c r="T1085" s="421"/>
      <c r="U1085" s="421"/>
      <c r="V1085" s="421"/>
      <c r="W1085" s="421"/>
      <c r="X1085" s="421"/>
      <c r="Y1085" s="421"/>
      <c r="Z1085" s="421"/>
      <c r="AA1085" s="421"/>
      <c r="AB1085" s="421"/>
      <c r="AC1085" s="421"/>
      <c r="AD1085" s="421"/>
      <c r="AE1085" s="421"/>
      <c r="AF1085" s="421"/>
      <c r="AG1085" s="421"/>
      <c r="AH1085" s="421"/>
      <c r="AI1085" s="421"/>
      <c r="AJ1085" s="421"/>
      <c r="AK1085" s="421"/>
      <c r="AL1085" s="421"/>
      <c r="AM1085" s="421"/>
      <c r="AN1085" s="421"/>
      <c r="AO1085" s="421"/>
      <c r="AP1085" s="421"/>
      <c r="AQ1085" s="421"/>
      <c r="AR1085" s="421"/>
      <c r="AS1085" s="421"/>
      <c r="AT1085" s="421"/>
      <c r="AU1085" s="421"/>
      <c r="AV1085" s="421"/>
      <c r="AW1085" s="421"/>
      <c r="AX1085" s="421"/>
      <c r="AY1085" s="421"/>
      <c r="AZ1085" s="421"/>
      <c r="BA1085" s="421"/>
      <c r="BB108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c r="BY1085" s="115"/>
      <c r="BZ1085" s="115"/>
      <c r="CA1085" s="115"/>
      <c r="CB1085" s="115"/>
      <c r="CC1085" s="115"/>
      <c r="CD1085" s="115"/>
      <c r="CE1085" s="115"/>
      <c r="CF1085" s="115"/>
      <c r="CG1085" s="115"/>
      <c r="CH1085" s="115"/>
      <c r="CI1085" s="115"/>
      <c r="CJ1085" s="115"/>
      <c r="CK1085" s="115"/>
      <c r="CL1085" s="115"/>
      <c r="CM1085" s="115"/>
      <c r="CN1085" s="115"/>
      <c r="CO1085" s="115"/>
      <c r="CP1085" s="115"/>
      <c r="CQ1085" s="115"/>
      <c r="CR1085" s="115"/>
      <c r="CS1085" s="115"/>
      <c r="CT1085" s="115"/>
      <c r="CU1085" s="115"/>
      <c r="CV1085" s="115"/>
      <c r="CW1085" s="115"/>
      <c r="CX1085" s="115"/>
      <c r="CY1085" s="115"/>
      <c r="CZ1085" s="115"/>
      <c r="DA1085" s="115"/>
      <c r="DB1085" s="115"/>
      <c r="DC1085" s="115"/>
      <c r="DD1085" s="115"/>
      <c r="DE1085" s="115"/>
      <c r="DF1085" s="115"/>
      <c r="DG1085" s="115"/>
    </row>
    <row r="1086" spans="1:111" ht="4.5" customHeight="1">
      <c r="A1086"/>
      <c r="B1086" s="49"/>
      <c r="C1086" s="49"/>
      <c r="D1086" s="49"/>
      <c r="E1086" s="49"/>
      <c r="F1086" s="49"/>
      <c r="G1086" s="49"/>
      <c r="H1086" s="49"/>
      <c r="I1086" s="49"/>
      <c r="J1086" s="49"/>
      <c r="K1086" s="49"/>
      <c r="L1086" s="49"/>
      <c r="M1086" s="49"/>
      <c r="N1086" s="49"/>
      <c r="O1086" s="49"/>
      <c r="P1086" s="49"/>
      <c r="Q1086" s="49"/>
      <c r="R1086" s="49"/>
      <c r="S1086" s="49"/>
      <c r="T1086" s="49"/>
      <c r="U1086" s="49"/>
      <c r="V1086" s="49"/>
      <c r="W1086" s="49"/>
      <c r="X1086" s="49"/>
      <c r="Y1086" s="49"/>
      <c r="Z1086" s="49"/>
      <c r="AA1086" s="49"/>
      <c r="AB1086" s="49"/>
      <c r="AC1086" s="49"/>
      <c r="AD1086" s="49"/>
      <c r="AE1086" s="49"/>
      <c r="AF1086" s="49"/>
      <c r="AG1086" s="49"/>
      <c r="AH1086" s="49"/>
      <c r="AI1086" s="49"/>
      <c r="AJ1086" s="49"/>
      <c r="AK1086" s="49"/>
      <c r="AL1086" s="49"/>
      <c r="AM1086" s="49"/>
      <c r="AN1086" s="49"/>
      <c r="AO1086" s="49"/>
      <c r="AP1086" s="49"/>
      <c r="AQ1086" s="49"/>
      <c r="AR1086" s="49"/>
      <c r="AS1086" s="49"/>
      <c r="AT1086" s="49"/>
      <c r="AU1086" s="49"/>
      <c r="AV1086" s="49"/>
      <c r="AW1086" s="49"/>
      <c r="AX1086" s="49"/>
      <c r="AY1086" s="49"/>
      <c r="AZ1086" s="49"/>
      <c r="BA1086" s="49"/>
      <c r="BB1086"/>
      <c r="BC1086" s="115"/>
      <c r="BD1086" s="115"/>
      <c r="BE1086" s="115"/>
      <c r="BF1086" s="115"/>
      <c r="BG1086" s="115"/>
      <c r="BH1086" s="124"/>
      <c r="BI1086" s="124"/>
      <c r="BJ1086" s="124"/>
      <c r="BK1086" s="124"/>
      <c r="BL1086" s="124"/>
      <c r="BM1086" s="124"/>
      <c r="BN1086" s="124"/>
      <c r="BO1086" s="124"/>
      <c r="BP1086" s="124"/>
      <c r="BQ1086" s="124"/>
      <c r="BR1086" s="124"/>
      <c r="BS1086" s="124"/>
      <c r="BT1086" s="124"/>
      <c r="BU1086" s="124"/>
      <c r="BV1086" s="124"/>
      <c r="BW1086" s="124"/>
      <c r="BX1086" s="124"/>
      <c r="BY1086" s="124"/>
      <c r="BZ1086" s="124"/>
      <c r="CA1086" s="124"/>
      <c r="CB1086" s="124"/>
      <c r="CC1086" s="124"/>
      <c r="CD1086" s="124"/>
      <c r="CE1086" s="124"/>
      <c r="CF1086" s="124"/>
      <c r="CG1086" s="124"/>
      <c r="CH1086" s="124"/>
      <c r="CI1086" s="124"/>
      <c r="CJ1086" s="124"/>
      <c r="CK1086" s="124"/>
      <c r="CL1086" s="124"/>
      <c r="CM1086" s="124"/>
      <c r="CN1086" s="124"/>
      <c r="CO1086" s="124"/>
      <c r="CP1086" s="124"/>
      <c r="CQ1086" s="124"/>
      <c r="CR1086" s="124"/>
      <c r="CS1086" s="124"/>
      <c r="CT1086" s="124"/>
      <c r="CU1086" s="124"/>
      <c r="CV1086" s="124"/>
      <c r="CW1086" s="124"/>
      <c r="CX1086" s="124"/>
      <c r="CY1086" s="124"/>
      <c r="CZ1086" s="124"/>
      <c r="DA1086" s="124"/>
      <c r="DB1086" s="124"/>
      <c r="DC1086" s="124"/>
      <c r="DD1086" s="124"/>
      <c r="DE1086" s="124"/>
      <c r="DF1086" s="124"/>
      <c r="DG1086" s="115"/>
    </row>
    <row r="1087" spans="1:111" ht="9" customHeight="1">
      <c r="A1087"/>
      <c r="B1087" s="493" t="str">
        <f>IF(B1076="","","Detalhamento do Objeto:")</f>
        <v/>
      </c>
      <c r="C1087" s="493"/>
      <c r="D1087" s="493"/>
      <c r="E1087" s="493"/>
      <c r="F1087" s="493"/>
      <c r="G1087" s="493"/>
      <c r="H1087" s="493"/>
      <c r="I1087" s="493"/>
      <c r="J1087" s="493"/>
      <c r="K1087" s="493"/>
      <c r="L1087" s="493"/>
      <c r="M1087" s="493"/>
      <c r="N1087" s="493"/>
      <c r="O1087" s="421"/>
      <c r="P1087" s="421"/>
      <c r="Q1087" s="421"/>
      <c r="R1087" s="421"/>
      <c r="S1087" s="421"/>
      <c r="T1087" s="421"/>
      <c r="U1087" s="421"/>
      <c r="V1087" s="421"/>
      <c r="W1087" s="421"/>
      <c r="X1087" s="421"/>
      <c r="Y1087" s="421"/>
      <c r="Z1087" s="421"/>
      <c r="AA1087" s="421"/>
      <c r="AB1087" s="421"/>
      <c r="AC1087" s="421"/>
      <c r="AD1087" s="421"/>
      <c r="AE1087" s="421"/>
      <c r="AF1087" s="421"/>
      <c r="AG1087" s="421"/>
      <c r="AH1087" s="421"/>
      <c r="AI1087" s="421"/>
      <c r="AJ1087" s="421"/>
      <c r="AK1087" s="421"/>
      <c r="AL1087" s="421"/>
      <c r="AM1087" s="421"/>
      <c r="AN1087" s="421"/>
      <c r="AO1087" s="421"/>
      <c r="AP1087" s="421"/>
      <c r="AQ1087" s="421"/>
      <c r="AR1087" s="421"/>
      <c r="AS1087" s="421"/>
      <c r="AT1087" s="421"/>
      <c r="AU1087" s="421"/>
      <c r="AV1087" s="421"/>
      <c r="AW1087" s="421"/>
      <c r="AX1087" s="421"/>
      <c r="AY1087" s="421"/>
      <c r="AZ1087" s="421"/>
      <c r="BA1087" s="421"/>
      <c r="BB1087"/>
      <c r="BC1087" s="115"/>
      <c r="BD1087" s="115"/>
      <c r="BE1087" s="115"/>
      <c r="BF1087" s="115"/>
      <c r="BG1087" s="115"/>
      <c r="BH1087" s="124"/>
      <c r="BI1087" s="124"/>
      <c r="BJ1087" s="124"/>
      <c r="BK1087" s="124"/>
      <c r="BL1087" s="124"/>
      <c r="BM1087" s="124"/>
      <c r="BN1087" s="124"/>
      <c r="BO1087" s="124"/>
      <c r="BP1087" s="124"/>
      <c r="BQ1087" s="124"/>
      <c r="BR1087" s="124"/>
      <c r="BS1087" s="124"/>
      <c r="BT1087" s="124"/>
      <c r="BU1087" s="124"/>
      <c r="BV1087" s="124"/>
      <c r="BW1087" s="124"/>
      <c r="BX1087" s="124"/>
      <c r="BY1087" s="124"/>
      <c r="BZ1087" s="124"/>
      <c r="CA1087" s="124"/>
      <c r="CB1087" s="124"/>
      <c r="CC1087" s="124"/>
      <c r="CD1087" s="124"/>
      <c r="CE1087" s="124"/>
      <c r="CF1087" s="124"/>
      <c r="CG1087" s="124"/>
      <c r="CH1087" s="124"/>
      <c r="CI1087" s="124"/>
      <c r="CJ1087" s="124"/>
      <c r="CK1087" s="124"/>
      <c r="CL1087" s="124"/>
      <c r="CM1087" s="124"/>
      <c r="CN1087" s="124"/>
      <c r="CO1087" s="124"/>
      <c r="CP1087" s="124"/>
      <c r="CQ1087" s="124"/>
      <c r="CR1087" s="124"/>
      <c r="CS1087" s="124"/>
      <c r="CT1087" s="124"/>
      <c r="CU1087" s="124"/>
      <c r="CV1087" s="124"/>
      <c r="CW1087" s="124"/>
      <c r="CX1087" s="124"/>
      <c r="CY1087" s="124"/>
      <c r="CZ1087" s="124"/>
      <c r="DA1087" s="124"/>
      <c r="DB1087" s="124"/>
      <c r="DC1087" s="124"/>
      <c r="DD1087" s="124"/>
      <c r="DE1087" s="124"/>
      <c r="DF1087" s="124"/>
      <c r="DG1087" s="115"/>
    </row>
    <row r="1088" spans="1:111" ht="9" customHeight="1">
      <c r="A1088"/>
      <c r="B1088" s="493"/>
      <c r="C1088" s="493"/>
      <c r="D1088" s="493"/>
      <c r="E1088" s="493"/>
      <c r="F1088" s="493"/>
      <c r="G1088" s="493"/>
      <c r="H1088" s="493"/>
      <c r="I1088" s="493"/>
      <c r="J1088" s="493"/>
      <c r="K1088" s="493"/>
      <c r="L1088" s="493"/>
      <c r="M1088" s="493"/>
      <c r="N1088" s="493"/>
      <c r="O1088" s="421"/>
      <c r="P1088" s="421"/>
      <c r="Q1088" s="421"/>
      <c r="R1088" s="421"/>
      <c r="S1088" s="421"/>
      <c r="T1088" s="421"/>
      <c r="U1088" s="421"/>
      <c r="V1088" s="421"/>
      <c r="W1088" s="421"/>
      <c r="X1088" s="421"/>
      <c r="Y1088" s="421"/>
      <c r="Z1088" s="421"/>
      <c r="AA1088" s="421"/>
      <c r="AB1088" s="421"/>
      <c r="AC1088" s="421"/>
      <c r="AD1088" s="421"/>
      <c r="AE1088" s="421"/>
      <c r="AF1088" s="421"/>
      <c r="AG1088" s="421"/>
      <c r="AH1088" s="421"/>
      <c r="AI1088" s="421"/>
      <c r="AJ1088" s="421"/>
      <c r="AK1088" s="421"/>
      <c r="AL1088" s="421"/>
      <c r="AM1088" s="421"/>
      <c r="AN1088" s="421"/>
      <c r="AO1088" s="421"/>
      <c r="AP1088" s="421"/>
      <c r="AQ1088" s="421"/>
      <c r="AR1088" s="421"/>
      <c r="AS1088" s="421"/>
      <c r="AT1088" s="421"/>
      <c r="AU1088" s="421"/>
      <c r="AV1088" s="421"/>
      <c r="AW1088" s="421"/>
      <c r="AX1088" s="421"/>
      <c r="AY1088" s="421"/>
      <c r="AZ1088" s="421"/>
      <c r="BA1088" s="421"/>
      <c r="BB1088"/>
      <c r="BC1088" s="115"/>
      <c r="BD1088" s="115"/>
      <c r="BE1088" s="115"/>
      <c r="BF1088" s="115"/>
      <c r="BG1088" s="115"/>
      <c r="BH1088" s="124"/>
      <c r="BI1088" s="124"/>
      <c r="BJ1088" s="124"/>
      <c r="BK1088" s="124"/>
      <c r="BL1088" s="124"/>
      <c r="BM1088" s="124"/>
      <c r="BN1088" s="124"/>
      <c r="BO1088" s="124"/>
      <c r="BP1088" s="124"/>
      <c r="BQ1088" s="124"/>
      <c r="BR1088" s="124"/>
      <c r="BS1088" s="124"/>
      <c r="BT1088" s="124"/>
      <c r="BU1088" s="124"/>
      <c r="BV1088" s="124"/>
      <c r="BW1088" s="124"/>
      <c r="BX1088" s="124"/>
      <c r="BY1088" s="124"/>
      <c r="BZ1088" s="124"/>
      <c r="CA1088" s="124"/>
      <c r="CB1088" s="124"/>
      <c r="CC1088" s="124"/>
      <c r="CD1088" s="124"/>
      <c r="CE1088" s="124"/>
      <c r="CF1088" s="124"/>
      <c r="CG1088" s="124"/>
      <c r="CH1088" s="124"/>
      <c r="CI1088" s="124"/>
      <c r="CJ1088" s="124"/>
      <c r="CK1088" s="124"/>
      <c r="CL1088" s="124"/>
      <c r="CM1088" s="124"/>
      <c r="CN1088" s="124"/>
      <c r="CO1088" s="124"/>
      <c r="CP1088" s="124"/>
      <c r="CQ1088" s="124"/>
      <c r="CR1088" s="124"/>
      <c r="CS1088" s="124"/>
      <c r="CT1088" s="124"/>
      <c r="CU1088" s="124"/>
      <c r="CV1088" s="124"/>
      <c r="CW1088" s="124"/>
      <c r="CX1088" s="124"/>
      <c r="CY1088" s="124"/>
      <c r="CZ1088" s="124"/>
      <c r="DA1088" s="124"/>
      <c r="DB1088" s="124"/>
      <c r="DC1088" s="124"/>
      <c r="DD1088" s="124"/>
      <c r="DE1088" s="124"/>
      <c r="DF1088" s="124"/>
      <c r="DG1088" s="115"/>
    </row>
    <row r="1089" spans="1:111" ht="9" customHeight="1">
      <c r="A1089"/>
      <c r="B1089" s="143"/>
      <c r="C1089" s="143"/>
      <c r="D1089" s="143"/>
      <c r="E1089" s="143"/>
      <c r="F1089" s="143"/>
      <c r="G1089" s="143"/>
      <c r="H1089" s="143"/>
      <c r="I1089" s="143"/>
      <c r="J1089" s="143"/>
      <c r="K1089" s="143"/>
      <c r="L1089" s="143"/>
      <c r="M1089" s="143"/>
      <c r="N1089" s="143"/>
      <c r="O1089" s="421"/>
      <c r="P1089" s="421"/>
      <c r="Q1089" s="421"/>
      <c r="R1089" s="421"/>
      <c r="S1089" s="421"/>
      <c r="T1089" s="421"/>
      <c r="U1089" s="421"/>
      <c r="V1089" s="421"/>
      <c r="W1089" s="421"/>
      <c r="X1089" s="421"/>
      <c r="Y1089" s="421"/>
      <c r="Z1089" s="421"/>
      <c r="AA1089" s="421"/>
      <c r="AB1089" s="421"/>
      <c r="AC1089" s="421"/>
      <c r="AD1089" s="421"/>
      <c r="AE1089" s="421"/>
      <c r="AF1089" s="421"/>
      <c r="AG1089" s="421"/>
      <c r="AH1089" s="421"/>
      <c r="AI1089" s="421"/>
      <c r="AJ1089" s="421"/>
      <c r="AK1089" s="421"/>
      <c r="AL1089" s="421"/>
      <c r="AM1089" s="421"/>
      <c r="AN1089" s="421"/>
      <c r="AO1089" s="421"/>
      <c r="AP1089" s="421"/>
      <c r="AQ1089" s="421"/>
      <c r="AR1089" s="421"/>
      <c r="AS1089" s="421"/>
      <c r="AT1089" s="421"/>
      <c r="AU1089" s="421"/>
      <c r="AV1089" s="421"/>
      <c r="AW1089" s="421"/>
      <c r="AX1089" s="421"/>
      <c r="AY1089" s="421"/>
      <c r="AZ1089" s="421"/>
      <c r="BA1089" s="421"/>
      <c r="BB1089"/>
      <c r="BC1089" s="115"/>
      <c r="BD1089" s="115"/>
      <c r="BE1089" s="115"/>
      <c r="BF1089" s="115"/>
      <c r="BG1089" s="115"/>
      <c r="BH1089" s="138"/>
      <c r="BI1089" s="138"/>
      <c r="BJ1089" s="138"/>
      <c r="BK1089" s="138"/>
      <c r="BL1089" s="138"/>
      <c r="BM1089" s="138"/>
      <c r="BN1089" s="138"/>
      <c r="BO1089" s="138"/>
      <c r="BP1089" s="138"/>
      <c r="BQ1089" s="138"/>
      <c r="BR1089" s="138"/>
      <c r="BS1089" s="138"/>
      <c r="BT1089" s="138"/>
      <c r="BU1089" s="138"/>
      <c r="BV1089" s="138"/>
      <c r="BW1089" s="138"/>
      <c r="BX1089" s="138"/>
      <c r="BY1089" s="138"/>
      <c r="BZ1089" s="138"/>
      <c r="CA1089" s="138"/>
      <c r="CB1089" s="138"/>
      <c r="CC1089" s="138"/>
      <c r="CD1089" s="138"/>
      <c r="CE1089" s="138"/>
      <c r="CF1089" s="138"/>
      <c r="CG1089" s="138"/>
      <c r="CH1089" s="138"/>
      <c r="CI1089" s="138"/>
      <c r="CJ1089" s="138"/>
      <c r="CK1089" s="138"/>
      <c r="CL1089" s="138"/>
      <c r="CM1089" s="138"/>
      <c r="CN1089" s="138"/>
      <c r="CO1089" s="138"/>
      <c r="CP1089" s="138"/>
      <c r="CQ1089" s="138"/>
      <c r="CR1089" s="138"/>
      <c r="CS1089" s="138"/>
      <c r="CT1089" s="138"/>
      <c r="CU1089" s="138"/>
      <c r="CV1089" s="138"/>
      <c r="CW1089" s="138"/>
      <c r="CX1089" s="138"/>
      <c r="CY1089" s="138"/>
      <c r="CZ1089" s="138"/>
      <c r="DA1089" s="138"/>
      <c r="DB1089" s="138"/>
      <c r="DC1089" s="138"/>
      <c r="DD1089" s="138"/>
      <c r="DE1089" s="138"/>
      <c r="DF1089" s="138"/>
      <c r="DG1089" s="115"/>
    </row>
    <row r="1090" spans="1:111" ht="9" customHeight="1">
      <c r="A1090"/>
      <c r="B1090" s="143"/>
      <c r="C1090" s="143"/>
      <c r="D1090" s="143"/>
      <c r="E1090" s="143"/>
      <c r="F1090" s="143"/>
      <c r="G1090" s="143"/>
      <c r="H1090" s="143"/>
      <c r="I1090" s="143"/>
      <c r="J1090" s="143"/>
      <c r="K1090" s="143"/>
      <c r="L1090" s="143"/>
      <c r="M1090" s="143"/>
      <c r="N1090" s="143"/>
      <c r="O1090" s="421"/>
      <c r="P1090" s="421"/>
      <c r="Q1090" s="421"/>
      <c r="R1090" s="421"/>
      <c r="S1090" s="421"/>
      <c r="T1090" s="421"/>
      <c r="U1090" s="421"/>
      <c r="V1090" s="421"/>
      <c r="W1090" s="421"/>
      <c r="X1090" s="421"/>
      <c r="Y1090" s="421"/>
      <c r="Z1090" s="421"/>
      <c r="AA1090" s="421"/>
      <c r="AB1090" s="421"/>
      <c r="AC1090" s="421"/>
      <c r="AD1090" s="421"/>
      <c r="AE1090" s="421"/>
      <c r="AF1090" s="421"/>
      <c r="AG1090" s="421"/>
      <c r="AH1090" s="421"/>
      <c r="AI1090" s="421"/>
      <c r="AJ1090" s="421"/>
      <c r="AK1090" s="421"/>
      <c r="AL1090" s="421"/>
      <c r="AM1090" s="421"/>
      <c r="AN1090" s="421"/>
      <c r="AO1090" s="421"/>
      <c r="AP1090" s="421"/>
      <c r="AQ1090" s="421"/>
      <c r="AR1090" s="421"/>
      <c r="AS1090" s="421"/>
      <c r="AT1090" s="421"/>
      <c r="AU1090" s="421"/>
      <c r="AV1090" s="421"/>
      <c r="AW1090" s="421"/>
      <c r="AX1090" s="421"/>
      <c r="AY1090" s="421"/>
      <c r="AZ1090" s="421"/>
      <c r="BA1090" s="421"/>
      <c r="BB1090"/>
      <c r="BC1090" s="115"/>
      <c r="BD1090" s="115"/>
      <c r="BE1090" s="115"/>
      <c r="BF1090" s="115"/>
      <c r="BG1090" s="115"/>
      <c r="BH1090" s="138"/>
      <c r="BI1090" s="138"/>
      <c r="BJ1090" s="138"/>
      <c r="BK1090" s="138"/>
      <c r="BL1090" s="138"/>
      <c r="BM1090" s="138"/>
      <c r="BN1090" s="138"/>
      <c r="BO1090" s="138"/>
      <c r="BP1090" s="138"/>
      <c r="BQ1090" s="138"/>
      <c r="BR1090" s="138"/>
      <c r="BS1090" s="138"/>
      <c r="BT1090" s="138"/>
      <c r="BU1090" s="138"/>
      <c r="BV1090" s="138"/>
      <c r="BW1090" s="138"/>
      <c r="BX1090" s="138"/>
      <c r="BY1090" s="138"/>
      <c r="BZ1090" s="138"/>
      <c r="CA1090" s="138"/>
      <c r="CB1090" s="138"/>
      <c r="CC1090" s="138"/>
      <c r="CD1090" s="138"/>
      <c r="CE1090" s="138"/>
      <c r="CF1090" s="138"/>
      <c r="CG1090" s="138"/>
      <c r="CH1090" s="138"/>
      <c r="CI1090" s="138"/>
      <c r="CJ1090" s="138"/>
      <c r="CK1090" s="138"/>
      <c r="CL1090" s="138"/>
      <c r="CM1090" s="138"/>
      <c r="CN1090" s="138"/>
      <c r="CO1090" s="138"/>
      <c r="CP1090" s="138"/>
      <c r="CQ1090" s="138"/>
      <c r="CR1090" s="138"/>
      <c r="CS1090" s="138"/>
      <c r="CT1090" s="138"/>
      <c r="CU1090" s="138"/>
      <c r="CV1090" s="138"/>
      <c r="CW1090" s="138"/>
      <c r="CX1090" s="138"/>
      <c r="CY1090" s="138"/>
      <c r="CZ1090" s="138"/>
      <c r="DA1090" s="138"/>
      <c r="DB1090" s="138"/>
      <c r="DC1090" s="138"/>
      <c r="DD1090" s="138"/>
      <c r="DE1090" s="138"/>
      <c r="DF1090" s="138"/>
      <c r="DG1090" s="115"/>
    </row>
    <row r="1091" spans="1:111" ht="9" customHeight="1">
      <c r="A1091"/>
      <c r="B1091" s="143"/>
      <c r="C1091" s="143"/>
      <c r="D1091" s="143"/>
      <c r="E1091" s="143"/>
      <c r="F1091" s="143"/>
      <c r="G1091" s="143"/>
      <c r="H1091" s="143"/>
      <c r="I1091" s="143"/>
      <c r="J1091" s="143"/>
      <c r="K1091" s="143"/>
      <c r="L1091" s="143"/>
      <c r="M1091" s="143"/>
      <c r="N1091" s="143"/>
      <c r="O1091" s="421"/>
      <c r="P1091" s="421"/>
      <c r="Q1091" s="421"/>
      <c r="R1091" s="421"/>
      <c r="S1091" s="421"/>
      <c r="T1091" s="421"/>
      <c r="U1091" s="421"/>
      <c r="V1091" s="421"/>
      <c r="W1091" s="421"/>
      <c r="X1091" s="421"/>
      <c r="Y1091" s="421"/>
      <c r="Z1091" s="421"/>
      <c r="AA1091" s="421"/>
      <c r="AB1091" s="421"/>
      <c r="AC1091" s="421"/>
      <c r="AD1091" s="421"/>
      <c r="AE1091" s="421"/>
      <c r="AF1091" s="421"/>
      <c r="AG1091" s="421"/>
      <c r="AH1091" s="421"/>
      <c r="AI1091" s="421"/>
      <c r="AJ1091" s="421"/>
      <c r="AK1091" s="421"/>
      <c r="AL1091" s="421"/>
      <c r="AM1091" s="421"/>
      <c r="AN1091" s="421"/>
      <c r="AO1091" s="421"/>
      <c r="AP1091" s="421"/>
      <c r="AQ1091" s="421"/>
      <c r="AR1091" s="421"/>
      <c r="AS1091" s="421"/>
      <c r="AT1091" s="421"/>
      <c r="AU1091" s="421"/>
      <c r="AV1091" s="421"/>
      <c r="AW1091" s="421"/>
      <c r="AX1091" s="421"/>
      <c r="AY1091" s="421"/>
      <c r="AZ1091" s="421"/>
      <c r="BA1091" s="421"/>
      <c r="BB1091"/>
      <c r="BC1091" s="115"/>
      <c r="BD1091" s="115"/>
      <c r="BE1091" s="115"/>
      <c r="BF1091" s="115"/>
      <c r="BG1091" s="115"/>
      <c r="BH1091" s="138"/>
      <c r="BI1091" s="138"/>
      <c r="BJ1091" s="138"/>
      <c r="BK1091" s="138"/>
      <c r="BL1091" s="138"/>
      <c r="BM1091" s="138"/>
      <c r="BN1091" s="138"/>
      <c r="BO1091" s="138"/>
      <c r="BP1091" s="138"/>
      <c r="BQ1091" s="138"/>
      <c r="BR1091" s="138"/>
      <c r="BS1091" s="138"/>
      <c r="BT1091" s="138"/>
      <c r="BU1091" s="138"/>
      <c r="BV1091" s="138"/>
      <c r="BW1091" s="138"/>
      <c r="BX1091" s="138"/>
      <c r="BY1091" s="138"/>
      <c r="BZ1091" s="138"/>
      <c r="CA1091" s="138"/>
      <c r="CB1091" s="138"/>
      <c r="CC1091" s="138"/>
      <c r="CD1091" s="138"/>
      <c r="CE1091" s="138"/>
      <c r="CF1091" s="138"/>
      <c r="CG1091" s="138"/>
      <c r="CH1091" s="138"/>
      <c r="CI1091" s="138"/>
      <c r="CJ1091" s="138"/>
      <c r="CK1091" s="138"/>
      <c r="CL1091" s="138"/>
      <c r="CM1091" s="138"/>
      <c r="CN1091" s="138"/>
      <c r="CO1091" s="138"/>
      <c r="CP1091" s="138"/>
      <c r="CQ1091" s="138"/>
      <c r="CR1091" s="138"/>
      <c r="CS1091" s="138"/>
      <c r="CT1091" s="138"/>
      <c r="CU1091" s="138"/>
      <c r="CV1091" s="138"/>
      <c r="CW1091" s="138"/>
      <c r="CX1091" s="138"/>
      <c r="CY1091" s="138"/>
      <c r="CZ1091" s="138"/>
      <c r="DA1091" s="138"/>
      <c r="DB1091" s="138"/>
      <c r="DC1091" s="138"/>
      <c r="DD1091" s="138"/>
      <c r="DE1091" s="138"/>
      <c r="DF1091" s="138"/>
      <c r="DG1091" s="115"/>
    </row>
    <row r="1092" spans="1:111" ht="9" customHeight="1">
      <c r="A1092"/>
      <c r="B1092" s="143"/>
      <c r="C1092" s="143"/>
      <c r="D1092" s="143"/>
      <c r="E1092" s="143"/>
      <c r="F1092" s="143"/>
      <c r="G1092" s="143"/>
      <c r="H1092" s="143"/>
      <c r="I1092" s="143"/>
      <c r="J1092" s="143"/>
      <c r="K1092" s="143"/>
      <c r="L1092" s="143"/>
      <c r="M1092" s="143"/>
      <c r="N1092" s="143"/>
      <c r="O1092" s="421"/>
      <c r="P1092" s="421"/>
      <c r="Q1092" s="421"/>
      <c r="R1092" s="421"/>
      <c r="S1092" s="421"/>
      <c r="T1092" s="421"/>
      <c r="U1092" s="421"/>
      <c r="V1092" s="421"/>
      <c r="W1092" s="421"/>
      <c r="X1092" s="421"/>
      <c r="Y1092" s="421"/>
      <c r="Z1092" s="421"/>
      <c r="AA1092" s="421"/>
      <c r="AB1092" s="421"/>
      <c r="AC1092" s="421"/>
      <c r="AD1092" s="421"/>
      <c r="AE1092" s="421"/>
      <c r="AF1092" s="421"/>
      <c r="AG1092" s="421"/>
      <c r="AH1092" s="421"/>
      <c r="AI1092" s="421"/>
      <c r="AJ1092" s="421"/>
      <c r="AK1092" s="421"/>
      <c r="AL1092" s="421"/>
      <c r="AM1092" s="421"/>
      <c r="AN1092" s="421"/>
      <c r="AO1092" s="421"/>
      <c r="AP1092" s="421"/>
      <c r="AQ1092" s="421"/>
      <c r="AR1092" s="421"/>
      <c r="AS1092" s="421"/>
      <c r="AT1092" s="421"/>
      <c r="AU1092" s="421"/>
      <c r="AV1092" s="421"/>
      <c r="AW1092" s="421"/>
      <c r="AX1092" s="421"/>
      <c r="AY1092" s="421"/>
      <c r="AZ1092" s="421"/>
      <c r="BA1092" s="421"/>
      <c r="BB1092"/>
      <c r="BC1092" s="115"/>
      <c r="BD1092" s="115"/>
      <c r="BE1092" s="115"/>
      <c r="BF1092" s="115"/>
      <c r="BG1092" s="115"/>
      <c r="BH1092" s="138"/>
      <c r="BI1092" s="138"/>
      <c r="BJ1092" s="138"/>
      <c r="BK1092" s="138"/>
      <c r="BL1092" s="138"/>
      <c r="BM1092" s="138"/>
      <c r="BN1092" s="138"/>
      <c r="BO1092" s="138"/>
      <c r="BP1092" s="138"/>
      <c r="BQ1092" s="138"/>
      <c r="BR1092" s="138"/>
      <c r="BS1092" s="138"/>
      <c r="BT1092" s="138"/>
      <c r="BU1092" s="138"/>
      <c r="BV1092" s="138"/>
      <c r="BW1092" s="138"/>
      <c r="BX1092" s="138"/>
      <c r="BY1092" s="138"/>
      <c r="BZ1092" s="138"/>
      <c r="CA1092" s="138"/>
      <c r="CB1092" s="138"/>
      <c r="CC1092" s="138"/>
      <c r="CD1092" s="138"/>
      <c r="CE1092" s="138"/>
      <c r="CF1092" s="138"/>
      <c r="CG1092" s="138"/>
      <c r="CH1092" s="138"/>
      <c r="CI1092" s="138"/>
      <c r="CJ1092" s="138"/>
      <c r="CK1092" s="138"/>
      <c r="CL1092" s="138"/>
      <c r="CM1092" s="138"/>
      <c r="CN1092" s="138"/>
      <c r="CO1092" s="138"/>
      <c r="CP1092" s="138"/>
      <c r="CQ1092" s="138"/>
      <c r="CR1092" s="138"/>
      <c r="CS1092" s="138"/>
      <c r="CT1092" s="138"/>
      <c r="CU1092" s="138"/>
      <c r="CV1092" s="138"/>
      <c r="CW1092" s="138"/>
      <c r="CX1092" s="138"/>
      <c r="CY1092" s="138"/>
      <c r="CZ1092" s="138"/>
      <c r="DA1092" s="138"/>
      <c r="DB1092" s="138"/>
      <c r="DC1092" s="138"/>
      <c r="DD1092" s="138"/>
      <c r="DE1092" s="138"/>
      <c r="DF1092" s="138"/>
      <c r="DG1092" s="115"/>
    </row>
    <row r="1093" spans="1:111" ht="9" customHeight="1">
      <c r="A1093"/>
      <c r="B1093" s="143"/>
      <c r="C1093" s="143"/>
      <c r="D1093" s="143"/>
      <c r="E1093" s="143"/>
      <c r="F1093" s="143"/>
      <c r="G1093" s="143"/>
      <c r="H1093" s="143"/>
      <c r="I1093" s="143"/>
      <c r="J1093" s="143"/>
      <c r="K1093" s="143"/>
      <c r="L1093" s="143"/>
      <c r="M1093" s="143"/>
      <c r="N1093" s="143"/>
      <c r="O1093" s="421"/>
      <c r="P1093" s="421"/>
      <c r="Q1093" s="421"/>
      <c r="R1093" s="421"/>
      <c r="S1093" s="421"/>
      <c r="T1093" s="421"/>
      <c r="U1093" s="421"/>
      <c r="V1093" s="421"/>
      <c r="W1093" s="421"/>
      <c r="X1093" s="421"/>
      <c r="Y1093" s="421"/>
      <c r="Z1093" s="421"/>
      <c r="AA1093" s="421"/>
      <c r="AB1093" s="421"/>
      <c r="AC1093" s="421"/>
      <c r="AD1093" s="421"/>
      <c r="AE1093" s="421"/>
      <c r="AF1093" s="421"/>
      <c r="AG1093" s="421"/>
      <c r="AH1093" s="421"/>
      <c r="AI1093" s="421"/>
      <c r="AJ1093" s="421"/>
      <c r="AK1093" s="421"/>
      <c r="AL1093" s="421"/>
      <c r="AM1093" s="421"/>
      <c r="AN1093" s="421"/>
      <c r="AO1093" s="421"/>
      <c r="AP1093" s="421"/>
      <c r="AQ1093" s="421"/>
      <c r="AR1093" s="421"/>
      <c r="AS1093" s="421"/>
      <c r="AT1093" s="421"/>
      <c r="AU1093" s="421"/>
      <c r="AV1093" s="421"/>
      <c r="AW1093" s="421"/>
      <c r="AX1093" s="421"/>
      <c r="AY1093" s="421"/>
      <c r="AZ1093" s="421"/>
      <c r="BA1093" s="421"/>
      <c r="BB1093"/>
      <c r="BC1093" s="115"/>
      <c r="BD1093" s="115"/>
      <c r="BE1093" s="115"/>
      <c r="BF1093" s="115"/>
      <c r="BG1093" s="115"/>
      <c r="BH1093" s="138"/>
      <c r="BI1093" s="138"/>
      <c r="BJ1093" s="138"/>
      <c r="BK1093" s="138"/>
      <c r="BL1093" s="138"/>
      <c r="BM1093" s="138"/>
      <c r="BN1093" s="138"/>
      <c r="BO1093" s="138"/>
      <c r="BP1093" s="138"/>
      <c r="BQ1093" s="138"/>
      <c r="BR1093" s="138"/>
      <c r="BS1093" s="138"/>
      <c r="BT1093" s="138"/>
      <c r="BU1093" s="138"/>
      <c r="BV1093" s="138"/>
      <c r="BW1093" s="138"/>
      <c r="BX1093" s="138"/>
      <c r="BY1093" s="138"/>
      <c r="BZ1093" s="138"/>
      <c r="CA1093" s="138"/>
      <c r="CB1093" s="138"/>
      <c r="CC1093" s="138"/>
      <c r="CD1093" s="138"/>
      <c r="CE1093" s="138"/>
      <c r="CF1093" s="138"/>
      <c r="CG1093" s="138"/>
      <c r="CH1093" s="138"/>
      <c r="CI1093" s="138"/>
      <c r="CJ1093" s="138"/>
      <c r="CK1093" s="138"/>
      <c r="CL1093" s="138"/>
      <c r="CM1093" s="138"/>
      <c r="CN1093" s="138"/>
      <c r="CO1093" s="138"/>
      <c r="CP1093" s="138"/>
      <c r="CQ1093" s="138"/>
      <c r="CR1093" s="138"/>
      <c r="CS1093" s="138"/>
      <c r="CT1093" s="138"/>
      <c r="CU1093" s="138"/>
      <c r="CV1093" s="138"/>
      <c r="CW1093" s="138"/>
      <c r="CX1093" s="138"/>
      <c r="CY1093" s="138"/>
      <c r="CZ1093" s="138"/>
      <c r="DA1093" s="138"/>
      <c r="DB1093" s="138"/>
      <c r="DC1093" s="138"/>
      <c r="DD1093" s="138"/>
      <c r="DE1093" s="138"/>
      <c r="DF1093" s="138"/>
      <c r="DG1093" s="115"/>
    </row>
    <row r="1094" spans="1:111" ht="9" customHeight="1">
      <c r="A1094"/>
      <c r="B1094" s="49"/>
      <c r="C1094" s="49"/>
      <c r="D1094" s="49"/>
      <c r="E1094" s="49"/>
      <c r="F1094" s="49"/>
      <c r="G1094" s="49"/>
      <c r="H1094" s="49"/>
      <c r="I1094" s="49"/>
      <c r="J1094" s="49"/>
      <c r="K1094" s="49"/>
      <c r="L1094" s="49"/>
      <c r="M1094" s="49"/>
      <c r="N1094" s="49"/>
      <c r="O1094" s="421"/>
      <c r="P1094" s="421"/>
      <c r="Q1094" s="421"/>
      <c r="R1094" s="421"/>
      <c r="S1094" s="421"/>
      <c r="T1094" s="421"/>
      <c r="U1094" s="421"/>
      <c r="V1094" s="421"/>
      <c r="W1094" s="421"/>
      <c r="X1094" s="421"/>
      <c r="Y1094" s="421"/>
      <c r="Z1094" s="421"/>
      <c r="AA1094" s="421"/>
      <c r="AB1094" s="421"/>
      <c r="AC1094" s="421"/>
      <c r="AD1094" s="421"/>
      <c r="AE1094" s="421"/>
      <c r="AF1094" s="421"/>
      <c r="AG1094" s="421"/>
      <c r="AH1094" s="421"/>
      <c r="AI1094" s="421"/>
      <c r="AJ1094" s="421"/>
      <c r="AK1094" s="421"/>
      <c r="AL1094" s="421"/>
      <c r="AM1094" s="421"/>
      <c r="AN1094" s="421"/>
      <c r="AO1094" s="421"/>
      <c r="AP1094" s="421"/>
      <c r="AQ1094" s="421"/>
      <c r="AR1094" s="421"/>
      <c r="AS1094" s="421"/>
      <c r="AT1094" s="421"/>
      <c r="AU1094" s="421"/>
      <c r="AV1094" s="421"/>
      <c r="AW1094" s="421"/>
      <c r="AX1094" s="421"/>
      <c r="AY1094" s="421"/>
      <c r="AZ1094" s="421"/>
      <c r="BA1094" s="421"/>
      <c r="BB1094"/>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c r="BY1094" s="115"/>
      <c r="BZ1094" s="115"/>
      <c r="CA1094" s="115"/>
      <c r="CB1094" s="115"/>
      <c r="CC1094" s="115"/>
      <c r="CD1094" s="115"/>
      <c r="CE1094" s="115"/>
      <c r="CF1094" s="115"/>
      <c r="CG1094" s="115"/>
      <c r="CH1094" s="115"/>
      <c r="CI1094" s="115"/>
      <c r="CJ1094" s="115"/>
      <c r="CK1094" s="115"/>
      <c r="CL1094" s="115"/>
      <c r="CM1094" s="115"/>
      <c r="CN1094" s="115"/>
      <c r="CO1094" s="115"/>
      <c r="CP1094" s="115"/>
      <c r="CQ1094" s="115"/>
      <c r="CR1094" s="115"/>
      <c r="CS1094" s="115"/>
      <c r="CT1094" s="115"/>
      <c r="CU1094" s="115"/>
      <c r="CV1094" s="115"/>
      <c r="CW1094" s="115"/>
      <c r="CX1094" s="115"/>
      <c r="CY1094" s="115"/>
      <c r="CZ1094" s="115"/>
      <c r="DA1094" s="115"/>
      <c r="DB1094" s="115"/>
      <c r="DC1094" s="115"/>
      <c r="DD1094" s="115"/>
      <c r="DE1094" s="115"/>
      <c r="DF1094" s="115"/>
      <c r="DG1094" s="115"/>
    </row>
    <row r="1095" spans="1:111" ht="4.5" customHeight="1">
      <c r="A1095"/>
      <c r="B1095" s="49"/>
      <c r="C1095" s="49"/>
      <c r="D1095" s="49"/>
      <c r="E1095" s="49"/>
      <c r="F1095" s="49"/>
      <c r="G1095" s="49"/>
      <c r="H1095" s="49"/>
      <c r="I1095" s="49"/>
      <c r="J1095" s="49"/>
      <c r="K1095" s="49"/>
      <c r="L1095" s="49"/>
      <c r="M1095" s="49"/>
      <c r="N1095" s="49"/>
      <c r="O1095" s="49"/>
      <c r="P1095" s="49"/>
      <c r="Q1095" s="49"/>
      <c r="R1095" s="49"/>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49"/>
      <c r="AS1095" s="49"/>
      <c r="AT1095" s="49"/>
      <c r="AU1095" s="49"/>
      <c r="AV1095" s="49"/>
      <c r="AW1095" s="49"/>
      <c r="AX1095" s="49"/>
      <c r="AY1095" s="49"/>
      <c r="AZ1095" s="49"/>
      <c r="BA1095" s="49"/>
      <c r="BB1095"/>
      <c r="BC1095" s="115"/>
      <c r="BD1095" s="115"/>
      <c r="BE1095" s="115"/>
      <c r="BF1095" s="115"/>
      <c r="BG1095" s="115"/>
      <c r="BH1095" s="124"/>
      <c r="BI1095" s="124"/>
      <c r="BJ1095" s="124"/>
      <c r="BK1095" s="124"/>
      <c r="BL1095" s="124"/>
      <c r="BM1095" s="124"/>
      <c r="BN1095" s="124"/>
      <c r="BO1095" s="124"/>
      <c r="BP1095" s="124"/>
      <c r="BQ1095" s="124"/>
      <c r="BR1095" s="124"/>
      <c r="BS1095" s="124"/>
      <c r="BT1095" s="124"/>
      <c r="BU1095" s="124"/>
      <c r="BV1095" s="124"/>
      <c r="BW1095" s="124"/>
      <c r="BX1095" s="124"/>
      <c r="BY1095" s="124"/>
      <c r="BZ1095" s="124"/>
      <c r="CA1095" s="124"/>
      <c r="CB1095" s="124"/>
      <c r="CC1095" s="124"/>
      <c r="CD1095" s="124"/>
      <c r="CE1095" s="124"/>
      <c r="CF1095" s="124"/>
      <c r="CG1095" s="124"/>
      <c r="CH1095" s="124"/>
      <c r="CI1095" s="124"/>
      <c r="CJ1095" s="124"/>
      <c r="CK1095" s="124"/>
      <c r="CL1095" s="124"/>
      <c r="CM1095" s="124"/>
      <c r="CN1095" s="124"/>
      <c r="CO1095" s="124"/>
      <c r="CP1095" s="124"/>
      <c r="CQ1095" s="124"/>
      <c r="CR1095" s="124"/>
      <c r="CS1095" s="124"/>
      <c r="CT1095" s="124"/>
      <c r="CU1095" s="124"/>
      <c r="CV1095" s="124"/>
      <c r="CW1095" s="124"/>
      <c r="CX1095" s="124"/>
      <c r="CY1095" s="124"/>
      <c r="CZ1095" s="124"/>
      <c r="DA1095" s="124"/>
      <c r="DB1095" s="124"/>
      <c r="DC1095" s="124"/>
      <c r="DD1095" s="124"/>
      <c r="DE1095" s="124"/>
      <c r="DF1095" s="124"/>
      <c r="DG1095" s="115"/>
    </row>
    <row r="1096" spans="1:111" ht="9" customHeight="1">
      <c r="A1096"/>
      <c r="B1096" s="493" t="str">
        <f>IF(B1076="","","Justificativa:")</f>
        <v/>
      </c>
      <c r="C1096" s="493"/>
      <c r="D1096" s="493"/>
      <c r="E1096" s="493"/>
      <c r="F1096" s="493"/>
      <c r="G1096" s="493"/>
      <c r="H1096" s="493"/>
      <c r="I1096" s="493"/>
      <c r="J1096" s="493"/>
      <c r="K1096" s="493"/>
      <c r="L1096" s="493"/>
      <c r="M1096" s="493"/>
      <c r="N1096" s="493"/>
      <c r="O1096" s="421"/>
      <c r="P1096" s="421"/>
      <c r="Q1096" s="421"/>
      <c r="R1096" s="421"/>
      <c r="S1096" s="421"/>
      <c r="T1096" s="421"/>
      <c r="U1096" s="421"/>
      <c r="V1096" s="421"/>
      <c r="W1096" s="421"/>
      <c r="X1096" s="421"/>
      <c r="Y1096" s="421"/>
      <c r="Z1096" s="421"/>
      <c r="AA1096" s="421"/>
      <c r="AB1096" s="421"/>
      <c r="AC1096" s="421"/>
      <c r="AD1096" s="421"/>
      <c r="AE1096" s="421"/>
      <c r="AF1096" s="421"/>
      <c r="AG1096" s="421"/>
      <c r="AH1096" s="421"/>
      <c r="AI1096" s="421"/>
      <c r="AJ1096" s="421"/>
      <c r="AK1096" s="421"/>
      <c r="AL1096" s="421"/>
      <c r="AM1096" s="421"/>
      <c r="AN1096" s="421"/>
      <c r="AO1096" s="421"/>
      <c r="AP1096" s="421"/>
      <c r="AQ1096" s="421"/>
      <c r="AR1096" s="421"/>
      <c r="AS1096" s="421"/>
      <c r="AT1096" s="421"/>
      <c r="AU1096" s="421"/>
      <c r="AV1096" s="421"/>
      <c r="AW1096" s="421"/>
      <c r="AX1096" s="421"/>
      <c r="AY1096" s="421"/>
      <c r="AZ1096" s="421"/>
      <c r="BA1096" s="421"/>
      <c r="BB1096"/>
      <c r="BC1096" s="115"/>
      <c r="BD1096" s="115"/>
      <c r="BE1096" s="115"/>
      <c r="BF1096" s="115"/>
      <c r="BG1096" s="115"/>
      <c r="BH1096" s="124"/>
      <c r="BI1096" s="124"/>
      <c r="BJ1096" s="124"/>
      <c r="BK1096" s="124"/>
      <c r="BL1096" s="124"/>
      <c r="BM1096" s="124"/>
      <c r="BN1096" s="124"/>
      <c r="BO1096" s="124"/>
      <c r="BP1096" s="124"/>
      <c r="BQ1096" s="124"/>
      <c r="BR1096" s="124"/>
      <c r="BS1096" s="124"/>
      <c r="BT1096" s="124"/>
      <c r="BU1096" s="124"/>
      <c r="BV1096" s="124"/>
      <c r="BW1096" s="124"/>
      <c r="BX1096" s="124"/>
      <c r="BY1096" s="124"/>
      <c r="BZ1096" s="124"/>
      <c r="CA1096" s="124"/>
      <c r="CB1096" s="124"/>
      <c r="CC1096" s="124"/>
      <c r="CD1096" s="124"/>
      <c r="CE1096" s="124"/>
      <c r="CF1096" s="124"/>
      <c r="CG1096" s="124"/>
      <c r="CH1096" s="124"/>
      <c r="CI1096" s="124"/>
      <c r="CJ1096" s="124"/>
      <c r="CK1096" s="124"/>
      <c r="CL1096" s="124"/>
      <c r="CM1096" s="124"/>
      <c r="CN1096" s="124"/>
      <c r="CO1096" s="124"/>
      <c r="CP1096" s="124"/>
      <c r="CQ1096" s="124"/>
      <c r="CR1096" s="124"/>
      <c r="CS1096" s="124"/>
      <c r="CT1096" s="124"/>
      <c r="CU1096" s="124"/>
      <c r="CV1096" s="124"/>
      <c r="CW1096" s="124"/>
      <c r="CX1096" s="124"/>
      <c r="CY1096" s="124"/>
      <c r="CZ1096" s="124"/>
      <c r="DA1096" s="124"/>
      <c r="DB1096" s="124"/>
      <c r="DC1096" s="124"/>
      <c r="DD1096" s="124"/>
      <c r="DE1096" s="124"/>
      <c r="DF1096" s="124"/>
      <c r="DG1096" s="115"/>
    </row>
    <row r="1097" spans="1:111" ht="9" customHeight="1">
      <c r="A1097"/>
      <c r="B1097" s="493"/>
      <c r="C1097" s="493"/>
      <c r="D1097" s="493"/>
      <c r="E1097" s="493"/>
      <c r="F1097" s="493"/>
      <c r="G1097" s="493"/>
      <c r="H1097" s="493"/>
      <c r="I1097" s="493"/>
      <c r="J1097" s="493"/>
      <c r="K1097" s="493"/>
      <c r="L1097" s="493"/>
      <c r="M1097" s="493"/>
      <c r="N1097" s="493"/>
      <c r="O1097" s="421"/>
      <c r="P1097" s="421"/>
      <c r="Q1097" s="421"/>
      <c r="R1097" s="421"/>
      <c r="S1097" s="421"/>
      <c r="T1097" s="421"/>
      <c r="U1097" s="421"/>
      <c r="V1097" s="421"/>
      <c r="W1097" s="421"/>
      <c r="X1097" s="421"/>
      <c r="Y1097" s="421"/>
      <c r="Z1097" s="421"/>
      <c r="AA1097" s="421"/>
      <c r="AB1097" s="421"/>
      <c r="AC1097" s="421"/>
      <c r="AD1097" s="421"/>
      <c r="AE1097" s="421"/>
      <c r="AF1097" s="421"/>
      <c r="AG1097" s="421"/>
      <c r="AH1097" s="421"/>
      <c r="AI1097" s="421"/>
      <c r="AJ1097" s="421"/>
      <c r="AK1097" s="421"/>
      <c r="AL1097" s="421"/>
      <c r="AM1097" s="421"/>
      <c r="AN1097" s="421"/>
      <c r="AO1097" s="421"/>
      <c r="AP1097" s="421"/>
      <c r="AQ1097" s="421"/>
      <c r="AR1097" s="421"/>
      <c r="AS1097" s="421"/>
      <c r="AT1097" s="421"/>
      <c r="AU1097" s="421"/>
      <c r="AV1097" s="421"/>
      <c r="AW1097" s="421"/>
      <c r="AX1097" s="421"/>
      <c r="AY1097" s="421"/>
      <c r="AZ1097" s="421"/>
      <c r="BA1097" s="421"/>
      <c r="BB1097"/>
      <c r="BC1097" s="115"/>
      <c r="BD1097" s="115"/>
      <c r="BE1097" s="115"/>
      <c r="BF1097" s="115"/>
      <c r="BG1097" s="115"/>
      <c r="BH1097" s="124"/>
      <c r="BI1097" s="124"/>
      <c r="BJ1097" s="124"/>
      <c r="BK1097" s="124"/>
      <c r="BL1097" s="124"/>
      <c r="BM1097" s="124"/>
      <c r="BN1097" s="124"/>
      <c r="BO1097" s="124"/>
      <c r="BP1097" s="124"/>
      <c r="BQ1097" s="124"/>
      <c r="BR1097" s="124"/>
      <c r="BS1097" s="124"/>
      <c r="BT1097" s="124"/>
      <c r="BU1097" s="124"/>
      <c r="BV1097" s="124"/>
      <c r="BW1097" s="124"/>
      <c r="BX1097" s="124"/>
      <c r="BY1097" s="124"/>
      <c r="BZ1097" s="124"/>
      <c r="CA1097" s="124"/>
      <c r="CB1097" s="124"/>
      <c r="CC1097" s="124"/>
      <c r="CD1097" s="124"/>
      <c r="CE1097" s="124"/>
      <c r="CF1097" s="124"/>
      <c r="CG1097" s="124"/>
      <c r="CH1097" s="124"/>
      <c r="CI1097" s="124"/>
      <c r="CJ1097" s="124"/>
      <c r="CK1097" s="124"/>
      <c r="CL1097" s="124"/>
      <c r="CM1097" s="124"/>
      <c r="CN1097" s="124"/>
      <c r="CO1097" s="124"/>
      <c r="CP1097" s="124"/>
      <c r="CQ1097" s="124"/>
      <c r="CR1097" s="124"/>
      <c r="CS1097" s="124"/>
      <c r="CT1097" s="124"/>
      <c r="CU1097" s="124"/>
      <c r="CV1097" s="124"/>
      <c r="CW1097" s="124"/>
      <c r="CX1097" s="124"/>
      <c r="CY1097" s="124"/>
      <c r="CZ1097" s="124"/>
      <c r="DA1097" s="124"/>
      <c r="DB1097" s="124"/>
      <c r="DC1097" s="124"/>
      <c r="DD1097" s="124"/>
      <c r="DE1097" s="124"/>
      <c r="DF1097" s="124"/>
      <c r="DG1097" s="115"/>
    </row>
    <row r="1098" spans="1:111" ht="9" customHeight="1">
      <c r="A1098"/>
      <c r="B1098" s="143"/>
      <c r="C1098" s="143"/>
      <c r="D1098" s="143"/>
      <c r="E1098" s="143"/>
      <c r="F1098" s="143"/>
      <c r="G1098" s="143"/>
      <c r="H1098" s="143"/>
      <c r="I1098" s="143"/>
      <c r="J1098" s="143"/>
      <c r="K1098" s="143"/>
      <c r="L1098" s="143"/>
      <c r="M1098" s="143"/>
      <c r="N1098" s="143"/>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1"/>
      <c r="AL1098" s="421"/>
      <c r="AM1098" s="421"/>
      <c r="AN1098" s="421"/>
      <c r="AO1098" s="421"/>
      <c r="AP1098" s="421"/>
      <c r="AQ1098" s="421"/>
      <c r="AR1098" s="421"/>
      <c r="AS1098" s="421"/>
      <c r="AT1098" s="421"/>
      <c r="AU1098" s="421"/>
      <c r="AV1098" s="421"/>
      <c r="AW1098" s="421"/>
      <c r="AX1098" s="421"/>
      <c r="AY1098" s="421"/>
      <c r="AZ1098" s="421"/>
      <c r="BA1098" s="421"/>
      <c r="BB1098"/>
      <c r="BC1098" s="115"/>
      <c r="BD1098" s="115"/>
      <c r="BE1098" s="115"/>
      <c r="BF1098" s="115"/>
      <c r="BG1098" s="115"/>
      <c r="BH1098" s="124"/>
      <c r="BI1098" s="124"/>
      <c r="BJ1098" s="124"/>
      <c r="BK1098" s="124"/>
      <c r="BL1098" s="124"/>
      <c r="BM1098" s="124"/>
      <c r="BN1098" s="124"/>
      <c r="BO1098" s="124"/>
      <c r="BP1098" s="124"/>
      <c r="BQ1098" s="124"/>
      <c r="BR1098" s="124"/>
      <c r="BS1098" s="124"/>
      <c r="BT1098" s="124"/>
      <c r="BU1098" s="124"/>
      <c r="BV1098" s="124"/>
      <c r="BW1098" s="124"/>
      <c r="BX1098" s="124"/>
      <c r="BY1098" s="124"/>
      <c r="BZ1098" s="124"/>
      <c r="CA1098" s="124"/>
      <c r="CB1098" s="124"/>
      <c r="CC1098" s="124"/>
      <c r="CD1098" s="124"/>
      <c r="CE1098" s="124"/>
      <c r="CF1098" s="124"/>
      <c r="CG1098" s="124"/>
      <c r="CH1098" s="124"/>
      <c r="CI1098" s="124"/>
      <c r="CJ1098" s="124"/>
      <c r="CK1098" s="124"/>
      <c r="CL1098" s="124"/>
      <c r="CM1098" s="124"/>
      <c r="CN1098" s="124"/>
      <c r="CO1098" s="124"/>
      <c r="CP1098" s="124"/>
      <c r="CQ1098" s="124"/>
      <c r="CR1098" s="124"/>
      <c r="CS1098" s="124"/>
      <c r="CT1098" s="124"/>
      <c r="CU1098" s="124"/>
      <c r="CV1098" s="124"/>
      <c r="CW1098" s="124"/>
      <c r="CX1098" s="124"/>
      <c r="CY1098" s="124"/>
      <c r="CZ1098" s="124"/>
      <c r="DA1098" s="124"/>
      <c r="DB1098" s="124"/>
      <c r="DC1098" s="124"/>
      <c r="DD1098" s="124"/>
      <c r="DE1098" s="124"/>
      <c r="DF1098" s="124"/>
      <c r="DG1098" s="115"/>
    </row>
    <row r="1099" spans="1:111" ht="9" customHeight="1">
      <c r="A1099"/>
      <c r="B1099" s="143"/>
      <c r="C1099" s="143"/>
      <c r="D1099" s="143"/>
      <c r="E1099" s="143"/>
      <c r="F1099" s="143"/>
      <c r="G1099" s="143"/>
      <c r="H1099" s="143"/>
      <c r="I1099" s="143"/>
      <c r="J1099" s="143"/>
      <c r="K1099" s="143"/>
      <c r="L1099" s="143"/>
      <c r="M1099" s="143"/>
      <c r="N1099" s="143"/>
      <c r="O1099" s="421"/>
      <c r="P1099" s="421"/>
      <c r="Q1099" s="421"/>
      <c r="R1099" s="421"/>
      <c r="S1099" s="421"/>
      <c r="T1099" s="421"/>
      <c r="U1099" s="421"/>
      <c r="V1099" s="421"/>
      <c r="W1099" s="421"/>
      <c r="X1099" s="421"/>
      <c r="Y1099" s="421"/>
      <c r="Z1099" s="421"/>
      <c r="AA1099" s="421"/>
      <c r="AB1099" s="421"/>
      <c r="AC1099" s="421"/>
      <c r="AD1099" s="421"/>
      <c r="AE1099" s="421"/>
      <c r="AF1099" s="421"/>
      <c r="AG1099" s="421"/>
      <c r="AH1099" s="421"/>
      <c r="AI1099" s="421"/>
      <c r="AJ1099" s="421"/>
      <c r="AK1099" s="421"/>
      <c r="AL1099" s="421"/>
      <c r="AM1099" s="421"/>
      <c r="AN1099" s="421"/>
      <c r="AO1099" s="421"/>
      <c r="AP1099" s="421"/>
      <c r="AQ1099" s="421"/>
      <c r="AR1099" s="421"/>
      <c r="AS1099" s="421"/>
      <c r="AT1099" s="421"/>
      <c r="AU1099" s="421"/>
      <c r="AV1099" s="421"/>
      <c r="AW1099" s="421"/>
      <c r="AX1099" s="421"/>
      <c r="AY1099" s="421"/>
      <c r="AZ1099" s="421"/>
      <c r="BA1099" s="421"/>
      <c r="BB1099"/>
      <c r="BC1099" s="115"/>
      <c r="BD1099" s="115"/>
      <c r="BE1099" s="115"/>
      <c r="BF1099" s="115"/>
      <c r="BG1099" s="115"/>
      <c r="BH1099" s="138"/>
      <c r="BI1099" s="138"/>
      <c r="BJ1099" s="138"/>
      <c r="BK1099" s="138"/>
      <c r="BL1099" s="138"/>
      <c r="BM1099" s="138"/>
      <c r="BN1099" s="138"/>
      <c r="BO1099" s="138"/>
      <c r="BP1099" s="138"/>
      <c r="BQ1099" s="138"/>
      <c r="BR1099" s="138"/>
      <c r="BS1099" s="138"/>
      <c r="BT1099" s="138"/>
      <c r="BU1099" s="138"/>
      <c r="BV1099" s="138"/>
      <c r="BW1099" s="138"/>
      <c r="BX1099" s="138"/>
      <c r="BY1099" s="138"/>
      <c r="BZ1099" s="138"/>
      <c r="CA1099" s="138"/>
      <c r="CB1099" s="138"/>
      <c r="CC1099" s="138"/>
      <c r="CD1099" s="138"/>
      <c r="CE1099" s="138"/>
      <c r="CF1099" s="138"/>
      <c r="CG1099" s="138"/>
      <c r="CH1099" s="138"/>
      <c r="CI1099" s="138"/>
      <c r="CJ1099" s="138"/>
      <c r="CK1099" s="138"/>
      <c r="CL1099" s="138"/>
      <c r="CM1099" s="138"/>
      <c r="CN1099" s="138"/>
      <c r="CO1099" s="138"/>
      <c r="CP1099" s="138"/>
      <c r="CQ1099" s="138"/>
      <c r="CR1099" s="138"/>
      <c r="CS1099" s="138"/>
      <c r="CT1099" s="138"/>
      <c r="CU1099" s="138"/>
      <c r="CV1099" s="138"/>
      <c r="CW1099" s="138"/>
      <c r="CX1099" s="138"/>
      <c r="CY1099" s="138"/>
      <c r="CZ1099" s="138"/>
      <c r="DA1099" s="138"/>
      <c r="DB1099" s="138"/>
      <c r="DC1099" s="138"/>
      <c r="DD1099" s="138"/>
      <c r="DE1099" s="138"/>
      <c r="DF1099" s="138"/>
      <c r="DG1099" s="115"/>
    </row>
    <row r="1100" spans="1:111" ht="9" customHeight="1">
      <c r="A1100"/>
      <c r="B1100" s="143"/>
      <c r="C1100" s="143"/>
      <c r="D1100" s="143"/>
      <c r="E1100" s="143"/>
      <c r="F1100" s="143"/>
      <c r="G1100" s="143"/>
      <c r="H1100" s="143"/>
      <c r="I1100" s="143"/>
      <c r="J1100" s="143"/>
      <c r="K1100" s="143"/>
      <c r="L1100" s="143"/>
      <c r="M1100" s="143"/>
      <c r="N1100" s="143"/>
      <c r="O1100" s="421"/>
      <c r="P1100" s="421"/>
      <c r="Q1100" s="421"/>
      <c r="R1100" s="421"/>
      <c r="S1100" s="421"/>
      <c r="T1100" s="421"/>
      <c r="U1100" s="421"/>
      <c r="V1100" s="421"/>
      <c r="W1100" s="421"/>
      <c r="X1100" s="421"/>
      <c r="Y1100" s="421"/>
      <c r="Z1100" s="421"/>
      <c r="AA1100" s="421"/>
      <c r="AB1100" s="421"/>
      <c r="AC1100" s="421"/>
      <c r="AD1100" s="421"/>
      <c r="AE1100" s="421"/>
      <c r="AF1100" s="421"/>
      <c r="AG1100" s="421"/>
      <c r="AH1100" s="421"/>
      <c r="AI1100" s="421"/>
      <c r="AJ1100" s="421"/>
      <c r="AK1100" s="421"/>
      <c r="AL1100" s="421"/>
      <c r="AM1100" s="421"/>
      <c r="AN1100" s="421"/>
      <c r="AO1100" s="421"/>
      <c r="AP1100" s="421"/>
      <c r="AQ1100" s="421"/>
      <c r="AR1100" s="421"/>
      <c r="AS1100" s="421"/>
      <c r="AT1100" s="421"/>
      <c r="AU1100" s="421"/>
      <c r="AV1100" s="421"/>
      <c r="AW1100" s="421"/>
      <c r="AX1100" s="421"/>
      <c r="AY1100" s="421"/>
      <c r="AZ1100" s="421"/>
      <c r="BA1100" s="421"/>
      <c r="BB1100"/>
      <c r="BC1100" s="115"/>
      <c r="BD1100" s="115"/>
      <c r="BE1100" s="115"/>
      <c r="BF1100" s="115"/>
      <c r="BG1100" s="115"/>
      <c r="BH1100" s="138"/>
      <c r="BI1100" s="138"/>
      <c r="BJ1100" s="138"/>
      <c r="BK1100" s="138"/>
      <c r="BL1100" s="138"/>
      <c r="BM1100" s="138"/>
      <c r="BN1100" s="138"/>
      <c r="BO1100" s="138"/>
      <c r="BP1100" s="138"/>
      <c r="BQ1100" s="138"/>
      <c r="BR1100" s="138"/>
      <c r="BS1100" s="138"/>
      <c r="BT1100" s="138"/>
      <c r="BU1100" s="138"/>
      <c r="BV1100" s="138"/>
      <c r="BW1100" s="138"/>
      <c r="BX1100" s="138"/>
      <c r="BY1100" s="138"/>
      <c r="BZ1100" s="138"/>
      <c r="CA1100" s="138"/>
      <c r="CB1100" s="138"/>
      <c r="CC1100" s="138"/>
      <c r="CD1100" s="138"/>
      <c r="CE1100" s="138"/>
      <c r="CF1100" s="138"/>
      <c r="CG1100" s="138"/>
      <c r="CH1100" s="138"/>
      <c r="CI1100" s="138"/>
      <c r="CJ1100" s="138"/>
      <c r="CK1100" s="138"/>
      <c r="CL1100" s="138"/>
      <c r="CM1100" s="138"/>
      <c r="CN1100" s="138"/>
      <c r="CO1100" s="138"/>
      <c r="CP1100" s="138"/>
      <c r="CQ1100" s="138"/>
      <c r="CR1100" s="138"/>
      <c r="CS1100" s="138"/>
      <c r="CT1100" s="138"/>
      <c r="CU1100" s="138"/>
      <c r="CV1100" s="138"/>
      <c r="CW1100" s="138"/>
      <c r="CX1100" s="138"/>
      <c r="CY1100" s="138"/>
      <c r="CZ1100" s="138"/>
      <c r="DA1100" s="138"/>
      <c r="DB1100" s="138"/>
      <c r="DC1100" s="138"/>
      <c r="DD1100" s="138"/>
      <c r="DE1100" s="138"/>
      <c r="DF1100" s="138"/>
      <c r="DG1100" s="115"/>
    </row>
    <row r="1101" spans="1:111" ht="9" customHeight="1">
      <c r="A1101"/>
      <c r="B1101" s="49"/>
      <c r="C1101" s="49"/>
      <c r="D1101" s="49"/>
      <c r="E1101" s="49"/>
      <c r="F1101" s="49"/>
      <c r="G1101" s="49"/>
      <c r="H1101" s="49"/>
      <c r="I1101" s="49"/>
      <c r="J1101" s="49"/>
      <c r="K1101" s="49"/>
      <c r="L1101" s="49"/>
      <c r="M1101" s="49"/>
      <c r="N1101" s="49"/>
      <c r="O1101" s="421"/>
      <c r="P1101" s="421"/>
      <c r="Q1101" s="421"/>
      <c r="R1101" s="421"/>
      <c r="S1101" s="421"/>
      <c r="T1101" s="421"/>
      <c r="U1101" s="421"/>
      <c r="V1101" s="421"/>
      <c r="W1101" s="421"/>
      <c r="X1101" s="421"/>
      <c r="Y1101" s="421"/>
      <c r="Z1101" s="421"/>
      <c r="AA1101" s="421"/>
      <c r="AB1101" s="421"/>
      <c r="AC1101" s="421"/>
      <c r="AD1101" s="421"/>
      <c r="AE1101" s="421"/>
      <c r="AF1101" s="421"/>
      <c r="AG1101" s="421"/>
      <c r="AH1101" s="421"/>
      <c r="AI1101" s="421"/>
      <c r="AJ1101" s="421"/>
      <c r="AK1101" s="421"/>
      <c r="AL1101" s="421"/>
      <c r="AM1101" s="421"/>
      <c r="AN1101" s="421"/>
      <c r="AO1101" s="421"/>
      <c r="AP1101" s="421"/>
      <c r="AQ1101" s="421"/>
      <c r="AR1101" s="421"/>
      <c r="AS1101" s="421"/>
      <c r="AT1101" s="421"/>
      <c r="AU1101" s="421"/>
      <c r="AV1101" s="421"/>
      <c r="AW1101" s="421"/>
      <c r="AX1101" s="421"/>
      <c r="AY1101" s="421"/>
      <c r="AZ1101" s="421"/>
      <c r="BA1101" s="421"/>
      <c r="BB1101"/>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c r="BY1101" s="115"/>
      <c r="BZ1101" s="115"/>
      <c r="CA1101" s="115"/>
      <c r="CB1101" s="115"/>
      <c r="CC1101" s="115"/>
      <c r="CD1101" s="115"/>
      <c r="CE1101" s="115"/>
      <c r="CF1101" s="115"/>
      <c r="CG1101" s="115"/>
      <c r="CH1101" s="115"/>
      <c r="CI1101" s="115"/>
      <c r="CJ1101" s="115"/>
      <c r="CK1101" s="115"/>
      <c r="CL1101" s="115"/>
      <c r="CM1101" s="115"/>
      <c r="CN1101" s="115"/>
      <c r="CO1101" s="115"/>
      <c r="CP1101" s="115"/>
      <c r="CQ1101" s="115"/>
      <c r="CR1101" s="115"/>
      <c r="CS1101" s="115"/>
      <c r="CT1101" s="115"/>
      <c r="CU1101" s="115"/>
      <c r="CV1101" s="115"/>
      <c r="CW1101" s="115"/>
      <c r="CX1101" s="115"/>
      <c r="CY1101" s="115"/>
      <c r="CZ1101" s="115"/>
      <c r="DA1101" s="115"/>
      <c r="DB1101" s="115"/>
      <c r="DC1101" s="115"/>
      <c r="DD1101" s="115"/>
      <c r="DE1101" s="115"/>
      <c r="DF1101" s="115"/>
      <c r="DG1101" s="115"/>
    </row>
    <row r="1102" spans="1:111" ht="4.5" customHeight="1">
      <c r="A1102"/>
      <c r="B1102" s="49"/>
      <c r="C1102" s="49"/>
      <c r="D1102" s="49"/>
      <c r="E1102" s="49"/>
      <c r="F1102" s="49"/>
      <c r="G1102" s="49"/>
      <c r="H1102" s="49"/>
      <c r="I1102" s="49"/>
      <c r="J1102" s="49"/>
      <c r="K1102" s="49"/>
      <c r="L1102" s="49"/>
      <c r="M1102" s="49"/>
      <c r="N1102" s="49"/>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49"/>
      <c r="AS1102" s="49"/>
      <c r="AT1102" s="49"/>
      <c r="AU1102" s="49"/>
      <c r="AV1102" s="49"/>
      <c r="AW1102" s="49"/>
      <c r="AX1102" s="49"/>
      <c r="AY1102" s="49"/>
      <c r="AZ1102" s="49"/>
      <c r="BA1102" s="49"/>
      <c r="BB1102"/>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c r="BY1102" s="115"/>
      <c r="BZ1102" s="115"/>
      <c r="CA1102" s="115"/>
      <c r="CB1102" s="115"/>
      <c r="CC1102" s="115"/>
      <c r="CD1102" s="115"/>
      <c r="CE1102" s="115"/>
      <c r="CF1102" s="115"/>
      <c r="CG1102" s="115"/>
      <c r="CH1102" s="115"/>
      <c r="CI1102" s="115"/>
      <c r="CJ1102" s="115"/>
      <c r="CK1102" s="115"/>
      <c r="CL1102" s="115"/>
      <c r="CM1102" s="115"/>
      <c r="CN1102" s="115"/>
      <c r="CO1102" s="115"/>
      <c r="CP1102" s="115"/>
      <c r="CQ1102" s="115"/>
      <c r="CR1102" s="115"/>
      <c r="CS1102" s="115"/>
      <c r="CT1102" s="115"/>
      <c r="CU1102" s="115"/>
      <c r="CV1102" s="115"/>
      <c r="CW1102" s="115"/>
      <c r="CX1102" s="115"/>
      <c r="CY1102" s="115"/>
      <c r="CZ1102" s="115"/>
      <c r="DA1102" s="115"/>
      <c r="DB1102" s="115"/>
      <c r="DC1102" s="115"/>
      <c r="DD1102" s="115"/>
      <c r="DE1102" s="115"/>
      <c r="DF1102" s="115"/>
      <c r="DG1102" s="115"/>
    </row>
    <row r="1103" spans="1:111" ht="9" customHeight="1">
      <c r="A1103"/>
      <c r="B1103" s="493" t="str">
        <f>IF(B1076="","","Metas Vinculadas:")</f>
        <v/>
      </c>
      <c r="C1103" s="493"/>
      <c r="D1103" s="493"/>
      <c r="E1103" s="493"/>
      <c r="F1103" s="493"/>
      <c r="G1103" s="493"/>
      <c r="H1103" s="493"/>
      <c r="I1103" s="493"/>
      <c r="J1103" s="493"/>
      <c r="K1103" s="493"/>
      <c r="L1103" s="493"/>
      <c r="M1103" s="493"/>
      <c r="N1103" s="493"/>
      <c r="O1103" s="421"/>
      <c r="P1103" s="421"/>
      <c r="Q1103" s="421"/>
      <c r="R1103" s="421"/>
      <c r="S1103" s="421"/>
      <c r="T1103" s="421"/>
      <c r="U1103" s="421"/>
      <c r="V1103" s="421"/>
      <c r="W1103" s="421"/>
      <c r="X1103" s="421"/>
      <c r="Y1103" s="421"/>
      <c r="Z1103" s="421"/>
      <c r="AA1103" s="421"/>
      <c r="AB1103" s="421"/>
      <c r="AC1103" s="421"/>
      <c r="AD1103" s="421"/>
      <c r="AE1103" s="421"/>
      <c r="AF1103" s="421"/>
      <c r="AG1103" s="421"/>
      <c r="AH1103" s="421"/>
      <c r="AI1103" s="421"/>
      <c r="AJ1103" s="421"/>
      <c r="AK1103" s="421"/>
      <c r="AL1103" s="421"/>
      <c r="AM1103" s="421"/>
      <c r="AN1103" s="421"/>
      <c r="AO1103" s="421"/>
      <c r="AP1103" s="421"/>
      <c r="AQ1103" s="421"/>
      <c r="AR1103" s="421"/>
      <c r="AS1103" s="421"/>
      <c r="AT1103" s="421"/>
      <c r="AU1103" s="421"/>
      <c r="AV1103" s="421"/>
      <c r="AW1103" s="421"/>
      <c r="AX1103" s="421"/>
      <c r="AY1103" s="421"/>
      <c r="AZ1103" s="421"/>
      <c r="BA1103" s="421"/>
      <c r="BB1103"/>
      <c r="BC1103" s="115"/>
      <c r="BD1103" s="115"/>
      <c r="BE1103" s="115"/>
      <c r="BF1103" s="115"/>
      <c r="BG1103" s="115"/>
      <c r="BH1103" s="124"/>
      <c r="BI1103" s="124"/>
      <c r="BJ1103" s="124"/>
      <c r="BK1103" s="124"/>
      <c r="BL1103" s="124"/>
      <c r="BM1103" s="124"/>
      <c r="BN1103" s="124"/>
      <c r="BO1103" s="124"/>
      <c r="BP1103" s="124"/>
      <c r="BQ1103" s="124"/>
      <c r="BR1103" s="124"/>
      <c r="BS1103" s="124"/>
      <c r="BT1103" s="124"/>
      <c r="BU1103" s="124"/>
      <c r="BV1103" s="124"/>
      <c r="BW1103" s="124"/>
      <c r="BX1103" s="124"/>
      <c r="BY1103" s="124"/>
      <c r="BZ1103" s="124"/>
      <c r="CA1103" s="124"/>
      <c r="CB1103" s="124"/>
      <c r="CC1103" s="124"/>
      <c r="CD1103" s="124"/>
      <c r="CE1103" s="124"/>
      <c r="CF1103" s="124"/>
      <c r="CG1103" s="124"/>
      <c r="CH1103" s="124"/>
      <c r="CI1103" s="124"/>
      <c r="CJ1103" s="124"/>
      <c r="CK1103" s="124"/>
      <c r="CL1103" s="124"/>
      <c r="CM1103" s="124"/>
      <c r="CN1103" s="124"/>
      <c r="CO1103" s="124"/>
      <c r="CP1103" s="124"/>
      <c r="CQ1103" s="124"/>
      <c r="CR1103" s="124"/>
      <c r="CS1103" s="124"/>
      <c r="CT1103" s="124"/>
      <c r="CU1103" s="124"/>
      <c r="CV1103" s="124"/>
      <c r="CW1103" s="124"/>
      <c r="CX1103" s="124"/>
      <c r="CY1103" s="124"/>
      <c r="CZ1103" s="124"/>
      <c r="DA1103" s="124"/>
      <c r="DB1103" s="124"/>
      <c r="DC1103" s="124"/>
      <c r="DD1103" s="124"/>
      <c r="DE1103" s="124"/>
      <c r="DF1103" s="124"/>
      <c r="DG1103" s="115"/>
    </row>
    <row r="1104" spans="1:111" ht="9" customHeight="1">
      <c r="A1104"/>
      <c r="B1104" s="493"/>
      <c r="C1104" s="493"/>
      <c r="D1104" s="493"/>
      <c r="E1104" s="493"/>
      <c r="F1104" s="493"/>
      <c r="G1104" s="493"/>
      <c r="H1104" s="493"/>
      <c r="I1104" s="493"/>
      <c r="J1104" s="493"/>
      <c r="K1104" s="493"/>
      <c r="L1104" s="493"/>
      <c r="M1104" s="493"/>
      <c r="N1104" s="493"/>
      <c r="O1104" s="421"/>
      <c r="P1104" s="421"/>
      <c r="Q1104" s="421"/>
      <c r="R1104" s="421"/>
      <c r="S1104" s="421"/>
      <c r="T1104" s="421"/>
      <c r="U1104" s="421"/>
      <c r="V1104" s="421"/>
      <c r="W1104" s="421"/>
      <c r="X1104" s="421"/>
      <c r="Y1104" s="421"/>
      <c r="Z1104" s="421"/>
      <c r="AA1104" s="421"/>
      <c r="AB1104" s="421"/>
      <c r="AC1104" s="421"/>
      <c r="AD1104" s="421"/>
      <c r="AE1104" s="421"/>
      <c r="AF1104" s="421"/>
      <c r="AG1104" s="421"/>
      <c r="AH1104" s="421"/>
      <c r="AI1104" s="421"/>
      <c r="AJ1104" s="421"/>
      <c r="AK1104" s="421"/>
      <c r="AL1104" s="421"/>
      <c r="AM1104" s="421"/>
      <c r="AN1104" s="421"/>
      <c r="AO1104" s="421"/>
      <c r="AP1104" s="421"/>
      <c r="AQ1104" s="421"/>
      <c r="AR1104" s="421"/>
      <c r="AS1104" s="421"/>
      <c r="AT1104" s="421"/>
      <c r="AU1104" s="421"/>
      <c r="AV1104" s="421"/>
      <c r="AW1104" s="421"/>
      <c r="AX1104" s="421"/>
      <c r="AY1104" s="421"/>
      <c r="AZ1104" s="421"/>
      <c r="BA1104" s="421"/>
      <c r="BB1104"/>
      <c r="BC1104" s="115"/>
      <c r="BD1104" s="115"/>
      <c r="BE1104" s="115"/>
      <c r="BF1104" s="115"/>
      <c r="BG1104" s="115"/>
      <c r="BH1104" s="138"/>
      <c r="BI1104" s="138"/>
      <c r="BJ1104" s="138"/>
      <c r="BK1104" s="138"/>
      <c r="BL1104" s="138"/>
      <c r="BM1104" s="138"/>
      <c r="BN1104" s="138"/>
      <c r="BO1104" s="138"/>
      <c r="BP1104" s="138"/>
      <c r="BQ1104" s="138"/>
      <c r="BR1104" s="138"/>
      <c r="BS1104" s="138"/>
      <c r="BT1104" s="138"/>
      <c r="BU1104" s="138"/>
      <c r="BV1104" s="138"/>
      <c r="BW1104" s="138"/>
      <c r="BX1104" s="138"/>
      <c r="BY1104" s="138"/>
      <c r="BZ1104" s="138"/>
      <c r="CA1104" s="138"/>
      <c r="CB1104" s="138"/>
      <c r="CC1104" s="138"/>
      <c r="CD1104" s="138"/>
      <c r="CE1104" s="138"/>
      <c r="CF1104" s="138"/>
      <c r="CG1104" s="138"/>
      <c r="CH1104" s="138"/>
      <c r="CI1104" s="138"/>
      <c r="CJ1104" s="138"/>
      <c r="CK1104" s="138"/>
      <c r="CL1104" s="138"/>
      <c r="CM1104" s="138"/>
      <c r="CN1104" s="138"/>
      <c r="CO1104" s="138"/>
      <c r="CP1104" s="138"/>
      <c r="CQ1104" s="138"/>
      <c r="CR1104" s="138"/>
      <c r="CS1104" s="138"/>
      <c r="CT1104" s="138"/>
      <c r="CU1104" s="138"/>
      <c r="CV1104" s="138"/>
      <c r="CW1104" s="138"/>
      <c r="CX1104" s="138"/>
      <c r="CY1104" s="138"/>
      <c r="CZ1104" s="138"/>
      <c r="DA1104" s="138"/>
      <c r="DB1104" s="138"/>
      <c r="DC1104" s="138"/>
      <c r="DD1104" s="138"/>
      <c r="DE1104" s="138"/>
      <c r="DF1104" s="138"/>
      <c r="DG1104" s="115"/>
    </row>
    <row r="1105" spans="1:111" ht="4.5" customHeight="1">
      <c r="A1105"/>
      <c r="B1105" s="49"/>
      <c r="C1105" s="49"/>
      <c r="D1105" s="49"/>
      <c r="E1105" s="49"/>
      <c r="F1105" s="49"/>
      <c r="G1105" s="49"/>
      <c r="H1105" s="49"/>
      <c r="I1105" s="49"/>
      <c r="J1105" s="49"/>
      <c r="K1105" s="49"/>
      <c r="L1105" s="49"/>
      <c r="M1105" s="49"/>
      <c r="N1105" s="49"/>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49"/>
      <c r="AW1105" s="49"/>
      <c r="AX1105" s="49"/>
      <c r="AY1105" s="49"/>
      <c r="AZ1105" s="49"/>
      <c r="BA1105" s="49"/>
      <c r="BB110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c r="BY1105" s="115"/>
      <c r="BZ1105" s="115"/>
      <c r="CA1105" s="115"/>
      <c r="CB1105" s="115"/>
      <c r="CC1105" s="115"/>
      <c r="CD1105" s="115"/>
      <c r="CE1105" s="115"/>
      <c r="CF1105" s="115"/>
      <c r="CG1105" s="115"/>
      <c r="CH1105" s="115"/>
      <c r="CI1105" s="115"/>
      <c r="CJ1105" s="115"/>
      <c r="CK1105" s="115"/>
      <c r="CL1105" s="115"/>
      <c r="CM1105" s="115"/>
      <c r="CN1105" s="115"/>
      <c r="CO1105" s="115"/>
      <c r="CP1105" s="115"/>
      <c r="CQ1105" s="115"/>
      <c r="CR1105" s="115"/>
      <c r="CS1105" s="115"/>
      <c r="CT1105" s="115"/>
      <c r="CU1105" s="115"/>
      <c r="CV1105" s="115"/>
      <c r="CW1105" s="115"/>
      <c r="CX1105" s="115"/>
      <c r="CY1105" s="115"/>
      <c r="CZ1105" s="115"/>
      <c r="DA1105" s="115"/>
      <c r="DB1105" s="115"/>
      <c r="DC1105" s="115"/>
      <c r="DD1105" s="115"/>
      <c r="DE1105" s="115"/>
      <c r="DF1105" s="115"/>
      <c r="DG1105" s="115"/>
    </row>
    <row r="1106" spans="1:111" ht="9" customHeight="1">
      <c r="A1106"/>
      <c r="B1106" s="125"/>
      <c r="C1106" s="125"/>
      <c r="D1106" s="125"/>
      <c r="E1106" s="125"/>
      <c r="F1106" s="125"/>
      <c r="G1106" s="125"/>
      <c r="H1106" s="125"/>
      <c r="I1106" s="125"/>
      <c r="J1106" s="125"/>
      <c r="K1106" s="125"/>
      <c r="L1106" s="125"/>
      <c r="M1106" s="125"/>
      <c r="N1106" s="125"/>
      <c r="O1106" s="496" t="str">
        <f>IF(B1076="","","Quantidade:")</f>
        <v/>
      </c>
      <c r="P1106" s="496"/>
      <c r="Q1106" s="496"/>
      <c r="R1106" s="496"/>
      <c r="S1106" s="496"/>
      <c r="T1106" s="496"/>
      <c r="U1106" s="496"/>
      <c r="V1106" s="417"/>
      <c r="W1106" s="417"/>
      <c r="X1106" s="417"/>
      <c r="Y1106" s="417"/>
      <c r="Z1106" s="417"/>
      <c r="AA1106" s="417"/>
      <c r="AB1106" s="417"/>
      <c r="AC1106" s="417"/>
      <c r="AD1106" s="417"/>
      <c r="AE1106" s="417"/>
      <c r="AF1106" s="125"/>
      <c r="AG1106" s="497" t="str">
        <f>IF(B1076="","","Unidade:")</f>
        <v/>
      </c>
      <c r="AH1106" s="497"/>
      <c r="AI1106" s="497"/>
      <c r="AJ1106" s="497"/>
      <c r="AK1106" s="497"/>
      <c r="AL1106" s="497"/>
      <c r="AM1106" s="497"/>
      <c r="AN1106" s="125"/>
      <c r="AO1106" s="417"/>
      <c r="AP1106" s="417"/>
      <c r="AQ1106" s="417"/>
      <c r="AR1106" s="417"/>
      <c r="AS1106" s="417"/>
      <c r="AT1106" s="417"/>
      <c r="AU1106" s="417"/>
      <c r="AV1106" s="417"/>
      <c r="AW1106" s="417"/>
      <c r="AX1106" s="417"/>
      <c r="AY1106" s="417"/>
      <c r="AZ1106" s="417"/>
      <c r="BA1106" s="417"/>
      <c r="BB1106"/>
      <c r="BC1106" s="115"/>
      <c r="BD1106" s="115"/>
      <c r="BE1106" s="115"/>
      <c r="BF1106" s="115"/>
      <c r="BG1106" s="115"/>
      <c r="BH1106" s="124"/>
      <c r="BI1106" s="124"/>
      <c r="BJ1106" s="124"/>
      <c r="BK1106" s="124"/>
      <c r="BL1106" s="124"/>
      <c r="BM1106" s="124"/>
      <c r="BN1106" s="124"/>
      <c r="BO1106" s="124"/>
      <c r="BP1106" s="124"/>
      <c r="BQ1106" s="124"/>
      <c r="BR1106" s="124"/>
      <c r="BS1106" s="124"/>
      <c r="BT1106" s="124"/>
      <c r="BU1106" s="124"/>
      <c r="BV1106" s="124"/>
      <c r="BW1106" s="124"/>
      <c r="BX1106" s="124"/>
      <c r="BY1106" s="124"/>
      <c r="BZ1106" s="124"/>
      <c r="CA1106" s="124"/>
      <c r="CB1106" s="124"/>
      <c r="CC1106" s="124"/>
      <c r="CD1106" s="124"/>
      <c r="CE1106" s="124"/>
      <c r="CF1106" s="124"/>
      <c r="CG1106" s="124"/>
      <c r="CH1106" s="124"/>
      <c r="CI1106" s="124"/>
      <c r="CJ1106" s="124"/>
      <c r="CK1106" s="124"/>
      <c r="CL1106" s="124"/>
      <c r="CM1106" s="124"/>
      <c r="CN1106" s="124"/>
      <c r="CO1106" s="124"/>
      <c r="CP1106" s="124"/>
      <c r="CQ1106" s="124"/>
      <c r="CR1106" s="124"/>
      <c r="CS1106" s="124"/>
      <c r="CT1106" s="124"/>
      <c r="CU1106" s="124"/>
      <c r="CV1106" s="124"/>
      <c r="CW1106" s="124"/>
      <c r="CX1106" s="124"/>
      <c r="CY1106" s="124"/>
      <c r="CZ1106" s="124"/>
      <c r="DA1106" s="124"/>
      <c r="DB1106" s="124"/>
      <c r="DC1106" s="124"/>
      <c r="DD1106" s="124"/>
      <c r="DE1106" s="124"/>
      <c r="DF1106" s="124"/>
      <c r="DG1106" s="115"/>
    </row>
    <row r="1107" spans="1:111" ht="9" customHeight="1">
      <c r="A1107"/>
      <c r="B1107" s="125"/>
      <c r="C1107" s="125"/>
      <c r="D1107" s="125"/>
      <c r="E1107" s="125"/>
      <c r="F1107" s="125"/>
      <c r="G1107" s="125"/>
      <c r="H1107" s="125"/>
      <c r="I1107" s="125"/>
      <c r="J1107" s="125"/>
      <c r="K1107" s="125"/>
      <c r="L1107" s="125"/>
      <c r="M1107" s="125"/>
      <c r="N1107" s="125"/>
      <c r="O1107" s="496"/>
      <c r="P1107" s="496"/>
      <c r="Q1107" s="496"/>
      <c r="R1107" s="496"/>
      <c r="S1107" s="496"/>
      <c r="T1107" s="496"/>
      <c r="U1107" s="496"/>
      <c r="V1107" s="417"/>
      <c r="W1107" s="417"/>
      <c r="X1107" s="417"/>
      <c r="Y1107" s="417"/>
      <c r="Z1107" s="417"/>
      <c r="AA1107" s="417"/>
      <c r="AB1107" s="417"/>
      <c r="AC1107" s="417"/>
      <c r="AD1107" s="417"/>
      <c r="AE1107" s="417"/>
      <c r="AF1107" s="125"/>
      <c r="AG1107" s="497"/>
      <c r="AH1107" s="497"/>
      <c r="AI1107" s="497"/>
      <c r="AJ1107" s="497"/>
      <c r="AK1107" s="497"/>
      <c r="AL1107" s="497"/>
      <c r="AM1107" s="497"/>
      <c r="AN1107" s="125"/>
      <c r="AO1107" s="417"/>
      <c r="AP1107" s="417"/>
      <c r="AQ1107" s="417"/>
      <c r="AR1107" s="417"/>
      <c r="AS1107" s="417"/>
      <c r="AT1107" s="417"/>
      <c r="AU1107" s="417"/>
      <c r="AV1107" s="417"/>
      <c r="AW1107" s="417"/>
      <c r="AX1107" s="417"/>
      <c r="AY1107" s="417"/>
      <c r="AZ1107" s="417"/>
      <c r="BA1107" s="417"/>
      <c r="BB1107"/>
      <c r="BC1107" s="115"/>
      <c r="BD1107" s="115"/>
      <c r="BE1107" s="115"/>
      <c r="BF1107" s="115"/>
      <c r="BG1107" s="115"/>
      <c r="BH1107" s="124"/>
      <c r="BI1107" s="124"/>
      <c r="BJ1107" s="124"/>
      <c r="BK1107" s="124"/>
      <c r="BL1107" s="124"/>
      <c r="BM1107" s="124"/>
      <c r="BN1107" s="124"/>
      <c r="BO1107" s="124"/>
      <c r="BP1107" s="124"/>
      <c r="BQ1107" s="124"/>
      <c r="BR1107" s="124"/>
      <c r="BS1107" s="124"/>
      <c r="BT1107" s="124"/>
      <c r="BU1107" s="124"/>
      <c r="BV1107" s="124"/>
      <c r="BW1107" s="124"/>
      <c r="BX1107" s="124"/>
      <c r="BY1107" s="124"/>
      <c r="BZ1107" s="124"/>
      <c r="CA1107" s="124"/>
      <c r="CB1107" s="124"/>
      <c r="CC1107" s="124"/>
      <c r="CD1107" s="124"/>
      <c r="CE1107" s="124"/>
      <c r="CF1107" s="124"/>
      <c r="CG1107" s="124"/>
      <c r="CH1107" s="124"/>
      <c r="CI1107" s="124"/>
      <c r="CJ1107" s="124"/>
      <c r="CK1107" s="124"/>
      <c r="CL1107" s="124"/>
      <c r="CM1107" s="124"/>
      <c r="CN1107" s="124"/>
      <c r="CO1107" s="124"/>
      <c r="CP1107" s="124"/>
      <c r="CQ1107" s="124"/>
      <c r="CR1107" s="124"/>
      <c r="CS1107" s="124"/>
      <c r="CT1107" s="124"/>
      <c r="CU1107" s="124"/>
      <c r="CV1107" s="124"/>
      <c r="CW1107" s="124"/>
      <c r="CX1107" s="124"/>
      <c r="CY1107" s="124"/>
      <c r="CZ1107" s="124"/>
      <c r="DA1107" s="124"/>
      <c r="DB1107" s="124"/>
      <c r="DC1107" s="124"/>
      <c r="DD1107" s="124"/>
      <c r="DE1107" s="124"/>
      <c r="DF1107" s="124"/>
      <c r="DG1107" s="115"/>
    </row>
    <row r="1108" spans="1:111" ht="9" customHeight="1">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s="115"/>
      <c r="BD1108" s="115"/>
      <c r="BE1108" s="115"/>
      <c r="BF1108" s="115"/>
      <c r="BG1108" s="115"/>
      <c r="BH1108" s="498"/>
      <c r="BI1108" s="498"/>
      <c r="BJ1108" s="498"/>
      <c r="BK1108" s="498"/>
      <c r="BL1108" s="498"/>
      <c r="BM1108" s="498"/>
      <c r="BN1108" s="498"/>
      <c r="BO1108" s="498"/>
      <c r="BP1108" s="498"/>
      <c r="BQ1108" s="498"/>
      <c r="BR1108" s="498"/>
      <c r="BS1108" s="498"/>
      <c r="BT1108" s="498"/>
      <c r="BU1108" s="498"/>
      <c r="BV1108" s="498"/>
      <c r="BW1108" s="498"/>
      <c r="BX1108" s="498"/>
      <c r="BY1108" s="498"/>
      <c r="BZ1108" s="498"/>
      <c r="CA1108" s="498"/>
      <c r="CB1108" s="498"/>
      <c r="CC1108" s="498"/>
      <c r="CD1108" s="498"/>
      <c r="CE1108" s="498"/>
      <c r="CF1108" s="498"/>
      <c r="CG1108" s="498"/>
      <c r="CH1108" s="498"/>
      <c r="CI1108" s="498"/>
      <c r="CJ1108" s="498"/>
      <c r="CK1108" s="498"/>
      <c r="CL1108" s="498"/>
      <c r="CM1108" s="498"/>
      <c r="CN1108" s="498"/>
      <c r="CO1108" s="498"/>
      <c r="CP1108" s="498"/>
      <c r="CQ1108" s="498"/>
      <c r="CR1108" s="498"/>
      <c r="CS1108" s="498"/>
      <c r="CT1108" s="498"/>
      <c r="CU1108" s="498"/>
      <c r="CV1108" s="498"/>
      <c r="CW1108" s="498"/>
      <c r="CX1108" s="498"/>
      <c r="CY1108" s="498"/>
      <c r="CZ1108" s="498"/>
      <c r="DA1108" s="498"/>
      <c r="DB1108" s="498"/>
      <c r="DC1108" s="498"/>
      <c r="DD1108" s="498"/>
      <c r="DE1108" s="498"/>
      <c r="DF1108" s="498"/>
      <c r="DG1108" s="115"/>
    </row>
    <row r="1109" spans="1:111" ht="9" customHeight="1">
      <c r="A1109"/>
      <c r="B1109" s="499" t="str">
        <f>IF($Z$32&gt;=17,"Nome da Empresa ou Nº da Ata","")</f>
        <v/>
      </c>
      <c r="C1109" s="499"/>
      <c r="D1109" s="499"/>
      <c r="E1109" s="499"/>
      <c r="F1109" s="499"/>
      <c r="G1109" s="499"/>
      <c r="H1109" s="499"/>
      <c r="I1109" s="499"/>
      <c r="J1109" s="499"/>
      <c r="K1109" s="499"/>
      <c r="L1109" s="499"/>
      <c r="M1109" s="499"/>
      <c r="N1109" s="499"/>
      <c r="O1109" s="499"/>
      <c r="P1109" s="499"/>
      <c r="Q1109" s="499"/>
      <c r="R1109" s="499"/>
      <c r="S1109" s="499"/>
      <c r="T1109" s="499"/>
      <c r="U1109" s="499"/>
      <c r="V1109" s="499"/>
      <c r="W1109" s="499"/>
      <c r="X1109" s="499" t="str">
        <f>IF($Z$32&gt;=17,"CNPJ / CPF","")</f>
        <v/>
      </c>
      <c r="Y1109" s="499"/>
      <c r="Z1109" s="499"/>
      <c r="AA1109" s="499"/>
      <c r="AB1109" s="499"/>
      <c r="AC1109" s="499"/>
      <c r="AD1109" s="499"/>
      <c r="AE1109" s="499"/>
      <c r="AF1109" s="499"/>
      <c r="AG1109" s="499"/>
      <c r="AH1109" s="499" t="str">
        <f>IF($Z$32&gt;=17,"Qtde","")</f>
        <v/>
      </c>
      <c r="AI1109" s="499"/>
      <c r="AJ1109" s="499"/>
      <c r="AK1109" s="499"/>
      <c r="AL1109" s="499" t="str">
        <f>IF($Z$32&gt;=17,"Valor Unitário (R$)","")</f>
        <v/>
      </c>
      <c r="AM1109" s="499"/>
      <c r="AN1109" s="499"/>
      <c r="AO1109" s="499"/>
      <c r="AP1109" s="499"/>
      <c r="AQ1109" s="499"/>
      <c r="AR1109" s="499"/>
      <c r="AS1109" s="499"/>
      <c r="AT1109" s="499" t="str">
        <f>IF($Z$32&gt;=17,"Valor Total (R$)","")</f>
        <v/>
      </c>
      <c r="AU1109" s="499"/>
      <c r="AV1109" s="499"/>
      <c r="AW1109" s="499"/>
      <c r="AX1109" s="499"/>
      <c r="AY1109" s="499"/>
      <c r="AZ1109" s="499"/>
      <c r="BA1109" s="499"/>
      <c r="BB1109"/>
      <c r="BC1109" s="115"/>
      <c r="BD1109" s="115"/>
      <c r="BE1109" s="115"/>
      <c r="BF1109" s="115"/>
      <c r="BG1109" s="115"/>
      <c r="BH1109" s="498"/>
      <c r="BI1109" s="498"/>
      <c r="BJ1109" s="498"/>
      <c r="BK1109" s="498"/>
      <c r="BL1109" s="498"/>
      <c r="BM1109" s="498"/>
      <c r="BN1109" s="498"/>
      <c r="BO1109" s="498"/>
      <c r="BP1109" s="498"/>
      <c r="BQ1109" s="498"/>
      <c r="BR1109" s="498"/>
      <c r="BS1109" s="498"/>
      <c r="BT1109" s="498"/>
      <c r="BU1109" s="498"/>
      <c r="BV1109" s="498"/>
      <c r="BW1109" s="498"/>
      <c r="BX1109" s="498"/>
      <c r="BY1109" s="498"/>
      <c r="BZ1109" s="498"/>
      <c r="CA1109" s="498"/>
      <c r="CB1109" s="498"/>
      <c r="CC1109" s="498"/>
      <c r="CD1109" s="498"/>
      <c r="CE1109" s="498"/>
      <c r="CF1109" s="498"/>
      <c r="CG1109" s="498"/>
      <c r="CH1109" s="498"/>
      <c r="CI1109" s="498"/>
      <c r="CJ1109" s="498"/>
      <c r="CK1109" s="498"/>
      <c r="CL1109" s="498"/>
      <c r="CM1109" s="498"/>
      <c r="CN1109" s="498"/>
      <c r="CO1109" s="498"/>
      <c r="CP1109" s="498"/>
      <c r="CQ1109" s="498"/>
      <c r="CR1109" s="498"/>
      <c r="CS1109" s="498"/>
      <c r="CT1109" s="498"/>
      <c r="CU1109" s="498"/>
      <c r="CV1109" s="498"/>
      <c r="CW1109" s="498"/>
      <c r="CX1109" s="498"/>
      <c r="CY1109" s="498"/>
      <c r="CZ1109" s="498"/>
      <c r="DA1109" s="498"/>
      <c r="DB1109" s="498"/>
      <c r="DC1109" s="498"/>
      <c r="DD1109" s="498"/>
      <c r="DE1109" s="498"/>
      <c r="DF1109" s="498"/>
      <c r="DG1109" s="115"/>
    </row>
    <row r="1110" spans="1:111" ht="9" customHeight="1">
      <c r="A1110"/>
      <c r="B1110" s="499"/>
      <c r="C1110" s="499"/>
      <c r="D1110" s="499"/>
      <c r="E1110" s="499"/>
      <c r="F1110" s="499"/>
      <c r="G1110" s="499"/>
      <c r="H1110" s="499"/>
      <c r="I1110" s="499"/>
      <c r="J1110" s="499"/>
      <c r="K1110" s="499"/>
      <c r="L1110" s="499"/>
      <c r="M1110" s="499"/>
      <c r="N1110" s="499"/>
      <c r="O1110" s="499"/>
      <c r="P1110" s="499"/>
      <c r="Q1110" s="499"/>
      <c r="R1110" s="499"/>
      <c r="S1110" s="499"/>
      <c r="T1110" s="499"/>
      <c r="U1110" s="499"/>
      <c r="V1110" s="499"/>
      <c r="W1110" s="499"/>
      <c r="X1110" s="499"/>
      <c r="Y1110" s="499"/>
      <c r="Z1110" s="499"/>
      <c r="AA1110" s="499"/>
      <c r="AB1110" s="499"/>
      <c r="AC1110" s="499"/>
      <c r="AD1110" s="499"/>
      <c r="AE1110" s="499"/>
      <c r="AF1110" s="499"/>
      <c r="AG1110" s="499"/>
      <c r="AH1110" s="499"/>
      <c r="AI1110" s="499"/>
      <c r="AJ1110" s="499"/>
      <c r="AK1110" s="499"/>
      <c r="AL1110" s="499"/>
      <c r="AM1110" s="499"/>
      <c r="AN1110" s="499"/>
      <c r="AO1110" s="499"/>
      <c r="AP1110" s="499"/>
      <c r="AQ1110" s="499"/>
      <c r="AR1110" s="499"/>
      <c r="AS1110" s="499"/>
      <c r="AT1110" s="499"/>
      <c r="AU1110" s="499"/>
      <c r="AV1110" s="499"/>
      <c r="AW1110" s="499"/>
      <c r="AX1110" s="499"/>
      <c r="AY1110" s="499"/>
      <c r="AZ1110" s="499"/>
      <c r="BA1110" s="499"/>
      <c r="BB1110" s="176" t="e">
        <f>AVERAGE(AL1111:AS1113)</f>
        <v>#DIV/0!</v>
      </c>
      <c r="BC1110" s="115"/>
      <c r="BD1110" s="115"/>
      <c r="BE1110" s="115"/>
      <c r="BF1110" s="115"/>
      <c r="BG1110" s="115"/>
      <c r="BH1110" s="498"/>
      <c r="BI1110" s="498"/>
      <c r="BJ1110" s="498"/>
      <c r="BK1110" s="498"/>
      <c r="BL1110" s="498"/>
      <c r="BM1110" s="498"/>
      <c r="BN1110" s="498"/>
      <c r="BO1110" s="498"/>
      <c r="BP1110" s="498"/>
      <c r="BQ1110" s="498"/>
      <c r="BR1110" s="498"/>
      <c r="BS1110" s="498"/>
      <c r="BT1110" s="498"/>
      <c r="BU1110" s="498"/>
      <c r="BV1110" s="498"/>
      <c r="BW1110" s="498"/>
      <c r="BX1110" s="498"/>
      <c r="BY1110" s="498"/>
      <c r="BZ1110" s="498"/>
      <c r="CA1110" s="498"/>
      <c r="CB1110" s="498"/>
      <c r="CC1110" s="498"/>
      <c r="CD1110" s="498"/>
      <c r="CE1110" s="498"/>
      <c r="CF1110" s="498"/>
      <c r="CG1110" s="498"/>
      <c r="CH1110" s="498"/>
      <c r="CI1110" s="498"/>
      <c r="CJ1110" s="498"/>
      <c r="CK1110" s="498"/>
      <c r="CL1110" s="498"/>
      <c r="CM1110" s="498"/>
      <c r="CN1110" s="498"/>
      <c r="CO1110" s="498"/>
      <c r="CP1110" s="498"/>
      <c r="CQ1110" s="498"/>
      <c r="CR1110" s="498"/>
      <c r="CS1110" s="498"/>
      <c r="CT1110" s="498"/>
      <c r="CU1110" s="498"/>
      <c r="CV1110" s="498"/>
      <c r="CW1110" s="498"/>
      <c r="CX1110" s="498"/>
      <c r="CY1110" s="498"/>
      <c r="CZ1110" s="498"/>
      <c r="DA1110" s="498"/>
      <c r="DB1110" s="498"/>
      <c r="DC1110" s="498"/>
      <c r="DD1110" s="498"/>
      <c r="DE1110" s="498"/>
      <c r="DF1110" s="498"/>
      <c r="DG1110" s="115"/>
    </row>
    <row r="1111" spans="1:111" ht="18" customHeight="1">
      <c r="A1111"/>
      <c r="B1111" s="233"/>
      <c r="C1111" s="233"/>
      <c r="D1111" s="233"/>
      <c r="E1111" s="233"/>
      <c r="F1111" s="233"/>
      <c r="G1111" s="233"/>
      <c r="H1111" s="233"/>
      <c r="I1111" s="233"/>
      <c r="J1111" s="233"/>
      <c r="K1111" s="233"/>
      <c r="L1111" s="233"/>
      <c r="M1111" s="233"/>
      <c r="N1111" s="233"/>
      <c r="O1111" s="233"/>
      <c r="P1111" s="233"/>
      <c r="Q1111" s="233"/>
      <c r="R1111" s="233"/>
      <c r="S1111" s="233"/>
      <c r="T1111" s="233"/>
      <c r="U1111" s="233"/>
      <c r="V1111" s="233"/>
      <c r="W1111" s="233"/>
      <c r="X1111" s="486"/>
      <c r="Y1111" s="486"/>
      <c r="Z1111" s="486"/>
      <c r="AA1111" s="486"/>
      <c r="AB1111" s="486"/>
      <c r="AC1111" s="486"/>
      <c r="AD1111" s="486"/>
      <c r="AE1111" s="486"/>
      <c r="AF1111" s="486"/>
      <c r="AG1111" s="486"/>
      <c r="AH1111" s="417"/>
      <c r="AI1111" s="417"/>
      <c r="AJ1111" s="417"/>
      <c r="AK1111" s="417"/>
      <c r="AL1111" s="419"/>
      <c r="AM1111" s="419"/>
      <c r="AN1111" s="419"/>
      <c r="AO1111" s="419"/>
      <c r="AP1111" s="419"/>
      <c r="AQ1111" s="419"/>
      <c r="AR1111" s="419"/>
      <c r="AS1111" s="419"/>
      <c r="AT1111" s="487" t="str">
        <f>IF($Z$32&gt;=17,(AH1111*AL1111),"")</f>
        <v/>
      </c>
      <c r="AU1111" s="487"/>
      <c r="AV1111" s="487"/>
      <c r="AW1111" s="487"/>
      <c r="AX1111" s="487"/>
      <c r="AY1111" s="487"/>
      <c r="AZ1111" s="487"/>
      <c r="BA1111" s="487"/>
      <c r="BB1111"/>
      <c r="BC1111" s="115"/>
      <c r="BD1111" s="115"/>
      <c r="BE1111" s="115"/>
      <c r="BF1111" s="115"/>
      <c r="BG1111" s="115"/>
      <c r="BH1111" s="498"/>
      <c r="BI1111" s="498"/>
      <c r="BJ1111" s="498"/>
      <c r="BK1111" s="498"/>
      <c r="BL1111" s="498"/>
      <c r="BM1111" s="498"/>
      <c r="BN1111" s="498"/>
      <c r="BO1111" s="498"/>
      <c r="BP1111" s="498"/>
      <c r="BQ1111" s="498"/>
      <c r="BR1111" s="498"/>
      <c r="BS1111" s="498"/>
      <c r="BT1111" s="498"/>
      <c r="BU1111" s="498"/>
      <c r="BV1111" s="498"/>
      <c r="BW1111" s="498"/>
      <c r="BX1111" s="498"/>
      <c r="BY1111" s="498"/>
      <c r="BZ1111" s="498"/>
      <c r="CA1111" s="498"/>
      <c r="CB1111" s="498"/>
      <c r="CC1111" s="498"/>
      <c r="CD1111" s="498"/>
      <c r="CE1111" s="498"/>
      <c r="CF1111" s="498"/>
      <c r="CG1111" s="498"/>
      <c r="CH1111" s="498"/>
      <c r="CI1111" s="498"/>
      <c r="CJ1111" s="498"/>
      <c r="CK1111" s="498"/>
      <c r="CL1111" s="498"/>
      <c r="CM1111" s="498"/>
      <c r="CN1111" s="498"/>
      <c r="CO1111" s="498"/>
      <c r="CP1111" s="498"/>
      <c r="CQ1111" s="498"/>
      <c r="CR1111" s="498"/>
      <c r="CS1111" s="498"/>
      <c r="CT1111" s="498"/>
      <c r="CU1111" s="498"/>
      <c r="CV1111" s="498"/>
      <c r="CW1111" s="498"/>
      <c r="CX1111" s="498"/>
      <c r="CY1111" s="498"/>
      <c r="CZ1111" s="498"/>
      <c r="DA1111" s="498"/>
      <c r="DB1111" s="498"/>
      <c r="DC1111" s="498"/>
      <c r="DD1111" s="498"/>
      <c r="DE1111" s="498"/>
      <c r="DF1111" s="498"/>
      <c r="DG1111" s="115"/>
    </row>
    <row r="1112" spans="1:111" ht="18" customHeight="1">
      <c r="A1112"/>
      <c r="B1112" s="233"/>
      <c r="C1112" s="233"/>
      <c r="D1112" s="233"/>
      <c r="E1112" s="233"/>
      <c r="F1112" s="233"/>
      <c r="G1112" s="233"/>
      <c r="H1112" s="233"/>
      <c r="I1112" s="233"/>
      <c r="J1112" s="233"/>
      <c r="K1112" s="233"/>
      <c r="L1112" s="233"/>
      <c r="M1112" s="233"/>
      <c r="N1112" s="233"/>
      <c r="O1112" s="233"/>
      <c r="P1112" s="233"/>
      <c r="Q1112" s="233"/>
      <c r="R1112" s="233"/>
      <c r="S1112" s="233"/>
      <c r="T1112" s="233"/>
      <c r="U1112" s="233"/>
      <c r="V1112" s="233"/>
      <c r="W1112" s="233"/>
      <c r="X1112" s="486"/>
      <c r="Y1112" s="486"/>
      <c r="Z1112" s="486"/>
      <c r="AA1112" s="486"/>
      <c r="AB1112" s="486"/>
      <c r="AC1112" s="486"/>
      <c r="AD1112" s="486"/>
      <c r="AE1112" s="486"/>
      <c r="AF1112" s="486"/>
      <c r="AG1112" s="486"/>
      <c r="AH1112" s="417"/>
      <c r="AI1112" s="417"/>
      <c r="AJ1112" s="417"/>
      <c r="AK1112" s="417"/>
      <c r="AL1112" s="419"/>
      <c r="AM1112" s="419"/>
      <c r="AN1112" s="419"/>
      <c r="AO1112" s="419"/>
      <c r="AP1112" s="419"/>
      <c r="AQ1112" s="419"/>
      <c r="AR1112" s="419"/>
      <c r="AS1112" s="419"/>
      <c r="AT1112" s="487" t="str">
        <f>IF($Z$32&gt;=17,(AH1112*AL1112),"")</f>
        <v/>
      </c>
      <c r="AU1112" s="487"/>
      <c r="AV1112" s="487"/>
      <c r="AW1112" s="487"/>
      <c r="AX1112" s="487"/>
      <c r="AY1112" s="487"/>
      <c r="AZ1112" s="487"/>
      <c r="BA1112" s="487"/>
      <c r="BB1112"/>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c r="BY1112" s="115"/>
      <c r="BZ1112" s="115"/>
      <c r="CA1112" s="115"/>
      <c r="CB1112" s="115"/>
      <c r="CC1112" s="115"/>
      <c r="CD1112" s="115"/>
      <c r="CE1112" s="115"/>
      <c r="CF1112" s="115"/>
      <c r="CG1112" s="115"/>
      <c r="CH1112" s="115"/>
      <c r="CI1112" s="115"/>
      <c r="CJ1112" s="115"/>
      <c r="CK1112" s="115"/>
      <c r="CL1112" s="115"/>
      <c r="CM1112" s="115"/>
      <c r="CN1112" s="115"/>
      <c r="CO1112" s="115"/>
      <c r="CP1112" s="115"/>
      <c r="CQ1112" s="115"/>
      <c r="CR1112" s="115"/>
      <c r="CS1112" s="115"/>
      <c r="CT1112" s="115"/>
      <c r="CU1112" s="115"/>
      <c r="CV1112" s="115"/>
      <c r="CW1112" s="115"/>
      <c r="CX1112" s="115"/>
      <c r="CY1112" s="115"/>
      <c r="CZ1112" s="115"/>
      <c r="DA1112" s="115"/>
      <c r="DB1112" s="115"/>
      <c r="DC1112" s="115"/>
      <c r="DD1112" s="115"/>
      <c r="DE1112" s="115"/>
      <c r="DF1112" s="115"/>
      <c r="DG1112" s="115"/>
    </row>
    <row r="1113" spans="1:111" ht="18" customHeight="1">
      <c r="A1113"/>
      <c r="B1113" s="233"/>
      <c r="C1113" s="233"/>
      <c r="D1113" s="233"/>
      <c r="E1113" s="233"/>
      <c r="F1113" s="233"/>
      <c r="G1113" s="233"/>
      <c r="H1113" s="233"/>
      <c r="I1113" s="233"/>
      <c r="J1113" s="233"/>
      <c r="K1113" s="233"/>
      <c r="L1113" s="233"/>
      <c r="M1113" s="233"/>
      <c r="N1113" s="233"/>
      <c r="O1113" s="233"/>
      <c r="P1113" s="233"/>
      <c r="Q1113" s="233"/>
      <c r="R1113" s="233"/>
      <c r="S1113" s="233"/>
      <c r="T1113" s="233"/>
      <c r="U1113" s="233"/>
      <c r="V1113" s="233"/>
      <c r="W1113" s="233"/>
      <c r="X1113" s="486"/>
      <c r="Y1113" s="486"/>
      <c r="Z1113" s="486"/>
      <c r="AA1113" s="486"/>
      <c r="AB1113" s="486"/>
      <c r="AC1113" s="486"/>
      <c r="AD1113" s="486"/>
      <c r="AE1113" s="486"/>
      <c r="AF1113" s="486"/>
      <c r="AG1113" s="486"/>
      <c r="AH1113" s="417"/>
      <c r="AI1113" s="417"/>
      <c r="AJ1113" s="417"/>
      <c r="AK1113" s="417"/>
      <c r="AL1113" s="419"/>
      <c r="AM1113" s="419"/>
      <c r="AN1113" s="419"/>
      <c r="AO1113" s="419"/>
      <c r="AP1113" s="419"/>
      <c r="AQ1113" s="419"/>
      <c r="AR1113" s="419"/>
      <c r="AS1113" s="419"/>
      <c r="AT1113" s="487" t="str">
        <f>IF($Z$32&gt;=17,(AH1113*AL1113),"")</f>
        <v/>
      </c>
      <c r="AU1113" s="487"/>
      <c r="AV1113" s="487"/>
      <c r="AW1113" s="487"/>
      <c r="AX1113" s="487"/>
      <c r="AY1113" s="487"/>
      <c r="AZ1113" s="487"/>
      <c r="BA1113" s="487"/>
      <c r="BB1113"/>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c r="BY1113" s="115"/>
      <c r="BZ1113" s="115"/>
      <c r="CA1113" s="115"/>
      <c r="CB1113" s="115"/>
      <c r="CC1113" s="115"/>
      <c r="CD1113" s="115"/>
      <c r="CE1113" s="115"/>
      <c r="CF1113" s="115"/>
      <c r="CG1113" s="115"/>
      <c r="CH1113" s="115"/>
      <c r="CI1113" s="115"/>
      <c r="CJ1113" s="115"/>
      <c r="CK1113" s="115"/>
      <c r="CL1113" s="115"/>
      <c r="CM1113" s="115"/>
      <c r="CN1113" s="115"/>
      <c r="CO1113" s="115"/>
      <c r="CP1113" s="115"/>
      <c r="CQ1113" s="115"/>
      <c r="CR1113" s="115"/>
      <c r="CS1113" s="115"/>
      <c r="CT1113" s="115"/>
      <c r="CU1113" s="115"/>
      <c r="CV1113" s="115"/>
      <c r="CW1113" s="115"/>
      <c r="CX1113" s="115"/>
      <c r="CY1113" s="115"/>
      <c r="CZ1113" s="115"/>
      <c r="DA1113" s="115"/>
      <c r="DB1113" s="115"/>
      <c r="DC1113" s="115"/>
      <c r="DD1113" s="115"/>
      <c r="DE1113" s="115"/>
      <c r="DF1113" s="115"/>
      <c r="DG1113" s="115"/>
    </row>
    <row r="1114" spans="1:111" ht="15" customHeight="1">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500" t="str">
        <f>IF(B1111="","",IF(AL1112="",AT1111,IF(AL1113="",AVERAGE(AT1111:BA1112),AVERAGE(AT1111:AT1113))))</f>
        <v/>
      </c>
      <c r="AU1114" s="500"/>
      <c r="AV1114" s="500"/>
      <c r="AW1114" s="500"/>
      <c r="AX1114" s="500"/>
      <c r="AY1114" s="500"/>
      <c r="AZ1114" s="500"/>
      <c r="BA1114" s="500"/>
      <c r="BB1114"/>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c r="BY1114" s="115"/>
      <c r="BZ1114" s="115"/>
      <c r="CA1114" s="115"/>
      <c r="CB1114" s="115"/>
      <c r="CC1114" s="115"/>
      <c r="CD1114" s="115"/>
      <c r="CE1114" s="115"/>
      <c r="CF1114" s="115"/>
      <c r="CG1114" s="115"/>
      <c r="CH1114" s="115"/>
      <c r="CI1114" s="115"/>
      <c r="CJ1114" s="115"/>
      <c r="CK1114" s="115"/>
      <c r="CL1114" s="115"/>
      <c r="CM1114" s="115"/>
      <c r="CN1114" s="115"/>
      <c r="CO1114" s="115"/>
      <c r="CP1114" s="115"/>
      <c r="CQ1114" s="115"/>
      <c r="CR1114" s="115"/>
      <c r="CS1114" s="115"/>
      <c r="CT1114" s="115"/>
      <c r="CU1114" s="115"/>
      <c r="CV1114" s="115"/>
      <c r="CW1114" s="115"/>
      <c r="CX1114" s="115"/>
      <c r="CY1114" s="115"/>
      <c r="CZ1114" s="115"/>
      <c r="DA1114" s="115"/>
      <c r="DB1114" s="115"/>
      <c r="DC1114" s="115"/>
      <c r="DD1114" s="115"/>
      <c r="DE1114" s="115"/>
      <c r="DF1114" s="115"/>
      <c r="DG1114" s="115"/>
    </row>
    <row r="1115" spans="1:111" ht="15" customHeight="1">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c r="BY1115" s="115"/>
      <c r="BZ1115" s="115"/>
      <c r="CA1115" s="115"/>
      <c r="CB1115" s="115"/>
      <c r="CC1115" s="115"/>
      <c r="CD1115" s="115"/>
      <c r="CE1115" s="115"/>
      <c r="CF1115" s="115"/>
      <c r="CG1115" s="115"/>
      <c r="CH1115" s="115"/>
      <c r="CI1115" s="115"/>
      <c r="CJ1115" s="115"/>
      <c r="CK1115" s="115"/>
      <c r="CL1115" s="115"/>
      <c r="CM1115" s="115"/>
      <c r="CN1115" s="115"/>
      <c r="CO1115" s="115"/>
      <c r="CP1115" s="115"/>
      <c r="CQ1115" s="115"/>
      <c r="CR1115" s="115"/>
      <c r="CS1115" s="115"/>
      <c r="CT1115" s="115"/>
      <c r="CU1115" s="115"/>
      <c r="CV1115" s="115"/>
      <c r="CW1115" s="115"/>
      <c r="CX1115" s="115"/>
      <c r="CY1115" s="115"/>
      <c r="CZ1115" s="115"/>
      <c r="DA1115" s="115"/>
      <c r="DB1115" s="115"/>
      <c r="DC1115" s="115"/>
      <c r="DD1115" s="115"/>
      <c r="DE1115" s="115"/>
      <c r="DF1115" s="115"/>
      <c r="DG1115" s="115"/>
    </row>
    <row r="1116" spans="1:111" ht="9" customHeight="1">
      <c r="A1116"/>
      <c r="B1116" s="494" t="str">
        <f>IF($Z$32&gt;=28,"Item 28","")</f>
        <v/>
      </c>
      <c r="C1116" s="495"/>
      <c r="D1116" s="495"/>
      <c r="E1116" s="495"/>
      <c r="F1116" s="495"/>
      <c r="G1116" s="495"/>
      <c r="H1116" s="495"/>
      <c r="I1116" s="495"/>
      <c r="J1116" s="495"/>
      <c r="K1116" s="495"/>
      <c r="L1116" s="495"/>
      <c r="M1116" s="495"/>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c r="BY1116" s="115"/>
      <c r="BZ1116" s="115"/>
      <c r="CA1116" s="115"/>
      <c r="CB1116" s="115"/>
      <c r="CC1116" s="115"/>
      <c r="CD1116" s="115"/>
      <c r="CE1116" s="115"/>
      <c r="CF1116" s="115"/>
      <c r="CG1116" s="115"/>
      <c r="CH1116" s="115"/>
      <c r="CI1116" s="115"/>
      <c r="CJ1116" s="115"/>
      <c r="CK1116" s="115"/>
      <c r="CL1116" s="115"/>
      <c r="CM1116" s="115"/>
      <c r="CN1116" s="115"/>
      <c r="CO1116" s="115"/>
      <c r="CP1116" s="115"/>
      <c r="CQ1116" s="115"/>
      <c r="CR1116" s="115"/>
      <c r="CS1116" s="115"/>
      <c r="CT1116" s="115"/>
      <c r="CU1116" s="115"/>
      <c r="CV1116" s="115"/>
      <c r="CW1116" s="115"/>
      <c r="CX1116" s="115"/>
      <c r="CY1116" s="115"/>
      <c r="CZ1116" s="115"/>
      <c r="DA1116" s="115"/>
      <c r="DB1116" s="115"/>
      <c r="DC1116" s="115"/>
      <c r="DD1116" s="115"/>
      <c r="DE1116" s="115"/>
      <c r="DF1116" s="115"/>
      <c r="DG1116" s="115"/>
    </row>
    <row r="1117" spans="1:111" ht="9" customHeight="1">
      <c r="A1117"/>
      <c r="B1117" s="495"/>
      <c r="C1117" s="495"/>
      <c r="D1117" s="495"/>
      <c r="E1117" s="495"/>
      <c r="F1117" s="495"/>
      <c r="G1117" s="495"/>
      <c r="H1117" s="495"/>
      <c r="I1117" s="495"/>
      <c r="J1117" s="495"/>
      <c r="K1117" s="495"/>
      <c r="L1117" s="495"/>
      <c r="M1117" s="495"/>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c r="BY1117" s="115"/>
      <c r="BZ1117" s="115"/>
      <c r="CA1117" s="115"/>
      <c r="CB1117" s="115"/>
      <c r="CC1117" s="115"/>
      <c r="CD1117" s="115"/>
      <c r="CE1117" s="115"/>
      <c r="CF1117" s="115"/>
      <c r="CG1117" s="115"/>
      <c r="CH1117" s="115"/>
      <c r="CI1117" s="115"/>
      <c r="CJ1117" s="115"/>
      <c r="CK1117" s="115"/>
      <c r="CL1117" s="115"/>
      <c r="CM1117" s="115"/>
      <c r="CN1117" s="115"/>
      <c r="CO1117" s="115"/>
      <c r="CP1117" s="115"/>
      <c r="CQ1117" s="115"/>
      <c r="CR1117" s="115"/>
      <c r="CS1117" s="115"/>
      <c r="CT1117" s="115"/>
      <c r="CU1117" s="115"/>
      <c r="CV1117" s="115"/>
      <c r="CW1117" s="115"/>
      <c r="CX1117" s="115"/>
      <c r="CY1117" s="115"/>
      <c r="CZ1117" s="115"/>
      <c r="DA1117" s="115"/>
      <c r="DB1117" s="115"/>
      <c r="DC1117" s="115"/>
      <c r="DD1117" s="115"/>
      <c r="DE1117" s="115"/>
      <c r="DF1117" s="115"/>
      <c r="DG1117" s="115"/>
    </row>
    <row r="1118" spans="1:111" ht="4.5" customHeight="1">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c r="BY1118" s="115"/>
      <c r="BZ1118" s="115"/>
      <c r="CA1118" s="115"/>
      <c r="CB1118" s="115"/>
      <c r="CC1118" s="115"/>
      <c r="CD1118" s="115"/>
      <c r="CE1118" s="115"/>
      <c r="CF1118" s="115"/>
      <c r="CG1118" s="115"/>
      <c r="CH1118" s="115"/>
      <c r="CI1118" s="115"/>
      <c r="CJ1118" s="115"/>
      <c r="CK1118" s="115"/>
      <c r="CL1118" s="115"/>
      <c r="CM1118" s="115"/>
      <c r="CN1118" s="115"/>
      <c r="CO1118" s="115"/>
      <c r="CP1118" s="115"/>
      <c r="CQ1118" s="115"/>
      <c r="CR1118" s="115"/>
      <c r="CS1118" s="115"/>
      <c r="CT1118" s="115"/>
      <c r="CU1118" s="115"/>
      <c r="CV1118" s="115"/>
      <c r="CW1118" s="115"/>
      <c r="CX1118" s="115"/>
      <c r="CY1118" s="115"/>
      <c r="CZ1118" s="115"/>
      <c r="DA1118" s="115"/>
      <c r="DB1118" s="115"/>
      <c r="DC1118" s="115"/>
      <c r="DD1118" s="115"/>
      <c r="DE1118" s="115"/>
      <c r="DF1118" s="115"/>
      <c r="DG1118" s="115"/>
    </row>
    <row r="1119" spans="1:111" ht="9" customHeight="1">
      <c r="A1119"/>
      <c r="B1119" s="493" t="str">
        <f>IF(B1116="","","Elemento de Despesa:")</f>
        <v/>
      </c>
      <c r="C1119" s="493"/>
      <c r="D1119" s="493"/>
      <c r="E1119" s="493"/>
      <c r="F1119" s="493"/>
      <c r="G1119" s="493"/>
      <c r="H1119" s="493"/>
      <c r="I1119" s="493"/>
      <c r="J1119" s="493"/>
      <c r="K1119" s="493"/>
      <c r="L1119" s="493"/>
      <c r="M1119" s="493"/>
      <c r="N1119" s="493"/>
      <c r="O1119" s="241"/>
      <c r="P1119" s="241"/>
      <c r="Q1119" s="241"/>
      <c r="R1119" s="241"/>
      <c r="S1119" s="241"/>
      <c r="T1119" s="241"/>
      <c r="U1119" s="241"/>
      <c r="V1119" s="241"/>
      <c r="W1119" s="241"/>
      <c r="X1119" s="241"/>
      <c r="Y1119" s="241"/>
      <c r="Z1119" s="241"/>
      <c r="AA1119" s="241"/>
      <c r="AB1119" s="241"/>
      <c r="AC1119" s="241"/>
      <c r="AD1119" s="241"/>
      <c r="AE1119" s="241"/>
      <c r="AF1119" s="241"/>
      <c r="AG1119" s="241"/>
      <c r="AH1119" s="241"/>
      <c r="AI1119" s="241"/>
      <c r="AJ1119" s="241"/>
      <c r="AK1119" s="241"/>
      <c r="AL1119" s="241"/>
      <c r="AM1119" s="241"/>
      <c r="AN1119" s="241"/>
      <c r="AO1119" s="241"/>
      <c r="AP1119" s="241"/>
      <c r="AQ1119" s="241"/>
      <c r="AR1119" s="241"/>
      <c r="AS1119" s="241"/>
      <c r="AT1119" s="241"/>
      <c r="AU1119" s="241"/>
      <c r="AV1119" s="241"/>
      <c r="AW1119" s="241"/>
      <c r="AX1119" s="241"/>
      <c r="AY1119" s="241"/>
      <c r="AZ1119" s="241"/>
      <c r="BA1119" s="241"/>
      <c r="BB1119"/>
      <c r="BC1119" s="115"/>
      <c r="BD1119" s="115"/>
      <c r="BE1119" s="115"/>
      <c r="BF1119" s="115"/>
      <c r="BG1119" s="115"/>
      <c r="BH1119" s="124"/>
      <c r="BI1119" s="124"/>
      <c r="BJ1119" s="124"/>
      <c r="BK1119" s="124"/>
      <c r="BL1119" s="124"/>
      <c r="BM1119" s="124"/>
      <c r="BN1119" s="124"/>
      <c r="BO1119" s="124"/>
      <c r="BP1119" s="124"/>
      <c r="BQ1119" s="124"/>
      <c r="BR1119" s="124"/>
      <c r="BS1119" s="124"/>
      <c r="BT1119" s="124"/>
      <c r="BU1119" s="124"/>
      <c r="BV1119" s="124"/>
      <c r="BW1119" s="124"/>
      <c r="BX1119" s="124"/>
      <c r="BY1119" s="124"/>
      <c r="BZ1119" s="124"/>
      <c r="CA1119" s="124"/>
      <c r="CB1119" s="124"/>
      <c r="CC1119" s="124"/>
      <c r="CD1119" s="124"/>
      <c r="CE1119" s="124"/>
      <c r="CF1119" s="124"/>
      <c r="CG1119" s="124"/>
      <c r="CH1119" s="124"/>
      <c r="CI1119" s="124"/>
      <c r="CJ1119" s="124"/>
      <c r="CK1119" s="124"/>
      <c r="CL1119" s="124"/>
      <c r="CM1119" s="124"/>
      <c r="CN1119" s="124"/>
      <c r="CO1119" s="124"/>
      <c r="CP1119" s="124"/>
      <c r="CQ1119" s="124"/>
      <c r="CR1119" s="124"/>
      <c r="CS1119" s="124"/>
      <c r="CT1119" s="124"/>
      <c r="CU1119" s="124"/>
      <c r="CV1119" s="124"/>
      <c r="CW1119" s="124"/>
      <c r="CX1119" s="124"/>
      <c r="CY1119" s="124"/>
      <c r="CZ1119" s="124"/>
      <c r="DA1119" s="124"/>
      <c r="DB1119" s="124"/>
      <c r="DC1119" s="124"/>
      <c r="DD1119" s="124"/>
      <c r="DE1119" s="124"/>
      <c r="DF1119" s="124"/>
      <c r="DG1119" s="115"/>
    </row>
    <row r="1120" spans="1:111" ht="9" customHeight="1">
      <c r="A1120"/>
      <c r="B1120" s="493"/>
      <c r="C1120" s="493"/>
      <c r="D1120" s="493"/>
      <c r="E1120" s="493"/>
      <c r="F1120" s="493"/>
      <c r="G1120" s="493"/>
      <c r="H1120" s="493"/>
      <c r="I1120" s="493"/>
      <c r="J1120" s="493"/>
      <c r="K1120" s="493"/>
      <c r="L1120" s="493"/>
      <c r="M1120" s="493"/>
      <c r="N1120" s="493"/>
      <c r="O1120" s="241"/>
      <c r="P1120" s="241"/>
      <c r="Q1120" s="241"/>
      <c r="R1120" s="241"/>
      <c r="S1120" s="241"/>
      <c r="T1120" s="241"/>
      <c r="U1120" s="241"/>
      <c r="V1120" s="241"/>
      <c r="W1120" s="241"/>
      <c r="X1120" s="241"/>
      <c r="Y1120" s="241"/>
      <c r="Z1120" s="241"/>
      <c r="AA1120" s="241"/>
      <c r="AB1120" s="241"/>
      <c r="AC1120" s="241"/>
      <c r="AD1120" s="241"/>
      <c r="AE1120" s="241"/>
      <c r="AF1120" s="241"/>
      <c r="AG1120" s="241"/>
      <c r="AH1120" s="241"/>
      <c r="AI1120" s="241"/>
      <c r="AJ1120" s="241"/>
      <c r="AK1120" s="241"/>
      <c r="AL1120" s="241"/>
      <c r="AM1120" s="241"/>
      <c r="AN1120" s="241"/>
      <c r="AO1120" s="241"/>
      <c r="AP1120" s="241"/>
      <c r="AQ1120" s="241"/>
      <c r="AR1120" s="241"/>
      <c r="AS1120" s="241"/>
      <c r="AT1120" s="241"/>
      <c r="AU1120" s="241"/>
      <c r="AV1120" s="241"/>
      <c r="AW1120" s="241"/>
      <c r="AX1120" s="241"/>
      <c r="AY1120" s="241"/>
      <c r="AZ1120" s="241"/>
      <c r="BA1120" s="241"/>
      <c r="BB1120"/>
      <c r="BC1120" s="115"/>
      <c r="BD1120" s="115"/>
      <c r="BE1120" s="115"/>
      <c r="BF1120" s="115"/>
      <c r="BG1120" s="115"/>
      <c r="BH1120" s="124"/>
      <c r="BI1120" s="124"/>
      <c r="BJ1120" s="124"/>
      <c r="BK1120" s="124"/>
      <c r="BL1120" s="124"/>
      <c r="BM1120" s="124"/>
      <c r="BN1120" s="124"/>
      <c r="BO1120" s="124"/>
      <c r="BP1120" s="124"/>
      <c r="BQ1120" s="124"/>
      <c r="BR1120" s="124"/>
      <c r="BS1120" s="124"/>
      <c r="BT1120" s="124"/>
      <c r="BU1120" s="124"/>
      <c r="BV1120" s="124"/>
      <c r="BW1120" s="124"/>
      <c r="BX1120" s="124"/>
      <c r="BY1120" s="124"/>
      <c r="BZ1120" s="124"/>
      <c r="CA1120" s="124"/>
      <c r="CB1120" s="124"/>
      <c r="CC1120" s="124"/>
      <c r="CD1120" s="124"/>
      <c r="CE1120" s="124"/>
      <c r="CF1120" s="124"/>
      <c r="CG1120" s="124"/>
      <c r="CH1120" s="124"/>
      <c r="CI1120" s="124"/>
      <c r="CJ1120" s="124"/>
      <c r="CK1120" s="124"/>
      <c r="CL1120" s="124"/>
      <c r="CM1120" s="124"/>
      <c r="CN1120" s="124"/>
      <c r="CO1120" s="124"/>
      <c r="CP1120" s="124"/>
      <c r="CQ1120" s="124"/>
      <c r="CR1120" s="124"/>
      <c r="CS1120" s="124"/>
      <c r="CT1120" s="124"/>
      <c r="CU1120" s="124"/>
      <c r="CV1120" s="124"/>
      <c r="CW1120" s="124"/>
      <c r="CX1120" s="124"/>
      <c r="CY1120" s="124"/>
      <c r="CZ1120" s="124"/>
      <c r="DA1120" s="124"/>
      <c r="DB1120" s="124"/>
      <c r="DC1120" s="124"/>
      <c r="DD1120" s="124"/>
      <c r="DE1120" s="124"/>
      <c r="DF1120" s="124"/>
      <c r="DG1120" s="115"/>
    </row>
    <row r="1121" spans="1:111" ht="4.5" customHeight="1">
      <c r="A1121"/>
      <c r="B1121" s="49"/>
      <c r="C1121" s="49"/>
      <c r="D1121" s="49"/>
      <c r="E1121" s="49"/>
      <c r="F1121" s="49"/>
      <c r="G1121" s="49"/>
      <c r="H1121" s="49"/>
      <c r="I1121" s="49"/>
      <c r="J1121" s="49"/>
      <c r="K1121" s="49"/>
      <c r="L1121" s="49"/>
      <c r="M1121" s="49"/>
      <c r="N1121" s="49"/>
      <c r="O1121" s="49"/>
      <c r="P1121" s="49"/>
      <c r="Q1121" s="49"/>
      <c r="R1121" s="49"/>
      <c r="S1121" s="49"/>
      <c r="T1121" s="49"/>
      <c r="U1121" s="49"/>
      <c r="V1121" s="49"/>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9"/>
      <c r="AR1121" s="49"/>
      <c r="AS1121" s="49"/>
      <c r="AT1121" s="49"/>
      <c r="AU1121" s="49"/>
      <c r="AV1121" s="49"/>
      <c r="AW1121" s="49"/>
      <c r="AX1121" s="49"/>
      <c r="AY1121" s="49"/>
      <c r="AZ1121" s="49"/>
      <c r="BA1121" s="49"/>
      <c r="BB1121"/>
      <c r="BC1121" s="115"/>
      <c r="BD1121" s="115"/>
      <c r="BE1121" s="115"/>
      <c r="BF1121" s="115"/>
      <c r="BG1121" s="115"/>
      <c r="BH1121" s="124"/>
      <c r="BI1121" s="124"/>
      <c r="BJ1121" s="124"/>
      <c r="BK1121" s="124"/>
      <c r="BL1121" s="124"/>
      <c r="BM1121" s="124"/>
      <c r="BN1121" s="124"/>
      <c r="BO1121" s="124"/>
      <c r="BP1121" s="124"/>
      <c r="BQ1121" s="124"/>
      <c r="BR1121" s="124"/>
      <c r="BS1121" s="124"/>
      <c r="BT1121" s="124"/>
      <c r="BU1121" s="124"/>
      <c r="BV1121" s="124"/>
      <c r="BW1121" s="124"/>
      <c r="BX1121" s="124"/>
      <c r="BY1121" s="124"/>
      <c r="BZ1121" s="124"/>
      <c r="CA1121" s="124"/>
      <c r="CB1121" s="124"/>
      <c r="CC1121" s="124"/>
      <c r="CD1121" s="124"/>
      <c r="CE1121" s="124"/>
      <c r="CF1121" s="124"/>
      <c r="CG1121" s="124"/>
      <c r="CH1121" s="124"/>
      <c r="CI1121" s="124"/>
      <c r="CJ1121" s="124"/>
      <c r="CK1121" s="124"/>
      <c r="CL1121" s="124"/>
      <c r="CM1121" s="124"/>
      <c r="CN1121" s="124"/>
      <c r="CO1121" s="124"/>
      <c r="CP1121" s="124"/>
      <c r="CQ1121" s="124"/>
      <c r="CR1121" s="124"/>
      <c r="CS1121" s="124"/>
      <c r="CT1121" s="124"/>
      <c r="CU1121" s="124"/>
      <c r="CV1121" s="124"/>
      <c r="CW1121" s="124"/>
      <c r="CX1121" s="124"/>
      <c r="CY1121" s="124"/>
      <c r="CZ1121" s="124"/>
      <c r="DA1121" s="124"/>
      <c r="DB1121" s="124"/>
      <c r="DC1121" s="124"/>
      <c r="DD1121" s="124"/>
      <c r="DE1121" s="124"/>
      <c r="DF1121" s="124"/>
      <c r="DG1121" s="115"/>
    </row>
    <row r="1122" spans="1:111" ht="9" customHeight="1">
      <c r="A1122"/>
      <c r="B1122" s="493" t="str">
        <f>IF(B1116="","","Objeto:")</f>
        <v/>
      </c>
      <c r="C1122" s="493"/>
      <c r="D1122" s="493"/>
      <c r="E1122" s="493"/>
      <c r="F1122" s="493"/>
      <c r="G1122" s="493"/>
      <c r="H1122" s="493"/>
      <c r="I1122" s="493"/>
      <c r="J1122" s="493"/>
      <c r="K1122" s="493"/>
      <c r="L1122" s="493"/>
      <c r="M1122" s="493"/>
      <c r="N1122" s="493"/>
      <c r="O1122" s="421"/>
      <c r="P1122" s="421"/>
      <c r="Q1122" s="421"/>
      <c r="R1122" s="421"/>
      <c r="S1122" s="421"/>
      <c r="T1122" s="421"/>
      <c r="U1122" s="421"/>
      <c r="V1122" s="421"/>
      <c r="W1122" s="421"/>
      <c r="X1122" s="421"/>
      <c r="Y1122" s="421"/>
      <c r="Z1122" s="421"/>
      <c r="AA1122" s="421"/>
      <c r="AB1122" s="421"/>
      <c r="AC1122" s="421"/>
      <c r="AD1122" s="421"/>
      <c r="AE1122" s="421"/>
      <c r="AF1122" s="421"/>
      <c r="AG1122" s="421"/>
      <c r="AH1122" s="421"/>
      <c r="AI1122" s="421"/>
      <c r="AJ1122" s="421"/>
      <c r="AK1122" s="421"/>
      <c r="AL1122" s="421"/>
      <c r="AM1122" s="421"/>
      <c r="AN1122" s="421"/>
      <c r="AO1122" s="421"/>
      <c r="AP1122" s="421"/>
      <c r="AQ1122" s="421"/>
      <c r="AR1122" s="421"/>
      <c r="AS1122" s="421"/>
      <c r="AT1122" s="421"/>
      <c r="AU1122" s="421"/>
      <c r="AV1122" s="421"/>
      <c r="AW1122" s="421"/>
      <c r="AX1122" s="421"/>
      <c r="AY1122" s="421"/>
      <c r="AZ1122" s="421"/>
      <c r="BA1122" s="421"/>
      <c r="BB1122"/>
      <c r="BC1122" s="115"/>
      <c r="BD1122" s="115"/>
      <c r="BE1122" s="115"/>
      <c r="BF1122" s="115"/>
      <c r="BG1122" s="115"/>
      <c r="BH1122" s="124"/>
      <c r="BI1122" s="124"/>
      <c r="BJ1122" s="124"/>
      <c r="BK1122" s="124"/>
      <c r="BL1122" s="124"/>
      <c r="BM1122" s="124"/>
      <c r="BN1122" s="124"/>
      <c r="BO1122" s="124"/>
      <c r="BP1122" s="124"/>
      <c r="BQ1122" s="124"/>
      <c r="BR1122" s="124"/>
      <c r="BS1122" s="124"/>
      <c r="BT1122" s="124"/>
      <c r="BU1122" s="124"/>
      <c r="BV1122" s="124"/>
      <c r="BW1122" s="124"/>
      <c r="BX1122" s="124"/>
      <c r="BY1122" s="124"/>
      <c r="BZ1122" s="124"/>
      <c r="CA1122" s="124"/>
      <c r="CB1122" s="124"/>
      <c r="CC1122" s="124"/>
      <c r="CD1122" s="124"/>
      <c r="CE1122" s="124"/>
      <c r="CF1122" s="124"/>
      <c r="CG1122" s="124"/>
      <c r="CH1122" s="124"/>
      <c r="CI1122" s="124"/>
      <c r="CJ1122" s="124"/>
      <c r="CK1122" s="124"/>
      <c r="CL1122" s="124"/>
      <c r="CM1122" s="124"/>
      <c r="CN1122" s="124"/>
      <c r="CO1122" s="124"/>
      <c r="CP1122" s="124"/>
      <c r="CQ1122" s="124"/>
      <c r="CR1122" s="124"/>
      <c r="CS1122" s="124"/>
      <c r="CT1122" s="124"/>
      <c r="CU1122" s="124"/>
      <c r="CV1122" s="124"/>
      <c r="CW1122" s="124"/>
      <c r="CX1122" s="124"/>
      <c r="CY1122" s="124"/>
      <c r="CZ1122" s="124"/>
      <c r="DA1122" s="124"/>
      <c r="DB1122" s="124"/>
      <c r="DC1122" s="124"/>
      <c r="DD1122" s="124"/>
      <c r="DE1122" s="124"/>
      <c r="DF1122" s="124"/>
      <c r="DG1122" s="115"/>
    </row>
    <row r="1123" spans="1:111" ht="9" customHeight="1">
      <c r="A1123"/>
      <c r="B1123" s="493"/>
      <c r="C1123" s="493"/>
      <c r="D1123" s="493"/>
      <c r="E1123" s="493"/>
      <c r="F1123" s="493"/>
      <c r="G1123" s="493"/>
      <c r="H1123" s="493"/>
      <c r="I1123" s="493"/>
      <c r="J1123" s="493"/>
      <c r="K1123" s="493"/>
      <c r="L1123" s="493"/>
      <c r="M1123" s="493"/>
      <c r="N1123" s="493"/>
      <c r="O1123" s="421"/>
      <c r="P1123" s="421"/>
      <c r="Q1123" s="421"/>
      <c r="R1123" s="421"/>
      <c r="S1123" s="421"/>
      <c r="T1123" s="421"/>
      <c r="U1123" s="421"/>
      <c r="V1123" s="421"/>
      <c r="W1123" s="421"/>
      <c r="X1123" s="421"/>
      <c r="Y1123" s="421"/>
      <c r="Z1123" s="421"/>
      <c r="AA1123" s="421"/>
      <c r="AB1123" s="421"/>
      <c r="AC1123" s="421"/>
      <c r="AD1123" s="421"/>
      <c r="AE1123" s="421"/>
      <c r="AF1123" s="421"/>
      <c r="AG1123" s="421"/>
      <c r="AH1123" s="421"/>
      <c r="AI1123" s="421"/>
      <c r="AJ1123" s="421"/>
      <c r="AK1123" s="421"/>
      <c r="AL1123" s="421"/>
      <c r="AM1123" s="421"/>
      <c r="AN1123" s="421"/>
      <c r="AO1123" s="421"/>
      <c r="AP1123" s="421"/>
      <c r="AQ1123" s="421"/>
      <c r="AR1123" s="421"/>
      <c r="AS1123" s="421"/>
      <c r="AT1123" s="421"/>
      <c r="AU1123" s="421"/>
      <c r="AV1123" s="421"/>
      <c r="AW1123" s="421"/>
      <c r="AX1123" s="421"/>
      <c r="AY1123" s="421"/>
      <c r="AZ1123" s="421"/>
      <c r="BA1123" s="421"/>
      <c r="BB1123"/>
      <c r="BC1123" s="115"/>
      <c r="BD1123" s="115"/>
      <c r="BE1123" s="115"/>
      <c r="BF1123" s="115"/>
      <c r="BG1123" s="115"/>
      <c r="BH1123" s="124"/>
      <c r="BI1123" s="124"/>
      <c r="BJ1123" s="124"/>
      <c r="BK1123" s="124"/>
      <c r="BL1123" s="124"/>
      <c r="BM1123" s="124"/>
      <c r="BN1123" s="124"/>
      <c r="BO1123" s="124"/>
      <c r="BP1123" s="124"/>
      <c r="BQ1123" s="124"/>
      <c r="BR1123" s="124"/>
      <c r="BS1123" s="124"/>
      <c r="BT1123" s="124"/>
      <c r="BU1123" s="124"/>
      <c r="BV1123" s="124"/>
      <c r="BW1123" s="124"/>
      <c r="BX1123" s="124"/>
      <c r="BY1123" s="124"/>
      <c r="BZ1123" s="124"/>
      <c r="CA1123" s="124"/>
      <c r="CB1123" s="124"/>
      <c r="CC1123" s="124"/>
      <c r="CD1123" s="124"/>
      <c r="CE1123" s="124"/>
      <c r="CF1123" s="124"/>
      <c r="CG1123" s="124"/>
      <c r="CH1123" s="124"/>
      <c r="CI1123" s="124"/>
      <c r="CJ1123" s="124"/>
      <c r="CK1123" s="124"/>
      <c r="CL1123" s="124"/>
      <c r="CM1123" s="124"/>
      <c r="CN1123" s="124"/>
      <c r="CO1123" s="124"/>
      <c r="CP1123" s="124"/>
      <c r="CQ1123" s="124"/>
      <c r="CR1123" s="124"/>
      <c r="CS1123" s="124"/>
      <c r="CT1123" s="124"/>
      <c r="CU1123" s="124"/>
      <c r="CV1123" s="124"/>
      <c r="CW1123" s="124"/>
      <c r="CX1123" s="124"/>
      <c r="CY1123" s="124"/>
      <c r="CZ1123" s="124"/>
      <c r="DA1123" s="124"/>
      <c r="DB1123" s="124"/>
      <c r="DC1123" s="124"/>
      <c r="DD1123" s="124"/>
      <c r="DE1123" s="124"/>
      <c r="DF1123" s="124"/>
      <c r="DG1123" s="115"/>
    </row>
    <row r="1124" spans="1:111" ht="9" customHeight="1">
      <c r="A1124"/>
      <c r="B1124" s="143"/>
      <c r="C1124" s="143"/>
      <c r="D1124" s="143"/>
      <c r="E1124" s="143"/>
      <c r="F1124" s="143"/>
      <c r="G1124" s="143"/>
      <c r="H1124" s="143"/>
      <c r="I1124" s="143"/>
      <c r="J1124" s="143"/>
      <c r="K1124" s="143"/>
      <c r="L1124" s="143"/>
      <c r="M1124" s="143"/>
      <c r="N1124" s="143"/>
      <c r="O1124" s="421"/>
      <c r="P1124" s="421"/>
      <c r="Q1124" s="421"/>
      <c r="R1124" s="421"/>
      <c r="S1124" s="421"/>
      <c r="T1124" s="421"/>
      <c r="U1124" s="421"/>
      <c r="V1124" s="421"/>
      <c r="W1124" s="421"/>
      <c r="X1124" s="421"/>
      <c r="Y1124" s="421"/>
      <c r="Z1124" s="421"/>
      <c r="AA1124" s="421"/>
      <c r="AB1124" s="421"/>
      <c r="AC1124" s="421"/>
      <c r="AD1124" s="421"/>
      <c r="AE1124" s="421"/>
      <c r="AF1124" s="421"/>
      <c r="AG1124" s="421"/>
      <c r="AH1124" s="421"/>
      <c r="AI1124" s="421"/>
      <c r="AJ1124" s="421"/>
      <c r="AK1124" s="421"/>
      <c r="AL1124" s="421"/>
      <c r="AM1124" s="421"/>
      <c r="AN1124" s="421"/>
      <c r="AO1124" s="421"/>
      <c r="AP1124" s="421"/>
      <c r="AQ1124" s="421"/>
      <c r="AR1124" s="421"/>
      <c r="AS1124" s="421"/>
      <c r="AT1124" s="421"/>
      <c r="AU1124" s="421"/>
      <c r="AV1124" s="421"/>
      <c r="AW1124" s="421"/>
      <c r="AX1124" s="421"/>
      <c r="AY1124" s="421"/>
      <c r="AZ1124" s="421"/>
      <c r="BA1124" s="421"/>
      <c r="BB1124"/>
      <c r="BC1124" s="115"/>
      <c r="BD1124" s="115"/>
      <c r="BE1124" s="115"/>
      <c r="BF1124" s="115"/>
      <c r="BG1124" s="115"/>
      <c r="BH1124" s="138"/>
      <c r="BI1124" s="138"/>
      <c r="BJ1124" s="138"/>
      <c r="BK1124" s="138"/>
      <c r="BL1124" s="138"/>
      <c r="BM1124" s="138"/>
      <c r="BN1124" s="138"/>
      <c r="BO1124" s="138"/>
      <c r="BP1124" s="138"/>
      <c r="BQ1124" s="138"/>
      <c r="BR1124" s="138"/>
      <c r="BS1124" s="138"/>
      <c r="BT1124" s="138"/>
      <c r="BU1124" s="138"/>
      <c r="BV1124" s="138"/>
      <c r="BW1124" s="138"/>
      <c r="BX1124" s="138"/>
      <c r="BY1124" s="138"/>
      <c r="BZ1124" s="138"/>
      <c r="CA1124" s="138"/>
      <c r="CB1124" s="138"/>
      <c r="CC1124" s="138"/>
      <c r="CD1124" s="138"/>
      <c r="CE1124" s="138"/>
      <c r="CF1124" s="138"/>
      <c r="CG1124" s="138"/>
      <c r="CH1124" s="138"/>
      <c r="CI1124" s="138"/>
      <c r="CJ1124" s="138"/>
      <c r="CK1124" s="138"/>
      <c r="CL1124" s="138"/>
      <c r="CM1124" s="138"/>
      <c r="CN1124" s="138"/>
      <c r="CO1124" s="138"/>
      <c r="CP1124" s="138"/>
      <c r="CQ1124" s="138"/>
      <c r="CR1124" s="138"/>
      <c r="CS1124" s="138"/>
      <c r="CT1124" s="138"/>
      <c r="CU1124" s="138"/>
      <c r="CV1124" s="138"/>
      <c r="CW1124" s="138"/>
      <c r="CX1124" s="138"/>
      <c r="CY1124" s="138"/>
      <c r="CZ1124" s="138"/>
      <c r="DA1124" s="138"/>
      <c r="DB1124" s="138"/>
      <c r="DC1124" s="138"/>
      <c r="DD1124" s="138"/>
      <c r="DE1124" s="138"/>
      <c r="DF1124" s="138"/>
      <c r="DG1124" s="115"/>
    </row>
    <row r="1125" spans="1:111" ht="9" customHeight="1">
      <c r="A1125"/>
      <c r="B1125" s="49"/>
      <c r="C1125" s="49"/>
      <c r="D1125" s="49"/>
      <c r="E1125" s="49"/>
      <c r="F1125" s="49"/>
      <c r="G1125" s="49"/>
      <c r="H1125" s="49"/>
      <c r="I1125" s="49"/>
      <c r="J1125" s="49"/>
      <c r="K1125" s="49"/>
      <c r="L1125" s="49"/>
      <c r="M1125" s="49"/>
      <c r="N1125" s="49"/>
      <c r="O1125" s="421"/>
      <c r="P1125" s="421"/>
      <c r="Q1125" s="421"/>
      <c r="R1125" s="421"/>
      <c r="S1125" s="421"/>
      <c r="T1125" s="421"/>
      <c r="U1125" s="421"/>
      <c r="V1125" s="421"/>
      <c r="W1125" s="421"/>
      <c r="X1125" s="421"/>
      <c r="Y1125" s="421"/>
      <c r="Z1125" s="421"/>
      <c r="AA1125" s="421"/>
      <c r="AB1125" s="421"/>
      <c r="AC1125" s="421"/>
      <c r="AD1125" s="421"/>
      <c r="AE1125" s="421"/>
      <c r="AF1125" s="421"/>
      <c r="AG1125" s="421"/>
      <c r="AH1125" s="421"/>
      <c r="AI1125" s="421"/>
      <c r="AJ1125" s="421"/>
      <c r="AK1125" s="421"/>
      <c r="AL1125" s="421"/>
      <c r="AM1125" s="421"/>
      <c r="AN1125" s="421"/>
      <c r="AO1125" s="421"/>
      <c r="AP1125" s="421"/>
      <c r="AQ1125" s="421"/>
      <c r="AR1125" s="421"/>
      <c r="AS1125" s="421"/>
      <c r="AT1125" s="421"/>
      <c r="AU1125" s="421"/>
      <c r="AV1125" s="421"/>
      <c r="AW1125" s="421"/>
      <c r="AX1125" s="421"/>
      <c r="AY1125" s="421"/>
      <c r="AZ1125" s="421"/>
      <c r="BA1125" s="421"/>
      <c r="BB112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c r="BY1125" s="115"/>
      <c r="BZ1125" s="115"/>
      <c r="CA1125" s="115"/>
      <c r="CB1125" s="115"/>
      <c r="CC1125" s="115"/>
      <c r="CD1125" s="115"/>
      <c r="CE1125" s="115"/>
      <c r="CF1125" s="115"/>
      <c r="CG1125" s="115"/>
      <c r="CH1125" s="115"/>
      <c r="CI1125" s="115"/>
      <c r="CJ1125" s="115"/>
      <c r="CK1125" s="115"/>
      <c r="CL1125" s="115"/>
      <c r="CM1125" s="115"/>
      <c r="CN1125" s="115"/>
      <c r="CO1125" s="115"/>
      <c r="CP1125" s="115"/>
      <c r="CQ1125" s="115"/>
      <c r="CR1125" s="115"/>
      <c r="CS1125" s="115"/>
      <c r="CT1125" s="115"/>
      <c r="CU1125" s="115"/>
      <c r="CV1125" s="115"/>
      <c r="CW1125" s="115"/>
      <c r="CX1125" s="115"/>
      <c r="CY1125" s="115"/>
      <c r="CZ1125" s="115"/>
      <c r="DA1125" s="115"/>
      <c r="DB1125" s="115"/>
      <c r="DC1125" s="115"/>
      <c r="DD1125" s="115"/>
      <c r="DE1125" s="115"/>
      <c r="DF1125" s="115"/>
      <c r="DG1125" s="115"/>
    </row>
    <row r="1126" spans="1:111" ht="4.5" customHeight="1">
      <c r="A1126"/>
      <c r="B1126" s="49"/>
      <c r="C1126" s="49"/>
      <c r="D1126" s="49"/>
      <c r="E1126" s="49"/>
      <c r="F1126" s="49"/>
      <c r="G1126" s="49"/>
      <c r="H1126" s="49"/>
      <c r="I1126" s="49"/>
      <c r="J1126" s="49"/>
      <c r="K1126" s="49"/>
      <c r="L1126" s="49"/>
      <c r="M1126" s="49"/>
      <c r="N1126" s="49"/>
      <c r="O1126" s="49"/>
      <c r="P1126" s="49"/>
      <c r="Q1126" s="49"/>
      <c r="R1126" s="49"/>
      <c r="S1126" s="49"/>
      <c r="T1126" s="49"/>
      <c r="U1126" s="49"/>
      <c r="V1126" s="49"/>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9"/>
      <c r="AR1126" s="49"/>
      <c r="AS1126" s="49"/>
      <c r="AT1126" s="49"/>
      <c r="AU1126" s="49"/>
      <c r="AV1126" s="49"/>
      <c r="AW1126" s="49"/>
      <c r="AX1126" s="49"/>
      <c r="AY1126" s="49"/>
      <c r="AZ1126" s="49"/>
      <c r="BA1126" s="49"/>
      <c r="BB1126"/>
      <c r="BC1126" s="115"/>
      <c r="BD1126" s="115"/>
      <c r="BE1126" s="115"/>
      <c r="BF1126" s="115"/>
      <c r="BG1126" s="115"/>
      <c r="BH1126" s="124"/>
      <c r="BI1126" s="124"/>
      <c r="BJ1126" s="124"/>
      <c r="BK1126" s="124"/>
      <c r="BL1126" s="124"/>
      <c r="BM1126" s="124"/>
      <c r="BN1126" s="124"/>
      <c r="BO1126" s="124"/>
      <c r="BP1126" s="124"/>
      <c r="BQ1126" s="124"/>
      <c r="BR1126" s="124"/>
      <c r="BS1126" s="124"/>
      <c r="BT1126" s="124"/>
      <c r="BU1126" s="124"/>
      <c r="BV1126" s="124"/>
      <c r="BW1126" s="124"/>
      <c r="BX1126" s="124"/>
      <c r="BY1126" s="124"/>
      <c r="BZ1126" s="124"/>
      <c r="CA1126" s="124"/>
      <c r="CB1126" s="124"/>
      <c r="CC1126" s="124"/>
      <c r="CD1126" s="124"/>
      <c r="CE1126" s="124"/>
      <c r="CF1126" s="124"/>
      <c r="CG1126" s="124"/>
      <c r="CH1126" s="124"/>
      <c r="CI1126" s="124"/>
      <c r="CJ1126" s="124"/>
      <c r="CK1126" s="124"/>
      <c r="CL1126" s="124"/>
      <c r="CM1126" s="124"/>
      <c r="CN1126" s="124"/>
      <c r="CO1126" s="124"/>
      <c r="CP1126" s="124"/>
      <c r="CQ1126" s="124"/>
      <c r="CR1126" s="124"/>
      <c r="CS1126" s="124"/>
      <c r="CT1126" s="124"/>
      <c r="CU1126" s="124"/>
      <c r="CV1126" s="124"/>
      <c r="CW1126" s="124"/>
      <c r="CX1126" s="124"/>
      <c r="CY1126" s="124"/>
      <c r="CZ1126" s="124"/>
      <c r="DA1126" s="124"/>
      <c r="DB1126" s="124"/>
      <c r="DC1126" s="124"/>
      <c r="DD1126" s="124"/>
      <c r="DE1126" s="124"/>
      <c r="DF1126" s="124"/>
      <c r="DG1126" s="115"/>
    </row>
    <row r="1127" spans="1:111" ht="9" customHeight="1">
      <c r="A1127"/>
      <c r="B1127" s="493" t="str">
        <f>IF(B1116="","","Detalhamento do Objeto:")</f>
        <v/>
      </c>
      <c r="C1127" s="493"/>
      <c r="D1127" s="493"/>
      <c r="E1127" s="493"/>
      <c r="F1127" s="493"/>
      <c r="G1127" s="493"/>
      <c r="H1127" s="493"/>
      <c r="I1127" s="493"/>
      <c r="J1127" s="493"/>
      <c r="K1127" s="493"/>
      <c r="L1127" s="493"/>
      <c r="M1127" s="493"/>
      <c r="N1127" s="493"/>
      <c r="O1127" s="421"/>
      <c r="P1127" s="421"/>
      <c r="Q1127" s="421"/>
      <c r="R1127" s="421"/>
      <c r="S1127" s="421"/>
      <c r="T1127" s="421"/>
      <c r="U1127" s="421"/>
      <c r="V1127" s="421"/>
      <c r="W1127" s="421"/>
      <c r="X1127" s="421"/>
      <c r="Y1127" s="421"/>
      <c r="Z1127" s="421"/>
      <c r="AA1127" s="421"/>
      <c r="AB1127" s="421"/>
      <c r="AC1127" s="421"/>
      <c r="AD1127" s="421"/>
      <c r="AE1127" s="421"/>
      <c r="AF1127" s="421"/>
      <c r="AG1127" s="421"/>
      <c r="AH1127" s="421"/>
      <c r="AI1127" s="421"/>
      <c r="AJ1127" s="421"/>
      <c r="AK1127" s="421"/>
      <c r="AL1127" s="421"/>
      <c r="AM1127" s="421"/>
      <c r="AN1127" s="421"/>
      <c r="AO1127" s="421"/>
      <c r="AP1127" s="421"/>
      <c r="AQ1127" s="421"/>
      <c r="AR1127" s="421"/>
      <c r="AS1127" s="421"/>
      <c r="AT1127" s="421"/>
      <c r="AU1127" s="421"/>
      <c r="AV1127" s="421"/>
      <c r="AW1127" s="421"/>
      <c r="AX1127" s="421"/>
      <c r="AY1127" s="421"/>
      <c r="AZ1127" s="421"/>
      <c r="BA1127" s="421"/>
      <c r="BB1127"/>
      <c r="BC1127" s="115"/>
      <c r="BD1127" s="115"/>
      <c r="BE1127" s="115"/>
      <c r="BF1127" s="115"/>
      <c r="BG1127" s="115"/>
      <c r="BH1127" s="124"/>
      <c r="BI1127" s="124"/>
      <c r="BJ1127" s="124"/>
      <c r="BK1127" s="124"/>
      <c r="BL1127" s="124"/>
      <c r="BM1127" s="124"/>
      <c r="BN1127" s="124"/>
      <c r="BO1127" s="124"/>
      <c r="BP1127" s="124"/>
      <c r="BQ1127" s="124"/>
      <c r="BR1127" s="124"/>
      <c r="BS1127" s="124"/>
      <c r="BT1127" s="124"/>
      <c r="BU1127" s="124"/>
      <c r="BV1127" s="124"/>
      <c r="BW1127" s="124"/>
      <c r="BX1127" s="124"/>
      <c r="BY1127" s="124"/>
      <c r="BZ1127" s="124"/>
      <c r="CA1127" s="124"/>
      <c r="CB1127" s="124"/>
      <c r="CC1127" s="124"/>
      <c r="CD1127" s="124"/>
      <c r="CE1127" s="124"/>
      <c r="CF1127" s="124"/>
      <c r="CG1127" s="124"/>
      <c r="CH1127" s="124"/>
      <c r="CI1127" s="124"/>
      <c r="CJ1127" s="124"/>
      <c r="CK1127" s="124"/>
      <c r="CL1127" s="124"/>
      <c r="CM1127" s="124"/>
      <c r="CN1127" s="124"/>
      <c r="CO1127" s="124"/>
      <c r="CP1127" s="124"/>
      <c r="CQ1127" s="124"/>
      <c r="CR1127" s="124"/>
      <c r="CS1127" s="124"/>
      <c r="CT1127" s="124"/>
      <c r="CU1127" s="124"/>
      <c r="CV1127" s="124"/>
      <c r="CW1127" s="124"/>
      <c r="CX1127" s="124"/>
      <c r="CY1127" s="124"/>
      <c r="CZ1127" s="124"/>
      <c r="DA1127" s="124"/>
      <c r="DB1127" s="124"/>
      <c r="DC1127" s="124"/>
      <c r="DD1127" s="124"/>
      <c r="DE1127" s="124"/>
      <c r="DF1127" s="124"/>
      <c r="DG1127" s="115"/>
    </row>
    <row r="1128" spans="1:111" ht="9" customHeight="1">
      <c r="A1128"/>
      <c r="B1128" s="493"/>
      <c r="C1128" s="493"/>
      <c r="D1128" s="493"/>
      <c r="E1128" s="493"/>
      <c r="F1128" s="493"/>
      <c r="G1128" s="493"/>
      <c r="H1128" s="493"/>
      <c r="I1128" s="493"/>
      <c r="J1128" s="493"/>
      <c r="K1128" s="493"/>
      <c r="L1128" s="493"/>
      <c r="M1128" s="493"/>
      <c r="N1128" s="493"/>
      <c r="O1128" s="421"/>
      <c r="P1128" s="421"/>
      <c r="Q1128" s="421"/>
      <c r="R1128" s="421"/>
      <c r="S1128" s="421"/>
      <c r="T1128" s="421"/>
      <c r="U1128" s="421"/>
      <c r="V1128" s="421"/>
      <c r="W1128" s="421"/>
      <c r="X1128" s="421"/>
      <c r="Y1128" s="421"/>
      <c r="Z1128" s="421"/>
      <c r="AA1128" s="421"/>
      <c r="AB1128" s="421"/>
      <c r="AC1128" s="421"/>
      <c r="AD1128" s="421"/>
      <c r="AE1128" s="421"/>
      <c r="AF1128" s="421"/>
      <c r="AG1128" s="421"/>
      <c r="AH1128" s="421"/>
      <c r="AI1128" s="421"/>
      <c r="AJ1128" s="421"/>
      <c r="AK1128" s="421"/>
      <c r="AL1128" s="421"/>
      <c r="AM1128" s="421"/>
      <c r="AN1128" s="421"/>
      <c r="AO1128" s="421"/>
      <c r="AP1128" s="421"/>
      <c r="AQ1128" s="421"/>
      <c r="AR1128" s="421"/>
      <c r="AS1128" s="421"/>
      <c r="AT1128" s="421"/>
      <c r="AU1128" s="421"/>
      <c r="AV1128" s="421"/>
      <c r="AW1128" s="421"/>
      <c r="AX1128" s="421"/>
      <c r="AY1128" s="421"/>
      <c r="AZ1128" s="421"/>
      <c r="BA1128" s="421"/>
      <c r="BB1128"/>
      <c r="BC1128" s="115"/>
      <c r="BD1128" s="115"/>
      <c r="BE1128" s="115"/>
      <c r="BF1128" s="115"/>
      <c r="BG1128" s="115"/>
      <c r="BH1128" s="124"/>
      <c r="BI1128" s="124"/>
      <c r="BJ1128" s="124"/>
      <c r="BK1128" s="124"/>
      <c r="BL1128" s="124"/>
      <c r="BM1128" s="124"/>
      <c r="BN1128" s="124"/>
      <c r="BO1128" s="124"/>
      <c r="BP1128" s="124"/>
      <c r="BQ1128" s="124"/>
      <c r="BR1128" s="124"/>
      <c r="BS1128" s="124"/>
      <c r="BT1128" s="124"/>
      <c r="BU1128" s="124"/>
      <c r="BV1128" s="124"/>
      <c r="BW1128" s="124"/>
      <c r="BX1128" s="124"/>
      <c r="BY1128" s="124"/>
      <c r="BZ1128" s="124"/>
      <c r="CA1128" s="124"/>
      <c r="CB1128" s="124"/>
      <c r="CC1128" s="124"/>
      <c r="CD1128" s="124"/>
      <c r="CE1128" s="124"/>
      <c r="CF1128" s="124"/>
      <c r="CG1128" s="124"/>
      <c r="CH1128" s="124"/>
      <c r="CI1128" s="124"/>
      <c r="CJ1128" s="124"/>
      <c r="CK1128" s="124"/>
      <c r="CL1128" s="124"/>
      <c r="CM1128" s="124"/>
      <c r="CN1128" s="124"/>
      <c r="CO1128" s="124"/>
      <c r="CP1128" s="124"/>
      <c r="CQ1128" s="124"/>
      <c r="CR1128" s="124"/>
      <c r="CS1128" s="124"/>
      <c r="CT1128" s="124"/>
      <c r="CU1128" s="124"/>
      <c r="CV1128" s="124"/>
      <c r="CW1128" s="124"/>
      <c r="CX1128" s="124"/>
      <c r="CY1128" s="124"/>
      <c r="CZ1128" s="124"/>
      <c r="DA1128" s="124"/>
      <c r="DB1128" s="124"/>
      <c r="DC1128" s="124"/>
      <c r="DD1128" s="124"/>
      <c r="DE1128" s="124"/>
      <c r="DF1128" s="124"/>
      <c r="DG1128" s="115"/>
    </row>
    <row r="1129" spans="1:111" ht="9" customHeight="1">
      <c r="A1129"/>
      <c r="B1129" s="143"/>
      <c r="C1129" s="143"/>
      <c r="D1129" s="143"/>
      <c r="E1129" s="143"/>
      <c r="F1129" s="143"/>
      <c r="G1129" s="143"/>
      <c r="H1129" s="143"/>
      <c r="I1129" s="143"/>
      <c r="J1129" s="143"/>
      <c r="K1129" s="143"/>
      <c r="L1129" s="143"/>
      <c r="M1129" s="143"/>
      <c r="N1129" s="143"/>
      <c r="O1129" s="421"/>
      <c r="P1129" s="421"/>
      <c r="Q1129" s="421"/>
      <c r="R1129" s="421"/>
      <c r="S1129" s="421"/>
      <c r="T1129" s="421"/>
      <c r="U1129" s="421"/>
      <c r="V1129" s="421"/>
      <c r="W1129" s="421"/>
      <c r="X1129" s="421"/>
      <c r="Y1129" s="421"/>
      <c r="Z1129" s="421"/>
      <c r="AA1129" s="421"/>
      <c r="AB1129" s="421"/>
      <c r="AC1129" s="421"/>
      <c r="AD1129" s="421"/>
      <c r="AE1129" s="421"/>
      <c r="AF1129" s="421"/>
      <c r="AG1129" s="421"/>
      <c r="AH1129" s="421"/>
      <c r="AI1129" s="421"/>
      <c r="AJ1129" s="421"/>
      <c r="AK1129" s="421"/>
      <c r="AL1129" s="421"/>
      <c r="AM1129" s="421"/>
      <c r="AN1129" s="421"/>
      <c r="AO1129" s="421"/>
      <c r="AP1129" s="421"/>
      <c r="AQ1129" s="421"/>
      <c r="AR1129" s="421"/>
      <c r="AS1129" s="421"/>
      <c r="AT1129" s="421"/>
      <c r="AU1129" s="421"/>
      <c r="AV1129" s="421"/>
      <c r="AW1129" s="421"/>
      <c r="AX1129" s="421"/>
      <c r="AY1129" s="421"/>
      <c r="AZ1129" s="421"/>
      <c r="BA1129" s="421"/>
      <c r="BB1129"/>
      <c r="BC1129" s="115"/>
      <c r="BD1129" s="115"/>
      <c r="BE1129" s="115"/>
      <c r="BF1129" s="115"/>
      <c r="BG1129" s="115"/>
      <c r="BH1129" s="138"/>
      <c r="BI1129" s="138"/>
      <c r="BJ1129" s="138"/>
      <c r="BK1129" s="138"/>
      <c r="BL1129" s="138"/>
      <c r="BM1129" s="138"/>
      <c r="BN1129" s="138"/>
      <c r="BO1129" s="138"/>
      <c r="BP1129" s="138"/>
      <c r="BQ1129" s="138"/>
      <c r="BR1129" s="138"/>
      <c r="BS1129" s="138"/>
      <c r="BT1129" s="138"/>
      <c r="BU1129" s="138"/>
      <c r="BV1129" s="138"/>
      <c r="BW1129" s="138"/>
      <c r="BX1129" s="138"/>
      <c r="BY1129" s="138"/>
      <c r="BZ1129" s="138"/>
      <c r="CA1129" s="138"/>
      <c r="CB1129" s="138"/>
      <c r="CC1129" s="138"/>
      <c r="CD1129" s="138"/>
      <c r="CE1129" s="138"/>
      <c r="CF1129" s="138"/>
      <c r="CG1129" s="138"/>
      <c r="CH1129" s="138"/>
      <c r="CI1129" s="138"/>
      <c r="CJ1129" s="138"/>
      <c r="CK1129" s="138"/>
      <c r="CL1129" s="138"/>
      <c r="CM1129" s="138"/>
      <c r="CN1129" s="138"/>
      <c r="CO1129" s="138"/>
      <c r="CP1129" s="138"/>
      <c r="CQ1129" s="138"/>
      <c r="CR1129" s="138"/>
      <c r="CS1129" s="138"/>
      <c r="CT1129" s="138"/>
      <c r="CU1129" s="138"/>
      <c r="CV1129" s="138"/>
      <c r="CW1129" s="138"/>
      <c r="CX1129" s="138"/>
      <c r="CY1129" s="138"/>
      <c r="CZ1129" s="138"/>
      <c r="DA1129" s="138"/>
      <c r="DB1129" s="138"/>
      <c r="DC1129" s="138"/>
      <c r="DD1129" s="138"/>
      <c r="DE1129" s="138"/>
      <c r="DF1129" s="138"/>
      <c r="DG1129" s="115"/>
    </row>
    <row r="1130" spans="1:111" ht="9" customHeight="1">
      <c r="A1130"/>
      <c r="B1130" s="143"/>
      <c r="C1130" s="143"/>
      <c r="D1130" s="143"/>
      <c r="E1130" s="143"/>
      <c r="F1130" s="143"/>
      <c r="G1130" s="143"/>
      <c r="H1130" s="143"/>
      <c r="I1130" s="143"/>
      <c r="J1130" s="143"/>
      <c r="K1130" s="143"/>
      <c r="L1130" s="143"/>
      <c r="M1130" s="143"/>
      <c r="N1130" s="143"/>
      <c r="O1130" s="421"/>
      <c r="P1130" s="421"/>
      <c r="Q1130" s="421"/>
      <c r="R1130" s="421"/>
      <c r="S1130" s="421"/>
      <c r="T1130" s="421"/>
      <c r="U1130" s="421"/>
      <c r="V1130" s="421"/>
      <c r="W1130" s="421"/>
      <c r="X1130" s="421"/>
      <c r="Y1130" s="421"/>
      <c r="Z1130" s="421"/>
      <c r="AA1130" s="421"/>
      <c r="AB1130" s="421"/>
      <c r="AC1130" s="421"/>
      <c r="AD1130" s="421"/>
      <c r="AE1130" s="421"/>
      <c r="AF1130" s="421"/>
      <c r="AG1130" s="421"/>
      <c r="AH1130" s="421"/>
      <c r="AI1130" s="421"/>
      <c r="AJ1130" s="421"/>
      <c r="AK1130" s="421"/>
      <c r="AL1130" s="421"/>
      <c r="AM1130" s="421"/>
      <c r="AN1130" s="421"/>
      <c r="AO1130" s="421"/>
      <c r="AP1130" s="421"/>
      <c r="AQ1130" s="421"/>
      <c r="AR1130" s="421"/>
      <c r="AS1130" s="421"/>
      <c r="AT1130" s="421"/>
      <c r="AU1130" s="421"/>
      <c r="AV1130" s="421"/>
      <c r="AW1130" s="421"/>
      <c r="AX1130" s="421"/>
      <c r="AY1130" s="421"/>
      <c r="AZ1130" s="421"/>
      <c r="BA1130" s="421"/>
      <c r="BB1130"/>
      <c r="BC1130" s="115"/>
      <c r="BD1130" s="115"/>
      <c r="BE1130" s="115"/>
      <c r="BF1130" s="115"/>
      <c r="BG1130" s="115"/>
      <c r="BH1130" s="138"/>
      <c r="BI1130" s="138"/>
      <c r="BJ1130" s="138"/>
      <c r="BK1130" s="138"/>
      <c r="BL1130" s="138"/>
      <c r="BM1130" s="138"/>
      <c r="BN1130" s="138"/>
      <c r="BO1130" s="138"/>
      <c r="BP1130" s="138"/>
      <c r="BQ1130" s="138"/>
      <c r="BR1130" s="138"/>
      <c r="BS1130" s="138"/>
      <c r="BT1130" s="138"/>
      <c r="BU1130" s="138"/>
      <c r="BV1130" s="138"/>
      <c r="BW1130" s="138"/>
      <c r="BX1130" s="138"/>
      <c r="BY1130" s="138"/>
      <c r="BZ1130" s="138"/>
      <c r="CA1130" s="138"/>
      <c r="CB1130" s="138"/>
      <c r="CC1130" s="138"/>
      <c r="CD1130" s="138"/>
      <c r="CE1130" s="138"/>
      <c r="CF1130" s="138"/>
      <c r="CG1130" s="138"/>
      <c r="CH1130" s="138"/>
      <c r="CI1130" s="138"/>
      <c r="CJ1130" s="138"/>
      <c r="CK1130" s="138"/>
      <c r="CL1130" s="138"/>
      <c r="CM1130" s="138"/>
      <c r="CN1130" s="138"/>
      <c r="CO1130" s="138"/>
      <c r="CP1130" s="138"/>
      <c r="CQ1130" s="138"/>
      <c r="CR1130" s="138"/>
      <c r="CS1130" s="138"/>
      <c r="CT1130" s="138"/>
      <c r="CU1130" s="138"/>
      <c r="CV1130" s="138"/>
      <c r="CW1130" s="138"/>
      <c r="CX1130" s="138"/>
      <c r="CY1130" s="138"/>
      <c r="CZ1130" s="138"/>
      <c r="DA1130" s="138"/>
      <c r="DB1130" s="138"/>
      <c r="DC1130" s="138"/>
      <c r="DD1130" s="138"/>
      <c r="DE1130" s="138"/>
      <c r="DF1130" s="138"/>
      <c r="DG1130" s="115"/>
    </row>
    <row r="1131" spans="1:111" ht="9" customHeight="1">
      <c r="A1131"/>
      <c r="B1131" s="143"/>
      <c r="C1131" s="143"/>
      <c r="D1131" s="143"/>
      <c r="E1131" s="143"/>
      <c r="F1131" s="143"/>
      <c r="G1131" s="143"/>
      <c r="H1131" s="143"/>
      <c r="I1131" s="143"/>
      <c r="J1131" s="143"/>
      <c r="K1131" s="143"/>
      <c r="L1131" s="143"/>
      <c r="M1131" s="143"/>
      <c r="N1131" s="143"/>
      <c r="O1131" s="421"/>
      <c r="P1131" s="421"/>
      <c r="Q1131" s="421"/>
      <c r="R1131" s="421"/>
      <c r="S1131" s="421"/>
      <c r="T1131" s="421"/>
      <c r="U1131" s="421"/>
      <c r="V1131" s="421"/>
      <c r="W1131" s="421"/>
      <c r="X1131" s="421"/>
      <c r="Y1131" s="421"/>
      <c r="Z1131" s="421"/>
      <c r="AA1131" s="421"/>
      <c r="AB1131" s="421"/>
      <c r="AC1131" s="421"/>
      <c r="AD1131" s="421"/>
      <c r="AE1131" s="421"/>
      <c r="AF1131" s="421"/>
      <c r="AG1131" s="421"/>
      <c r="AH1131" s="421"/>
      <c r="AI1131" s="421"/>
      <c r="AJ1131" s="421"/>
      <c r="AK1131" s="421"/>
      <c r="AL1131" s="421"/>
      <c r="AM1131" s="421"/>
      <c r="AN1131" s="421"/>
      <c r="AO1131" s="421"/>
      <c r="AP1131" s="421"/>
      <c r="AQ1131" s="421"/>
      <c r="AR1131" s="421"/>
      <c r="AS1131" s="421"/>
      <c r="AT1131" s="421"/>
      <c r="AU1131" s="421"/>
      <c r="AV1131" s="421"/>
      <c r="AW1131" s="421"/>
      <c r="AX1131" s="421"/>
      <c r="AY1131" s="421"/>
      <c r="AZ1131" s="421"/>
      <c r="BA1131" s="421"/>
      <c r="BB1131"/>
      <c r="BC1131" s="115"/>
      <c r="BD1131" s="115"/>
      <c r="BE1131" s="115"/>
      <c r="BF1131" s="115"/>
      <c r="BG1131" s="115"/>
      <c r="BH1131" s="138"/>
      <c r="BI1131" s="138"/>
      <c r="BJ1131" s="138"/>
      <c r="BK1131" s="138"/>
      <c r="BL1131" s="138"/>
      <c r="BM1131" s="138"/>
      <c r="BN1131" s="138"/>
      <c r="BO1131" s="138"/>
      <c r="BP1131" s="138"/>
      <c r="BQ1131" s="138"/>
      <c r="BR1131" s="138"/>
      <c r="BS1131" s="138"/>
      <c r="BT1131" s="138"/>
      <c r="BU1131" s="138"/>
      <c r="BV1131" s="138"/>
      <c r="BW1131" s="138"/>
      <c r="BX1131" s="138"/>
      <c r="BY1131" s="138"/>
      <c r="BZ1131" s="138"/>
      <c r="CA1131" s="138"/>
      <c r="CB1131" s="138"/>
      <c r="CC1131" s="138"/>
      <c r="CD1131" s="138"/>
      <c r="CE1131" s="138"/>
      <c r="CF1131" s="138"/>
      <c r="CG1131" s="138"/>
      <c r="CH1131" s="138"/>
      <c r="CI1131" s="138"/>
      <c r="CJ1131" s="138"/>
      <c r="CK1131" s="138"/>
      <c r="CL1131" s="138"/>
      <c r="CM1131" s="138"/>
      <c r="CN1131" s="138"/>
      <c r="CO1131" s="138"/>
      <c r="CP1131" s="138"/>
      <c r="CQ1131" s="138"/>
      <c r="CR1131" s="138"/>
      <c r="CS1131" s="138"/>
      <c r="CT1131" s="138"/>
      <c r="CU1131" s="138"/>
      <c r="CV1131" s="138"/>
      <c r="CW1131" s="138"/>
      <c r="CX1131" s="138"/>
      <c r="CY1131" s="138"/>
      <c r="CZ1131" s="138"/>
      <c r="DA1131" s="138"/>
      <c r="DB1131" s="138"/>
      <c r="DC1131" s="138"/>
      <c r="DD1131" s="138"/>
      <c r="DE1131" s="138"/>
      <c r="DF1131" s="138"/>
      <c r="DG1131" s="115"/>
    </row>
    <row r="1132" spans="1:111" ht="9" customHeight="1">
      <c r="A1132"/>
      <c r="B1132" s="143"/>
      <c r="C1132" s="143"/>
      <c r="D1132" s="143"/>
      <c r="E1132" s="143"/>
      <c r="F1132" s="143"/>
      <c r="G1132" s="143"/>
      <c r="H1132" s="143"/>
      <c r="I1132" s="143"/>
      <c r="J1132" s="143"/>
      <c r="K1132" s="143"/>
      <c r="L1132" s="143"/>
      <c r="M1132" s="143"/>
      <c r="N1132" s="143"/>
      <c r="O1132" s="421"/>
      <c r="P1132" s="421"/>
      <c r="Q1132" s="421"/>
      <c r="R1132" s="421"/>
      <c r="S1132" s="421"/>
      <c r="T1132" s="421"/>
      <c r="U1132" s="421"/>
      <c r="V1132" s="421"/>
      <c r="W1132" s="421"/>
      <c r="X1132" s="421"/>
      <c r="Y1132" s="421"/>
      <c r="Z1132" s="421"/>
      <c r="AA1132" s="421"/>
      <c r="AB1132" s="421"/>
      <c r="AC1132" s="421"/>
      <c r="AD1132" s="421"/>
      <c r="AE1132" s="421"/>
      <c r="AF1132" s="421"/>
      <c r="AG1132" s="421"/>
      <c r="AH1132" s="421"/>
      <c r="AI1132" s="421"/>
      <c r="AJ1132" s="421"/>
      <c r="AK1132" s="421"/>
      <c r="AL1132" s="421"/>
      <c r="AM1132" s="421"/>
      <c r="AN1132" s="421"/>
      <c r="AO1132" s="421"/>
      <c r="AP1132" s="421"/>
      <c r="AQ1132" s="421"/>
      <c r="AR1132" s="421"/>
      <c r="AS1132" s="421"/>
      <c r="AT1132" s="421"/>
      <c r="AU1132" s="421"/>
      <c r="AV1132" s="421"/>
      <c r="AW1132" s="421"/>
      <c r="AX1132" s="421"/>
      <c r="AY1132" s="421"/>
      <c r="AZ1132" s="421"/>
      <c r="BA1132" s="421"/>
      <c r="BB1132"/>
      <c r="BC1132" s="115"/>
      <c r="BD1132" s="115"/>
      <c r="BE1132" s="115"/>
      <c r="BF1132" s="115"/>
      <c r="BG1132" s="115"/>
      <c r="BH1132" s="138"/>
      <c r="BI1132" s="138"/>
      <c r="BJ1132" s="138"/>
      <c r="BK1132" s="138"/>
      <c r="BL1132" s="138"/>
      <c r="BM1132" s="138"/>
      <c r="BN1132" s="138"/>
      <c r="BO1132" s="138"/>
      <c r="BP1132" s="138"/>
      <c r="BQ1132" s="138"/>
      <c r="BR1132" s="138"/>
      <c r="BS1132" s="138"/>
      <c r="BT1132" s="138"/>
      <c r="BU1132" s="138"/>
      <c r="BV1132" s="138"/>
      <c r="BW1132" s="138"/>
      <c r="BX1132" s="138"/>
      <c r="BY1132" s="138"/>
      <c r="BZ1132" s="138"/>
      <c r="CA1132" s="138"/>
      <c r="CB1132" s="138"/>
      <c r="CC1132" s="138"/>
      <c r="CD1132" s="138"/>
      <c r="CE1132" s="138"/>
      <c r="CF1132" s="138"/>
      <c r="CG1132" s="138"/>
      <c r="CH1132" s="138"/>
      <c r="CI1132" s="138"/>
      <c r="CJ1132" s="138"/>
      <c r="CK1132" s="138"/>
      <c r="CL1132" s="138"/>
      <c r="CM1132" s="138"/>
      <c r="CN1132" s="138"/>
      <c r="CO1132" s="138"/>
      <c r="CP1132" s="138"/>
      <c r="CQ1132" s="138"/>
      <c r="CR1132" s="138"/>
      <c r="CS1132" s="138"/>
      <c r="CT1132" s="138"/>
      <c r="CU1132" s="138"/>
      <c r="CV1132" s="138"/>
      <c r="CW1132" s="138"/>
      <c r="CX1132" s="138"/>
      <c r="CY1132" s="138"/>
      <c r="CZ1132" s="138"/>
      <c r="DA1132" s="138"/>
      <c r="DB1132" s="138"/>
      <c r="DC1132" s="138"/>
      <c r="DD1132" s="138"/>
      <c r="DE1132" s="138"/>
      <c r="DF1132" s="138"/>
      <c r="DG1132" s="115"/>
    </row>
    <row r="1133" spans="1:111" ht="9" customHeight="1">
      <c r="A1133"/>
      <c r="B1133" s="143"/>
      <c r="C1133" s="143"/>
      <c r="D1133" s="143"/>
      <c r="E1133" s="143"/>
      <c r="F1133" s="143"/>
      <c r="G1133" s="143"/>
      <c r="H1133" s="143"/>
      <c r="I1133" s="143"/>
      <c r="J1133" s="143"/>
      <c r="K1133" s="143"/>
      <c r="L1133" s="143"/>
      <c r="M1133" s="143"/>
      <c r="N1133" s="143"/>
      <c r="O1133" s="421"/>
      <c r="P1133" s="421"/>
      <c r="Q1133" s="421"/>
      <c r="R1133" s="421"/>
      <c r="S1133" s="421"/>
      <c r="T1133" s="421"/>
      <c r="U1133" s="421"/>
      <c r="V1133" s="421"/>
      <c r="W1133" s="421"/>
      <c r="X1133" s="421"/>
      <c r="Y1133" s="421"/>
      <c r="Z1133" s="421"/>
      <c r="AA1133" s="421"/>
      <c r="AB1133" s="421"/>
      <c r="AC1133" s="421"/>
      <c r="AD1133" s="421"/>
      <c r="AE1133" s="421"/>
      <c r="AF1133" s="421"/>
      <c r="AG1133" s="421"/>
      <c r="AH1133" s="421"/>
      <c r="AI1133" s="421"/>
      <c r="AJ1133" s="421"/>
      <c r="AK1133" s="421"/>
      <c r="AL1133" s="421"/>
      <c r="AM1133" s="421"/>
      <c r="AN1133" s="421"/>
      <c r="AO1133" s="421"/>
      <c r="AP1133" s="421"/>
      <c r="AQ1133" s="421"/>
      <c r="AR1133" s="421"/>
      <c r="AS1133" s="421"/>
      <c r="AT1133" s="421"/>
      <c r="AU1133" s="421"/>
      <c r="AV1133" s="421"/>
      <c r="AW1133" s="421"/>
      <c r="AX1133" s="421"/>
      <c r="AY1133" s="421"/>
      <c r="AZ1133" s="421"/>
      <c r="BA1133" s="421"/>
      <c r="BB1133"/>
      <c r="BC1133" s="115"/>
      <c r="BD1133" s="115"/>
      <c r="BE1133" s="115"/>
      <c r="BF1133" s="115"/>
      <c r="BG1133" s="115"/>
      <c r="BH1133" s="138"/>
      <c r="BI1133" s="138"/>
      <c r="BJ1133" s="138"/>
      <c r="BK1133" s="138"/>
      <c r="BL1133" s="138"/>
      <c r="BM1133" s="138"/>
      <c r="BN1133" s="138"/>
      <c r="BO1133" s="138"/>
      <c r="BP1133" s="138"/>
      <c r="BQ1133" s="138"/>
      <c r="BR1133" s="138"/>
      <c r="BS1133" s="138"/>
      <c r="BT1133" s="138"/>
      <c r="BU1133" s="138"/>
      <c r="BV1133" s="138"/>
      <c r="BW1133" s="138"/>
      <c r="BX1133" s="138"/>
      <c r="BY1133" s="138"/>
      <c r="BZ1133" s="138"/>
      <c r="CA1133" s="138"/>
      <c r="CB1133" s="138"/>
      <c r="CC1133" s="138"/>
      <c r="CD1133" s="138"/>
      <c r="CE1133" s="138"/>
      <c r="CF1133" s="138"/>
      <c r="CG1133" s="138"/>
      <c r="CH1133" s="138"/>
      <c r="CI1133" s="138"/>
      <c r="CJ1133" s="138"/>
      <c r="CK1133" s="138"/>
      <c r="CL1133" s="138"/>
      <c r="CM1133" s="138"/>
      <c r="CN1133" s="138"/>
      <c r="CO1133" s="138"/>
      <c r="CP1133" s="138"/>
      <c r="CQ1133" s="138"/>
      <c r="CR1133" s="138"/>
      <c r="CS1133" s="138"/>
      <c r="CT1133" s="138"/>
      <c r="CU1133" s="138"/>
      <c r="CV1133" s="138"/>
      <c r="CW1133" s="138"/>
      <c r="CX1133" s="138"/>
      <c r="CY1133" s="138"/>
      <c r="CZ1133" s="138"/>
      <c r="DA1133" s="138"/>
      <c r="DB1133" s="138"/>
      <c r="DC1133" s="138"/>
      <c r="DD1133" s="138"/>
      <c r="DE1133" s="138"/>
      <c r="DF1133" s="138"/>
      <c r="DG1133" s="115"/>
    </row>
    <row r="1134" spans="1:111" ht="9" customHeight="1">
      <c r="A1134"/>
      <c r="B1134" s="49"/>
      <c r="C1134" s="49"/>
      <c r="D1134" s="49"/>
      <c r="E1134" s="49"/>
      <c r="F1134" s="49"/>
      <c r="G1134" s="49"/>
      <c r="H1134" s="49"/>
      <c r="I1134" s="49"/>
      <c r="J1134" s="49"/>
      <c r="K1134" s="49"/>
      <c r="L1134" s="49"/>
      <c r="M1134" s="49"/>
      <c r="N1134" s="49"/>
      <c r="O1134" s="421"/>
      <c r="P1134" s="421"/>
      <c r="Q1134" s="421"/>
      <c r="R1134" s="421"/>
      <c r="S1134" s="421"/>
      <c r="T1134" s="421"/>
      <c r="U1134" s="421"/>
      <c r="V1134" s="421"/>
      <c r="W1134" s="421"/>
      <c r="X1134" s="421"/>
      <c r="Y1134" s="421"/>
      <c r="Z1134" s="421"/>
      <c r="AA1134" s="421"/>
      <c r="AB1134" s="421"/>
      <c r="AC1134" s="421"/>
      <c r="AD1134" s="421"/>
      <c r="AE1134" s="421"/>
      <c r="AF1134" s="421"/>
      <c r="AG1134" s="421"/>
      <c r="AH1134" s="421"/>
      <c r="AI1134" s="421"/>
      <c r="AJ1134" s="421"/>
      <c r="AK1134" s="421"/>
      <c r="AL1134" s="421"/>
      <c r="AM1134" s="421"/>
      <c r="AN1134" s="421"/>
      <c r="AO1134" s="421"/>
      <c r="AP1134" s="421"/>
      <c r="AQ1134" s="421"/>
      <c r="AR1134" s="421"/>
      <c r="AS1134" s="421"/>
      <c r="AT1134" s="421"/>
      <c r="AU1134" s="421"/>
      <c r="AV1134" s="421"/>
      <c r="AW1134" s="421"/>
      <c r="AX1134" s="421"/>
      <c r="AY1134" s="421"/>
      <c r="AZ1134" s="421"/>
      <c r="BA1134" s="421"/>
      <c r="BB1134"/>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c r="BY1134" s="115"/>
      <c r="BZ1134" s="115"/>
      <c r="CA1134" s="115"/>
      <c r="CB1134" s="115"/>
      <c r="CC1134" s="115"/>
      <c r="CD1134" s="115"/>
      <c r="CE1134" s="115"/>
      <c r="CF1134" s="115"/>
      <c r="CG1134" s="115"/>
      <c r="CH1134" s="115"/>
      <c r="CI1134" s="115"/>
      <c r="CJ1134" s="115"/>
      <c r="CK1134" s="115"/>
      <c r="CL1134" s="115"/>
      <c r="CM1134" s="115"/>
      <c r="CN1134" s="115"/>
      <c r="CO1134" s="115"/>
      <c r="CP1134" s="115"/>
      <c r="CQ1134" s="115"/>
      <c r="CR1134" s="115"/>
      <c r="CS1134" s="115"/>
      <c r="CT1134" s="115"/>
      <c r="CU1134" s="115"/>
      <c r="CV1134" s="115"/>
      <c r="CW1134" s="115"/>
      <c r="CX1134" s="115"/>
      <c r="CY1134" s="115"/>
      <c r="CZ1134" s="115"/>
      <c r="DA1134" s="115"/>
      <c r="DB1134" s="115"/>
      <c r="DC1134" s="115"/>
      <c r="DD1134" s="115"/>
      <c r="DE1134" s="115"/>
      <c r="DF1134" s="115"/>
      <c r="DG1134" s="115"/>
    </row>
    <row r="1135" spans="1:111" ht="4.5" customHeight="1">
      <c r="A1135"/>
      <c r="B1135" s="49"/>
      <c r="C1135" s="49"/>
      <c r="D1135" s="49"/>
      <c r="E1135" s="49"/>
      <c r="F1135" s="49"/>
      <c r="G1135" s="49"/>
      <c r="H1135" s="49"/>
      <c r="I1135" s="49"/>
      <c r="J1135" s="49"/>
      <c r="K1135" s="49"/>
      <c r="L1135" s="49"/>
      <c r="M1135" s="49"/>
      <c r="N1135" s="49"/>
      <c r="O1135" s="49"/>
      <c r="P1135" s="49"/>
      <c r="Q1135" s="49"/>
      <c r="R1135" s="49"/>
      <c r="S1135" s="49"/>
      <c r="T1135" s="49"/>
      <c r="U1135" s="49"/>
      <c r="V1135" s="49"/>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9"/>
      <c r="AR1135" s="49"/>
      <c r="AS1135" s="49"/>
      <c r="AT1135" s="49"/>
      <c r="AU1135" s="49"/>
      <c r="AV1135" s="49"/>
      <c r="AW1135" s="49"/>
      <c r="AX1135" s="49"/>
      <c r="AY1135" s="49"/>
      <c r="AZ1135" s="49"/>
      <c r="BA1135" s="49"/>
      <c r="BB1135"/>
      <c r="BC1135" s="115"/>
      <c r="BD1135" s="115"/>
      <c r="BE1135" s="115"/>
      <c r="BF1135" s="115"/>
      <c r="BG1135" s="115"/>
      <c r="BH1135" s="124"/>
      <c r="BI1135" s="124"/>
      <c r="BJ1135" s="124"/>
      <c r="BK1135" s="124"/>
      <c r="BL1135" s="124"/>
      <c r="BM1135" s="124"/>
      <c r="BN1135" s="124"/>
      <c r="BO1135" s="124"/>
      <c r="BP1135" s="124"/>
      <c r="BQ1135" s="124"/>
      <c r="BR1135" s="124"/>
      <c r="BS1135" s="124"/>
      <c r="BT1135" s="124"/>
      <c r="BU1135" s="124"/>
      <c r="BV1135" s="124"/>
      <c r="BW1135" s="124"/>
      <c r="BX1135" s="124"/>
      <c r="BY1135" s="124"/>
      <c r="BZ1135" s="124"/>
      <c r="CA1135" s="124"/>
      <c r="CB1135" s="124"/>
      <c r="CC1135" s="124"/>
      <c r="CD1135" s="124"/>
      <c r="CE1135" s="124"/>
      <c r="CF1135" s="124"/>
      <c r="CG1135" s="124"/>
      <c r="CH1135" s="124"/>
      <c r="CI1135" s="124"/>
      <c r="CJ1135" s="124"/>
      <c r="CK1135" s="124"/>
      <c r="CL1135" s="124"/>
      <c r="CM1135" s="124"/>
      <c r="CN1135" s="124"/>
      <c r="CO1135" s="124"/>
      <c r="CP1135" s="124"/>
      <c r="CQ1135" s="124"/>
      <c r="CR1135" s="124"/>
      <c r="CS1135" s="124"/>
      <c r="CT1135" s="124"/>
      <c r="CU1135" s="124"/>
      <c r="CV1135" s="124"/>
      <c r="CW1135" s="124"/>
      <c r="CX1135" s="124"/>
      <c r="CY1135" s="124"/>
      <c r="CZ1135" s="124"/>
      <c r="DA1135" s="124"/>
      <c r="DB1135" s="124"/>
      <c r="DC1135" s="124"/>
      <c r="DD1135" s="124"/>
      <c r="DE1135" s="124"/>
      <c r="DF1135" s="124"/>
      <c r="DG1135" s="115"/>
    </row>
    <row r="1136" spans="1:111" ht="9" customHeight="1">
      <c r="A1136"/>
      <c r="B1136" s="493" t="str">
        <f>IF(B1116="","","Justificativa:")</f>
        <v/>
      </c>
      <c r="C1136" s="493"/>
      <c r="D1136" s="493"/>
      <c r="E1136" s="493"/>
      <c r="F1136" s="493"/>
      <c r="G1136" s="493"/>
      <c r="H1136" s="493"/>
      <c r="I1136" s="493"/>
      <c r="J1136" s="493"/>
      <c r="K1136" s="493"/>
      <c r="L1136" s="493"/>
      <c r="M1136" s="493"/>
      <c r="N1136" s="493"/>
      <c r="O1136" s="421"/>
      <c r="P1136" s="421"/>
      <c r="Q1136" s="421"/>
      <c r="R1136" s="421"/>
      <c r="S1136" s="421"/>
      <c r="T1136" s="421"/>
      <c r="U1136" s="421"/>
      <c r="V1136" s="421"/>
      <c r="W1136" s="421"/>
      <c r="X1136" s="421"/>
      <c r="Y1136" s="421"/>
      <c r="Z1136" s="421"/>
      <c r="AA1136" s="421"/>
      <c r="AB1136" s="421"/>
      <c r="AC1136" s="421"/>
      <c r="AD1136" s="421"/>
      <c r="AE1136" s="421"/>
      <c r="AF1136" s="421"/>
      <c r="AG1136" s="421"/>
      <c r="AH1136" s="421"/>
      <c r="AI1136" s="421"/>
      <c r="AJ1136" s="421"/>
      <c r="AK1136" s="421"/>
      <c r="AL1136" s="421"/>
      <c r="AM1136" s="421"/>
      <c r="AN1136" s="421"/>
      <c r="AO1136" s="421"/>
      <c r="AP1136" s="421"/>
      <c r="AQ1136" s="421"/>
      <c r="AR1136" s="421"/>
      <c r="AS1136" s="421"/>
      <c r="AT1136" s="421"/>
      <c r="AU1136" s="421"/>
      <c r="AV1136" s="421"/>
      <c r="AW1136" s="421"/>
      <c r="AX1136" s="421"/>
      <c r="AY1136" s="421"/>
      <c r="AZ1136" s="421"/>
      <c r="BA1136" s="421"/>
      <c r="BB1136"/>
      <c r="BC1136" s="115"/>
      <c r="BD1136" s="115"/>
      <c r="BE1136" s="115"/>
      <c r="BF1136" s="115"/>
      <c r="BG1136" s="115"/>
      <c r="BH1136" s="124"/>
      <c r="BI1136" s="124"/>
      <c r="BJ1136" s="124"/>
      <c r="BK1136" s="124"/>
      <c r="BL1136" s="124"/>
      <c r="BM1136" s="124"/>
      <c r="BN1136" s="124"/>
      <c r="BO1136" s="124"/>
      <c r="BP1136" s="124"/>
      <c r="BQ1136" s="124"/>
      <c r="BR1136" s="124"/>
      <c r="BS1136" s="124"/>
      <c r="BT1136" s="124"/>
      <c r="BU1136" s="124"/>
      <c r="BV1136" s="124"/>
      <c r="BW1136" s="124"/>
      <c r="BX1136" s="124"/>
      <c r="BY1136" s="124"/>
      <c r="BZ1136" s="124"/>
      <c r="CA1136" s="124"/>
      <c r="CB1136" s="124"/>
      <c r="CC1136" s="124"/>
      <c r="CD1136" s="124"/>
      <c r="CE1136" s="124"/>
      <c r="CF1136" s="124"/>
      <c r="CG1136" s="124"/>
      <c r="CH1136" s="124"/>
      <c r="CI1136" s="124"/>
      <c r="CJ1136" s="124"/>
      <c r="CK1136" s="124"/>
      <c r="CL1136" s="124"/>
      <c r="CM1136" s="124"/>
      <c r="CN1136" s="124"/>
      <c r="CO1136" s="124"/>
      <c r="CP1136" s="124"/>
      <c r="CQ1136" s="124"/>
      <c r="CR1136" s="124"/>
      <c r="CS1136" s="124"/>
      <c r="CT1136" s="124"/>
      <c r="CU1136" s="124"/>
      <c r="CV1136" s="124"/>
      <c r="CW1136" s="124"/>
      <c r="CX1136" s="124"/>
      <c r="CY1136" s="124"/>
      <c r="CZ1136" s="124"/>
      <c r="DA1136" s="124"/>
      <c r="DB1136" s="124"/>
      <c r="DC1136" s="124"/>
      <c r="DD1136" s="124"/>
      <c r="DE1136" s="124"/>
      <c r="DF1136" s="124"/>
      <c r="DG1136" s="115"/>
    </row>
    <row r="1137" spans="1:111" ht="9" customHeight="1">
      <c r="A1137"/>
      <c r="B1137" s="493"/>
      <c r="C1137" s="493"/>
      <c r="D1137" s="493"/>
      <c r="E1137" s="493"/>
      <c r="F1137" s="493"/>
      <c r="G1137" s="493"/>
      <c r="H1137" s="493"/>
      <c r="I1137" s="493"/>
      <c r="J1137" s="493"/>
      <c r="K1137" s="493"/>
      <c r="L1137" s="493"/>
      <c r="M1137" s="493"/>
      <c r="N1137" s="493"/>
      <c r="O1137" s="421"/>
      <c r="P1137" s="421"/>
      <c r="Q1137" s="421"/>
      <c r="R1137" s="421"/>
      <c r="S1137" s="421"/>
      <c r="T1137" s="421"/>
      <c r="U1137" s="421"/>
      <c r="V1137" s="421"/>
      <c r="W1137" s="421"/>
      <c r="X1137" s="421"/>
      <c r="Y1137" s="421"/>
      <c r="Z1137" s="421"/>
      <c r="AA1137" s="421"/>
      <c r="AB1137" s="421"/>
      <c r="AC1137" s="421"/>
      <c r="AD1137" s="421"/>
      <c r="AE1137" s="421"/>
      <c r="AF1137" s="421"/>
      <c r="AG1137" s="421"/>
      <c r="AH1137" s="421"/>
      <c r="AI1137" s="421"/>
      <c r="AJ1137" s="421"/>
      <c r="AK1137" s="421"/>
      <c r="AL1137" s="421"/>
      <c r="AM1137" s="421"/>
      <c r="AN1137" s="421"/>
      <c r="AO1137" s="421"/>
      <c r="AP1137" s="421"/>
      <c r="AQ1137" s="421"/>
      <c r="AR1137" s="421"/>
      <c r="AS1137" s="421"/>
      <c r="AT1137" s="421"/>
      <c r="AU1137" s="421"/>
      <c r="AV1137" s="421"/>
      <c r="AW1137" s="421"/>
      <c r="AX1137" s="421"/>
      <c r="AY1137" s="421"/>
      <c r="AZ1137" s="421"/>
      <c r="BA1137" s="421"/>
      <c r="BB1137"/>
      <c r="BC1137" s="115"/>
      <c r="BD1137" s="115"/>
      <c r="BE1137" s="115"/>
      <c r="BF1137" s="115"/>
      <c r="BG1137" s="115"/>
      <c r="BH1137" s="124"/>
      <c r="BI1137" s="124"/>
      <c r="BJ1137" s="124"/>
      <c r="BK1137" s="124"/>
      <c r="BL1137" s="124"/>
      <c r="BM1137" s="124"/>
      <c r="BN1137" s="124"/>
      <c r="BO1137" s="124"/>
      <c r="BP1137" s="124"/>
      <c r="BQ1137" s="124"/>
      <c r="BR1137" s="124"/>
      <c r="BS1137" s="124"/>
      <c r="BT1137" s="124"/>
      <c r="BU1137" s="124"/>
      <c r="BV1137" s="124"/>
      <c r="BW1137" s="124"/>
      <c r="BX1137" s="124"/>
      <c r="BY1137" s="124"/>
      <c r="BZ1137" s="124"/>
      <c r="CA1137" s="124"/>
      <c r="CB1137" s="124"/>
      <c r="CC1137" s="124"/>
      <c r="CD1137" s="124"/>
      <c r="CE1137" s="124"/>
      <c r="CF1137" s="124"/>
      <c r="CG1137" s="124"/>
      <c r="CH1137" s="124"/>
      <c r="CI1137" s="124"/>
      <c r="CJ1137" s="124"/>
      <c r="CK1137" s="124"/>
      <c r="CL1137" s="124"/>
      <c r="CM1137" s="124"/>
      <c r="CN1137" s="124"/>
      <c r="CO1137" s="124"/>
      <c r="CP1137" s="124"/>
      <c r="CQ1137" s="124"/>
      <c r="CR1137" s="124"/>
      <c r="CS1137" s="124"/>
      <c r="CT1137" s="124"/>
      <c r="CU1137" s="124"/>
      <c r="CV1137" s="124"/>
      <c r="CW1137" s="124"/>
      <c r="CX1137" s="124"/>
      <c r="CY1137" s="124"/>
      <c r="CZ1137" s="124"/>
      <c r="DA1137" s="124"/>
      <c r="DB1137" s="124"/>
      <c r="DC1137" s="124"/>
      <c r="DD1137" s="124"/>
      <c r="DE1137" s="124"/>
      <c r="DF1137" s="124"/>
      <c r="DG1137" s="115"/>
    </row>
    <row r="1138" spans="1:111" ht="9" customHeight="1">
      <c r="A1138"/>
      <c r="B1138" s="143"/>
      <c r="C1138" s="143"/>
      <c r="D1138" s="143"/>
      <c r="E1138" s="143"/>
      <c r="F1138" s="143"/>
      <c r="G1138" s="143"/>
      <c r="H1138" s="143"/>
      <c r="I1138" s="143"/>
      <c r="J1138" s="143"/>
      <c r="K1138" s="143"/>
      <c r="L1138" s="143"/>
      <c r="M1138" s="143"/>
      <c r="N1138" s="143"/>
      <c r="O1138" s="421"/>
      <c r="P1138" s="421"/>
      <c r="Q1138" s="421"/>
      <c r="R1138" s="421"/>
      <c r="S1138" s="421"/>
      <c r="T1138" s="421"/>
      <c r="U1138" s="421"/>
      <c r="V1138" s="421"/>
      <c r="W1138" s="421"/>
      <c r="X1138" s="421"/>
      <c r="Y1138" s="421"/>
      <c r="Z1138" s="421"/>
      <c r="AA1138" s="421"/>
      <c r="AB1138" s="421"/>
      <c r="AC1138" s="421"/>
      <c r="AD1138" s="421"/>
      <c r="AE1138" s="421"/>
      <c r="AF1138" s="421"/>
      <c r="AG1138" s="421"/>
      <c r="AH1138" s="421"/>
      <c r="AI1138" s="421"/>
      <c r="AJ1138" s="421"/>
      <c r="AK1138" s="421"/>
      <c r="AL1138" s="421"/>
      <c r="AM1138" s="421"/>
      <c r="AN1138" s="421"/>
      <c r="AO1138" s="421"/>
      <c r="AP1138" s="421"/>
      <c r="AQ1138" s="421"/>
      <c r="AR1138" s="421"/>
      <c r="AS1138" s="421"/>
      <c r="AT1138" s="421"/>
      <c r="AU1138" s="421"/>
      <c r="AV1138" s="421"/>
      <c r="AW1138" s="421"/>
      <c r="AX1138" s="421"/>
      <c r="AY1138" s="421"/>
      <c r="AZ1138" s="421"/>
      <c r="BA1138" s="421"/>
      <c r="BB1138"/>
      <c r="BC1138" s="115"/>
      <c r="BD1138" s="115"/>
      <c r="BE1138" s="115"/>
      <c r="BF1138" s="115"/>
      <c r="BG1138" s="115"/>
      <c r="BH1138" s="124"/>
      <c r="BI1138" s="124"/>
      <c r="BJ1138" s="124"/>
      <c r="BK1138" s="124"/>
      <c r="BL1138" s="124"/>
      <c r="BM1138" s="124"/>
      <c r="BN1138" s="124"/>
      <c r="BO1138" s="124"/>
      <c r="BP1138" s="124"/>
      <c r="BQ1138" s="124"/>
      <c r="BR1138" s="124"/>
      <c r="BS1138" s="124"/>
      <c r="BT1138" s="124"/>
      <c r="BU1138" s="124"/>
      <c r="BV1138" s="124"/>
      <c r="BW1138" s="124"/>
      <c r="BX1138" s="124"/>
      <c r="BY1138" s="124"/>
      <c r="BZ1138" s="124"/>
      <c r="CA1138" s="124"/>
      <c r="CB1138" s="124"/>
      <c r="CC1138" s="124"/>
      <c r="CD1138" s="124"/>
      <c r="CE1138" s="124"/>
      <c r="CF1138" s="124"/>
      <c r="CG1138" s="124"/>
      <c r="CH1138" s="124"/>
      <c r="CI1138" s="124"/>
      <c r="CJ1138" s="124"/>
      <c r="CK1138" s="124"/>
      <c r="CL1138" s="124"/>
      <c r="CM1138" s="124"/>
      <c r="CN1138" s="124"/>
      <c r="CO1138" s="124"/>
      <c r="CP1138" s="124"/>
      <c r="CQ1138" s="124"/>
      <c r="CR1138" s="124"/>
      <c r="CS1138" s="124"/>
      <c r="CT1138" s="124"/>
      <c r="CU1138" s="124"/>
      <c r="CV1138" s="124"/>
      <c r="CW1138" s="124"/>
      <c r="CX1138" s="124"/>
      <c r="CY1138" s="124"/>
      <c r="CZ1138" s="124"/>
      <c r="DA1138" s="124"/>
      <c r="DB1138" s="124"/>
      <c r="DC1138" s="124"/>
      <c r="DD1138" s="124"/>
      <c r="DE1138" s="124"/>
      <c r="DF1138" s="124"/>
      <c r="DG1138" s="115"/>
    </row>
    <row r="1139" spans="1:111" ht="9" customHeight="1">
      <c r="A1139"/>
      <c r="B1139" s="143"/>
      <c r="C1139" s="143"/>
      <c r="D1139" s="143"/>
      <c r="E1139" s="143"/>
      <c r="F1139" s="143"/>
      <c r="G1139" s="143"/>
      <c r="H1139" s="143"/>
      <c r="I1139" s="143"/>
      <c r="J1139" s="143"/>
      <c r="K1139" s="143"/>
      <c r="L1139" s="143"/>
      <c r="M1139" s="143"/>
      <c r="N1139" s="143"/>
      <c r="O1139" s="421"/>
      <c r="P1139" s="421"/>
      <c r="Q1139" s="421"/>
      <c r="R1139" s="421"/>
      <c r="S1139" s="421"/>
      <c r="T1139" s="421"/>
      <c r="U1139" s="421"/>
      <c r="V1139" s="421"/>
      <c r="W1139" s="421"/>
      <c r="X1139" s="421"/>
      <c r="Y1139" s="421"/>
      <c r="Z1139" s="421"/>
      <c r="AA1139" s="421"/>
      <c r="AB1139" s="421"/>
      <c r="AC1139" s="421"/>
      <c r="AD1139" s="421"/>
      <c r="AE1139" s="421"/>
      <c r="AF1139" s="421"/>
      <c r="AG1139" s="421"/>
      <c r="AH1139" s="421"/>
      <c r="AI1139" s="421"/>
      <c r="AJ1139" s="421"/>
      <c r="AK1139" s="421"/>
      <c r="AL1139" s="421"/>
      <c r="AM1139" s="421"/>
      <c r="AN1139" s="421"/>
      <c r="AO1139" s="421"/>
      <c r="AP1139" s="421"/>
      <c r="AQ1139" s="421"/>
      <c r="AR1139" s="421"/>
      <c r="AS1139" s="421"/>
      <c r="AT1139" s="421"/>
      <c r="AU1139" s="421"/>
      <c r="AV1139" s="421"/>
      <c r="AW1139" s="421"/>
      <c r="AX1139" s="421"/>
      <c r="AY1139" s="421"/>
      <c r="AZ1139" s="421"/>
      <c r="BA1139" s="421"/>
      <c r="BB1139"/>
      <c r="BC1139" s="115"/>
      <c r="BD1139" s="115"/>
      <c r="BE1139" s="115"/>
      <c r="BF1139" s="115"/>
      <c r="BG1139" s="115"/>
      <c r="BH1139" s="138"/>
      <c r="BI1139" s="138"/>
      <c r="BJ1139" s="138"/>
      <c r="BK1139" s="138"/>
      <c r="BL1139" s="138"/>
      <c r="BM1139" s="138"/>
      <c r="BN1139" s="138"/>
      <c r="BO1139" s="138"/>
      <c r="BP1139" s="138"/>
      <c r="BQ1139" s="138"/>
      <c r="BR1139" s="138"/>
      <c r="BS1139" s="138"/>
      <c r="BT1139" s="138"/>
      <c r="BU1139" s="138"/>
      <c r="BV1139" s="138"/>
      <c r="BW1139" s="138"/>
      <c r="BX1139" s="138"/>
      <c r="BY1139" s="138"/>
      <c r="BZ1139" s="138"/>
      <c r="CA1139" s="138"/>
      <c r="CB1139" s="138"/>
      <c r="CC1139" s="138"/>
      <c r="CD1139" s="138"/>
      <c r="CE1139" s="138"/>
      <c r="CF1139" s="138"/>
      <c r="CG1139" s="138"/>
      <c r="CH1139" s="138"/>
      <c r="CI1139" s="138"/>
      <c r="CJ1139" s="138"/>
      <c r="CK1139" s="138"/>
      <c r="CL1139" s="138"/>
      <c r="CM1139" s="138"/>
      <c r="CN1139" s="138"/>
      <c r="CO1139" s="138"/>
      <c r="CP1139" s="138"/>
      <c r="CQ1139" s="138"/>
      <c r="CR1139" s="138"/>
      <c r="CS1139" s="138"/>
      <c r="CT1139" s="138"/>
      <c r="CU1139" s="138"/>
      <c r="CV1139" s="138"/>
      <c r="CW1139" s="138"/>
      <c r="CX1139" s="138"/>
      <c r="CY1139" s="138"/>
      <c r="CZ1139" s="138"/>
      <c r="DA1139" s="138"/>
      <c r="DB1139" s="138"/>
      <c r="DC1139" s="138"/>
      <c r="DD1139" s="138"/>
      <c r="DE1139" s="138"/>
      <c r="DF1139" s="138"/>
      <c r="DG1139" s="115"/>
    </row>
    <row r="1140" spans="1:111" ht="9" customHeight="1">
      <c r="A1140"/>
      <c r="B1140" s="143"/>
      <c r="C1140" s="143"/>
      <c r="D1140" s="143"/>
      <c r="E1140" s="143"/>
      <c r="F1140" s="143"/>
      <c r="G1140" s="143"/>
      <c r="H1140" s="143"/>
      <c r="I1140" s="143"/>
      <c r="J1140" s="143"/>
      <c r="K1140" s="143"/>
      <c r="L1140" s="143"/>
      <c r="M1140" s="143"/>
      <c r="N1140" s="143"/>
      <c r="O1140" s="421"/>
      <c r="P1140" s="421"/>
      <c r="Q1140" s="421"/>
      <c r="R1140" s="421"/>
      <c r="S1140" s="421"/>
      <c r="T1140" s="421"/>
      <c r="U1140" s="421"/>
      <c r="V1140" s="421"/>
      <c r="W1140" s="421"/>
      <c r="X1140" s="421"/>
      <c r="Y1140" s="421"/>
      <c r="Z1140" s="421"/>
      <c r="AA1140" s="421"/>
      <c r="AB1140" s="421"/>
      <c r="AC1140" s="421"/>
      <c r="AD1140" s="421"/>
      <c r="AE1140" s="421"/>
      <c r="AF1140" s="421"/>
      <c r="AG1140" s="421"/>
      <c r="AH1140" s="421"/>
      <c r="AI1140" s="421"/>
      <c r="AJ1140" s="421"/>
      <c r="AK1140" s="421"/>
      <c r="AL1140" s="421"/>
      <c r="AM1140" s="421"/>
      <c r="AN1140" s="421"/>
      <c r="AO1140" s="421"/>
      <c r="AP1140" s="421"/>
      <c r="AQ1140" s="421"/>
      <c r="AR1140" s="421"/>
      <c r="AS1140" s="421"/>
      <c r="AT1140" s="421"/>
      <c r="AU1140" s="421"/>
      <c r="AV1140" s="421"/>
      <c r="AW1140" s="421"/>
      <c r="AX1140" s="421"/>
      <c r="AY1140" s="421"/>
      <c r="AZ1140" s="421"/>
      <c r="BA1140" s="421"/>
      <c r="BB1140"/>
      <c r="BC1140" s="115"/>
      <c r="BD1140" s="115"/>
      <c r="BE1140" s="115"/>
      <c r="BF1140" s="115"/>
      <c r="BG1140" s="115"/>
      <c r="BH1140" s="138"/>
      <c r="BI1140" s="138"/>
      <c r="BJ1140" s="138"/>
      <c r="BK1140" s="138"/>
      <c r="BL1140" s="138"/>
      <c r="BM1140" s="138"/>
      <c r="BN1140" s="138"/>
      <c r="BO1140" s="138"/>
      <c r="BP1140" s="138"/>
      <c r="BQ1140" s="138"/>
      <c r="BR1140" s="138"/>
      <c r="BS1140" s="138"/>
      <c r="BT1140" s="138"/>
      <c r="BU1140" s="138"/>
      <c r="BV1140" s="138"/>
      <c r="BW1140" s="138"/>
      <c r="BX1140" s="138"/>
      <c r="BY1140" s="138"/>
      <c r="BZ1140" s="138"/>
      <c r="CA1140" s="138"/>
      <c r="CB1140" s="138"/>
      <c r="CC1140" s="138"/>
      <c r="CD1140" s="138"/>
      <c r="CE1140" s="138"/>
      <c r="CF1140" s="138"/>
      <c r="CG1140" s="138"/>
      <c r="CH1140" s="138"/>
      <c r="CI1140" s="138"/>
      <c r="CJ1140" s="138"/>
      <c r="CK1140" s="138"/>
      <c r="CL1140" s="138"/>
      <c r="CM1140" s="138"/>
      <c r="CN1140" s="138"/>
      <c r="CO1140" s="138"/>
      <c r="CP1140" s="138"/>
      <c r="CQ1140" s="138"/>
      <c r="CR1140" s="138"/>
      <c r="CS1140" s="138"/>
      <c r="CT1140" s="138"/>
      <c r="CU1140" s="138"/>
      <c r="CV1140" s="138"/>
      <c r="CW1140" s="138"/>
      <c r="CX1140" s="138"/>
      <c r="CY1140" s="138"/>
      <c r="CZ1140" s="138"/>
      <c r="DA1140" s="138"/>
      <c r="DB1140" s="138"/>
      <c r="DC1140" s="138"/>
      <c r="DD1140" s="138"/>
      <c r="DE1140" s="138"/>
      <c r="DF1140" s="138"/>
      <c r="DG1140" s="115"/>
    </row>
    <row r="1141" spans="1:111" ht="9" customHeight="1">
      <c r="A1141"/>
      <c r="B1141" s="49"/>
      <c r="C1141" s="49"/>
      <c r="D1141" s="49"/>
      <c r="E1141" s="49"/>
      <c r="F1141" s="49"/>
      <c r="G1141" s="49"/>
      <c r="H1141" s="49"/>
      <c r="I1141" s="49"/>
      <c r="J1141" s="49"/>
      <c r="K1141" s="49"/>
      <c r="L1141" s="49"/>
      <c r="M1141" s="49"/>
      <c r="N1141" s="49"/>
      <c r="O1141" s="421"/>
      <c r="P1141" s="421"/>
      <c r="Q1141" s="421"/>
      <c r="R1141" s="421"/>
      <c r="S1141" s="421"/>
      <c r="T1141" s="421"/>
      <c r="U1141" s="421"/>
      <c r="V1141" s="421"/>
      <c r="W1141" s="421"/>
      <c r="X1141" s="421"/>
      <c r="Y1141" s="421"/>
      <c r="Z1141" s="421"/>
      <c r="AA1141" s="421"/>
      <c r="AB1141" s="421"/>
      <c r="AC1141" s="421"/>
      <c r="AD1141" s="421"/>
      <c r="AE1141" s="421"/>
      <c r="AF1141" s="421"/>
      <c r="AG1141" s="421"/>
      <c r="AH1141" s="421"/>
      <c r="AI1141" s="421"/>
      <c r="AJ1141" s="421"/>
      <c r="AK1141" s="421"/>
      <c r="AL1141" s="421"/>
      <c r="AM1141" s="421"/>
      <c r="AN1141" s="421"/>
      <c r="AO1141" s="421"/>
      <c r="AP1141" s="421"/>
      <c r="AQ1141" s="421"/>
      <c r="AR1141" s="421"/>
      <c r="AS1141" s="421"/>
      <c r="AT1141" s="421"/>
      <c r="AU1141" s="421"/>
      <c r="AV1141" s="421"/>
      <c r="AW1141" s="421"/>
      <c r="AX1141" s="421"/>
      <c r="AY1141" s="421"/>
      <c r="AZ1141" s="421"/>
      <c r="BA1141" s="421"/>
      <c r="BB1141"/>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c r="BY1141" s="115"/>
      <c r="BZ1141" s="115"/>
      <c r="CA1141" s="115"/>
      <c r="CB1141" s="115"/>
      <c r="CC1141" s="115"/>
      <c r="CD1141" s="115"/>
      <c r="CE1141" s="115"/>
      <c r="CF1141" s="115"/>
      <c r="CG1141" s="115"/>
      <c r="CH1141" s="115"/>
      <c r="CI1141" s="115"/>
      <c r="CJ1141" s="115"/>
      <c r="CK1141" s="115"/>
      <c r="CL1141" s="115"/>
      <c r="CM1141" s="115"/>
      <c r="CN1141" s="115"/>
      <c r="CO1141" s="115"/>
      <c r="CP1141" s="115"/>
      <c r="CQ1141" s="115"/>
      <c r="CR1141" s="115"/>
      <c r="CS1141" s="115"/>
      <c r="CT1141" s="115"/>
      <c r="CU1141" s="115"/>
      <c r="CV1141" s="115"/>
      <c r="CW1141" s="115"/>
      <c r="CX1141" s="115"/>
      <c r="CY1141" s="115"/>
      <c r="CZ1141" s="115"/>
      <c r="DA1141" s="115"/>
      <c r="DB1141" s="115"/>
      <c r="DC1141" s="115"/>
      <c r="DD1141" s="115"/>
      <c r="DE1141" s="115"/>
      <c r="DF1141" s="115"/>
      <c r="DG1141" s="115"/>
    </row>
    <row r="1142" spans="1:111" ht="4.5" customHeight="1">
      <c r="A1142"/>
      <c r="B1142" s="49"/>
      <c r="C1142" s="49"/>
      <c r="D1142" s="49"/>
      <c r="E1142" s="49"/>
      <c r="F1142" s="49"/>
      <c r="G1142" s="49"/>
      <c r="H1142" s="49"/>
      <c r="I1142" s="49"/>
      <c r="J1142" s="49"/>
      <c r="K1142" s="49"/>
      <c r="L1142" s="49"/>
      <c r="M1142" s="49"/>
      <c r="N1142" s="49"/>
      <c r="O1142" s="49"/>
      <c r="P1142" s="49"/>
      <c r="Q1142" s="49"/>
      <c r="R1142" s="49"/>
      <c r="S1142" s="49"/>
      <c r="T1142" s="49"/>
      <c r="U1142" s="49"/>
      <c r="V1142" s="49"/>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9"/>
      <c r="AR1142" s="49"/>
      <c r="AS1142" s="49"/>
      <c r="AT1142" s="49"/>
      <c r="AU1142" s="49"/>
      <c r="AV1142" s="49"/>
      <c r="AW1142" s="49"/>
      <c r="AX1142" s="49"/>
      <c r="AY1142" s="49"/>
      <c r="AZ1142" s="49"/>
      <c r="BA1142" s="49"/>
      <c r="BB1142"/>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c r="BY1142" s="115"/>
      <c r="BZ1142" s="115"/>
      <c r="CA1142" s="115"/>
      <c r="CB1142" s="115"/>
      <c r="CC1142" s="115"/>
      <c r="CD1142" s="115"/>
      <c r="CE1142" s="115"/>
      <c r="CF1142" s="115"/>
      <c r="CG1142" s="115"/>
      <c r="CH1142" s="115"/>
      <c r="CI1142" s="115"/>
      <c r="CJ1142" s="115"/>
      <c r="CK1142" s="115"/>
      <c r="CL1142" s="115"/>
      <c r="CM1142" s="115"/>
      <c r="CN1142" s="115"/>
      <c r="CO1142" s="115"/>
      <c r="CP1142" s="115"/>
      <c r="CQ1142" s="115"/>
      <c r="CR1142" s="115"/>
      <c r="CS1142" s="115"/>
      <c r="CT1142" s="115"/>
      <c r="CU1142" s="115"/>
      <c r="CV1142" s="115"/>
      <c r="CW1142" s="115"/>
      <c r="CX1142" s="115"/>
      <c r="CY1142" s="115"/>
      <c r="CZ1142" s="115"/>
      <c r="DA1142" s="115"/>
      <c r="DB1142" s="115"/>
      <c r="DC1142" s="115"/>
      <c r="DD1142" s="115"/>
      <c r="DE1142" s="115"/>
      <c r="DF1142" s="115"/>
      <c r="DG1142" s="115"/>
    </row>
    <row r="1143" spans="1:111" ht="9" customHeight="1">
      <c r="A1143"/>
      <c r="B1143" s="493" t="str">
        <f>IF(B1116="","","Metas Vinculadas:")</f>
        <v/>
      </c>
      <c r="C1143" s="493"/>
      <c r="D1143" s="493"/>
      <c r="E1143" s="493"/>
      <c r="F1143" s="493"/>
      <c r="G1143" s="493"/>
      <c r="H1143" s="493"/>
      <c r="I1143" s="493"/>
      <c r="J1143" s="493"/>
      <c r="K1143" s="493"/>
      <c r="L1143" s="493"/>
      <c r="M1143" s="493"/>
      <c r="N1143" s="493"/>
      <c r="O1143" s="421"/>
      <c r="P1143" s="421"/>
      <c r="Q1143" s="421"/>
      <c r="R1143" s="421"/>
      <c r="S1143" s="421"/>
      <c r="T1143" s="421"/>
      <c r="U1143" s="421"/>
      <c r="V1143" s="421"/>
      <c r="W1143" s="421"/>
      <c r="X1143" s="421"/>
      <c r="Y1143" s="421"/>
      <c r="Z1143" s="421"/>
      <c r="AA1143" s="421"/>
      <c r="AB1143" s="421"/>
      <c r="AC1143" s="421"/>
      <c r="AD1143" s="421"/>
      <c r="AE1143" s="421"/>
      <c r="AF1143" s="421"/>
      <c r="AG1143" s="421"/>
      <c r="AH1143" s="421"/>
      <c r="AI1143" s="421"/>
      <c r="AJ1143" s="421"/>
      <c r="AK1143" s="421"/>
      <c r="AL1143" s="421"/>
      <c r="AM1143" s="421"/>
      <c r="AN1143" s="421"/>
      <c r="AO1143" s="421"/>
      <c r="AP1143" s="421"/>
      <c r="AQ1143" s="421"/>
      <c r="AR1143" s="421"/>
      <c r="AS1143" s="421"/>
      <c r="AT1143" s="421"/>
      <c r="AU1143" s="421"/>
      <c r="AV1143" s="421"/>
      <c r="AW1143" s="421"/>
      <c r="AX1143" s="421"/>
      <c r="AY1143" s="421"/>
      <c r="AZ1143" s="421"/>
      <c r="BA1143" s="421"/>
      <c r="BB1143"/>
      <c r="BC1143" s="115"/>
      <c r="BD1143" s="115"/>
      <c r="BE1143" s="115"/>
      <c r="BF1143" s="115"/>
      <c r="BG1143" s="115"/>
      <c r="BH1143" s="124"/>
      <c r="BI1143" s="124"/>
      <c r="BJ1143" s="124"/>
      <c r="BK1143" s="124"/>
      <c r="BL1143" s="124"/>
      <c r="BM1143" s="124"/>
      <c r="BN1143" s="124"/>
      <c r="BO1143" s="124"/>
      <c r="BP1143" s="124"/>
      <c r="BQ1143" s="124"/>
      <c r="BR1143" s="124"/>
      <c r="BS1143" s="124"/>
      <c r="BT1143" s="124"/>
      <c r="BU1143" s="124"/>
      <c r="BV1143" s="124"/>
      <c r="BW1143" s="124"/>
      <c r="BX1143" s="124"/>
      <c r="BY1143" s="124"/>
      <c r="BZ1143" s="124"/>
      <c r="CA1143" s="124"/>
      <c r="CB1143" s="124"/>
      <c r="CC1143" s="124"/>
      <c r="CD1143" s="124"/>
      <c r="CE1143" s="124"/>
      <c r="CF1143" s="124"/>
      <c r="CG1143" s="124"/>
      <c r="CH1143" s="124"/>
      <c r="CI1143" s="124"/>
      <c r="CJ1143" s="124"/>
      <c r="CK1143" s="124"/>
      <c r="CL1143" s="124"/>
      <c r="CM1143" s="124"/>
      <c r="CN1143" s="124"/>
      <c r="CO1143" s="124"/>
      <c r="CP1143" s="124"/>
      <c r="CQ1143" s="124"/>
      <c r="CR1143" s="124"/>
      <c r="CS1143" s="124"/>
      <c r="CT1143" s="124"/>
      <c r="CU1143" s="124"/>
      <c r="CV1143" s="124"/>
      <c r="CW1143" s="124"/>
      <c r="CX1143" s="124"/>
      <c r="CY1143" s="124"/>
      <c r="CZ1143" s="124"/>
      <c r="DA1143" s="124"/>
      <c r="DB1143" s="124"/>
      <c r="DC1143" s="124"/>
      <c r="DD1143" s="124"/>
      <c r="DE1143" s="124"/>
      <c r="DF1143" s="124"/>
      <c r="DG1143" s="115"/>
    </row>
    <row r="1144" spans="1:111" ht="9" customHeight="1">
      <c r="A1144"/>
      <c r="B1144" s="493"/>
      <c r="C1144" s="493"/>
      <c r="D1144" s="493"/>
      <c r="E1144" s="493"/>
      <c r="F1144" s="493"/>
      <c r="G1144" s="493"/>
      <c r="H1144" s="493"/>
      <c r="I1144" s="493"/>
      <c r="J1144" s="493"/>
      <c r="K1144" s="493"/>
      <c r="L1144" s="493"/>
      <c r="M1144" s="493"/>
      <c r="N1144" s="493"/>
      <c r="O1144" s="421"/>
      <c r="P1144" s="421"/>
      <c r="Q1144" s="421"/>
      <c r="R1144" s="421"/>
      <c r="S1144" s="421"/>
      <c r="T1144" s="421"/>
      <c r="U1144" s="421"/>
      <c r="V1144" s="421"/>
      <c r="W1144" s="421"/>
      <c r="X1144" s="421"/>
      <c r="Y1144" s="421"/>
      <c r="Z1144" s="421"/>
      <c r="AA1144" s="421"/>
      <c r="AB1144" s="421"/>
      <c r="AC1144" s="421"/>
      <c r="AD1144" s="421"/>
      <c r="AE1144" s="421"/>
      <c r="AF1144" s="421"/>
      <c r="AG1144" s="421"/>
      <c r="AH1144" s="421"/>
      <c r="AI1144" s="421"/>
      <c r="AJ1144" s="421"/>
      <c r="AK1144" s="421"/>
      <c r="AL1144" s="421"/>
      <c r="AM1144" s="421"/>
      <c r="AN1144" s="421"/>
      <c r="AO1144" s="421"/>
      <c r="AP1144" s="421"/>
      <c r="AQ1144" s="421"/>
      <c r="AR1144" s="421"/>
      <c r="AS1144" s="421"/>
      <c r="AT1144" s="421"/>
      <c r="AU1144" s="421"/>
      <c r="AV1144" s="421"/>
      <c r="AW1144" s="421"/>
      <c r="AX1144" s="421"/>
      <c r="AY1144" s="421"/>
      <c r="AZ1144" s="421"/>
      <c r="BA1144" s="421"/>
      <c r="BB1144"/>
      <c r="BC1144" s="115"/>
      <c r="BD1144" s="115"/>
      <c r="BE1144" s="115"/>
      <c r="BF1144" s="115"/>
      <c r="BG1144" s="115"/>
      <c r="BH1144" s="138"/>
      <c r="BI1144" s="138"/>
      <c r="BJ1144" s="138"/>
      <c r="BK1144" s="138"/>
      <c r="BL1144" s="138"/>
      <c r="BM1144" s="138"/>
      <c r="BN1144" s="138"/>
      <c r="BO1144" s="138"/>
      <c r="BP1144" s="138"/>
      <c r="BQ1144" s="138"/>
      <c r="BR1144" s="138"/>
      <c r="BS1144" s="138"/>
      <c r="BT1144" s="138"/>
      <c r="BU1144" s="138"/>
      <c r="BV1144" s="138"/>
      <c r="BW1144" s="138"/>
      <c r="BX1144" s="138"/>
      <c r="BY1144" s="138"/>
      <c r="BZ1144" s="138"/>
      <c r="CA1144" s="138"/>
      <c r="CB1144" s="138"/>
      <c r="CC1144" s="138"/>
      <c r="CD1144" s="138"/>
      <c r="CE1144" s="138"/>
      <c r="CF1144" s="138"/>
      <c r="CG1144" s="138"/>
      <c r="CH1144" s="138"/>
      <c r="CI1144" s="138"/>
      <c r="CJ1144" s="138"/>
      <c r="CK1144" s="138"/>
      <c r="CL1144" s="138"/>
      <c r="CM1144" s="138"/>
      <c r="CN1144" s="138"/>
      <c r="CO1144" s="138"/>
      <c r="CP1144" s="138"/>
      <c r="CQ1144" s="138"/>
      <c r="CR1144" s="138"/>
      <c r="CS1144" s="138"/>
      <c r="CT1144" s="138"/>
      <c r="CU1144" s="138"/>
      <c r="CV1144" s="138"/>
      <c r="CW1144" s="138"/>
      <c r="CX1144" s="138"/>
      <c r="CY1144" s="138"/>
      <c r="CZ1144" s="138"/>
      <c r="DA1144" s="138"/>
      <c r="DB1144" s="138"/>
      <c r="DC1144" s="138"/>
      <c r="DD1144" s="138"/>
      <c r="DE1144" s="138"/>
      <c r="DF1144" s="138"/>
      <c r="DG1144" s="115"/>
    </row>
    <row r="1145" spans="1:111" ht="4.5" customHeight="1">
      <c r="A1145"/>
      <c r="B1145" s="49"/>
      <c r="C1145" s="49"/>
      <c r="D1145" s="49"/>
      <c r="E1145" s="49"/>
      <c r="F1145" s="49"/>
      <c r="G1145" s="49"/>
      <c r="H1145" s="49"/>
      <c r="I1145" s="49"/>
      <c r="J1145" s="49"/>
      <c r="K1145" s="49"/>
      <c r="L1145" s="49"/>
      <c r="M1145" s="49"/>
      <c r="N1145" s="49"/>
      <c r="O1145" s="49"/>
      <c r="P1145" s="49"/>
      <c r="Q1145" s="49"/>
      <c r="R1145" s="49"/>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49"/>
      <c r="AS1145" s="49"/>
      <c r="AT1145" s="49"/>
      <c r="AU1145" s="49"/>
      <c r="AV1145" s="49"/>
      <c r="AW1145" s="49"/>
      <c r="AX1145" s="49"/>
      <c r="AY1145" s="49"/>
      <c r="AZ1145" s="49"/>
      <c r="BA1145" s="49"/>
      <c r="BB114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c r="BY1145" s="115"/>
      <c r="BZ1145" s="115"/>
      <c r="CA1145" s="115"/>
      <c r="CB1145" s="115"/>
      <c r="CC1145" s="115"/>
      <c r="CD1145" s="115"/>
      <c r="CE1145" s="115"/>
      <c r="CF1145" s="115"/>
      <c r="CG1145" s="115"/>
      <c r="CH1145" s="115"/>
      <c r="CI1145" s="115"/>
      <c r="CJ1145" s="115"/>
      <c r="CK1145" s="115"/>
      <c r="CL1145" s="115"/>
      <c r="CM1145" s="115"/>
      <c r="CN1145" s="115"/>
      <c r="CO1145" s="115"/>
      <c r="CP1145" s="115"/>
      <c r="CQ1145" s="115"/>
      <c r="CR1145" s="115"/>
      <c r="CS1145" s="115"/>
      <c r="CT1145" s="115"/>
      <c r="CU1145" s="115"/>
      <c r="CV1145" s="115"/>
      <c r="CW1145" s="115"/>
      <c r="CX1145" s="115"/>
      <c r="CY1145" s="115"/>
      <c r="CZ1145" s="115"/>
      <c r="DA1145" s="115"/>
      <c r="DB1145" s="115"/>
      <c r="DC1145" s="115"/>
      <c r="DD1145" s="115"/>
      <c r="DE1145" s="115"/>
      <c r="DF1145" s="115"/>
      <c r="DG1145" s="115"/>
    </row>
    <row r="1146" spans="1:111" ht="9" customHeight="1">
      <c r="A1146"/>
      <c r="B1146" s="125"/>
      <c r="C1146" s="125"/>
      <c r="D1146" s="125"/>
      <c r="E1146" s="125"/>
      <c r="F1146" s="125"/>
      <c r="G1146" s="125"/>
      <c r="H1146" s="125"/>
      <c r="I1146" s="125"/>
      <c r="J1146" s="125"/>
      <c r="K1146" s="125"/>
      <c r="L1146" s="125"/>
      <c r="M1146" s="125"/>
      <c r="N1146" s="125"/>
      <c r="O1146" s="496" t="str">
        <f>IF(B1116="","","Quantidade:")</f>
        <v/>
      </c>
      <c r="P1146" s="496"/>
      <c r="Q1146" s="496"/>
      <c r="R1146" s="496"/>
      <c r="S1146" s="496"/>
      <c r="T1146" s="496"/>
      <c r="U1146" s="496"/>
      <c r="V1146" s="417"/>
      <c r="W1146" s="417"/>
      <c r="X1146" s="417"/>
      <c r="Y1146" s="417"/>
      <c r="Z1146" s="417"/>
      <c r="AA1146" s="417"/>
      <c r="AB1146" s="417"/>
      <c r="AC1146" s="417"/>
      <c r="AD1146" s="417"/>
      <c r="AE1146" s="417"/>
      <c r="AF1146" s="125"/>
      <c r="AG1146" s="497" t="str">
        <f>IF(B1116="","","Unidade:")</f>
        <v/>
      </c>
      <c r="AH1146" s="497"/>
      <c r="AI1146" s="497"/>
      <c r="AJ1146" s="497"/>
      <c r="AK1146" s="497"/>
      <c r="AL1146" s="497"/>
      <c r="AM1146" s="497"/>
      <c r="AN1146" s="125"/>
      <c r="AO1146" s="417"/>
      <c r="AP1146" s="417"/>
      <c r="AQ1146" s="417"/>
      <c r="AR1146" s="417"/>
      <c r="AS1146" s="417"/>
      <c r="AT1146" s="417"/>
      <c r="AU1146" s="417"/>
      <c r="AV1146" s="417"/>
      <c r="AW1146" s="417"/>
      <c r="AX1146" s="417"/>
      <c r="AY1146" s="417"/>
      <c r="AZ1146" s="417"/>
      <c r="BA1146" s="417"/>
      <c r="BB1146"/>
      <c r="BC1146" s="115"/>
      <c r="BD1146" s="115"/>
      <c r="BE1146" s="115"/>
      <c r="BF1146" s="115"/>
      <c r="BG1146" s="115"/>
      <c r="BH1146" s="124"/>
      <c r="BI1146" s="124"/>
      <c r="BJ1146" s="124"/>
      <c r="BK1146" s="124"/>
      <c r="BL1146" s="124"/>
      <c r="BM1146" s="124"/>
      <c r="BN1146" s="124"/>
      <c r="BO1146" s="124"/>
      <c r="BP1146" s="124"/>
      <c r="BQ1146" s="124"/>
      <c r="BR1146" s="124"/>
      <c r="BS1146" s="124"/>
      <c r="BT1146" s="124"/>
      <c r="BU1146" s="124"/>
      <c r="BV1146" s="124"/>
      <c r="BW1146" s="124"/>
      <c r="BX1146" s="124"/>
      <c r="BY1146" s="124"/>
      <c r="BZ1146" s="124"/>
      <c r="CA1146" s="124"/>
      <c r="CB1146" s="124"/>
      <c r="CC1146" s="124"/>
      <c r="CD1146" s="124"/>
      <c r="CE1146" s="124"/>
      <c r="CF1146" s="124"/>
      <c r="CG1146" s="124"/>
      <c r="CH1146" s="124"/>
      <c r="CI1146" s="124"/>
      <c r="CJ1146" s="124"/>
      <c r="CK1146" s="124"/>
      <c r="CL1146" s="124"/>
      <c r="CM1146" s="124"/>
      <c r="CN1146" s="124"/>
      <c r="CO1146" s="124"/>
      <c r="CP1146" s="124"/>
      <c r="CQ1146" s="124"/>
      <c r="CR1146" s="124"/>
      <c r="CS1146" s="124"/>
      <c r="CT1146" s="124"/>
      <c r="CU1146" s="124"/>
      <c r="CV1146" s="124"/>
      <c r="CW1146" s="124"/>
      <c r="CX1146" s="124"/>
      <c r="CY1146" s="124"/>
      <c r="CZ1146" s="124"/>
      <c r="DA1146" s="124"/>
      <c r="DB1146" s="124"/>
      <c r="DC1146" s="124"/>
      <c r="DD1146" s="124"/>
      <c r="DE1146" s="124"/>
      <c r="DF1146" s="124"/>
      <c r="DG1146" s="115"/>
    </row>
    <row r="1147" spans="1:111" ht="9" customHeight="1">
      <c r="A1147"/>
      <c r="B1147" s="125"/>
      <c r="C1147" s="125"/>
      <c r="D1147" s="125"/>
      <c r="E1147" s="125"/>
      <c r="F1147" s="125"/>
      <c r="G1147" s="125"/>
      <c r="H1147" s="125"/>
      <c r="I1147" s="125"/>
      <c r="J1147" s="125"/>
      <c r="K1147" s="125"/>
      <c r="L1147" s="125"/>
      <c r="M1147" s="125"/>
      <c r="N1147" s="125"/>
      <c r="O1147" s="496"/>
      <c r="P1147" s="496"/>
      <c r="Q1147" s="496"/>
      <c r="R1147" s="496"/>
      <c r="S1147" s="496"/>
      <c r="T1147" s="496"/>
      <c r="U1147" s="496"/>
      <c r="V1147" s="417"/>
      <c r="W1147" s="417"/>
      <c r="X1147" s="417"/>
      <c r="Y1147" s="417"/>
      <c r="Z1147" s="417"/>
      <c r="AA1147" s="417"/>
      <c r="AB1147" s="417"/>
      <c r="AC1147" s="417"/>
      <c r="AD1147" s="417"/>
      <c r="AE1147" s="417"/>
      <c r="AF1147" s="125"/>
      <c r="AG1147" s="497"/>
      <c r="AH1147" s="497"/>
      <c r="AI1147" s="497"/>
      <c r="AJ1147" s="497"/>
      <c r="AK1147" s="497"/>
      <c r="AL1147" s="497"/>
      <c r="AM1147" s="497"/>
      <c r="AN1147" s="125"/>
      <c r="AO1147" s="417"/>
      <c r="AP1147" s="417"/>
      <c r="AQ1147" s="417"/>
      <c r="AR1147" s="417"/>
      <c r="AS1147" s="417"/>
      <c r="AT1147" s="417"/>
      <c r="AU1147" s="417"/>
      <c r="AV1147" s="417"/>
      <c r="AW1147" s="417"/>
      <c r="AX1147" s="417"/>
      <c r="AY1147" s="417"/>
      <c r="AZ1147" s="417"/>
      <c r="BA1147" s="417"/>
      <c r="BB1147"/>
      <c r="BC1147" s="115"/>
      <c r="BD1147" s="115"/>
      <c r="BE1147" s="115"/>
      <c r="BF1147" s="115"/>
      <c r="BG1147" s="115"/>
      <c r="BH1147" s="124"/>
      <c r="BI1147" s="124"/>
      <c r="BJ1147" s="124"/>
      <c r="BK1147" s="124"/>
      <c r="BL1147" s="124"/>
      <c r="BM1147" s="124"/>
      <c r="BN1147" s="124"/>
      <c r="BO1147" s="124"/>
      <c r="BP1147" s="124"/>
      <c r="BQ1147" s="124"/>
      <c r="BR1147" s="124"/>
      <c r="BS1147" s="124"/>
      <c r="BT1147" s="124"/>
      <c r="BU1147" s="124"/>
      <c r="BV1147" s="124"/>
      <c r="BW1147" s="124"/>
      <c r="BX1147" s="124"/>
      <c r="BY1147" s="124"/>
      <c r="BZ1147" s="124"/>
      <c r="CA1147" s="124"/>
      <c r="CB1147" s="124"/>
      <c r="CC1147" s="124"/>
      <c r="CD1147" s="124"/>
      <c r="CE1147" s="124"/>
      <c r="CF1147" s="124"/>
      <c r="CG1147" s="124"/>
      <c r="CH1147" s="124"/>
      <c r="CI1147" s="124"/>
      <c r="CJ1147" s="124"/>
      <c r="CK1147" s="124"/>
      <c r="CL1147" s="124"/>
      <c r="CM1147" s="124"/>
      <c r="CN1147" s="124"/>
      <c r="CO1147" s="124"/>
      <c r="CP1147" s="124"/>
      <c r="CQ1147" s="124"/>
      <c r="CR1147" s="124"/>
      <c r="CS1147" s="124"/>
      <c r="CT1147" s="124"/>
      <c r="CU1147" s="124"/>
      <c r="CV1147" s="124"/>
      <c r="CW1147" s="124"/>
      <c r="CX1147" s="124"/>
      <c r="CY1147" s="124"/>
      <c r="CZ1147" s="124"/>
      <c r="DA1147" s="124"/>
      <c r="DB1147" s="124"/>
      <c r="DC1147" s="124"/>
      <c r="DD1147" s="124"/>
      <c r="DE1147" s="124"/>
      <c r="DF1147" s="124"/>
      <c r="DG1147" s="115"/>
    </row>
    <row r="1148" spans="1:111" ht="9" customHeight="1">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s="115"/>
      <c r="BD1148" s="115"/>
      <c r="BE1148" s="115"/>
      <c r="BF1148" s="115"/>
      <c r="BG1148" s="115"/>
      <c r="BH1148" s="498"/>
      <c r="BI1148" s="498"/>
      <c r="BJ1148" s="498"/>
      <c r="BK1148" s="498"/>
      <c r="BL1148" s="498"/>
      <c r="BM1148" s="498"/>
      <c r="BN1148" s="498"/>
      <c r="BO1148" s="498"/>
      <c r="BP1148" s="498"/>
      <c r="BQ1148" s="498"/>
      <c r="BR1148" s="498"/>
      <c r="BS1148" s="498"/>
      <c r="BT1148" s="498"/>
      <c r="BU1148" s="498"/>
      <c r="BV1148" s="498"/>
      <c r="BW1148" s="498"/>
      <c r="BX1148" s="498"/>
      <c r="BY1148" s="498"/>
      <c r="BZ1148" s="498"/>
      <c r="CA1148" s="498"/>
      <c r="CB1148" s="498"/>
      <c r="CC1148" s="498"/>
      <c r="CD1148" s="498"/>
      <c r="CE1148" s="498"/>
      <c r="CF1148" s="498"/>
      <c r="CG1148" s="498"/>
      <c r="CH1148" s="498"/>
      <c r="CI1148" s="498"/>
      <c r="CJ1148" s="498"/>
      <c r="CK1148" s="498"/>
      <c r="CL1148" s="498"/>
      <c r="CM1148" s="498"/>
      <c r="CN1148" s="498"/>
      <c r="CO1148" s="498"/>
      <c r="CP1148" s="498"/>
      <c r="CQ1148" s="498"/>
      <c r="CR1148" s="498"/>
      <c r="CS1148" s="498"/>
      <c r="CT1148" s="498"/>
      <c r="CU1148" s="498"/>
      <c r="CV1148" s="498"/>
      <c r="CW1148" s="498"/>
      <c r="CX1148" s="498"/>
      <c r="CY1148" s="498"/>
      <c r="CZ1148" s="498"/>
      <c r="DA1148" s="498"/>
      <c r="DB1148" s="498"/>
      <c r="DC1148" s="498"/>
      <c r="DD1148" s="498"/>
      <c r="DE1148" s="498"/>
      <c r="DF1148" s="498"/>
      <c r="DG1148" s="115"/>
    </row>
    <row r="1149" spans="1:111" ht="9" customHeight="1">
      <c r="A1149"/>
      <c r="B1149" s="499" t="str">
        <f>IF($Z$32&gt;=18,"Nome da Empresa ou Nº da Ata","")</f>
        <v/>
      </c>
      <c r="C1149" s="499"/>
      <c r="D1149" s="499"/>
      <c r="E1149" s="499"/>
      <c r="F1149" s="499"/>
      <c r="G1149" s="499"/>
      <c r="H1149" s="499"/>
      <c r="I1149" s="499"/>
      <c r="J1149" s="499"/>
      <c r="K1149" s="499"/>
      <c r="L1149" s="499"/>
      <c r="M1149" s="499"/>
      <c r="N1149" s="499"/>
      <c r="O1149" s="499"/>
      <c r="P1149" s="499"/>
      <c r="Q1149" s="499"/>
      <c r="R1149" s="499"/>
      <c r="S1149" s="499"/>
      <c r="T1149" s="499"/>
      <c r="U1149" s="499"/>
      <c r="V1149" s="499"/>
      <c r="W1149" s="499"/>
      <c r="X1149" s="499" t="str">
        <f>IF($Z$32&gt;=18,"CNPJ / CPF","")</f>
        <v/>
      </c>
      <c r="Y1149" s="499"/>
      <c r="Z1149" s="499"/>
      <c r="AA1149" s="499"/>
      <c r="AB1149" s="499"/>
      <c r="AC1149" s="499"/>
      <c r="AD1149" s="499"/>
      <c r="AE1149" s="499"/>
      <c r="AF1149" s="499"/>
      <c r="AG1149" s="499"/>
      <c r="AH1149" s="499" t="str">
        <f>IF($Z$32&gt;=18,"Qtde","")</f>
        <v/>
      </c>
      <c r="AI1149" s="499"/>
      <c r="AJ1149" s="499"/>
      <c r="AK1149" s="499"/>
      <c r="AL1149" s="499" t="str">
        <f>IF($Z$32&gt;=18,"Valor Unitário (R$)","")</f>
        <v/>
      </c>
      <c r="AM1149" s="499"/>
      <c r="AN1149" s="499"/>
      <c r="AO1149" s="499"/>
      <c r="AP1149" s="499"/>
      <c r="AQ1149" s="499"/>
      <c r="AR1149" s="499"/>
      <c r="AS1149" s="499"/>
      <c r="AT1149" s="499" t="str">
        <f>IF($Z$32&gt;=18,"Valor Total (R$)","")</f>
        <v/>
      </c>
      <c r="AU1149" s="499"/>
      <c r="AV1149" s="499"/>
      <c r="AW1149" s="499"/>
      <c r="AX1149" s="499"/>
      <c r="AY1149" s="499"/>
      <c r="AZ1149" s="499"/>
      <c r="BA1149" s="499"/>
      <c r="BB1149"/>
      <c r="BC1149" s="115"/>
      <c r="BD1149" s="115"/>
      <c r="BE1149" s="115"/>
      <c r="BF1149" s="115"/>
      <c r="BG1149" s="115"/>
      <c r="BH1149" s="498"/>
      <c r="BI1149" s="498"/>
      <c r="BJ1149" s="498"/>
      <c r="BK1149" s="498"/>
      <c r="BL1149" s="498"/>
      <c r="BM1149" s="498"/>
      <c r="BN1149" s="498"/>
      <c r="BO1149" s="498"/>
      <c r="BP1149" s="498"/>
      <c r="BQ1149" s="498"/>
      <c r="BR1149" s="498"/>
      <c r="BS1149" s="498"/>
      <c r="BT1149" s="498"/>
      <c r="BU1149" s="498"/>
      <c r="BV1149" s="498"/>
      <c r="BW1149" s="498"/>
      <c r="BX1149" s="498"/>
      <c r="BY1149" s="498"/>
      <c r="BZ1149" s="498"/>
      <c r="CA1149" s="498"/>
      <c r="CB1149" s="498"/>
      <c r="CC1149" s="498"/>
      <c r="CD1149" s="498"/>
      <c r="CE1149" s="498"/>
      <c r="CF1149" s="498"/>
      <c r="CG1149" s="498"/>
      <c r="CH1149" s="498"/>
      <c r="CI1149" s="498"/>
      <c r="CJ1149" s="498"/>
      <c r="CK1149" s="498"/>
      <c r="CL1149" s="498"/>
      <c r="CM1149" s="498"/>
      <c r="CN1149" s="498"/>
      <c r="CO1149" s="498"/>
      <c r="CP1149" s="498"/>
      <c r="CQ1149" s="498"/>
      <c r="CR1149" s="498"/>
      <c r="CS1149" s="498"/>
      <c r="CT1149" s="498"/>
      <c r="CU1149" s="498"/>
      <c r="CV1149" s="498"/>
      <c r="CW1149" s="498"/>
      <c r="CX1149" s="498"/>
      <c r="CY1149" s="498"/>
      <c r="CZ1149" s="498"/>
      <c r="DA1149" s="498"/>
      <c r="DB1149" s="498"/>
      <c r="DC1149" s="498"/>
      <c r="DD1149" s="498"/>
      <c r="DE1149" s="498"/>
      <c r="DF1149" s="498"/>
      <c r="DG1149" s="115"/>
    </row>
    <row r="1150" spans="1:111" ht="9" customHeight="1">
      <c r="A1150"/>
      <c r="B1150" s="499"/>
      <c r="C1150" s="499"/>
      <c r="D1150" s="499"/>
      <c r="E1150" s="499"/>
      <c r="F1150" s="499"/>
      <c r="G1150" s="499"/>
      <c r="H1150" s="499"/>
      <c r="I1150" s="499"/>
      <c r="J1150" s="499"/>
      <c r="K1150" s="499"/>
      <c r="L1150" s="499"/>
      <c r="M1150" s="499"/>
      <c r="N1150" s="499"/>
      <c r="O1150" s="499"/>
      <c r="P1150" s="499"/>
      <c r="Q1150" s="499"/>
      <c r="R1150" s="499"/>
      <c r="S1150" s="499"/>
      <c r="T1150" s="499"/>
      <c r="U1150" s="499"/>
      <c r="V1150" s="499"/>
      <c r="W1150" s="499"/>
      <c r="X1150" s="499"/>
      <c r="Y1150" s="499"/>
      <c r="Z1150" s="499"/>
      <c r="AA1150" s="499"/>
      <c r="AB1150" s="499"/>
      <c r="AC1150" s="499"/>
      <c r="AD1150" s="499"/>
      <c r="AE1150" s="499"/>
      <c r="AF1150" s="499"/>
      <c r="AG1150" s="499"/>
      <c r="AH1150" s="499"/>
      <c r="AI1150" s="499"/>
      <c r="AJ1150" s="499"/>
      <c r="AK1150" s="499"/>
      <c r="AL1150" s="499"/>
      <c r="AM1150" s="499"/>
      <c r="AN1150" s="499"/>
      <c r="AO1150" s="499"/>
      <c r="AP1150" s="499"/>
      <c r="AQ1150" s="499"/>
      <c r="AR1150" s="499"/>
      <c r="AS1150" s="499"/>
      <c r="AT1150" s="499"/>
      <c r="AU1150" s="499"/>
      <c r="AV1150" s="499"/>
      <c r="AW1150" s="499"/>
      <c r="AX1150" s="499"/>
      <c r="AY1150" s="499"/>
      <c r="AZ1150" s="499"/>
      <c r="BA1150" s="499"/>
      <c r="BB1150" s="176" t="e">
        <f>AVERAGE(AL1151:AS1153)</f>
        <v>#DIV/0!</v>
      </c>
      <c r="BC1150" s="115"/>
      <c r="BD1150" s="115"/>
      <c r="BE1150" s="115"/>
      <c r="BF1150" s="115"/>
      <c r="BG1150" s="115"/>
      <c r="BH1150" s="498"/>
      <c r="BI1150" s="498"/>
      <c r="BJ1150" s="498"/>
      <c r="BK1150" s="498"/>
      <c r="BL1150" s="498"/>
      <c r="BM1150" s="498"/>
      <c r="BN1150" s="498"/>
      <c r="BO1150" s="498"/>
      <c r="BP1150" s="498"/>
      <c r="BQ1150" s="498"/>
      <c r="BR1150" s="498"/>
      <c r="BS1150" s="498"/>
      <c r="BT1150" s="498"/>
      <c r="BU1150" s="498"/>
      <c r="BV1150" s="498"/>
      <c r="BW1150" s="498"/>
      <c r="BX1150" s="498"/>
      <c r="BY1150" s="498"/>
      <c r="BZ1150" s="498"/>
      <c r="CA1150" s="498"/>
      <c r="CB1150" s="498"/>
      <c r="CC1150" s="498"/>
      <c r="CD1150" s="498"/>
      <c r="CE1150" s="498"/>
      <c r="CF1150" s="498"/>
      <c r="CG1150" s="498"/>
      <c r="CH1150" s="498"/>
      <c r="CI1150" s="498"/>
      <c r="CJ1150" s="498"/>
      <c r="CK1150" s="498"/>
      <c r="CL1150" s="498"/>
      <c r="CM1150" s="498"/>
      <c r="CN1150" s="498"/>
      <c r="CO1150" s="498"/>
      <c r="CP1150" s="498"/>
      <c r="CQ1150" s="498"/>
      <c r="CR1150" s="498"/>
      <c r="CS1150" s="498"/>
      <c r="CT1150" s="498"/>
      <c r="CU1150" s="498"/>
      <c r="CV1150" s="498"/>
      <c r="CW1150" s="498"/>
      <c r="CX1150" s="498"/>
      <c r="CY1150" s="498"/>
      <c r="CZ1150" s="498"/>
      <c r="DA1150" s="498"/>
      <c r="DB1150" s="498"/>
      <c r="DC1150" s="498"/>
      <c r="DD1150" s="498"/>
      <c r="DE1150" s="498"/>
      <c r="DF1150" s="498"/>
      <c r="DG1150" s="115"/>
    </row>
    <row r="1151" spans="1:111" ht="18" customHeight="1">
      <c r="A1151"/>
      <c r="B1151" s="233"/>
      <c r="C1151" s="233"/>
      <c r="D1151" s="233"/>
      <c r="E1151" s="233"/>
      <c r="F1151" s="233"/>
      <c r="G1151" s="233"/>
      <c r="H1151" s="233"/>
      <c r="I1151" s="233"/>
      <c r="J1151" s="233"/>
      <c r="K1151" s="233"/>
      <c r="L1151" s="233"/>
      <c r="M1151" s="233"/>
      <c r="N1151" s="233"/>
      <c r="O1151" s="233"/>
      <c r="P1151" s="233"/>
      <c r="Q1151" s="233"/>
      <c r="R1151" s="233"/>
      <c r="S1151" s="233"/>
      <c r="T1151" s="233"/>
      <c r="U1151" s="233"/>
      <c r="V1151" s="233"/>
      <c r="W1151" s="233"/>
      <c r="X1151" s="486"/>
      <c r="Y1151" s="486"/>
      <c r="Z1151" s="486"/>
      <c r="AA1151" s="486"/>
      <c r="AB1151" s="486"/>
      <c r="AC1151" s="486"/>
      <c r="AD1151" s="486"/>
      <c r="AE1151" s="486"/>
      <c r="AF1151" s="486"/>
      <c r="AG1151" s="486"/>
      <c r="AH1151" s="417"/>
      <c r="AI1151" s="417"/>
      <c r="AJ1151" s="417"/>
      <c r="AK1151" s="417"/>
      <c r="AL1151" s="419"/>
      <c r="AM1151" s="419"/>
      <c r="AN1151" s="419"/>
      <c r="AO1151" s="419"/>
      <c r="AP1151" s="419"/>
      <c r="AQ1151" s="419"/>
      <c r="AR1151" s="419"/>
      <c r="AS1151" s="419"/>
      <c r="AT1151" s="487" t="str">
        <f>IF($Z$32&gt;=18,(AH1151*AL1151),"")</f>
        <v/>
      </c>
      <c r="AU1151" s="487"/>
      <c r="AV1151" s="487"/>
      <c r="AW1151" s="487"/>
      <c r="AX1151" s="487"/>
      <c r="AY1151" s="487"/>
      <c r="AZ1151" s="487"/>
      <c r="BA1151" s="487"/>
      <c r="BB1151"/>
      <c r="BC1151" s="115"/>
      <c r="BD1151" s="115"/>
      <c r="BE1151" s="115"/>
      <c r="BF1151" s="115"/>
      <c r="BG1151" s="115"/>
      <c r="BH1151" s="498"/>
      <c r="BI1151" s="498"/>
      <c r="BJ1151" s="498"/>
      <c r="BK1151" s="498"/>
      <c r="BL1151" s="498"/>
      <c r="BM1151" s="498"/>
      <c r="BN1151" s="498"/>
      <c r="BO1151" s="498"/>
      <c r="BP1151" s="498"/>
      <c r="BQ1151" s="498"/>
      <c r="BR1151" s="498"/>
      <c r="BS1151" s="498"/>
      <c r="BT1151" s="498"/>
      <c r="BU1151" s="498"/>
      <c r="BV1151" s="498"/>
      <c r="BW1151" s="498"/>
      <c r="BX1151" s="498"/>
      <c r="BY1151" s="498"/>
      <c r="BZ1151" s="498"/>
      <c r="CA1151" s="498"/>
      <c r="CB1151" s="498"/>
      <c r="CC1151" s="498"/>
      <c r="CD1151" s="498"/>
      <c r="CE1151" s="498"/>
      <c r="CF1151" s="498"/>
      <c r="CG1151" s="498"/>
      <c r="CH1151" s="498"/>
      <c r="CI1151" s="498"/>
      <c r="CJ1151" s="498"/>
      <c r="CK1151" s="498"/>
      <c r="CL1151" s="498"/>
      <c r="CM1151" s="498"/>
      <c r="CN1151" s="498"/>
      <c r="CO1151" s="498"/>
      <c r="CP1151" s="498"/>
      <c r="CQ1151" s="498"/>
      <c r="CR1151" s="498"/>
      <c r="CS1151" s="498"/>
      <c r="CT1151" s="498"/>
      <c r="CU1151" s="498"/>
      <c r="CV1151" s="498"/>
      <c r="CW1151" s="498"/>
      <c r="CX1151" s="498"/>
      <c r="CY1151" s="498"/>
      <c r="CZ1151" s="498"/>
      <c r="DA1151" s="498"/>
      <c r="DB1151" s="498"/>
      <c r="DC1151" s="498"/>
      <c r="DD1151" s="498"/>
      <c r="DE1151" s="498"/>
      <c r="DF1151" s="498"/>
      <c r="DG1151" s="115"/>
    </row>
    <row r="1152" spans="1:111" ht="18" customHeight="1">
      <c r="A1152"/>
      <c r="B1152" s="233"/>
      <c r="C1152" s="233"/>
      <c r="D1152" s="233"/>
      <c r="E1152" s="233"/>
      <c r="F1152" s="233"/>
      <c r="G1152" s="233"/>
      <c r="H1152" s="233"/>
      <c r="I1152" s="233"/>
      <c r="J1152" s="233"/>
      <c r="K1152" s="233"/>
      <c r="L1152" s="233"/>
      <c r="M1152" s="233"/>
      <c r="N1152" s="233"/>
      <c r="O1152" s="233"/>
      <c r="P1152" s="233"/>
      <c r="Q1152" s="233"/>
      <c r="R1152" s="233"/>
      <c r="S1152" s="233"/>
      <c r="T1152" s="233"/>
      <c r="U1152" s="233"/>
      <c r="V1152" s="233"/>
      <c r="W1152" s="233"/>
      <c r="X1152" s="486"/>
      <c r="Y1152" s="486"/>
      <c r="Z1152" s="486"/>
      <c r="AA1152" s="486"/>
      <c r="AB1152" s="486"/>
      <c r="AC1152" s="486"/>
      <c r="AD1152" s="486"/>
      <c r="AE1152" s="486"/>
      <c r="AF1152" s="486"/>
      <c r="AG1152" s="486"/>
      <c r="AH1152" s="417"/>
      <c r="AI1152" s="417"/>
      <c r="AJ1152" s="417"/>
      <c r="AK1152" s="417"/>
      <c r="AL1152" s="419"/>
      <c r="AM1152" s="419"/>
      <c r="AN1152" s="419"/>
      <c r="AO1152" s="419"/>
      <c r="AP1152" s="419"/>
      <c r="AQ1152" s="419"/>
      <c r="AR1152" s="419"/>
      <c r="AS1152" s="419"/>
      <c r="AT1152" s="487" t="str">
        <f>IF($Z$32&gt;=18,(AH1152*AL1152),"")</f>
        <v/>
      </c>
      <c r="AU1152" s="487"/>
      <c r="AV1152" s="487"/>
      <c r="AW1152" s="487"/>
      <c r="AX1152" s="487"/>
      <c r="AY1152" s="487"/>
      <c r="AZ1152" s="487"/>
      <c r="BA1152" s="487"/>
      <c r="BB1152"/>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c r="BY1152" s="115"/>
      <c r="BZ1152" s="115"/>
      <c r="CA1152" s="115"/>
      <c r="CB1152" s="115"/>
      <c r="CC1152" s="115"/>
      <c r="CD1152" s="115"/>
      <c r="CE1152" s="115"/>
      <c r="CF1152" s="115"/>
      <c r="CG1152" s="115"/>
      <c r="CH1152" s="115"/>
      <c r="CI1152" s="115"/>
      <c r="CJ1152" s="115"/>
      <c r="CK1152" s="115"/>
      <c r="CL1152" s="115"/>
      <c r="CM1152" s="115"/>
      <c r="CN1152" s="115"/>
      <c r="CO1152" s="115"/>
      <c r="CP1152" s="115"/>
      <c r="CQ1152" s="115"/>
      <c r="CR1152" s="115"/>
      <c r="CS1152" s="115"/>
      <c r="CT1152" s="115"/>
      <c r="CU1152" s="115"/>
      <c r="CV1152" s="115"/>
      <c r="CW1152" s="115"/>
      <c r="CX1152" s="115"/>
      <c r="CY1152" s="115"/>
      <c r="CZ1152" s="115"/>
      <c r="DA1152" s="115"/>
      <c r="DB1152" s="115"/>
      <c r="DC1152" s="115"/>
      <c r="DD1152" s="115"/>
      <c r="DE1152" s="115"/>
      <c r="DF1152" s="115"/>
      <c r="DG1152" s="115"/>
    </row>
    <row r="1153" spans="1:111" ht="18" customHeight="1">
      <c r="A1153"/>
      <c r="B1153" s="233"/>
      <c r="C1153" s="233"/>
      <c r="D1153" s="233"/>
      <c r="E1153" s="233"/>
      <c r="F1153" s="233"/>
      <c r="G1153" s="233"/>
      <c r="H1153" s="233"/>
      <c r="I1153" s="233"/>
      <c r="J1153" s="233"/>
      <c r="K1153" s="233"/>
      <c r="L1153" s="233"/>
      <c r="M1153" s="233"/>
      <c r="N1153" s="233"/>
      <c r="O1153" s="233"/>
      <c r="P1153" s="233"/>
      <c r="Q1153" s="233"/>
      <c r="R1153" s="233"/>
      <c r="S1153" s="233"/>
      <c r="T1153" s="233"/>
      <c r="U1153" s="233"/>
      <c r="V1153" s="233"/>
      <c r="W1153" s="233"/>
      <c r="X1153" s="486"/>
      <c r="Y1153" s="486"/>
      <c r="Z1153" s="486"/>
      <c r="AA1153" s="486"/>
      <c r="AB1153" s="486"/>
      <c r="AC1153" s="486"/>
      <c r="AD1153" s="486"/>
      <c r="AE1153" s="486"/>
      <c r="AF1153" s="486"/>
      <c r="AG1153" s="486"/>
      <c r="AH1153" s="417"/>
      <c r="AI1153" s="417"/>
      <c r="AJ1153" s="417"/>
      <c r="AK1153" s="417"/>
      <c r="AL1153" s="419"/>
      <c r="AM1153" s="419"/>
      <c r="AN1153" s="419"/>
      <c r="AO1153" s="419"/>
      <c r="AP1153" s="419"/>
      <c r="AQ1153" s="419"/>
      <c r="AR1153" s="419"/>
      <c r="AS1153" s="419"/>
      <c r="AT1153" s="487" t="str">
        <f>IF($Z$32&gt;=18,(AH1153*AL1153),"")</f>
        <v/>
      </c>
      <c r="AU1153" s="487"/>
      <c r="AV1153" s="487"/>
      <c r="AW1153" s="487"/>
      <c r="AX1153" s="487"/>
      <c r="AY1153" s="487"/>
      <c r="AZ1153" s="487"/>
      <c r="BA1153" s="487"/>
      <c r="BB1153"/>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c r="BY1153" s="115"/>
      <c r="BZ1153" s="115"/>
      <c r="CA1153" s="115"/>
      <c r="CB1153" s="115"/>
      <c r="CC1153" s="115"/>
      <c r="CD1153" s="115"/>
      <c r="CE1153" s="115"/>
      <c r="CF1153" s="115"/>
      <c r="CG1153" s="115"/>
      <c r="CH1153" s="115"/>
      <c r="CI1153" s="115"/>
      <c r="CJ1153" s="115"/>
      <c r="CK1153" s="115"/>
      <c r="CL1153" s="115"/>
      <c r="CM1153" s="115"/>
      <c r="CN1153" s="115"/>
      <c r="CO1153" s="115"/>
      <c r="CP1153" s="115"/>
      <c r="CQ1153" s="115"/>
      <c r="CR1153" s="115"/>
      <c r="CS1153" s="115"/>
      <c r="CT1153" s="115"/>
      <c r="CU1153" s="115"/>
      <c r="CV1153" s="115"/>
      <c r="CW1153" s="115"/>
      <c r="CX1153" s="115"/>
      <c r="CY1153" s="115"/>
      <c r="CZ1153" s="115"/>
      <c r="DA1153" s="115"/>
      <c r="DB1153" s="115"/>
      <c r="DC1153" s="115"/>
      <c r="DD1153" s="115"/>
      <c r="DE1153" s="115"/>
      <c r="DF1153" s="115"/>
      <c r="DG1153" s="115"/>
    </row>
    <row r="1154" spans="1:111" ht="15" customHeight="1">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500" t="str">
        <f>IF(B1151="","",IF(AL1152="",AT1151,IF(AL1153="",AVERAGE(AT1151:BA1152),AVERAGE(AT1151:AT1153))))</f>
        <v/>
      </c>
      <c r="AU1154" s="500"/>
      <c r="AV1154" s="500"/>
      <c r="AW1154" s="500"/>
      <c r="AX1154" s="500"/>
      <c r="AY1154" s="500"/>
      <c r="AZ1154" s="500"/>
      <c r="BA1154" s="500"/>
      <c r="BB1154"/>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c r="BY1154" s="115"/>
      <c r="BZ1154" s="115"/>
      <c r="CA1154" s="115"/>
      <c r="CB1154" s="115"/>
      <c r="CC1154" s="115"/>
      <c r="CD1154" s="115"/>
      <c r="CE1154" s="115"/>
      <c r="CF1154" s="115"/>
      <c r="CG1154" s="115"/>
      <c r="CH1154" s="115"/>
      <c r="CI1154" s="115"/>
      <c r="CJ1154" s="115"/>
      <c r="CK1154" s="115"/>
      <c r="CL1154" s="115"/>
      <c r="CM1154" s="115"/>
      <c r="CN1154" s="115"/>
      <c r="CO1154" s="115"/>
      <c r="CP1154" s="115"/>
      <c r="CQ1154" s="115"/>
      <c r="CR1154" s="115"/>
      <c r="CS1154" s="115"/>
      <c r="CT1154" s="115"/>
      <c r="CU1154" s="115"/>
      <c r="CV1154" s="115"/>
      <c r="CW1154" s="115"/>
      <c r="CX1154" s="115"/>
      <c r="CY1154" s="115"/>
      <c r="CZ1154" s="115"/>
      <c r="DA1154" s="115"/>
      <c r="DB1154" s="115"/>
      <c r="DC1154" s="115"/>
      <c r="DD1154" s="115"/>
      <c r="DE1154" s="115"/>
      <c r="DF1154" s="115"/>
      <c r="DG1154" s="115"/>
    </row>
    <row r="1155" spans="1:111" ht="15" customHeight="1">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c r="BY1155" s="115"/>
      <c r="BZ1155" s="115"/>
      <c r="CA1155" s="115"/>
      <c r="CB1155" s="115"/>
      <c r="CC1155" s="115"/>
      <c r="CD1155" s="115"/>
      <c r="CE1155" s="115"/>
      <c r="CF1155" s="115"/>
      <c r="CG1155" s="115"/>
      <c r="CH1155" s="115"/>
      <c r="CI1155" s="115"/>
      <c r="CJ1155" s="115"/>
      <c r="CK1155" s="115"/>
      <c r="CL1155" s="115"/>
      <c r="CM1155" s="115"/>
      <c r="CN1155" s="115"/>
      <c r="CO1155" s="115"/>
      <c r="CP1155" s="115"/>
      <c r="CQ1155" s="115"/>
      <c r="CR1155" s="115"/>
      <c r="CS1155" s="115"/>
      <c r="CT1155" s="115"/>
      <c r="CU1155" s="115"/>
      <c r="CV1155" s="115"/>
      <c r="CW1155" s="115"/>
      <c r="CX1155" s="115"/>
      <c r="CY1155" s="115"/>
      <c r="CZ1155" s="115"/>
      <c r="DA1155" s="115"/>
      <c r="DB1155" s="115"/>
      <c r="DC1155" s="115"/>
      <c r="DD1155" s="115"/>
      <c r="DE1155" s="115"/>
      <c r="DF1155" s="115"/>
      <c r="DG1155" s="115"/>
    </row>
    <row r="1156" spans="1:111" ht="9" customHeight="1">
      <c r="A1156"/>
      <c r="B1156" s="494" t="str">
        <f>IF($Z$32&gt;=29,"Item 29","")</f>
        <v/>
      </c>
      <c r="C1156" s="495"/>
      <c r="D1156" s="495"/>
      <c r="E1156" s="495"/>
      <c r="F1156" s="495"/>
      <c r="G1156" s="495"/>
      <c r="H1156" s="495"/>
      <c r="I1156" s="495"/>
      <c r="J1156" s="495"/>
      <c r="K1156" s="495"/>
      <c r="L1156" s="495"/>
      <c r="M1156" s="495"/>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c r="BY1156" s="115"/>
      <c r="BZ1156" s="115"/>
      <c r="CA1156" s="115"/>
      <c r="CB1156" s="115"/>
      <c r="CC1156" s="115"/>
      <c r="CD1156" s="115"/>
      <c r="CE1156" s="115"/>
      <c r="CF1156" s="115"/>
      <c r="CG1156" s="115"/>
      <c r="CH1156" s="115"/>
      <c r="CI1156" s="115"/>
      <c r="CJ1156" s="115"/>
      <c r="CK1156" s="115"/>
      <c r="CL1156" s="115"/>
      <c r="CM1156" s="115"/>
      <c r="CN1156" s="115"/>
      <c r="CO1156" s="115"/>
      <c r="CP1156" s="115"/>
      <c r="CQ1156" s="115"/>
      <c r="CR1156" s="115"/>
      <c r="CS1156" s="115"/>
      <c r="CT1156" s="115"/>
      <c r="CU1156" s="115"/>
      <c r="CV1156" s="115"/>
      <c r="CW1156" s="115"/>
      <c r="CX1156" s="115"/>
      <c r="CY1156" s="115"/>
      <c r="CZ1156" s="115"/>
      <c r="DA1156" s="115"/>
      <c r="DB1156" s="115"/>
      <c r="DC1156" s="115"/>
      <c r="DD1156" s="115"/>
      <c r="DE1156" s="115"/>
      <c r="DF1156" s="115"/>
      <c r="DG1156" s="115"/>
    </row>
    <row r="1157" spans="1:111" ht="9" customHeight="1">
      <c r="A1157"/>
      <c r="B1157" s="495"/>
      <c r="C1157" s="495"/>
      <c r="D1157" s="495"/>
      <c r="E1157" s="495"/>
      <c r="F1157" s="495"/>
      <c r="G1157" s="495"/>
      <c r="H1157" s="495"/>
      <c r="I1157" s="495"/>
      <c r="J1157" s="495"/>
      <c r="K1157" s="495"/>
      <c r="L1157" s="495"/>
      <c r="M1157" s="495"/>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c r="BY1157" s="115"/>
      <c r="BZ1157" s="115"/>
      <c r="CA1157" s="115"/>
      <c r="CB1157" s="115"/>
      <c r="CC1157" s="115"/>
      <c r="CD1157" s="115"/>
      <c r="CE1157" s="115"/>
      <c r="CF1157" s="115"/>
      <c r="CG1157" s="115"/>
      <c r="CH1157" s="115"/>
      <c r="CI1157" s="115"/>
      <c r="CJ1157" s="115"/>
      <c r="CK1157" s="115"/>
      <c r="CL1157" s="115"/>
      <c r="CM1157" s="115"/>
      <c r="CN1157" s="115"/>
      <c r="CO1157" s="115"/>
      <c r="CP1157" s="115"/>
      <c r="CQ1157" s="115"/>
      <c r="CR1157" s="115"/>
      <c r="CS1157" s="115"/>
      <c r="CT1157" s="115"/>
      <c r="CU1157" s="115"/>
      <c r="CV1157" s="115"/>
      <c r="CW1157" s="115"/>
      <c r="CX1157" s="115"/>
      <c r="CY1157" s="115"/>
      <c r="CZ1157" s="115"/>
      <c r="DA1157" s="115"/>
      <c r="DB1157" s="115"/>
      <c r="DC1157" s="115"/>
      <c r="DD1157" s="115"/>
      <c r="DE1157" s="115"/>
      <c r="DF1157" s="115"/>
      <c r="DG1157" s="115"/>
    </row>
    <row r="1158" spans="1:111" ht="4.5" customHeight="1">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c r="BY1158" s="115"/>
      <c r="BZ1158" s="115"/>
      <c r="CA1158" s="115"/>
      <c r="CB1158" s="115"/>
      <c r="CC1158" s="115"/>
      <c r="CD1158" s="115"/>
      <c r="CE1158" s="115"/>
      <c r="CF1158" s="115"/>
      <c r="CG1158" s="115"/>
      <c r="CH1158" s="115"/>
      <c r="CI1158" s="115"/>
      <c r="CJ1158" s="115"/>
      <c r="CK1158" s="115"/>
      <c r="CL1158" s="115"/>
      <c r="CM1158" s="115"/>
      <c r="CN1158" s="115"/>
      <c r="CO1158" s="115"/>
      <c r="CP1158" s="115"/>
      <c r="CQ1158" s="115"/>
      <c r="CR1158" s="115"/>
      <c r="CS1158" s="115"/>
      <c r="CT1158" s="115"/>
      <c r="CU1158" s="115"/>
      <c r="CV1158" s="115"/>
      <c r="CW1158" s="115"/>
      <c r="CX1158" s="115"/>
      <c r="CY1158" s="115"/>
      <c r="CZ1158" s="115"/>
      <c r="DA1158" s="115"/>
      <c r="DB1158" s="115"/>
      <c r="DC1158" s="115"/>
      <c r="DD1158" s="115"/>
      <c r="DE1158" s="115"/>
      <c r="DF1158" s="115"/>
      <c r="DG1158" s="115"/>
    </row>
    <row r="1159" spans="1:111" ht="9" customHeight="1">
      <c r="A1159"/>
      <c r="B1159" s="493" t="str">
        <f>IF(B1156="","","Elemento de Despesa:")</f>
        <v/>
      </c>
      <c r="C1159" s="493"/>
      <c r="D1159" s="493"/>
      <c r="E1159" s="493"/>
      <c r="F1159" s="493"/>
      <c r="G1159" s="493"/>
      <c r="H1159" s="493"/>
      <c r="I1159" s="493"/>
      <c r="J1159" s="493"/>
      <c r="K1159" s="493"/>
      <c r="L1159" s="493"/>
      <c r="M1159" s="493"/>
      <c r="N1159" s="493"/>
      <c r="O1159" s="241"/>
      <c r="P1159" s="241"/>
      <c r="Q1159" s="241"/>
      <c r="R1159" s="241"/>
      <c r="S1159" s="241"/>
      <c r="T1159" s="241"/>
      <c r="U1159" s="241"/>
      <c r="V1159" s="241"/>
      <c r="W1159" s="241"/>
      <c r="X1159" s="241"/>
      <c r="Y1159" s="241"/>
      <c r="Z1159" s="241"/>
      <c r="AA1159" s="241"/>
      <c r="AB1159" s="241"/>
      <c r="AC1159" s="241"/>
      <c r="AD1159" s="241"/>
      <c r="AE1159" s="241"/>
      <c r="AF1159" s="241"/>
      <c r="AG1159" s="241"/>
      <c r="AH1159" s="241"/>
      <c r="AI1159" s="241"/>
      <c r="AJ1159" s="241"/>
      <c r="AK1159" s="241"/>
      <c r="AL1159" s="241"/>
      <c r="AM1159" s="241"/>
      <c r="AN1159" s="241"/>
      <c r="AO1159" s="241"/>
      <c r="AP1159" s="241"/>
      <c r="AQ1159" s="241"/>
      <c r="AR1159" s="241"/>
      <c r="AS1159" s="241"/>
      <c r="AT1159" s="241"/>
      <c r="AU1159" s="241"/>
      <c r="AV1159" s="241"/>
      <c r="AW1159" s="241"/>
      <c r="AX1159" s="241"/>
      <c r="AY1159" s="241"/>
      <c r="AZ1159" s="241"/>
      <c r="BA1159" s="241"/>
      <c r="BB1159"/>
      <c r="BC1159" s="115"/>
      <c r="BD1159" s="115"/>
      <c r="BE1159" s="115"/>
      <c r="BF1159" s="115"/>
      <c r="BG1159" s="115"/>
      <c r="BH1159" s="124"/>
      <c r="BI1159" s="124"/>
      <c r="BJ1159" s="124"/>
      <c r="BK1159" s="124"/>
      <c r="BL1159" s="124"/>
      <c r="BM1159" s="124"/>
      <c r="BN1159" s="124"/>
      <c r="BO1159" s="124"/>
      <c r="BP1159" s="124"/>
      <c r="BQ1159" s="124"/>
      <c r="BR1159" s="124"/>
      <c r="BS1159" s="124"/>
      <c r="BT1159" s="124"/>
      <c r="BU1159" s="124"/>
      <c r="BV1159" s="124"/>
      <c r="BW1159" s="124"/>
      <c r="BX1159" s="124"/>
      <c r="BY1159" s="124"/>
      <c r="BZ1159" s="124"/>
      <c r="CA1159" s="124"/>
      <c r="CB1159" s="124"/>
      <c r="CC1159" s="124"/>
      <c r="CD1159" s="124"/>
      <c r="CE1159" s="124"/>
      <c r="CF1159" s="124"/>
      <c r="CG1159" s="124"/>
      <c r="CH1159" s="124"/>
      <c r="CI1159" s="124"/>
      <c r="CJ1159" s="124"/>
      <c r="CK1159" s="124"/>
      <c r="CL1159" s="124"/>
      <c r="CM1159" s="124"/>
      <c r="CN1159" s="124"/>
      <c r="CO1159" s="124"/>
      <c r="CP1159" s="124"/>
      <c r="CQ1159" s="124"/>
      <c r="CR1159" s="124"/>
      <c r="CS1159" s="124"/>
      <c r="CT1159" s="124"/>
      <c r="CU1159" s="124"/>
      <c r="CV1159" s="124"/>
      <c r="CW1159" s="124"/>
      <c r="CX1159" s="124"/>
      <c r="CY1159" s="124"/>
      <c r="CZ1159" s="124"/>
      <c r="DA1159" s="124"/>
      <c r="DB1159" s="124"/>
      <c r="DC1159" s="124"/>
      <c r="DD1159" s="124"/>
      <c r="DE1159" s="124"/>
      <c r="DF1159" s="124"/>
      <c r="DG1159" s="115"/>
    </row>
    <row r="1160" spans="1:111" ht="9" customHeight="1">
      <c r="A1160"/>
      <c r="B1160" s="493"/>
      <c r="C1160" s="493"/>
      <c r="D1160" s="493"/>
      <c r="E1160" s="493"/>
      <c r="F1160" s="493"/>
      <c r="G1160" s="493"/>
      <c r="H1160" s="493"/>
      <c r="I1160" s="493"/>
      <c r="J1160" s="493"/>
      <c r="K1160" s="493"/>
      <c r="L1160" s="493"/>
      <c r="M1160" s="493"/>
      <c r="N1160" s="493"/>
      <c r="O1160" s="241"/>
      <c r="P1160" s="241"/>
      <c r="Q1160" s="241"/>
      <c r="R1160" s="241"/>
      <c r="S1160" s="241"/>
      <c r="T1160" s="241"/>
      <c r="U1160" s="241"/>
      <c r="V1160" s="241"/>
      <c r="W1160" s="241"/>
      <c r="X1160" s="241"/>
      <c r="Y1160" s="241"/>
      <c r="Z1160" s="241"/>
      <c r="AA1160" s="241"/>
      <c r="AB1160" s="241"/>
      <c r="AC1160" s="241"/>
      <c r="AD1160" s="241"/>
      <c r="AE1160" s="241"/>
      <c r="AF1160" s="241"/>
      <c r="AG1160" s="241"/>
      <c r="AH1160" s="241"/>
      <c r="AI1160" s="241"/>
      <c r="AJ1160" s="241"/>
      <c r="AK1160" s="241"/>
      <c r="AL1160" s="241"/>
      <c r="AM1160" s="241"/>
      <c r="AN1160" s="241"/>
      <c r="AO1160" s="241"/>
      <c r="AP1160" s="241"/>
      <c r="AQ1160" s="241"/>
      <c r="AR1160" s="241"/>
      <c r="AS1160" s="241"/>
      <c r="AT1160" s="241"/>
      <c r="AU1160" s="241"/>
      <c r="AV1160" s="241"/>
      <c r="AW1160" s="241"/>
      <c r="AX1160" s="241"/>
      <c r="AY1160" s="241"/>
      <c r="AZ1160" s="241"/>
      <c r="BA1160" s="241"/>
      <c r="BB1160"/>
      <c r="BC1160" s="115"/>
      <c r="BD1160" s="115"/>
      <c r="BE1160" s="115"/>
      <c r="BF1160" s="115"/>
      <c r="BG1160" s="115"/>
      <c r="BH1160" s="124"/>
      <c r="BI1160" s="124"/>
      <c r="BJ1160" s="124"/>
      <c r="BK1160" s="124"/>
      <c r="BL1160" s="124"/>
      <c r="BM1160" s="124"/>
      <c r="BN1160" s="124"/>
      <c r="BO1160" s="124"/>
      <c r="BP1160" s="124"/>
      <c r="BQ1160" s="124"/>
      <c r="BR1160" s="124"/>
      <c r="BS1160" s="124"/>
      <c r="BT1160" s="124"/>
      <c r="BU1160" s="124"/>
      <c r="BV1160" s="124"/>
      <c r="BW1160" s="124"/>
      <c r="BX1160" s="124"/>
      <c r="BY1160" s="124"/>
      <c r="BZ1160" s="124"/>
      <c r="CA1160" s="124"/>
      <c r="CB1160" s="124"/>
      <c r="CC1160" s="124"/>
      <c r="CD1160" s="124"/>
      <c r="CE1160" s="124"/>
      <c r="CF1160" s="124"/>
      <c r="CG1160" s="124"/>
      <c r="CH1160" s="124"/>
      <c r="CI1160" s="124"/>
      <c r="CJ1160" s="124"/>
      <c r="CK1160" s="124"/>
      <c r="CL1160" s="124"/>
      <c r="CM1160" s="124"/>
      <c r="CN1160" s="124"/>
      <c r="CO1160" s="124"/>
      <c r="CP1160" s="124"/>
      <c r="CQ1160" s="124"/>
      <c r="CR1160" s="124"/>
      <c r="CS1160" s="124"/>
      <c r="CT1160" s="124"/>
      <c r="CU1160" s="124"/>
      <c r="CV1160" s="124"/>
      <c r="CW1160" s="124"/>
      <c r="CX1160" s="124"/>
      <c r="CY1160" s="124"/>
      <c r="CZ1160" s="124"/>
      <c r="DA1160" s="124"/>
      <c r="DB1160" s="124"/>
      <c r="DC1160" s="124"/>
      <c r="DD1160" s="124"/>
      <c r="DE1160" s="124"/>
      <c r="DF1160" s="124"/>
      <c r="DG1160" s="115"/>
    </row>
    <row r="1161" spans="1:111" ht="4.5" customHeight="1">
      <c r="A1161"/>
      <c r="B1161" s="49"/>
      <c r="C1161" s="49"/>
      <c r="D1161" s="49"/>
      <c r="E1161" s="49"/>
      <c r="F1161" s="49"/>
      <c r="G1161" s="49"/>
      <c r="H1161" s="49"/>
      <c r="I1161" s="49"/>
      <c r="J1161" s="49"/>
      <c r="K1161" s="49"/>
      <c r="L1161" s="49"/>
      <c r="M1161" s="49"/>
      <c r="N1161" s="49"/>
      <c r="O1161" s="49"/>
      <c r="P1161" s="49"/>
      <c r="Q1161" s="49"/>
      <c r="R1161" s="49"/>
      <c r="S1161" s="49"/>
      <c r="T1161" s="49"/>
      <c r="U1161" s="49"/>
      <c r="V1161" s="49"/>
      <c r="W1161" s="49"/>
      <c r="X1161" s="49"/>
      <c r="Y1161" s="49"/>
      <c r="Z1161" s="49"/>
      <c r="AA1161" s="49"/>
      <c r="AB1161" s="49"/>
      <c r="AC1161" s="49"/>
      <c r="AD1161" s="49"/>
      <c r="AE1161" s="49"/>
      <c r="AF1161" s="49"/>
      <c r="AG1161" s="49"/>
      <c r="AH1161" s="49"/>
      <c r="AI1161" s="49"/>
      <c r="AJ1161" s="49"/>
      <c r="AK1161" s="49"/>
      <c r="AL1161" s="49"/>
      <c r="AM1161" s="49"/>
      <c r="AN1161" s="49"/>
      <c r="AO1161" s="49"/>
      <c r="AP1161" s="49"/>
      <c r="AQ1161" s="49"/>
      <c r="AR1161" s="49"/>
      <c r="AS1161" s="49"/>
      <c r="AT1161" s="49"/>
      <c r="AU1161" s="49"/>
      <c r="AV1161" s="49"/>
      <c r="AW1161" s="49"/>
      <c r="AX1161" s="49"/>
      <c r="AY1161" s="49"/>
      <c r="AZ1161" s="49"/>
      <c r="BA1161" s="49"/>
      <c r="BB1161"/>
      <c r="BC1161" s="115"/>
      <c r="BD1161" s="115"/>
      <c r="BE1161" s="115"/>
      <c r="BF1161" s="115"/>
      <c r="BG1161" s="115"/>
      <c r="BH1161" s="124"/>
      <c r="BI1161" s="124"/>
      <c r="BJ1161" s="124"/>
      <c r="BK1161" s="124"/>
      <c r="BL1161" s="124"/>
      <c r="BM1161" s="124"/>
      <c r="BN1161" s="124"/>
      <c r="BO1161" s="124"/>
      <c r="BP1161" s="124"/>
      <c r="BQ1161" s="124"/>
      <c r="BR1161" s="124"/>
      <c r="BS1161" s="124"/>
      <c r="BT1161" s="124"/>
      <c r="BU1161" s="124"/>
      <c r="BV1161" s="124"/>
      <c r="BW1161" s="124"/>
      <c r="BX1161" s="124"/>
      <c r="BY1161" s="124"/>
      <c r="BZ1161" s="124"/>
      <c r="CA1161" s="124"/>
      <c r="CB1161" s="124"/>
      <c r="CC1161" s="124"/>
      <c r="CD1161" s="124"/>
      <c r="CE1161" s="124"/>
      <c r="CF1161" s="124"/>
      <c r="CG1161" s="124"/>
      <c r="CH1161" s="124"/>
      <c r="CI1161" s="124"/>
      <c r="CJ1161" s="124"/>
      <c r="CK1161" s="124"/>
      <c r="CL1161" s="124"/>
      <c r="CM1161" s="124"/>
      <c r="CN1161" s="124"/>
      <c r="CO1161" s="124"/>
      <c r="CP1161" s="124"/>
      <c r="CQ1161" s="124"/>
      <c r="CR1161" s="124"/>
      <c r="CS1161" s="124"/>
      <c r="CT1161" s="124"/>
      <c r="CU1161" s="124"/>
      <c r="CV1161" s="124"/>
      <c r="CW1161" s="124"/>
      <c r="CX1161" s="124"/>
      <c r="CY1161" s="124"/>
      <c r="CZ1161" s="124"/>
      <c r="DA1161" s="124"/>
      <c r="DB1161" s="124"/>
      <c r="DC1161" s="124"/>
      <c r="DD1161" s="124"/>
      <c r="DE1161" s="124"/>
      <c r="DF1161" s="124"/>
      <c r="DG1161" s="115"/>
    </row>
    <row r="1162" spans="1:111" ht="9" customHeight="1">
      <c r="A1162"/>
      <c r="B1162" s="493" t="str">
        <f>IF(B1156="","","Objeto:")</f>
        <v/>
      </c>
      <c r="C1162" s="493"/>
      <c r="D1162" s="493"/>
      <c r="E1162" s="493"/>
      <c r="F1162" s="493"/>
      <c r="G1162" s="493"/>
      <c r="H1162" s="493"/>
      <c r="I1162" s="493"/>
      <c r="J1162" s="493"/>
      <c r="K1162" s="493"/>
      <c r="L1162" s="493"/>
      <c r="M1162" s="493"/>
      <c r="N1162" s="493"/>
      <c r="O1162" s="421"/>
      <c r="P1162" s="421"/>
      <c r="Q1162" s="421"/>
      <c r="R1162" s="421"/>
      <c r="S1162" s="421"/>
      <c r="T1162" s="421"/>
      <c r="U1162" s="421"/>
      <c r="V1162" s="421"/>
      <c r="W1162" s="421"/>
      <c r="X1162" s="421"/>
      <c r="Y1162" s="421"/>
      <c r="Z1162" s="421"/>
      <c r="AA1162" s="421"/>
      <c r="AB1162" s="421"/>
      <c r="AC1162" s="421"/>
      <c r="AD1162" s="421"/>
      <c r="AE1162" s="421"/>
      <c r="AF1162" s="421"/>
      <c r="AG1162" s="421"/>
      <c r="AH1162" s="421"/>
      <c r="AI1162" s="421"/>
      <c r="AJ1162" s="421"/>
      <c r="AK1162" s="421"/>
      <c r="AL1162" s="421"/>
      <c r="AM1162" s="421"/>
      <c r="AN1162" s="421"/>
      <c r="AO1162" s="421"/>
      <c r="AP1162" s="421"/>
      <c r="AQ1162" s="421"/>
      <c r="AR1162" s="421"/>
      <c r="AS1162" s="421"/>
      <c r="AT1162" s="421"/>
      <c r="AU1162" s="421"/>
      <c r="AV1162" s="421"/>
      <c r="AW1162" s="421"/>
      <c r="AX1162" s="421"/>
      <c r="AY1162" s="421"/>
      <c r="AZ1162" s="421"/>
      <c r="BA1162" s="421"/>
      <c r="BB1162"/>
      <c r="BC1162" s="115"/>
      <c r="BD1162" s="115"/>
      <c r="BE1162" s="115"/>
      <c r="BF1162" s="115"/>
      <c r="BG1162" s="115"/>
      <c r="BH1162" s="124"/>
      <c r="BI1162" s="124"/>
      <c r="BJ1162" s="124"/>
      <c r="BK1162" s="124"/>
      <c r="BL1162" s="124"/>
      <c r="BM1162" s="124"/>
      <c r="BN1162" s="124"/>
      <c r="BO1162" s="124"/>
      <c r="BP1162" s="124"/>
      <c r="BQ1162" s="124"/>
      <c r="BR1162" s="124"/>
      <c r="BS1162" s="124"/>
      <c r="BT1162" s="124"/>
      <c r="BU1162" s="124"/>
      <c r="BV1162" s="124"/>
      <c r="BW1162" s="124"/>
      <c r="BX1162" s="124"/>
      <c r="BY1162" s="124"/>
      <c r="BZ1162" s="124"/>
      <c r="CA1162" s="124"/>
      <c r="CB1162" s="124"/>
      <c r="CC1162" s="124"/>
      <c r="CD1162" s="124"/>
      <c r="CE1162" s="124"/>
      <c r="CF1162" s="124"/>
      <c r="CG1162" s="124"/>
      <c r="CH1162" s="124"/>
      <c r="CI1162" s="124"/>
      <c r="CJ1162" s="124"/>
      <c r="CK1162" s="124"/>
      <c r="CL1162" s="124"/>
      <c r="CM1162" s="124"/>
      <c r="CN1162" s="124"/>
      <c r="CO1162" s="124"/>
      <c r="CP1162" s="124"/>
      <c r="CQ1162" s="124"/>
      <c r="CR1162" s="124"/>
      <c r="CS1162" s="124"/>
      <c r="CT1162" s="124"/>
      <c r="CU1162" s="124"/>
      <c r="CV1162" s="124"/>
      <c r="CW1162" s="124"/>
      <c r="CX1162" s="124"/>
      <c r="CY1162" s="124"/>
      <c r="CZ1162" s="124"/>
      <c r="DA1162" s="124"/>
      <c r="DB1162" s="124"/>
      <c r="DC1162" s="124"/>
      <c r="DD1162" s="124"/>
      <c r="DE1162" s="124"/>
      <c r="DF1162" s="124"/>
      <c r="DG1162" s="115"/>
    </row>
    <row r="1163" spans="1:111" ht="9" customHeight="1">
      <c r="A1163"/>
      <c r="B1163" s="493"/>
      <c r="C1163" s="493"/>
      <c r="D1163" s="493"/>
      <c r="E1163" s="493"/>
      <c r="F1163" s="493"/>
      <c r="G1163" s="493"/>
      <c r="H1163" s="493"/>
      <c r="I1163" s="493"/>
      <c r="J1163" s="493"/>
      <c r="K1163" s="493"/>
      <c r="L1163" s="493"/>
      <c r="M1163" s="493"/>
      <c r="N1163" s="493"/>
      <c r="O1163" s="421"/>
      <c r="P1163" s="421"/>
      <c r="Q1163" s="421"/>
      <c r="R1163" s="421"/>
      <c r="S1163" s="421"/>
      <c r="T1163" s="421"/>
      <c r="U1163" s="421"/>
      <c r="V1163" s="421"/>
      <c r="W1163" s="421"/>
      <c r="X1163" s="421"/>
      <c r="Y1163" s="421"/>
      <c r="Z1163" s="421"/>
      <c r="AA1163" s="421"/>
      <c r="AB1163" s="421"/>
      <c r="AC1163" s="421"/>
      <c r="AD1163" s="421"/>
      <c r="AE1163" s="421"/>
      <c r="AF1163" s="421"/>
      <c r="AG1163" s="421"/>
      <c r="AH1163" s="421"/>
      <c r="AI1163" s="421"/>
      <c r="AJ1163" s="421"/>
      <c r="AK1163" s="421"/>
      <c r="AL1163" s="421"/>
      <c r="AM1163" s="421"/>
      <c r="AN1163" s="421"/>
      <c r="AO1163" s="421"/>
      <c r="AP1163" s="421"/>
      <c r="AQ1163" s="421"/>
      <c r="AR1163" s="421"/>
      <c r="AS1163" s="421"/>
      <c r="AT1163" s="421"/>
      <c r="AU1163" s="421"/>
      <c r="AV1163" s="421"/>
      <c r="AW1163" s="421"/>
      <c r="AX1163" s="421"/>
      <c r="AY1163" s="421"/>
      <c r="AZ1163" s="421"/>
      <c r="BA1163" s="421"/>
      <c r="BB1163"/>
      <c r="BC1163" s="115"/>
      <c r="BD1163" s="115"/>
      <c r="BE1163" s="115"/>
      <c r="BF1163" s="115"/>
      <c r="BG1163" s="115"/>
      <c r="BH1163" s="124"/>
      <c r="BI1163" s="124"/>
      <c r="BJ1163" s="124"/>
      <c r="BK1163" s="124"/>
      <c r="BL1163" s="124"/>
      <c r="BM1163" s="124"/>
      <c r="BN1163" s="124"/>
      <c r="BO1163" s="124"/>
      <c r="BP1163" s="124"/>
      <c r="BQ1163" s="124"/>
      <c r="BR1163" s="124"/>
      <c r="BS1163" s="124"/>
      <c r="BT1163" s="124"/>
      <c r="BU1163" s="124"/>
      <c r="BV1163" s="124"/>
      <c r="BW1163" s="124"/>
      <c r="BX1163" s="124"/>
      <c r="BY1163" s="124"/>
      <c r="BZ1163" s="124"/>
      <c r="CA1163" s="124"/>
      <c r="CB1163" s="124"/>
      <c r="CC1163" s="124"/>
      <c r="CD1163" s="124"/>
      <c r="CE1163" s="124"/>
      <c r="CF1163" s="124"/>
      <c r="CG1163" s="124"/>
      <c r="CH1163" s="124"/>
      <c r="CI1163" s="124"/>
      <c r="CJ1163" s="124"/>
      <c r="CK1163" s="124"/>
      <c r="CL1163" s="124"/>
      <c r="CM1163" s="124"/>
      <c r="CN1163" s="124"/>
      <c r="CO1163" s="124"/>
      <c r="CP1163" s="124"/>
      <c r="CQ1163" s="124"/>
      <c r="CR1163" s="124"/>
      <c r="CS1163" s="124"/>
      <c r="CT1163" s="124"/>
      <c r="CU1163" s="124"/>
      <c r="CV1163" s="124"/>
      <c r="CW1163" s="124"/>
      <c r="CX1163" s="124"/>
      <c r="CY1163" s="124"/>
      <c r="CZ1163" s="124"/>
      <c r="DA1163" s="124"/>
      <c r="DB1163" s="124"/>
      <c r="DC1163" s="124"/>
      <c r="DD1163" s="124"/>
      <c r="DE1163" s="124"/>
      <c r="DF1163" s="124"/>
      <c r="DG1163" s="115"/>
    </row>
    <row r="1164" spans="1:111" ht="9" customHeight="1">
      <c r="A1164"/>
      <c r="B1164" s="143"/>
      <c r="C1164" s="143"/>
      <c r="D1164" s="143"/>
      <c r="E1164" s="143"/>
      <c r="F1164" s="143"/>
      <c r="G1164" s="143"/>
      <c r="H1164" s="143"/>
      <c r="I1164" s="143"/>
      <c r="J1164" s="143"/>
      <c r="K1164" s="143"/>
      <c r="L1164" s="143"/>
      <c r="M1164" s="143"/>
      <c r="N1164" s="143"/>
      <c r="O1164" s="421"/>
      <c r="P1164" s="421"/>
      <c r="Q1164" s="421"/>
      <c r="R1164" s="421"/>
      <c r="S1164" s="421"/>
      <c r="T1164" s="421"/>
      <c r="U1164" s="421"/>
      <c r="V1164" s="421"/>
      <c r="W1164" s="421"/>
      <c r="X1164" s="421"/>
      <c r="Y1164" s="421"/>
      <c r="Z1164" s="421"/>
      <c r="AA1164" s="421"/>
      <c r="AB1164" s="421"/>
      <c r="AC1164" s="421"/>
      <c r="AD1164" s="421"/>
      <c r="AE1164" s="421"/>
      <c r="AF1164" s="421"/>
      <c r="AG1164" s="421"/>
      <c r="AH1164" s="421"/>
      <c r="AI1164" s="421"/>
      <c r="AJ1164" s="421"/>
      <c r="AK1164" s="421"/>
      <c r="AL1164" s="421"/>
      <c r="AM1164" s="421"/>
      <c r="AN1164" s="421"/>
      <c r="AO1164" s="421"/>
      <c r="AP1164" s="421"/>
      <c r="AQ1164" s="421"/>
      <c r="AR1164" s="421"/>
      <c r="AS1164" s="421"/>
      <c r="AT1164" s="421"/>
      <c r="AU1164" s="421"/>
      <c r="AV1164" s="421"/>
      <c r="AW1164" s="421"/>
      <c r="AX1164" s="421"/>
      <c r="AY1164" s="421"/>
      <c r="AZ1164" s="421"/>
      <c r="BA1164" s="421"/>
      <c r="BB1164"/>
      <c r="BC1164" s="115"/>
      <c r="BD1164" s="115"/>
      <c r="BE1164" s="115"/>
      <c r="BF1164" s="115"/>
      <c r="BG1164" s="115"/>
      <c r="BH1164" s="138"/>
      <c r="BI1164" s="138"/>
      <c r="BJ1164" s="138"/>
      <c r="BK1164" s="138"/>
      <c r="BL1164" s="138"/>
      <c r="BM1164" s="138"/>
      <c r="BN1164" s="138"/>
      <c r="BO1164" s="138"/>
      <c r="BP1164" s="138"/>
      <c r="BQ1164" s="138"/>
      <c r="BR1164" s="138"/>
      <c r="BS1164" s="138"/>
      <c r="BT1164" s="138"/>
      <c r="BU1164" s="138"/>
      <c r="BV1164" s="138"/>
      <c r="BW1164" s="138"/>
      <c r="BX1164" s="138"/>
      <c r="BY1164" s="138"/>
      <c r="BZ1164" s="138"/>
      <c r="CA1164" s="138"/>
      <c r="CB1164" s="138"/>
      <c r="CC1164" s="138"/>
      <c r="CD1164" s="138"/>
      <c r="CE1164" s="138"/>
      <c r="CF1164" s="138"/>
      <c r="CG1164" s="138"/>
      <c r="CH1164" s="138"/>
      <c r="CI1164" s="138"/>
      <c r="CJ1164" s="138"/>
      <c r="CK1164" s="138"/>
      <c r="CL1164" s="138"/>
      <c r="CM1164" s="138"/>
      <c r="CN1164" s="138"/>
      <c r="CO1164" s="138"/>
      <c r="CP1164" s="138"/>
      <c r="CQ1164" s="138"/>
      <c r="CR1164" s="138"/>
      <c r="CS1164" s="138"/>
      <c r="CT1164" s="138"/>
      <c r="CU1164" s="138"/>
      <c r="CV1164" s="138"/>
      <c r="CW1164" s="138"/>
      <c r="CX1164" s="138"/>
      <c r="CY1164" s="138"/>
      <c r="CZ1164" s="138"/>
      <c r="DA1164" s="138"/>
      <c r="DB1164" s="138"/>
      <c r="DC1164" s="138"/>
      <c r="DD1164" s="138"/>
      <c r="DE1164" s="138"/>
      <c r="DF1164" s="138"/>
      <c r="DG1164" s="115"/>
    </row>
    <row r="1165" spans="1:111" ht="9" customHeight="1">
      <c r="A1165"/>
      <c r="B1165" s="49"/>
      <c r="C1165" s="49"/>
      <c r="D1165" s="49"/>
      <c r="E1165" s="49"/>
      <c r="F1165" s="49"/>
      <c r="G1165" s="49"/>
      <c r="H1165" s="49"/>
      <c r="I1165" s="49"/>
      <c r="J1165" s="49"/>
      <c r="K1165" s="49"/>
      <c r="L1165" s="49"/>
      <c r="M1165" s="49"/>
      <c r="N1165" s="49"/>
      <c r="O1165" s="421"/>
      <c r="P1165" s="421"/>
      <c r="Q1165" s="421"/>
      <c r="R1165" s="421"/>
      <c r="S1165" s="421"/>
      <c r="T1165" s="421"/>
      <c r="U1165" s="421"/>
      <c r="V1165" s="421"/>
      <c r="W1165" s="421"/>
      <c r="X1165" s="421"/>
      <c r="Y1165" s="421"/>
      <c r="Z1165" s="421"/>
      <c r="AA1165" s="421"/>
      <c r="AB1165" s="421"/>
      <c r="AC1165" s="421"/>
      <c r="AD1165" s="421"/>
      <c r="AE1165" s="421"/>
      <c r="AF1165" s="421"/>
      <c r="AG1165" s="421"/>
      <c r="AH1165" s="421"/>
      <c r="AI1165" s="421"/>
      <c r="AJ1165" s="421"/>
      <c r="AK1165" s="421"/>
      <c r="AL1165" s="421"/>
      <c r="AM1165" s="421"/>
      <c r="AN1165" s="421"/>
      <c r="AO1165" s="421"/>
      <c r="AP1165" s="421"/>
      <c r="AQ1165" s="421"/>
      <c r="AR1165" s="421"/>
      <c r="AS1165" s="421"/>
      <c r="AT1165" s="421"/>
      <c r="AU1165" s="421"/>
      <c r="AV1165" s="421"/>
      <c r="AW1165" s="421"/>
      <c r="AX1165" s="421"/>
      <c r="AY1165" s="421"/>
      <c r="AZ1165" s="421"/>
      <c r="BA1165" s="421"/>
      <c r="BB116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c r="BY1165" s="115"/>
      <c r="BZ1165" s="115"/>
      <c r="CA1165" s="115"/>
      <c r="CB1165" s="115"/>
      <c r="CC1165" s="115"/>
      <c r="CD1165" s="115"/>
      <c r="CE1165" s="115"/>
      <c r="CF1165" s="115"/>
      <c r="CG1165" s="115"/>
      <c r="CH1165" s="115"/>
      <c r="CI1165" s="115"/>
      <c r="CJ1165" s="115"/>
      <c r="CK1165" s="115"/>
      <c r="CL1165" s="115"/>
      <c r="CM1165" s="115"/>
      <c r="CN1165" s="115"/>
      <c r="CO1165" s="115"/>
      <c r="CP1165" s="115"/>
      <c r="CQ1165" s="115"/>
      <c r="CR1165" s="115"/>
      <c r="CS1165" s="115"/>
      <c r="CT1165" s="115"/>
      <c r="CU1165" s="115"/>
      <c r="CV1165" s="115"/>
      <c r="CW1165" s="115"/>
      <c r="CX1165" s="115"/>
      <c r="CY1165" s="115"/>
      <c r="CZ1165" s="115"/>
      <c r="DA1165" s="115"/>
      <c r="DB1165" s="115"/>
      <c r="DC1165" s="115"/>
      <c r="DD1165" s="115"/>
      <c r="DE1165" s="115"/>
      <c r="DF1165" s="115"/>
      <c r="DG1165" s="115"/>
    </row>
    <row r="1166" spans="1:111" ht="4.5" customHeight="1">
      <c r="A1166"/>
      <c r="B1166" s="49"/>
      <c r="C1166" s="49"/>
      <c r="D1166" s="49"/>
      <c r="E1166" s="49"/>
      <c r="F1166" s="49"/>
      <c r="G1166" s="49"/>
      <c r="H1166" s="49"/>
      <c r="I1166" s="49"/>
      <c r="J1166" s="49"/>
      <c r="K1166" s="49"/>
      <c r="L1166" s="49"/>
      <c r="M1166" s="49"/>
      <c r="N1166" s="49"/>
      <c r="O1166" s="49"/>
      <c r="P1166" s="49"/>
      <c r="Q1166" s="49"/>
      <c r="R1166" s="49"/>
      <c r="S1166" s="49"/>
      <c r="T1166" s="49"/>
      <c r="U1166" s="49"/>
      <c r="V1166" s="49"/>
      <c r="W1166" s="49"/>
      <c r="X1166" s="49"/>
      <c r="Y1166" s="49"/>
      <c r="Z1166" s="49"/>
      <c r="AA1166" s="49"/>
      <c r="AB1166" s="49"/>
      <c r="AC1166" s="49"/>
      <c r="AD1166" s="49"/>
      <c r="AE1166" s="49"/>
      <c r="AF1166" s="49"/>
      <c r="AG1166" s="49"/>
      <c r="AH1166" s="49"/>
      <c r="AI1166" s="49"/>
      <c r="AJ1166" s="49"/>
      <c r="AK1166" s="49"/>
      <c r="AL1166" s="49"/>
      <c r="AM1166" s="49"/>
      <c r="AN1166" s="49"/>
      <c r="AO1166" s="49"/>
      <c r="AP1166" s="49"/>
      <c r="AQ1166" s="49"/>
      <c r="AR1166" s="49"/>
      <c r="AS1166" s="49"/>
      <c r="AT1166" s="49"/>
      <c r="AU1166" s="49"/>
      <c r="AV1166" s="49"/>
      <c r="AW1166" s="49"/>
      <c r="AX1166" s="49"/>
      <c r="AY1166" s="49"/>
      <c r="AZ1166" s="49"/>
      <c r="BA1166" s="49"/>
      <c r="BB1166"/>
      <c r="BC1166" s="115"/>
      <c r="BD1166" s="115"/>
      <c r="BE1166" s="115"/>
      <c r="BF1166" s="115"/>
      <c r="BG1166" s="115"/>
      <c r="BH1166" s="124"/>
      <c r="BI1166" s="124"/>
      <c r="BJ1166" s="124"/>
      <c r="BK1166" s="124"/>
      <c r="BL1166" s="124"/>
      <c r="BM1166" s="124"/>
      <c r="BN1166" s="124"/>
      <c r="BO1166" s="124"/>
      <c r="BP1166" s="124"/>
      <c r="BQ1166" s="124"/>
      <c r="BR1166" s="124"/>
      <c r="BS1166" s="124"/>
      <c r="BT1166" s="124"/>
      <c r="BU1166" s="124"/>
      <c r="BV1166" s="124"/>
      <c r="BW1166" s="124"/>
      <c r="BX1166" s="124"/>
      <c r="BY1166" s="124"/>
      <c r="BZ1166" s="124"/>
      <c r="CA1166" s="124"/>
      <c r="CB1166" s="124"/>
      <c r="CC1166" s="124"/>
      <c r="CD1166" s="124"/>
      <c r="CE1166" s="124"/>
      <c r="CF1166" s="124"/>
      <c r="CG1166" s="124"/>
      <c r="CH1166" s="124"/>
      <c r="CI1166" s="124"/>
      <c r="CJ1166" s="124"/>
      <c r="CK1166" s="124"/>
      <c r="CL1166" s="124"/>
      <c r="CM1166" s="124"/>
      <c r="CN1166" s="124"/>
      <c r="CO1166" s="124"/>
      <c r="CP1166" s="124"/>
      <c r="CQ1166" s="124"/>
      <c r="CR1166" s="124"/>
      <c r="CS1166" s="124"/>
      <c r="CT1166" s="124"/>
      <c r="CU1166" s="124"/>
      <c r="CV1166" s="124"/>
      <c r="CW1166" s="124"/>
      <c r="CX1166" s="124"/>
      <c r="CY1166" s="124"/>
      <c r="CZ1166" s="124"/>
      <c r="DA1166" s="124"/>
      <c r="DB1166" s="124"/>
      <c r="DC1166" s="124"/>
      <c r="DD1166" s="124"/>
      <c r="DE1166" s="124"/>
      <c r="DF1166" s="124"/>
      <c r="DG1166" s="115"/>
    </row>
    <row r="1167" spans="1:111" ht="9" customHeight="1">
      <c r="A1167"/>
      <c r="B1167" s="493" t="str">
        <f>IF(B1156="","","Detalhamento do Objeto:")</f>
        <v/>
      </c>
      <c r="C1167" s="493"/>
      <c r="D1167" s="493"/>
      <c r="E1167" s="493"/>
      <c r="F1167" s="493"/>
      <c r="G1167" s="493"/>
      <c r="H1167" s="493"/>
      <c r="I1167" s="493"/>
      <c r="J1167" s="493"/>
      <c r="K1167" s="493"/>
      <c r="L1167" s="493"/>
      <c r="M1167" s="493"/>
      <c r="N1167" s="493"/>
      <c r="O1167" s="421"/>
      <c r="P1167" s="421"/>
      <c r="Q1167" s="421"/>
      <c r="R1167" s="421"/>
      <c r="S1167" s="421"/>
      <c r="T1167" s="421"/>
      <c r="U1167" s="421"/>
      <c r="V1167" s="421"/>
      <c r="W1167" s="421"/>
      <c r="X1167" s="421"/>
      <c r="Y1167" s="421"/>
      <c r="Z1167" s="421"/>
      <c r="AA1167" s="421"/>
      <c r="AB1167" s="421"/>
      <c r="AC1167" s="421"/>
      <c r="AD1167" s="421"/>
      <c r="AE1167" s="421"/>
      <c r="AF1167" s="421"/>
      <c r="AG1167" s="421"/>
      <c r="AH1167" s="421"/>
      <c r="AI1167" s="421"/>
      <c r="AJ1167" s="421"/>
      <c r="AK1167" s="421"/>
      <c r="AL1167" s="421"/>
      <c r="AM1167" s="421"/>
      <c r="AN1167" s="421"/>
      <c r="AO1167" s="421"/>
      <c r="AP1167" s="421"/>
      <c r="AQ1167" s="421"/>
      <c r="AR1167" s="421"/>
      <c r="AS1167" s="421"/>
      <c r="AT1167" s="421"/>
      <c r="AU1167" s="421"/>
      <c r="AV1167" s="421"/>
      <c r="AW1167" s="421"/>
      <c r="AX1167" s="421"/>
      <c r="AY1167" s="421"/>
      <c r="AZ1167" s="421"/>
      <c r="BA1167" s="421"/>
      <c r="BB1167"/>
      <c r="BC1167" s="115"/>
      <c r="BD1167" s="115"/>
      <c r="BE1167" s="115"/>
      <c r="BF1167" s="115"/>
      <c r="BG1167" s="115"/>
      <c r="BH1167" s="124"/>
      <c r="BI1167" s="124"/>
      <c r="BJ1167" s="124"/>
      <c r="BK1167" s="124"/>
      <c r="BL1167" s="124"/>
      <c r="BM1167" s="124"/>
      <c r="BN1167" s="124"/>
      <c r="BO1167" s="124"/>
      <c r="BP1167" s="124"/>
      <c r="BQ1167" s="124"/>
      <c r="BR1167" s="124"/>
      <c r="BS1167" s="124"/>
      <c r="BT1167" s="124"/>
      <c r="BU1167" s="124"/>
      <c r="BV1167" s="124"/>
      <c r="BW1167" s="124"/>
      <c r="BX1167" s="124"/>
      <c r="BY1167" s="124"/>
      <c r="BZ1167" s="124"/>
      <c r="CA1167" s="124"/>
      <c r="CB1167" s="124"/>
      <c r="CC1167" s="124"/>
      <c r="CD1167" s="124"/>
      <c r="CE1167" s="124"/>
      <c r="CF1167" s="124"/>
      <c r="CG1167" s="124"/>
      <c r="CH1167" s="124"/>
      <c r="CI1167" s="124"/>
      <c r="CJ1167" s="124"/>
      <c r="CK1167" s="124"/>
      <c r="CL1167" s="124"/>
      <c r="CM1167" s="124"/>
      <c r="CN1167" s="124"/>
      <c r="CO1167" s="124"/>
      <c r="CP1167" s="124"/>
      <c r="CQ1167" s="124"/>
      <c r="CR1167" s="124"/>
      <c r="CS1167" s="124"/>
      <c r="CT1167" s="124"/>
      <c r="CU1167" s="124"/>
      <c r="CV1167" s="124"/>
      <c r="CW1167" s="124"/>
      <c r="CX1167" s="124"/>
      <c r="CY1167" s="124"/>
      <c r="CZ1167" s="124"/>
      <c r="DA1167" s="124"/>
      <c r="DB1167" s="124"/>
      <c r="DC1167" s="124"/>
      <c r="DD1167" s="124"/>
      <c r="DE1167" s="124"/>
      <c r="DF1167" s="124"/>
      <c r="DG1167" s="115"/>
    </row>
    <row r="1168" spans="1:111" ht="9" customHeight="1">
      <c r="A1168"/>
      <c r="B1168" s="493"/>
      <c r="C1168" s="493"/>
      <c r="D1168" s="493"/>
      <c r="E1168" s="493"/>
      <c r="F1168" s="493"/>
      <c r="G1168" s="493"/>
      <c r="H1168" s="493"/>
      <c r="I1168" s="493"/>
      <c r="J1168" s="493"/>
      <c r="K1168" s="493"/>
      <c r="L1168" s="493"/>
      <c r="M1168" s="493"/>
      <c r="N1168" s="493"/>
      <c r="O1168" s="421"/>
      <c r="P1168" s="421"/>
      <c r="Q1168" s="421"/>
      <c r="R1168" s="421"/>
      <c r="S1168" s="421"/>
      <c r="T1168" s="421"/>
      <c r="U1168" s="421"/>
      <c r="V1168" s="421"/>
      <c r="W1168" s="421"/>
      <c r="X1168" s="421"/>
      <c r="Y1168" s="421"/>
      <c r="Z1168" s="421"/>
      <c r="AA1168" s="421"/>
      <c r="AB1168" s="421"/>
      <c r="AC1168" s="421"/>
      <c r="AD1168" s="421"/>
      <c r="AE1168" s="421"/>
      <c r="AF1168" s="421"/>
      <c r="AG1168" s="421"/>
      <c r="AH1168" s="421"/>
      <c r="AI1168" s="421"/>
      <c r="AJ1168" s="421"/>
      <c r="AK1168" s="421"/>
      <c r="AL1168" s="421"/>
      <c r="AM1168" s="421"/>
      <c r="AN1168" s="421"/>
      <c r="AO1168" s="421"/>
      <c r="AP1168" s="421"/>
      <c r="AQ1168" s="421"/>
      <c r="AR1168" s="421"/>
      <c r="AS1168" s="421"/>
      <c r="AT1168" s="421"/>
      <c r="AU1168" s="421"/>
      <c r="AV1168" s="421"/>
      <c r="AW1168" s="421"/>
      <c r="AX1168" s="421"/>
      <c r="AY1168" s="421"/>
      <c r="AZ1168" s="421"/>
      <c r="BA1168" s="421"/>
      <c r="BB1168"/>
      <c r="BC1168" s="115"/>
      <c r="BD1168" s="115"/>
      <c r="BE1168" s="115"/>
      <c r="BF1168" s="115"/>
      <c r="BG1168" s="115"/>
      <c r="BH1168" s="124"/>
      <c r="BI1168" s="124"/>
      <c r="BJ1168" s="124"/>
      <c r="BK1168" s="124"/>
      <c r="BL1168" s="124"/>
      <c r="BM1168" s="124"/>
      <c r="BN1168" s="124"/>
      <c r="BO1168" s="124"/>
      <c r="BP1168" s="124"/>
      <c r="BQ1168" s="124"/>
      <c r="BR1168" s="124"/>
      <c r="BS1168" s="124"/>
      <c r="BT1168" s="124"/>
      <c r="BU1168" s="124"/>
      <c r="BV1168" s="124"/>
      <c r="BW1168" s="124"/>
      <c r="BX1168" s="124"/>
      <c r="BY1168" s="124"/>
      <c r="BZ1168" s="124"/>
      <c r="CA1168" s="124"/>
      <c r="CB1168" s="124"/>
      <c r="CC1168" s="124"/>
      <c r="CD1168" s="124"/>
      <c r="CE1168" s="124"/>
      <c r="CF1168" s="124"/>
      <c r="CG1168" s="124"/>
      <c r="CH1168" s="124"/>
      <c r="CI1168" s="124"/>
      <c r="CJ1168" s="124"/>
      <c r="CK1168" s="124"/>
      <c r="CL1168" s="124"/>
      <c r="CM1168" s="124"/>
      <c r="CN1168" s="124"/>
      <c r="CO1168" s="124"/>
      <c r="CP1168" s="124"/>
      <c r="CQ1168" s="124"/>
      <c r="CR1168" s="124"/>
      <c r="CS1168" s="124"/>
      <c r="CT1168" s="124"/>
      <c r="CU1168" s="124"/>
      <c r="CV1168" s="124"/>
      <c r="CW1168" s="124"/>
      <c r="CX1168" s="124"/>
      <c r="CY1168" s="124"/>
      <c r="CZ1168" s="124"/>
      <c r="DA1168" s="124"/>
      <c r="DB1168" s="124"/>
      <c r="DC1168" s="124"/>
      <c r="DD1168" s="124"/>
      <c r="DE1168" s="124"/>
      <c r="DF1168" s="124"/>
      <c r="DG1168" s="115"/>
    </row>
    <row r="1169" spans="1:111" ht="9" customHeight="1">
      <c r="A1169"/>
      <c r="B1169" s="143"/>
      <c r="C1169" s="143"/>
      <c r="D1169" s="143"/>
      <c r="E1169" s="143"/>
      <c r="F1169" s="143"/>
      <c r="G1169" s="143"/>
      <c r="H1169" s="143"/>
      <c r="I1169" s="143"/>
      <c r="J1169" s="143"/>
      <c r="K1169" s="143"/>
      <c r="L1169" s="143"/>
      <c r="M1169" s="143"/>
      <c r="N1169" s="143"/>
      <c r="O1169" s="421"/>
      <c r="P1169" s="421"/>
      <c r="Q1169" s="421"/>
      <c r="R1169" s="421"/>
      <c r="S1169" s="421"/>
      <c r="T1169" s="421"/>
      <c r="U1169" s="421"/>
      <c r="V1169" s="421"/>
      <c r="W1169" s="421"/>
      <c r="X1169" s="421"/>
      <c r="Y1169" s="421"/>
      <c r="Z1169" s="421"/>
      <c r="AA1169" s="421"/>
      <c r="AB1169" s="421"/>
      <c r="AC1169" s="421"/>
      <c r="AD1169" s="421"/>
      <c r="AE1169" s="421"/>
      <c r="AF1169" s="421"/>
      <c r="AG1169" s="421"/>
      <c r="AH1169" s="421"/>
      <c r="AI1169" s="421"/>
      <c r="AJ1169" s="421"/>
      <c r="AK1169" s="421"/>
      <c r="AL1169" s="421"/>
      <c r="AM1169" s="421"/>
      <c r="AN1169" s="421"/>
      <c r="AO1169" s="421"/>
      <c r="AP1169" s="421"/>
      <c r="AQ1169" s="421"/>
      <c r="AR1169" s="421"/>
      <c r="AS1169" s="421"/>
      <c r="AT1169" s="421"/>
      <c r="AU1169" s="421"/>
      <c r="AV1169" s="421"/>
      <c r="AW1169" s="421"/>
      <c r="AX1169" s="421"/>
      <c r="AY1169" s="421"/>
      <c r="AZ1169" s="421"/>
      <c r="BA1169" s="421"/>
      <c r="BB1169"/>
      <c r="BC1169" s="115"/>
      <c r="BD1169" s="115"/>
      <c r="BE1169" s="115"/>
      <c r="BF1169" s="115"/>
      <c r="BG1169" s="115"/>
      <c r="BH1169" s="138"/>
      <c r="BI1169" s="138"/>
      <c r="BJ1169" s="138"/>
      <c r="BK1169" s="138"/>
      <c r="BL1169" s="138"/>
      <c r="BM1169" s="138"/>
      <c r="BN1169" s="138"/>
      <c r="BO1169" s="138"/>
      <c r="BP1169" s="138"/>
      <c r="BQ1169" s="138"/>
      <c r="BR1169" s="138"/>
      <c r="BS1169" s="138"/>
      <c r="BT1169" s="138"/>
      <c r="BU1169" s="138"/>
      <c r="BV1169" s="138"/>
      <c r="BW1169" s="138"/>
      <c r="BX1169" s="138"/>
      <c r="BY1169" s="138"/>
      <c r="BZ1169" s="138"/>
      <c r="CA1169" s="138"/>
      <c r="CB1169" s="138"/>
      <c r="CC1169" s="138"/>
      <c r="CD1169" s="138"/>
      <c r="CE1169" s="138"/>
      <c r="CF1169" s="138"/>
      <c r="CG1169" s="138"/>
      <c r="CH1169" s="138"/>
      <c r="CI1169" s="138"/>
      <c r="CJ1169" s="138"/>
      <c r="CK1169" s="138"/>
      <c r="CL1169" s="138"/>
      <c r="CM1169" s="138"/>
      <c r="CN1169" s="138"/>
      <c r="CO1169" s="138"/>
      <c r="CP1169" s="138"/>
      <c r="CQ1169" s="138"/>
      <c r="CR1169" s="138"/>
      <c r="CS1169" s="138"/>
      <c r="CT1169" s="138"/>
      <c r="CU1169" s="138"/>
      <c r="CV1169" s="138"/>
      <c r="CW1169" s="138"/>
      <c r="CX1169" s="138"/>
      <c r="CY1169" s="138"/>
      <c r="CZ1169" s="138"/>
      <c r="DA1169" s="138"/>
      <c r="DB1169" s="138"/>
      <c r="DC1169" s="138"/>
      <c r="DD1169" s="138"/>
      <c r="DE1169" s="138"/>
      <c r="DF1169" s="138"/>
      <c r="DG1169" s="115"/>
    </row>
    <row r="1170" spans="1:111" ht="9" customHeight="1">
      <c r="A1170"/>
      <c r="B1170" s="143"/>
      <c r="C1170" s="143"/>
      <c r="D1170" s="143"/>
      <c r="E1170" s="143"/>
      <c r="F1170" s="143"/>
      <c r="G1170" s="143"/>
      <c r="H1170" s="143"/>
      <c r="I1170" s="143"/>
      <c r="J1170" s="143"/>
      <c r="K1170" s="143"/>
      <c r="L1170" s="143"/>
      <c r="M1170" s="143"/>
      <c r="N1170" s="143"/>
      <c r="O1170" s="421"/>
      <c r="P1170" s="421"/>
      <c r="Q1170" s="421"/>
      <c r="R1170" s="421"/>
      <c r="S1170" s="421"/>
      <c r="T1170" s="421"/>
      <c r="U1170" s="421"/>
      <c r="V1170" s="421"/>
      <c r="W1170" s="421"/>
      <c r="X1170" s="421"/>
      <c r="Y1170" s="421"/>
      <c r="Z1170" s="421"/>
      <c r="AA1170" s="421"/>
      <c r="AB1170" s="421"/>
      <c r="AC1170" s="421"/>
      <c r="AD1170" s="421"/>
      <c r="AE1170" s="421"/>
      <c r="AF1170" s="421"/>
      <c r="AG1170" s="421"/>
      <c r="AH1170" s="421"/>
      <c r="AI1170" s="421"/>
      <c r="AJ1170" s="421"/>
      <c r="AK1170" s="421"/>
      <c r="AL1170" s="421"/>
      <c r="AM1170" s="421"/>
      <c r="AN1170" s="421"/>
      <c r="AO1170" s="421"/>
      <c r="AP1170" s="421"/>
      <c r="AQ1170" s="421"/>
      <c r="AR1170" s="421"/>
      <c r="AS1170" s="421"/>
      <c r="AT1170" s="421"/>
      <c r="AU1170" s="421"/>
      <c r="AV1170" s="421"/>
      <c r="AW1170" s="421"/>
      <c r="AX1170" s="421"/>
      <c r="AY1170" s="421"/>
      <c r="AZ1170" s="421"/>
      <c r="BA1170" s="421"/>
      <c r="BB1170"/>
      <c r="BC1170" s="115"/>
      <c r="BD1170" s="115"/>
      <c r="BE1170" s="115"/>
      <c r="BF1170" s="115"/>
      <c r="BG1170" s="115"/>
      <c r="BH1170" s="138"/>
      <c r="BI1170" s="138"/>
      <c r="BJ1170" s="138"/>
      <c r="BK1170" s="138"/>
      <c r="BL1170" s="138"/>
      <c r="BM1170" s="138"/>
      <c r="BN1170" s="138"/>
      <c r="BO1170" s="138"/>
      <c r="BP1170" s="138"/>
      <c r="BQ1170" s="138"/>
      <c r="BR1170" s="138"/>
      <c r="BS1170" s="138"/>
      <c r="BT1170" s="138"/>
      <c r="BU1170" s="138"/>
      <c r="BV1170" s="138"/>
      <c r="BW1170" s="138"/>
      <c r="BX1170" s="138"/>
      <c r="BY1170" s="138"/>
      <c r="BZ1170" s="138"/>
      <c r="CA1170" s="138"/>
      <c r="CB1170" s="138"/>
      <c r="CC1170" s="138"/>
      <c r="CD1170" s="138"/>
      <c r="CE1170" s="138"/>
      <c r="CF1170" s="138"/>
      <c r="CG1170" s="138"/>
      <c r="CH1170" s="138"/>
      <c r="CI1170" s="138"/>
      <c r="CJ1170" s="138"/>
      <c r="CK1170" s="138"/>
      <c r="CL1170" s="138"/>
      <c r="CM1170" s="138"/>
      <c r="CN1170" s="138"/>
      <c r="CO1170" s="138"/>
      <c r="CP1170" s="138"/>
      <c r="CQ1170" s="138"/>
      <c r="CR1170" s="138"/>
      <c r="CS1170" s="138"/>
      <c r="CT1170" s="138"/>
      <c r="CU1170" s="138"/>
      <c r="CV1170" s="138"/>
      <c r="CW1170" s="138"/>
      <c r="CX1170" s="138"/>
      <c r="CY1170" s="138"/>
      <c r="CZ1170" s="138"/>
      <c r="DA1170" s="138"/>
      <c r="DB1170" s="138"/>
      <c r="DC1170" s="138"/>
      <c r="DD1170" s="138"/>
      <c r="DE1170" s="138"/>
      <c r="DF1170" s="138"/>
      <c r="DG1170" s="115"/>
    </row>
    <row r="1171" spans="1:111" ht="9" customHeight="1">
      <c r="A1171"/>
      <c r="B1171" s="143"/>
      <c r="C1171" s="143"/>
      <c r="D1171" s="143"/>
      <c r="E1171" s="143"/>
      <c r="F1171" s="143"/>
      <c r="G1171" s="143"/>
      <c r="H1171" s="143"/>
      <c r="I1171" s="143"/>
      <c r="J1171" s="143"/>
      <c r="K1171" s="143"/>
      <c r="L1171" s="143"/>
      <c r="M1171" s="143"/>
      <c r="N1171" s="143"/>
      <c r="O1171" s="421"/>
      <c r="P1171" s="421"/>
      <c r="Q1171" s="421"/>
      <c r="R1171" s="421"/>
      <c r="S1171" s="421"/>
      <c r="T1171" s="421"/>
      <c r="U1171" s="421"/>
      <c r="V1171" s="421"/>
      <c r="W1171" s="421"/>
      <c r="X1171" s="421"/>
      <c r="Y1171" s="421"/>
      <c r="Z1171" s="421"/>
      <c r="AA1171" s="421"/>
      <c r="AB1171" s="421"/>
      <c r="AC1171" s="421"/>
      <c r="AD1171" s="421"/>
      <c r="AE1171" s="421"/>
      <c r="AF1171" s="421"/>
      <c r="AG1171" s="421"/>
      <c r="AH1171" s="421"/>
      <c r="AI1171" s="421"/>
      <c r="AJ1171" s="421"/>
      <c r="AK1171" s="421"/>
      <c r="AL1171" s="421"/>
      <c r="AM1171" s="421"/>
      <c r="AN1171" s="421"/>
      <c r="AO1171" s="421"/>
      <c r="AP1171" s="421"/>
      <c r="AQ1171" s="421"/>
      <c r="AR1171" s="421"/>
      <c r="AS1171" s="421"/>
      <c r="AT1171" s="421"/>
      <c r="AU1171" s="421"/>
      <c r="AV1171" s="421"/>
      <c r="AW1171" s="421"/>
      <c r="AX1171" s="421"/>
      <c r="AY1171" s="421"/>
      <c r="AZ1171" s="421"/>
      <c r="BA1171" s="421"/>
      <c r="BB1171"/>
      <c r="BC1171" s="115"/>
      <c r="BD1171" s="115"/>
      <c r="BE1171" s="115"/>
      <c r="BF1171" s="115"/>
      <c r="BG1171" s="115"/>
      <c r="BH1171" s="138"/>
      <c r="BI1171" s="138"/>
      <c r="BJ1171" s="138"/>
      <c r="BK1171" s="138"/>
      <c r="BL1171" s="138"/>
      <c r="BM1171" s="138"/>
      <c r="BN1171" s="138"/>
      <c r="BO1171" s="138"/>
      <c r="BP1171" s="138"/>
      <c r="BQ1171" s="138"/>
      <c r="BR1171" s="138"/>
      <c r="BS1171" s="138"/>
      <c r="BT1171" s="138"/>
      <c r="BU1171" s="138"/>
      <c r="BV1171" s="138"/>
      <c r="BW1171" s="138"/>
      <c r="BX1171" s="138"/>
      <c r="BY1171" s="138"/>
      <c r="BZ1171" s="138"/>
      <c r="CA1171" s="138"/>
      <c r="CB1171" s="138"/>
      <c r="CC1171" s="138"/>
      <c r="CD1171" s="138"/>
      <c r="CE1171" s="138"/>
      <c r="CF1171" s="138"/>
      <c r="CG1171" s="138"/>
      <c r="CH1171" s="138"/>
      <c r="CI1171" s="138"/>
      <c r="CJ1171" s="138"/>
      <c r="CK1171" s="138"/>
      <c r="CL1171" s="138"/>
      <c r="CM1171" s="138"/>
      <c r="CN1171" s="138"/>
      <c r="CO1171" s="138"/>
      <c r="CP1171" s="138"/>
      <c r="CQ1171" s="138"/>
      <c r="CR1171" s="138"/>
      <c r="CS1171" s="138"/>
      <c r="CT1171" s="138"/>
      <c r="CU1171" s="138"/>
      <c r="CV1171" s="138"/>
      <c r="CW1171" s="138"/>
      <c r="CX1171" s="138"/>
      <c r="CY1171" s="138"/>
      <c r="CZ1171" s="138"/>
      <c r="DA1171" s="138"/>
      <c r="DB1171" s="138"/>
      <c r="DC1171" s="138"/>
      <c r="DD1171" s="138"/>
      <c r="DE1171" s="138"/>
      <c r="DF1171" s="138"/>
      <c r="DG1171" s="115"/>
    </row>
    <row r="1172" spans="1:111" ht="9" customHeight="1">
      <c r="A1172"/>
      <c r="B1172" s="143"/>
      <c r="C1172" s="143"/>
      <c r="D1172" s="143"/>
      <c r="E1172" s="143"/>
      <c r="F1172" s="143"/>
      <c r="G1172" s="143"/>
      <c r="H1172" s="143"/>
      <c r="I1172" s="143"/>
      <c r="J1172" s="143"/>
      <c r="K1172" s="143"/>
      <c r="L1172" s="143"/>
      <c r="M1172" s="143"/>
      <c r="N1172" s="143"/>
      <c r="O1172" s="421"/>
      <c r="P1172" s="421"/>
      <c r="Q1172" s="421"/>
      <c r="R1172" s="421"/>
      <c r="S1172" s="421"/>
      <c r="T1172" s="421"/>
      <c r="U1172" s="421"/>
      <c r="V1172" s="421"/>
      <c r="W1172" s="421"/>
      <c r="X1172" s="421"/>
      <c r="Y1172" s="421"/>
      <c r="Z1172" s="421"/>
      <c r="AA1172" s="421"/>
      <c r="AB1172" s="421"/>
      <c r="AC1172" s="421"/>
      <c r="AD1172" s="421"/>
      <c r="AE1172" s="421"/>
      <c r="AF1172" s="421"/>
      <c r="AG1172" s="421"/>
      <c r="AH1172" s="421"/>
      <c r="AI1172" s="421"/>
      <c r="AJ1172" s="421"/>
      <c r="AK1172" s="421"/>
      <c r="AL1172" s="421"/>
      <c r="AM1172" s="421"/>
      <c r="AN1172" s="421"/>
      <c r="AO1172" s="421"/>
      <c r="AP1172" s="421"/>
      <c r="AQ1172" s="421"/>
      <c r="AR1172" s="421"/>
      <c r="AS1172" s="421"/>
      <c r="AT1172" s="421"/>
      <c r="AU1172" s="421"/>
      <c r="AV1172" s="421"/>
      <c r="AW1172" s="421"/>
      <c r="AX1172" s="421"/>
      <c r="AY1172" s="421"/>
      <c r="AZ1172" s="421"/>
      <c r="BA1172" s="421"/>
      <c r="BB1172"/>
      <c r="BC1172" s="115"/>
      <c r="BD1172" s="115"/>
      <c r="BE1172" s="115"/>
      <c r="BF1172" s="115"/>
      <c r="BG1172" s="115"/>
      <c r="BH1172" s="138"/>
      <c r="BI1172" s="138"/>
      <c r="BJ1172" s="138"/>
      <c r="BK1172" s="138"/>
      <c r="BL1172" s="138"/>
      <c r="BM1172" s="138"/>
      <c r="BN1172" s="138"/>
      <c r="BO1172" s="138"/>
      <c r="BP1172" s="138"/>
      <c r="BQ1172" s="138"/>
      <c r="BR1172" s="138"/>
      <c r="BS1172" s="138"/>
      <c r="BT1172" s="138"/>
      <c r="BU1172" s="138"/>
      <c r="BV1172" s="138"/>
      <c r="BW1172" s="138"/>
      <c r="BX1172" s="138"/>
      <c r="BY1172" s="138"/>
      <c r="BZ1172" s="138"/>
      <c r="CA1172" s="138"/>
      <c r="CB1172" s="138"/>
      <c r="CC1172" s="138"/>
      <c r="CD1172" s="138"/>
      <c r="CE1172" s="138"/>
      <c r="CF1172" s="138"/>
      <c r="CG1172" s="138"/>
      <c r="CH1172" s="138"/>
      <c r="CI1172" s="138"/>
      <c r="CJ1172" s="138"/>
      <c r="CK1172" s="138"/>
      <c r="CL1172" s="138"/>
      <c r="CM1172" s="138"/>
      <c r="CN1172" s="138"/>
      <c r="CO1172" s="138"/>
      <c r="CP1172" s="138"/>
      <c r="CQ1172" s="138"/>
      <c r="CR1172" s="138"/>
      <c r="CS1172" s="138"/>
      <c r="CT1172" s="138"/>
      <c r="CU1172" s="138"/>
      <c r="CV1172" s="138"/>
      <c r="CW1172" s="138"/>
      <c r="CX1172" s="138"/>
      <c r="CY1172" s="138"/>
      <c r="CZ1172" s="138"/>
      <c r="DA1172" s="138"/>
      <c r="DB1172" s="138"/>
      <c r="DC1172" s="138"/>
      <c r="DD1172" s="138"/>
      <c r="DE1172" s="138"/>
      <c r="DF1172" s="138"/>
      <c r="DG1172" s="115"/>
    </row>
    <row r="1173" spans="1:111" ht="9" customHeight="1">
      <c r="A1173"/>
      <c r="B1173" s="143"/>
      <c r="C1173" s="143"/>
      <c r="D1173" s="143"/>
      <c r="E1173" s="143"/>
      <c r="F1173" s="143"/>
      <c r="G1173" s="143"/>
      <c r="H1173" s="143"/>
      <c r="I1173" s="143"/>
      <c r="J1173" s="143"/>
      <c r="K1173" s="143"/>
      <c r="L1173" s="143"/>
      <c r="M1173" s="143"/>
      <c r="N1173" s="143"/>
      <c r="O1173" s="421"/>
      <c r="P1173" s="421"/>
      <c r="Q1173" s="421"/>
      <c r="R1173" s="421"/>
      <c r="S1173" s="421"/>
      <c r="T1173" s="421"/>
      <c r="U1173" s="421"/>
      <c r="V1173" s="421"/>
      <c r="W1173" s="421"/>
      <c r="X1173" s="421"/>
      <c r="Y1173" s="421"/>
      <c r="Z1173" s="421"/>
      <c r="AA1173" s="421"/>
      <c r="AB1173" s="421"/>
      <c r="AC1173" s="421"/>
      <c r="AD1173" s="421"/>
      <c r="AE1173" s="421"/>
      <c r="AF1173" s="421"/>
      <c r="AG1173" s="421"/>
      <c r="AH1173" s="421"/>
      <c r="AI1173" s="421"/>
      <c r="AJ1173" s="421"/>
      <c r="AK1173" s="421"/>
      <c r="AL1173" s="421"/>
      <c r="AM1173" s="421"/>
      <c r="AN1173" s="421"/>
      <c r="AO1173" s="421"/>
      <c r="AP1173" s="421"/>
      <c r="AQ1173" s="421"/>
      <c r="AR1173" s="421"/>
      <c r="AS1173" s="421"/>
      <c r="AT1173" s="421"/>
      <c r="AU1173" s="421"/>
      <c r="AV1173" s="421"/>
      <c r="AW1173" s="421"/>
      <c r="AX1173" s="421"/>
      <c r="AY1173" s="421"/>
      <c r="AZ1173" s="421"/>
      <c r="BA1173" s="421"/>
      <c r="BB1173"/>
      <c r="BC1173" s="115"/>
      <c r="BD1173" s="115"/>
      <c r="BE1173" s="115"/>
      <c r="BF1173" s="115"/>
      <c r="BG1173" s="115"/>
      <c r="BH1173" s="138"/>
      <c r="BI1173" s="138"/>
      <c r="BJ1173" s="138"/>
      <c r="BK1173" s="138"/>
      <c r="BL1173" s="138"/>
      <c r="BM1173" s="138"/>
      <c r="BN1173" s="138"/>
      <c r="BO1173" s="138"/>
      <c r="BP1173" s="138"/>
      <c r="BQ1173" s="138"/>
      <c r="BR1173" s="138"/>
      <c r="BS1173" s="138"/>
      <c r="BT1173" s="138"/>
      <c r="BU1173" s="138"/>
      <c r="BV1173" s="138"/>
      <c r="BW1173" s="138"/>
      <c r="BX1173" s="138"/>
      <c r="BY1173" s="138"/>
      <c r="BZ1173" s="138"/>
      <c r="CA1173" s="138"/>
      <c r="CB1173" s="138"/>
      <c r="CC1173" s="138"/>
      <c r="CD1173" s="138"/>
      <c r="CE1173" s="138"/>
      <c r="CF1173" s="138"/>
      <c r="CG1173" s="138"/>
      <c r="CH1173" s="138"/>
      <c r="CI1173" s="138"/>
      <c r="CJ1173" s="138"/>
      <c r="CK1173" s="138"/>
      <c r="CL1173" s="138"/>
      <c r="CM1173" s="138"/>
      <c r="CN1173" s="138"/>
      <c r="CO1173" s="138"/>
      <c r="CP1173" s="138"/>
      <c r="CQ1173" s="138"/>
      <c r="CR1173" s="138"/>
      <c r="CS1173" s="138"/>
      <c r="CT1173" s="138"/>
      <c r="CU1173" s="138"/>
      <c r="CV1173" s="138"/>
      <c r="CW1173" s="138"/>
      <c r="CX1173" s="138"/>
      <c r="CY1173" s="138"/>
      <c r="CZ1173" s="138"/>
      <c r="DA1173" s="138"/>
      <c r="DB1173" s="138"/>
      <c r="DC1173" s="138"/>
      <c r="DD1173" s="138"/>
      <c r="DE1173" s="138"/>
      <c r="DF1173" s="138"/>
      <c r="DG1173" s="115"/>
    </row>
    <row r="1174" spans="1:111" ht="9" customHeight="1">
      <c r="A1174"/>
      <c r="B1174" s="49"/>
      <c r="C1174" s="49"/>
      <c r="D1174" s="49"/>
      <c r="E1174" s="49"/>
      <c r="F1174" s="49"/>
      <c r="G1174" s="49"/>
      <c r="H1174" s="49"/>
      <c r="I1174" s="49"/>
      <c r="J1174" s="49"/>
      <c r="K1174" s="49"/>
      <c r="L1174" s="49"/>
      <c r="M1174" s="49"/>
      <c r="N1174" s="49"/>
      <c r="O1174" s="421"/>
      <c r="P1174" s="421"/>
      <c r="Q1174" s="421"/>
      <c r="R1174" s="421"/>
      <c r="S1174" s="421"/>
      <c r="T1174" s="421"/>
      <c r="U1174" s="421"/>
      <c r="V1174" s="421"/>
      <c r="W1174" s="421"/>
      <c r="X1174" s="421"/>
      <c r="Y1174" s="421"/>
      <c r="Z1174" s="421"/>
      <c r="AA1174" s="421"/>
      <c r="AB1174" s="421"/>
      <c r="AC1174" s="421"/>
      <c r="AD1174" s="421"/>
      <c r="AE1174" s="421"/>
      <c r="AF1174" s="421"/>
      <c r="AG1174" s="421"/>
      <c r="AH1174" s="421"/>
      <c r="AI1174" s="421"/>
      <c r="AJ1174" s="421"/>
      <c r="AK1174" s="421"/>
      <c r="AL1174" s="421"/>
      <c r="AM1174" s="421"/>
      <c r="AN1174" s="421"/>
      <c r="AO1174" s="421"/>
      <c r="AP1174" s="421"/>
      <c r="AQ1174" s="421"/>
      <c r="AR1174" s="421"/>
      <c r="AS1174" s="421"/>
      <c r="AT1174" s="421"/>
      <c r="AU1174" s="421"/>
      <c r="AV1174" s="421"/>
      <c r="AW1174" s="421"/>
      <c r="AX1174" s="421"/>
      <c r="AY1174" s="421"/>
      <c r="AZ1174" s="421"/>
      <c r="BA1174" s="421"/>
      <c r="BB1174"/>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c r="BY1174" s="115"/>
      <c r="BZ1174" s="115"/>
      <c r="CA1174" s="115"/>
      <c r="CB1174" s="115"/>
      <c r="CC1174" s="115"/>
      <c r="CD1174" s="115"/>
      <c r="CE1174" s="115"/>
      <c r="CF1174" s="115"/>
      <c r="CG1174" s="115"/>
      <c r="CH1174" s="115"/>
      <c r="CI1174" s="115"/>
      <c r="CJ1174" s="115"/>
      <c r="CK1174" s="115"/>
      <c r="CL1174" s="115"/>
      <c r="CM1174" s="115"/>
      <c r="CN1174" s="115"/>
      <c r="CO1174" s="115"/>
      <c r="CP1174" s="115"/>
      <c r="CQ1174" s="115"/>
      <c r="CR1174" s="115"/>
      <c r="CS1174" s="115"/>
      <c r="CT1174" s="115"/>
      <c r="CU1174" s="115"/>
      <c r="CV1174" s="115"/>
      <c r="CW1174" s="115"/>
      <c r="CX1174" s="115"/>
      <c r="CY1174" s="115"/>
      <c r="CZ1174" s="115"/>
      <c r="DA1174" s="115"/>
      <c r="DB1174" s="115"/>
      <c r="DC1174" s="115"/>
      <c r="DD1174" s="115"/>
      <c r="DE1174" s="115"/>
      <c r="DF1174" s="115"/>
      <c r="DG1174" s="115"/>
    </row>
    <row r="1175" spans="1:111" ht="4.5" customHeight="1">
      <c r="A1175"/>
      <c r="B1175" s="49"/>
      <c r="C1175" s="49"/>
      <c r="D1175" s="49"/>
      <c r="E1175" s="49"/>
      <c r="F1175" s="49"/>
      <c r="G1175" s="49"/>
      <c r="H1175" s="49"/>
      <c r="I1175" s="49"/>
      <c r="J1175" s="49"/>
      <c r="K1175" s="49"/>
      <c r="L1175" s="49"/>
      <c r="M1175" s="49"/>
      <c r="N1175" s="49"/>
      <c r="O1175" s="49"/>
      <c r="P1175" s="49"/>
      <c r="Q1175" s="49"/>
      <c r="R1175" s="49"/>
      <c r="S1175" s="49"/>
      <c r="T1175" s="49"/>
      <c r="U1175" s="49"/>
      <c r="V1175" s="49"/>
      <c r="W1175" s="49"/>
      <c r="X1175" s="49"/>
      <c r="Y1175" s="49"/>
      <c r="Z1175" s="49"/>
      <c r="AA1175" s="49"/>
      <c r="AB1175" s="49"/>
      <c r="AC1175" s="49"/>
      <c r="AD1175" s="49"/>
      <c r="AE1175" s="49"/>
      <c r="AF1175" s="49"/>
      <c r="AG1175" s="49"/>
      <c r="AH1175" s="49"/>
      <c r="AI1175" s="49"/>
      <c r="AJ1175" s="49"/>
      <c r="AK1175" s="49"/>
      <c r="AL1175" s="49"/>
      <c r="AM1175" s="49"/>
      <c r="AN1175" s="49"/>
      <c r="AO1175" s="49"/>
      <c r="AP1175" s="49"/>
      <c r="AQ1175" s="49"/>
      <c r="AR1175" s="49"/>
      <c r="AS1175" s="49"/>
      <c r="AT1175" s="49"/>
      <c r="AU1175" s="49"/>
      <c r="AV1175" s="49"/>
      <c r="AW1175" s="49"/>
      <c r="AX1175" s="49"/>
      <c r="AY1175" s="49"/>
      <c r="AZ1175" s="49"/>
      <c r="BA1175" s="49"/>
      <c r="BB1175"/>
      <c r="BC1175" s="115"/>
      <c r="BD1175" s="115"/>
      <c r="BE1175" s="115"/>
      <c r="BF1175" s="115"/>
      <c r="BG1175" s="115"/>
      <c r="BH1175" s="124"/>
      <c r="BI1175" s="124"/>
      <c r="BJ1175" s="124"/>
      <c r="BK1175" s="124"/>
      <c r="BL1175" s="124"/>
      <c r="BM1175" s="124"/>
      <c r="BN1175" s="124"/>
      <c r="BO1175" s="124"/>
      <c r="BP1175" s="124"/>
      <c r="BQ1175" s="124"/>
      <c r="BR1175" s="124"/>
      <c r="BS1175" s="124"/>
      <c r="BT1175" s="124"/>
      <c r="BU1175" s="124"/>
      <c r="BV1175" s="124"/>
      <c r="BW1175" s="124"/>
      <c r="BX1175" s="124"/>
      <c r="BY1175" s="124"/>
      <c r="BZ1175" s="124"/>
      <c r="CA1175" s="124"/>
      <c r="CB1175" s="124"/>
      <c r="CC1175" s="124"/>
      <c r="CD1175" s="124"/>
      <c r="CE1175" s="124"/>
      <c r="CF1175" s="124"/>
      <c r="CG1175" s="124"/>
      <c r="CH1175" s="124"/>
      <c r="CI1175" s="124"/>
      <c r="CJ1175" s="124"/>
      <c r="CK1175" s="124"/>
      <c r="CL1175" s="124"/>
      <c r="CM1175" s="124"/>
      <c r="CN1175" s="124"/>
      <c r="CO1175" s="124"/>
      <c r="CP1175" s="124"/>
      <c r="CQ1175" s="124"/>
      <c r="CR1175" s="124"/>
      <c r="CS1175" s="124"/>
      <c r="CT1175" s="124"/>
      <c r="CU1175" s="124"/>
      <c r="CV1175" s="124"/>
      <c r="CW1175" s="124"/>
      <c r="CX1175" s="124"/>
      <c r="CY1175" s="124"/>
      <c r="CZ1175" s="124"/>
      <c r="DA1175" s="124"/>
      <c r="DB1175" s="124"/>
      <c r="DC1175" s="124"/>
      <c r="DD1175" s="124"/>
      <c r="DE1175" s="124"/>
      <c r="DF1175" s="124"/>
      <c r="DG1175" s="115"/>
    </row>
    <row r="1176" spans="1:111" ht="9" customHeight="1">
      <c r="A1176"/>
      <c r="B1176" s="493" t="str">
        <f>IF(B1156="","","Justificativa:")</f>
        <v/>
      </c>
      <c r="C1176" s="493"/>
      <c r="D1176" s="493"/>
      <c r="E1176" s="493"/>
      <c r="F1176" s="493"/>
      <c r="G1176" s="493"/>
      <c r="H1176" s="493"/>
      <c r="I1176" s="493"/>
      <c r="J1176" s="493"/>
      <c r="K1176" s="493"/>
      <c r="L1176" s="493"/>
      <c r="M1176" s="493"/>
      <c r="N1176" s="493"/>
      <c r="O1176" s="421"/>
      <c r="P1176" s="421"/>
      <c r="Q1176" s="421"/>
      <c r="R1176" s="421"/>
      <c r="S1176" s="421"/>
      <c r="T1176" s="421"/>
      <c r="U1176" s="421"/>
      <c r="V1176" s="421"/>
      <c r="W1176" s="421"/>
      <c r="X1176" s="421"/>
      <c r="Y1176" s="421"/>
      <c r="Z1176" s="421"/>
      <c r="AA1176" s="421"/>
      <c r="AB1176" s="421"/>
      <c r="AC1176" s="421"/>
      <c r="AD1176" s="421"/>
      <c r="AE1176" s="421"/>
      <c r="AF1176" s="421"/>
      <c r="AG1176" s="421"/>
      <c r="AH1176" s="421"/>
      <c r="AI1176" s="421"/>
      <c r="AJ1176" s="421"/>
      <c r="AK1176" s="421"/>
      <c r="AL1176" s="421"/>
      <c r="AM1176" s="421"/>
      <c r="AN1176" s="421"/>
      <c r="AO1176" s="421"/>
      <c r="AP1176" s="421"/>
      <c r="AQ1176" s="421"/>
      <c r="AR1176" s="421"/>
      <c r="AS1176" s="421"/>
      <c r="AT1176" s="421"/>
      <c r="AU1176" s="421"/>
      <c r="AV1176" s="421"/>
      <c r="AW1176" s="421"/>
      <c r="AX1176" s="421"/>
      <c r="AY1176" s="421"/>
      <c r="AZ1176" s="421"/>
      <c r="BA1176" s="421"/>
      <c r="BB1176"/>
      <c r="BC1176" s="115"/>
      <c r="BD1176" s="115"/>
      <c r="BE1176" s="115"/>
      <c r="BF1176" s="115"/>
      <c r="BG1176" s="115"/>
      <c r="BH1176" s="124"/>
      <c r="BI1176" s="124"/>
      <c r="BJ1176" s="124"/>
      <c r="BK1176" s="124"/>
      <c r="BL1176" s="124"/>
      <c r="BM1176" s="124"/>
      <c r="BN1176" s="124"/>
      <c r="BO1176" s="124"/>
      <c r="BP1176" s="124"/>
      <c r="BQ1176" s="124"/>
      <c r="BR1176" s="124"/>
      <c r="BS1176" s="124"/>
      <c r="BT1176" s="124"/>
      <c r="BU1176" s="124"/>
      <c r="BV1176" s="124"/>
      <c r="BW1176" s="124"/>
      <c r="BX1176" s="124"/>
      <c r="BY1176" s="124"/>
      <c r="BZ1176" s="124"/>
      <c r="CA1176" s="124"/>
      <c r="CB1176" s="124"/>
      <c r="CC1176" s="124"/>
      <c r="CD1176" s="124"/>
      <c r="CE1176" s="124"/>
      <c r="CF1176" s="124"/>
      <c r="CG1176" s="124"/>
      <c r="CH1176" s="124"/>
      <c r="CI1176" s="124"/>
      <c r="CJ1176" s="124"/>
      <c r="CK1176" s="124"/>
      <c r="CL1176" s="124"/>
      <c r="CM1176" s="124"/>
      <c r="CN1176" s="124"/>
      <c r="CO1176" s="124"/>
      <c r="CP1176" s="124"/>
      <c r="CQ1176" s="124"/>
      <c r="CR1176" s="124"/>
      <c r="CS1176" s="124"/>
      <c r="CT1176" s="124"/>
      <c r="CU1176" s="124"/>
      <c r="CV1176" s="124"/>
      <c r="CW1176" s="124"/>
      <c r="CX1176" s="124"/>
      <c r="CY1176" s="124"/>
      <c r="CZ1176" s="124"/>
      <c r="DA1176" s="124"/>
      <c r="DB1176" s="124"/>
      <c r="DC1176" s="124"/>
      <c r="DD1176" s="124"/>
      <c r="DE1176" s="124"/>
      <c r="DF1176" s="124"/>
      <c r="DG1176" s="115"/>
    </row>
    <row r="1177" spans="1:111" ht="9" customHeight="1">
      <c r="A1177"/>
      <c r="B1177" s="493"/>
      <c r="C1177" s="493"/>
      <c r="D1177" s="493"/>
      <c r="E1177" s="493"/>
      <c r="F1177" s="493"/>
      <c r="G1177" s="493"/>
      <c r="H1177" s="493"/>
      <c r="I1177" s="493"/>
      <c r="J1177" s="493"/>
      <c r="K1177" s="493"/>
      <c r="L1177" s="493"/>
      <c r="M1177" s="493"/>
      <c r="N1177" s="493"/>
      <c r="O1177" s="421"/>
      <c r="P1177" s="421"/>
      <c r="Q1177" s="421"/>
      <c r="R1177" s="421"/>
      <c r="S1177" s="421"/>
      <c r="T1177" s="421"/>
      <c r="U1177" s="421"/>
      <c r="V1177" s="421"/>
      <c r="W1177" s="421"/>
      <c r="X1177" s="421"/>
      <c r="Y1177" s="421"/>
      <c r="Z1177" s="421"/>
      <c r="AA1177" s="421"/>
      <c r="AB1177" s="421"/>
      <c r="AC1177" s="421"/>
      <c r="AD1177" s="421"/>
      <c r="AE1177" s="421"/>
      <c r="AF1177" s="421"/>
      <c r="AG1177" s="421"/>
      <c r="AH1177" s="421"/>
      <c r="AI1177" s="421"/>
      <c r="AJ1177" s="421"/>
      <c r="AK1177" s="421"/>
      <c r="AL1177" s="421"/>
      <c r="AM1177" s="421"/>
      <c r="AN1177" s="421"/>
      <c r="AO1177" s="421"/>
      <c r="AP1177" s="421"/>
      <c r="AQ1177" s="421"/>
      <c r="AR1177" s="421"/>
      <c r="AS1177" s="421"/>
      <c r="AT1177" s="421"/>
      <c r="AU1177" s="421"/>
      <c r="AV1177" s="421"/>
      <c r="AW1177" s="421"/>
      <c r="AX1177" s="421"/>
      <c r="AY1177" s="421"/>
      <c r="AZ1177" s="421"/>
      <c r="BA1177" s="421"/>
      <c r="BB1177"/>
      <c r="BC1177" s="115"/>
      <c r="BD1177" s="115"/>
      <c r="BE1177" s="115"/>
      <c r="BF1177" s="115"/>
      <c r="BG1177" s="115"/>
      <c r="BH1177" s="124"/>
      <c r="BI1177" s="124"/>
      <c r="BJ1177" s="124"/>
      <c r="BK1177" s="124"/>
      <c r="BL1177" s="124"/>
      <c r="BM1177" s="124"/>
      <c r="BN1177" s="124"/>
      <c r="BO1177" s="124"/>
      <c r="BP1177" s="124"/>
      <c r="BQ1177" s="124"/>
      <c r="BR1177" s="124"/>
      <c r="BS1177" s="124"/>
      <c r="BT1177" s="124"/>
      <c r="BU1177" s="124"/>
      <c r="BV1177" s="124"/>
      <c r="BW1177" s="124"/>
      <c r="BX1177" s="124"/>
      <c r="BY1177" s="124"/>
      <c r="BZ1177" s="124"/>
      <c r="CA1177" s="124"/>
      <c r="CB1177" s="124"/>
      <c r="CC1177" s="124"/>
      <c r="CD1177" s="124"/>
      <c r="CE1177" s="124"/>
      <c r="CF1177" s="124"/>
      <c r="CG1177" s="124"/>
      <c r="CH1177" s="124"/>
      <c r="CI1177" s="124"/>
      <c r="CJ1177" s="124"/>
      <c r="CK1177" s="124"/>
      <c r="CL1177" s="124"/>
      <c r="CM1177" s="124"/>
      <c r="CN1177" s="124"/>
      <c r="CO1177" s="124"/>
      <c r="CP1177" s="124"/>
      <c r="CQ1177" s="124"/>
      <c r="CR1177" s="124"/>
      <c r="CS1177" s="124"/>
      <c r="CT1177" s="124"/>
      <c r="CU1177" s="124"/>
      <c r="CV1177" s="124"/>
      <c r="CW1177" s="124"/>
      <c r="CX1177" s="124"/>
      <c r="CY1177" s="124"/>
      <c r="CZ1177" s="124"/>
      <c r="DA1177" s="124"/>
      <c r="DB1177" s="124"/>
      <c r="DC1177" s="124"/>
      <c r="DD1177" s="124"/>
      <c r="DE1177" s="124"/>
      <c r="DF1177" s="124"/>
      <c r="DG1177" s="115"/>
    </row>
    <row r="1178" spans="1:111" ht="9" customHeight="1">
      <c r="A1178"/>
      <c r="B1178" s="143"/>
      <c r="C1178" s="143"/>
      <c r="D1178" s="143"/>
      <c r="E1178" s="143"/>
      <c r="F1178" s="143"/>
      <c r="G1178" s="143"/>
      <c r="H1178" s="143"/>
      <c r="I1178" s="143"/>
      <c r="J1178" s="143"/>
      <c r="K1178" s="143"/>
      <c r="L1178" s="143"/>
      <c r="M1178" s="143"/>
      <c r="N1178" s="143"/>
      <c r="O1178" s="421"/>
      <c r="P1178" s="421"/>
      <c r="Q1178" s="421"/>
      <c r="R1178" s="421"/>
      <c r="S1178" s="421"/>
      <c r="T1178" s="421"/>
      <c r="U1178" s="421"/>
      <c r="V1178" s="421"/>
      <c r="W1178" s="421"/>
      <c r="X1178" s="421"/>
      <c r="Y1178" s="421"/>
      <c r="Z1178" s="421"/>
      <c r="AA1178" s="421"/>
      <c r="AB1178" s="421"/>
      <c r="AC1178" s="421"/>
      <c r="AD1178" s="421"/>
      <c r="AE1178" s="421"/>
      <c r="AF1178" s="421"/>
      <c r="AG1178" s="421"/>
      <c r="AH1178" s="421"/>
      <c r="AI1178" s="421"/>
      <c r="AJ1178" s="421"/>
      <c r="AK1178" s="421"/>
      <c r="AL1178" s="421"/>
      <c r="AM1178" s="421"/>
      <c r="AN1178" s="421"/>
      <c r="AO1178" s="421"/>
      <c r="AP1178" s="421"/>
      <c r="AQ1178" s="421"/>
      <c r="AR1178" s="421"/>
      <c r="AS1178" s="421"/>
      <c r="AT1178" s="421"/>
      <c r="AU1178" s="421"/>
      <c r="AV1178" s="421"/>
      <c r="AW1178" s="421"/>
      <c r="AX1178" s="421"/>
      <c r="AY1178" s="421"/>
      <c r="AZ1178" s="421"/>
      <c r="BA1178" s="421"/>
      <c r="BB1178"/>
      <c r="BC1178" s="115"/>
      <c r="BD1178" s="115"/>
      <c r="BE1178" s="115"/>
      <c r="BF1178" s="115"/>
      <c r="BG1178" s="115"/>
      <c r="BH1178" s="124"/>
      <c r="BI1178" s="124"/>
      <c r="BJ1178" s="124"/>
      <c r="BK1178" s="124"/>
      <c r="BL1178" s="124"/>
      <c r="BM1178" s="124"/>
      <c r="BN1178" s="124"/>
      <c r="BO1178" s="124"/>
      <c r="BP1178" s="124"/>
      <c r="BQ1178" s="124"/>
      <c r="BR1178" s="124"/>
      <c r="BS1178" s="124"/>
      <c r="BT1178" s="124"/>
      <c r="BU1178" s="124"/>
      <c r="BV1178" s="124"/>
      <c r="BW1178" s="124"/>
      <c r="BX1178" s="124"/>
      <c r="BY1178" s="124"/>
      <c r="BZ1178" s="124"/>
      <c r="CA1178" s="124"/>
      <c r="CB1178" s="124"/>
      <c r="CC1178" s="124"/>
      <c r="CD1178" s="124"/>
      <c r="CE1178" s="124"/>
      <c r="CF1178" s="124"/>
      <c r="CG1178" s="124"/>
      <c r="CH1178" s="124"/>
      <c r="CI1178" s="124"/>
      <c r="CJ1178" s="124"/>
      <c r="CK1178" s="124"/>
      <c r="CL1178" s="124"/>
      <c r="CM1178" s="124"/>
      <c r="CN1178" s="124"/>
      <c r="CO1178" s="124"/>
      <c r="CP1178" s="124"/>
      <c r="CQ1178" s="124"/>
      <c r="CR1178" s="124"/>
      <c r="CS1178" s="124"/>
      <c r="CT1178" s="124"/>
      <c r="CU1178" s="124"/>
      <c r="CV1178" s="124"/>
      <c r="CW1178" s="124"/>
      <c r="CX1178" s="124"/>
      <c r="CY1178" s="124"/>
      <c r="CZ1178" s="124"/>
      <c r="DA1178" s="124"/>
      <c r="DB1178" s="124"/>
      <c r="DC1178" s="124"/>
      <c r="DD1178" s="124"/>
      <c r="DE1178" s="124"/>
      <c r="DF1178" s="124"/>
      <c r="DG1178" s="115"/>
    </row>
    <row r="1179" spans="1:111" ht="9" customHeight="1">
      <c r="A1179"/>
      <c r="B1179" s="143"/>
      <c r="C1179" s="143"/>
      <c r="D1179" s="143"/>
      <c r="E1179" s="143"/>
      <c r="F1179" s="143"/>
      <c r="G1179" s="143"/>
      <c r="H1179" s="143"/>
      <c r="I1179" s="143"/>
      <c r="J1179" s="143"/>
      <c r="K1179" s="143"/>
      <c r="L1179" s="143"/>
      <c r="M1179" s="143"/>
      <c r="N1179" s="143"/>
      <c r="O1179" s="421"/>
      <c r="P1179" s="421"/>
      <c r="Q1179" s="421"/>
      <c r="R1179" s="421"/>
      <c r="S1179" s="421"/>
      <c r="T1179" s="421"/>
      <c r="U1179" s="421"/>
      <c r="V1179" s="421"/>
      <c r="W1179" s="421"/>
      <c r="X1179" s="421"/>
      <c r="Y1179" s="421"/>
      <c r="Z1179" s="421"/>
      <c r="AA1179" s="421"/>
      <c r="AB1179" s="421"/>
      <c r="AC1179" s="421"/>
      <c r="AD1179" s="421"/>
      <c r="AE1179" s="421"/>
      <c r="AF1179" s="421"/>
      <c r="AG1179" s="421"/>
      <c r="AH1179" s="421"/>
      <c r="AI1179" s="421"/>
      <c r="AJ1179" s="421"/>
      <c r="AK1179" s="421"/>
      <c r="AL1179" s="421"/>
      <c r="AM1179" s="421"/>
      <c r="AN1179" s="421"/>
      <c r="AO1179" s="421"/>
      <c r="AP1179" s="421"/>
      <c r="AQ1179" s="421"/>
      <c r="AR1179" s="421"/>
      <c r="AS1179" s="421"/>
      <c r="AT1179" s="421"/>
      <c r="AU1179" s="421"/>
      <c r="AV1179" s="421"/>
      <c r="AW1179" s="421"/>
      <c r="AX1179" s="421"/>
      <c r="AY1179" s="421"/>
      <c r="AZ1179" s="421"/>
      <c r="BA1179" s="421"/>
      <c r="BB1179"/>
      <c r="BC1179" s="115"/>
      <c r="BD1179" s="115"/>
      <c r="BE1179" s="115"/>
      <c r="BF1179" s="115"/>
      <c r="BG1179" s="115"/>
      <c r="BH1179" s="138"/>
      <c r="BI1179" s="138"/>
      <c r="BJ1179" s="138"/>
      <c r="BK1179" s="138"/>
      <c r="BL1179" s="138"/>
      <c r="BM1179" s="138"/>
      <c r="BN1179" s="138"/>
      <c r="BO1179" s="138"/>
      <c r="BP1179" s="138"/>
      <c r="BQ1179" s="138"/>
      <c r="BR1179" s="138"/>
      <c r="BS1179" s="138"/>
      <c r="BT1179" s="138"/>
      <c r="BU1179" s="138"/>
      <c r="BV1179" s="138"/>
      <c r="BW1179" s="138"/>
      <c r="BX1179" s="138"/>
      <c r="BY1179" s="138"/>
      <c r="BZ1179" s="138"/>
      <c r="CA1179" s="138"/>
      <c r="CB1179" s="138"/>
      <c r="CC1179" s="138"/>
      <c r="CD1179" s="138"/>
      <c r="CE1179" s="138"/>
      <c r="CF1179" s="138"/>
      <c r="CG1179" s="138"/>
      <c r="CH1179" s="138"/>
      <c r="CI1179" s="138"/>
      <c r="CJ1179" s="138"/>
      <c r="CK1179" s="138"/>
      <c r="CL1179" s="138"/>
      <c r="CM1179" s="138"/>
      <c r="CN1179" s="138"/>
      <c r="CO1179" s="138"/>
      <c r="CP1179" s="138"/>
      <c r="CQ1179" s="138"/>
      <c r="CR1179" s="138"/>
      <c r="CS1179" s="138"/>
      <c r="CT1179" s="138"/>
      <c r="CU1179" s="138"/>
      <c r="CV1179" s="138"/>
      <c r="CW1179" s="138"/>
      <c r="CX1179" s="138"/>
      <c r="CY1179" s="138"/>
      <c r="CZ1179" s="138"/>
      <c r="DA1179" s="138"/>
      <c r="DB1179" s="138"/>
      <c r="DC1179" s="138"/>
      <c r="DD1179" s="138"/>
      <c r="DE1179" s="138"/>
      <c r="DF1179" s="138"/>
      <c r="DG1179" s="115"/>
    </row>
    <row r="1180" spans="1:111" ht="9" customHeight="1">
      <c r="A1180"/>
      <c r="B1180" s="143"/>
      <c r="C1180" s="143"/>
      <c r="D1180" s="143"/>
      <c r="E1180" s="143"/>
      <c r="F1180" s="143"/>
      <c r="G1180" s="143"/>
      <c r="H1180" s="143"/>
      <c r="I1180" s="143"/>
      <c r="J1180" s="143"/>
      <c r="K1180" s="143"/>
      <c r="L1180" s="143"/>
      <c r="M1180" s="143"/>
      <c r="N1180" s="143"/>
      <c r="O1180" s="421"/>
      <c r="P1180" s="421"/>
      <c r="Q1180" s="421"/>
      <c r="R1180" s="421"/>
      <c r="S1180" s="421"/>
      <c r="T1180" s="421"/>
      <c r="U1180" s="421"/>
      <c r="V1180" s="421"/>
      <c r="W1180" s="421"/>
      <c r="X1180" s="421"/>
      <c r="Y1180" s="421"/>
      <c r="Z1180" s="421"/>
      <c r="AA1180" s="421"/>
      <c r="AB1180" s="421"/>
      <c r="AC1180" s="421"/>
      <c r="AD1180" s="421"/>
      <c r="AE1180" s="421"/>
      <c r="AF1180" s="421"/>
      <c r="AG1180" s="421"/>
      <c r="AH1180" s="421"/>
      <c r="AI1180" s="421"/>
      <c r="AJ1180" s="421"/>
      <c r="AK1180" s="421"/>
      <c r="AL1180" s="421"/>
      <c r="AM1180" s="421"/>
      <c r="AN1180" s="421"/>
      <c r="AO1180" s="421"/>
      <c r="AP1180" s="421"/>
      <c r="AQ1180" s="421"/>
      <c r="AR1180" s="421"/>
      <c r="AS1180" s="421"/>
      <c r="AT1180" s="421"/>
      <c r="AU1180" s="421"/>
      <c r="AV1180" s="421"/>
      <c r="AW1180" s="421"/>
      <c r="AX1180" s="421"/>
      <c r="AY1180" s="421"/>
      <c r="AZ1180" s="421"/>
      <c r="BA1180" s="421"/>
      <c r="BB1180"/>
      <c r="BC1180" s="115"/>
      <c r="BD1180" s="115"/>
      <c r="BE1180" s="115"/>
      <c r="BF1180" s="115"/>
      <c r="BG1180" s="115"/>
      <c r="BH1180" s="138"/>
      <c r="BI1180" s="138"/>
      <c r="BJ1180" s="138"/>
      <c r="BK1180" s="138"/>
      <c r="BL1180" s="138"/>
      <c r="BM1180" s="138"/>
      <c r="BN1180" s="138"/>
      <c r="BO1180" s="138"/>
      <c r="BP1180" s="138"/>
      <c r="BQ1180" s="138"/>
      <c r="BR1180" s="138"/>
      <c r="BS1180" s="138"/>
      <c r="BT1180" s="138"/>
      <c r="BU1180" s="138"/>
      <c r="BV1180" s="138"/>
      <c r="BW1180" s="138"/>
      <c r="BX1180" s="138"/>
      <c r="BY1180" s="138"/>
      <c r="BZ1180" s="138"/>
      <c r="CA1180" s="138"/>
      <c r="CB1180" s="138"/>
      <c r="CC1180" s="138"/>
      <c r="CD1180" s="138"/>
      <c r="CE1180" s="138"/>
      <c r="CF1180" s="138"/>
      <c r="CG1180" s="138"/>
      <c r="CH1180" s="138"/>
      <c r="CI1180" s="138"/>
      <c r="CJ1180" s="138"/>
      <c r="CK1180" s="138"/>
      <c r="CL1180" s="138"/>
      <c r="CM1180" s="138"/>
      <c r="CN1180" s="138"/>
      <c r="CO1180" s="138"/>
      <c r="CP1180" s="138"/>
      <c r="CQ1180" s="138"/>
      <c r="CR1180" s="138"/>
      <c r="CS1180" s="138"/>
      <c r="CT1180" s="138"/>
      <c r="CU1180" s="138"/>
      <c r="CV1180" s="138"/>
      <c r="CW1180" s="138"/>
      <c r="CX1180" s="138"/>
      <c r="CY1180" s="138"/>
      <c r="CZ1180" s="138"/>
      <c r="DA1180" s="138"/>
      <c r="DB1180" s="138"/>
      <c r="DC1180" s="138"/>
      <c r="DD1180" s="138"/>
      <c r="DE1180" s="138"/>
      <c r="DF1180" s="138"/>
      <c r="DG1180" s="115"/>
    </row>
    <row r="1181" spans="1:111" ht="9" customHeight="1">
      <c r="A1181"/>
      <c r="B1181" s="49"/>
      <c r="C1181" s="49"/>
      <c r="D1181" s="49"/>
      <c r="E1181" s="49"/>
      <c r="F1181" s="49"/>
      <c r="G1181" s="49"/>
      <c r="H1181" s="49"/>
      <c r="I1181" s="49"/>
      <c r="J1181" s="49"/>
      <c r="K1181" s="49"/>
      <c r="L1181" s="49"/>
      <c r="M1181" s="49"/>
      <c r="N1181" s="49"/>
      <c r="O1181" s="421"/>
      <c r="P1181" s="421"/>
      <c r="Q1181" s="421"/>
      <c r="R1181" s="421"/>
      <c r="S1181" s="421"/>
      <c r="T1181" s="421"/>
      <c r="U1181" s="421"/>
      <c r="V1181" s="421"/>
      <c r="W1181" s="421"/>
      <c r="X1181" s="421"/>
      <c r="Y1181" s="421"/>
      <c r="Z1181" s="421"/>
      <c r="AA1181" s="421"/>
      <c r="AB1181" s="421"/>
      <c r="AC1181" s="421"/>
      <c r="AD1181" s="421"/>
      <c r="AE1181" s="421"/>
      <c r="AF1181" s="421"/>
      <c r="AG1181" s="421"/>
      <c r="AH1181" s="421"/>
      <c r="AI1181" s="421"/>
      <c r="AJ1181" s="421"/>
      <c r="AK1181" s="421"/>
      <c r="AL1181" s="421"/>
      <c r="AM1181" s="421"/>
      <c r="AN1181" s="421"/>
      <c r="AO1181" s="421"/>
      <c r="AP1181" s="421"/>
      <c r="AQ1181" s="421"/>
      <c r="AR1181" s="421"/>
      <c r="AS1181" s="421"/>
      <c r="AT1181" s="421"/>
      <c r="AU1181" s="421"/>
      <c r="AV1181" s="421"/>
      <c r="AW1181" s="421"/>
      <c r="AX1181" s="421"/>
      <c r="AY1181" s="421"/>
      <c r="AZ1181" s="421"/>
      <c r="BA1181" s="421"/>
      <c r="BB1181"/>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c r="BY1181" s="115"/>
      <c r="BZ1181" s="115"/>
      <c r="CA1181" s="115"/>
      <c r="CB1181" s="115"/>
      <c r="CC1181" s="115"/>
      <c r="CD1181" s="115"/>
      <c r="CE1181" s="115"/>
      <c r="CF1181" s="115"/>
      <c r="CG1181" s="115"/>
      <c r="CH1181" s="115"/>
      <c r="CI1181" s="115"/>
      <c r="CJ1181" s="115"/>
      <c r="CK1181" s="115"/>
      <c r="CL1181" s="115"/>
      <c r="CM1181" s="115"/>
      <c r="CN1181" s="115"/>
      <c r="CO1181" s="115"/>
      <c r="CP1181" s="115"/>
      <c r="CQ1181" s="115"/>
      <c r="CR1181" s="115"/>
      <c r="CS1181" s="115"/>
      <c r="CT1181" s="115"/>
      <c r="CU1181" s="115"/>
      <c r="CV1181" s="115"/>
      <c r="CW1181" s="115"/>
      <c r="CX1181" s="115"/>
      <c r="CY1181" s="115"/>
      <c r="CZ1181" s="115"/>
      <c r="DA1181" s="115"/>
      <c r="DB1181" s="115"/>
      <c r="DC1181" s="115"/>
      <c r="DD1181" s="115"/>
      <c r="DE1181" s="115"/>
      <c r="DF1181" s="115"/>
      <c r="DG1181" s="115"/>
    </row>
    <row r="1182" spans="1:111" ht="4.5" customHeight="1">
      <c r="A1182"/>
      <c r="B1182" s="49"/>
      <c r="C1182" s="49"/>
      <c r="D1182" s="49"/>
      <c r="E1182" s="49"/>
      <c r="F1182" s="49"/>
      <c r="G1182" s="49"/>
      <c r="H1182" s="49"/>
      <c r="I1182" s="49"/>
      <c r="J1182" s="49"/>
      <c r="K1182" s="49"/>
      <c r="L1182" s="49"/>
      <c r="M1182" s="49"/>
      <c r="N1182" s="49"/>
      <c r="O1182" s="49"/>
      <c r="P1182" s="49"/>
      <c r="Q1182" s="49"/>
      <c r="R1182" s="49"/>
      <c r="S1182" s="49"/>
      <c r="T1182" s="49"/>
      <c r="U1182" s="49"/>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49"/>
      <c r="AS1182" s="49"/>
      <c r="AT1182" s="49"/>
      <c r="AU1182" s="49"/>
      <c r="AV1182" s="49"/>
      <c r="AW1182" s="49"/>
      <c r="AX1182" s="49"/>
      <c r="AY1182" s="49"/>
      <c r="AZ1182" s="49"/>
      <c r="BA1182" s="49"/>
      <c r="BB1182"/>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c r="BY1182" s="115"/>
      <c r="BZ1182" s="115"/>
      <c r="CA1182" s="115"/>
      <c r="CB1182" s="115"/>
      <c r="CC1182" s="115"/>
      <c r="CD1182" s="115"/>
      <c r="CE1182" s="115"/>
      <c r="CF1182" s="115"/>
      <c r="CG1182" s="115"/>
      <c r="CH1182" s="115"/>
      <c r="CI1182" s="115"/>
      <c r="CJ1182" s="115"/>
      <c r="CK1182" s="115"/>
      <c r="CL1182" s="115"/>
      <c r="CM1182" s="115"/>
      <c r="CN1182" s="115"/>
      <c r="CO1182" s="115"/>
      <c r="CP1182" s="115"/>
      <c r="CQ1182" s="115"/>
      <c r="CR1182" s="115"/>
      <c r="CS1182" s="115"/>
      <c r="CT1182" s="115"/>
      <c r="CU1182" s="115"/>
      <c r="CV1182" s="115"/>
      <c r="CW1182" s="115"/>
      <c r="CX1182" s="115"/>
      <c r="CY1182" s="115"/>
      <c r="CZ1182" s="115"/>
      <c r="DA1182" s="115"/>
      <c r="DB1182" s="115"/>
      <c r="DC1182" s="115"/>
      <c r="DD1182" s="115"/>
      <c r="DE1182" s="115"/>
      <c r="DF1182" s="115"/>
      <c r="DG1182" s="115"/>
    </row>
    <row r="1183" spans="1:111" ht="9" customHeight="1">
      <c r="A1183"/>
      <c r="B1183" s="493" t="str">
        <f>IF(B1156="","","Metas Vinculadas:")</f>
        <v/>
      </c>
      <c r="C1183" s="493"/>
      <c r="D1183" s="493"/>
      <c r="E1183" s="493"/>
      <c r="F1183" s="493"/>
      <c r="G1183" s="493"/>
      <c r="H1183" s="493"/>
      <c r="I1183" s="493"/>
      <c r="J1183" s="493"/>
      <c r="K1183" s="493"/>
      <c r="L1183" s="493"/>
      <c r="M1183" s="493"/>
      <c r="N1183" s="493"/>
      <c r="O1183" s="421"/>
      <c r="P1183" s="421"/>
      <c r="Q1183" s="421"/>
      <c r="R1183" s="421"/>
      <c r="S1183" s="421"/>
      <c r="T1183" s="421"/>
      <c r="U1183" s="421"/>
      <c r="V1183" s="421"/>
      <c r="W1183" s="421"/>
      <c r="X1183" s="421"/>
      <c r="Y1183" s="421"/>
      <c r="Z1183" s="421"/>
      <c r="AA1183" s="421"/>
      <c r="AB1183" s="421"/>
      <c r="AC1183" s="421"/>
      <c r="AD1183" s="421"/>
      <c r="AE1183" s="421"/>
      <c r="AF1183" s="421"/>
      <c r="AG1183" s="421"/>
      <c r="AH1183" s="421"/>
      <c r="AI1183" s="421"/>
      <c r="AJ1183" s="421"/>
      <c r="AK1183" s="421"/>
      <c r="AL1183" s="421"/>
      <c r="AM1183" s="421"/>
      <c r="AN1183" s="421"/>
      <c r="AO1183" s="421"/>
      <c r="AP1183" s="421"/>
      <c r="AQ1183" s="421"/>
      <c r="AR1183" s="421"/>
      <c r="AS1183" s="421"/>
      <c r="AT1183" s="421"/>
      <c r="AU1183" s="421"/>
      <c r="AV1183" s="421"/>
      <c r="AW1183" s="421"/>
      <c r="AX1183" s="421"/>
      <c r="AY1183" s="421"/>
      <c r="AZ1183" s="421"/>
      <c r="BA1183" s="421"/>
      <c r="BB1183"/>
      <c r="BC1183" s="115"/>
      <c r="BD1183" s="115"/>
      <c r="BE1183" s="115"/>
      <c r="BF1183" s="115"/>
      <c r="BG1183" s="115"/>
      <c r="BH1183" s="124"/>
      <c r="BI1183" s="124"/>
      <c r="BJ1183" s="124"/>
      <c r="BK1183" s="124"/>
      <c r="BL1183" s="124"/>
      <c r="BM1183" s="124"/>
      <c r="BN1183" s="124"/>
      <c r="BO1183" s="124"/>
      <c r="BP1183" s="124"/>
      <c r="BQ1183" s="124"/>
      <c r="BR1183" s="124"/>
      <c r="BS1183" s="124"/>
      <c r="BT1183" s="124"/>
      <c r="BU1183" s="124"/>
      <c r="BV1183" s="124"/>
      <c r="BW1183" s="124"/>
      <c r="BX1183" s="124"/>
      <c r="BY1183" s="124"/>
      <c r="BZ1183" s="124"/>
      <c r="CA1183" s="124"/>
      <c r="CB1183" s="124"/>
      <c r="CC1183" s="124"/>
      <c r="CD1183" s="124"/>
      <c r="CE1183" s="124"/>
      <c r="CF1183" s="124"/>
      <c r="CG1183" s="124"/>
      <c r="CH1183" s="124"/>
      <c r="CI1183" s="124"/>
      <c r="CJ1183" s="124"/>
      <c r="CK1183" s="124"/>
      <c r="CL1183" s="124"/>
      <c r="CM1183" s="124"/>
      <c r="CN1183" s="124"/>
      <c r="CO1183" s="124"/>
      <c r="CP1183" s="124"/>
      <c r="CQ1183" s="124"/>
      <c r="CR1183" s="124"/>
      <c r="CS1183" s="124"/>
      <c r="CT1183" s="124"/>
      <c r="CU1183" s="124"/>
      <c r="CV1183" s="124"/>
      <c r="CW1183" s="124"/>
      <c r="CX1183" s="124"/>
      <c r="CY1183" s="124"/>
      <c r="CZ1183" s="124"/>
      <c r="DA1183" s="124"/>
      <c r="DB1183" s="124"/>
      <c r="DC1183" s="124"/>
      <c r="DD1183" s="124"/>
      <c r="DE1183" s="124"/>
      <c r="DF1183" s="124"/>
      <c r="DG1183" s="115"/>
    </row>
    <row r="1184" spans="1:111" ht="9" customHeight="1">
      <c r="A1184"/>
      <c r="B1184" s="493"/>
      <c r="C1184" s="493"/>
      <c r="D1184" s="493"/>
      <c r="E1184" s="493"/>
      <c r="F1184" s="493"/>
      <c r="G1184" s="493"/>
      <c r="H1184" s="493"/>
      <c r="I1184" s="493"/>
      <c r="J1184" s="493"/>
      <c r="K1184" s="493"/>
      <c r="L1184" s="493"/>
      <c r="M1184" s="493"/>
      <c r="N1184" s="493"/>
      <c r="O1184" s="421"/>
      <c r="P1184" s="421"/>
      <c r="Q1184" s="421"/>
      <c r="R1184" s="421"/>
      <c r="S1184" s="421"/>
      <c r="T1184" s="421"/>
      <c r="U1184" s="421"/>
      <c r="V1184" s="421"/>
      <c r="W1184" s="421"/>
      <c r="X1184" s="421"/>
      <c r="Y1184" s="421"/>
      <c r="Z1184" s="421"/>
      <c r="AA1184" s="421"/>
      <c r="AB1184" s="421"/>
      <c r="AC1184" s="421"/>
      <c r="AD1184" s="421"/>
      <c r="AE1184" s="421"/>
      <c r="AF1184" s="421"/>
      <c r="AG1184" s="421"/>
      <c r="AH1184" s="421"/>
      <c r="AI1184" s="421"/>
      <c r="AJ1184" s="421"/>
      <c r="AK1184" s="421"/>
      <c r="AL1184" s="421"/>
      <c r="AM1184" s="421"/>
      <c r="AN1184" s="421"/>
      <c r="AO1184" s="421"/>
      <c r="AP1184" s="421"/>
      <c r="AQ1184" s="421"/>
      <c r="AR1184" s="421"/>
      <c r="AS1184" s="421"/>
      <c r="AT1184" s="421"/>
      <c r="AU1184" s="421"/>
      <c r="AV1184" s="421"/>
      <c r="AW1184" s="421"/>
      <c r="AX1184" s="421"/>
      <c r="AY1184" s="421"/>
      <c r="AZ1184" s="421"/>
      <c r="BA1184" s="421"/>
      <c r="BB1184"/>
      <c r="BC1184" s="115"/>
      <c r="BD1184" s="115"/>
      <c r="BE1184" s="115"/>
      <c r="BF1184" s="115"/>
      <c r="BG1184" s="115"/>
      <c r="BH1184" s="138"/>
      <c r="BI1184" s="138"/>
      <c r="BJ1184" s="138"/>
      <c r="BK1184" s="138"/>
      <c r="BL1184" s="138"/>
      <c r="BM1184" s="138"/>
      <c r="BN1184" s="138"/>
      <c r="BO1184" s="138"/>
      <c r="BP1184" s="138"/>
      <c r="BQ1184" s="138"/>
      <c r="BR1184" s="138"/>
      <c r="BS1184" s="138"/>
      <c r="BT1184" s="138"/>
      <c r="BU1184" s="138"/>
      <c r="BV1184" s="138"/>
      <c r="BW1184" s="138"/>
      <c r="BX1184" s="138"/>
      <c r="BY1184" s="138"/>
      <c r="BZ1184" s="138"/>
      <c r="CA1184" s="138"/>
      <c r="CB1184" s="138"/>
      <c r="CC1184" s="138"/>
      <c r="CD1184" s="138"/>
      <c r="CE1184" s="138"/>
      <c r="CF1184" s="138"/>
      <c r="CG1184" s="138"/>
      <c r="CH1184" s="138"/>
      <c r="CI1184" s="138"/>
      <c r="CJ1184" s="138"/>
      <c r="CK1184" s="138"/>
      <c r="CL1184" s="138"/>
      <c r="CM1184" s="138"/>
      <c r="CN1184" s="138"/>
      <c r="CO1184" s="138"/>
      <c r="CP1184" s="138"/>
      <c r="CQ1184" s="138"/>
      <c r="CR1184" s="138"/>
      <c r="CS1184" s="138"/>
      <c r="CT1184" s="138"/>
      <c r="CU1184" s="138"/>
      <c r="CV1184" s="138"/>
      <c r="CW1184" s="138"/>
      <c r="CX1184" s="138"/>
      <c r="CY1184" s="138"/>
      <c r="CZ1184" s="138"/>
      <c r="DA1184" s="138"/>
      <c r="DB1184" s="138"/>
      <c r="DC1184" s="138"/>
      <c r="DD1184" s="138"/>
      <c r="DE1184" s="138"/>
      <c r="DF1184" s="138"/>
      <c r="DG1184" s="115"/>
    </row>
    <row r="1185" spans="1:111" ht="4.5" customHeight="1">
      <c r="A1185"/>
      <c r="B1185" s="49"/>
      <c r="C1185" s="49"/>
      <c r="D1185" s="49"/>
      <c r="E1185" s="49"/>
      <c r="F1185" s="49"/>
      <c r="G1185" s="49"/>
      <c r="H1185" s="49"/>
      <c r="I1185" s="49"/>
      <c r="J1185" s="49"/>
      <c r="K1185" s="49"/>
      <c r="L1185" s="49"/>
      <c r="M1185" s="49"/>
      <c r="N1185" s="49"/>
      <c r="O1185" s="49"/>
      <c r="P1185" s="49"/>
      <c r="Q1185" s="49"/>
      <c r="R1185" s="49"/>
      <c r="S1185" s="49"/>
      <c r="T1185" s="49"/>
      <c r="U1185" s="49"/>
      <c r="V1185" s="49"/>
      <c r="W1185" s="49"/>
      <c r="X1185" s="49"/>
      <c r="Y1185" s="49"/>
      <c r="Z1185" s="49"/>
      <c r="AA1185" s="49"/>
      <c r="AB1185" s="49"/>
      <c r="AC1185" s="49"/>
      <c r="AD1185" s="49"/>
      <c r="AE1185" s="49"/>
      <c r="AF1185" s="49"/>
      <c r="AG1185" s="49"/>
      <c r="AH1185" s="49"/>
      <c r="AI1185" s="49"/>
      <c r="AJ1185" s="49"/>
      <c r="AK1185" s="49"/>
      <c r="AL1185" s="49"/>
      <c r="AM1185" s="49"/>
      <c r="AN1185" s="49"/>
      <c r="AO1185" s="49"/>
      <c r="AP1185" s="49"/>
      <c r="AQ1185" s="49"/>
      <c r="AR1185" s="49"/>
      <c r="AS1185" s="49"/>
      <c r="AT1185" s="49"/>
      <c r="AU1185" s="49"/>
      <c r="AV1185" s="49"/>
      <c r="AW1185" s="49"/>
      <c r="AX1185" s="49"/>
      <c r="AY1185" s="49"/>
      <c r="AZ1185" s="49"/>
      <c r="BA1185" s="49"/>
      <c r="BB118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c r="BY1185" s="115"/>
      <c r="BZ1185" s="115"/>
      <c r="CA1185" s="115"/>
      <c r="CB1185" s="115"/>
      <c r="CC1185" s="115"/>
      <c r="CD1185" s="115"/>
      <c r="CE1185" s="115"/>
      <c r="CF1185" s="115"/>
      <c r="CG1185" s="115"/>
      <c r="CH1185" s="115"/>
      <c r="CI1185" s="115"/>
      <c r="CJ1185" s="115"/>
      <c r="CK1185" s="115"/>
      <c r="CL1185" s="115"/>
      <c r="CM1185" s="115"/>
      <c r="CN1185" s="115"/>
      <c r="CO1185" s="115"/>
      <c r="CP1185" s="115"/>
      <c r="CQ1185" s="115"/>
      <c r="CR1185" s="115"/>
      <c r="CS1185" s="115"/>
      <c r="CT1185" s="115"/>
      <c r="CU1185" s="115"/>
      <c r="CV1185" s="115"/>
      <c r="CW1185" s="115"/>
      <c r="CX1185" s="115"/>
      <c r="CY1185" s="115"/>
      <c r="CZ1185" s="115"/>
      <c r="DA1185" s="115"/>
      <c r="DB1185" s="115"/>
      <c r="DC1185" s="115"/>
      <c r="DD1185" s="115"/>
      <c r="DE1185" s="115"/>
      <c r="DF1185" s="115"/>
      <c r="DG1185" s="115"/>
    </row>
    <row r="1186" spans="1:111" ht="9" customHeight="1">
      <c r="A1186"/>
      <c r="B1186" s="125"/>
      <c r="C1186" s="125"/>
      <c r="D1186" s="125"/>
      <c r="E1186" s="125"/>
      <c r="F1186" s="125"/>
      <c r="G1186" s="125"/>
      <c r="H1186" s="125"/>
      <c r="I1186" s="125"/>
      <c r="J1186" s="125"/>
      <c r="K1186" s="125"/>
      <c r="L1186" s="125"/>
      <c r="M1186" s="125"/>
      <c r="N1186" s="125"/>
      <c r="O1186" s="496" t="str">
        <f>IF(B1156="","","Quantidade:")</f>
        <v/>
      </c>
      <c r="P1186" s="496"/>
      <c r="Q1186" s="496"/>
      <c r="R1186" s="496"/>
      <c r="S1186" s="496"/>
      <c r="T1186" s="496"/>
      <c r="U1186" s="496"/>
      <c r="V1186" s="417"/>
      <c r="W1186" s="417"/>
      <c r="X1186" s="417"/>
      <c r="Y1186" s="417"/>
      <c r="Z1186" s="417"/>
      <c r="AA1186" s="417"/>
      <c r="AB1186" s="417"/>
      <c r="AC1186" s="417"/>
      <c r="AD1186" s="417"/>
      <c r="AE1186" s="417"/>
      <c r="AF1186" s="125"/>
      <c r="AG1186" s="497" t="str">
        <f>IF(B1156="","","Unidade:")</f>
        <v/>
      </c>
      <c r="AH1186" s="497"/>
      <c r="AI1186" s="497"/>
      <c r="AJ1186" s="497"/>
      <c r="AK1186" s="497"/>
      <c r="AL1186" s="497"/>
      <c r="AM1186" s="497"/>
      <c r="AN1186" s="125"/>
      <c r="AO1186" s="417"/>
      <c r="AP1186" s="417"/>
      <c r="AQ1186" s="417"/>
      <c r="AR1186" s="417"/>
      <c r="AS1186" s="417"/>
      <c r="AT1186" s="417"/>
      <c r="AU1186" s="417"/>
      <c r="AV1186" s="417"/>
      <c r="AW1186" s="417"/>
      <c r="AX1186" s="417"/>
      <c r="AY1186" s="417"/>
      <c r="AZ1186" s="417"/>
      <c r="BA1186" s="417"/>
      <c r="BB1186"/>
      <c r="BC1186" s="115"/>
      <c r="BD1186" s="115"/>
      <c r="BE1186" s="115"/>
      <c r="BF1186" s="115"/>
      <c r="BG1186" s="115"/>
      <c r="BH1186" s="124"/>
      <c r="BI1186" s="124"/>
      <c r="BJ1186" s="124"/>
      <c r="BK1186" s="124"/>
      <c r="BL1186" s="124"/>
      <c r="BM1186" s="124"/>
      <c r="BN1186" s="124"/>
      <c r="BO1186" s="124"/>
      <c r="BP1186" s="124"/>
      <c r="BQ1186" s="124"/>
      <c r="BR1186" s="124"/>
      <c r="BS1186" s="124"/>
      <c r="BT1186" s="124"/>
      <c r="BU1186" s="124"/>
      <c r="BV1186" s="124"/>
      <c r="BW1186" s="124"/>
      <c r="BX1186" s="124"/>
      <c r="BY1186" s="124"/>
      <c r="BZ1186" s="124"/>
      <c r="CA1186" s="124"/>
      <c r="CB1186" s="124"/>
      <c r="CC1186" s="124"/>
      <c r="CD1186" s="124"/>
      <c r="CE1186" s="124"/>
      <c r="CF1186" s="124"/>
      <c r="CG1186" s="124"/>
      <c r="CH1186" s="124"/>
      <c r="CI1186" s="124"/>
      <c r="CJ1186" s="124"/>
      <c r="CK1186" s="124"/>
      <c r="CL1186" s="124"/>
      <c r="CM1186" s="124"/>
      <c r="CN1186" s="124"/>
      <c r="CO1186" s="124"/>
      <c r="CP1186" s="124"/>
      <c r="CQ1186" s="124"/>
      <c r="CR1186" s="124"/>
      <c r="CS1186" s="124"/>
      <c r="CT1186" s="124"/>
      <c r="CU1186" s="124"/>
      <c r="CV1186" s="124"/>
      <c r="CW1186" s="124"/>
      <c r="CX1186" s="124"/>
      <c r="CY1186" s="124"/>
      <c r="CZ1186" s="124"/>
      <c r="DA1186" s="124"/>
      <c r="DB1186" s="124"/>
      <c r="DC1186" s="124"/>
      <c r="DD1186" s="124"/>
      <c r="DE1186" s="124"/>
      <c r="DF1186" s="124"/>
      <c r="DG1186" s="115"/>
    </row>
    <row r="1187" spans="1:111" ht="9" customHeight="1">
      <c r="A1187"/>
      <c r="B1187" s="125"/>
      <c r="C1187" s="125"/>
      <c r="D1187" s="125"/>
      <c r="E1187" s="125"/>
      <c r="F1187" s="125"/>
      <c r="G1187" s="125"/>
      <c r="H1187" s="125"/>
      <c r="I1187" s="125"/>
      <c r="J1187" s="125"/>
      <c r="K1187" s="125"/>
      <c r="L1187" s="125"/>
      <c r="M1187" s="125"/>
      <c r="N1187" s="125"/>
      <c r="O1187" s="496"/>
      <c r="P1187" s="496"/>
      <c r="Q1187" s="496"/>
      <c r="R1187" s="496"/>
      <c r="S1187" s="496"/>
      <c r="T1187" s="496"/>
      <c r="U1187" s="496"/>
      <c r="V1187" s="417"/>
      <c r="W1187" s="417"/>
      <c r="X1187" s="417"/>
      <c r="Y1187" s="417"/>
      <c r="Z1187" s="417"/>
      <c r="AA1187" s="417"/>
      <c r="AB1187" s="417"/>
      <c r="AC1187" s="417"/>
      <c r="AD1187" s="417"/>
      <c r="AE1187" s="417"/>
      <c r="AF1187" s="125"/>
      <c r="AG1187" s="497"/>
      <c r="AH1187" s="497"/>
      <c r="AI1187" s="497"/>
      <c r="AJ1187" s="497"/>
      <c r="AK1187" s="497"/>
      <c r="AL1187" s="497"/>
      <c r="AM1187" s="497"/>
      <c r="AN1187" s="125"/>
      <c r="AO1187" s="417"/>
      <c r="AP1187" s="417"/>
      <c r="AQ1187" s="417"/>
      <c r="AR1187" s="417"/>
      <c r="AS1187" s="417"/>
      <c r="AT1187" s="417"/>
      <c r="AU1187" s="417"/>
      <c r="AV1187" s="417"/>
      <c r="AW1187" s="417"/>
      <c r="AX1187" s="417"/>
      <c r="AY1187" s="417"/>
      <c r="AZ1187" s="417"/>
      <c r="BA1187" s="417"/>
      <c r="BB1187"/>
      <c r="BC1187" s="115"/>
      <c r="BD1187" s="115"/>
      <c r="BE1187" s="115"/>
      <c r="BF1187" s="115"/>
      <c r="BG1187" s="115"/>
      <c r="BH1187" s="124"/>
      <c r="BI1187" s="124"/>
      <c r="BJ1187" s="124"/>
      <c r="BK1187" s="124"/>
      <c r="BL1187" s="124"/>
      <c r="BM1187" s="124"/>
      <c r="BN1187" s="124"/>
      <c r="BO1187" s="124"/>
      <c r="BP1187" s="124"/>
      <c r="BQ1187" s="124"/>
      <c r="BR1187" s="124"/>
      <c r="BS1187" s="124"/>
      <c r="BT1187" s="124"/>
      <c r="BU1187" s="124"/>
      <c r="BV1187" s="124"/>
      <c r="BW1187" s="124"/>
      <c r="BX1187" s="124"/>
      <c r="BY1187" s="124"/>
      <c r="BZ1187" s="124"/>
      <c r="CA1187" s="124"/>
      <c r="CB1187" s="124"/>
      <c r="CC1187" s="124"/>
      <c r="CD1187" s="124"/>
      <c r="CE1187" s="124"/>
      <c r="CF1187" s="124"/>
      <c r="CG1187" s="124"/>
      <c r="CH1187" s="124"/>
      <c r="CI1187" s="124"/>
      <c r="CJ1187" s="124"/>
      <c r="CK1187" s="124"/>
      <c r="CL1187" s="124"/>
      <c r="CM1187" s="124"/>
      <c r="CN1187" s="124"/>
      <c r="CO1187" s="124"/>
      <c r="CP1187" s="124"/>
      <c r="CQ1187" s="124"/>
      <c r="CR1187" s="124"/>
      <c r="CS1187" s="124"/>
      <c r="CT1187" s="124"/>
      <c r="CU1187" s="124"/>
      <c r="CV1187" s="124"/>
      <c r="CW1187" s="124"/>
      <c r="CX1187" s="124"/>
      <c r="CY1187" s="124"/>
      <c r="CZ1187" s="124"/>
      <c r="DA1187" s="124"/>
      <c r="DB1187" s="124"/>
      <c r="DC1187" s="124"/>
      <c r="DD1187" s="124"/>
      <c r="DE1187" s="124"/>
      <c r="DF1187" s="124"/>
      <c r="DG1187" s="115"/>
    </row>
    <row r="1188" spans="1:111" ht="9" customHeight="1">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s="115"/>
      <c r="BD1188" s="115"/>
      <c r="BE1188" s="115"/>
      <c r="BF1188" s="115"/>
      <c r="BG1188" s="115"/>
      <c r="BH1188" s="498"/>
      <c r="BI1188" s="498"/>
      <c r="BJ1188" s="498"/>
      <c r="BK1188" s="498"/>
      <c r="BL1188" s="498"/>
      <c r="BM1188" s="498"/>
      <c r="BN1188" s="498"/>
      <c r="BO1188" s="498"/>
      <c r="BP1188" s="498"/>
      <c r="BQ1188" s="498"/>
      <c r="BR1188" s="498"/>
      <c r="BS1188" s="498"/>
      <c r="BT1188" s="498"/>
      <c r="BU1188" s="498"/>
      <c r="BV1188" s="498"/>
      <c r="BW1188" s="498"/>
      <c r="BX1188" s="498"/>
      <c r="BY1188" s="498"/>
      <c r="BZ1188" s="498"/>
      <c r="CA1188" s="498"/>
      <c r="CB1188" s="498"/>
      <c r="CC1188" s="498"/>
      <c r="CD1188" s="498"/>
      <c r="CE1188" s="498"/>
      <c r="CF1188" s="498"/>
      <c r="CG1188" s="498"/>
      <c r="CH1188" s="498"/>
      <c r="CI1188" s="498"/>
      <c r="CJ1188" s="498"/>
      <c r="CK1188" s="498"/>
      <c r="CL1188" s="498"/>
      <c r="CM1188" s="498"/>
      <c r="CN1188" s="498"/>
      <c r="CO1188" s="498"/>
      <c r="CP1188" s="498"/>
      <c r="CQ1188" s="498"/>
      <c r="CR1188" s="498"/>
      <c r="CS1188" s="498"/>
      <c r="CT1188" s="498"/>
      <c r="CU1188" s="498"/>
      <c r="CV1188" s="498"/>
      <c r="CW1188" s="498"/>
      <c r="CX1188" s="498"/>
      <c r="CY1188" s="498"/>
      <c r="CZ1188" s="498"/>
      <c r="DA1188" s="498"/>
      <c r="DB1188" s="498"/>
      <c r="DC1188" s="498"/>
      <c r="DD1188" s="498"/>
      <c r="DE1188" s="498"/>
      <c r="DF1188" s="498"/>
      <c r="DG1188" s="115"/>
    </row>
    <row r="1189" spans="1:111" ht="9" customHeight="1">
      <c r="A1189"/>
      <c r="B1189" s="499" t="str">
        <f>IF($Z$32&gt;=19,"Nome da Empresa ou Nº da Ata","")</f>
        <v/>
      </c>
      <c r="C1189" s="499"/>
      <c r="D1189" s="499"/>
      <c r="E1189" s="499"/>
      <c r="F1189" s="499"/>
      <c r="G1189" s="499"/>
      <c r="H1189" s="499"/>
      <c r="I1189" s="499"/>
      <c r="J1189" s="499"/>
      <c r="K1189" s="499"/>
      <c r="L1189" s="499"/>
      <c r="M1189" s="499"/>
      <c r="N1189" s="499"/>
      <c r="O1189" s="499"/>
      <c r="P1189" s="499"/>
      <c r="Q1189" s="499"/>
      <c r="R1189" s="499"/>
      <c r="S1189" s="499"/>
      <c r="T1189" s="499"/>
      <c r="U1189" s="499"/>
      <c r="V1189" s="499"/>
      <c r="W1189" s="499"/>
      <c r="X1189" s="499" t="str">
        <f>IF($Z$32&gt;=19,"CNPJ / CPF","")</f>
        <v/>
      </c>
      <c r="Y1189" s="499"/>
      <c r="Z1189" s="499"/>
      <c r="AA1189" s="499"/>
      <c r="AB1189" s="499"/>
      <c r="AC1189" s="499"/>
      <c r="AD1189" s="499"/>
      <c r="AE1189" s="499"/>
      <c r="AF1189" s="499"/>
      <c r="AG1189" s="499"/>
      <c r="AH1189" s="499" t="str">
        <f>IF($Z$32&gt;=19,"Qtde","")</f>
        <v/>
      </c>
      <c r="AI1189" s="499"/>
      <c r="AJ1189" s="499"/>
      <c r="AK1189" s="499"/>
      <c r="AL1189" s="499" t="str">
        <f>IF($Z$32&gt;=19,"Valor Unitário (R$)","")</f>
        <v/>
      </c>
      <c r="AM1189" s="499"/>
      <c r="AN1189" s="499"/>
      <c r="AO1189" s="499"/>
      <c r="AP1189" s="499"/>
      <c r="AQ1189" s="499"/>
      <c r="AR1189" s="499"/>
      <c r="AS1189" s="499"/>
      <c r="AT1189" s="499" t="str">
        <f>IF($Z$32&gt;=19,"Valor Total (R$)","")</f>
        <v/>
      </c>
      <c r="AU1189" s="499"/>
      <c r="AV1189" s="499"/>
      <c r="AW1189" s="499"/>
      <c r="AX1189" s="499"/>
      <c r="AY1189" s="499"/>
      <c r="AZ1189" s="499"/>
      <c r="BA1189" s="499"/>
      <c r="BB1189"/>
      <c r="BC1189" s="115"/>
      <c r="BD1189" s="115"/>
      <c r="BE1189" s="115"/>
      <c r="BF1189" s="115"/>
      <c r="BG1189" s="115"/>
      <c r="BH1189" s="498"/>
      <c r="BI1189" s="498"/>
      <c r="BJ1189" s="498"/>
      <c r="BK1189" s="498"/>
      <c r="BL1189" s="498"/>
      <c r="BM1189" s="498"/>
      <c r="BN1189" s="498"/>
      <c r="BO1189" s="498"/>
      <c r="BP1189" s="498"/>
      <c r="BQ1189" s="498"/>
      <c r="BR1189" s="498"/>
      <c r="BS1189" s="498"/>
      <c r="BT1189" s="498"/>
      <c r="BU1189" s="498"/>
      <c r="BV1189" s="498"/>
      <c r="BW1189" s="498"/>
      <c r="BX1189" s="498"/>
      <c r="BY1189" s="498"/>
      <c r="BZ1189" s="498"/>
      <c r="CA1189" s="498"/>
      <c r="CB1189" s="498"/>
      <c r="CC1189" s="498"/>
      <c r="CD1189" s="498"/>
      <c r="CE1189" s="498"/>
      <c r="CF1189" s="498"/>
      <c r="CG1189" s="498"/>
      <c r="CH1189" s="498"/>
      <c r="CI1189" s="498"/>
      <c r="CJ1189" s="498"/>
      <c r="CK1189" s="498"/>
      <c r="CL1189" s="498"/>
      <c r="CM1189" s="498"/>
      <c r="CN1189" s="498"/>
      <c r="CO1189" s="498"/>
      <c r="CP1189" s="498"/>
      <c r="CQ1189" s="498"/>
      <c r="CR1189" s="498"/>
      <c r="CS1189" s="498"/>
      <c r="CT1189" s="498"/>
      <c r="CU1189" s="498"/>
      <c r="CV1189" s="498"/>
      <c r="CW1189" s="498"/>
      <c r="CX1189" s="498"/>
      <c r="CY1189" s="498"/>
      <c r="CZ1189" s="498"/>
      <c r="DA1189" s="498"/>
      <c r="DB1189" s="498"/>
      <c r="DC1189" s="498"/>
      <c r="DD1189" s="498"/>
      <c r="DE1189" s="498"/>
      <c r="DF1189" s="498"/>
      <c r="DG1189" s="115"/>
    </row>
    <row r="1190" spans="1:111" ht="9" customHeight="1">
      <c r="A1190"/>
      <c r="B1190" s="499"/>
      <c r="C1190" s="499"/>
      <c r="D1190" s="499"/>
      <c r="E1190" s="499"/>
      <c r="F1190" s="499"/>
      <c r="G1190" s="499"/>
      <c r="H1190" s="499"/>
      <c r="I1190" s="499"/>
      <c r="J1190" s="499"/>
      <c r="K1190" s="499"/>
      <c r="L1190" s="499"/>
      <c r="M1190" s="499"/>
      <c r="N1190" s="499"/>
      <c r="O1190" s="499"/>
      <c r="P1190" s="499"/>
      <c r="Q1190" s="499"/>
      <c r="R1190" s="499"/>
      <c r="S1190" s="499"/>
      <c r="T1190" s="499"/>
      <c r="U1190" s="499"/>
      <c r="V1190" s="499"/>
      <c r="W1190" s="499"/>
      <c r="X1190" s="499"/>
      <c r="Y1190" s="499"/>
      <c r="Z1190" s="499"/>
      <c r="AA1190" s="499"/>
      <c r="AB1190" s="499"/>
      <c r="AC1190" s="499"/>
      <c r="AD1190" s="499"/>
      <c r="AE1190" s="499"/>
      <c r="AF1190" s="499"/>
      <c r="AG1190" s="499"/>
      <c r="AH1190" s="499"/>
      <c r="AI1190" s="499"/>
      <c r="AJ1190" s="499"/>
      <c r="AK1190" s="499"/>
      <c r="AL1190" s="499"/>
      <c r="AM1190" s="499"/>
      <c r="AN1190" s="499"/>
      <c r="AO1190" s="499"/>
      <c r="AP1190" s="499"/>
      <c r="AQ1190" s="499"/>
      <c r="AR1190" s="499"/>
      <c r="AS1190" s="499"/>
      <c r="AT1190" s="499"/>
      <c r="AU1190" s="499"/>
      <c r="AV1190" s="499"/>
      <c r="AW1190" s="499"/>
      <c r="AX1190" s="499"/>
      <c r="AY1190" s="499"/>
      <c r="AZ1190" s="499"/>
      <c r="BA1190" s="499"/>
      <c r="BB1190" s="176" t="e">
        <f>AVERAGE(AL1191:AS1193)</f>
        <v>#DIV/0!</v>
      </c>
      <c r="BC1190" s="115"/>
      <c r="BD1190" s="115"/>
      <c r="BE1190" s="115"/>
      <c r="BF1190" s="115"/>
      <c r="BG1190" s="115"/>
      <c r="BH1190" s="498"/>
      <c r="BI1190" s="498"/>
      <c r="BJ1190" s="498"/>
      <c r="BK1190" s="498"/>
      <c r="BL1190" s="498"/>
      <c r="BM1190" s="498"/>
      <c r="BN1190" s="498"/>
      <c r="BO1190" s="498"/>
      <c r="BP1190" s="498"/>
      <c r="BQ1190" s="498"/>
      <c r="BR1190" s="498"/>
      <c r="BS1190" s="498"/>
      <c r="BT1190" s="498"/>
      <c r="BU1190" s="498"/>
      <c r="BV1190" s="498"/>
      <c r="BW1190" s="498"/>
      <c r="BX1190" s="498"/>
      <c r="BY1190" s="498"/>
      <c r="BZ1190" s="498"/>
      <c r="CA1190" s="498"/>
      <c r="CB1190" s="498"/>
      <c r="CC1190" s="498"/>
      <c r="CD1190" s="498"/>
      <c r="CE1190" s="498"/>
      <c r="CF1190" s="498"/>
      <c r="CG1190" s="498"/>
      <c r="CH1190" s="498"/>
      <c r="CI1190" s="498"/>
      <c r="CJ1190" s="498"/>
      <c r="CK1190" s="498"/>
      <c r="CL1190" s="498"/>
      <c r="CM1190" s="498"/>
      <c r="CN1190" s="498"/>
      <c r="CO1190" s="498"/>
      <c r="CP1190" s="498"/>
      <c r="CQ1190" s="498"/>
      <c r="CR1190" s="498"/>
      <c r="CS1190" s="498"/>
      <c r="CT1190" s="498"/>
      <c r="CU1190" s="498"/>
      <c r="CV1190" s="498"/>
      <c r="CW1190" s="498"/>
      <c r="CX1190" s="498"/>
      <c r="CY1190" s="498"/>
      <c r="CZ1190" s="498"/>
      <c r="DA1190" s="498"/>
      <c r="DB1190" s="498"/>
      <c r="DC1190" s="498"/>
      <c r="DD1190" s="498"/>
      <c r="DE1190" s="498"/>
      <c r="DF1190" s="498"/>
      <c r="DG1190" s="115"/>
    </row>
    <row r="1191" spans="1:111" ht="18" customHeight="1">
      <c r="A1191"/>
      <c r="B1191" s="233"/>
      <c r="C1191" s="233"/>
      <c r="D1191" s="233"/>
      <c r="E1191" s="233"/>
      <c r="F1191" s="233"/>
      <c r="G1191" s="233"/>
      <c r="H1191" s="233"/>
      <c r="I1191" s="233"/>
      <c r="J1191" s="233"/>
      <c r="K1191" s="233"/>
      <c r="L1191" s="233"/>
      <c r="M1191" s="233"/>
      <c r="N1191" s="233"/>
      <c r="O1191" s="233"/>
      <c r="P1191" s="233"/>
      <c r="Q1191" s="233"/>
      <c r="R1191" s="233"/>
      <c r="S1191" s="233"/>
      <c r="T1191" s="233"/>
      <c r="U1191" s="233"/>
      <c r="V1191" s="233"/>
      <c r="W1191" s="233"/>
      <c r="X1191" s="486"/>
      <c r="Y1191" s="486"/>
      <c r="Z1191" s="486"/>
      <c r="AA1191" s="486"/>
      <c r="AB1191" s="486"/>
      <c r="AC1191" s="486"/>
      <c r="AD1191" s="486"/>
      <c r="AE1191" s="486"/>
      <c r="AF1191" s="486"/>
      <c r="AG1191" s="486"/>
      <c r="AH1191" s="417"/>
      <c r="AI1191" s="417"/>
      <c r="AJ1191" s="417"/>
      <c r="AK1191" s="417"/>
      <c r="AL1191" s="419"/>
      <c r="AM1191" s="419"/>
      <c r="AN1191" s="419"/>
      <c r="AO1191" s="419"/>
      <c r="AP1191" s="419"/>
      <c r="AQ1191" s="419"/>
      <c r="AR1191" s="419"/>
      <c r="AS1191" s="419"/>
      <c r="AT1191" s="487" t="str">
        <f>IF($Z$32&gt;=19,(AH1191*AL1191),"")</f>
        <v/>
      </c>
      <c r="AU1191" s="487"/>
      <c r="AV1191" s="487"/>
      <c r="AW1191" s="487"/>
      <c r="AX1191" s="487"/>
      <c r="AY1191" s="487"/>
      <c r="AZ1191" s="487"/>
      <c r="BA1191" s="487"/>
      <c r="BB1191"/>
      <c r="BC1191" s="115"/>
      <c r="BD1191" s="115"/>
      <c r="BE1191" s="115"/>
      <c r="BF1191" s="115"/>
      <c r="BG1191" s="115"/>
      <c r="BH1191" s="498"/>
      <c r="BI1191" s="498"/>
      <c r="BJ1191" s="498"/>
      <c r="BK1191" s="498"/>
      <c r="BL1191" s="498"/>
      <c r="BM1191" s="498"/>
      <c r="BN1191" s="498"/>
      <c r="BO1191" s="498"/>
      <c r="BP1191" s="498"/>
      <c r="BQ1191" s="498"/>
      <c r="BR1191" s="498"/>
      <c r="BS1191" s="498"/>
      <c r="BT1191" s="498"/>
      <c r="BU1191" s="498"/>
      <c r="BV1191" s="498"/>
      <c r="BW1191" s="498"/>
      <c r="BX1191" s="498"/>
      <c r="BY1191" s="498"/>
      <c r="BZ1191" s="498"/>
      <c r="CA1191" s="498"/>
      <c r="CB1191" s="498"/>
      <c r="CC1191" s="498"/>
      <c r="CD1191" s="498"/>
      <c r="CE1191" s="498"/>
      <c r="CF1191" s="498"/>
      <c r="CG1191" s="498"/>
      <c r="CH1191" s="498"/>
      <c r="CI1191" s="498"/>
      <c r="CJ1191" s="498"/>
      <c r="CK1191" s="498"/>
      <c r="CL1191" s="498"/>
      <c r="CM1191" s="498"/>
      <c r="CN1191" s="498"/>
      <c r="CO1191" s="498"/>
      <c r="CP1191" s="498"/>
      <c r="CQ1191" s="498"/>
      <c r="CR1191" s="498"/>
      <c r="CS1191" s="498"/>
      <c r="CT1191" s="498"/>
      <c r="CU1191" s="498"/>
      <c r="CV1191" s="498"/>
      <c r="CW1191" s="498"/>
      <c r="CX1191" s="498"/>
      <c r="CY1191" s="498"/>
      <c r="CZ1191" s="498"/>
      <c r="DA1191" s="498"/>
      <c r="DB1191" s="498"/>
      <c r="DC1191" s="498"/>
      <c r="DD1191" s="498"/>
      <c r="DE1191" s="498"/>
      <c r="DF1191" s="498"/>
      <c r="DG1191" s="115"/>
    </row>
    <row r="1192" spans="1:111" ht="18" customHeight="1">
      <c r="A1192"/>
      <c r="B1192" s="233"/>
      <c r="C1192" s="233"/>
      <c r="D1192" s="233"/>
      <c r="E1192" s="233"/>
      <c r="F1192" s="233"/>
      <c r="G1192" s="233"/>
      <c r="H1192" s="233"/>
      <c r="I1192" s="233"/>
      <c r="J1192" s="233"/>
      <c r="K1192" s="233"/>
      <c r="L1192" s="233"/>
      <c r="M1192" s="233"/>
      <c r="N1192" s="233"/>
      <c r="O1192" s="233"/>
      <c r="P1192" s="233"/>
      <c r="Q1192" s="233"/>
      <c r="R1192" s="233"/>
      <c r="S1192" s="233"/>
      <c r="T1192" s="233"/>
      <c r="U1192" s="233"/>
      <c r="V1192" s="233"/>
      <c r="W1192" s="233"/>
      <c r="X1192" s="486"/>
      <c r="Y1192" s="486"/>
      <c r="Z1192" s="486"/>
      <c r="AA1192" s="486"/>
      <c r="AB1192" s="486"/>
      <c r="AC1192" s="486"/>
      <c r="AD1192" s="486"/>
      <c r="AE1192" s="486"/>
      <c r="AF1192" s="486"/>
      <c r="AG1192" s="486"/>
      <c r="AH1192" s="417"/>
      <c r="AI1192" s="417"/>
      <c r="AJ1192" s="417"/>
      <c r="AK1192" s="417"/>
      <c r="AL1192" s="419"/>
      <c r="AM1192" s="419"/>
      <c r="AN1192" s="419"/>
      <c r="AO1192" s="419"/>
      <c r="AP1192" s="419"/>
      <c r="AQ1192" s="419"/>
      <c r="AR1192" s="419"/>
      <c r="AS1192" s="419"/>
      <c r="AT1192" s="487" t="str">
        <f>IF($Z$32&gt;=19,(AH1192*AL1192),"")</f>
        <v/>
      </c>
      <c r="AU1192" s="487"/>
      <c r="AV1192" s="487"/>
      <c r="AW1192" s="487"/>
      <c r="AX1192" s="487"/>
      <c r="AY1192" s="487"/>
      <c r="AZ1192" s="487"/>
      <c r="BA1192" s="487"/>
      <c r="BB1192"/>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c r="BY1192" s="115"/>
      <c r="BZ1192" s="115"/>
      <c r="CA1192" s="115"/>
      <c r="CB1192" s="115"/>
      <c r="CC1192" s="115"/>
      <c r="CD1192" s="115"/>
      <c r="CE1192" s="115"/>
      <c r="CF1192" s="115"/>
      <c r="CG1192" s="115"/>
      <c r="CH1192" s="115"/>
      <c r="CI1192" s="115"/>
      <c r="CJ1192" s="115"/>
      <c r="CK1192" s="115"/>
      <c r="CL1192" s="115"/>
      <c r="CM1192" s="115"/>
      <c r="CN1192" s="115"/>
      <c r="CO1192" s="115"/>
      <c r="CP1192" s="115"/>
      <c r="CQ1192" s="115"/>
      <c r="CR1192" s="115"/>
      <c r="CS1192" s="115"/>
      <c r="CT1192" s="115"/>
      <c r="CU1192" s="115"/>
      <c r="CV1192" s="115"/>
      <c r="CW1192" s="115"/>
      <c r="CX1192" s="115"/>
      <c r="CY1192" s="115"/>
      <c r="CZ1192" s="115"/>
      <c r="DA1192" s="115"/>
      <c r="DB1192" s="115"/>
      <c r="DC1192" s="115"/>
      <c r="DD1192" s="115"/>
      <c r="DE1192" s="115"/>
      <c r="DF1192" s="115"/>
      <c r="DG1192" s="115"/>
    </row>
    <row r="1193" spans="1:111" ht="18" customHeight="1">
      <c r="A1193"/>
      <c r="B1193" s="233"/>
      <c r="C1193" s="233"/>
      <c r="D1193" s="233"/>
      <c r="E1193" s="233"/>
      <c r="F1193" s="233"/>
      <c r="G1193" s="233"/>
      <c r="H1193" s="233"/>
      <c r="I1193" s="233"/>
      <c r="J1193" s="233"/>
      <c r="K1193" s="233"/>
      <c r="L1193" s="233"/>
      <c r="M1193" s="233"/>
      <c r="N1193" s="233"/>
      <c r="O1193" s="233"/>
      <c r="P1193" s="233"/>
      <c r="Q1193" s="233"/>
      <c r="R1193" s="233"/>
      <c r="S1193" s="233"/>
      <c r="T1193" s="233"/>
      <c r="U1193" s="233"/>
      <c r="V1193" s="233"/>
      <c r="W1193" s="233"/>
      <c r="X1193" s="486"/>
      <c r="Y1193" s="486"/>
      <c r="Z1193" s="486"/>
      <c r="AA1193" s="486"/>
      <c r="AB1193" s="486"/>
      <c r="AC1193" s="486"/>
      <c r="AD1193" s="486"/>
      <c r="AE1193" s="486"/>
      <c r="AF1193" s="486"/>
      <c r="AG1193" s="486"/>
      <c r="AH1193" s="417"/>
      <c r="AI1193" s="417"/>
      <c r="AJ1193" s="417"/>
      <c r="AK1193" s="417"/>
      <c r="AL1193" s="419"/>
      <c r="AM1193" s="419"/>
      <c r="AN1193" s="419"/>
      <c r="AO1193" s="419"/>
      <c r="AP1193" s="419"/>
      <c r="AQ1193" s="419"/>
      <c r="AR1193" s="419"/>
      <c r="AS1193" s="419"/>
      <c r="AT1193" s="487" t="str">
        <f>IF($Z$32&gt;=19,(AH1193*AL1193),"")</f>
        <v/>
      </c>
      <c r="AU1193" s="487"/>
      <c r="AV1193" s="487"/>
      <c r="AW1193" s="487"/>
      <c r="AX1193" s="487"/>
      <c r="AY1193" s="487"/>
      <c r="AZ1193" s="487"/>
      <c r="BA1193" s="487"/>
      <c r="BB1193"/>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c r="BY1193" s="115"/>
      <c r="BZ1193" s="115"/>
      <c r="CA1193" s="115"/>
      <c r="CB1193" s="115"/>
      <c r="CC1193" s="115"/>
      <c r="CD1193" s="115"/>
      <c r="CE1193" s="115"/>
      <c r="CF1193" s="115"/>
      <c r="CG1193" s="115"/>
      <c r="CH1193" s="115"/>
      <c r="CI1193" s="115"/>
      <c r="CJ1193" s="115"/>
      <c r="CK1193" s="115"/>
      <c r="CL1193" s="115"/>
      <c r="CM1193" s="115"/>
      <c r="CN1193" s="115"/>
      <c r="CO1193" s="115"/>
      <c r="CP1193" s="115"/>
      <c r="CQ1193" s="115"/>
      <c r="CR1193" s="115"/>
      <c r="CS1193" s="115"/>
      <c r="CT1193" s="115"/>
      <c r="CU1193" s="115"/>
      <c r="CV1193" s="115"/>
      <c r="CW1193" s="115"/>
      <c r="CX1193" s="115"/>
      <c r="CY1193" s="115"/>
      <c r="CZ1193" s="115"/>
      <c r="DA1193" s="115"/>
      <c r="DB1193" s="115"/>
      <c r="DC1193" s="115"/>
      <c r="DD1193" s="115"/>
      <c r="DE1193" s="115"/>
      <c r="DF1193" s="115"/>
      <c r="DG1193" s="115"/>
    </row>
    <row r="1194" spans="1:111" ht="15" customHeight="1">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s="500" t="str">
        <f>IF(B1191="","",IF(AL1192="",AT1191,IF(AL1193="",AVERAGE(AT1191:BA1192),AVERAGE(AT1191:AT1193))))</f>
        <v/>
      </c>
      <c r="AU1194" s="500"/>
      <c r="AV1194" s="500"/>
      <c r="AW1194" s="500"/>
      <c r="AX1194" s="500"/>
      <c r="AY1194" s="500"/>
      <c r="AZ1194" s="500"/>
      <c r="BA1194" s="500"/>
      <c r="BB1194"/>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c r="BY1194" s="115"/>
      <c r="BZ1194" s="115"/>
      <c r="CA1194" s="115"/>
      <c r="CB1194" s="115"/>
      <c r="CC1194" s="115"/>
      <c r="CD1194" s="115"/>
      <c r="CE1194" s="115"/>
      <c r="CF1194" s="115"/>
      <c r="CG1194" s="115"/>
      <c r="CH1194" s="115"/>
      <c r="CI1194" s="115"/>
      <c r="CJ1194" s="115"/>
      <c r="CK1194" s="115"/>
      <c r="CL1194" s="115"/>
      <c r="CM1194" s="115"/>
      <c r="CN1194" s="115"/>
      <c r="CO1194" s="115"/>
      <c r="CP1194" s="115"/>
      <c r="CQ1194" s="115"/>
      <c r="CR1194" s="115"/>
      <c r="CS1194" s="115"/>
      <c r="CT1194" s="115"/>
      <c r="CU1194" s="115"/>
      <c r="CV1194" s="115"/>
      <c r="CW1194" s="115"/>
      <c r="CX1194" s="115"/>
      <c r="CY1194" s="115"/>
      <c r="CZ1194" s="115"/>
      <c r="DA1194" s="115"/>
      <c r="DB1194" s="115"/>
      <c r="DC1194" s="115"/>
      <c r="DD1194" s="115"/>
      <c r="DE1194" s="115"/>
      <c r="DF1194" s="115"/>
      <c r="DG1194" s="115"/>
    </row>
    <row r="1195" spans="1:111" ht="15" customHeight="1">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c r="BY1195" s="115"/>
      <c r="BZ1195" s="115"/>
      <c r="CA1195" s="115"/>
      <c r="CB1195" s="115"/>
      <c r="CC1195" s="115"/>
      <c r="CD1195" s="115"/>
      <c r="CE1195" s="115"/>
      <c r="CF1195" s="115"/>
      <c r="CG1195" s="115"/>
      <c r="CH1195" s="115"/>
      <c r="CI1195" s="115"/>
      <c r="CJ1195" s="115"/>
      <c r="CK1195" s="115"/>
      <c r="CL1195" s="115"/>
      <c r="CM1195" s="115"/>
      <c r="CN1195" s="115"/>
      <c r="CO1195" s="115"/>
      <c r="CP1195" s="115"/>
      <c r="CQ1195" s="115"/>
      <c r="CR1195" s="115"/>
      <c r="CS1195" s="115"/>
      <c r="CT1195" s="115"/>
      <c r="CU1195" s="115"/>
      <c r="CV1195" s="115"/>
      <c r="CW1195" s="115"/>
      <c r="CX1195" s="115"/>
      <c r="CY1195" s="115"/>
      <c r="CZ1195" s="115"/>
      <c r="DA1195" s="115"/>
      <c r="DB1195" s="115"/>
      <c r="DC1195" s="115"/>
      <c r="DD1195" s="115"/>
      <c r="DE1195" s="115"/>
      <c r="DF1195" s="115"/>
      <c r="DG1195" s="115"/>
    </row>
    <row r="1196" spans="1:111" ht="9" customHeight="1">
      <c r="A1196"/>
      <c r="B1196" s="494" t="str">
        <f>IF($Z$32&gt;=30,"Item 30","")</f>
        <v/>
      </c>
      <c r="C1196" s="495"/>
      <c r="D1196" s="495"/>
      <c r="E1196" s="495"/>
      <c r="F1196" s="495"/>
      <c r="G1196" s="495"/>
      <c r="H1196" s="495"/>
      <c r="I1196" s="495"/>
      <c r="J1196" s="495"/>
      <c r="K1196" s="495"/>
      <c r="L1196" s="495"/>
      <c r="M1196" s="495"/>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c r="BY1196" s="115"/>
      <c r="BZ1196" s="115"/>
      <c r="CA1196" s="115"/>
      <c r="CB1196" s="115"/>
      <c r="CC1196" s="115"/>
      <c r="CD1196" s="115"/>
      <c r="CE1196" s="115"/>
      <c r="CF1196" s="115"/>
      <c r="CG1196" s="115"/>
      <c r="CH1196" s="115"/>
      <c r="CI1196" s="115"/>
      <c r="CJ1196" s="115"/>
      <c r="CK1196" s="115"/>
      <c r="CL1196" s="115"/>
      <c r="CM1196" s="115"/>
      <c r="CN1196" s="115"/>
      <c r="CO1196" s="115"/>
      <c r="CP1196" s="115"/>
      <c r="CQ1196" s="115"/>
      <c r="CR1196" s="115"/>
      <c r="CS1196" s="115"/>
      <c r="CT1196" s="115"/>
      <c r="CU1196" s="115"/>
      <c r="CV1196" s="115"/>
      <c r="CW1196" s="115"/>
      <c r="CX1196" s="115"/>
      <c r="CY1196" s="115"/>
      <c r="CZ1196" s="115"/>
      <c r="DA1196" s="115"/>
      <c r="DB1196" s="115"/>
      <c r="DC1196" s="115"/>
      <c r="DD1196" s="115"/>
      <c r="DE1196" s="115"/>
      <c r="DF1196" s="115"/>
      <c r="DG1196" s="115"/>
    </row>
    <row r="1197" spans="1:111" ht="9" customHeight="1">
      <c r="A1197"/>
      <c r="B1197" s="495"/>
      <c r="C1197" s="495"/>
      <c r="D1197" s="495"/>
      <c r="E1197" s="495"/>
      <c r="F1197" s="495"/>
      <c r="G1197" s="495"/>
      <c r="H1197" s="495"/>
      <c r="I1197" s="495"/>
      <c r="J1197" s="495"/>
      <c r="K1197" s="495"/>
      <c r="L1197" s="495"/>
      <c r="M1197" s="495"/>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c r="BY1197" s="115"/>
      <c r="BZ1197" s="115"/>
      <c r="CA1197" s="115"/>
      <c r="CB1197" s="115"/>
      <c r="CC1197" s="115"/>
      <c r="CD1197" s="115"/>
      <c r="CE1197" s="115"/>
      <c r="CF1197" s="115"/>
      <c r="CG1197" s="115"/>
      <c r="CH1197" s="115"/>
      <c r="CI1197" s="115"/>
      <c r="CJ1197" s="115"/>
      <c r="CK1197" s="115"/>
      <c r="CL1197" s="115"/>
      <c r="CM1197" s="115"/>
      <c r="CN1197" s="115"/>
      <c r="CO1197" s="115"/>
      <c r="CP1197" s="115"/>
      <c r="CQ1197" s="115"/>
      <c r="CR1197" s="115"/>
      <c r="CS1197" s="115"/>
      <c r="CT1197" s="115"/>
      <c r="CU1197" s="115"/>
      <c r="CV1197" s="115"/>
      <c r="CW1197" s="115"/>
      <c r="CX1197" s="115"/>
      <c r="CY1197" s="115"/>
      <c r="CZ1197" s="115"/>
      <c r="DA1197" s="115"/>
      <c r="DB1197" s="115"/>
      <c r="DC1197" s="115"/>
      <c r="DD1197" s="115"/>
      <c r="DE1197" s="115"/>
      <c r="DF1197" s="115"/>
      <c r="DG1197" s="115"/>
    </row>
    <row r="1198" spans="1:111" ht="4.5" customHeight="1">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c r="BY1198" s="115"/>
      <c r="BZ1198" s="115"/>
      <c r="CA1198" s="115"/>
      <c r="CB1198" s="115"/>
      <c r="CC1198" s="115"/>
      <c r="CD1198" s="115"/>
      <c r="CE1198" s="115"/>
      <c r="CF1198" s="115"/>
      <c r="CG1198" s="115"/>
      <c r="CH1198" s="115"/>
      <c r="CI1198" s="115"/>
      <c r="CJ1198" s="115"/>
      <c r="CK1198" s="115"/>
      <c r="CL1198" s="115"/>
      <c r="CM1198" s="115"/>
      <c r="CN1198" s="115"/>
      <c r="CO1198" s="115"/>
      <c r="CP1198" s="115"/>
      <c r="CQ1198" s="115"/>
      <c r="CR1198" s="115"/>
      <c r="CS1198" s="115"/>
      <c r="CT1198" s="115"/>
      <c r="CU1198" s="115"/>
      <c r="CV1198" s="115"/>
      <c r="CW1198" s="115"/>
      <c r="CX1198" s="115"/>
      <c r="CY1198" s="115"/>
      <c r="CZ1198" s="115"/>
      <c r="DA1198" s="115"/>
      <c r="DB1198" s="115"/>
      <c r="DC1198" s="115"/>
      <c r="DD1198" s="115"/>
      <c r="DE1198" s="115"/>
      <c r="DF1198" s="115"/>
      <c r="DG1198" s="115"/>
    </row>
    <row r="1199" spans="1:111" ht="9" customHeight="1">
      <c r="A1199"/>
      <c r="B1199" s="493" t="str">
        <f>IF(B1196="","","Elemento de Despesa:")</f>
        <v/>
      </c>
      <c r="C1199" s="493"/>
      <c r="D1199" s="493"/>
      <c r="E1199" s="493"/>
      <c r="F1199" s="493"/>
      <c r="G1199" s="493"/>
      <c r="H1199" s="493"/>
      <c r="I1199" s="493"/>
      <c r="J1199" s="493"/>
      <c r="K1199" s="493"/>
      <c r="L1199" s="493"/>
      <c r="M1199" s="493"/>
      <c r="N1199" s="493"/>
      <c r="O1199" s="241"/>
      <c r="P1199" s="241"/>
      <c r="Q1199" s="241"/>
      <c r="R1199" s="241"/>
      <c r="S1199" s="241"/>
      <c r="T1199" s="241"/>
      <c r="U1199" s="241"/>
      <c r="V1199" s="241"/>
      <c r="W1199" s="241"/>
      <c r="X1199" s="241"/>
      <c r="Y1199" s="241"/>
      <c r="Z1199" s="241"/>
      <c r="AA1199" s="241"/>
      <c r="AB1199" s="241"/>
      <c r="AC1199" s="241"/>
      <c r="AD1199" s="241"/>
      <c r="AE1199" s="241"/>
      <c r="AF1199" s="241"/>
      <c r="AG1199" s="241"/>
      <c r="AH1199" s="241"/>
      <c r="AI1199" s="241"/>
      <c r="AJ1199" s="241"/>
      <c r="AK1199" s="241"/>
      <c r="AL1199" s="241"/>
      <c r="AM1199" s="241"/>
      <c r="AN1199" s="241"/>
      <c r="AO1199" s="241"/>
      <c r="AP1199" s="241"/>
      <c r="AQ1199" s="241"/>
      <c r="AR1199" s="241"/>
      <c r="AS1199" s="241"/>
      <c r="AT1199" s="241"/>
      <c r="AU1199" s="241"/>
      <c r="AV1199" s="241"/>
      <c r="AW1199" s="241"/>
      <c r="AX1199" s="241"/>
      <c r="AY1199" s="241"/>
      <c r="AZ1199" s="241"/>
      <c r="BA1199" s="241"/>
      <c r="BB1199"/>
      <c r="BC1199" s="115"/>
      <c r="BD1199" s="115"/>
      <c r="BE1199" s="115"/>
      <c r="BF1199" s="115"/>
      <c r="BG1199" s="115"/>
      <c r="BH1199" s="124"/>
      <c r="BI1199" s="124"/>
      <c r="BJ1199" s="124"/>
      <c r="BK1199" s="124"/>
      <c r="BL1199" s="124"/>
      <c r="BM1199" s="124"/>
      <c r="BN1199" s="124"/>
      <c r="BO1199" s="124"/>
      <c r="BP1199" s="124"/>
      <c r="BQ1199" s="124"/>
      <c r="BR1199" s="124"/>
      <c r="BS1199" s="124"/>
      <c r="BT1199" s="124"/>
      <c r="BU1199" s="124"/>
      <c r="BV1199" s="124"/>
      <c r="BW1199" s="124"/>
      <c r="BX1199" s="124"/>
      <c r="BY1199" s="124"/>
      <c r="BZ1199" s="124"/>
      <c r="CA1199" s="124"/>
      <c r="CB1199" s="124"/>
      <c r="CC1199" s="124"/>
      <c r="CD1199" s="124"/>
      <c r="CE1199" s="124"/>
      <c r="CF1199" s="124"/>
      <c r="CG1199" s="124"/>
      <c r="CH1199" s="124"/>
      <c r="CI1199" s="124"/>
      <c r="CJ1199" s="124"/>
      <c r="CK1199" s="124"/>
      <c r="CL1199" s="124"/>
      <c r="CM1199" s="124"/>
      <c r="CN1199" s="124"/>
      <c r="CO1199" s="124"/>
      <c r="CP1199" s="124"/>
      <c r="CQ1199" s="124"/>
      <c r="CR1199" s="124"/>
      <c r="CS1199" s="124"/>
      <c r="CT1199" s="124"/>
      <c r="CU1199" s="124"/>
      <c r="CV1199" s="124"/>
      <c r="CW1199" s="124"/>
      <c r="CX1199" s="124"/>
      <c r="CY1199" s="124"/>
      <c r="CZ1199" s="124"/>
      <c r="DA1199" s="124"/>
      <c r="DB1199" s="124"/>
      <c r="DC1199" s="124"/>
      <c r="DD1199" s="124"/>
      <c r="DE1199" s="124"/>
      <c r="DF1199" s="124"/>
      <c r="DG1199" s="115"/>
    </row>
    <row r="1200" spans="1:111" ht="9" customHeight="1">
      <c r="A1200"/>
      <c r="B1200" s="493"/>
      <c r="C1200" s="493"/>
      <c r="D1200" s="493"/>
      <c r="E1200" s="493"/>
      <c r="F1200" s="493"/>
      <c r="G1200" s="493"/>
      <c r="H1200" s="493"/>
      <c r="I1200" s="493"/>
      <c r="J1200" s="493"/>
      <c r="K1200" s="493"/>
      <c r="L1200" s="493"/>
      <c r="M1200" s="493"/>
      <c r="N1200" s="493"/>
      <c r="O1200" s="241"/>
      <c r="P1200" s="241"/>
      <c r="Q1200" s="241"/>
      <c r="R1200" s="241"/>
      <c r="S1200" s="241"/>
      <c r="T1200" s="241"/>
      <c r="U1200" s="241"/>
      <c r="V1200" s="241"/>
      <c r="W1200" s="241"/>
      <c r="X1200" s="241"/>
      <c r="Y1200" s="241"/>
      <c r="Z1200" s="241"/>
      <c r="AA1200" s="241"/>
      <c r="AB1200" s="241"/>
      <c r="AC1200" s="241"/>
      <c r="AD1200" s="241"/>
      <c r="AE1200" s="241"/>
      <c r="AF1200" s="241"/>
      <c r="AG1200" s="241"/>
      <c r="AH1200" s="241"/>
      <c r="AI1200" s="241"/>
      <c r="AJ1200" s="241"/>
      <c r="AK1200" s="241"/>
      <c r="AL1200" s="241"/>
      <c r="AM1200" s="241"/>
      <c r="AN1200" s="241"/>
      <c r="AO1200" s="241"/>
      <c r="AP1200" s="241"/>
      <c r="AQ1200" s="241"/>
      <c r="AR1200" s="241"/>
      <c r="AS1200" s="241"/>
      <c r="AT1200" s="241"/>
      <c r="AU1200" s="241"/>
      <c r="AV1200" s="241"/>
      <c r="AW1200" s="241"/>
      <c r="AX1200" s="241"/>
      <c r="AY1200" s="241"/>
      <c r="AZ1200" s="241"/>
      <c r="BA1200" s="241"/>
      <c r="BB1200"/>
      <c r="BC1200" s="115"/>
      <c r="BD1200" s="115"/>
      <c r="BE1200" s="115"/>
      <c r="BF1200" s="115"/>
      <c r="BG1200" s="115"/>
      <c r="BH1200" s="124"/>
      <c r="BI1200" s="124"/>
      <c r="BJ1200" s="124"/>
      <c r="BK1200" s="124"/>
      <c r="BL1200" s="124"/>
      <c r="BM1200" s="124"/>
      <c r="BN1200" s="124"/>
      <c r="BO1200" s="124"/>
      <c r="BP1200" s="124"/>
      <c r="BQ1200" s="124"/>
      <c r="BR1200" s="124"/>
      <c r="BS1200" s="124"/>
      <c r="BT1200" s="124"/>
      <c r="BU1200" s="124"/>
      <c r="BV1200" s="124"/>
      <c r="BW1200" s="124"/>
      <c r="BX1200" s="124"/>
      <c r="BY1200" s="124"/>
      <c r="BZ1200" s="124"/>
      <c r="CA1200" s="124"/>
      <c r="CB1200" s="124"/>
      <c r="CC1200" s="124"/>
      <c r="CD1200" s="124"/>
      <c r="CE1200" s="124"/>
      <c r="CF1200" s="124"/>
      <c r="CG1200" s="124"/>
      <c r="CH1200" s="124"/>
      <c r="CI1200" s="124"/>
      <c r="CJ1200" s="124"/>
      <c r="CK1200" s="124"/>
      <c r="CL1200" s="124"/>
      <c r="CM1200" s="124"/>
      <c r="CN1200" s="124"/>
      <c r="CO1200" s="124"/>
      <c r="CP1200" s="124"/>
      <c r="CQ1200" s="124"/>
      <c r="CR1200" s="124"/>
      <c r="CS1200" s="124"/>
      <c r="CT1200" s="124"/>
      <c r="CU1200" s="124"/>
      <c r="CV1200" s="124"/>
      <c r="CW1200" s="124"/>
      <c r="CX1200" s="124"/>
      <c r="CY1200" s="124"/>
      <c r="CZ1200" s="124"/>
      <c r="DA1200" s="124"/>
      <c r="DB1200" s="124"/>
      <c r="DC1200" s="124"/>
      <c r="DD1200" s="124"/>
      <c r="DE1200" s="124"/>
      <c r="DF1200" s="124"/>
      <c r="DG1200" s="115"/>
    </row>
    <row r="1201" spans="1:111" ht="4.5" customHeight="1">
      <c r="A1201"/>
      <c r="B1201" s="49"/>
      <c r="C1201" s="49"/>
      <c r="D1201" s="49"/>
      <c r="E1201" s="49"/>
      <c r="F1201" s="49"/>
      <c r="G1201" s="49"/>
      <c r="H1201" s="49"/>
      <c r="I1201" s="49"/>
      <c r="J1201" s="49"/>
      <c r="K1201" s="49"/>
      <c r="L1201" s="49"/>
      <c r="M1201" s="49"/>
      <c r="N1201" s="49"/>
      <c r="O1201" s="49"/>
      <c r="P1201" s="49"/>
      <c r="Q1201" s="49"/>
      <c r="R1201" s="49"/>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49"/>
      <c r="AS1201" s="49"/>
      <c r="AT1201" s="49"/>
      <c r="AU1201" s="49"/>
      <c r="AV1201" s="49"/>
      <c r="AW1201" s="49"/>
      <c r="AX1201" s="49"/>
      <c r="AY1201" s="49"/>
      <c r="AZ1201" s="49"/>
      <c r="BA1201" s="49"/>
      <c r="BB1201"/>
      <c r="BC1201" s="115"/>
      <c r="BD1201" s="115"/>
      <c r="BE1201" s="115"/>
      <c r="BF1201" s="115"/>
      <c r="BG1201" s="115"/>
      <c r="BH1201" s="124"/>
      <c r="BI1201" s="124"/>
      <c r="BJ1201" s="124"/>
      <c r="BK1201" s="124"/>
      <c r="BL1201" s="124"/>
      <c r="BM1201" s="124"/>
      <c r="BN1201" s="124"/>
      <c r="BO1201" s="124"/>
      <c r="BP1201" s="124"/>
      <c r="BQ1201" s="124"/>
      <c r="BR1201" s="124"/>
      <c r="BS1201" s="124"/>
      <c r="BT1201" s="124"/>
      <c r="BU1201" s="124"/>
      <c r="BV1201" s="124"/>
      <c r="BW1201" s="124"/>
      <c r="BX1201" s="124"/>
      <c r="BY1201" s="124"/>
      <c r="BZ1201" s="124"/>
      <c r="CA1201" s="124"/>
      <c r="CB1201" s="124"/>
      <c r="CC1201" s="124"/>
      <c r="CD1201" s="124"/>
      <c r="CE1201" s="124"/>
      <c r="CF1201" s="124"/>
      <c r="CG1201" s="124"/>
      <c r="CH1201" s="124"/>
      <c r="CI1201" s="124"/>
      <c r="CJ1201" s="124"/>
      <c r="CK1201" s="124"/>
      <c r="CL1201" s="124"/>
      <c r="CM1201" s="124"/>
      <c r="CN1201" s="124"/>
      <c r="CO1201" s="124"/>
      <c r="CP1201" s="124"/>
      <c r="CQ1201" s="124"/>
      <c r="CR1201" s="124"/>
      <c r="CS1201" s="124"/>
      <c r="CT1201" s="124"/>
      <c r="CU1201" s="124"/>
      <c r="CV1201" s="124"/>
      <c r="CW1201" s="124"/>
      <c r="CX1201" s="124"/>
      <c r="CY1201" s="124"/>
      <c r="CZ1201" s="124"/>
      <c r="DA1201" s="124"/>
      <c r="DB1201" s="124"/>
      <c r="DC1201" s="124"/>
      <c r="DD1201" s="124"/>
      <c r="DE1201" s="124"/>
      <c r="DF1201" s="124"/>
      <c r="DG1201" s="115"/>
    </row>
    <row r="1202" spans="1:111" ht="9" customHeight="1">
      <c r="A1202"/>
      <c r="B1202" s="493" t="str">
        <f>IF(B1196="","","Objeto:")</f>
        <v/>
      </c>
      <c r="C1202" s="493"/>
      <c r="D1202" s="493"/>
      <c r="E1202" s="493"/>
      <c r="F1202" s="493"/>
      <c r="G1202" s="493"/>
      <c r="H1202" s="493"/>
      <c r="I1202" s="493"/>
      <c r="J1202" s="493"/>
      <c r="K1202" s="493"/>
      <c r="L1202" s="493"/>
      <c r="M1202" s="493"/>
      <c r="N1202" s="493"/>
      <c r="O1202" s="421"/>
      <c r="P1202" s="421"/>
      <c r="Q1202" s="421"/>
      <c r="R1202" s="421"/>
      <c r="S1202" s="421"/>
      <c r="T1202" s="421"/>
      <c r="U1202" s="421"/>
      <c r="V1202" s="421"/>
      <c r="W1202" s="421"/>
      <c r="X1202" s="421"/>
      <c r="Y1202" s="421"/>
      <c r="Z1202" s="421"/>
      <c r="AA1202" s="421"/>
      <c r="AB1202" s="421"/>
      <c r="AC1202" s="421"/>
      <c r="AD1202" s="421"/>
      <c r="AE1202" s="421"/>
      <c r="AF1202" s="421"/>
      <c r="AG1202" s="421"/>
      <c r="AH1202" s="421"/>
      <c r="AI1202" s="421"/>
      <c r="AJ1202" s="421"/>
      <c r="AK1202" s="421"/>
      <c r="AL1202" s="421"/>
      <c r="AM1202" s="421"/>
      <c r="AN1202" s="421"/>
      <c r="AO1202" s="421"/>
      <c r="AP1202" s="421"/>
      <c r="AQ1202" s="421"/>
      <c r="AR1202" s="421"/>
      <c r="AS1202" s="421"/>
      <c r="AT1202" s="421"/>
      <c r="AU1202" s="421"/>
      <c r="AV1202" s="421"/>
      <c r="AW1202" s="421"/>
      <c r="AX1202" s="421"/>
      <c r="AY1202" s="421"/>
      <c r="AZ1202" s="421"/>
      <c r="BA1202" s="421"/>
      <c r="BB1202"/>
      <c r="BC1202" s="115"/>
      <c r="BD1202" s="115"/>
      <c r="BE1202" s="115"/>
      <c r="BF1202" s="115"/>
      <c r="BG1202" s="115"/>
      <c r="BH1202" s="124"/>
      <c r="BI1202" s="124"/>
      <c r="BJ1202" s="124"/>
      <c r="BK1202" s="124"/>
      <c r="BL1202" s="124"/>
      <c r="BM1202" s="124"/>
      <c r="BN1202" s="124"/>
      <c r="BO1202" s="124"/>
      <c r="BP1202" s="124"/>
      <c r="BQ1202" s="124"/>
      <c r="BR1202" s="124"/>
      <c r="BS1202" s="124"/>
      <c r="BT1202" s="124"/>
      <c r="BU1202" s="124"/>
      <c r="BV1202" s="124"/>
      <c r="BW1202" s="124"/>
      <c r="BX1202" s="124"/>
      <c r="BY1202" s="124"/>
      <c r="BZ1202" s="124"/>
      <c r="CA1202" s="124"/>
      <c r="CB1202" s="124"/>
      <c r="CC1202" s="124"/>
      <c r="CD1202" s="124"/>
      <c r="CE1202" s="124"/>
      <c r="CF1202" s="124"/>
      <c r="CG1202" s="124"/>
      <c r="CH1202" s="124"/>
      <c r="CI1202" s="124"/>
      <c r="CJ1202" s="124"/>
      <c r="CK1202" s="124"/>
      <c r="CL1202" s="124"/>
      <c r="CM1202" s="124"/>
      <c r="CN1202" s="124"/>
      <c r="CO1202" s="124"/>
      <c r="CP1202" s="124"/>
      <c r="CQ1202" s="124"/>
      <c r="CR1202" s="124"/>
      <c r="CS1202" s="124"/>
      <c r="CT1202" s="124"/>
      <c r="CU1202" s="124"/>
      <c r="CV1202" s="124"/>
      <c r="CW1202" s="124"/>
      <c r="CX1202" s="124"/>
      <c r="CY1202" s="124"/>
      <c r="CZ1202" s="124"/>
      <c r="DA1202" s="124"/>
      <c r="DB1202" s="124"/>
      <c r="DC1202" s="124"/>
      <c r="DD1202" s="124"/>
      <c r="DE1202" s="124"/>
      <c r="DF1202" s="124"/>
      <c r="DG1202" s="115"/>
    </row>
    <row r="1203" spans="1:111" ht="9" customHeight="1">
      <c r="A1203"/>
      <c r="B1203" s="493"/>
      <c r="C1203" s="493"/>
      <c r="D1203" s="493"/>
      <c r="E1203" s="493"/>
      <c r="F1203" s="493"/>
      <c r="G1203" s="493"/>
      <c r="H1203" s="493"/>
      <c r="I1203" s="493"/>
      <c r="J1203" s="493"/>
      <c r="K1203" s="493"/>
      <c r="L1203" s="493"/>
      <c r="M1203" s="493"/>
      <c r="N1203" s="493"/>
      <c r="O1203" s="421"/>
      <c r="P1203" s="421"/>
      <c r="Q1203" s="421"/>
      <c r="R1203" s="421"/>
      <c r="S1203" s="421"/>
      <c r="T1203" s="421"/>
      <c r="U1203" s="421"/>
      <c r="V1203" s="421"/>
      <c r="W1203" s="421"/>
      <c r="X1203" s="421"/>
      <c r="Y1203" s="421"/>
      <c r="Z1203" s="421"/>
      <c r="AA1203" s="421"/>
      <c r="AB1203" s="421"/>
      <c r="AC1203" s="421"/>
      <c r="AD1203" s="421"/>
      <c r="AE1203" s="421"/>
      <c r="AF1203" s="421"/>
      <c r="AG1203" s="421"/>
      <c r="AH1203" s="421"/>
      <c r="AI1203" s="421"/>
      <c r="AJ1203" s="421"/>
      <c r="AK1203" s="421"/>
      <c r="AL1203" s="421"/>
      <c r="AM1203" s="421"/>
      <c r="AN1203" s="421"/>
      <c r="AO1203" s="421"/>
      <c r="AP1203" s="421"/>
      <c r="AQ1203" s="421"/>
      <c r="AR1203" s="421"/>
      <c r="AS1203" s="421"/>
      <c r="AT1203" s="421"/>
      <c r="AU1203" s="421"/>
      <c r="AV1203" s="421"/>
      <c r="AW1203" s="421"/>
      <c r="AX1203" s="421"/>
      <c r="AY1203" s="421"/>
      <c r="AZ1203" s="421"/>
      <c r="BA1203" s="421"/>
      <c r="BB1203"/>
      <c r="BC1203" s="115"/>
      <c r="BD1203" s="115"/>
      <c r="BE1203" s="115"/>
      <c r="BF1203" s="115"/>
      <c r="BG1203" s="115"/>
      <c r="BH1203" s="124"/>
      <c r="BI1203" s="124"/>
      <c r="BJ1203" s="124"/>
      <c r="BK1203" s="124"/>
      <c r="BL1203" s="124"/>
      <c r="BM1203" s="124"/>
      <c r="BN1203" s="124"/>
      <c r="BO1203" s="124"/>
      <c r="BP1203" s="124"/>
      <c r="BQ1203" s="124"/>
      <c r="BR1203" s="124"/>
      <c r="BS1203" s="124"/>
      <c r="BT1203" s="124"/>
      <c r="BU1203" s="124"/>
      <c r="BV1203" s="124"/>
      <c r="BW1203" s="124"/>
      <c r="BX1203" s="124"/>
      <c r="BY1203" s="124"/>
      <c r="BZ1203" s="124"/>
      <c r="CA1203" s="124"/>
      <c r="CB1203" s="124"/>
      <c r="CC1203" s="124"/>
      <c r="CD1203" s="124"/>
      <c r="CE1203" s="124"/>
      <c r="CF1203" s="124"/>
      <c r="CG1203" s="124"/>
      <c r="CH1203" s="124"/>
      <c r="CI1203" s="124"/>
      <c r="CJ1203" s="124"/>
      <c r="CK1203" s="124"/>
      <c r="CL1203" s="124"/>
      <c r="CM1203" s="124"/>
      <c r="CN1203" s="124"/>
      <c r="CO1203" s="124"/>
      <c r="CP1203" s="124"/>
      <c r="CQ1203" s="124"/>
      <c r="CR1203" s="124"/>
      <c r="CS1203" s="124"/>
      <c r="CT1203" s="124"/>
      <c r="CU1203" s="124"/>
      <c r="CV1203" s="124"/>
      <c r="CW1203" s="124"/>
      <c r="CX1203" s="124"/>
      <c r="CY1203" s="124"/>
      <c r="CZ1203" s="124"/>
      <c r="DA1203" s="124"/>
      <c r="DB1203" s="124"/>
      <c r="DC1203" s="124"/>
      <c r="DD1203" s="124"/>
      <c r="DE1203" s="124"/>
      <c r="DF1203" s="124"/>
      <c r="DG1203" s="115"/>
    </row>
    <row r="1204" spans="1:111" ht="9" customHeight="1">
      <c r="A1204"/>
      <c r="B1204" s="143"/>
      <c r="C1204" s="143"/>
      <c r="D1204" s="143"/>
      <c r="E1204" s="143"/>
      <c r="F1204" s="143"/>
      <c r="G1204" s="143"/>
      <c r="H1204" s="143"/>
      <c r="I1204" s="143"/>
      <c r="J1204" s="143"/>
      <c r="K1204" s="143"/>
      <c r="L1204" s="143"/>
      <c r="M1204" s="143"/>
      <c r="N1204" s="143"/>
      <c r="O1204" s="421"/>
      <c r="P1204" s="421"/>
      <c r="Q1204" s="421"/>
      <c r="R1204" s="421"/>
      <c r="S1204" s="421"/>
      <c r="T1204" s="421"/>
      <c r="U1204" s="421"/>
      <c r="V1204" s="421"/>
      <c r="W1204" s="421"/>
      <c r="X1204" s="421"/>
      <c r="Y1204" s="421"/>
      <c r="Z1204" s="421"/>
      <c r="AA1204" s="421"/>
      <c r="AB1204" s="421"/>
      <c r="AC1204" s="421"/>
      <c r="AD1204" s="421"/>
      <c r="AE1204" s="421"/>
      <c r="AF1204" s="421"/>
      <c r="AG1204" s="421"/>
      <c r="AH1204" s="421"/>
      <c r="AI1204" s="421"/>
      <c r="AJ1204" s="421"/>
      <c r="AK1204" s="421"/>
      <c r="AL1204" s="421"/>
      <c r="AM1204" s="421"/>
      <c r="AN1204" s="421"/>
      <c r="AO1204" s="421"/>
      <c r="AP1204" s="421"/>
      <c r="AQ1204" s="421"/>
      <c r="AR1204" s="421"/>
      <c r="AS1204" s="421"/>
      <c r="AT1204" s="421"/>
      <c r="AU1204" s="421"/>
      <c r="AV1204" s="421"/>
      <c r="AW1204" s="421"/>
      <c r="AX1204" s="421"/>
      <c r="AY1204" s="421"/>
      <c r="AZ1204" s="421"/>
      <c r="BA1204" s="421"/>
      <c r="BB1204"/>
      <c r="BC1204" s="115"/>
      <c r="BD1204" s="115"/>
      <c r="BE1204" s="115"/>
      <c r="BF1204" s="115"/>
      <c r="BG1204" s="115"/>
      <c r="BH1204" s="138"/>
      <c r="BI1204" s="138"/>
      <c r="BJ1204" s="138"/>
      <c r="BK1204" s="138"/>
      <c r="BL1204" s="138"/>
      <c r="BM1204" s="138"/>
      <c r="BN1204" s="138"/>
      <c r="BO1204" s="138"/>
      <c r="BP1204" s="138"/>
      <c r="BQ1204" s="138"/>
      <c r="BR1204" s="138"/>
      <c r="BS1204" s="138"/>
      <c r="BT1204" s="138"/>
      <c r="BU1204" s="138"/>
      <c r="BV1204" s="138"/>
      <c r="BW1204" s="138"/>
      <c r="BX1204" s="138"/>
      <c r="BY1204" s="138"/>
      <c r="BZ1204" s="138"/>
      <c r="CA1204" s="138"/>
      <c r="CB1204" s="138"/>
      <c r="CC1204" s="138"/>
      <c r="CD1204" s="138"/>
      <c r="CE1204" s="138"/>
      <c r="CF1204" s="138"/>
      <c r="CG1204" s="138"/>
      <c r="CH1204" s="138"/>
      <c r="CI1204" s="138"/>
      <c r="CJ1204" s="138"/>
      <c r="CK1204" s="138"/>
      <c r="CL1204" s="138"/>
      <c r="CM1204" s="138"/>
      <c r="CN1204" s="138"/>
      <c r="CO1204" s="138"/>
      <c r="CP1204" s="138"/>
      <c r="CQ1204" s="138"/>
      <c r="CR1204" s="138"/>
      <c r="CS1204" s="138"/>
      <c r="CT1204" s="138"/>
      <c r="CU1204" s="138"/>
      <c r="CV1204" s="138"/>
      <c r="CW1204" s="138"/>
      <c r="CX1204" s="138"/>
      <c r="CY1204" s="138"/>
      <c r="CZ1204" s="138"/>
      <c r="DA1204" s="138"/>
      <c r="DB1204" s="138"/>
      <c r="DC1204" s="138"/>
      <c r="DD1204" s="138"/>
      <c r="DE1204" s="138"/>
      <c r="DF1204" s="138"/>
      <c r="DG1204" s="115"/>
    </row>
    <row r="1205" spans="1:111" ht="9" customHeight="1">
      <c r="A1205"/>
      <c r="B1205" s="49"/>
      <c r="C1205" s="49"/>
      <c r="D1205" s="49"/>
      <c r="E1205" s="49"/>
      <c r="F1205" s="49"/>
      <c r="G1205" s="49"/>
      <c r="H1205" s="49"/>
      <c r="I1205" s="49"/>
      <c r="J1205" s="49"/>
      <c r="K1205" s="49"/>
      <c r="L1205" s="49"/>
      <c r="M1205" s="49"/>
      <c r="N1205" s="49"/>
      <c r="O1205" s="421"/>
      <c r="P1205" s="421"/>
      <c r="Q1205" s="421"/>
      <c r="R1205" s="421"/>
      <c r="S1205" s="421"/>
      <c r="T1205" s="421"/>
      <c r="U1205" s="421"/>
      <c r="V1205" s="421"/>
      <c r="W1205" s="421"/>
      <c r="X1205" s="421"/>
      <c r="Y1205" s="421"/>
      <c r="Z1205" s="421"/>
      <c r="AA1205" s="421"/>
      <c r="AB1205" s="421"/>
      <c r="AC1205" s="421"/>
      <c r="AD1205" s="421"/>
      <c r="AE1205" s="421"/>
      <c r="AF1205" s="421"/>
      <c r="AG1205" s="421"/>
      <c r="AH1205" s="421"/>
      <c r="AI1205" s="421"/>
      <c r="AJ1205" s="421"/>
      <c r="AK1205" s="421"/>
      <c r="AL1205" s="421"/>
      <c r="AM1205" s="421"/>
      <c r="AN1205" s="421"/>
      <c r="AO1205" s="421"/>
      <c r="AP1205" s="421"/>
      <c r="AQ1205" s="421"/>
      <c r="AR1205" s="421"/>
      <c r="AS1205" s="421"/>
      <c r="AT1205" s="421"/>
      <c r="AU1205" s="421"/>
      <c r="AV1205" s="421"/>
      <c r="AW1205" s="421"/>
      <c r="AX1205" s="421"/>
      <c r="AY1205" s="421"/>
      <c r="AZ1205" s="421"/>
      <c r="BA1205" s="421"/>
      <c r="BB120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c r="BY1205" s="115"/>
      <c r="BZ1205" s="115"/>
      <c r="CA1205" s="115"/>
      <c r="CB1205" s="115"/>
      <c r="CC1205" s="115"/>
      <c r="CD1205" s="115"/>
      <c r="CE1205" s="115"/>
      <c r="CF1205" s="115"/>
      <c r="CG1205" s="115"/>
      <c r="CH1205" s="115"/>
      <c r="CI1205" s="115"/>
      <c r="CJ1205" s="115"/>
      <c r="CK1205" s="115"/>
      <c r="CL1205" s="115"/>
      <c r="CM1205" s="115"/>
      <c r="CN1205" s="115"/>
      <c r="CO1205" s="115"/>
      <c r="CP1205" s="115"/>
      <c r="CQ1205" s="115"/>
      <c r="CR1205" s="115"/>
      <c r="CS1205" s="115"/>
      <c r="CT1205" s="115"/>
      <c r="CU1205" s="115"/>
      <c r="CV1205" s="115"/>
      <c r="CW1205" s="115"/>
      <c r="CX1205" s="115"/>
      <c r="CY1205" s="115"/>
      <c r="CZ1205" s="115"/>
      <c r="DA1205" s="115"/>
      <c r="DB1205" s="115"/>
      <c r="DC1205" s="115"/>
      <c r="DD1205" s="115"/>
      <c r="DE1205" s="115"/>
      <c r="DF1205" s="115"/>
      <c r="DG1205" s="115"/>
    </row>
    <row r="1206" spans="1:111" ht="4.5" customHeight="1">
      <c r="A1206"/>
      <c r="B1206" s="49"/>
      <c r="C1206" s="49"/>
      <c r="D1206" s="49"/>
      <c r="E1206" s="49"/>
      <c r="F1206" s="49"/>
      <c r="G1206" s="49"/>
      <c r="H1206" s="49"/>
      <c r="I1206" s="49"/>
      <c r="J1206" s="49"/>
      <c r="K1206" s="49"/>
      <c r="L1206" s="49"/>
      <c r="M1206" s="49"/>
      <c r="N1206" s="49"/>
      <c r="O1206" s="49"/>
      <c r="P1206" s="49"/>
      <c r="Q1206" s="49"/>
      <c r="R1206" s="49"/>
      <c r="S1206" s="49"/>
      <c r="T1206" s="49"/>
      <c r="U1206" s="49"/>
      <c r="V1206" s="49"/>
      <c r="W1206" s="49"/>
      <c r="X1206" s="49"/>
      <c r="Y1206" s="49"/>
      <c r="Z1206" s="49"/>
      <c r="AA1206" s="49"/>
      <c r="AB1206" s="49"/>
      <c r="AC1206" s="49"/>
      <c r="AD1206" s="49"/>
      <c r="AE1206" s="49"/>
      <c r="AF1206" s="49"/>
      <c r="AG1206" s="49"/>
      <c r="AH1206" s="49"/>
      <c r="AI1206" s="49"/>
      <c r="AJ1206" s="49"/>
      <c r="AK1206" s="49"/>
      <c r="AL1206" s="49"/>
      <c r="AM1206" s="49"/>
      <c r="AN1206" s="49"/>
      <c r="AO1206" s="49"/>
      <c r="AP1206" s="49"/>
      <c r="AQ1206" s="49"/>
      <c r="AR1206" s="49"/>
      <c r="AS1206" s="49"/>
      <c r="AT1206" s="49"/>
      <c r="AU1206" s="49"/>
      <c r="AV1206" s="49"/>
      <c r="AW1206" s="49"/>
      <c r="AX1206" s="49"/>
      <c r="AY1206" s="49"/>
      <c r="AZ1206" s="49"/>
      <c r="BA1206" s="49"/>
      <c r="BB1206"/>
      <c r="BC1206" s="115"/>
      <c r="BD1206" s="115"/>
      <c r="BE1206" s="115"/>
      <c r="BF1206" s="115"/>
      <c r="BG1206" s="115"/>
      <c r="BH1206" s="124"/>
      <c r="BI1206" s="124"/>
      <c r="BJ1206" s="124"/>
      <c r="BK1206" s="124"/>
      <c r="BL1206" s="124"/>
      <c r="BM1206" s="124"/>
      <c r="BN1206" s="124"/>
      <c r="BO1206" s="124"/>
      <c r="BP1206" s="124"/>
      <c r="BQ1206" s="124"/>
      <c r="BR1206" s="124"/>
      <c r="BS1206" s="124"/>
      <c r="BT1206" s="124"/>
      <c r="BU1206" s="124"/>
      <c r="BV1206" s="124"/>
      <c r="BW1206" s="124"/>
      <c r="BX1206" s="124"/>
      <c r="BY1206" s="124"/>
      <c r="BZ1206" s="124"/>
      <c r="CA1206" s="124"/>
      <c r="CB1206" s="124"/>
      <c r="CC1206" s="124"/>
      <c r="CD1206" s="124"/>
      <c r="CE1206" s="124"/>
      <c r="CF1206" s="124"/>
      <c r="CG1206" s="124"/>
      <c r="CH1206" s="124"/>
      <c r="CI1206" s="124"/>
      <c r="CJ1206" s="124"/>
      <c r="CK1206" s="124"/>
      <c r="CL1206" s="124"/>
      <c r="CM1206" s="124"/>
      <c r="CN1206" s="124"/>
      <c r="CO1206" s="124"/>
      <c r="CP1206" s="124"/>
      <c r="CQ1206" s="124"/>
      <c r="CR1206" s="124"/>
      <c r="CS1206" s="124"/>
      <c r="CT1206" s="124"/>
      <c r="CU1206" s="124"/>
      <c r="CV1206" s="124"/>
      <c r="CW1206" s="124"/>
      <c r="CX1206" s="124"/>
      <c r="CY1206" s="124"/>
      <c r="CZ1206" s="124"/>
      <c r="DA1206" s="124"/>
      <c r="DB1206" s="124"/>
      <c r="DC1206" s="124"/>
      <c r="DD1206" s="124"/>
      <c r="DE1206" s="124"/>
      <c r="DF1206" s="124"/>
      <c r="DG1206" s="115"/>
    </row>
    <row r="1207" spans="1:111" ht="9" customHeight="1">
      <c r="A1207"/>
      <c r="B1207" s="493" t="str">
        <f>IF(B1196="","","Detalhamento do Objeto:")</f>
        <v/>
      </c>
      <c r="C1207" s="493"/>
      <c r="D1207" s="493"/>
      <c r="E1207" s="493"/>
      <c r="F1207" s="493"/>
      <c r="G1207" s="493"/>
      <c r="H1207" s="493"/>
      <c r="I1207" s="493"/>
      <c r="J1207" s="493"/>
      <c r="K1207" s="493"/>
      <c r="L1207" s="493"/>
      <c r="M1207" s="493"/>
      <c r="N1207" s="493"/>
      <c r="O1207" s="421"/>
      <c r="P1207" s="421"/>
      <c r="Q1207" s="421"/>
      <c r="R1207" s="421"/>
      <c r="S1207" s="421"/>
      <c r="T1207" s="421"/>
      <c r="U1207" s="421"/>
      <c r="V1207" s="421"/>
      <c r="W1207" s="421"/>
      <c r="X1207" s="421"/>
      <c r="Y1207" s="421"/>
      <c r="Z1207" s="421"/>
      <c r="AA1207" s="421"/>
      <c r="AB1207" s="421"/>
      <c r="AC1207" s="421"/>
      <c r="AD1207" s="421"/>
      <c r="AE1207" s="421"/>
      <c r="AF1207" s="421"/>
      <c r="AG1207" s="421"/>
      <c r="AH1207" s="421"/>
      <c r="AI1207" s="421"/>
      <c r="AJ1207" s="421"/>
      <c r="AK1207" s="421"/>
      <c r="AL1207" s="421"/>
      <c r="AM1207" s="421"/>
      <c r="AN1207" s="421"/>
      <c r="AO1207" s="421"/>
      <c r="AP1207" s="421"/>
      <c r="AQ1207" s="421"/>
      <c r="AR1207" s="421"/>
      <c r="AS1207" s="421"/>
      <c r="AT1207" s="421"/>
      <c r="AU1207" s="421"/>
      <c r="AV1207" s="421"/>
      <c r="AW1207" s="421"/>
      <c r="AX1207" s="421"/>
      <c r="AY1207" s="421"/>
      <c r="AZ1207" s="421"/>
      <c r="BA1207" s="421"/>
      <c r="BB1207"/>
      <c r="BC1207" s="115"/>
      <c r="BD1207" s="115"/>
      <c r="BE1207" s="115"/>
      <c r="BF1207" s="115"/>
      <c r="BG1207" s="115"/>
      <c r="BH1207" s="124"/>
      <c r="BI1207" s="124"/>
      <c r="BJ1207" s="124"/>
      <c r="BK1207" s="124"/>
      <c r="BL1207" s="124"/>
      <c r="BM1207" s="124"/>
      <c r="BN1207" s="124"/>
      <c r="BO1207" s="124"/>
      <c r="BP1207" s="124"/>
      <c r="BQ1207" s="124"/>
      <c r="BR1207" s="124"/>
      <c r="BS1207" s="124"/>
      <c r="BT1207" s="124"/>
      <c r="BU1207" s="124"/>
      <c r="BV1207" s="124"/>
      <c r="BW1207" s="124"/>
      <c r="BX1207" s="124"/>
      <c r="BY1207" s="124"/>
      <c r="BZ1207" s="124"/>
      <c r="CA1207" s="124"/>
      <c r="CB1207" s="124"/>
      <c r="CC1207" s="124"/>
      <c r="CD1207" s="124"/>
      <c r="CE1207" s="124"/>
      <c r="CF1207" s="124"/>
      <c r="CG1207" s="124"/>
      <c r="CH1207" s="124"/>
      <c r="CI1207" s="124"/>
      <c r="CJ1207" s="124"/>
      <c r="CK1207" s="124"/>
      <c r="CL1207" s="124"/>
      <c r="CM1207" s="124"/>
      <c r="CN1207" s="124"/>
      <c r="CO1207" s="124"/>
      <c r="CP1207" s="124"/>
      <c r="CQ1207" s="124"/>
      <c r="CR1207" s="124"/>
      <c r="CS1207" s="124"/>
      <c r="CT1207" s="124"/>
      <c r="CU1207" s="124"/>
      <c r="CV1207" s="124"/>
      <c r="CW1207" s="124"/>
      <c r="CX1207" s="124"/>
      <c r="CY1207" s="124"/>
      <c r="CZ1207" s="124"/>
      <c r="DA1207" s="124"/>
      <c r="DB1207" s="124"/>
      <c r="DC1207" s="124"/>
      <c r="DD1207" s="124"/>
      <c r="DE1207" s="124"/>
      <c r="DF1207" s="124"/>
      <c r="DG1207" s="115"/>
    </row>
    <row r="1208" spans="1:111" ht="9" customHeight="1">
      <c r="A1208"/>
      <c r="B1208" s="493"/>
      <c r="C1208" s="493"/>
      <c r="D1208" s="493"/>
      <c r="E1208" s="493"/>
      <c r="F1208" s="493"/>
      <c r="G1208" s="493"/>
      <c r="H1208" s="493"/>
      <c r="I1208" s="493"/>
      <c r="J1208" s="493"/>
      <c r="K1208" s="493"/>
      <c r="L1208" s="493"/>
      <c r="M1208" s="493"/>
      <c r="N1208" s="493"/>
      <c r="O1208" s="421"/>
      <c r="P1208" s="421"/>
      <c r="Q1208" s="421"/>
      <c r="R1208" s="421"/>
      <c r="S1208" s="421"/>
      <c r="T1208" s="421"/>
      <c r="U1208" s="421"/>
      <c r="V1208" s="421"/>
      <c r="W1208" s="421"/>
      <c r="X1208" s="421"/>
      <c r="Y1208" s="421"/>
      <c r="Z1208" s="421"/>
      <c r="AA1208" s="421"/>
      <c r="AB1208" s="421"/>
      <c r="AC1208" s="421"/>
      <c r="AD1208" s="421"/>
      <c r="AE1208" s="421"/>
      <c r="AF1208" s="421"/>
      <c r="AG1208" s="421"/>
      <c r="AH1208" s="421"/>
      <c r="AI1208" s="421"/>
      <c r="AJ1208" s="421"/>
      <c r="AK1208" s="421"/>
      <c r="AL1208" s="421"/>
      <c r="AM1208" s="421"/>
      <c r="AN1208" s="421"/>
      <c r="AO1208" s="421"/>
      <c r="AP1208" s="421"/>
      <c r="AQ1208" s="421"/>
      <c r="AR1208" s="421"/>
      <c r="AS1208" s="421"/>
      <c r="AT1208" s="421"/>
      <c r="AU1208" s="421"/>
      <c r="AV1208" s="421"/>
      <c r="AW1208" s="421"/>
      <c r="AX1208" s="421"/>
      <c r="AY1208" s="421"/>
      <c r="AZ1208" s="421"/>
      <c r="BA1208" s="421"/>
      <c r="BB1208"/>
      <c r="BC1208" s="115"/>
      <c r="BD1208" s="115"/>
      <c r="BE1208" s="115"/>
      <c r="BF1208" s="115"/>
      <c r="BG1208" s="115"/>
      <c r="BH1208" s="124"/>
      <c r="BI1208" s="124"/>
      <c r="BJ1208" s="124"/>
      <c r="BK1208" s="124"/>
      <c r="BL1208" s="124"/>
      <c r="BM1208" s="124"/>
      <c r="BN1208" s="124"/>
      <c r="BO1208" s="124"/>
      <c r="BP1208" s="124"/>
      <c r="BQ1208" s="124"/>
      <c r="BR1208" s="124"/>
      <c r="BS1208" s="124"/>
      <c r="BT1208" s="124"/>
      <c r="BU1208" s="124"/>
      <c r="BV1208" s="124"/>
      <c r="BW1208" s="124"/>
      <c r="BX1208" s="124"/>
      <c r="BY1208" s="124"/>
      <c r="BZ1208" s="124"/>
      <c r="CA1208" s="124"/>
      <c r="CB1208" s="124"/>
      <c r="CC1208" s="124"/>
      <c r="CD1208" s="124"/>
      <c r="CE1208" s="124"/>
      <c r="CF1208" s="124"/>
      <c r="CG1208" s="124"/>
      <c r="CH1208" s="124"/>
      <c r="CI1208" s="124"/>
      <c r="CJ1208" s="124"/>
      <c r="CK1208" s="124"/>
      <c r="CL1208" s="124"/>
      <c r="CM1208" s="124"/>
      <c r="CN1208" s="124"/>
      <c r="CO1208" s="124"/>
      <c r="CP1208" s="124"/>
      <c r="CQ1208" s="124"/>
      <c r="CR1208" s="124"/>
      <c r="CS1208" s="124"/>
      <c r="CT1208" s="124"/>
      <c r="CU1208" s="124"/>
      <c r="CV1208" s="124"/>
      <c r="CW1208" s="124"/>
      <c r="CX1208" s="124"/>
      <c r="CY1208" s="124"/>
      <c r="CZ1208" s="124"/>
      <c r="DA1208" s="124"/>
      <c r="DB1208" s="124"/>
      <c r="DC1208" s="124"/>
      <c r="DD1208" s="124"/>
      <c r="DE1208" s="124"/>
      <c r="DF1208" s="124"/>
      <c r="DG1208" s="115"/>
    </row>
    <row r="1209" spans="1:111" ht="9" customHeight="1">
      <c r="A1209"/>
      <c r="B1209" s="143"/>
      <c r="C1209" s="143"/>
      <c r="D1209" s="143"/>
      <c r="E1209" s="143"/>
      <c r="F1209" s="143"/>
      <c r="G1209" s="143"/>
      <c r="H1209" s="143"/>
      <c r="I1209" s="143"/>
      <c r="J1209" s="143"/>
      <c r="K1209" s="143"/>
      <c r="L1209" s="143"/>
      <c r="M1209" s="143"/>
      <c r="N1209" s="143"/>
      <c r="O1209" s="421"/>
      <c r="P1209" s="421"/>
      <c r="Q1209" s="421"/>
      <c r="R1209" s="421"/>
      <c r="S1209" s="421"/>
      <c r="T1209" s="421"/>
      <c r="U1209" s="421"/>
      <c r="V1209" s="421"/>
      <c r="W1209" s="421"/>
      <c r="X1209" s="421"/>
      <c r="Y1209" s="421"/>
      <c r="Z1209" s="421"/>
      <c r="AA1209" s="421"/>
      <c r="AB1209" s="421"/>
      <c r="AC1209" s="421"/>
      <c r="AD1209" s="421"/>
      <c r="AE1209" s="421"/>
      <c r="AF1209" s="421"/>
      <c r="AG1209" s="421"/>
      <c r="AH1209" s="421"/>
      <c r="AI1209" s="421"/>
      <c r="AJ1209" s="421"/>
      <c r="AK1209" s="421"/>
      <c r="AL1209" s="421"/>
      <c r="AM1209" s="421"/>
      <c r="AN1209" s="421"/>
      <c r="AO1209" s="421"/>
      <c r="AP1209" s="421"/>
      <c r="AQ1209" s="421"/>
      <c r="AR1209" s="421"/>
      <c r="AS1209" s="421"/>
      <c r="AT1209" s="421"/>
      <c r="AU1209" s="421"/>
      <c r="AV1209" s="421"/>
      <c r="AW1209" s="421"/>
      <c r="AX1209" s="421"/>
      <c r="AY1209" s="421"/>
      <c r="AZ1209" s="421"/>
      <c r="BA1209" s="421"/>
      <c r="BB1209"/>
      <c r="BC1209" s="115"/>
      <c r="BD1209" s="115"/>
      <c r="BE1209" s="115"/>
      <c r="BF1209" s="115"/>
      <c r="BG1209" s="115"/>
      <c r="BH1209" s="138"/>
      <c r="BI1209" s="138"/>
      <c r="BJ1209" s="138"/>
      <c r="BK1209" s="138"/>
      <c r="BL1209" s="138"/>
      <c r="BM1209" s="138"/>
      <c r="BN1209" s="138"/>
      <c r="BO1209" s="138"/>
      <c r="BP1209" s="138"/>
      <c r="BQ1209" s="138"/>
      <c r="BR1209" s="138"/>
      <c r="BS1209" s="138"/>
      <c r="BT1209" s="138"/>
      <c r="BU1209" s="138"/>
      <c r="BV1209" s="138"/>
      <c r="BW1209" s="138"/>
      <c r="BX1209" s="138"/>
      <c r="BY1209" s="138"/>
      <c r="BZ1209" s="138"/>
      <c r="CA1209" s="138"/>
      <c r="CB1209" s="138"/>
      <c r="CC1209" s="138"/>
      <c r="CD1209" s="138"/>
      <c r="CE1209" s="138"/>
      <c r="CF1209" s="138"/>
      <c r="CG1209" s="138"/>
      <c r="CH1209" s="138"/>
      <c r="CI1209" s="138"/>
      <c r="CJ1209" s="138"/>
      <c r="CK1209" s="138"/>
      <c r="CL1209" s="138"/>
      <c r="CM1209" s="138"/>
      <c r="CN1209" s="138"/>
      <c r="CO1209" s="138"/>
      <c r="CP1209" s="138"/>
      <c r="CQ1209" s="138"/>
      <c r="CR1209" s="138"/>
      <c r="CS1209" s="138"/>
      <c r="CT1209" s="138"/>
      <c r="CU1209" s="138"/>
      <c r="CV1209" s="138"/>
      <c r="CW1209" s="138"/>
      <c r="CX1209" s="138"/>
      <c r="CY1209" s="138"/>
      <c r="CZ1209" s="138"/>
      <c r="DA1209" s="138"/>
      <c r="DB1209" s="138"/>
      <c r="DC1209" s="138"/>
      <c r="DD1209" s="138"/>
      <c r="DE1209" s="138"/>
      <c r="DF1209" s="138"/>
      <c r="DG1209" s="115"/>
    </row>
    <row r="1210" spans="1:111" ht="9" customHeight="1">
      <c r="A1210"/>
      <c r="B1210" s="143"/>
      <c r="C1210" s="143"/>
      <c r="D1210" s="143"/>
      <c r="E1210" s="143"/>
      <c r="F1210" s="143"/>
      <c r="G1210" s="143"/>
      <c r="H1210" s="143"/>
      <c r="I1210" s="143"/>
      <c r="J1210" s="143"/>
      <c r="K1210" s="143"/>
      <c r="L1210" s="143"/>
      <c r="M1210" s="143"/>
      <c r="N1210" s="143"/>
      <c r="O1210" s="421"/>
      <c r="P1210" s="421"/>
      <c r="Q1210" s="421"/>
      <c r="R1210" s="421"/>
      <c r="S1210" s="421"/>
      <c r="T1210" s="421"/>
      <c r="U1210" s="421"/>
      <c r="V1210" s="421"/>
      <c r="W1210" s="421"/>
      <c r="X1210" s="421"/>
      <c r="Y1210" s="421"/>
      <c r="Z1210" s="421"/>
      <c r="AA1210" s="421"/>
      <c r="AB1210" s="421"/>
      <c r="AC1210" s="421"/>
      <c r="AD1210" s="421"/>
      <c r="AE1210" s="421"/>
      <c r="AF1210" s="421"/>
      <c r="AG1210" s="421"/>
      <c r="AH1210" s="421"/>
      <c r="AI1210" s="421"/>
      <c r="AJ1210" s="421"/>
      <c r="AK1210" s="421"/>
      <c r="AL1210" s="421"/>
      <c r="AM1210" s="421"/>
      <c r="AN1210" s="421"/>
      <c r="AO1210" s="421"/>
      <c r="AP1210" s="421"/>
      <c r="AQ1210" s="421"/>
      <c r="AR1210" s="421"/>
      <c r="AS1210" s="421"/>
      <c r="AT1210" s="421"/>
      <c r="AU1210" s="421"/>
      <c r="AV1210" s="421"/>
      <c r="AW1210" s="421"/>
      <c r="AX1210" s="421"/>
      <c r="AY1210" s="421"/>
      <c r="AZ1210" s="421"/>
      <c r="BA1210" s="421"/>
      <c r="BB1210"/>
      <c r="BC1210" s="115"/>
      <c r="BD1210" s="115"/>
      <c r="BE1210" s="115"/>
      <c r="BF1210" s="115"/>
      <c r="BG1210" s="115"/>
      <c r="BH1210" s="138"/>
      <c r="BI1210" s="138"/>
      <c r="BJ1210" s="138"/>
      <c r="BK1210" s="138"/>
      <c r="BL1210" s="138"/>
      <c r="BM1210" s="138"/>
      <c r="BN1210" s="138"/>
      <c r="BO1210" s="138"/>
      <c r="BP1210" s="138"/>
      <c r="BQ1210" s="138"/>
      <c r="BR1210" s="138"/>
      <c r="BS1210" s="138"/>
      <c r="BT1210" s="138"/>
      <c r="BU1210" s="138"/>
      <c r="BV1210" s="138"/>
      <c r="BW1210" s="138"/>
      <c r="BX1210" s="138"/>
      <c r="BY1210" s="138"/>
      <c r="BZ1210" s="138"/>
      <c r="CA1210" s="138"/>
      <c r="CB1210" s="138"/>
      <c r="CC1210" s="138"/>
      <c r="CD1210" s="138"/>
      <c r="CE1210" s="138"/>
      <c r="CF1210" s="138"/>
      <c r="CG1210" s="138"/>
      <c r="CH1210" s="138"/>
      <c r="CI1210" s="138"/>
      <c r="CJ1210" s="138"/>
      <c r="CK1210" s="138"/>
      <c r="CL1210" s="138"/>
      <c r="CM1210" s="138"/>
      <c r="CN1210" s="138"/>
      <c r="CO1210" s="138"/>
      <c r="CP1210" s="138"/>
      <c r="CQ1210" s="138"/>
      <c r="CR1210" s="138"/>
      <c r="CS1210" s="138"/>
      <c r="CT1210" s="138"/>
      <c r="CU1210" s="138"/>
      <c r="CV1210" s="138"/>
      <c r="CW1210" s="138"/>
      <c r="CX1210" s="138"/>
      <c r="CY1210" s="138"/>
      <c r="CZ1210" s="138"/>
      <c r="DA1210" s="138"/>
      <c r="DB1210" s="138"/>
      <c r="DC1210" s="138"/>
      <c r="DD1210" s="138"/>
      <c r="DE1210" s="138"/>
      <c r="DF1210" s="138"/>
      <c r="DG1210" s="115"/>
    </row>
    <row r="1211" spans="1:111" ht="9" customHeight="1">
      <c r="A1211"/>
      <c r="B1211" s="143"/>
      <c r="C1211" s="143"/>
      <c r="D1211" s="143"/>
      <c r="E1211" s="143"/>
      <c r="F1211" s="143"/>
      <c r="G1211" s="143"/>
      <c r="H1211" s="143"/>
      <c r="I1211" s="143"/>
      <c r="J1211" s="143"/>
      <c r="K1211" s="143"/>
      <c r="L1211" s="143"/>
      <c r="M1211" s="143"/>
      <c r="N1211" s="143"/>
      <c r="O1211" s="421"/>
      <c r="P1211" s="421"/>
      <c r="Q1211" s="421"/>
      <c r="R1211" s="421"/>
      <c r="S1211" s="421"/>
      <c r="T1211" s="421"/>
      <c r="U1211" s="421"/>
      <c r="V1211" s="421"/>
      <c r="W1211" s="421"/>
      <c r="X1211" s="421"/>
      <c r="Y1211" s="421"/>
      <c r="Z1211" s="421"/>
      <c r="AA1211" s="421"/>
      <c r="AB1211" s="421"/>
      <c r="AC1211" s="421"/>
      <c r="AD1211" s="421"/>
      <c r="AE1211" s="421"/>
      <c r="AF1211" s="421"/>
      <c r="AG1211" s="421"/>
      <c r="AH1211" s="421"/>
      <c r="AI1211" s="421"/>
      <c r="AJ1211" s="421"/>
      <c r="AK1211" s="421"/>
      <c r="AL1211" s="421"/>
      <c r="AM1211" s="421"/>
      <c r="AN1211" s="421"/>
      <c r="AO1211" s="421"/>
      <c r="AP1211" s="421"/>
      <c r="AQ1211" s="421"/>
      <c r="AR1211" s="421"/>
      <c r="AS1211" s="421"/>
      <c r="AT1211" s="421"/>
      <c r="AU1211" s="421"/>
      <c r="AV1211" s="421"/>
      <c r="AW1211" s="421"/>
      <c r="AX1211" s="421"/>
      <c r="AY1211" s="421"/>
      <c r="AZ1211" s="421"/>
      <c r="BA1211" s="421"/>
      <c r="BB1211"/>
      <c r="BC1211" s="115"/>
      <c r="BD1211" s="115"/>
      <c r="BE1211" s="115"/>
      <c r="BF1211" s="115"/>
      <c r="BG1211" s="115"/>
      <c r="BH1211" s="138"/>
      <c r="BI1211" s="138"/>
      <c r="BJ1211" s="138"/>
      <c r="BK1211" s="138"/>
      <c r="BL1211" s="138"/>
      <c r="BM1211" s="138"/>
      <c r="BN1211" s="138"/>
      <c r="BO1211" s="138"/>
      <c r="BP1211" s="138"/>
      <c r="BQ1211" s="138"/>
      <c r="BR1211" s="138"/>
      <c r="BS1211" s="138"/>
      <c r="BT1211" s="138"/>
      <c r="BU1211" s="138"/>
      <c r="BV1211" s="138"/>
      <c r="BW1211" s="138"/>
      <c r="BX1211" s="138"/>
      <c r="BY1211" s="138"/>
      <c r="BZ1211" s="138"/>
      <c r="CA1211" s="138"/>
      <c r="CB1211" s="138"/>
      <c r="CC1211" s="138"/>
      <c r="CD1211" s="138"/>
      <c r="CE1211" s="138"/>
      <c r="CF1211" s="138"/>
      <c r="CG1211" s="138"/>
      <c r="CH1211" s="138"/>
      <c r="CI1211" s="138"/>
      <c r="CJ1211" s="138"/>
      <c r="CK1211" s="138"/>
      <c r="CL1211" s="138"/>
      <c r="CM1211" s="138"/>
      <c r="CN1211" s="138"/>
      <c r="CO1211" s="138"/>
      <c r="CP1211" s="138"/>
      <c r="CQ1211" s="138"/>
      <c r="CR1211" s="138"/>
      <c r="CS1211" s="138"/>
      <c r="CT1211" s="138"/>
      <c r="CU1211" s="138"/>
      <c r="CV1211" s="138"/>
      <c r="CW1211" s="138"/>
      <c r="CX1211" s="138"/>
      <c r="CY1211" s="138"/>
      <c r="CZ1211" s="138"/>
      <c r="DA1211" s="138"/>
      <c r="DB1211" s="138"/>
      <c r="DC1211" s="138"/>
      <c r="DD1211" s="138"/>
      <c r="DE1211" s="138"/>
      <c r="DF1211" s="138"/>
      <c r="DG1211" s="115"/>
    </row>
    <row r="1212" spans="1:111" ht="9" customHeight="1">
      <c r="A1212"/>
      <c r="B1212" s="143"/>
      <c r="C1212" s="143"/>
      <c r="D1212" s="143"/>
      <c r="E1212" s="143"/>
      <c r="F1212" s="143"/>
      <c r="G1212" s="143"/>
      <c r="H1212" s="143"/>
      <c r="I1212" s="143"/>
      <c r="J1212" s="143"/>
      <c r="K1212" s="143"/>
      <c r="L1212" s="143"/>
      <c r="M1212" s="143"/>
      <c r="N1212" s="143"/>
      <c r="O1212" s="421"/>
      <c r="P1212" s="421"/>
      <c r="Q1212" s="421"/>
      <c r="R1212" s="421"/>
      <c r="S1212" s="421"/>
      <c r="T1212" s="421"/>
      <c r="U1212" s="421"/>
      <c r="V1212" s="421"/>
      <c r="W1212" s="421"/>
      <c r="X1212" s="421"/>
      <c r="Y1212" s="421"/>
      <c r="Z1212" s="421"/>
      <c r="AA1212" s="421"/>
      <c r="AB1212" s="421"/>
      <c r="AC1212" s="421"/>
      <c r="AD1212" s="421"/>
      <c r="AE1212" s="421"/>
      <c r="AF1212" s="421"/>
      <c r="AG1212" s="421"/>
      <c r="AH1212" s="421"/>
      <c r="AI1212" s="421"/>
      <c r="AJ1212" s="421"/>
      <c r="AK1212" s="421"/>
      <c r="AL1212" s="421"/>
      <c r="AM1212" s="421"/>
      <c r="AN1212" s="421"/>
      <c r="AO1212" s="421"/>
      <c r="AP1212" s="421"/>
      <c r="AQ1212" s="421"/>
      <c r="AR1212" s="421"/>
      <c r="AS1212" s="421"/>
      <c r="AT1212" s="421"/>
      <c r="AU1212" s="421"/>
      <c r="AV1212" s="421"/>
      <c r="AW1212" s="421"/>
      <c r="AX1212" s="421"/>
      <c r="AY1212" s="421"/>
      <c r="AZ1212" s="421"/>
      <c r="BA1212" s="421"/>
      <c r="BB1212"/>
      <c r="BC1212" s="115"/>
      <c r="BD1212" s="115"/>
      <c r="BE1212" s="115"/>
      <c r="BF1212" s="115"/>
      <c r="BG1212" s="115"/>
      <c r="BH1212" s="138"/>
      <c r="BI1212" s="138"/>
      <c r="BJ1212" s="138"/>
      <c r="BK1212" s="138"/>
      <c r="BL1212" s="138"/>
      <c r="BM1212" s="138"/>
      <c r="BN1212" s="138"/>
      <c r="BO1212" s="138"/>
      <c r="BP1212" s="138"/>
      <c r="BQ1212" s="138"/>
      <c r="BR1212" s="138"/>
      <c r="BS1212" s="138"/>
      <c r="BT1212" s="138"/>
      <c r="BU1212" s="138"/>
      <c r="BV1212" s="138"/>
      <c r="BW1212" s="138"/>
      <c r="BX1212" s="138"/>
      <c r="BY1212" s="138"/>
      <c r="BZ1212" s="138"/>
      <c r="CA1212" s="138"/>
      <c r="CB1212" s="138"/>
      <c r="CC1212" s="138"/>
      <c r="CD1212" s="138"/>
      <c r="CE1212" s="138"/>
      <c r="CF1212" s="138"/>
      <c r="CG1212" s="138"/>
      <c r="CH1212" s="138"/>
      <c r="CI1212" s="138"/>
      <c r="CJ1212" s="138"/>
      <c r="CK1212" s="138"/>
      <c r="CL1212" s="138"/>
      <c r="CM1212" s="138"/>
      <c r="CN1212" s="138"/>
      <c r="CO1212" s="138"/>
      <c r="CP1212" s="138"/>
      <c r="CQ1212" s="138"/>
      <c r="CR1212" s="138"/>
      <c r="CS1212" s="138"/>
      <c r="CT1212" s="138"/>
      <c r="CU1212" s="138"/>
      <c r="CV1212" s="138"/>
      <c r="CW1212" s="138"/>
      <c r="CX1212" s="138"/>
      <c r="CY1212" s="138"/>
      <c r="CZ1212" s="138"/>
      <c r="DA1212" s="138"/>
      <c r="DB1212" s="138"/>
      <c r="DC1212" s="138"/>
      <c r="DD1212" s="138"/>
      <c r="DE1212" s="138"/>
      <c r="DF1212" s="138"/>
      <c r="DG1212" s="115"/>
    </row>
    <row r="1213" spans="1:111" ht="9" customHeight="1">
      <c r="A1213"/>
      <c r="B1213" s="143"/>
      <c r="C1213" s="143"/>
      <c r="D1213" s="143"/>
      <c r="E1213" s="143"/>
      <c r="F1213" s="143"/>
      <c r="G1213" s="143"/>
      <c r="H1213" s="143"/>
      <c r="I1213" s="143"/>
      <c r="J1213" s="143"/>
      <c r="K1213" s="143"/>
      <c r="L1213" s="143"/>
      <c r="M1213" s="143"/>
      <c r="N1213" s="143"/>
      <c r="O1213" s="421"/>
      <c r="P1213" s="421"/>
      <c r="Q1213" s="421"/>
      <c r="R1213" s="421"/>
      <c r="S1213" s="421"/>
      <c r="T1213" s="421"/>
      <c r="U1213" s="421"/>
      <c r="V1213" s="421"/>
      <c r="W1213" s="421"/>
      <c r="X1213" s="421"/>
      <c r="Y1213" s="421"/>
      <c r="Z1213" s="421"/>
      <c r="AA1213" s="421"/>
      <c r="AB1213" s="421"/>
      <c r="AC1213" s="421"/>
      <c r="AD1213" s="421"/>
      <c r="AE1213" s="421"/>
      <c r="AF1213" s="421"/>
      <c r="AG1213" s="421"/>
      <c r="AH1213" s="421"/>
      <c r="AI1213" s="421"/>
      <c r="AJ1213" s="421"/>
      <c r="AK1213" s="421"/>
      <c r="AL1213" s="421"/>
      <c r="AM1213" s="421"/>
      <c r="AN1213" s="421"/>
      <c r="AO1213" s="421"/>
      <c r="AP1213" s="421"/>
      <c r="AQ1213" s="421"/>
      <c r="AR1213" s="421"/>
      <c r="AS1213" s="421"/>
      <c r="AT1213" s="421"/>
      <c r="AU1213" s="421"/>
      <c r="AV1213" s="421"/>
      <c r="AW1213" s="421"/>
      <c r="AX1213" s="421"/>
      <c r="AY1213" s="421"/>
      <c r="AZ1213" s="421"/>
      <c r="BA1213" s="421"/>
      <c r="BB1213"/>
      <c r="BC1213" s="115"/>
      <c r="BD1213" s="115"/>
      <c r="BE1213" s="115"/>
      <c r="BF1213" s="115"/>
      <c r="BG1213" s="115"/>
      <c r="BH1213" s="138"/>
      <c r="BI1213" s="138"/>
      <c r="BJ1213" s="138"/>
      <c r="BK1213" s="138"/>
      <c r="BL1213" s="138"/>
      <c r="BM1213" s="138"/>
      <c r="BN1213" s="138"/>
      <c r="BO1213" s="138"/>
      <c r="BP1213" s="138"/>
      <c r="BQ1213" s="138"/>
      <c r="BR1213" s="138"/>
      <c r="BS1213" s="138"/>
      <c r="BT1213" s="138"/>
      <c r="BU1213" s="138"/>
      <c r="BV1213" s="138"/>
      <c r="BW1213" s="138"/>
      <c r="BX1213" s="138"/>
      <c r="BY1213" s="138"/>
      <c r="BZ1213" s="138"/>
      <c r="CA1213" s="138"/>
      <c r="CB1213" s="138"/>
      <c r="CC1213" s="138"/>
      <c r="CD1213" s="138"/>
      <c r="CE1213" s="138"/>
      <c r="CF1213" s="138"/>
      <c r="CG1213" s="138"/>
      <c r="CH1213" s="138"/>
      <c r="CI1213" s="138"/>
      <c r="CJ1213" s="138"/>
      <c r="CK1213" s="138"/>
      <c r="CL1213" s="138"/>
      <c r="CM1213" s="138"/>
      <c r="CN1213" s="138"/>
      <c r="CO1213" s="138"/>
      <c r="CP1213" s="138"/>
      <c r="CQ1213" s="138"/>
      <c r="CR1213" s="138"/>
      <c r="CS1213" s="138"/>
      <c r="CT1213" s="138"/>
      <c r="CU1213" s="138"/>
      <c r="CV1213" s="138"/>
      <c r="CW1213" s="138"/>
      <c r="CX1213" s="138"/>
      <c r="CY1213" s="138"/>
      <c r="CZ1213" s="138"/>
      <c r="DA1213" s="138"/>
      <c r="DB1213" s="138"/>
      <c r="DC1213" s="138"/>
      <c r="DD1213" s="138"/>
      <c r="DE1213" s="138"/>
      <c r="DF1213" s="138"/>
      <c r="DG1213" s="115"/>
    </row>
    <row r="1214" spans="1:111" ht="9" customHeight="1">
      <c r="A1214"/>
      <c r="B1214" s="49"/>
      <c r="C1214" s="49"/>
      <c r="D1214" s="49"/>
      <c r="E1214" s="49"/>
      <c r="F1214" s="49"/>
      <c r="G1214" s="49"/>
      <c r="H1214" s="49"/>
      <c r="I1214" s="49"/>
      <c r="J1214" s="49"/>
      <c r="K1214" s="49"/>
      <c r="L1214" s="49"/>
      <c r="M1214" s="49"/>
      <c r="N1214" s="49"/>
      <c r="O1214" s="421"/>
      <c r="P1214" s="421"/>
      <c r="Q1214" s="421"/>
      <c r="R1214" s="421"/>
      <c r="S1214" s="421"/>
      <c r="T1214" s="421"/>
      <c r="U1214" s="421"/>
      <c r="V1214" s="421"/>
      <c r="W1214" s="421"/>
      <c r="X1214" s="421"/>
      <c r="Y1214" s="421"/>
      <c r="Z1214" s="421"/>
      <c r="AA1214" s="421"/>
      <c r="AB1214" s="421"/>
      <c r="AC1214" s="421"/>
      <c r="AD1214" s="421"/>
      <c r="AE1214" s="421"/>
      <c r="AF1214" s="421"/>
      <c r="AG1214" s="421"/>
      <c r="AH1214" s="421"/>
      <c r="AI1214" s="421"/>
      <c r="AJ1214" s="421"/>
      <c r="AK1214" s="421"/>
      <c r="AL1214" s="421"/>
      <c r="AM1214" s="421"/>
      <c r="AN1214" s="421"/>
      <c r="AO1214" s="421"/>
      <c r="AP1214" s="421"/>
      <c r="AQ1214" s="421"/>
      <c r="AR1214" s="421"/>
      <c r="AS1214" s="421"/>
      <c r="AT1214" s="421"/>
      <c r="AU1214" s="421"/>
      <c r="AV1214" s="421"/>
      <c r="AW1214" s="421"/>
      <c r="AX1214" s="421"/>
      <c r="AY1214" s="421"/>
      <c r="AZ1214" s="421"/>
      <c r="BA1214" s="421"/>
      <c r="BB1214"/>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c r="BY1214" s="115"/>
      <c r="BZ1214" s="115"/>
      <c r="CA1214" s="115"/>
      <c r="CB1214" s="115"/>
      <c r="CC1214" s="115"/>
      <c r="CD1214" s="115"/>
      <c r="CE1214" s="115"/>
      <c r="CF1214" s="115"/>
      <c r="CG1214" s="115"/>
      <c r="CH1214" s="115"/>
      <c r="CI1214" s="115"/>
      <c r="CJ1214" s="115"/>
      <c r="CK1214" s="115"/>
      <c r="CL1214" s="115"/>
      <c r="CM1214" s="115"/>
      <c r="CN1214" s="115"/>
      <c r="CO1214" s="115"/>
      <c r="CP1214" s="115"/>
      <c r="CQ1214" s="115"/>
      <c r="CR1214" s="115"/>
      <c r="CS1214" s="115"/>
      <c r="CT1214" s="115"/>
      <c r="CU1214" s="115"/>
      <c r="CV1214" s="115"/>
      <c r="CW1214" s="115"/>
      <c r="CX1214" s="115"/>
      <c r="CY1214" s="115"/>
      <c r="CZ1214" s="115"/>
      <c r="DA1214" s="115"/>
      <c r="DB1214" s="115"/>
      <c r="DC1214" s="115"/>
      <c r="DD1214" s="115"/>
      <c r="DE1214" s="115"/>
      <c r="DF1214" s="115"/>
      <c r="DG1214" s="115"/>
    </row>
    <row r="1215" spans="1:111" ht="4.5" customHeight="1">
      <c r="A1215"/>
      <c r="B1215" s="49"/>
      <c r="C1215" s="49"/>
      <c r="D1215" s="49"/>
      <c r="E1215" s="49"/>
      <c r="F1215" s="49"/>
      <c r="G1215" s="49"/>
      <c r="H1215" s="49"/>
      <c r="I1215" s="49"/>
      <c r="J1215" s="49"/>
      <c r="K1215" s="49"/>
      <c r="L1215" s="49"/>
      <c r="M1215" s="49"/>
      <c r="N1215" s="49"/>
      <c r="O1215" s="49"/>
      <c r="P1215" s="49"/>
      <c r="Q1215" s="49"/>
      <c r="R1215" s="49"/>
      <c r="S1215" s="49"/>
      <c r="T1215" s="49"/>
      <c r="U1215" s="49"/>
      <c r="V1215" s="49"/>
      <c r="W1215" s="49"/>
      <c r="X1215" s="49"/>
      <c r="Y1215" s="49"/>
      <c r="Z1215" s="49"/>
      <c r="AA1215" s="49"/>
      <c r="AB1215" s="49"/>
      <c r="AC1215" s="49"/>
      <c r="AD1215" s="49"/>
      <c r="AE1215" s="49"/>
      <c r="AF1215" s="49"/>
      <c r="AG1215" s="49"/>
      <c r="AH1215" s="49"/>
      <c r="AI1215" s="49"/>
      <c r="AJ1215" s="49"/>
      <c r="AK1215" s="49"/>
      <c r="AL1215" s="49"/>
      <c r="AM1215" s="49"/>
      <c r="AN1215" s="49"/>
      <c r="AO1215" s="49"/>
      <c r="AP1215" s="49"/>
      <c r="AQ1215" s="49"/>
      <c r="AR1215" s="49"/>
      <c r="AS1215" s="49"/>
      <c r="AT1215" s="49"/>
      <c r="AU1215" s="49"/>
      <c r="AV1215" s="49"/>
      <c r="AW1215" s="49"/>
      <c r="AX1215" s="49"/>
      <c r="AY1215" s="49"/>
      <c r="AZ1215" s="49"/>
      <c r="BA1215" s="49"/>
      <c r="BB1215"/>
      <c r="BC1215" s="115"/>
      <c r="BD1215" s="115"/>
      <c r="BE1215" s="115"/>
      <c r="BF1215" s="115"/>
      <c r="BG1215" s="115"/>
      <c r="BH1215" s="124"/>
      <c r="BI1215" s="124"/>
      <c r="BJ1215" s="124"/>
      <c r="BK1215" s="124"/>
      <c r="BL1215" s="124"/>
      <c r="BM1215" s="124"/>
      <c r="BN1215" s="124"/>
      <c r="BO1215" s="124"/>
      <c r="BP1215" s="124"/>
      <c r="BQ1215" s="124"/>
      <c r="BR1215" s="124"/>
      <c r="BS1215" s="124"/>
      <c r="BT1215" s="124"/>
      <c r="BU1215" s="124"/>
      <c r="BV1215" s="124"/>
      <c r="BW1215" s="124"/>
      <c r="BX1215" s="124"/>
      <c r="BY1215" s="124"/>
      <c r="BZ1215" s="124"/>
      <c r="CA1215" s="124"/>
      <c r="CB1215" s="124"/>
      <c r="CC1215" s="124"/>
      <c r="CD1215" s="124"/>
      <c r="CE1215" s="124"/>
      <c r="CF1215" s="124"/>
      <c r="CG1215" s="124"/>
      <c r="CH1215" s="124"/>
      <c r="CI1215" s="124"/>
      <c r="CJ1215" s="124"/>
      <c r="CK1215" s="124"/>
      <c r="CL1215" s="124"/>
      <c r="CM1215" s="124"/>
      <c r="CN1215" s="124"/>
      <c r="CO1215" s="124"/>
      <c r="CP1215" s="124"/>
      <c r="CQ1215" s="124"/>
      <c r="CR1215" s="124"/>
      <c r="CS1215" s="124"/>
      <c r="CT1215" s="124"/>
      <c r="CU1215" s="124"/>
      <c r="CV1215" s="124"/>
      <c r="CW1215" s="124"/>
      <c r="CX1215" s="124"/>
      <c r="CY1215" s="124"/>
      <c r="CZ1215" s="124"/>
      <c r="DA1215" s="124"/>
      <c r="DB1215" s="124"/>
      <c r="DC1215" s="124"/>
      <c r="DD1215" s="124"/>
      <c r="DE1215" s="124"/>
      <c r="DF1215" s="124"/>
      <c r="DG1215" s="115"/>
    </row>
    <row r="1216" spans="1:111" ht="9" customHeight="1">
      <c r="A1216"/>
      <c r="B1216" s="493" t="str">
        <f>IF(B1196="","","Justificativa:")</f>
        <v/>
      </c>
      <c r="C1216" s="493"/>
      <c r="D1216" s="493"/>
      <c r="E1216" s="493"/>
      <c r="F1216" s="493"/>
      <c r="G1216" s="493"/>
      <c r="H1216" s="493"/>
      <c r="I1216" s="493"/>
      <c r="J1216" s="493"/>
      <c r="K1216" s="493"/>
      <c r="L1216" s="493"/>
      <c r="M1216" s="493"/>
      <c r="N1216" s="493"/>
      <c r="O1216" s="421"/>
      <c r="P1216" s="421"/>
      <c r="Q1216" s="421"/>
      <c r="R1216" s="421"/>
      <c r="S1216" s="421"/>
      <c r="T1216" s="421"/>
      <c r="U1216" s="421"/>
      <c r="V1216" s="421"/>
      <c r="W1216" s="421"/>
      <c r="X1216" s="421"/>
      <c r="Y1216" s="421"/>
      <c r="Z1216" s="421"/>
      <c r="AA1216" s="421"/>
      <c r="AB1216" s="421"/>
      <c r="AC1216" s="421"/>
      <c r="AD1216" s="421"/>
      <c r="AE1216" s="421"/>
      <c r="AF1216" s="421"/>
      <c r="AG1216" s="421"/>
      <c r="AH1216" s="421"/>
      <c r="AI1216" s="421"/>
      <c r="AJ1216" s="421"/>
      <c r="AK1216" s="421"/>
      <c r="AL1216" s="421"/>
      <c r="AM1216" s="421"/>
      <c r="AN1216" s="421"/>
      <c r="AO1216" s="421"/>
      <c r="AP1216" s="421"/>
      <c r="AQ1216" s="421"/>
      <c r="AR1216" s="421"/>
      <c r="AS1216" s="421"/>
      <c r="AT1216" s="421"/>
      <c r="AU1216" s="421"/>
      <c r="AV1216" s="421"/>
      <c r="AW1216" s="421"/>
      <c r="AX1216" s="421"/>
      <c r="AY1216" s="421"/>
      <c r="AZ1216" s="421"/>
      <c r="BA1216" s="421"/>
      <c r="BB1216"/>
      <c r="BC1216" s="115"/>
      <c r="BD1216" s="115"/>
      <c r="BE1216" s="115"/>
      <c r="BF1216" s="115"/>
      <c r="BG1216" s="115"/>
      <c r="BH1216" s="124"/>
      <c r="BI1216" s="124"/>
      <c r="BJ1216" s="124"/>
      <c r="BK1216" s="124"/>
      <c r="BL1216" s="124"/>
      <c r="BM1216" s="124"/>
      <c r="BN1216" s="124"/>
      <c r="BO1216" s="124"/>
      <c r="BP1216" s="124"/>
      <c r="BQ1216" s="124"/>
      <c r="BR1216" s="124"/>
      <c r="BS1216" s="124"/>
      <c r="BT1216" s="124"/>
      <c r="BU1216" s="124"/>
      <c r="BV1216" s="124"/>
      <c r="BW1216" s="124"/>
      <c r="BX1216" s="124"/>
      <c r="BY1216" s="124"/>
      <c r="BZ1216" s="124"/>
      <c r="CA1216" s="124"/>
      <c r="CB1216" s="124"/>
      <c r="CC1216" s="124"/>
      <c r="CD1216" s="124"/>
      <c r="CE1216" s="124"/>
      <c r="CF1216" s="124"/>
      <c r="CG1216" s="124"/>
      <c r="CH1216" s="124"/>
      <c r="CI1216" s="124"/>
      <c r="CJ1216" s="124"/>
      <c r="CK1216" s="124"/>
      <c r="CL1216" s="124"/>
      <c r="CM1216" s="124"/>
      <c r="CN1216" s="124"/>
      <c r="CO1216" s="124"/>
      <c r="CP1216" s="124"/>
      <c r="CQ1216" s="124"/>
      <c r="CR1216" s="124"/>
      <c r="CS1216" s="124"/>
      <c r="CT1216" s="124"/>
      <c r="CU1216" s="124"/>
      <c r="CV1216" s="124"/>
      <c r="CW1216" s="124"/>
      <c r="CX1216" s="124"/>
      <c r="CY1216" s="124"/>
      <c r="CZ1216" s="124"/>
      <c r="DA1216" s="124"/>
      <c r="DB1216" s="124"/>
      <c r="DC1216" s="124"/>
      <c r="DD1216" s="124"/>
      <c r="DE1216" s="124"/>
      <c r="DF1216" s="124"/>
      <c r="DG1216" s="115"/>
    </row>
    <row r="1217" spans="1:111" ht="9" customHeight="1">
      <c r="A1217"/>
      <c r="B1217" s="493"/>
      <c r="C1217" s="493"/>
      <c r="D1217" s="493"/>
      <c r="E1217" s="493"/>
      <c r="F1217" s="493"/>
      <c r="G1217" s="493"/>
      <c r="H1217" s="493"/>
      <c r="I1217" s="493"/>
      <c r="J1217" s="493"/>
      <c r="K1217" s="493"/>
      <c r="L1217" s="493"/>
      <c r="M1217" s="493"/>
      <c r="N1217" s="493"/>
      <c r="O1217" s="421"/>
      <c r="P1217" s="421"/>
      <c r="Q1217" s="421"/>
      <c r="R1217" s="421"/>
      <c r="S1217" s="421"/>
      <c r="T1217" s="421"/>
      <c r="U1217" s="421"/>
      <c r="V1217" s="421"/>
      <c r="W1217" s="421"/>
      <c r="X1217" s="421"/>
      <c r="Y1217" s="421"/>
      <c r="Z1217" s="421"/>
      <c r="AA1217" s="421"/>
      <c r="AB1217" s="421"/>
      <c r="AC1217" s="421"/>
      <c r="AD1217" s="421"/>
      <c r="AE1217" s="421"/>
      <c r="AF1217" s="421"/>
      <c r="AG1217" s="421"/>
      <c r="AH1217" s="421"/>
      <c r="AI1217" s="421"/>
      <c r="AJ1217" s="421"/>
      <c r="AK1217" s="421"/>
      <c r="AL1217" s="421"/>
      <c r="AM1217" s="421"/>
      <c r="AN1217" s="421"/>
      <c r="AO1217" s="421"/>
      <c r="AP1217" s="421"/>
      <c r="AQ1217" s="421"/>
      <c r="AR1217" s="421"/>
      <c r="AS1217" s="421"/>
      <c r="AT1217" s="421"/>
      <c r="AU1217" s="421"/>
      <c r="AV1217" s="421"/>
      <c r="AW1217" s="421"/>
      <c r="AX1217" s="421"/>
      <c r="AY1217" s="421"/>
      <c r="AZ1217" s="421"/>
      <c r="BA1217" s="421"/>
      <c r="BB1217"/>
      <c r="BC1217" s="115"/>
      <c r="BD1217" s="115"/>
      <c r="BE1217" s="115"/>
      <c r="BF1217" s="115"/>
      <c r="BG1217" s="115"/>
      <c r="BH1217" s="124"/>
      <c r="BI1217" s="124"/>
      <c r="BJ1217" s="124"/>
      <c r="BK1217" s="124"/>
      <c r="BL1217" s="124"/>
      <c r="BM1217" s="124"/>
      <c r="BN1217" s="124"/>
      <c r="BO1217" s="124"/>
      <c r="BP1217" s="124"/>
      <c r="BQ1217" s="124"/>
      <c r="BR1217" s="124"/>
      <c r="BS1217" s="124"/>
      <c r="BT1217" s="124"/>
      <c r="BU1217" s="124"/>
      <c r="BV1217" s="124"/>
      <c r="BW1217" s="124"/>
      <c r="BX1217" s="124"/>
      <c r="BY1217" s="124"/>
      <c r="BZ1217" s="124"/>
      <c r="CA1217" s="124"/>
      <c r="CB1217" s="124"/>
      <c r="CC1217" s="124"/>
      <c r="CD1217" s="124"/>
      <c r="CE1217" s="124"/>
      <c r="CF1217" s="124"/>
      <c r="CG1217" s="124"/>
      <c r="CH1217" s="124"/>
      <c r="CI1217" s="124"/>
      <c r="CJ1217" s="124"/>
      <c r="CK1217" s="124"/>
      <c r="CL1217" s="124"/>
      <c r="CM1217" s="124"/>
      <c r="CN1217" s="124"/>
      <c r="CO1217" s="124"/>
      <c r="CP1217" s="124"/>
      <c r="CQ1217" s="124"/>
      <c r="CR1217" s="124"/>
      <c r="CS1217" s="124"/>
      <c r="CT1217" s="124"/>
      <c r="CU1217" s="124"/>
      <c r="CV1217" s="124"/>
      <c r="CW1217" s="124"/>
      <c r="CX1217" s="124"/>
      <c r="CY1217" s="124"/>
      <c r="CZ1217" s="124"/>
      <c r="DA1217" s="124"/>
      <c r="DB1217" s="124"/>
      <c r="DC1217" s="124"/>
      <c r="DD1217" s="124"/>
      <c r="DE1217" s="124"/>
      <c r="DF1217" s="124"/>
      <c r="DG1217" s="115"/>
    </row>
    <row r="1218" spans="1:111" ht="9" customHeight="1">
      <c r="A1218"/>
      <c r="B1218" s="143"/>
      <c r="C1218" s="143"/>
      <c r="D1218" s="143"/>
      <c r="E1218" s="143"/>
      <c r="F1218" s="143"/>
      <c r="G1218" s="143"/>
      <c r="H1218" s="143"/>
      <c r="I1218" s="143"/>
      <c r="J1218" s="143"/>
      <c r="K1218" s="143"/>
      <c r="L1218" s="143"/>
      <c r="M1218" s="143"/>
      <c r="N1218" s="143"/>
      <c r="O1218" s="421"/>
      <c r="P1218" s="421"/>
      <c r="Q1218" s="421"/>
      <c r="R1218" s="421"/>
      <c r="S1218" s="421"/>
      <c r="T1218" s="421"/>
      <c r="U1218" s="421"/>
      <c r="V1218" s="421"/>
      <c r="W1218" s="421"/>
      <c r="X1218" s="421"/>
      <c r="Y1218" s="421"/>
      <c r="Z1218" s="421"/>
      <c r="AA1218" s="421"/>
      <c r="AB1218" s="421"/>
      <c r="AC1218" s="421"/>
      <c r="AD1218" s="421"/>
      <c r="AE1218" s="421"/>
      <c r="AF1218" s="421"/>
      <c r="AG1218" s="421"/>
      <c r="AH1218" s="421"/>
      <c r="AI1218" s="421"/>
      <c r="AJ1218" s="421"/>
      <c r="AK1218" s="421"/>
      <c r="AL1218" s="421"/>
      <c r="AM1218" s="421"/>
      <c r="AN1218" s="421"/>
      <c r="AO1218" s="421"/>
      <c r="AP1218" s="421"/>
      <c r="AQ1218" s="421"/>
      <c r="AR1218" s="421"/>
      <c r="AS1218" s="421"/>
      <c r="AT1218" s="421"/>
      <c r="AU1218" s="421"/>
      <c r="AV1218" s="421"/>
      <c r="AW1218" s="421"/>
      <c r="AX1218" s="421"/>
      <c r="AY1218" s="421"/>
      <c r="AZ1218" s="421"/>
      <c r="BA1218" s="421"/>
      <c r="BB1218"/>
      <c r="BC1218" s="115"/>
      <c r="BD1218" s="115"/>
      <c r="BE1218" s="115"/>
      <c r="BF1218" s="115"/>
      <c r="BG1218" s="115"/>
      <c r="BH1218" s="124"/>
      <c r="BI1218" s="124"/>
      <c r="BJ1218" s="124"/>
      <c r="BK1218" s="124"/>
      <c r="BL1218" s="124"/>
      <c r="BM1218" s="124"/>
      <c r="BN1218" s="124"/>
      <c r="BO1218" s="124"/>
      <c r="BP1218" s="124"/>
      <c r="BQ1218" s="124"/>
      <c r="BR1218" s="124"/>
      <c r="BS1218" s="124"/>
      <c r="BT1218" s="124"/>
      <c r="BU1218" s="124"/>
      <c r="BV1218" s="124"/>
      <c r="BW1218" s="124"/>
      <c r="BX1218" s="124"/>
      <c r="BY1218" s="124"/>
      <c r="BZ1218" s="124"/>
      <c r="CA1218" s="124"/>
      <c r="CB1218" s="124"/>
      <c r="CC1218" s="124"/>
      <c r="CD1218" s="124"/>
      <c r="CE1218" s="124"/>
      <c r="CF1218" s="124"/>
      <c r="CG1218" s="124"/>
      <c r="CH1218" s="124"/>
      <c r="CI1218" s="124"/>
      <c r="CJ1218" s="124"/>
      <c r="CK1218" s="124"/>
      <c r="CL1218" s="124"/>
      <c r="CM1218" s="124"/>
      <c r="CN1218" s="124"/>
      <c r="CO1218" s="124"/>
      <c r="CP1218" s="124"/>
      <c r="CQ1218" s="124"/>
      <c r="CR1218" s="124"/>
      <c r="CS1218" s="124"/>
      <c r="CT1218" s="124"/>
      <c r="CU1218" s="124"/>
      <c r="CV1218" s="124"/>
      <c r="CW1218" s="124"/>
      <c r="CX1218" s="124"/>
      <c r="CY1218" s="124"/>
      <c r="CZ1218" s="124"/>
      <c r="DA1218" s="124"/>
      <c r="DB1218" s="124"/>
      <c r="DC1218" s="124"/>
      <c r="DD1218" s="124"/>
      <c r="DE1218" s="124"/>
      <c r="DF1218" s="124"/>
      <c r="DG1218" s="115"/>
    </row>
    <row r="1219" spans="1:111" ht="9" customHeight="1">
      <c r="A1219"/>
      <c r="B1219" s="143"/>
      <c r="C1219" s="143"/>
      <c r="D1219" s="143"/>
      <c r="E1219" s="143"/>
      <c r="F1219" s="143"/>
      <c r="G1219" s="143"/>
      <c r="H1219" s="143"/>
      <c r="I1219" s="143"/>
      <c r="J1219" s="143"/>
      <c r="K1219" s="143"/>
      <c r="L1219" s="143"/>
      <c r="M1219" s="143"/>
      <c r="N1219" s="143"/>
      <c r="O1219" s="421"/>
      <c r="P1219" s="421"/>
      <c r="Q1219" s="421"/>
      <c r="R1219" s="421"/>
      <c r="S1219" s="421"/>
      <c r="T1219" s="421"/>
      <c r="U1219" s="421"/>
      <c r="V1219" s="421"/>
      <c r="W1219" s="421"/>
      <c r="X1219" s="421"/>
      <c r="Y1219" s="421"/>
      <c r="Z1219" s="421"/>
      <c r="AA1219" s="421"/>
      <c r="AB1219" s="421"/>
      <c r="AC1219" s="421"/>
      <c r="AD1219" s="421"/>
      <c r="AE1219" s="421"/>
      <c r="AF1219" s="421"/>
      <c r="AG1219" s="421"/>
      <c r="AH1219" s="421"/>
      <c r="AI1219" s="421"/>
      <c r="AJ1219" s="421"/>
      <c r="AK1219" s="421"/>
      <c r="AL1219" s="421"/>
      <c r="AM1219" s="421"/>
      <c r="AN1219" s="421"/>
      <c r="AO1219" s="421"/>
      <c r="AP1219" s="421"/>
      <c r="AQ1219" s="421"/>
      <c r="AR1219" s="421"/>
      <c r="AS1219" s="421"/>
      <c r="AT1219" s="421"/>
      <c r="AU1219" s="421"/>
      <c r="AV1219" s="421"/>
      <c r="AW1219" s="421"/>
      <c r="AX1219" s="421"/>
      <c r="AY1219" s="421"/>
      <c r="AZ1219" s="421"/>
      <c r="BA1219" s="421"/>
      <c r="BB1219"/>
      <c r="BC1219" s="115"/>
      <c r="BD1219" s="115"/>
      <c r="BE1219" s="115"/>
      <c r="BF1219" s="115"/>
      <c r="BG1219" s="115"/>
      <c r="BH1219" s="138"/>
      <c r="BI1219" s="138"/>
      <c r="BJ1219" s="138"/>
      <c r="BK1219" s="138"/>
      <c r="BL1219" s="138"/>
      <c r="BM1219" s="138"/>
      <c r="BN1219" s="138"/>
      <c r="BO1219" s="138"/>
      <c r="BP1219" s="138"/>
      <c r="BQ1219" s="138"/>
      <c r="BR1219" s="138"/>
      <c r="BS1219" s="138"/>
      <c r="BT1219" s="138"/>
      <c r="BU1219" s="138"/>
      <c r="BV1219" s="138"/>
      <c r="BW1219" s="138"/>
      <c r="BX1219" s="138"/>
      <c r="BY1219" s="138"/>
      <c r="BZ1219" s="138"/>
      <c r="CA1219" s="138"/>
      <c r="CB1219" s="138"/>
      <c r="CC1219" s="138"/>
      <c r="CD1219" s="138"/>
      <c r="CE1219" s="138"/>
      <c r="CF1219" s="138"/>
      <c r="CG1219" s="138"/>
      <c r="CH1219" s="138"/>
      <c r="CI1219" s="138"/>
      <c r="CJ1219" s="138"/>
      <c r="CK1219" s="138"/>
      <c r="CL1219" s="138"/>
      <c r="CM1219" s="138"/>
      <c r="CN1219" s="138"/>
      <c r="CO1219" s="138"/>
      <c r="CP1219" s="138"/>
      <c r="CQ1219" s="138"/>
      <c r="CR1219" s="138"/>
      <c r="CS1219" s="138"/>
      <c r="CT1219" s="138"/>
      <c r="CU1219" s="138"/>
      <c r="CV1219" s="138"/>
      <c r="CW1219" s="138"/>
      <c r="CX1219" s="138"/>
      <c r="CY1219" s="138"/>
      <c r="CZ1219" s="138"/>
      <c r="DA1219" s="138"/>
      <c r="DB1219" s="138"/>
      <c r="DC1219" s="138"/>
      <c r="DD1219" s="138"/>
      <c r="DE1219" s="138"/>
      <c r="DF1219" s="138"/>
      <c r="DG1219" s="115"/>
    </row>
    <row r="1220" spans="1:111" ht="9" customHeight="1">
      <c r="A1220"/>
      <c r="B1220" s="143"/>
      <c r="C1220" s="143"/>
      <c r="D1220" s="143"/>
      <c r="E1220" s="143"/>
      <c r="F1220" s="143"/>
      <c r="G1220" s="143"/>
      <c r="H1220" s="143"/>
      <c r="I1220" s="143"/>
      <c r="J1220" s="143"/>
      <c r="K1220" s="143"/>
      <c r="L1220" s="143"/>
      <c r="M1220" s="143"/>
      <c r="N1220" s="143"/>
      <c r="O1220" s="421"/>
      <c r="P1220" s="421"/>
      <c r="Q1220" s="421"/>
      <c r="R1220" s="421"/>
      <c r="S1220" s="421"/>
      <c r="T1220" s="421"/>
      <c r="U1220" s="421"/>
      <c r="V1220" s="421"/>
      <c r="W1220" s="421"/>
      <c r="X1220" s="421"/>
      <c r="Y1220" s="421"/>
      <c r="Z1220" s="421"/>
      <c r="AA1220" s="421"/>
      <c r="AB1220" s="421"/>
      <c r="AC1220" s="421"/>
      <c r="AD1220" s="421"/>
      <c r="AE1220" s="421"/>
      <c r="AF1220" s="421"/>
      <c r="AG1220" s="421"/>
      <c r="AH1220" s="421"/>
      <c r="AI1220" s="421"/>
      <c r="AJ1220" s="421"/>
      <c r="AK1220" s="421"/>
      <c r="AL1220" s="421"/>
      <c r="AM1220" s="421"/>
      <c r="AN1220" s="421"/>
      <c r="AO1220" s="421"/>
      <c r="AP1220" s="421"/>
      <c r="AQ1220" s="421"/>
      <c r="AR1220" s="421"/>
      <c r="AS1220" s="421"/>
      <c r="AT1220" s="421"/>
      <c r="AU1220" s="421"/>
      <c r="AV1220" s="421"/>
      <c r="AW1220" s="421"/>
      <c r="AX1220" s="421"/>
      <c r="AY1220" s="421"/>
      <c r="AZ1220" s="421"/>
      <c r="BA1220" s="421"/>
      <c r="BB1220"/>
      <c r="BC1220" s="115"/>
      <c r="BD1220" s="115"/>
      <c r="BE1220" s="115"/>
      <c r="BF1220" s="115"/>
      <c r="BG1220" s="115"/>
      <c r="BH1220" s="138"/>
      <c r="BI1220" s="138"/>
      <c r="BJ1220" s="138"/>
      <c r="BK1220" s="138"/>
      <c r="BL1220" s="138"/>
      <c r="BM1220" s="138"/>
      <c r="BN1220" s="138"/>
      <c r="BO1220" s="138"/>
      <c r="BP1220" s="138"/>
      <c r="BQ1220" s="138"/>
      <c r="BR1220" s="138"/>
      <c r="BS1220" s="138"/>
      <c r="BT1220" s="138"/>
      <c r="BU1220" s="138"/>
      <c r="BV1220" s="138"/>
      <c r="BW1220" s="138"/>
      <c r="BX1220" s="138"/>
      <c r="BY1220" s="138"/>
      <c r="BZ1220" s="138"/>
      <c r="CA1220" s="138"/>
      <c r="CB1220" s="138"/>
      <c r="CC1220" s="138"/>
      <c r="CD1220" s="138"/>
      <c r="CE1220" s="138"/>
      <c r="CF1220" s="138"/>
      <c r="CG1220" s="138"/>
      <c r="CH1220" s="138"/>
      <c r="CI1220" s="138"/>
      <c r="CJ1220" s="138"/>
      <c r="CK1220" s="138"/>
      <c r="CL1220" s="138"/>
      <c r="CM1220" s="138"/>
      <c r="CN1220" s="138"/>
      <c r="CO1220" s="138"/>
      <c r="CP1220" s="138"/>
      <c r="CQ1220" s="138"/>
      <c r="CR1220" s="138"/>
      <c r="CS1220" s="138"/>
      <c r="CT1220" s="138"/>
      <c r="CU1220" s="138"/>
      <c r="CV1220" s="138"/>
      <c r="CW1220" s="138"/>
      <c r="CX1220" s="138"/>
      <c r="CY1220" s="138"/>
      <c r="CZ1220" s="138"/>
      <c r="DA1220" s="138"/>
      <c r="DB1220" s="138"/>
      <c r="DC1220" s="138"/>
      <c r="DD1220" s="138"/>
      <c r="DE1220" s="138"/>
      <c r="DF1220" s="138"/>
      <c r="DG1220" s="115"/>
    </row>
    <row r="1221" spans="1:111" ht="9" customHeight="1">
      <c r="A1221"/>
      <c r="B1221" s="49"/>
      <c r="C1221" s="49"/>
      <c r="D1221" s="49"/>
      <c r="E1221" s="49"/>
      <c r="F1221" s="49"/>
      <c r="G1221" s="49"/>
      <c r="H1221" s="49"/>
      <c r="I1221" s="49"/>
      <c r="J1221" s="49"/>
      <c r="K1221" s="49"/>
      <c r="L1221" s="49"/>
      <c r="M1221" s="49"/>
      <c r="N1221" s="49"/>
      <c r="O1221" s="421"/>
      <c r="P1221" s="421"/>
      <c r="Q1221" s="421"/>
      <c r="R1221" s="421"/>
      <c r="S1221" s="421"/>
      <c r="T1221" s="421"/>
      <c r="U1221" s="421"/>
      <c r="V1221" s="421"/>
      <c r="W1221" s="421"/>
      <c r="X1221" s="421"/>
      <c r="Y1221" s="421"/>
      <c r="Z1221" s="421"/>
      <c r="AA1221" s="421"/>
      <c r="AB1221" s="421"/>
      <c r="AC1221" s="421"/>
      <c r="AD1221" s="421"/>
      <c r="AE1221" s="421"/>
      <c r="AF1221" s="421"/>
      <c r="AG1221" s="421"/>
      <c r="AH1221" s="421"/>
      <c r="AI1221" s="421"/>
      <c r="AJ1221" s="421"/>
      <c r="AK1221" s="421"/>
      <c r="AL1221" s="421"/>
      <c r="AM1221" s="421"/>
      <c r="AN1221" s="421"/>
      <c r="AO1221" s="421"/>
      <c r="AP1221" s="421"/>
      <c r="AQ1221" s="421"/>
      <c r="AR1221" s="421"/>
      <c r="AS1221" s="421"/>
      <c r="AT1221" s="421"/>
      <c r="AU1221" s="421"/>
      <c r="AV1221" s="421"/>
      <c r="AW1221" s="421"/>
      <c r="AX1221" s="421"/>
      <c r="AY1221" s="421"/>
      <c r="AZ1221" s="421"/>
      <c r="BA1221" s="421"/>
      <c r="BB1221"/>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c r="BY1221" s="115"/>
      <c r="BZ1221" s="115"/>
      <c r="CA1221" s="115"/>
      <c r="CB1221" s="115"/>
      <c r="CC1221" s="115"/>
      <c r="CD1221" s="115"/>
      <c r="CE1221" s="115"/>
      <c r="CF1221" s="115"/>
      <c r="CG1221" s="115"/>
      <c r="CH1221" s="115"/>
      <c r="CI1221" s="115"/>
      <c r="CJ1221" s="115"/>
      <c r="CK1221" s="115"/>
      <c r="CL1221" s="115"/>
      <c r="CM1221" s="115"/>
      <c r="CN1221" s="115"/>
      <c r="CO1221" s="115"/>
      <c r="CP1221" s="115"/>
      <c r="CQ1221" s="115"/>
      <c r="CR1221" s="115"/>
      <c r="CS1221" s="115"/>
      <c r="CT1221" s="115"/>
      <c r="CU1221" s="115"/>
      <c r="CV1221" s="115"/>
      <c r="CW1221" s="115"/>
      <c r="CX1221" s="115"/>
      <c r="CY1221" s="115"/>
      <c r="CZ1221" s="115"/>
      <c r="DA1221" s="115"/>
      <c r="DB1221" s="115"/>
      <c r="DC1221" s="115"/>
      <c r="DD1221" s="115"/>
      <c r="DE1221" s="115"/>
      <c r="DF1221" s="115"/>
      <c r="DG1221" s="115"/>
    </row>
    <row r="1222" spans="1:111" ht="4.5" customHeight="1">
      <c r="A1222"/>
      <c r="B1222" s="49"/>
      <c r="C1222" s="49"/>
      <c r="D1222" s="49"/>
      <c r="E1222" s="49"/>
      <c r="F1222" s="49"/>
      <c r="G1222" s="49"/>
      <c r="H1222" s="49"/>
      <c r="I1222" s="49"/>
      <c r="J1222" s="49"/>
      <c r="K1222" s="49"/>
      <c r="L1222" s="49"/>
      <c r="M1222" s="49"/>
      <c r="N1222" s="49"/>
      <c r="O1222" s="49"/>
      <c r="P1222" s="49"/>
      <c r="Q1222" s="49"/>
      <c r="R1222" s="49"/>
      <c r="S1222" s="49"/>
      <c r="T1222" s="49"/>
      <c r="U1222" s="49"/>
      <c r="V1222" s="49"/>
      <c r="W1222" s="49"/>
      <c r="X1222" s="49"/>
      <c r="Y1222" s="49"/>
      <c r="Z1222" s="49"/>
      <c r="AA1222" s="49"/>
      <c r="AB1222" s="49"/>
      <c r="AC1222" s="49"/>
      <c r="AD1222" s="49"/>
      <c r="AE1222" s="49"/>
      <c r="AF1222" s="49"/>
      <c r="AG1222" s="49"/>
      <c r="AH1222" s="49"/>
      <c r="AI1222" s="49"/>
      <c r="AJ1222" s="49"/>
      <c r="AK1222" s="49"/>
      <c r="AL1222" s="49"/>
      <c r="AM1222" s="49"/>
      <c r="AN1222" s="49"/>
      <c r="AO1222" s="49"/>
      <c r="AP1222" s="49"/>
      <c r="AQ1222" s="49"/>
      <c r="AR1222" s="49"/>
      <c r="AS1222" s="49"/>
      <c r="AT1222" s="49"/>
      <c r="AU1222" s="49"/>
      <c r="AV1222" s="49"/>
      <c r="AW1222" s="49"/>
      <c r="AX1222" s="49"/>
      <c r="AY1222" s="49"/>
      <c r="AZ1222" s="49"/>
      <c r="BA1222" s="49"/>
      <c r="BB1222"/>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c r="BY1222" s="115"/>
      <c r="BZ1222" s="115"/>
      <c r="CA1222" s="115"/>
      <c r="CB1222" s="115"/>
      <c r="CC1222" s="115"/>
      <c r="CD1222" s="115"/>
      <c r="CE1222" s="115"/>
      <c r="CF1222" s="115"/>
      <c r="CG1222" s="115"/>
      <c r="CH1222" s="115"/>
      <c r="CI1222" s="115"/>
      <c r="CJ1222" s="115"/>
      <c r="CK1222" s="115"/>
      <c r="CL1222" s="115"/>
      <c r="CM1222" s="115"/>
      <c r="CN1222" s="115"/>
      <c r="CO1222" s="115"/>
      <c r="CP1222" s="115"/>
      <c r="CQ1222" s="115"/>
      <c r="CR1222" s="115"/>
      <c r="CS1222" s="115"/>
      <c r="CT1222" s="115"/>
      <c r="CU1222" s="115"/>
      <c r="CV1222" s="115"/>
      <c r="CW1222" s="115"/>
      <c r="CX1222" s="115"/>
      <c r="CY1222" s="115"/>
      <c r="CZ1222" s="115"/>
      <c r="DA1222" s="115"/>
      <c r="DB1222" s="115"/>
      <c r="DC1222" s="115"/>
      <c r="DD1222" s="115"/>
      <c r="DE1222" s="115"/>
      <c r="DF1222" s="115"/>
      <c r="DG1222" s="115"/>
    </row>
    <row r="1223" spans="1:111" ht="9" customHeight="1">
      <c r="A1223"/>
      <c r="B1223" s="493" t="str">
        <f>IF(B1196="","","Metas Vinculadas:")</f>
        <v/>
      </c>
      <c r="C1223" s="493"/>
      <c r="D1223" s="493"/>
      <c r="E1223" s="493"/>
      <c r="F1223" s="493"/>
      <c r="G1223" s="493"/>
      <c r="H1223" s="493"/>
      <c r="I1223" s="493"/>
      <c r="J1223" s="493"/>
      <c r="K1223" s="493"/>
      <c r="L1223" s="493"/>
      <c r="M1223" s="493"/>
      <c r="N1223" s="493"/>
      <c r="O1223" s="421"/>
      <c r="P1223" s="421"/>
      <c r="Q1223" s="421"/>
      <c r="R1223" s="421"/>
      <c r="S1223" s="421"/>
      <c r="T1223" s="421"/>
      <c r="U1223" s="421"/>
      <c r="V1223" s="421"/>
      <c r="W1223" s="421"/>
      <c r="X1223" s="421"/>
      <c r="Y1223" s="421"/>
      <c r="Z1223" s="421"/>
      <c r="AA1223" s="421"/>
      <c r="AB1223" s="421"/>
      <c r="AC1223" s="421"/>
      <c r="AD1223" s="421"/>
      <c r="AE1223" s="421"/>
      <c r="AF1223" s="421"/>
      <c r="AG1223" s="421"/>
      <c r="AH1223" s="421"/>
      <c r="AI1223" s="421"/>
      <c r="AJ1223" s="421"/>
      <c r="AK1223" s="421"/>
      <c r="AL1223" s="421"/>
      <c r="AM1223" s="421"/>
      <c r="AN1223" s="421"/>
      <c r="AO1223" s="421"/>
      <c r="AP1223" s="421"/>
      <c r="AQ1223" s="421"/>
      <c r="AR1223" s="421"/>
      <c r="AS1223" s="421"/>
      <c r="AT1223" s="421"/>
      <c r="AU1223" s="421"/>
      <c r="AV1223" s="421"/>
      <c r="AW1223" s="421"/>
      <c r="AX1223" s="421"/>
      <c r="AY1223" s="421"/>
      <c r="AZ1223" s="421"/>
      <c r="BA1223" s="421"/>
      <c r="BB1223"/>
      <c r="BC1223" s="115"/>
      <c r="BD1223" s="115"/>
      <c r="BE1223" s="115"/>
      <c r="BF1223" s="115"/>
      <c r="BG1223" s="115"/>
      <c r="BH1223" s="124"/>
      <c r="BI1223" s="124"/>
      <c r="BJ1223" s="124"/>
      <c r="BK1223" s="124"/>
      <c r="BL1223" s="124"/>
      <c r="BM1223" s="124"/>
      <c r="BN1223" s="124"/>
      <c r="BO1223" s="124"/>
      <c r="BP1223" s="124"/>
      <c r="BQ1223" s="124"/>
      <c r="BR1223" s="124"/>
      <c r="BS1223" s="124"/>
      <c r="BT1223" s="124"/>
      <c r="BU1223" s="124"/>
      <c r="BV1223" s="124"/>
      <c r="BW1223" s="124"/>
      <c r="BX1223" s="124"/>
      <c r="BY1223" s="124"/>
      <c r="BZ1223" s="124"/>
      <c r="CA1223" s="124"/>
      <c r="CB1223" s="124"/>
      <c r="CC1223" s="124"/>
      <c r="CD1223" s="124"/>
      <c r="CE1223" s="124"/>
      <c r="CF1223" s="124"/>
      <c r="CG1223" s="124"/>
      <c r="CH1223" s="124"/>
      <c r="CI1223" s="124"/>
      <c r="CJ1223" s="124"/>
      <c r="CK1223" s="124"/>
      <c r="CL1223" s="124"/>
      <c r="CM1223" s="124"/>
      <c r="CN1223" s="124"/>
      <c r="CO1223" s="124"/>
      <c r="CP1223" s="124"/>
      <c r="CQ1223" s="124"/>
      <c r="CR1223" s="124"/>
      <c r="CS1223" s="124"/>
      <c r="CT1223" s="124"/>
      <c r="CU1223" s="124"/>
      <c r="CV1223" s="124"/>
      <c r="CW1223" s="124"/>
      <c r="CX1223" s="124"/>
      <c r="CY1223" s="124"/>
      <c r="CZ1223" s="124"/>
      <c r="DA1223" s="124"/>
      <c r="DB1223" s="124"/>
      <c r="DC1223" s="124"/>
      <c r="DD1223" s="124"/>
      <c r="DE1223" s="124"/>
      <c r="DF1223" s="124"/>
      <c r="DG1223" s="115"/>
    </row>
    <row r="1224" spans="1:111" ht="9" customHeight="1">
      <c r="A1224"/>
      <c r="B1224" s="493"/>
      <c r="C1224" s="493"/>
      <c r="D1224" s="493"/>
      <c r="E1224" s="493"/>
      <c r="F1224" s="493"/>
      <c r="G1224" s="493"/>
      <c r="H1224" s="493"/>
      <c r="I1224" s="493"/>
      <c r="J1224" s="493"/>
      <c r="K1224" s="493"/>
      <c r="L1224" s="493"/>
      <c r="M1224" s="493"/>
      <c r="N1224" s="493"/>
      <c r="O1224" s="421"/>
      <c r="P1224" s="421"/>
      <c r="Q1224" s="421"/>
      <c r="R1224" s="421"/>
      <c r="S1224" s="421"/>
      <c r="T1224" s="421"/>
      <c r="U1224" s="421"/>
      <c r="V1224" s="421"/>
      <c r="W1224" s="421"/>
      <c r="X1224" s="421"/>
      <c r="Y1224" s="421"/>
      <c r="Z1224" s="421"/>
      <c r="AA1224" s="421"/>
      <c r="AB1224" s="421"/>
      <c r="AC1224" s="421"/>
      <c r="AD1224" s="421"/>
      <c r="AE1224" s="421"/>
      <c r="AF1224" s="421"/>
      <c r="AG1224" s="421"/>
      <c r="AH1224" s="421"/>
      <c r="AI1224" s="421"/>
      <c r="AJ1224" s="421"/>
      <c r="AK1224" s="421"/>
      <c r="AL1224" s="421"/>
      <c r="AM1224" s="421"/>
      <c r="AN1224" s="421"/>
      <c r="AO1224" s="421"/>
      <c r="AP1224" s="421"/>
      <c r="AQ1224" s="421"/>
      <c r="AR1224" s="421"/>
      <c r="AS1224" s="421"/>
      <c r="AT1224" s="421"/>
      <c r="AU1224" s="421"/>
      <c r="AV1224" s="421"/>
      <c r="AW1224" s="421"/>
      <c r="AX1224" s="421"/>
      <c r="AY1224" s="421"/>
      <c r="AZ1224" s="421"/>
      <c r="BA1224" s="421"/>
      <c r="BB1224"/>
      <c r="BC1224" s="115"/>
      <c r="BD1224" s="115"/>
      <c r="BE1224" s="115"/>
      <c r="BF1224" s="115"/>
      <c r="BG1224" s="115"/>
      <c r="BH1224" s="138"/>
      <c r="BI1224" s="138"/>
      <c r="BJ1224" s="138"/>
      <c r="BK1224" s="138"/>
      <c r="BL1224" s="138"/>
      <c r="BM1224" s="138"/>
      <c r="BN1224" s="138"/>
      <c r="BO1224" s="138"/>
      <c r="BP1224" s="138"/>
      <c r="BQ1224" s="138"/>
      <c r="BR1224" s="138"/>
      <c r="BS1224" s="138"/>
      <c r="BT1224" s="138"/>
      <c r="BU1224" s="138"/>
      <c r="BV1224" s="138"/>
      <c r="BW1224" s="138"/>
      <c r="BX1224" s="138"/>
      <c r="BY1224" s="138"/>
      <c r="BZ1224" s="138"/>
      <c r="CA1224" s="138"/>
      <c r="CB1224" s="138"/>
      <c r="CC1224" s="138"/>
      <c r="CD1224" s="138"/>
      <c r="CE1224" s="138"/>
      <c r="CF1224" s="138"/>
      <c r="CG1224" s="138"/>
      <c r="CH1224" s="138"/>
      <c r="CI1224" s="138"/>
      <c r="CJ1224" s="138"/>
      <c r="CK1224" s="138"/>
      <c r="CL1224" s="138"/>
      <c r="CM1224" s="138"/>
      <c r="CN1224" s="138"/>
      <c r="CO1224" s="138"/>
      <c r="CP1224" s="138"/>
      <c r="CQ1224" s="138"/>
      <c r="CR1224" s="138"/>
      <c r="CS1224" s="138"/>
      <c r="CT1224" s="138"/>
      <c r="CU1224" s="138"/>
      <c r="CV1224" s="138"/>
      <c r="CW1224" s="138"/>
      <c r="CX1224" s="138"/>
      <c r="CY1224" s="138"/>
      <c r="CZ1224" s="138"/>
      <c r="DA1224" s="138"/>
      <c r="DB1224" s="138"/>
      <c r="DC1224" s="138"/>
      <c r="DD1224" s="138"/>
      <c r="DE1224" s="138"/>
      <c r="DF1224" s="138"/>
      <c r="DG1224" s="115"/>
    </row>
    <row r="1225" spans="1:111" ht="4.5" customHeight="1">
      <c r="A1225"/>
      <c r="B1225" s="49"/>
      <c r="C1225" s="49"/>
      <c r="D1225" s="49"/>
      <c r="E1225" s="49"/>
      <c r="F1225" s="49"/>
      <c r="G1225" s="49"/>
      <c r="H1225" s="49"/>
      <c r="I1225" s="49"/>
      <c r="J1225" s="49"/>
      <c r="K1225" s="49"/>
      <c r="L1225" s="49"/>
      <c r="M1225" s="49"/>
      <c r="N1225" s="49"/>
      <c r="O1225" s="49"/>
      <c r="P1225" s="49"/>
      <c r="Q1225" s="49"/>
      <c r="R1225" s="49"/>
      <c r="S1225" s="49"/>
      <c r="T1225" s="49"/>
      <c r="U1225" s="49"/>
      <c r="V1225" s="49"/>
      <c r="W1225" s="49"/>
      <c r="X1225" s="49"/>
      <c r="Y1225" s="49"/>
      <c r="Z1225" s="49"/>
      <c r="AA1225" s="49"/>
      <c r="AB1225" s="49"/>
      <c r="AC1225" s="49"/>
      <c r="AD1225" s="49"/>
      <c r="AE1225" s="49"/>
      <c r="AF1225" s="49"/>
      <c r="AG1225" s="49"/>
      <c r="AH1225" s="49"/>
      <c r="AI1225" s="49"/>
      <c r="AJ1225" s="49"/>
      <c r="AK1225" s="49"/>
      <c r="AL1225" s="49"/>
      <c r="AM1225" s="49"/>
      <c r="AN1225" s="49"/>
      <c r="AO1225" s="49"/>
      <c r="AP1225" s="49"/>
      <c r="AQ1225" s="49"/>
      <c r="AR1225" s="49"/>
      <c r="AS1225" s="49"/>
      <c r="AT1225" s="49"/>
      <c r="AU1225" s="49"/>
      <c r="AV1225" s="49"/>
      <c r="AW1225" s="49"/>
      <c r="AX1225" s="49"/>
      <c r="AY1225" s="49"/>
      <c r="AZ1225" s="49"/>
      <c r="BA1225" s="49"/>
      <c r="BB122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c r="BY1225" s="115"/>
      <c r="BZ1225" s="115"/>
      <c r="CA1225" s="115"/>
      <c r="CB1225" s="115"/>
      <c r="CC1225" s="115"/>
      <c r="CD1225" s="115"/>
      <c r="CE1225" s="115"/>
      <c r="CF1225" s="115"/>
      <c r="CG1225" s="115"/>
      <c r="CH1225" s="115"/>
      <c r="CI1225" s="115"/>
      <c r="CJ1225" s="115"/>
      <c r="CK1225" s="115"/>
      <c r="CL1225" s="115"/>
      <c r="CM1225" s="115"/>
      <c r="CN1225" s="115"/>
      <c r="CO1225" s="115"/>
      <c r="CP1225" s="115"/>
      <c r="CQ1225" s="115"/>
      <c r="CR1225" s="115"/>
      <c r="CS1225" s="115"/>
      <c r="CT1225" s="115"/>
      <c r="CU1225" s="115"/>
      <c r="CV1225" s="115"/>
      <c r="CW1225" s="115"/>
      <c r="CX1225" s="115"/>
      <c r="CY1225" s="115"/>
      <c r="CZ1225" s="115"/>
      <c r="DA1225" s="115"/>
      <c r="DB1225" s="115"/>
      <c r="DC1225" s="115"/>
      <c r="DD1225" s="115"/>
      <c r="DE1225" s="115"/>
      <c r="DF1225" s="115"/>
      <c r="DG1225" s="115"/>
    </row>
    <row r="1226" spans="1:111" ht="9" customHeight="1">
      <c r="A1226"/>
      <c r="B1226" s="125"/>
      <c r="C1226" s="125"/>
      <c r="D1226" s="125"/>
      <c r="E1226" s="125"/>
      <c r="F1226" s="125"/>
      <c r="G1226" s="125"/>
      <c r="H1226" s="125"/>
      <c r="I1226" s="125"/>
      <c r="J1226" s="125"/>
      <c r="K1226" s="125"/>
      <c r="L1226" s="125"/>
      <c r="M1226" s="125"/>
      <c r="N1226" s="125"/>
      <c r="O1226" s="496" t="str">
        <f>IF(B1196="","","Quantidade:")</f>
        <v/>
      </c>
      <c r="P1226" s="496"/>
      <c r="Q1226" s="496"/>
      <c r="R1226" s="496"/>
      <c r="S1226" s="496"/>
      <c r="T1226" s="496"/>
      <c r="U1226" s="496"/>
      <c r="V1226" s="417">
        <v>1</v>
      </c>
      <c r="W1226" s="417"/>
      <c r="X1226" s="417"/>
      <c r="Y1226" s="417"/>
      <c r="Z1226" s="417"/>
      <c r="AA1226" s="417"/>
      <c r="AB1226" s="417"/>
      <c r="AC1226" s="417"/>
      <c r="AD1226" s="417"/>
      <c r="AE1226" s="417"/>
      <c r="AF1226" s="125"/>
      <c r="AG1226" s="497" t="str">
        <f>IF(B1196="","","Unidade:")</f>
        <v/>
      </c>
      <c r="AH1226" s="497"/>
      <c r="AI1226" s="497"/>
      <c r="AJ1226" s="497"/>
      <c r="AK1226" s="497"/>
      <c r="AL1226" s="497"/>
      <c r="AM1226" s="497"/>
      <c r="AN1226" s="125"/>
      <c r="AO1226" s="417"/>
      <c r="AP1226" s="417"/>
      <c r="AQ1226" s="417"/>
      <c r="AR1226" s="417"/>
      <c r="AS1226" s="417"/>
      <c r="AT1226" s="417"/>
      <c r="AU1226" s="417"/>
      <c r="AV1226" s="417"/>
      <c r="AW1226" s="417"/>
      <c r="AX1226" s="417"/>
      <c r="AY1226" s="417"/>
      <c r="AZ1226" s="417"/>
      <c r="BA1226" s="417"/>
      <c r="BB1226"/>
      <c r="BC1226" s="115"/>
      <c r="BD1226" s="115"/>
      <c r="BE1226" s="115"/>
      <c r="BF1226" s="115"/>
      <c r="BG1226" s="115"/>
      <c r="BH1226" s="124"/>
      <c r="BI1226" s="124"/>
      <c r="BJ1226" s="124"/>
      <c r="BK1226" s="124"/>
      <c r="BL1226" s="124"/>
      <c r="BM1226" s="124"/>
      <c r="BN1226" s="124"/>
      <c r="BO1226" s="124"/>
      <c r="BP1226" s="124"/>
      <c r="BQ1226" s="124"/>
      <c r="BR1226" s="124"/>
      <c r="BS1226" s="124"/>
      <c r="BT1226" s="124"/>
      <c r="BU1226" s="124"/>
      <c r="BV1226" s="124"/>
      <c r="BW1226" s="124"/>
      <c r="BX1226" s="124"/>
      <c r="BY1226" s="124"/>
      <c r="BZ1226" s="124"/>
      <c r="CA1226" s="124"/>
      <c r="CB1226" s="124"/>
      <c r="CC1226" s="124"/>
      <c r="CD1226" s="124"/>
      <c r="CE1226" s="124"/>
      <c r="CF1226" s="124"/>
      <c r="CG1226" s="124"/>
      <c r="CH1226" s="124"/>
      <c r="CI1226" s="124"/>
      <c r="CJ1226" s="124"/>
      <c r="CK1226" s="124"/>
      <c r="CL1226" s="124"/>
      <c r="CM1226" s="124"/>
      <c r="CN1226" s="124"/>
      <c r="CO1226" s="124"/>
      <c r="CP1226" s="124"/>
      <c r="CQ1226" s="124"/>
      <c r="CR1226" s="124"/>
      <c r="CS1226" s="124"/>
      <c r="CT1226" s="124"/>
      <c r="CU1226" s="124"/>
      <c r="CV1226" s="124"/>
      <c r="CW1226" s="124"/>
      <c r="CX1226" s="124"/>
      <c r="CY1226" s="124"/>
      <c r="CZ1226" s="124"/>
      <c r="DA1226" s="124"/>
      <c r="DB1226" s="124"/>
      <c r="DC1226" s="124"/>
      <c r="DD1226" s="124"/>
      <c r="DE1226" s="124"/>
      <c r="DF1226" s="124"/>
      <c r="DG1226" s="115"/>
    </row>
    <row r="1227" spans="1:111" ht="9" customHeight="1">
      <c r="A1227"/>
      <c r="B1227" s="125"/>
      <c r="C1227" s="125"/>
      <c r="D1227" s="125"/>
      <c r="E1227" s="125"/>
      <c r="F1227" s="125"/>
      <c r="G1227" s="125"/>
      <c r="H1227" s="125"/>
      <c r="I1227" s="125"/>
      <c r="J1227" s="125"/>
      <c r="K1227" s="125"/>
      <c r="L1227" s="125"/>
      <c r="M1227" s="125"/>
      <c r="N1227" s="125"/>
      <c r="O1227" s="496"/>
      <c r="P1227" s="496"/>
      <c r="Q1227" s="496"/>
      <c r="R1227" s="496"/>
      <c r="S1227" s="496"/>
      <c r="T1227" s="496"/>
      <c r="U1227" s="496"/>
      <c r="V1227" s="417"/>
      <c r="W1227" s="417"/>
      <c r="X1227" s="417"/>
      <c r="Y1227" s="417"/>
      <c r="Z1227" s="417"/>
      <c r="AA1227" s="417"/>
      <c r="AB1227" s="417"/>
      <c r="AC1227" s="417"/>
      <c r="AD1227" s="417"/>
      <c r="AE1227" s="417"/>
      <c r="AF1227" s="125"/>
      <c r="AG1227" s="497"/>
      <c r="AH1227" s="497"/>
      <c r="AI1227" s="497"/>
      <c r="AJ1227" s="497"/>
      <c r="AK1227" s="497"/>
      <c r="AL1227" s="497"/>
      <c r="AM1227" s="497"/>
      <c r="AN1227" s="125"/>
      <c r="AO1227" s="417"/>
      <c r="AP1227" s="417"/>
      <c r="AQ1227" s="417"/>
      <c r="AR1227" s="417"/>
      <c r="AS1227" s="417"/>
      <c r="AT1227" s="417"/>
      <c r="AU1227" s="417"/>
      <c r="AV1227" s="417"/>
      <c r="AW1227" s="417"/>
      <c r="AX1227" s="417"/>
      <c r="AY1227" s="417"/>
      <c r="AZ1227" s="417"/>
      <c r="BA1227" s="417"/>
      <c r="BB1227"/>
      <c r="BC1227" s="115"/>
      <c r="BD1227" s="115"/>
      <c r="BE1227" s="115"/>
      <c r="BF1227" s="115"/>
      <c r="BG1227" s="115"/>
      <c r="BH1227" s="124"/>
      <c r="BI1227" s="124"/>
      <c r="BJ1227" s="124"/>
      <c r="BK1227" s="124"/>
      <c r="BL1227" s="124"/>
      <c r="BM1227" s="124"/>
      <c r="BN1227" s="124"/>
      <c r="BO1227" s="124"/>
      <c r="BP1227" s="124"/>
      <c r="BQ1227" s="124"/>
      <c r="BR1227" s="124"/>
      <c r="BS1227" s="124"/>
      <c r="BT1227" s="124"/>
      <c r="BU1227" s="124"/>
      <c r="BV1227" s="124"/>
      <c r="BW1227" s="124"/>
      <c r="BX1227" s="124"/>
      <c r="BY1227" s="124"/>
      <c r="BZ1227" s="124"/>
      <c r="CA1227" s="124"/>
      <c r="CB1227" s="124"/>
      <c r="CC1227" s="124"/>
      <c r="CD1227" s="124"/>
      <c r="CE1227" s="124"/>
      <c r="CF1227" s="124"/>
      <c r="CG1227" s="124"/>
      <c r="CH1227" s="124"/>
      <c r="CI1227" s="124"/>
      <c r="CJ1227" s="124"/>
      <c r="CK1227" s="124"/>
      <c r="CL1227" s="124"/>
      <c r="CM1227" s="124"/>
      <c r="CN1227" s="124"/>
      <c r="CO1227" s="124"/>
      <c r="CP1227" s="124"/>
      <c r="CQ1227" s="124"/>
      <c r="CR1227" s="124"/>
      <c r="CS1227" s="124"/>
      <c r="CT1227" s="124"/>
      <c r="CU1227" s="124"/>
      <c r="CV1227" s="124"/>
      <c r="CW1227" s="124"/>
      <c r="CX1227" s="124"/>
      <c r="CY1227" s="124"/>
      <c r="CZ1227" s="124"/>
      <c r="DA1227" s="124"/>
      <c r="DB1227" s="124"/>
      <c r="DC1227" s="124"/>
      <c r="DD1227" s="124"/>
      <c r="DE1227" s="124"/>
      <c r="DF1227" s="124"/>
      <c r="DG1227" s="115"/>
    </row>
    <row r="1228" spans="1:111" ht="9" customHeight="1">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s="115"/>
      <c r="BD1228" s="115"/>
      <c r="BE1228" s="115"/>
      <c r="BF1228" s="115"/>
      <c r="BG1228" s="115"/>
      <c r="BH1228" s="498"/>
      <c r="BI1228" s="498"/>
      <c r="BJ1228" s="498"/>
      <c r="BK1228" s="498"/>
      <c r="BL1228" s="498"/>
      <c r="BM1228" s="498"/>
      <c r="BN1228" s="498"/>
      <c r="BO1228" s="498"/>
      <c r="BP1228" s="498"/>
      <c r="BQ1228" s="498"/>
      <c r="BR1228" s="498"/>
      <c r="BS1228" s="498"/>
      <c r="BT1228" s="498"/>
      <c r="BU1228" s="498"/>
      <c r="BV1228" s="498"/>
      <c r="BW1228" s="498"/>
      <c r="BX1228" s="498"/>
      <c r="BY1228" s="498"/>
      <c r="BZ1228" s="498"/>
      <c r="CA1228" s="498"/>
      <c r="CB1228" s="498"/>
      <c r="CC1228" s="498"/>
      <c r="CD1228" s="498"/>
      <c r="CE1228" s="498"/>
      <c r="CF1228" s="498"/>
      <c r="CG1228" s="498"/>
      <c r="CH1228" s="498"/>
      <c r="CI1228" s="498"/>
      <c r="CJ1228" s="498"/>
      <c r="CK1228" s="498"/>
      <c r="CL1228" s="498"/>
      <c r="CM1228" s="498"/>
      <c r="CN1228" s="498"/>
      <c r="CO1228" s="498"/>
      <c r="CP1228" s="498"/>
      <c r="CQ1228" s="498"/>
      <c r="CR1228" s="498"/>
      <c r="CS1228" s="498"/>
      <c r="CT1228" s="498"/>
      <c r="CU1228" s="498"/>
      <c r="CV1228" s="498"/>
      <c r="CW1228" s="498"/>
      <c r="CX1228" s="498"/>
      <c r="CY1228" s="498"/>
      <c r="CZ1228" s="498"/>
      <c r="DA1228" s="498"/>
      <c r="DB1228" s="498"/>
      <c r="DC1228" s="498"/>
      <c r="DD1228" s="498"/>
      <c r="DE1228" s="498"/>
      <c r="DF1228" s="498"/>
      <c r="DG1228" s="115"/>
    </row>
    <row r="1229" spans="1:111" ht="9" customHeight="1">
      <c r="A1229"/>
      <c r="B1229" s="499" t="str">
        <f>IF($Z$32&gt;=20,"Nome da Empresa ou Nº da Ata","")</f>
        <v/>
      </c>
      <c r="C1229" s="499"/>
      <c r="D1229" s="499"/>
      <c r="E1229" s="499"/>
      <c r="F1229" s="499"/>
      <c r="G1229" s="499"/>
      <c r="H1229" s="499"/>
      <c r="I1229" s="499"/>
      <c r="J1229" s="499"/>
      <c r="K1229" s="499"/>
      <c r="L1229" s="499"/>
      <c r="M1229" s="499"/>
      <c r="N1229" s="499"/>
      <c r="O1229" s="499"/>
      <c r="P1229" s="499"/>
      <c r="Q1229" s="499"/>
      <c r="R1229" s="499"/>
      <c r="S1229" s="499"/>
      <c r="T1229" s="499"/>
      <c r="U1229" s="499"/>
      <c r="V1229" s="499"/>
      <c r="W1229" s="499"/>
      <c r="X1229" s="499" t="str">
        <f>IF($Z$32&gt;=20,"CNPJ / CPF","")</f>
        <v/>
      </c>
      <c r="Y1229" s="499"/>
      <c r="Z1229" s="499"/>
      <c r="AA1229" s="499"/>
      <c r="AB1229" s="499"/>
      <c r="AC1229" s="499"/>
      <c r="AD1229" s="499"/>
      <c r="AE1229" s="499"/>
      <c r="AF1229" s="499"/>
      <c r="AG1229" s="499"/>
      <c r="AH1229" s="499" t="str">
        <f>IF($Z$32&gt;=20,"Qtde","")</f>
        <v/>
      </c>
      <c r="AI1229" s="499"/>
      <c r="AJ1229" s="499"/>
      <c r="AK1229" s="499"/>
      <c r="AL1229" s="499" t="str">
        <f>IF($Z$32&gt;=20,"Valor Unitário (R$)","")</f>
        <v/>
      </c>
      <c r="AM1229" s="499"/>
      <c r="AN1229" s="499"/>
      <c r="AO1229" s="499"/>
      <c r="AP1229" s="499"/>
      <c r="AQ1229" s="499"/>
      <c r="AR1229" s="499"/>
      <c r="AS1229" s="499"/>
      <c r="AT1229" s="499" t="str">
        <f>IF($Z$32&gt;=20,"Valor Total (R$)","")</f>
        <v/>
      </c>
      <c r="AU1229" s="499"/>
      <c r="AV1229" s="499"/>
      <c r="AW1229" s="499"/>
      <c r="AX1229" s="499"/>
      <c r="AY1229" s="499"/>
      <c r="AZ1229" s="499"/>
      <c r="BA1229" s="499"/>
      <c r="BB1229"/>
      <c r="BC1229" s="115"/>
      <c r="BD1229" s="115"/>
      <c r="BE1229" s="115"/>
      <c r="BF1229" s="115"/>
      <c r="BG1229" s="115"/>
      <c r="BH1229" s="498"/>
      <c r="BI1229" s="498"/>
      <c r="BJ1229" s="498"/>
      <c r="BK1229" s="498"/>
      <c r="BL1229" s="498"/>
      <c r="BM1229" s="498"/>
      <c r="BN1229" s="498"/>
      <c r="BO1229" s="498"/>
      <c r="BP1229" s="498"/>
      <c r="BQ1229" s="498"/>
      <c r="BR1229" s="498"/>
      <c r="BS1229" s="498"/>
      <c r="BT1229" s="498"/>
      <c r="BU1229" s="498"/>
      <c r="BV1229" s="498"/>
      <c r="BW1229" s="498"/>
      <c r="BX1229" s="498"/>
      <c r="BY1229" s="498"/>
      <c r="BZ1229" s="498"/>
      <c r="CA1229" s="498"/>
      <c r="CB1229" s="498"/>
      <c r="CC1229" s="498"/>
      <c r="CD1229" s="498"/>
      <c r="CE1229" s="498"/>
      <c r="CF1229" s="498"/>
      <c r="CG1229" s="498"/>
      <c r="CH1229" s="498"/>
      <c r="CI1229" s="498"/>
      <c r="CJ1229" s="498"/>
      <c r="CK1229" s="498"/>
      <c r="CL1229" s="498"/>
      <c r="CM1229" s="498"/>
      <c r="CN1229" s="498"/>
      <c r="CO1229" s="498"/>
      <c r="CP1229" s="498"/>
      <c r="CQ1229" s="498"/>
      <c r="CR1229" s="498"/>
      <c r="CS1229" s="498"/>
      <c r="CT1229" s="498"/>
      <c r="CU1229" s="498"/>
      <c r="CV1229" s="498"/>
      <c r="CW1229" s="498"/>
      <c r="CX1229" s="498"/>
      <c r="CY1229" s="498"/>
      <c r="CZ1229" s="498"/>
      <c r="DA1229" s="498"/>
      <c r="DB1229" s="498"/>
      <c r="DC1229" s="498"/>
      <c r="DD1229" s="498"/>
      <c r="DE1229" s="498"/>
      <c r="DF1229" s="498"/>
      <c r="DG1229" s="115"/>
    </row>
    <row r="1230" spans="1:111" ht="9" customHeight="1">
      <c r="A1230"/>
      <c r="B1230" s="499"/>
      <c r="C1230" s="499"/>
      <c r="D1230" s="499"/>
      <c r="E1230" s="499"/>
      <c r="F1230" s="499"/>
      <c r="G1230" s="499"/>
      <c r="H1230" s="499"/>
      <c r="I1230" s="499"/>
      <c r="J1230" s="499"/>
      <c r="K1230" s="499"/>
      <c r="L1230" s="499"/>
      <c r="M1230" s="499"/>
      <c r="N1230" s="499"/>
      <c r="O1230" s="499"/>
      <c r="P1230" s="499"/>
      <c r="Q1230" s="499"/>
      <c r="R1230" s="499"/>
      <c r="S1230" s="499"/>
      <c r="T1230" s="499"/>
      <c r="U1230" s="499"/>
      <c r="V1230" s="499"/>
      <c r="W1230" s="499"/>
      <c r="X1230" s="499"/>
      <c r="Y1230" s="499"/>
      <c r="Z1230" s="499"/>
      <c r="AA1230" s="499"/>
      <c r="AB1230" s="499"/>
      <c r="AC1230" s="499"/>
      <c r="AD1230" s="499"/>
      <c r="AE1230" s="499"/>
      <c r="AF1230" s="499"/>
      <c r="AG1230" s="499"/>
      <c r="AH1230" s="499"/>
      <c r="AI1230" s="499"/>
      <c r="AJ1230" s="499"/>
      <c r="AK1230" s="499"/>
      <c r="AL1230" s="499"/>
      <c r="AM1230" s="499"/>
      <c r="AN1230" s="499"/>
      <c r="AO1230" s="499"/>
      <c r="AP1230" s="499"/>
      <c r="AQ1230" s="499"/>
      <c r="AR1230" s="499"/>
      <c r="AS1230" s="499"/>
      <c r="AT1230" s="499"/>
      <c r="AU1230" s="499"/>
      <c r="AV1230" s="499"/>
      <c r="AW1230" s="499"/>
      <c r="AX1230" s="499"/>
      <c r="AY1230" s="499"/>
      <c r="AZ1230" s="499"/>
      <c r="BA1230" s="499"/>
      <c r="BB1230" s="176" t="e">
        <f>AVERAGE(AL1231:AS1233)</f>
        <v>#DIV/0!</v>
      </c>
      <c r="BC1230" s="115"/>
      <c r="BD1230" s="115"/>
      <c r="BE1230" s="115"/>
      <c r="BF1230" s="115"/>
      <c r="BG1230" s="115"/>
      <c r="BH1230" s="498"/>
      <c r="BI1230" s="498"/>
      <c r="BJ1230" s="498"/>
      <c r="BK1230" s="498"/>
      <c r="BL1230" s="498"/>
      <c r="BM1230" s="498"/>
      <c r="BN1230" s="498"/>
      <c r="BO1230" s="498"/>
      <c r="BP1230" s="498"/>
      <c r="BQ1230" s="498"/>
      <c r="BR1230" s="498"/>
      <c r="BS1230" s="498"/>
      <c r="BT1230" s="498"/>
      <c r="BU1230" s="498"/>
      <c r="BV1230" s="498"/>
      <c r="BW1230" s="498"/>
      <c r="BX1230" s="498"/>
      <c r="BY1230" s="498"/>
      <c r="BZ1230" s="498"/>
      <c r="CA1230" s="498"/>
      <c r="CB1230" s="498"/>
      <c r="CC1230" s="498"/>
      <c r="CD1230" s="498"/>
      <c r="CE1230" s="498"/>
      <c r="CF1230" s="498"/>
      <c r="CG1230" s="498"/>
      <c r="CH1230" s="498"/>
      <c r="CI1230" s="498"/>
      <c r="CJ1230" s="498"/>
      <c r="CK1230" s="498"/>
      <c r="CL1230" s="498"/>
      <c r="CM1230" s="498"/>
      <c r="CN1230" s="498"/>
      <c r="CO1230" s="498"/>
      <c r="CP1230" s="498"/>
      <c r="CQ1230" s="498"/>
      <c r="CR1230" s="498"/>
      <c r="CS1230" s="498"/>
      <c r="CT1230" s="498"/>
      <c r="CU1230" s="498"/>
      <c r="CV1230" s="498"/>
      <c r="CW1230" s="498"/>
      <c r="CX1230" s="498"/>
      <c r="CY1230" s="498"/>
      <c r="CZ1230" s="498"/>
      <c r="DA1230" s="498"/>
      <c r="DB1230" s="498"/>
      <c r="DC1230" s="498"/>
      <c r="DD1230" s="498"/>
      <c r="DE1230" s="498"/>
      <c r="DF1230" s="498"/>
      <c r="DG1230" s="115"/>
    </row>
    <row r="1231" spans="1:111" ht="18" customHeight="1">
      <c r="A1231"/>
      <c r="B1231" s="233"/>
      <c r="C1231" s="233"/>
      <c r="D1231" s="233"/>
      <c r="E1231" s="233"/>
      <c r="F1231" s="233"/>
      <c r="G1231" s="233"/>
      <c r="H1231" s="233"/>
      <c r="I1231" s="233"/>
      <c r="J1231" s="233"/>
      <c r="K1231" s="233"/>
      <c r="L1231" s="233"/>
      <c r="M1231" s="233"/>
      <c r="N1231" s="233"/>
      <c r="O1231" s="233"/>
      <c r="P1231" s="233"/>
      <c r="Q1231" s="233"/>
      <c r="R1231" s="233"/>
      <c r="S1231" s="233"/>
      <c r="T1231" s="233"/>
      <c r="U1231" s="233"/>
      <c r="V1231" s="233"/>
      <c r="W1231" s="233"/>
      <c r="X1231" s="486"/>
      <c r="Y1231" s="486"/>
      <c r="Z1231" s="486"/>
      <c r="AA1231" s="486"/>
      <c r="AB1231" s="486"/>
      <c r="AC1231" s="486"/>
      <c r="AD1231" s="486"/>
      <c r="AE1231" s="486"/>
      <c r="AF1231" s="486"/>
      <c r="AG1231" s="486"/>
      <c r="AH1231" s="417"/>
      <c r="AI1231" s="417"/>
      <c r="AJ1231" s="417"/>
      <c r="AK1231" s="417"/>
      <c r="AL1231" s="419"/>
      <c r="AM1231" s="419"/>
      <c r="AN1231" s="419"/>
      <c r="AO1231" s="419"/>
      <c r="AP1231" s="419"/>
      <c r="AQ1231" s="419"/>
      <c r="AR1231" s="419"/>
      <c r="AS1231" s="419"/>
      <c r="AT1231" s="487" t="str">
        <f>IF($Z$32&gt;=20,(AH1231*AL1231),"")</f>
        <v/>
      </c>
      <c r="AU1231" s="487"/>
      <c r="AV1231" s="487"/>
      <c r="AW1231" s="487"/>
      <c r="AX1231" s="487"/>
      <c r="AY1231" s="487"/>
      <c r="AZ1231" s="487"/>
      <c r="BA1231" s="487"/>
      <c r="BB1231"/>
      <c r="BC1231" s="115"/>
      <c r="BD1231" s="115"/>
      <c r="BE1231" s="115"/>
      <c r="BF1231" s="115"/>
      <c r="BG1231" s="115"/>
      <c r="BH1231" s="498"/>
      <c r="BI1231" s="498"/>
      <c r="BJ1231" s="498"/>
      <c r="BK1231" s="498"/>
      <c r="BL1231" s="498"/>
      <c r="BM1231" s="498"/>
      <c r="BN1231" s="498"/>
      <c r="BO1231" s="498"/>
      <c r="BP1231" s="498"/>
      <c r="BQ1231" s="498"/>
      <c r="BR1231" s="498"/>
      <c r="BS1231" s="498"/>
      <c r="BT1231" s="498"/>
      <c r="BU1231" s="498"/>
      <c r="BV1231" s="498"/>
      <c r="BW1231" s="498"/>
      <c r="BX1231" s="498"/>
      <c r="BY1231" s="498"/>
      <c r="BZ1231" s="498"/>
      <c r="CA1231" s="498"/>
      <c r="CB1231" s="498"/>
      <c r="CC1231" s="498"/>
      <c r="CD1231" s="498"/>
      <c r="CE1231" s="498"/>
      <c r="CF1231" s="498"/>
      <c r="CG1231" s="498"/>
      <c r="CH1231" s="498"/>
      <c r="CI1231" s="498"/>
      <c r="CJ1231" s="498"/>
      <c r="CK1231" s="498"/>
      <c r="CL1231" s="498"/>
      <c r="CM1231" s="498"/>
      <c r="CN1231" s="498"/>
      <c r="CO1231" s="498"/>
      <c r="CP1231" s="498"/>
      <c r="CQ1231" s="498"/>
      <c r="CR1231" s="498"/>
      <c r="CS1231" s="498"/>
      <c r="CT1231" s="498"/>
      <c r="CU1231" s="498"/>
      <c r="CV1231" s="498"/>
      <c r="CW1231" s="498"/>
      <c r="CX1231" s="498"/>
      <c r="CY1231" s="498"/>
      <c r="CZ1231" s="498"/>
      <c r="DA1231" s="498"/>
      <c r="DB1231" s="498"/>
      <c r="DC1231" s="498"/>
      <c r="DD1231" s="498"/>
      <c r="DE1231" s="498"/>
      <c r="DF1231" s="498"/>
      <c r="DG1231" s="115"/>
    </row>
    <row r="1232" spans="1:111" ht="18" customHeight="1">
      <c r="A1232"/>
      <c r="B1232" s="233"/>
      <c r="C1232" s="233"/>
      <c r="D1232" s="233"/>
      <c r="E1232" s="233"/>
      <c r="F1232" s="233"/>
      <c r="G1232" s="233"/>
      <c r="H1232" s="233"/>
      <c r="I1232" s="233"/>
      <c r="J1232" s="233"/>
      <c r="K1232" s="233"/>
      <c r="L1232" s="233"/>
      <c r="M1232" s="233"/>
      <c r="N1232" s="233"/>
      <c r="O1232" s="233"/>
      <c r="P1232" s="233"/>
      <c r="Q1232" s="233"/>
      <c r="R1232" s="233"/>
      <c r="S1232" s="233"/>
      <c r="T1232" s="233"/>
      <c r="U1232" s="233"/>
      <c r="V1232" s="233"/>
      <c r="W1232" s="233"/>
      <c r="X1232" s="486"/>
      <c r="Y1232" s="486"/>
      <c r="Z1232" s="486"/>
      <c r="AA1232" s="486"/>
      <c r="AB1232" s="486"/>
      <c r="AC1232" s="486"/>
      <c r="AD1232" s="486"/>
      <c r="AE1232" s="486"/>
      <c r="AF1232" s="486"/>
      <c r="AG1232" s="486"/>
      <c r="AH1232" s="417"/>
      <c r="AI1232" s="417"/>
      <c r="AJ1232" s="417"/>
      <c r="AK1232" s="417"/>
      <c r="AL1232" s="419"/>
      <c r="AM1232" s="419"/>
      <c r="AN1232" s="419"/>
      <c r="AO1232" s="419"/>
      <c r="AP1232" s="419"/>
      <c r="AQ1232" s="419"/>
      <c r="AR1232" s="419"/>
      <c r="AS1232" s="419"/>
      <c r="AT1232" s="487" t="str">
        <f>IF($Z$32&gt;=20,(AH1232*AL1232),"")</f>
        <v/>
      </c>
      <c r="AU1232" s="487"/>
      <c r="AV1232" s="487"/>
      <c r="AW1232" s="487"/>
      <c r="AX1232" s="487"/>
      <c r="AY1232" s="487"/>
      <c r="AZ1232" s="487"/>
      <c r="BA1232" s="487"/>
      <c r="BB1232"/>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c r="BY1232" s="115"/>
      <c r="BZ1232" s="115"/>
      <c r="CA1232" s="115"/>
      <c r="CB1232" s="115"/>
      <c r="CC1232" s="115"/>
      <c r="CD1232" s="115"/>
      <c r="CE1232" s="115"/>
      <c r="CF1232" s="115"/>
      <c r="CG1232" s="115"/>
      <c r="CH1232" s="115"/>
      <c r="CI1232" s="115"/>
      <c r="CJ1232" s="115"/>
      <c r="CK1232" s="115"/>
      <c r="CL1232" s="115"/>
      <c r="CM1232" s="115"/>
      <c r="CN1232" s="115"/>
      <c r="CO1232" s="115"/>
      <c r="CP1232" s="115"/>
      <c r="CQ1232" s="115"/>
      <c r="CR1232" s="115"/>
      <c r="CS1232" s="115"/>
      <c r="CT1232" s="115"/>
      <c r="CU1232" s="115"/>
      <c r="CV1232" s="115"/>
      <c r="CW1232" s="115"/>
      <c r="CX1232" s="115"/>
      <c r="CY1232" s="115"/>
      <c r="CZ1232" s="115"/>
      <c r="DA1232" s="115"/>
      <c r="DB1232" s="115"/>
      <c r="DC1232" s="115"/>
      <c r="DD1232" s="115"/>
      <c r="DE1232" s="115"/>
      <c r="DF1232" s="115"/>
      <c r="DG1232" s="115"/>
    </row>
    <row r="1233" spans="1:111" ht="18" customHeight="1">
      <c r="A1233"/>
      <c r="B1233" s="233"/>
      <c r="C1233" s="233"/>
      <c r="D1233" s="233"/>
      <c r="E1233" s="233"/>
      <c r="F1233" s="233"/>
      <c r="G1233" s="233"/>
      <c r="H1233" s="233"/>
      <c r="I1233" s="233"/>
      <c r="J1233" s="233"/>
      <c r="K1233" s="233"/>
      <c r="L1233" s="233"/>
      <c r="M1233" s="233"/>
      <c r="N1233" s="233"/>
      <c r="O1233" s="233"/>
      <c r="P1233" s="233"/>
      <c r="Q1233" s="233"/>
      <c r="R1233" s="233"/>
      <c r="S1233" s="233"/>
      <c r="T1233" s="233"/>
      <c r="U1233" s="233"/>
      <c r="V1233" s="233"/>
      <c r="W1233" s="233"/>
      <c r="X1233" s="486"/>
      <c r="Y1233" s="486"/>
      <c r="Z1233" s="486"/>
      <c r="AA1233" s="486"/>
      <c r="AB1233" s="486"/>
      <c r="AC1233" s="486"/>
      <c r="AD1233" s="486"/>
      <c r="AE1233" s="486"/>
      <c r="AF1233" s="486"/>
      <c r="AG1233" s="486"/>
      <c r="AH1233" s="417"/>
      <c r="AI1233" s="417"/>
      <c r="AJ1233" s="417"/>
      <c r="AK1233" s="417"/>
      <c r="AL1233" s="419"/>
      <c r="AM1233" s="419"/>
      <c r="AN1233" s="419"/>
      <c r="AO1233" s="419"/>
      <c r="AP1233" s="419"/>
      <c r="AQ1233" s="419"/>
      <c r="AR1233" s="419"/>
      <c r="AS1233" s="419"/>
      <c r="AT1233" s="487" t="str">
        <f>IF($Z$32&gt;=20,(AH1233*AL1233),"")</f>
        <v/>
      </c>
      <c r="AU1233" s="487"/>
      <c r="AV1233" s="487"/>
      <c r="AW1233" s="487"/>
      <c r="AX1233" s="487"/>
      <c r="AY1233" s="487"/>
      <c r="AZ1233" s="487"/>
      <c r="BA1233" s="487"/>
      <c r="BB1233"/>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c r="BY1233" s="115"/>
      <c r="BZ1233" s="115"/>
      <c r="CA1233" s="115"/>
      <c r="CB1233" s="115"/>
      <c r="CC1233" s="115"/>
      <c r="CD1233" s="115"/>
      <c r="CE1233" s="115"/>
      <c r="CF1233" s="115"/>
      <c r="CG1233" s="115"/>
      <c r="CH1233" s="115"/>
      <c r="CI1233" s="115"/>
      <c r="CJ1233" s="115"/>
      <c r="CK1233" s="115"/>
      <c r="CL1233" s="115"/>
      <c r="CM1233" s="115"/>
      <c r="CN1233" s="115"/>
      <c r="CO1233" s="115"/>
      <c r="CP1233" s="115"/>
      <c r="CQ1233" s="115"/>
      <c r="CR1233" s="115"/>
      <c r="CS1233" s="115"/>
      <c r="CT1233" s="115"/>
      <c r="CU1233" s="115"/>
      <c r="CV1233" s="115"/>
      <c r="CW1233" s="115"/>
      <c r="CX1233" s="115"/>
      <c r="CY1233" s="115"/>
      <c r="CZ1233" s="115"/>
      <c r="DA1233" s="115"/>
      <c r="DB1233" s="115"/>
      <c r="DC1233" s="115"/>
      <c r="DD1233" s="115"/>
      <c r="DE1233" s="115"/>
      <c r="DF1233" s="115"/>
      <c r="DG1233" s="115"/>
    </row>
    <row r="1234" spans="1:111" ht="18" customHeight="1">
      <c r="AT1234" s="500" t="str">
        <f>IF(B1231="","",IF(AL1232="",AT1231,IF(AL1233="",AVERAGE(AT1231:BA1232),AVERAGE(AT1231:AT1233))))</f>
        <v/>
      </c>
      <c r="AU1234" s="500"/>
      <c r="AV1234" s="500"/>
      <c r="AW1234" s="500"/>
      <c r="AX1234" s="500"/>
      <c r="AY1234" s="500"/>
      <c r="AZ1234" s="500"/>
      <c r="BA1234" s="500"/>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c r="BY1234" s="115"/>
      <c r="BZ1234" s="115"/>
      <c r="CA1234" s="115"/>
      <c r="CB1234" s="115"/>
      <c r="CC1234" s="115"/>
      <c r="CD1234" s="115"/>
      <c r="CE1234" s="115"/>
      <c r="CF1234" s="115"/>
      <c r="CG1234" s="115"/>
      <c r="CH1234" s="115"/>
      <c r="CI1234" s="115"/>
      <c r="CJ1234" s="115"/>
      <c r="CK1234" s="115"/>
      <c r="CL1234" s="115"/>
      <c r="CM1234" s="115"/>
      <c r="CN1234" s="115"/>
      <c r="CO1234" s="115"/>
      <c r="CP1234" s="115"/>
      <c r="CQ1234" s="115"/>
      <c r="CR1234" s="115"/>
      <c r="CS1234" s="115"/>
      <c r="CT1234" s="115"/>
      <c r="CU1234" s="115"/>
      <c r="CV1234" s="115"/>
      <c r="CW1234" s="115"/>
      <c r="CX1234" s="115"/>
      <c r="CY1234" s="115"/>
      <c r="CZ1234" s="115"/>
      <c r="DA1234" s="115"/>
      <c r="DB1234" s="115"/>
      <c r="DC1234" s="115"/>
      <c r="DD1234" s="115"/>
      <c r="DE1234" s="115"/>
      <c r="DF1234" s="115"/>
      <c r="DG1234" s="115"/>
    </row>
    <row r="1235" spans="1:111" ht="18" customHeight="1">
      <c r="A1235" s="129"/>
      <c r="B1235" s="130"/>
      <c r="C1235" s="130"/>
      <c r="D1235" s="130"/>
      <c r="E1235" s="130"/>
      <c r="F1235" s="130"/>
      <c r="G1235" s="130"/>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0"/>
      <c r="AL1235" s="130"/>
      <c r="AM1235" s="130"/>
      <c r="AN1235" s="130"/>
      <c r="AO1235" s="130"/>
      <c r="AP1235" s="130"/>
      <c r="AQ1235" s="130"/>
      <c r="AR1235" s="130"/>
      <c r="AS1235" s="130"/>
      <c r="AT1235" s="130"/>
      <c r="AU1235" s="130"/>
      <c r="AV1235" s="130"/>
      <c r="AW1235" s="130"/>
      <c r="AX1235" s="130"/>
      <c r="AY1235" s="130"/>
      <c r="AZ1235" s="130"/>
      <c r="BA1235" s="130"/>
      <c r="BB1235" s="129"/>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c r="BY1235" s="115"/>
      <c r="BZ1235" s="115"/>
      <c r="CA1235" s="115"/>
      <c r="CB1235" s="115"/>
      <c r="CC1235" s="115"/>
      <c r="CD1235" s="115"/>
      <c r="CE1235" s="115"/>
      <c r="CF1235" s="115"/>
      <c r="CG1235" s="115"/>
      <c r="CH1235" s="115"/>
      <c r="CI1235" s="115"/>
      <c r="CJ1235" s="115"/>
      <c r="CK1235" s="115"/>
      <c r="CL1235" s="115"/>
      <c r="CM1235" s="115"/>
      <c r="CN1235" s="115"/>
      <c r="CO1235" s="115"/>
      <c r="CP1235" s="115"/>
      <c r="CQ1235" s="115"/>
      <c r="CR1235" s="115"/>
      <c r="CS1235" s="115"/>
      <c r="CT1235" s="115"/>
      <c r="CU1235" s="115"/>
      <c r="CV1235" s="115"/>
      <c r="CW1235" s="115"/>
      <c r="CX1235" s="115"/>
      <c r="CY1235" s="115"/>
      <c r="CZ1235" s="115"/>
      <c r="DA1235" s="115"/>
      <c r="DB1235" s="115"/>
      <c r="DC1235" s="115"/>
      <c r="DD1235" s="115"/>
      <c r="DE1235" s="115"/>
      <c r="DF1235" s="115"/>
      <c r="DG1235" s="115"/>
    </row>
    <row r="1236" spans="1:111" ht="9" customHeight="1">
      <c r="A1236" s="129"/>
      <c r="B1236" s="488" t="s">
        <v>347</v>
      </c>
      <c r="C1236" s="488"/>
      <c r="D1236" s="488"/>
      <c r="E1236" s="488"/>
      <c r="F1236" s="488"/>
      <c r="G1236" s="488"/>
      <c r="H1236" s="488"/>
      <c r="I1236" s="488"/>
      <c r="J1236" s="488"/>
      <c r="K1236" s="488"/>
      <c r="L1236" s="488"/>
      <c r="M1236" s="488"/>
      <c r="N1236" s="488"/>
      <c r="O1236" s="488"/>
      <c r="P1236" s="488"/>
      <c r="Q1236" s="488"/>
      <c r="R1236" s="488"/>
      <c r="S1236" s="488"/>
      <c r="T1236" s="488"/>
      <c r="U1236" s="488"/>
      <c r="V1236" s="488"/>
      <c r="W1236" s="488"/>
      <c r="X1236" s="488"/>
      <c r="Y1236" s="488"/>
      <c r="Z1236" s="488"/>
      <c r="AA1236" s="488"/>
      <c r="AB1236" s="488"/>
      <c r="AC1236" s="488"/>
      <c r="AD1236" s="488"/>
      <c r="AE1236" s="488"/>
      <c r="AF1236" s="488"/>
      <c r="AG1236" s="488"/>
      <c r="AH1236" s="488"/>
      <c r="AI1236" s="488"/>
      <c r="AJ1236" s="488"/>
      <c r="AK1236" s="488"/>
      <c r="AL1236" s="488"/>
      <c r="AM1236" s="488"/>
      <c r="AN1236" s="488"/>
      <c r="AO1236" s="488"/>
      <c r="AP1236" s="488"/>
      <c r="AQ1236" s="488"/>
      <c r="AR1236" s="488"/>
      <c r="AS1236" s="488"/>
      <c r="AT1236" s="488"/>
      <c r="AU1236" s="488"/>
      <c r="AV1236" s="488"/>
      <c r="AW1236" s="488"/>
      <c r="AX1236" s="488"/>
      <c r="AY1236" s="488"/>
      <c r="AZ1236" s="488"/>
      <c r="BA1236" s="488"/>
      <c r="BB1236" s="129"/>
      <c r="BC1236" s="115"/>
      <c r="BD1236" s="115"/>
      <c r="BE1236" s="115"/>
      <c r="BF1236" s="115"/>
      <c r="BG1236" s="115"/>
      <c r="BH1236" s="481" t="s">
        <v>410</v>
      </c>
      <c r="BI1236" s="481"/>
      <c r="BJ1236" s="481"/>
      <c r="BK1236" s="481"/>
      <c r="BL1236" s="481"/>
      <c r="BM1236" s="481"/>
      <c r="BN1236" s="481"/>
      <c r="BO1236" s="481"/>
      <c r="BP1236" s="481"/>
      <c r="BQ1236" s="481"/>
      <c r="BR1236" s="481"/>
      <c r="BS1236" s="481"/>
      <c r="BT1236" s="481"/>
      <c r="BU1236" s="481"/>
      <c r="BV1236" s="481"/>
      <c r="BW1236" s="481"/>
      <c r="BX1236" s="481"/>
      <c r="BY1236" s="481"/>
      <c r="BZ1236" s="481"/>
      <c r="CA1236" s="481"/>
      <c r="CB1236" s="481"/>
      <c r="CC1236" s="481"/>
      <c r="CD1236" s="481"/>
      <c r="CE1236" s="481"/>
      <c r="CF1236" s="481"/>
      <c r="CG1236" s="481"/>
      <c r="CH1236" s="481"/>
      <c r="CI1236" s="481"/>
      <c r="CJ1236" s="481"/>
      <c r="CK1236" s="481"/>
      <c r="CL1236" s="481"/>
      <c r="CM1236" s="481"/>
      <c r="CN1236" s="481"/>
      <c r="CO1236" s="481"/>
      <c r="CP1236" s="481"/>
      <c r="CQ1236" s="481"/>
      <c r="CR1236" s="481"/>
      <c r="CS1236" s="481"/>
      <c r="CT1236" s="481"/>
      <c r="CU1236" s="481"/>
      <c r="CV1236" s="481"/>
      <c r="CW1236" s="481"/>
      <c r="CX1236" s="481"/>
      <c r="CY1236" s="481"/>
      <c r="CZ1236" s="481"/>
      <c r="DA1236" s="481"/>
      <c r="DB1236" s="481"/>
      <c r="DC1236" s="481"/>
      <c r="DD1236" s="481"/>
      <c r="DE1236" s="481"/>
      <c r="DF1236" s="481"/>
      <c r="DG1236" s="115"/>
    </row>
    <row r="1237" spans="1:111" ht="9" customHeight="1">
      <c r="A1237" s="129"/>
      <c r="B1237" s="488"/>
      <c r="C1237" s="488"/>
      <c r="D1237" s="488"/>
      <c r="E1237" s="488"/>
      <c r="F1237" s="488"/>
      <c r="G1237" s="488"/>
      <c r="H1237" s="488"/>
      <c r="I1237" s="488"/>
      <c r="J1237" s="488"/>
      <c r="K1237" s="488"/>
      <c r="L1237" s="488"/>
      <c r="M1237" s="488"/>
      <c r="N1237" s="488"/>
      <c r="O1237" s="488"/>
      <c r="P1237" s="488"/>
      <c r="Q1237" s="488"/>
      <c r="R1237" s="488"/>
      <c r="S1237" s="488"/>
      <c r="T1237" s="488"/>
      <c r="U1237" s="488"/>
      <c r="V1237" s="488"/>
      <c r="W1237" s="488"/>
      <c r="X1237" s="488"/>
      <c r="Y1237" s="488"/>
      <c r="Z1237" s="488"/>
      <c r="AA1237" s="488"/>
      <c r="AB1237" s="488"/>
      <c r="AC1237" s="488"/>
      <c r="AD1237" s="488"/>
      <c r="AE1237" s="488"/>
      <c r="AF1237" s="488"/>
      <c r="AG1237" s="488"/>
      <c r="AH1237" s="488"/>
      <c r="AI1237" s="488"/>
      <c r="AJ1237" s="488"/>
      <c r="AK1237" s="488"/>
      <c r="AL1237" s="488"/>
      <c r="AM1237" s="488"/>
      <c r="AN1237" s="488"/>
      <c r="AO1237" s="488"/>
      <c r="AP1237" s="488"/>
      <c r="AQ1237" s="488"/>
      <c r="AR1237" s="488"/>
      <c r="AS1237" s="488"/>
      <c r="AT1237" s="488"/>
      <c r="AU1237" s="488"/>
      <c r="AV1237" s="488"/>
      <c r="AW1237" s="488"/>
      <c r="AX1237" s="488"/>
      <c r="AY1237" s="488"/>
      <c r="AZ1237" s="488"/>
      <c r="BA1237" s="488"/>
      <c r="BB1237" s="129"/>
      <c r="BC1237" s="115"/>
      <c r="BD1237" s="115"/>
      <c r="BE1237" s="115"/>
      <c r="BF1237" s="115"/>
      <c r="BG1237" s="115"/>
      <c r="BH1237" s="481"/>
      <c r="BI1237" s="481"/>
      <c r="BJ1237" s="481"/>
      <c r="BK1237" s="481"/>
      <c r="BL1237" s="481"/>
      <c r="BM1237" s="481"/>
      <c r="BN1237" s="481"/>
      <c r="BO1237" s="481"/>
      <c r="BP1237" s="481"/>
      <c r="BQ1237" s="481"/>
      <c r="BR1237" s="481"/>
      <c r="BS1237" s="481"/>
      <c r="BT1237" s="481"/>
      <c r="BU1237" s="481"/>
      <c r="BV1237" s="481"/>
      <c r="BW1237" s="481"/>
      <c r="BX1237" s="481"/>
      <c r="BY1237" s="481"/>
      <c r="BZ1237" s="481"/>
      <c r="CA1237" s="481"/>
      <c r="CB1237" s="481"/>
      <c r="CC1237" s="481"/>
      <c r="CD1237" s="481"/>
      <c r="CE1237" s="481"/>
      <c r="CF1237" s="481"/>
      <c r="CG1237" s="481"/>
      <c r="CH1237" s="481"/>
      <c r="CI1237" s="481"/>
      <c r="CJ1237" s="481"/>
      <c r="CK1237" s="481"/>
      <c r="CL1237" s="481"/>
      <c r="CM1237" s="481"/>
      <c r="CN1237" s="481"/>
      <c r="CO1237" s="481"/>
      <c r="CP1237" s="481"/>
      <c r="CQ1237" s="481"/>
      <c r="CR1237" s="481"/>
      <c r="CS1237" s="481"/>
      <c r="CT1237" s="481"/>
      <c r="CU1237" s="481"/>
      <c r="CV1237" s="481"/>
      <c r="CW1237" s="481"/>
      <c r="CX1237" s="481"/>
      <c r="CY1237" s="481"/>
      <c r="CZ1237" s="481"/>
      <c r="DA1237" s="481"/>
      <c r="DB1237" s="481"/>
      <c r="DC1237" s="481"/>
      <c r="DD1237" s="481"/>
      <c r="DE1237" s="481"/>
      <c r="DF1237" s="481"/>
      <c r="DG1237" s="115"/>
    </row>
    <row r="1238" spans="1:111" ht="9" customHeight="1">
      <c r="AH1238" s="483"/>
      <c r="AI1238" s="483"/>
      <c r="AJ1238" s="483"/>
      <c r="AK1238" s="483"/>
      <c r="AL1238" s="484"/>
      <c r="AM1238" s="484"/>
      <c r="AN1238" s="484"/>
      <c r="AO1238" s="484"/>
      <c r="AP1238" s="484"/>
      <c r="AQ1238" s="484"/>
      <c r="AR1238" s="484"/>
      <c r="AS1238" s="484"/>
      <c r="BC1238" s="115"/>
      <c r="BD1238" s="115"/>
      <c r="BE1238" s="115"/>
      <c r="BF1238" s="115"/>
      <c r="BG1238" s="115"/>
      <c r="BH1238" s="481"/>
      <c r="BI1238" s="481"/>
      <c r="BJ1238" s="481"/>
      <c r="BK1238" s="481"/>
      <c r="BL1238" s="481"/>
      <c r="BM1238" s="481"/>
      <c r="BN1238" s="481"/>
      <c r="BO1238" s="481"/>
      <c r="BP1238" s="481"/>
      <c r="BQ1238" s="481"/>
      <c r="BR1238" s="481"/>
      <c r="BS1238" s="481"/>
      <c r="BT1238" s="481"/>
      <c r="BU1238" s="481"/>
      <c r="BV1238" s="481"/>
      <c r="BW1238" s="481"/>
      <c r="BX1238" s="481"/>
      <c r="BY1238" s="481"/>
      <c r="BZ1238" s="481"/>
      <c r="CA1238" s="481"/>
      <c r="CB1238" s="481"/>
      <c r="CC1238" s="481"/>
      <c r="CD1238" s="481"/>
      <c r="CE1238" s="481"/>
      <c r="CF1238" s="481"/>
      <c r="CG1238" s="481"/>
      <c r="CH1238" s="481"/>
      <c r="CI1238" s="481"/>
      <c r="CJ1238" s="481"/>
      <c r="CK1238" s="481"/>
      <c r="CL1238" s="481"/>
      <c r="CM1238" s="481"/>
      <c r="CN1238" s="481"/>
      <c r="CO1238" s="481"/>
      <c r="CP1238" s="481"/>
      <c r="CQ1238" s="481"/>
      <c r="CR1238" s="481"/>
      <c r="CS1238" s="481"/>
      <c r="CT1238" s="481"/>
      <c r="CU1238" s="481"/>
      <c r="CV1238" s="481"/>
      <c r="CW1238" s="481"/>
      <c r="CX1238" s="481"/>
      <c r="CY1238" s="481"/>
      <c r="CZ1238" s="481"/>
      <c r="DA1238" s="481"/>
      <c r="DB1238" s="481"/>
      <c r="DC1238" s="481"/>
      <c r="DD1238" s="481"/>
      <c r="DE1238" s="481"/>
      <c r="DF1238" s="481"/>
      <c r="DG1238" s="115"/>
    </row>
    <row r="1239" spans="1:111" ht="24" customHeight="1">
      <c r="B1239" s="489" t="s">
        <v>349</v>
      </c>
      <c r="C1239" s="489"/>
      <c r="D1239" s="131"/>
      <c r="E1239" s="490" t="s">
        <v>348</v>
      </c>
      <c r="F1239" s="490"/>
      <c r="G1239" s="490"/>
      <c r="H1239" s="490"/>
      <c r="I1239" s="490"/>
      <c r="J1239" s="490"/>
      <c r="K1239" s="490"/>
      <c r="L1239" s="490"/>
      <c r="M1239" s="490"/>
      <c r="N1239" s="490"/>
      <c r="O1239" s="490"/>
      <c r="P1239" s="490"/>
      <c r="Q1239" s="490"/>
      <c r="R1239" s="490"/>
      <c r="S1239" s="490"/>
      <c r="T1239" s="490"/>
      <c r="U1239" s="490"/>
      <c r="V1239" s="490"/>
      <c r="W1239" s="490"/>
      <c r="X1239" s="490"/>
      <c r="Y1239" s="490"/>
      <c r="Z1239" s="490"/>
      <c r="AA1239" s="490"/>
      <c r="AB1239" s="490"/>
      <c r="AC1239" s="490"/>
      <c r="AD1239" s="490"/>
      <c r="AE1239" s="490"/>
      <c r="AF1239" s="490"/>
      <c r="AG1239" s="490"/>
      <c r="AH1239" s="491" t="s">
        <v>346</v>
      </c>
      <c r="AI1239" s="491"/>
      <c r="AJ1239" s="491"/>
      <c r="AK1239" s="491"/>
      <c r="AL1239" s="492" t="s">
        <v>350</v>
      </c>
      <c r="AM1239" s="492"/>
      <c r="AN1239" s="492"/>
      <c r="AO1239" s="492"/>
      <c r="AP1239" s="492"/>
      <c r="AQ1239" s="492"/>
      <c r="AR1239" s="492"/>
      <c r="AS1239" s="492"/>
      <c r="AT1239" s="492" t="s">
        <v>351</v>
      </c>
      <c r="AU1239" s="492"/>
      <c r="AV1239" s="492"/>
      <c r="AW1239" s="492"/>
      <c r="AX1239" s="492"/>
      <c r="AY1239" s="492"/>
      <c r="AZ1239" s="492"/>
      <c r="BA1239" s="492"/>
      <c r="BC1239" s="115"/>
      <c r="BD1239" s="115"/>
      <c r="BE1239" s="115"/>
      <c r="BF1239" s="115"/>
      <c r="BG1239" s="115"/>
      <c r="BH1239" s="481"/>
      <c r="BI1239" s="481"/>
      <c r="BJ1239" s="481"/>
      <c r="BK1239" s="481"/>
      <c r="BL1239" s="481"/>
      <c r="BM1239" s="481"/>
      <c r="BN1239" s="481"/>
      <c r="BO1239" s="481"/>
      <c r="BP1239" s="481"/>
      <c r="BQ1239" s="481"/>
      <c r="BR1239" s="481"/>
      <c r="BS1239" s="481"/>
      <c r="BT1239" s="481"/>
      <c r="BU1239" s="481"/>
      <c r="BV1239" s="481"/>
      <c r="BW1239" s="481"/>
      <c r="BX1239" s="481"/>
      <c r="BY1239" s="481"/>
      <c r="BZ1239" s="481"/>
      <c r="CA1239" s="481"/>
      <c r="CB1239" s="481"/>
      <c r="CC1239" s="481"/>
      <c r="CD1239" s="481"/>
      <c r="CE1239" s="481"/>
      <c r="CF1239" s="481"/>
      <c r="CG1239" s="481"/>
      <c r="CH1239" s="481"/>
      <c r="CI1239" s="481"/>
      <c r="CJ1239" s="481"/>
      <c r="CK1239" s="481"/>
      <c r="CL1239" s="481"/>
      <c r="CM1239" s="481"/>
      <c r="CN1239" s="481"/>
      <c r="CO1239" s="481"/>
      <c r="CP1239" s="481"/>
      <c r="CQ1239" s="481"/>
      <c r="CR1239" s="481"/>
      <c r="CS1239" s="481"/>
      <c r="CT1239" s="481"/>
      <c r="CU1239" s="481"/>
      <c r="CV1239" s="481"/>
      <c r="CW1239" s="481"/>
      <c r="CX1239" s="481"/>
      <c r="CY1239" s="481"/>
      <c r="CZ1239" s="481"/>
      <c r="DA1239" s="481"/>
      <c r="DB1239" s="481"/>
      <c r="DC1239" s="481"/>
      <c r="DD1239" s="481"/>
      <c r="DE1239" s="481"/>
      <c r="DF1239" s="481"/>
      <c r="DG1239" s="115"/>
    </row>
    <row r="1240" spans="1:111" ht="15" customHeight="1">
      <c r="B1240" s="483">
        <f>IF($Z$32&gt;=1,1,"")</f>
        <v>1</v>
      </c>
      <c r="C1240" s="483"/>
      <c r="D1240" s="131"/>
      <c r="E1240" s="482" t="str">
        <f t="shared" ref="E1240" si="1">IF($Z$32&gt;=1,$O$42,"")</f>
        <v>Plataforma de comércio exterior e aplicação de gerenciamento de risco</v>
      </c>
      <c r="F1240" s="482"/>
      <c r="G1240" s="482"/>
      <c r="H1240" s="482"/>
      <c r="I1240" s="482"/>
      <c r="J1240" s="482"/>
      <c r="K1240" s="482"/>
      <c r="L1240" s="482"/>
      <c r="M1240" s="482"/>
      <c r="N1240" s="482"/>
      <c r="O1240" s="482"/>
      <c r="P1240" s="482"/>
      <c r="Q1240" s="482"/>
      <c r="R1240" s="482"/>
      <c r="S1240" s="482"/>
      <c r="T1240" s="482"/>
      <c r="U1240" s="482"/>
      <c r="V1240" s="482"/>
      <c r="W1240" s="482"/>
      <c r="X1240" s="482"/>
      <c r="Y1240" s="482"/>
      <c r="Z1240" s="482"/>
      <c r="AA1240" s="482"/>
      <c r="AB1240" s="482"/>
      <c r="AC1240" s="482"/>
      <c r="AD1240" s="482"/>
      <c r="AE1240" s="482"/>
      <c r="AF1240" s="482"/>
      <c r="AG1240" s="482"/>
      <c r="AH1240" s="483">
        <f>IF($Z$32&gt;=1,$V$66,"")</f>
        <v>1523</v>
      </c>
      <c r="AI1240" s="483"/>
      <c r="AJ1240" s="483"/>
      <c r="AK1240" s="483"/>
      <c r="AL1240" s="484">
        <f>IF($Z$32&gt;=1,$BB$70,"")</f>
        <v>685</v>
      </c>
      <c r="AM1240" s="484"/>
      <c r="AN1240" s="484"/>
      <c r="AO1240" s="484"/>
      <c r="AP1240" s="484"/>
      <c r="AQ1240" s="484"/>
      <c r="AR1240" s="484"/>
      <c r="AS1240" s="484"/>
      <c r="AT1240" s="485">
        <f t="shared" ref="AT1240:AT1269" si="2">IF(TYPE(IF(AL1240="","",(AH1240*AL1240)))=16,"",IF(AL1240="","",(AH1240*AL1240)))</f>
        <v>1043255</v>
      </c>
      <c r="AU1240" s="485"/>
      <c r="AV1240" s="485"/>
      <c r="AW1240" s="485"/>
      <c r="AX1240" s="485"/>
      <c r="AY1240" s="485"/>
      <c r="AZ1240" s="485"/>
      <c r="BA1240" s="485"/>
      <c r="BC1240" s="115"/>
      <c r="BD1240" s="115"/>
      <c r="BE1240" s="115"/>
      <c r="BF1240" s="115"/>
      <c r="BG1240" s="115"/>
      <c r="BH1240" s="127"/>
      <c r="BI1240" s="127"/>
      <c r="BJ1240" s="127"/>
      <c r="BK1240" s="127"/>
      <c r="BL1240" s="127"/>
      <c r="BM1240" s="127"/>
      <c r="BN1240" s="127"/>
      <c r="BO1240" s="127"/>
      <c r="BP1240" s="127"/>
      <c r="BQ1240" s="127"/>
      <c r="BR1240" s="127"/>
      <c r="BS1240" s="127"/>
      <c r="BT1240" s="127"/>
      <c r="BU1240" s="127"/>
      <c r="BV1240" s="127"/>
      <c r="BW1240" s="127"/>
      <c r="BX1240" s="127"/>
      <c r="BY1240" s="127"/>
      <c r="BZ1240" s="127"/>
      <c r="CA1240" s="127"/>
      <c r="CB1240" s="127"/>
      <c r="CC1240" s="127"/>
      <c r="CD1240" s="127"/>
      <c r="CE1240" s="127"/>
      <c r="CF1240" s="127"/>
      <c r="CG1240" s="127"/>
      <c r="CH1240" s="127"/>
      <c r="CI1240" s="127"/>
      <c r="CJ1240" s="127"/>
      <c r="CK1240" s="127"/>
      <c r="CL1240" s="127"/>
      <c r="CM1240" s="127"/>
      <c r="CN1240" s="127"/>
      <c r="CO1240" s="127"/>
      <c r="CP1240" s="127"/>
      <c r="CQ1240" s="127"/>
      <c r="CR1240" s="127"/>
      <c r="CS1240" s="127"/>
      <c r="CT1240" s="127"/>
      <c r="CU1240" s="127"/>
      <c r="CV1240" s="127"/>
      <c r="CW1240" s="127"/>
      <c r="CX1240" s="127"/>
      <c r="CY1240" s="127"/>
      <c r="CZ1240" s="127"/>
      <c r="DA1240" s="127"/>
      <c r="DB1240" s="127"/>
      <c r="DC1240" s="127"/>
      <c r="DD1240" s="127"/>
      <c r="DE1240" s="127"/>
      <c r="DF1240" s="127"/>
      <c r="DG1240" s="115"/>
    </row>
    <row r="1241" spans="1:111" ht="15" customHeight="1">
      <c r="B1241" s="483">
        <f>IF($Z$32&gt;=2,2,"")</f>
        <v>2</v>
      </c>
      <c r="C1241" s="483"/>
      <c r="D1241" s="131"/>
      <c r="E1241" s="482" t="str">
        <f>IF($Z$32&gt;=2,$O$82,"")</f>
        <v>Aplicação de Business Intelligence - BI interno</v>
      </c>
      <c r="F1241" s="482"/>
      <c r="G1241" s="482"/>
      <c r="H1241" s="482"/>
      <c r="I1241" s="482"/>
      <c r="J1241" s="482"/>
      <c r="K1241" s="482"/>
      <c r="L1241" s="482"/>
      <c r="M1241" s="482"/>
      <c r="N1241" s="482"/>
      <c r="O1241" s="482"/>
      <c r="P1241" s="482"/>
      <c r="Q1241" s="482"/>
      <c r="R1241" s="482"/>
      <c r="S1241" s="482"/>
      <c r="T1241" s="482"/>
      <c r="U1241" s="482"/>
      <c r="V1241" s="482"/>
      <c r="W1241" s="482"/>
      <c r="X1241" s="482"/>
      <c r="Y1241" s="482"/>
      <c r="Z1241" s="482"/>
      <c r="AA1241" s="482"/>
      <c r="AB1241" s="482"/>
      <c r="AC1241" s="482"/>
      <c r="AD1241" s="482"/>
      <c r="AE1241" s="482"/>
      <c r="AF1241" s="482"/>
      <c r="AG1241" s="482"/>
      <c r="AH1241" s="483">
        <f>IF($Z$32&gt;=2,$V$106,"")</f>
        <v>1350</v>
      </c>
      <c r="AI1241" s="483"/>
      <c r="AJ1241" s="483"/>
      <c r="AK1241" s="483"/>
      <c r="AL1241" s="484">
        <f>IF($Z$32&gt;=2,$BB$110,"")</f>
        <v>384.40000000000003</v>
      </c>
      <c r="AM1241" s="484"/>
      <c r="AN1241" s="484"/>
      <c r="AO1241" s="484"/>
      <c r="AP1241" s="484"/>
      <c r="AQ1241" s="484"/>
      <c r="AR1241" s="484"/>
      <c r="AS1241" s="484"/>
      <c r="AT1241" s="485">
        <f t="shared" si="2"/>
        <v>518940.00000000006</v>
      </c>
      <c r="AU1241" s="485"/>
      <c r="AV1241" s="485"/>
      <c r="AW1241" s="485"/>
      <c r="AX1241" s="485"/>
      <c r="AY1241" s="485"/>
      <c r="AZ1241" s="485"/>
      <c r="BA1241" s="48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c r="BY1241" s="115"/>
      <c r="BZ1241" s="115"/>
      <c r="CA1241" s="115"/>
      <c r="CB1241" s="115"/>
      <c r="CC1241" s="115"/>
      <c r="CD1241" s="115"/>
      <c r="CE1241" s="115"/>
      <c r="CF1241" s="115"/>
      <c r="CG1241" s="115"/>
      <c r="CH1241" s="115"/>
      <c r="CI1241" s="115"/>
      <c r="CJ1241" s="115"/>
      <c r="CK1241" s="115"/>
      <c r="CL1241" s="115"/>
      <c r="CM1241" s="115"/>
      <c r="CN1241" s="115"/>
      <c r="CO1241" s="115"/>
      <c r="CP1241" s="115"/>
      <c r="CQ1241" s="115"/>
      <c r="CR1241" s="115"/>
      <c r="CS1241" s="115"/>
      <c r="CT1241" s="115"/>
      <c r="CU1241" s="115"/>
      <c r="CV1241" s="115"/>
      <c r="CW1241" s="115"/>
      <c r="CX1241" s="115"/>
      <c r="CY1241" s="115"/>
      <c r="CZ1241" s="115"/>
      <c r="DA1241" s="115"/>
      <c r="DB1241" s="115"/>
      <c r="DC1241" s="115"/>
      <c r="DD1241" s="115"/>
      <c r="DE1241" s="115"/>
      <c r="DF1241" s="115"/>
      <c r="DG1241" s="115"/>
    </row>
    <row r="1242" spans="1:111" ht="15" customHeight="1">
      <c r="B1242" s="483">
        <f>IF($Z$32&gt;=3,3,"")</f>
        <v>3</v>
      </c>
      <c r="C1242" s="483"/>
      <c r="D1242" s="131"/>
      <c r="E1242" s="482" t="str">
        <f>IF($Z$32&gt;=3,$O$122,"")</f>
        <v>Aplicação de Business Intelligence - BI externo</v>
      </c>
      <c r="F1242" s="482"/>
      <c r="G1242" s="482"/>
      <c r="H1242" s="482"/>
      <c r="I1242" s="482"/>
      <c r="J1242" s="482"/>
      <c r="K1242" s="482"/>
      <c r="L1242" s="482"/>
      <c r="M1242" s="482"/>
      <c r="N1242" s="482"/>
      <c r="O1242" s="482"/>
      <c r="P1242" s="482"/>
      <c r="Q1242" s="482"/>
      <c r="R1242" s="482"/>
      <c r="S1242" s="482"/>
      <c r="T1242" s="482"/>
      <c r="U1242" s="482"/>
      <c r="V1242" s="482"/>
      <c r="W1242" s="482"/>
      <c r="X1242" s="482"/>
      <c r="Y1242" s="482"/>
      <c r="Z1242" s="482"/>
      <c r="AA1242" s="482"/>
      <c r="AB1242" s="482"/>
      <c r="AC1242" s="482"/>
      <c r="AD1242" s="482"/>
      <c r="AE1242" s="482"/>
      <c r="AF1242" s="482"/>
      <c r="AG1242" s="482"/>
      <c r="AH1242" s="483">
        <f>IF($Z$32&gt;=3,$V$146,"")</f>
        <v>1234</v>
      </c>
      <c r="AI1242" s="483"/>
      <c r="AJ1242" s="483"/>
      <c r="AK1242" s="483"/>
      <c r="AL1242" s="484">
        <f>IF($Z$32&gt;=3,$BB$150,"")</f>
        <v>473.28</v>
      </c>
      <c r="AM1242" s="484"/>
      <c r="AN1242" s="484"/>
      <c r="AO1242" s="484"/>
      <c r="AP1242" s="484"/>
      <c r="AQ1242" s="484"/>
      <c r="AR1242" s="484"/>
      <c r="AS1242" s="484"/>
      <c r="AT1242" s="485">
        <f t="shared" si="2"/>
        <v>584027.52</v>
      </c>
      <c r="AU1242" s="485"/>
      <c r="AV1242" s="485"/>
      <c r="AW1242" s="485"/>
      <c r="AX1242" s="485"/>
      <c r="AY1242" s="485"/>
      <c r="AZ1242" s="485"/>
      <c r="BA1242" s="48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c r="BY1242" s="115"/>
      <c r="BZ1242" s="115"/>
      <c r="CA1242" s="115"/>
      <c r="CB1242" s="115"/>
      <c r="CC1242" s="115"/>
      <c r="CD1242" s="115"/>
      <c r="CE1242" s="115"/>
      <c r="CF1242" s="115"/>
      <c r="CG1242" s="115"/>
      <c r="CH1242" s="115"/>
      <c r="CI1242" s="115"/>
      <c r="CJ1242" s="115"/>
      <c r="CK1242" s="115"/>
      <c r="CL1242" s="115"/>
      <c r="CM1242" s="115"/>
      <c r="CN1242" s="115"/>
      <c r="CO1242" s="115"/>
      <c r="CP1242" s="115"/>
      <c r="CQ1242" s="115"/>
      <c r="CR1242" s="115"/>
      <c r="CS1242" s="115"/>
      <c r="CT1242" s="115"/>
      <c r="CU1242" s="115"/>
      <c r="CV1242" s="115"/>
      <c r="CW1242" s="115"/>
      <c r="CX1242" s="115"/>
      <c r="CY1242" s="115"/>
      <c r="CZ1242" s="115"/>
      <c r="DA1242" s="115"/>
      <c r="DB1242" s="115"/>
      <c r="DC1242" s="115"/>
      <c r="DD1242" s="115"/>
      <c r="DE1242" s="115"/>
      <c r="DF1242" s="115"/>
      <c r="DG1242" s="115"/>
    </row>
    <row r="1243" spans="1:111" ht="15" customHeight="1">
      <c r="B1243" s="483">
        <f>IF($Z$32&gt;=4,4,"")</f>
        <v>4</v>
      </c>
      <c r="C1243" s="483"/>
      <c r="D1243" s="131"/>
      <c r="E1243" s="482" t="str">
        <f>IF($Z$32&gt;=4,$O$162,"")</f>
        <v>Ensino à Distância - EAD</v>
      </c>
      <c r="F1243" s="482"/>
      <c r="G1243" s="482"/>
      <c r="H1243" s="482"/>
      <c r="I1243" s="482"/>
      <c r="J1243" s="482"/>
      <c r="K1243" s="482"/>
      <c r="L1243" s="482"/>
      <c r="M1243" s="482"/>
      <c r="N1243" s="482"/>
      <c r="O1243" s="482"/>
      <c r="P1243" s="482"/>
      <c r="Q1243" s="482"/>
      <c r="R1243" s="482"/>
      <c r="S1243" s="482"/>
      <c r="T1243" s="482"/>
      <c r="U1243" s="482"/>
      <c r="V1243" s="482"/>
      <c r="W1243" s="482"/>
      <c r="X1243" s="482"/>
      <c r="Y1243" s="482"/>
      <c r="Z1243" s="482"/>
      <c r="AA1243" s="482"/>
      <c r="AB1243" s="482"/>
      <c r="AC1243" s="482"/>
      <c r="AD1243" s="482"/>
      <c r="AE1243" s="482"/>
      <c r="AF1243" s="482"/>
      <c r="AG1243" s="482"/>
      <c r="AH1243" s="483">
        <f>IF($Z$32&gt;=4,$V$186,"")</f>
        <v>100</v>
      </c>
      <c r="AI1243" s="483"/>
      <c r="AJ1243" s="483"/>
      <c r="AK1243" s="483"/>
      <c r="AL1243" s="484">
        <f>IF($Z$32&gt;=4,$BB$190,"")</f>
        <v>2159.2449999999999</v>
      </c>
      <c r="AM1243" s="484"/>
      <c r="AN1243" s="484"/>
      <c r="AO1243" s="484"/>
      <c r="AP1243" s="484"/>
      <c r="AQ1243" s="484"/>
      <c r="AR1243" s="484"/>
      <c r="AS1243" s="484"/>
      <c r="AT1243" s="485">
        <f t="shared" si="2"/>
        <v>215924.5</v>
      </c>
      <c r="AU1243" s="485"/>
      <c r="AV1243" s="485"/>
      <c r="AW1243" s="485"/>
      <c r="AX1243" s="485"/>
      <c r="AY1243" s="485"/>
      <c r="AZ1243" s="485"/>
      <c r="BA1243" s="48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c r="BY1243" s="115"/>
      <c r="BZ1243" s="115"/>
      <c r="CA1243" s="115"/>
      <c r="CB1243" s="115"/>
      <c r="CC1243" s="115"/>
      <c r="CD1243" s="115"/>
      <c r="CE1243" s="115"/>
      <c r="CF1243" s="115"/>
      <c r="CG1243" s="115"/>
      <c r="CH1243" s="115"/>
      <c r="CI1243" s="115"/>
      <c r="CJ1243" s="115"/>
      <c r="CK1243" s="115"/>
      <c r="CL1243" s="115"/>
      <c r="CM1243" s="115"/>
      <c r="CN1243" s="115"/>
      <c r="CO1243" s="115"/>
      <c r="CP1243" s="115"/>
      <c r="CQ1243" s="115"/>
      <c r="CR1243" s="115"/>
      <c r="CS1243" s="115"/>
      <c r="CT1243" s="115"/>
      <c r="CU1243" s="115"/>
      <c r="CV1243" s="115"/>
      <c r="CW1243" s="115"/>
      <c r="CX1243" s="115"/>
      <c r="CY1243" s="115"/>
      <c r="CZ1243" s="115"/>
      <c r="DA1243" s="115"/>
      <c r="DB1243" s="115"/>
      <c r="DC1243" s="115"/>
      <c r="DD1243" s="115"/>
      <c r="DE1243" s="115"/>
      <c r="DF1243" s="115"/>
      <c r="DG1243" s="115"/>
    </row>
    <row r="1244" spans="1:111" ht="15" customHeight="1">
      <c r="B1244" s="483">
        <f>IF($Z$32&gt;=5,5,"")</f>
        <v>5</v>
      </c>
      <c r="C1244" s="483"/>
      <c r="D1244" s="131"/>
      <c r="E1244" s="482" t="str">
        <f>IF($Z$32&gt;=5,$O$202,"")</f>
        <v>Serviço de Audiovisual</v>
      </c>
      <c r="F1244" s="482"/>
      <c r="G1244" s="482"/>
      <c r="H1244" s="482"/>
      <c r="I1244" s="482"/>
      <c r="J1244" s="482"/>
      <c r="K1244" s="482"/>
      <c r="L1244" s="482"/>
      <c r="M1244" s="482"/>
      <c r="N1244" s="482"/>
      <c r="O1244" s="482"/>
      <c r="P1244" s="482"/>
      <c r="Q1244" s="482"/>
      <c r="R1244" s="482"/>
      <c r="S1244" s="482"/>
      <c r="T1244" s="482"/>
      <c r="U1244" s="482"/>
      <c r="V1244" s="482"/>
      <c r="W1244" s="482"/>
      <c r="X1244" s="482"/>
      <c r="Y1244" s="482"/>
      <c r="Z1244" s="482"/>
      <c r="AA1244" s="482"/>
      <c r="AB1244" s="482"/>
      <c r="AC1244" s="482"/>
      <c r="AD1244" s="482"/>
      <c r="AE1244" s="482"/>
      <c r="AF1244" s="482"/>
      <c r="AG1244" s="482"/>
      <c r="AH1244" s="483">
        <f>IF($Z$32&gt;=5,$V$226,"")</f>
        <v>1</v>
      </c>
      <c r="AI1244" s="483"/>
      <c r="AJ1244" s="483"/>
      <c r="AK1244" s="483"/>
      <c r="AL1244" s="484">
        <f>IF($Z$32&gt;=5,$BB$230,"")</f>
        <v>22750</v>
      </c>
      <c r="AM1244" s="484"/>
      <c r="AN1244" s="484"/>
      <c r="AO1244" s="484"/>
      <c r="AP1244" s="484"/>
      <c r="AQ1244" s="484"/>
      <c r="AR1244" s="484"/>
      <c r="AS1244" s="484"/>
      <c r="AT1244" s="485">
        <f t="shared" si="2"/>
        <v>22750</v>
      </c>
      <c r="AU1244" s="485"/>
      <c r="AV1244" s="485"/>
      <c r="AW1244" s="485"/>
      <c r="AX1244" s="485"/>
      <c r="AY1244" s="485"/>
      <c r="AZ1244" s="485"/>
      <c r="BA1244" s="48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c r="BY1244" s="115"/>
      <c r="BZ1244" s="115"/>
      <c r="CA1244" s="115"/>
      <c r="CB1244" s="115"/>
      <c r="CC1244" s="115"/>
      <c r="CD1244" s="115"/>
      <c r="CE1244" s="115"/>
      <c r="CF1244" s="115"/>
      <c r="CG1244" s="115"/>
      <c r="CH1244" s="115"/>
      <c r="CI1244" s="115"/>
      <c r="CJ1244" s="115"/>
      <c r="CK1244" s="115"/>
      <c r="CL1244" s="115"/>
      <c r="CM1244" s="115"/>
      <c r="CN1244" s="115"/>
      <c r="CO1244" s="115"/>
      <c r="CP1244" s="115"/>
      <c r="CQ1244" s="115"/>
      <c r="CR1244" s="115"/>
      <c r="CS1244" s="115"/>
      <c r="CT1244" s="115"/>
      <c r="CU1244" s="115"/>
      <c r="CV1244" s="115"/>
      <c r="CW1244" s="115"/>
      <c r="CX1244" s="115"/>
      <c r="CY1244" s="115"/>
      <c r="CZ1244" s="115"/>
      <c r="DA1244" s="115"/>
      <c r="DB1244" s="115"/>
      <c r="DC1244" s="115"/>
      <c r="DD1244" s="115"/>
      <c r="DE1244" s="115"/>
      <c r="DF1244" s="115"/>
      <c r="DG1244" s="115"/>
    </row>
    <row r="1245" spans="1:111" ht="15" customHeight="1">
      <c r="B1245" s="483">
        <f>IF($Z$32&gt;=6,6,"")</f>
        <v>6</v>
      </c>
      <c r="C1245" s="483"/>
      <c r="D1245" s="131"/>
      <c r="E1245" s="482" t="str">
        <f>IF($Z$32&gt;=6,$O$242,"")</f>
        <v>TABLET para uso em inspeções de campo</v>
      </c>
      <c r="F1245" s="482"/>
      <c r="G1245" s="482"/>
      <c r="H1245" s="482"/>
      <c r="I1245" s="482"/>
      <c r="J1245" s="482"/>
      <c r="K1245" s="482"/>
      <c r="L1245" s="482"/>
      <c r="M1245" s="482"/>
      <c r="N1245" s="482"/>
      <c r="O1245" s="482"/>
      <c r="P1245" s="482"/>
      <c r="Q1245" s="482"/>
      <c r="R1245" s="482"/>
      <c r="S1245" s="482"/>
      <c r="T1245" s="482"/>
      <c r="U1245" s="482"/>
      <c r="V1245" s="482"/>
      <c r="W1245" s="482"/>
      <c r="X1245" s="482"/>
      <c r="Y1245" s="482"/>
      <c r="Z1245" s="482"/>
      <c r="AA1245" s="482"/>
      <c r="AB1245" s="482"/>
      <c r="AC1245" s="482"/>
      <c r="AD1245" s="482"/>
      <c r="AE1245" s="482"/>
      <c r="AF1245" s="482"/>
      <c r="AG1245" s="482"/>
      <c r="AH1245" s="483">
        <f>IF($Z$32&gt;=6,$V$266,"")</f>
        <v>50</v>
      </c>
      <c r="AI1245" s="483"/>
      <c r="AJ1245" s="483"/>
      <c r="AK1245" s="483"/>
      <c r="AL1245" s="484">
        <f>IF($Z$32&gt;=6,$BB$270,"")</f>
        <v>1510</v>
      </c>
      <c r="AM1245" s="484"/>
      <c r="AN1245" s="484"/>
      <c r="AO1245" s="484"/>
      <c r="AP1245" s="484"/>
      <c r="AQ1245" s="484"/>
      <c r="AR1245" s="484"/>
      <c r="AS1245" s="484"/>
      <c r="AT1245" s="485">
        <f t="shared" si="2"/>
        <v>75500</v>
      </c>
      <c r="AU1245" s="485"/>
      <c r="AV1245" s="485"/>
      <c r="AW1245" s="485"/>
      <c r="AX1245" s="485"/>
      <c r="AY1245" s="485"/>
      <c r="AZ1245" s="485"/>
      <c r="BA1245" s="48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c r="BY1245" s="115"/>
      <c r="BZ1245" s="115"/>
      <c r="CA1245" s="115"/>
      <c r="CB1245" s="115"/>
      <c r="CC1245" s="115"/>
      <c r="CD1245" s="115"/>
      <c r="CE1245" s="115"/>
      <c r="CF1245" s="115"/>
      <c r="CG1245" s="115"/>
      <c r="CH1245" s="115"/>
      <c r="CI1245" s="115"/>
      <c r="CJ1245" s="115"/>
      <c r="CK1245" s="115"/>
      <c r="CL1245" s="115"/>
      <c r="CM1245" s="115"/>
      <c r="CN1245" s="115"/>
      <c r="CO1245" s="115"/>
      <c r="CP1245" s="115"/>
      <c r="CQ1245" s="115"/>
      <c r="CR1245" s="115"/>
      <c r="CS1245" s="115"/>
      <c r="CT1245" s="115"/>
      <c r="CU1245" s="115"/>
      <c r="CV1245" s="115"/>
      <c r="CW1245" s="115"/>
      <c r="CX1245" s="115"/>
      <c r="CY1245" s="115"/>
      <c r="CZ1245" s="115"/>
      <c r="DA1245" s="115"/>
      <c r="DB1245" s="115"/>
      <c r="DC1245" s="115"/>
      <c r="DD1245" s="115"/>
      <c r="DE1245" s="115"/>
      <c r="DF1245" s="115"/>
      <c r="DG1245" s="115"/>
    </row>
    <row r="1246" spans="1:111" ht="15" customHeight="1">
      <c r="B1246" s="483">
        <f>IF($Z$32&gt;=7,7,"")</f>
        <v>7</v>
      </c>
      <c r="C1246" s="483"/>
      <c r="D1246" s="131"/>
      <c r="E1246" s="482" t="str">
        <f>IF($Z$32&gt;=7,$O$282,"")</f>
        <v>Mesa de Reunião</v>
      </c>
      <c r="F1246" s="482"/>
      <c r="G1246" s="482"/>
      <c r="H1246" s="482"/>
      <c r="I1246" s="482"/>
      <c r="J1246" s="482"/>
      <c r="K1246" s="482"/>
      <c r="L1246" s="482"/>
      <c r="M1246" s="482"/>
      <c r="N1246" s="482"/>
      <c r="O1246" s="482"/>
      <c r="P1246" s="482"/>
      <c r="Q1246" s="482"/>
      <c r="R1246" s="482"/>
      <c r="S1246" s="482"/>
      <c r="T1246" s="482"/>
      <c r="U1246" s="482"/>
      <c r="V1246" s="482"/>
      <c r="W1246" s="482"/>
      <c r="X1246" s="482"/>
      <c r="Y1246" s="482"/>
      <c r="Z1246" s="482"/>
      <c r="AA1246" s="482"/>
      <c r="AB1246" s="482"/>
      <c r="AC1246" s="482"/>
      <c r="AD1246" s="482"/>
      <c r="AE1246" s="482"/>
      <c r="AF1246" s="482"/>
      <c r="AG1246" s="482"/>
      <c r="AH1246" s="483">
        <f>IF($Z$32&gt;=7,$V$306,"")</f>
        <v>1</v>
      </c>
      <c r="AI1246" s="483"/>
      <c r="AJ1246" s="483"/>
      <c r="AK1246" s="483"/>
      <c r="AL1246" s="484">
        <f>IF($Z$32&gt;=7,$BB$310,"")</f>
        <v>1969.89</v>
      </c>
      <c r="AM1246" s="484"/>
      <c r="AN1246" s="484"/>
      <c r="AO1246" s="484"/>
      <c r="AP1246" s="484"/>
      <c r="AQ1246" s="484"/>
      <c r="AR1246" s="484"/>
      <c r="AS1246" s="484"/>
      <c r="AT1246" s="485">
        <f t="shared" si="2"/>
        <v>1969.89</v>
      </c>
      <c r="AU1246" s="485"/>
      <c r="AV1246" s="485"/>
      <c r="AW1246" s="485"/>
      <c r="AX1246" s="485"/>
      <c r="AY1246" s="485"/>
      <c r="AZ1246" s="485"/>
      <c r="BA1246" s="48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c r="BY1246" s="115"/>
      <c r="BZ1246" s="115"/>
      <c r="CA1246" s="115"/>
      <c r="CB1246" s="115"/>
      <c r="CC1246" s="115"/>
      <c r="CD1246" s="115"/>
      <c r="CE1246" s="115"/>
      <c r="CF1246" s="115"/>
      <c r="CG1246" s="115"/>
      <c r="CH1246" s="115"/>
      <c r="CI1246" s="115"/>
      <c r="CJ1246" s="115"/>
      <c r="CK1246" s="115"/>
      <c r="CL1246" s="115"/>
      <c r="CM1246" s="115"/>
      <c r="CN1246" s="115"/>
      <c r="CO1246" s="115"/>
      <c r="CP1246" s="115"/>
      <c r="CQ1246" s="115"/>
      <c r="CR1246" s="115"/>
      <c r="CS1246" s="115"/>
      <c r="CT1246" s="115"/>
      <c r="CU1246" s="115"/>
      <c r="CV1246" s="115"/>
      <c r="CW1246" s="115"/>
      <c r="CX1246" s="115"/>
      <c r="CY1246" s="115"/>
      <c r="CZ1246" s="115"/>
      <c r="DA1246" s="115"/>
      <c r="DB1246" s="115"/>
      <c r="DC1246" s="115"/>
      <c r="DD1246" s="115"/>
      <c r="DE1246" s="115"/>
      <c r="DF1246" s="115"/>
      <c r="DG1246" s="115"/>
    </row>
    <row r="1247" spans="1:111" ht="15" customHeight="1">
      <c r="B1247" s="483">
        <f>IF($Z$32&gt;=8,8,"")</f>
        <v>8</v>
      </c>
      <c r="C1247" s="483"/>
      <c r="D1247" s="131"/>
      <c r="E1247" s="482" t="str">
        <f>IF($Z$32&gt;=8,$O$322,"")</f>
        <v>Cadeira com base giratória</v>
      </c>
      <c r="F1247" s="482"/>
      <c r="G1247" s="482"/>
      <c r="H1247" s="482"/>
      <c r="I1247" s="482"/>
      <c r="J1247" s="482"/>
      <c r="K1247" s="482"/>
      <c r="L1247" s="482"/>
      <c r="M1247" s="482"/>
      <c r="N1247" s="482"/>
      <c r="O1247" s="482"/>
      <c r="P1247" s="482"/>
      <c r="Q1247" s="482"/>
      <c r="R1247" s="482"/>
      <c r="S1247" s="482"/>
      <c r="T1247" s="482"/>
      <c r="U1247" s="482"/>
      <c r="V1247" s="482"/>
      <c r="W1247" s="482"/>
      <c r="X1247" s="482"/>
      <c r="Y1247" s="482"/>
      <c r="Z1247" s="482"/>
      <c r="AA1247" s="482"/>
      <c r="AB1247" s="482"/>
      <c r="AC1247" s="482"/>
      <c r="AD1247" s="482"/>
      <c r="AE1247" s="482"/>
      <c r="AF1247" s="482"/>
      <c r="AG1247" s="482"/>
      <c r="AH1247" s="483">
        <f>IF($Z$32&gt;=8,$V$346,"")</f>
        <v>16</v>
      </c>
      <c r="AI1247" s="483"/>
      <c r="AJ1247" s="483"/>
      <c r="AK1247" s="483"/>
      <c r="AL1247" s="484">
        <f>IF($Z$32&gt;=8,$BB$350,"")</f>
        <v>213.23000000000002</v>
      </c>
      <c r="AM1247" s="484"/>
      <c r="AN1247" s="484"/>
      <c r="AO1247" s="484"/>
      <c r="AP1247" s="484"/>
      <c r="AQ1247" s="484"/>
      <c r="AR1247" s="484"/>
      <c r="AS1247" s="484"/>
      <c r="AT1247" s="485">
        <f t="shared" si="2"/>
        <v>3411.6800000000003</v>
      </c>
      <c r="AU1247" s="485"/>
      <c r="AV1247" s="485"/>
      <c r="AW1247" s="485"/>
      <c r="AX1247" s="485"/>
      <c r="AY1247" s="485"/>
      <c r="AZ1247" s="485"/>
      <c r="BA1247" s="48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c r="BY1247" s="115"/>
      <c r="BZ1247" s="115"/>
      <c r="CA1247" s="115"/>
      <c r="CB1247" s="115"/>
      <c r="CC1247" s="115"/>
      <c r="CD1247" s="115"/>
      <c r="CE1247" s="115"/>
      <c r="CF1247" s="115"/>
      <c r="CG1247" s="115"/>
      <c r="CH1247" s="115"/>
      <c r="CI1247" s="115"/>
      <c r="CJ1247" s="115"/>
      <c r="CK1247" s="115"/>
      <c r="CL1247" s="115"/>
      <c r="CM1247" s="115"/>
      <c r="CN1247" s="115"/>
      <c r="CO1247" s="115"/>
      <c r="CP1247" s="115"/>
      <c r="CQ1247" s="115"/>
      <c r="CR1247" s="115"/>
      <c r="CS1247" s="115"/>
      <c r="CT1247" s="115"/>
      <c r="CU1247" s="115"/>
      <c r="CV1247" s="115"/>
      <c r="CW1247" s="115"/>
      <c r="CX1247" s="115"/>
      <c r="CY1247" s="115"/>
      <c r="CZ1247" s="115"/>
      <c r="DA1247" s="115"/>
      <c r="DB1247" s="115"/>
      <c r="DC1247" s="115"/>
      <c r="DD1247" s="115"/>
      <c r="DE1247" s="115"/>
      <c r="DF1247" s="115"/>
      <c r="DG1247" s="115"/>
    </row>
    <row r="1248" spans="1:111" ht="15" customHeight="1">
      <c r="B1248" s="483">
        <f>IF($Z$32&gt;=9,9,"")</f>
        <v>9</v>
      </c>
      <c r="C1248" s="483"/>
      <c r="D1248" s="131"/>
      <c r="E1248" s="482" t="str">
        <f>IF($Z$32&gt;=9,$O$362,"")</f>
        <v>Televisão</v>
      </c>
      <c r="F1248" s="482"/>
      <c r="G1248" s="482"/>
      <c r="H1248" s="482"/>
      <c r="I1248" s="482"/>
      <c r="J1248" s="482"/>
      <c r="K1248" s="482"/>
      <c r="L1248" s="482"/>
      <c r="M1248" s="482"/>
      <c r="N1248" s="482"/>
      <c r="O1248" s="482"/>
      <c r="P1248" s="482"/>
      <c r="Q1248" s="482"/>
      <c r="R1248" s="482"/>
      <c r="S1248" s="482"/>
      <c r="T1248" s="482"/>
      <c r="U1248" s="482"/>
      <c r="V1248" s="482"/>
      <c r="W1248" s="482"/>
      <c r="X1248" s="482"/>
      <c r="Y1248" s="482"/>
      <c r="Z1248" s="482"/>
      <c r="AA1248" s="482"/>
      <c r="AB1248" s="482"/>
      <c r="AC1248" s="482"/>
      <c r="AD1248" s="482"/>
      <c r="AE1248" s="482"/>
      <c r="AF1248" s="482"/>
      <c r="AG1248" s="482"/>
      <c r="AH1248" s="483">
        <f>IF($Z$32&gt;=9,$V$386,"")</f>
        <v>1</v>
      </c>
      <c r="AI1248" s="483"/>
      <c r="AJ1248" s="483"/>
      <c r="AK1248" s="483"/>
      <c r="AL1248" s="484">
        <f>IF($Z$32&gt;=9,$BB$390,"")</f>
        <v>25842.383333333331</v>
      </c>
      <c r="AM1248" s="484"/>
      <c r="AN1248" s="484"/>
      <c r="AO1248" s="484"/>
      <c r="AP1248" s="484"/>
      <c r="AQ1248" s="484"/>
      <c r="AR1248" s="484"/>
      <c r="AS1248" s="484"/>
      <c r="AT1248" s="485">
        <f t="shared" si="2"/>
        <v>25842.383333333331</v>
      </c>
      <c r="AU1248" s="485"/>
      <c r="AV1248" s="485"/>
      <c r="AW1248" s="485"/>
      <c r="AX1248" s="485"/>
      <c r="AY1248" s="485"/>
      <c r="AZ1248" s="485"/>
      <c r="BA1248" s="48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c r="BY1248" s="115"/>
      <c r="BZ1248" s="115"/>
      <c r="CA1248" s="115"/>
      <c r="CB1248" s="115"/>
      <c r="CC1248" s="115"/>
      <c r="CD1248" s="115"/>
      <c r="CE1248" s="115"/>
      <c r="CF1248" s="115"/>
      <c r="CG1248" s="115"/>
      <c r="CH1248" s="115"/>
      <c r="CI1248" s="115"/>
      <c r="CJ1248" s="115"/>
      <c r="CK1248" s="115"/>
      <c r="CL1248" s="115"/>
      <c r="CM1248" s="115"/>
      <c r="CN1248" s="115"/>
      <c r="CO1248" s="115"/>
      <c r="CP1248" s="115"/>
      <c r="CQ1248" s="115"/>
      <c r="CR1248" s="115"/>
      <c r="CS1248" s="115"/>
      <c r="CT1248" s="115"/>
      <c r="CU1248" s="115"/>
      <c r="CV1248" s="115"/>
      <c r="CW1248" s="115"/>
      <c r="CX1248" s="115"/>
      <c r="CY1248" s="115"/>
      <c r="CZ1248" s="115"/>
      <c r="DA1248" s="115"/>
      <c r="DB1248" s="115"/>
      <c r="DC1248" s="115"/>
      <c r="DD1248" s="115"/>
      <c r="DE1248" s="115"/>
      <c r="DF1248" s="115"/>
      <c r="DG1248" s="115"/>
    </row>
    <row r="1249" spans="2:111" ht="15" customHeight="1">
      <c r="B1249" s="483">
        <f>IF($Z$32&gt;=10,10,"")</f>
        <v>10</v>
      </c>
      <c r="C1249" s="483"/>
      <c r="D1249" s="131"/>
      <c r="E1249" s="482" t="str">
        <f>IF($Z$32&gt;=10,$O$402,"")</f>
        <v xml:space="preserve">Lousa Digital </v>
      </c>
      <c r="F1249" s="482"/>
      <c r="G1249" s="482"/>
      <c r="H1249" s="482"/>
      <c r="I1249" s="482"/>
      <c r="J1249" s="482"/>
      <c r="K1249" s="482"/>
      <c r="L1249" s="482"/>
      <c r="M1249" s="482"/>
      <c r="N1249" s="482"/>
      <c r="O1249" s="482"/>
      <c r="P1249" s="482"/>
      <c r="Q1249" s="482"/>
      <c r="R1249" s="482"/>
      <c r="S1249" s="482"/>
      <c r="T1249" s="482"/>
      <c r="U1249" s="482"/>
      <c r="V1249" s="482"/>
      <c r="W1249" s="482"/>
      <c r="X1249" s="482"/>
      <c r="Y1249" s="482"/>
      <c r="Z1249" s="482"/>
      <c r="AA1249" s="482"/>
      <c r="AB1249" s="482"/>
      <c r="AC1249" s="482"/>
      <c r="AD1249" s="482"/>
      <c r="AE1249" s="482"/>
      <c r="AF1249" s="482"/>
      <c r="AG1249" s="482"/>
      <c r="AH1249" s="483">
        <f>IF($Z$32&gt;=10,$V$426,"")</f>
        <v>1</v>
      </c>
      <c r="AI1249" s="483"/>
      <c r="AJ1249" s="483"/>
      <c r="AK1249" s="483"/>
      <c r="AL1249" s="484">
        <f>IF($Z$32&gt;=10,$BB$430,"")</f>
        <v>6297.4066666666668</v>
      </c>
      <c r="AM1249" s="484"/>
      <c r="AN1249" s="484"/>
      <c r="AO1249" s="484"/>
      <c r="AP1249" s="484"/>
      <c r="AQ1249" s="484"/>
      <c r="AR1249" s="484"/>
      <c r="AS1249" s="484"/>
      <c r="AT1249" s="485">
        <f t="shared" si="2"/>
        <v>6297.4066666666668</v>
      </c>
      <c r="AU1249" s="485"/>
      <c r="AV1249" s="485"/>
      <c r="AW1249" s="485"/>
      <c r="AX1249" s="485"/>
      <c r="AY1249" s="485"/>
      <c r="AZ1249" s="485"/>
      <c r="BA1249" s="48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row>
    <row r="1250" spans="2:111" ht="15" customHeight="1">
      <c r="B1250" s="483">
        <f>IF($Z$32&gt;=11,11,"")</f>
        <v>11</v>
      </c>
      <c r="C1250" s="483"/>
      <c r="D1250" s="131"/>
      <c r="E1250" s="482" t="str">
        <f>IF($Z$32&gt;=11,$O$442,"")</f>
        <v>No Break 4 kVA</v>
      </c>
      <c r="F1250" s="482"/>
      <c r="G1250" s="482"/>
      <c r="H1250" s="482"/>
      <c r="I1250" s="482"/>
      <c r="J1250" s="482"/>
      <c r="K1250" s="482"/>
      <c r="L1250" s="482"/>
      <c r="M1250" s="482"/>
      <c r="N1250" s="482"/>
      <c r="O1250" s="482"/>
      <c r="P1250" s="482"/>
      <c r="Q1250" s="482"/>
      <c r="R1250" s="482"/>
      <c r="S1250" s="482"/>
      <c r="T1250" s="482"/>
      <c r="U1250" s="482"/>
      <c r="V1250" s="482"/>
      <c r="W1250" s="482"/>
      <c r="X1250" s="482"/>
      <c r="Y1250" s="482"/>
      <c r="Z1250" s="482"/>
      <c r="AA1250" s="482"/>
      <c r="AB1250" s="482"/>
      <c r="AC1250" s="482"/>
      <c r="AD1250" s="482"/>
      <c r="AE1250" s="482"/>
      <c r="AF1250" s="482"/>
      <c r="AG1250" s="482"/>
      <c r="AH1250" s="483">
        <f>IF($Z$32&gt;=11,$V$466,"")</f>
        <v>1</v>
      </c>
      <c r="AI1250" s="483"/>
      <c r="AJ1250" s="483"/>
      <c r="AK1250" s="483"/>
      <c r="AL1250" s="484">
        <f>IF($Z$32&gt;=11,$BB$470,"")</f>
        <v>16791.403333333332</v>
      </c>
      <c r="AM1250" s="484"/>
      <c r="AN1250" s="484"/>
      <c r="AO1250" s="484"/>
      <c r="AP1250" s="484"/>
      <c r="AQ1250" s="484"/>
      <c r="AR1250" s="484"/>
      <c r="AS1250" s="484"/>
      <c r="AT1250" s="485">
        <f t="shared" si="2"/>
        <v>16791.403333333332</v>
      </c>
      <c r="AU1250" s="485"/>
      <c r="AV1250" s="485"/>
      <c r="AW1250" s="485"/>
      <c r="AX1250" s="485"/>
      <c r="AY1250" s="485"/>
      <c r="AZ1250" s="485"/>
      <c r="BA1250" s="48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c r="BY1250" s="115"/>
      <c r="BZ1250" s="115"/>
      <c r="CA1250" s="115"/>
      <c r="CB1250" s="115"/>
      <c r="CC1250" s="115"/>
      <c r="CD1250" s="115"/>
      <c r="CE1250" s="115"/>
      <c r="CF1250" s="115"/>
      <c r="CG1250" s="115"/>
      <c r="CH1250" s="115"/>
      <c r="CI1250" s="115"/>
      <c r="CJ1250" s="115"/>
      <c r="CK1250" s="115"/>
      <c r="CL1250" s="115"/>
      <c r="CM1250" s="115"/>
      <c r="CN1250" s="115"/>
      <c r="CO1250" s="115"/>
      <c r="CP1250" s="115"/>
      <c r="CQ1250" s="115"/>
      <c r="CR1250" s="115"/>
      <c r="CS1250" s="115"/>
      <c r="CT1250" s="115"/>
      <c r="CU1250" s="115"/>
      <c r="CV1250" s="115"/>
      <c r="CW1250" s="115"/>
      <c r="CX1250" s="115"/>
      <c r="CY1250" s="115"/>
      <c r="CZ1250" s="115"/>
      <c r="DA1250" s="115"/>
      <c r="DB1250" s="115"/>
      <c r="DC1250" s="115"/>
      <c r="DD1250" s="115"/>
      <c r="DE1250" s="115"/>
      <c r="DF1250" s="115"/>
      <c r="DG1250" s="115"/>
    </row>
    <row r="1251" spans="2:111" ht="15" customHeight="1">
      <c r="B1251" s="483">
        <f>IF($Z$32&gt;=12,12,"")</f>
        <v>12</v>
      </c>
      <c r="C1251" s="483"/>
      <c r="D1251" s="131"/>
      <c r="E1251" s="482" t="str">
        <f>IF($Z$32&gt;=12,$O$482,"")</f>
        <v>Material gráfico e pen-drive</v>
      </c>
      <c r="F1251" s="482"/>
      <c r="G1251" s="482"/>
      <c r="H1251" s="482"/>
      <c r="I1251" s="482"/>
      <c r="J1251" s="482"/>
      <c r="K1251" s="482"/>
      <c r="L1251" s="482"/>
      <c r="M1251" s="482"/>
      <c r="N1251" s="482"/>
      <c r="O1251" s="482"/>
      <c r="P1251" s="482"/>
      <c r="Q1251" s="482"/>
      <c r="R1251" s="482"/>
      <c r="S1251" s="482"/>
      <c r="T1251" s="482"/>
      <c r="U1251" s="482"/>
      <c r="V1251" s="482"/>
      <c r="W1251" s="482"/>
      <c r="X1251" s="482"/>
      <c r="Y1251" s="482"/>
      <c r="Z1251" s="482"/>
      <c r="AA1251" s="482"/>
      <c r="AB1251" s="482"/>
      <c r="AC1251" s="482"/>
      <c r="AD1251" s="482"/>
      <c r="AE1251" s="482"/>
      <c r="AF1251" s="482"/>
      <c r="AG1251" s="482"/>
      <c r="AH1251" s="483">
        <f>IF($Z$32&gt;=12,$V$506,"")</f>
        <v>300</v>
      </c>
      <c r="AI1251" s="483"/>
      <c r="AJ1251" s="483"/>
      <c r="AK1251" s="483"/>
      <c r="AL1251" s="484">
        <f>IF($Z$32&gt;=12,$BB$510,"")</f>
        <v>86.45</v>
      </c>
      <c r="AM1251" s="484"/>
      <c r="AN1251" s="484"/>
      <c r="AO1251" s="484"/>
      <c r="AP1251" s="484"/>
      <c r="AQ1251" s="484"/>
      <c r="AR1251" s="484"/>
      <c r="AS1251" s="484"/>
      <c r="AT1251" s="485">
        <f t="shared" si="2"/>
        <v>25935</v>
      </c>
      <c r="AU1251" s="485"/>
      <c r="AV1251" s="485"/>
      <c r="AW1251" s="485"/>
      <c r="AX1251" s="485"/>
      <c r="AY1251" s="485"/>
      <c r="AZ1251" s="485"/>
      <c r="BA1251" s="48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c r="BY1251" s="115"/>
      <c r="BZ1251" s="115"/>
      <c r="CA1251" s="115"/>
      <c r="CB1251" s="115"/>
      <c r="CC1251" s="115"/>
      <c r="CD1251" s="115"/>
      <c r="CE1251" s="115"/>
      <c r="CF1251" s="115"/>
      <c r="CG1251" s="115"/>
      <c r="CH1251" s="115"/>
      <c r="CI1251" s="115"/>
      <c r="CJ1251" s="115"/>
      <c r="CK1251" s="115"/>
      <c r="CL1251" s="115"/>
      <c r="CM1251" s="115"/>
      <c r="CN1251" s="115"/>
      <c r="CO1251" s="115"/>
      <c r="CP1251" s="115"/>
      <c r="CQ1251" s="115"/>
      <c r="CR1251" s="115"/>
      <c r="CS1251" s="115"/>
      <c r="CT1251" s="115"/>
      <c r="CU1251" s="115"/>
      <c r="CV1251" s="115"/>
      <c r="CW1251" s="115"/>
      <c r="CX1251" s="115"/>
      <c r="CY1251" s="115"/>
      <c r="CZ1251" s="115"/>
      <c r="DA1251" s="115"/>
      <c r="DB1251" s="115"/>
      <c r="DC1251" s="115"/>
      <c r="DD1251" s="115"/>
      <c r="DE1251" s="115"/>
      <c r="DF1251" s="115"/>
      <c r="DG1251" s="115"/>
    </row>
    <row r="1252" spans="2:111" ht="15" customHeight="1">
      <c r="B1252" s="483" t="str">
        <f>IF($Z$32&gt;=13,13,"")</f>
        <v/>
      </c>
      <c r="C1252" s="483"/>
      <c r="D1252" s="131"/>
      <c r="E1252" s="482" t="str">
        <f>IF($Z$32&gt;=13,$O$522,"")</f>
        <v/>
      </c>
      <c r="F1252" s="482"/>
      <c r="G1252" s="482"/>
      <c r="H1252" s="482"/>
      <c r="I1252" s="482"/>
      <c r="J1252" s="482"/>
      <c r="K1252" s="482"/>
      <c r="L1252" s="482"/>
      <c r="M1252" s="482"/>
      <c r="N1252" s="482"/>
      <c r="O1252" s="482"/>
      <c r="P1252" s="482"/>
      <c r="Q1252" s="482"/>
      <c r="R1252" s="482"/>
      <c r="S1252" s="482"/>
      <c r="T1252" s="482"/>
      <c r="U1252" s="482"/>
      <c r="V1252" s="482"/>
      <c r="W1252" s="482"/>
      <c r="X1252" s="482"/>
      <c r="Y1252" s="482"/>
      <c r="Z1252" s="482"/>
      <c r="AA1252" s="482"/>
      <c r="AB1252" s="482"/>
      <c r="AC1252" s="482"/>
      <c r="AD1252" s="482"/>
      <c r="AE1252" s="482"/>
      <c r="AF1252" s="482"/>
      <c r="AG1252" s="482"/>
      <c r="AH1252" s="483" t="str">
        <f>IF($Z$32&gt;=13,$V$546,"")</f>
        <v/>
      </c>
      <c r="AI1252" s="483"/>
      <c r="AJ1252" s="483"/>
      <c r="AK1252" s="483"/>
      <c r="AL1252" s="484" t="str">
        <f>IF($Z$32&gt;=13,$BB$550,"")</f>
        <v/>
      </c>
      <c r="AM1252" s="484"/>
      <c r="AN1252" s="484"/>
      <c r="AO1252" s="484"/>
      <c r="AP1252" s="484"/>
      <c r="AQ1252" s="484"/>
      <c r="AR1252" s="484"/>
      <c r="AS1252" s="484"/>
      <c r="AT1252" s="485" t="str">
        <f t="shared" si="2"/>
        <v/>
      </c>
      <c r="AU1252" s="485"/>
      <c r="AV1252" s="485"/>
      <c r="AW1252" s="485"/>
      <c r="AX1252" s="485"/>
      <c r="AY1252" s="485"/>
      <c r="AZ1252" s="485"/>
      <c r="BA1252" s="48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c r="BY1252" s="115"/>
      <c r="BZ1252" s="115"/>
      <c r="CA1252" s="115"/>
      <c r="CB1252" s="115"/>
      <c r="CC1252" s="115"/>
      <c r="CD1252" s="115"/>
      <c r="CE1252" s="115"/>
      <c r="CF1252" s="115"/>
      <c r="CG1252" s="115"/>
      <c r="CH1252" s="115"/>
      <c r="CI1252" s="115"/>
      <c r="CJ1252" s="115"/>
      <c r="CK1252" s="115"/>
      <c r="CL1252" s="115"/>
      <c r="CM1252" s="115"/>
      <c r="CN1252" s="115"/>
      <c r="CO1252" s="115"/>
      <c r="CP1252" s="115"/>
      <c r="CQ1252" s="115"/>
      <c r="CR1252" s="115"/>
      <c r="CS1252" s="115"/>
      <c r="CT1252" s="115"/>
      <c r="CU1252" s="115"/>
      <c r="CV1252" s="115"/>
      <c r="CW1252" s="115"/>
      <c r="CX1252" s="115"/>
      <c r="CY1252" s="115"/>
      <c r="CZ1252" s="115"/>
      <c r="DA1252" s="115"/>
      <c r="DB1252" s="115"/>
      <c r="DC1252" s="115"/>
      <c r="DD1252" s="115"/>
      <c r="DE1252" s="115"/>
      <c r="DF1252" s="115"/>
      <c r="DG1252" s="115"/>
    </row>
    <row r="1253" spans="2:111" ht="15" customHeight="1">
      <c r="B1253" s="483" t="str">
        <f>IF($Z$32&gt;=14,14,"")</f>
        <v/>
      </c>
      <c r="C1253" s="483"/>
      <c r="D1253" s="131"/>
      <c r="E1253" s="482" t="str">
        <f>IF($Z$32&gt;=14,$O$562,"")</f>
        <v/>
      </c>
      <c r="F1253" s="482"/>
      <c r="G1253" s="482"/>
      <c r="H1253" s="482"/>
      <c r="I1253" s="482"/>
      <c r="J1253" s="482"/>
      <c r="K1253" s="482"/>
      <c r="L1253" s="482"/>
      <c r="M1253" s="482"/>
      <c r="N1253" s="482"/>
      <c r="O1253" s="482"/>
      <c r="P1253" s="482"/>
      <c r="Q1253" s="482"/>
      <c r="R1253" s="482"/>
      <c r="S1253" s="482"/>
      <c r="T1253" s="482"/>
      <c r="U1253" s="482"/>
      <c r="V1253" s="482"/>
      <c r="W1253" s="482"/>
      <c r="X1253" s="482"/>
      <c r="Y1253" s="482"/>
      <c r="Z1253" s="482"/>
      <c r="AA1253" s="482"/>
      <c r="AB1253" s="482"/>
      <c r="AC1253" s="482"/>
      <c r="AD1253" s="482"/>
      <c r="AE1253" s="482"/>
      <c r="AF1253" s="482"/>
      <c r="AG1253" s="482"/>
      <c r="AH1253" s="483" t="str">
        <f>IF($Z$32&gt;=14,$V$586,"")</f>
        <v/>
      </c>
      <c r="AI1253" s="483"/>
      <c r="AJ1253" s="483"/>
      <c r="AK1253" s="483"/>
      <c r="AL1253" s="484" t="str">
        <f>IF($Z$32&gt;=14,$BB$590,"")</f>
        <v/>
      </c>
      <c r="AM1253" s="484"/>
      <c r="AN1253" s="484"/>
      <c r="AO1253" s="484"/>
      <c r="AP1253" s="484"/>
      <c r="AQ1253" s="484"/>
      <c r="AR1253" s="484"/>
      <c r="AS1253" s="484"/>
      <c r="AT1253" s="485" t="str">
        <f t="shared" si="2"/>
        <v/>
      </c>
      <c r="AU1253" s="485"/>
      <c r="AV1253" s="485"/>
      <c r="AW1253" s="485"/>
      <c r="AX1253" s="485"/>
      <c r="AY1253" s="485"/>
      <c r="AZ1253" s="485"/>
      <c r="BA1253" s="48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c r="BY1253" s="115"/>
      <c r="BZ1253" s="115"/>
      <c r="CA1253" s="115"/>
      <c r="CB1253" s="115"/>
      <c r="CC1253" s="115"/>
      <c r="CD1253" s="115"/>
      <c r="CE1253" s="115"/>
      <c r="CF1253" s="115"/>
      <c r="CG1253" s="115"/>
      <c r="CH1253" s="115"/>
      <c r="CI1253" s="115"/>
      <c r="CJ1253" s="115"/>
      <c r="CK1253" s="115"/>
      <c r="CL1253" s="115"/>
      <c r="CM1253" s="115"/>
      <c r="CN1253" s="115"/>
      <c r="CO1253" s="115"/>
      <c r="CP1253" s="115"/>
      <c r="CQ1253" s="115"/>
      <c r="CR1253" s="115"/>
      <c r="CS1253" s="115"/>
      <c r="CT1253" s="115"/>
      <c r="CU1253" s="115"/>
      <c r="CV1253" s="115"/>
      <c r="CW1253" s="115"/>
      <c r="CX1253" s="115"/>
      <c r="CY1253" s="115"/>
      <c r="CZ1253" s="115"/>
      <c r="DA1253" s="115"/>
      <c r="DB1253" s="115"/>
      <c r="DC1253" s="115"/>
      <c r="DD1253" s="115"/>
      <c r="DE1253" s="115"/>
      <c r="DF1253" s="115"/>
      <c r="DG1253" s="115"/>
    </row>
    <row r="1254" spans="2:111" ht="15" customHeight="1">
      <c r="B1254" s="483" t="str">
        <f>IF($Z$32&gt;=15,15,"")</f>
        <v/>
      </c>
      <c r="C1254" s="483"/>
      <c r="D1254" s="131"/>
      <c r="E1254" s="482" t="str">
        <f>IF($Z$32&gt;=15,$O$602,"")</f>
        <v/>
      </c>
      <c r="F1254" s="482"/>
      <c r="G1254" s="482"/>
      <c r="H1254" s="482"/>
      <c r="I1254" s="482"/>
      <c r="J1254" s="482"/>
      <c r="K1254" s="482"/>
      <c r="L1254" s="482"/>
      <c r="M1254" s="482"/>
      <c r="N1254" s="482"/>
      <c r="O1254" s="482"/>
      <c r="P1254" s="482"/>
      <c r="Q1254" s="482"/>
      <c r="R1254" s="482"/>
      <c r="S1254" s="482"/>
      <c r="T1254" s="482"/>
      <c r="U1254" s="482"/>
      <c r="V1254" s="482"/>
      <c r="W1254" s="482"/>
      <c r="X1254" s="482"/>
      <c r="Y1254" s="482"/>
      <c r="Z1254" s="482"/>
      <c r="AA1254" s="482"/>
      <c r="AB1254" s="482"/>
      <c r="AC1254" s="482"/>
      <c r="AD1254" s="482"/>
      <c r="AE1254" s="482"/>
      <c r="AF1254" s="482"/>
      <c r="AG1254" s="482"/>
      <c r="AH1254" s="483" t="str">
        <f>IF($Z$32&gt;=15,$V$626,"")</f>
        <v/>
      </c>
      <c r="AI1254" s="483"/>
      <c r="AJ1254" s="483"/>
      <c r="AK1254" s="483"/>
      <c r="AL1254" s="484" t="str">
        <f>IF($Z$32&gt;=15,$BB$630,"")</f>
        <v/>
      </c>
      <c r="AM1254" s="484"/>
      <c r="AN1254" s="484"/>
      <c r="AO1254" s="484"/>
      <c r="AP1254" s="484"/>
      <c r="AQ1254" s="484"/>
      <c r="AR1254" s="484"/>
      <c r="AS1254" s="484"/>
      <c r="AT1254" s="485" t="str">
        <f t="shared" si="2"/>
        <v/>
      </c>
      <c r="AU1254" s="485"/>
      <c r="AV1254" s="485"/>
      <c r="AW1254" s="485"/>
      <c r="AX1254" s="485"/>
      <c r="AY1254" s="485"/>
      <c r="AZ1254" s="485"/>
      <c r="BA1254" s="48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c r="BY1254" s="115"/>
      <c r="BZ1254" s="115"/>
      <c r="CA1254" s="115"/>
      <c r="CB1254" s="115"/>
      <c r="CC1254" s="115"/>
      <c r="CD1254" s="115"/>
      <c r="CE1254" s="115"/>
      <c r="CF1254" s="115"/>
      <c r="CG1254" s="115"/>
      <c r="CH1254" s="115"/>
      <c r="CI1254" s="115"/>
      <c r="CJ1254" s="115"/>
      <c r="CK1254" s="115"/>
      <c r="CL1254" s="115"/>
      <c r="CM1254" s="115"/>
      <c r="CN1254" s="115"/>
      <c r="CO1254" s="115"/>
      <c r="CP1254" s="115"/>
      <c r="CQ1254" s="115"/>
      <c r="CR1254" s="115"/>
      <c r="CS1254" s="115"/>
      <c r="CT1254" s="115"/>
      <c r="CU1254" s="115"/>
      <c r="CV1254" s="115"/>
      <c r="CW1254" s="115"/>
      <c r="CX1254" s="115"/>
      <c r="CY1254" s="115"/>
      <c r="CZ1254" s="115"/>
      <c r="DA1254" s="115"/>
      <c r="DB1254" s="115"/>
      <c r="DC1254" s="115"/>
      <c r="DD1254" s="115"/>
      <c r="DE1254" s="115"/>
      <c r="DF1254" s="115"/>
      <c r="DG1254" s="115"/>
    </row>
    <row r="1255" spans="2:111" ht="15" customHeight="1">
      <c r="B1255" s="483" t="str">
        <f>IF($Z$32&gt;=16,16,"")</f>
        <v/>
      </c>
      <c r="C1255" s="483"/>
      <c r="D1255" s="131"/>
      <c r="E1255" s="482" t="str">
        <f>IF($Z$32&gt;=16,$O$642,"")</f>
        <v/>
      </c>
      <c r="F1255" s="482"/>
      <c r="G1255" s="482"/>
      <c r="H1255" s="482"/>
      <c r="I1255" s="482"/>
      <c r="J1255" s="482"/>
      <c r="K1255" s="482"/>
      <c r="L1255" s="482"/>
      <c r="M1255" s="482"/>
      <c r="N1255" s="482"/>
      <c r="O1255" s="482"/>
      <c r="P1255" s="482"/>
      <c r="Q1255" s="482"/>
      <c r="R1255" s="482"/>
      <c r="S1255" s="482"/>
      <c r="T1255" s="482"/>
      <c r="U1255" s="482"/>
      <c r="V1255" s="482"/>
      <c r="W1255" s="482"/>
      <c r="X1255" s="482"/>
      <c r="Y1255" s="482"/>
      <c r="Z1255" s="482"/>
      <c r="AA1255" s="482"/>
      <c r="AB1255" s="482"/>
      <c r="AC1255" s="482"/>
      <c r="AD1255" s="482"/>
      <c r="AE1255" s="482"/>
      <c r="AF1255" s="482"/>
      <c r="AG1255" s="482"/>
      <c r="AH1255" s="483" t="str">
        <f>IF($Z$32&gt;=16,$V$666,"")</f>
        <v/>
      </c>
      <c r="AI1255" s="483"/>
      <c r="AJ1255" s="483"/>
      <c r="AK1255" s="483"/>
      <c r="AL1255" s="484" t="str">
        <f>IF($Z$32&gt;=16,$BB$670,"")</f>
        <v/>
      </c>
      <c r="AM1255" s="484"/>
      <c r="AN1255" s="484"/>
      <c r="AO1255" s="484"/>
      <c r="AP1255" s="484"/>
      <c r="AQ1255" s="484"/>
      <c r="AR1255" s="484"/>
      <c r="AS1255" s="484"/>
      <c r="AT1255" s="485" t="str">
        <f t="shared" si="2"/>
        <v/>
      </c>
      <c r="AU1255" s="485"/>
      <c r="AV1255" s="485"/>
      <c r="AW1255" s="485"/>
      <c r="AX1255" s="485"/>
      <c r="AY1255" s="485"/>
      <c r="AZ1255" s="485"/>
      <c r="BA1255" s="48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c r="BY1255" s="115"/>
      <c r="BZ1255" s="115"/>
      <c r="CA1255" s="115"/>
      <c r="CB1255" s="115"/>
      <c r="CC1255" s="115"/>
      <c r="CD1255" s="115"/>
      <c r="CE1255" s="115"/>
      <c r="CF1255" s="115"/>
      <c r="CG1255" s="115"/>
      <c r="CH1255" s="115"/>
      <c r="CI1255" s="115"/>
      <c r="CJ1255" s="115"/>
      <c r="CK1255" s="115"/>
      <c r="CL1255" s="115"/>
      <c r="CM1255" s="115"/>
      <c r="CN1255" s="115"/>
      <c r="CO1255" s="115"/>
      <c r="CP1255" s="115"/>
      <c r="CQ1255" s="115"/>
      <c r="CR1255" s="115"/>
      <c r="CS1255" s="115"/>
      <c r="CT1255" s="115"/>
      <c r="CU1255" s="115"/>
      <c r="CV1255" s="115"/>
      <c r="CW1255" s="115"/>
      <c r="CX1255" s="115"/>
      <c r="CY1255" s="115"/>
      <c r="CZ1255" s="115"/>
      <c r="DA1255" s="115"/>
      <c r="DB1255" s="115"/>
      <c r="DC1255" s="115"/>
      <c r="DD1255" s="115"/>
      <c r="DE1255" s="115"/>
      <c r="DF1255" s="115"/>
      <c r="DG1255" s="115"/>
    </row>
    <row r="1256" spans="2:111" ht="15" customHeight="1">
      <c r="B1256" s="483" t="str">
        <f>IF($Z$32&gt;=17,17,"")</f>
        <v/>
      </c>
      <c r="C1256" s="483"/>
      <c r="D1256" s="131"/>
      <c r="E1256" s="482" t="str">
        <f>IF($Z$32&gt;=17,$O$682,"")</f>
        <v/>
      </c>
      <c r="F1256" s="482"/>
      <c r="G1256" s="482"/>
      <c r="H1256" s="482"/>
      <c r="I1256" s="482"/>
      <c r="J1256" s="482"/>
      <c r="K1256" s="482"/>
      <c r="L1256" s="482"/>
      <c r="M1256" s="482"/>
      <c r="N1256" s="482"/>
      <c r="O1256" s="482"/>
      <c r="P1256" s="482"/>
      <c r="Q1256" s="482"/>
      <c r="R1256" s="482"/>
      <c r="S1256" s="482"/>
      <c r="T1256" s="482"/>
      <c r="U1256" s="482"/>
      <c r="V1256" s="482"/>
      <c r="W1256" s="482"/>
      <c r="X1256" s="482"/>
      <c r="Y1256" s="482"/>
      <c r="Z1256" s="482"/>
      <c r="AA1256" s="482"/>
      <c r="AB1256" s="482"/>
      <c r="AC1256" s="482"/>
      <c r="AD1256" s="482"/>
      <c r="AE1256" s="482"/>
      <c r="AF1256" s="482"/>
      <c r="AG1256" s="482"/>
      <c r="AH1256" s="483" t="str">
        <f>IF($Z$32&gt;=17,$V$706,"")</f>
        <v/>
      </c>
      <c r="AI1256" s="483"/>
      <c r="AJ1256" s="483"/>
      <c r="AK1256" s="483"/>
      <c r="AL1256" s="484" t="str">
        <f>IF($Z$32&gt;=17,$BB$710,"")</f>
        <v/>
      </c>
      <c r="AM1256" s="484"/>
      <c r="AN1256" s="484"/>
      <c r="AO1256" s="484"/>
      <c r="AP1256" s="484"/>
      <c r="AQ1256" s="484"/>
      <c r="AR1256" s="484"/>
      <c r="AS1256" s="484"/>
      <c r="AT1256" s="485" t="str">
        <f t="shared" si="2"/>
        <v/>
      </c>
      <c r="AU1256" s="485"/>
      <c r="AV1256" s="485"/>
      <c r="AW1256" s="485"/>
      <c r="AX1256" s="485"/>
      <c r="AY1256" s="485"/>
      <c r="AZ1256" s="485"/>
      <c r="BA1256" s="48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c r="BY1256" s="115"/>
      <c r="BZ1256" s="115"/>
      <c r="CA1256" s="115"/>
      <c r="CB1256" s="115"/>
      <c r="CC1256" s="115"/>
      <c r="CD1256" s="115"/>
      <c r="CE1256" s="115"/>
      <c r="CF1256" s="115"/>
      <c r="CG1256" s="115"/>
      <c r="CH1256" s="115"/>
      <c r="CI1256" s="115"/>
      <c r="CJ1256" s="115"/>
      <c r="CK1256" s="115"/>
      <c r="CL1256" s="115"/>
      <c r="CM1256" s="115"/>
      <c r="CN1256" s="115"/>
      <c r="CO1256" s="115"/>
      <c r="CP1256" s="115"/>
      <c r="CQ1256" s="115"/>
      <c r="CR1256" s="115"/>
      <c r="CS1256" s="115"/>
      <c r="CT1256" s="115"/>
      <c r="CU1256" s="115"/>
      <c r="CV1256" s="115"/>
      <c r="CW1256" s="115"/>
      <c r="CX1256" s="115"/>
      <c r="CY1256" s="115"/>
      <c r="CZ1256" s="115"/>
      <c r="DA1256" s="115"/>
      <c r="DB1256" s="115"/>
      <c r="DC1256" s="115"/>
      <c r="DD1256" s="115"/>
      <c r="DE1256" s="115"/>
      <c r="DF1256" s="115"/>
      <c r="DG1256" s="115"/>
    </row>
    <row r="1257" spans="2:111" ht="15" customHeight="1">
      <c r="B1257" s="483" t="str">
        <f>IF($Z$32&gt;=18,18,"")</f>
        <v/>
      </c>
      <c r="C1257" s="483"/>
      <c r="D1257" s="131"/>
      <c r="E1257" s="482" t="str">
        <f>IF($Z$32&gt;=18,$O$722,"")</f>
        <v/>
      </c>
      <c r="F1257" s="482"/>
      <c r="G1257" s="482"/>
      <c r="H1257" s="482"/>
      <c r="I1257" s="482"/>
      <c r="J1257" s="482"/>
      <c r="K1257" s="482"/>
      <c r="L1257" s="482"/>
      <c r="M1257" s="482"/>
      <c r="N1257" s="482"/>
      <c r="O1257" s="482"/>
      <c r="P1257" s="482"/>
      <c r="Q1257" s="482"/>
      <c r="R1257" s="482"/>
      <c r="S1257" s="482"/>
      <c r="T1257" s="482"/>
      <c r="U1257" s="482"/>
      <c r="V1257" s="482"/>
      <c r="W1257" s="482"/>
      <c r="X1257" s="482"/>
      <c r="Y1257" s="482"/>
      <c r="Z1257" s="482"/>
      <c r="AA1257" s="482"/>
      <c r="AB1257" s="482"/>
      <c r="AC1257" s="482"/>
      <c r="AD1257" s="482"/>
      <c r="AE1257" s="482"/>
      <c r="AF1257" s="482"/>
      <c r="AG1257" s="482"/>
      <c r="AH1257" s="483" t="str">
        <f>IF($Z$32&gt;=18,$V$746,"")</f>
        <v/>
      </c>
      <c r="AI1257" s="483"/>
      <c r="AJ1257" s="483"/>
      <c r="AK1257" s="483"/>
      <c r="AL1257" s="484" t="str">
        <f>IF($Z$32&gt;=18,$BB$750,"")</f>
        <v/>
      </c>
      <c r="AM1257" s="484"/>
      <c r="AN1257" s="484"/>
      <c r="AO1257" s="484"/>
      <c r="AP1257" s="484"/>
      <c r="AQ1257" s="484"/>
      <c r="AR1257" s="484"/>
      <c r="AS1257" s="484"/>
      <c r="AT1257" s="485" t="str">
        <f t="shared" si="2"/>
        <v/>
      </c>
      <c r="AU1257" s="485"/>
      <c r="AV1257" s="485"/>
      <c r="AW1257" s="485"/>
      <c r="AX1257" s="485"/>
      <c r="AY1257" s="485"/>
      <c r="AZ1257" s="485"/>
      <c r="BA1257" s="48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c r="BY1257" s="115"/>
      <c r="BZ1257" s="115"/>
      <c r="CA1257" s="115"/>
      <c r="CB1257" s="115"/>
      <c r="CC1257" s="115"/>
      <c r="CD1257" s="115"/>
      <c r="CE1257" s="115"/>
      <c r="CF1257" s="115"/>
      <c r="CG1257" s="115"/>
      <c r="CH1257" s="115"/>
      <c r="CI1257" s="115"/>
      <c r="CJ1257" s="115"/>
      <c r="CK1257" s="115"/>
      <c r="CL1257" s="115"/>
      <c r="CM1257" s="115"/>
      <c r="CN1257" s="115"/>
      <c r="CO1257" s="115"/>
      <c r="CP1257" s="115"/>
      <c r="CQ1257" s="115"/>
      <c r="CR1257" s="115"/>
      <c r="CS1257" s="115"/>
      <c r="CT1257" s="115"/>
      <c r="CU1257" s="115"/>
      <c r="CV1257" s="115"/>
      <c r="CW1257" s="115"/>
      <c r="CX1257" s="115"/>
      <c r="CY1257" s="115"/>
      <c r="CZ1257" s="115"/>
      <c r="DA1257" s="115"/>
      <c r="DB1257" s="115"/>
      <c r="DC1257" s="115"/>
      <c r="DD1257" s="115"/>
      <c r="DE1257" s="115"/>
      <c r="DF1257" s="115"/>
      <c r="DG1257" s="115"/>
    </row>
    <row r="1258" spans="2:111" ht="15" customHeight="1">
      <c r="B1258" s="483" t="str">
        <f>IF($Z$32&gt;=19,19,"")</f>
        <v/>
      </c>
      <c r="C1258" s="483"/>
      <c r="D1258" s="131"/>
      <c r="E1258" s="482" t="str">
        <f>IF($Z$32&gt;=19,$O$762,"")</f>
        <v/>
      </c>
      <c r="F1258" s="482"/>
      <c r="G1258" s="482"/>
      <c r="H1258" s="482"/>
      <c r="I1258" s="482"/>
      <c r="J1258" s="482"/>
      <c r="K1258" s="482"/>
      <c r="L1258" s="482"/>
      <c r="M1258" s="482"/>
      <c r="N1258" s="482"/>
      <c r="O1258" s="482"/>
      <c r="P1258" s="482"/>
      <c r="Q1258" s="482"/>
      <c r="R1258" s="482"/>
      <c r="S1258" s="482"/>
      <c r="T1258" s="482"/>
      <c r="U1258" s="482"/>
      <c r="V1258" s="482"/>
      <c r="W1258" s="482"/>
      <c r="X1258" s="482"/>
      <c r="Y1258" s="482"/>
      <c r="Z1258" s="482"/>
      <c r="AA1258" s="482"/>
      <c r="AB1258" s="482"/>
      <c r="AC1258" s="482"/>
      <c r="AD1258" s="482"/>
      <c r="AE1258" s="482"/>
      <c r="AF1258" s="482"/>
      <c r="AG1258" s="482"/>
      <c r="AH1258" s="483" t="str">
        <f>IF($Z$32&gt;=19,$V$786,"")</f>
        <v/>
      </c>
      <c r="AI1258" s="483"/>
      <c r="AJ1258" s="483"/>
      <c r="AK1258" s="483"/>
      <c r="AL1258" s="484" t="str">
        <f>IF($Z$32&gt;=19,$BB$790,"")</f>
        <v/>
      </c>
      <c r="AM1258" s="484"/>
      <c r="AN1258" s="484"/>
      <c r="AO1258" s="484"/>
      <c r="AP1258" s="484"/>
      <c r="AQ1258" s="484"/>
      <c r="AR1258" s="484"/>
      <c r="AS1258" s="484"/>
      <c r="AT1258" s="485" t="str">
        <f t="shared" si="2"/>
        <v/>
      </c>
      <c r="AU1258" s="485"/>
      <c r="AV1258" s="485"/>
      <c r="AW1258" s="485"/>
      <c r="AX1258" s="485"/>
      <c r="AY1258" s="485"/>
      <c r="AZ1258" s="485"/>
      <c r="BA1258" s="48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c r="BY1258" s="115"/>
      <c r="BZ1258" s="115"/>
      <c r="CA1258" s="115"/>
      <c r="CB1258" s="115"/>
      <c r="CC1258" s="115"/>
      <c r="CD1258" s="115"/>
      <c r="CE1258" s="115"/>
      <c r="CF1258" s="115"/>
      <c r="CG1258" s="115"/>
      <c r="CH1258" s="115"/>
      <c r="CI1258" s="115"/>
      <c r="CJ1258" s="115"/>
      <c r="CK1258" s="115"/>
      <c r="CL1258" s="115"/>
      <c r="CM1258" s="115"/>
      <c r="CN1258" s="115"/>
      <c r="CO1258" s="115"/>
      <c r="CP1258" s="115"/>
      <c r="CQ1258" s="115"/>
      <c r="CR1258" s="115"/>
      <c r="CS1258" s="115"/>
      <c r="CT1258" s="115"/>
      <c r="CU1258" s="115"/>
      <c r="CV1258" s="115"/>
      <c r="CW1258" s="115"/>
      <c r="CX1258" s="115"/>
      <c r="CY1258" s="115"/>
      <c r="CZ1258" s="115"/>
      <c r="DA1258" s="115"/>
      <c r="DB1258" s="115"/>
      <c r="DC1258" s="115"/>
      <c r="DD1258" s="115"/>
      <c r="DE1258" s="115"/>
      <c r="DF1258" s="115"/>
      <c r="DG1258" s="115"/>
    </row>
    <row r="1259" spans="2:111" ht="15" customHeight="1">
      <c r="B1259" s="483" t="str">
        <f>IF($Z$32&gt;=20,20,"")</f>
        <v/>
      </c>
      <c r="C1259" s="483"/>
      <c r="D1259" s="131"/>
      <c r="E1259" s="482" t="str">
        <f>IF($Z$32&gt;=20,$O$802,"")</f>
        <v/>
      </c>
      <c r="F1259" s="482"/>
      <c r="G1259" s="482"/>
      <c r="H1259" s="482"/>
      <c r="I1259" s="482"/>
      <c r="J1259" s="482"/>
      <c r="K1259" s="482"/>
      <c r="L1259" s="482"/>
      <c r="M1259" s="482"/>
      <c r="N1259" s="482"/>
      <c r="O1259" s="482"/>
      <c r="P1259" s="482"/>
      <c r="Q1259" s="482"/>
      <c r="R1259" s="482"/>
      <c r="S1259" s="482"/>
      <c r="T1259" s="482"/>
      <c r="U1259" s="482"/>
      <c r="V1259" s="482"/>
      <c r="W1259" s="482"/>
      <c r="X1259" s="482"/>
      <c r="Y1259" s="482"/>
      <c r="Z1259" s="482"/>
      <c r="AA1259" s="482"/>
      <c r="AB1259" s="482"/>
      <c r="AC1259" s="482"/>
      <c r="AD1259" s="482"/>
      <c r="AE1259" s="482"/>
      <c r="AF1259" s="482"/>
      <c r="AG1259" s="482"/>
      <c r="AH1259" s="483" t="str">
        <f>IF($Z$32&gt;=20,$V$826,"")</f>
        <v/>
      </c>
      <c r="AI1259" s="483"/>
      <c r="AJ1259" s="483"/>
      <c r="AK1259" s="483"/>
      <c r="AL1259" s="484" t="str">
        <f>IF($Z$32&gt;=20,$BB$830,"")</f>
        <v/>
      </c>
      <c r="AM1259" s="484"/>
      <c r="AN1259" s="484"/>
      <c r="AO1259" s="484"/>
      <c r="AP1259" s="484"/>
      <c r="AQ1259" s="484"/>
      <c r="AR1259" s="484"/>
      <c r="AS1259" s="484"/>
      <c r="AT1259" s="485" t="str">
        <f t="shared" si="2"/>
        <v/>
      </c>
      <c r="AU1259" s="485"/>
      <c r="AV1259" s="485"/>
      <c r="AW1259" s="485"/>
      <c r="AX1259" s="485"/>
      <c r="AY1259" s="485"/>
      <c r="AZ1259" s="485"/>
      <c r="BA1259" s="48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c r="BY1259" s="115"/>
      <c r="BZ1259" s="115"/>
      <c r="CA1259" s="115"/>
      <c r="CB1259" s="115"/>
      <c r="CC1259" s="115"/>
      <c r="CD1259" s="115"/>
      <c r="CE1259" s="115"/>
      <c r="CF1259" s="115"/>
      <c r="CG1259" s="115"/>
      <c r="CH1259" s="115"/>
      <c r="CI1259" s="115"/>
      <c r="CJ1259" s="115"/>
      <c r="CK1259" s="115"/>
      <c r="CL1259" s="115"/>
      <c r="CM1259" s="115"/>
      <c r="CN1259" s="115"/>
      <c r="CO1259" s="115"/>
      <c r="CP1259" s="115"/>
      <c r="CQ1259" s="115"/>
      <c r="CR1259" s="115"/>
      <c r="CS1259" s="115"/>
      <c r="CT1259" s="115"/>
      <c r="CU1259" s="115"/>
      <c r="CV1259" s="115"/>
      <c r="CW1259" s="115"/>
      <c r="CX1259" s="115"/>
      <c r="CY1259" s="115"/>
      <c r="CZ1259" s="115"/>
      <c r="DA1259" s="115"/>
      <c r="DB1259" s="115"/>
      <c r="DC1259" s="115"/>
      <c r="DD1259" s="115"/>
      <c r="DE1259" s="115"/>
      <c r="DF1259" s="115"/>
      <c r="DG1259" s="115"/>
    </row>
    <row r="1260" spans="2:111" ht="15" customHeight="1">
      <c r="B1260" s="483" t="str">
        <f>IF($Z$32&gt;=21,21,"")</f>
        <v/>
      </c>
      <c r="C1260" s="483"/>
      <c r="D1260" s="131"/>
      <c r="E1260" s="482" t="str">
        <f>IF($Z$32&gt;=21,$O$842,"")</f>
        <v/>
      </c>
      <c r="F1260" s="482"/>
      <c r="G1260" s="482"/>
      <c r="H1260" s="482"/>
      <c r="I1260" s="482"/>
      <c r="J1260" s="482"/>
      <c r="K1260" s="482"/>
      <c r="L1260" s="482"/>
      <c r="M1260" s="482"/>
      <c r="N1260" s="482"/>
      <c r="O1260" s="482"/>
      <c r="P1260" s="482"/>
      <c r="Q1260" s="482"/>
      <c r="R1260" s="482"/>
      <c r="S1260" s="482"/>
      <c r="T1260" s="482"/>
      <c r="U1260" s="482"/>
      <c r="V1260" s="482"/>
      <c r="W1260" s="482"/>
      <c r="X1260" s="482"/>
      <c r="Y1260" s="482"/>
      <c r="Z1260" s="482"/>
      <c r="AA1260" s="482"/>
      <c r="AB1260" s="482"/>
      <c r="AC1260" s="482"/>
      <c r="AD1260" s="482"/>
      <c r="AE1260" s="482"/>
      <c r="AF1260" s="482"/>
      <c r="AG1260" s="482"/>
      <c r="AH1260" s="483" t="str">
        <f>IF($Z$32&gt;=21,$V$866,"")</f>
        <v/>
      </c>
      <c r="AI1260" s="483"/>
      <c r="AJ1260" s="483"/>
      <c r="AK1260" s="483"/>
      <c r="AL1260" s="484" t="str">
        <f>IF($Z$32&gt;=21,$BB$870,"")</f>
        <v/>
      </c>
      <c r="AM1260" s="484"/>
      <c r="AN1260" s="484"/>
      <c r="AO1260" s="484"/>
      <c r="AP1260" s="484"/>
      <c r="AQ1260" s="484"/>
      <c r="AR1260" s="484"/>
      <c r="AS1260" s="484"/>
      <c r="AT1260" s="485" t="str">
        <f t="shared" si="2"/>
        <v/>
      </c>
      <c r="AU1260" s="485"/>
      <c r="AV1260" s="485"/>
      <c r="AW1260" s="485"/>
      <c r="AX1260" s="485"/>
      <c r="AY1260" s="485"/>
      <c r="AZ1260" s="485"/>
      <c r="BA1260" s="48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c r="BY1260" s="115"/>
      <c r="BZ1260" s="115"/>
      <c r="CA1260" s="115"/>
      <c r="CB1260" s="115"/>
      <c r="CC1260" s="115"/>
      <c r="CD1260" s="115"/>
      <c r="CE1260" s="115"/>
      <c r="CF1260" s="115"/>
      <c r="CG1260" s="115"/>
      <c r="CH1260" s="115"/>
      <c r="CI1260" s="115"/>
      <c r="CJ1260" s="115"/>
      <c r="CK1260" s="115"/>
      <c r="CL1260" s="115"/>
      <c r="CM1260" s="115"/>
      <c r="CN1260" s="115"/>
      <c r="CO1260" s="115"/>
      <c r="CP1260" s="115"/>
      <c r="CQ1260" s="115"/>
      <c r="CR1260" s="115"/>
      <c r="CS1260" s="115"/>
      <c r="CT1260" s="115"/>
      <c r="CU1260" s="115"/>
      <c r="CV1260" s="115"/>
      <c r="CW1260" s="115"/>
      <c r="CX1260" s="115"/>
      <c r="CY1260" s="115"/>
      <c r="CZ1260" s="115"/>
      <c r="DA1260" s="115"/>
      <c r="DB1260" s="115"/>
      <c r="DC1260" s="115"/>
      <c r="DD1260" s="115"/>
      <c r="DE1260" s="115"/>
      <c r="DF1260" s="115"/>
      <c r="DG1260" s="115"/>
    </row>
    <row r="1261" spans="2:111" ht="15" customHeight="1">
      <c r="B1261" s="483" t="str">
        <f>IF($Z$32&gt;=22,22,"")</f>
        <v/>
      </c>
      <c r="C1261" s="483"/>
      <c r="D1261" s="131"/>
      <c r="E1261" s="482" t="str">
        <f>IF($Z$32&gt;=22,$O$882,"")</f>
        <v/>
      </c>
      <c r="F1261" s="482"/>
      <c r="G1261" s="482"/>
      <c r="H1261" s="482"/>
      <c r="I1261" s="482"/>
      <c r="J1261" s="482"/>
      <c r="K1261" s="482"/>
      <c r="L1261" s="482"/>
      <c r="M1261" s="482"/>
      <c r="N1261" s="482"/>
      <c r="O1261" s="482"/>
      <c r="P1261" s="482"/>
      <c r="Q1261" s="482"/>
      <c r="R1261" s="482"/>
      <c r="S1261" s="482"/>
      <c r="T1261" s="482"/>
      <c r="U1261" s="482"/>
      <c r="V1261" s="482"/>
      <c r="W1261" s="482"/>
      <c r="X1261" s="482"/>
      <c r="Y1261" s="482"/>
      <c r="Z1261" s="482"/>
      <c r="AA1261" s="482"/>
      <c r="AB1261" s="482"/>
      <c r="AC1261" s="482"/>
      <c r="AD1261" s="482"/>
      <c r="AE1261" s="482"/>
      <c r="AF1261" s="482"/>
      <c r="AG1261" s="482"/>
      <c r="AH1261" s="483" t="str">
        <f>IF($Z$32&gt;=22,$V$906,"")</f>
        <v/>
      </c>
      <c r="AI1261" s="483"/>
      <c r="AJ1261" s="483"/>
      <c r="AK1261" s="483"/>
      <c r="AL1261" s="484" t="str">
        <f>IF($Z$32&gt;=22,$BB$910,"")</f>
        <v/>
      </c>
      <c r="AM1261" s="484"/>
      <c r="AN1261" s="484"/>
      <c r="AO1261" s="484"/>
      <c r="AP1261" s="484"/>
      <c r="AQ1261" s="484"/>
      <c r="AR1261" s="484"/>
      <c r="AS1261" s="484"/>
      <c r="AT1261" s="485" t="str">
        <f t="shared" si="2"/>
        <v/>
      </c>
      <c r="AU1261" s="485"/>
      <c r="AV1261" s="485"/>
      <c r="AW1261" s="485"/>
      <c r="AX1261" s="485"/>
      <c r="AY1261" s="485"/>
      <c r="AZ1261" s="485"/>
      <c r="BA1261" s="48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c r="BY1261" s="115"/>
      <c r="BZ1261" s="115"/>
      <c r="CA1261" s="115"/>
      <c r="CB1261" s="115"/>
      <c r="CC1261" s="115"/>
      <c r="CD1261" s="115"/>
      <c r="CE1261" s="115"/>
      <c r="CF1261" s="115"/>
      <c r="CG1261" s="115"/>
      <c r="CH1261" s="115"/>
      <c r="CI1261" s="115"/>
      <c r="CJ1261" s="115"/>
      <c r="CK1261" s="115"/>
      <c r="CL1261" s="115"/>
      <c r="CM1261" s="115"/>
      <c r="CN1261" s="115"/>
      <c r="CO1261" s="115"/>
      <c r="CP1261" s="115"/>
      <c r="CQ1261" s="115"/>
      <c r="CR1261" s="115"/>
      <c r="CS1261" s="115"/>
      <c r="CT1261" s="115"/>
      <c r="CU1261" s="115"/>
      <c r="CV1261" s="115"/>
      <c r="CW1261" s="115"/>
      <c r="CX1261" s="115"/>
      <c r="CY1261" s="115"/>
      <c r="CZ1261" s="115"/>
      <c r="DA1261" s="115"/>
      <c r="DB1261" s="115"/>
      <c r="DC1261" s="115"/>
      <c r="DD1261" s="115"/>
      <c r="DE1261" s="115"/>
      <c r="DF1261" s="115"/>
      <c r="DG1261" s="115"/>
    </row>
    <row r="1262" spans="2:111" ht="15" customHeight="1">
      <c r="B1262" s="483" t="str">
        <f>IF($Z$32&gt;=23,23,"")</f>
        <v/>
      </c>
      <c r="C1262" s="483"/>
      <c r="D1262" s="131"/>
      <c r="E1262" s="482" t="str">
        <f>IF($Z$32&gt;=23,$O$922,"")</f>
        <v/>
      </c>
      <c r="F1262" s="482"/>
      <c r="G1262" s="482"/>
      <c r="H1262" s="482"/>
      <c r="I1262" s="482"/>
      <c r="J1262" s="482"/>
      <c r="K1262" s="482"/>
      <c r="L1262" s="482"/>
      <c r="M1262" s="482"/>
      <c r="N1262" s="482"/>
      <c r="O1262" s="482"/>
      <c r="P1262" s="482"/>
      <c r="Q1262" s="482"/>
      <c r="R1262" s="482"/>
      <c r="S1262" s="482"/>
      <c r="T1262" s="482"/>
      <c r="U1262" s="482"/>
      <c r="V1262" s="482"/>
      <c r="W1262" s="482"/>
      <c r="X1262" s="482"/>
      <c r="Y1262" s="482"/>
      <c r="Z1262" s="482"/>
      <c r="AA1262" s="482"/>
      <c r="AB1262" s="482"/>
      <c r="AC1262" s="482"/>
      <c r="AD1262" s="482"/>
      <c r="AE1262" s="482"/>
      <c r="AF1262" s="482"/>
      <c r="AG1262" s="482"/>
      <c r="AH1262" s="483" t="str">
        <f>IF($Z$32&gt;=23,$V$946,"")</f>
        <v/>
      </c>
      <c r="AI1262" s="483"/>
      <c r="AJ1262" s="483"/>
      <c r="AK1262" s="483"/>
      <c r="AL1262" s="484" t="str">
        <f>IF($Z$32&gt;=23,$BB$950,"")</f>
        <v/>
      </c>
      <c r="AM1262" s="484"/>
      <c r="AN1262" s="484"/>
      <c r="AO1262" s="484"/>
      <c r="AP1262" s="484"/>
      <c r="AQ1262" s="484"/>
      <c r="AR1262" s="484"/>
      <c r="AS1262" s="484"/>
      <c r="AT1262" s="485" t="str">
        <f t="shared" si="2"/>
        <v/>
      </c>
      <c r="AU1262" s="485"/>
      <c r="AV1262" s="485"/>
      <c r="AW1262" s="485"/>
      <c r="AX1262" s="485"/>
      <c r="AY1262" s="485"/>
      <c r="AZ1262" s="485"/>
      <c r="BA1262" s="48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c r="BY1262" s="115"/>
      <c r="BZ1262" s="115"/>
      <c r="CA1262" s="115"/>
      <c r="CB1262" s="115"/>
      <c r="CC1262" s="115"/>
      <c r="CD1262" s="115"/>
      <c r="CE1262" s="115"/>
      <c r="CF1262" s="115"/>
      <c r="CG1262" s="115"/>
      <c r="CH1262" s="115"/>
      <c r="CI1262" s="115"/>
      <c r="CJ1262" s="115"/>
      <c r="CK1262" s="115"/>
      <c r="CL1262" s="115"/>
      <c r="CM1262" s="115"/>
      <c r="CN1262" s="115"/>
      <c r="CO1262" s="115"/>
      <c r="CP1262" s="115"/>
      <c r="CQ1262" s="115"/>
      <c r="CR1262" s="115"/>
      <c r="CS1262" s="115"/>
      <c r="CT1262" s="115"/>
      <c r="CU1262" s="115"/>
      <c r="CV1262" s="115"/>
      <c r="CW1262" s="115"/>
      <c r="CX1262" s="115"/>
      <c r="CY1262" s="115"/>
      <c r="CZ1262" s="115"/>
      <c r="DA1262" s="115"/>
      <c r="DB1262" s="115"/>
      <c r="DC1262" s="115"/>
      <c r="DD1262" s="115"/>
      <c r="DE1262" s="115"/>
      <c r="DF1262" s="115"/>
      <c r="DG1262" s="115"/>
    </row>
    <row r="1263" spans="2:111" ht="15" customHeight="1">
      <c r="B1263" s="483" t="str">
        <f>IF($Z$32&gt;=24,24,"")</f>
        <v/>
      </c>
      <c r="C1263" s="483"/>
      <c r="D1263" s="131"/>
      <c r="E1263" s="482" t="str">
        <f>IF($Z$32&gt;=24,$O$962,"")</f>
        <v/>
      </c>
      <c r="F1263" s="482"/>
      <c r="G1263" s="482"/>
      <c r="H1263" s="482"/>
      <c r="I1263" s="482"/>
      <c r="J1263" s="482"/>
      <c r="K1263" s="482"/>
      <c r="L1263" s="482"/>
      <c r="M1263" s="482"/>
      <c r="N1263" s="482"/>
      <c r="O1263" s="482"/>
      <c r="P1263" s="482"/>
      <c r="Q1263" s="482"/>
      <c r="R1263" s="482"/>
      <c r="S1263" s="482"/>
      <c r="T1263" s="482"/>
      <c r="U1263" s="482"/>
      <c r="V1263" s="482"/>
      <c r="W1263" s="482"/>
      <c r="X1263" s="482"/>
      <c r="Y1263" s="482"/>
      <c r="Z1263" s="482"/>
      <c r="AA1263" s="482"/>
      <c r="AB1263" s="482"/>
      <c r="AC1263" s="482"/>
      <c r="AD1263" s="482"/>
      <c r="AE1263" s="482"/>
      <c r="AF1263" s="482"/>
      <c r="AG1263" s="482"/>
      <c r="AH1263" s="483" t="str">
        <f>IF($Z$32&gt;=24,$V$986,"")</f>
        <v/>
      </c>
      <c r="AI1263" s="483"/>
      <c r="AJ1263" s="483"/>
      <c r="AK1263" s="483"/>
      <c r="AL1263" s="484" t="str">
        <f>IF($Z$32&gt;=24,$BB$990,"")</f>
        <v/>
      </c>
      <c r="AM1263" s="484"/>
      <c r="AN1263" s="484"/>
      <c r="AO1263" s="484"/>
      <c r="AP1263" s="484"/>
      <c r="AQ1263" s="484"/>
      <c r="AR1263" s="484"/>
      <c r="AS1263" s="484"/>
      <c r="AT1263" s="485" t="str">
        <f t="shared" si="2"/>
        <v/>
      </c>
      <c r="AU1263" s="485"/>
      <c r="AV1263" s="485"/>
      <c r="AW1263" s="485"/>
      <c r="AX1263" s="485"/>
      <c r="AY1263" s="485"/>
      <c r="AZ1263" s="485"/>
      <c r="BA1263" s="48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c r="BY1263" s="115"/>
      <c r="BZ1263" s="115"/>
      <c r="CA1263" s="115"/>
      <c r="CB1263" s="115"/>
      <c r="CC1263" s="115"/>
      <c r="CD1263" s="115"/>
      <c r="CE1263" s="115"/>
      <c r="CF1263" s="115"/>
      <c r="CG1263" s="115"/>
      <c r="CH1263" s="115"/>
      <c r="CI1263" s="115"/>
      <c r="CJ1263" s="115"/>
      <c r="CK1263" s="115"/>
      <c r="CL1263" s="115"/>
      <c r="CM1263" s="115"/>
      <c r="CN1263" s="115"/>
      <c r="CO1263" s="115"/>
      <c r="CP1263" s="115"/>
      <c r="CQ1263" s="115"/>
      <c r="CR1263" s="115"/>
      <c r="CS1263" s="115"/>
      <c r="CT1263" s="115"/>
      <c r="CU1263" s="115"/>
      <c r="CV1263" s="115"/>
      <c r="CW1263" s="115"/>
      <c r="CX1263" s="115"/>
      <c r="CY1263" s="115"/>
      <c r="CZ1263" s="115"/>
      <c r="DA1263" s="115"/>
      <c r="DB1263" s="115"/>
      <c r="DC1263" s="115"/>
      <c r="DD1263" s="115"/>
      <c r="DE1263" s="115"/>
      <c r="DF1263" s="115"/>
      <c r="DG1263" s="115"/>
    </row>
    <row r="1264" spans="2:111" ht="15" customHeight="1">
      <c r="B1264" s="483" t="str">
        <f>IF($Z$32&gt;=25,25,"")</f>
        <v/>
      </c>
      <c r="C1264" s="483"/>
      <c r="D1264" s="131"/>
      <c r="E1264" s="482" t="str">
        <f>IF($Z$32&gt;=25,$O$1002,"")</f>
        <v/>
      </c>
      <c r="F1264" s="482"/>
      <c r="G1264" s="482"/>
      <c r="H1264" s="482"/>
      <c r="I1264" s="482"/>
      <c r="J1264" s="482"/>
      <c r="K1264" s="482"/>
      <c r="L1264" s="482"/>
      <c r="M1264" s="482"/>
      <c r="N1264" s="482"/>
      <c r="O1264" s="482"/>
      <c r="P1264" s="482"/>
      <c r="Q1264" s="482"/>
      <c r="R1264" s="482"/>
      <c r="S1264" s="482"/>
      <c r="T1264" s="482"/>
      <c r="U1264" s="482"/>
      <c r="V1264" s="482"/>
      <c r="W1264" s="482"/>
      <c r="X1264" s="482"/>
      <c r="Y1264" s="482"/>
      <c r="Z1264" s="482"/>
      <c r="AA1264" s="482"/>
      <c r="AB1264" s="482"/>
      <c r="AC1264" s="482"/>
      <c r="AD1264" s="482"/>
      <c r="AE1264" s="482"/>
      <c r="AF1264" s="482"/>
      <c r="AG1264" s="482"/>
      <c r="AH1264" s="483" t="str">
        <f>IF($Z$32&gt;=25,$V$1026,"")</f>
        <v/>
      </c>
      <c r="AI1264" s="483"/>
      <c r="AJ1264" s="483"/>
      <c r="AK1264" s="483"/>
      <c r="AL1264" s="484" t="str">
        <f>IF($Z$32&gt;=25,$BB$1030,"")</f>
        <v/>
      </c>
      <c r="AM1264" s="484"/>
      <c r="AN1264" s="484"/>
      <c r="AO1264" s="484"/>
      <c r="AP1264" s="484"/>
      <c r="AQ1264" s="484"/>
      <c r="AR1264" s="484"/>
      <c r="AS1264" s="484"/>
      <c r="AT1264" s="485" t="str">
        <f t="shared" si="2"/>
        <v/>
      </c>
      <c r="AU1264" s="485"/>
      <c r="AV1264" s="485"/>
      <c r="AW1264" s="485"/>
      <c r="AX1264" s="485"/>
      <c r="AY1264" s="485"/>
      <c r="AZ1264" s="485"/>
      <c r="BA1264" s="48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c r="BY1264" s="115"/>
      <c r="BZ1264" s="115"/>
      <c r="CA1264" s="115"/>
      <c r="CB1264" s="115"/>
      <c r="CC1264" s="115"/>
      <c r="CD1264" s="115"/>
      <c r="CE1264" s="115"/>
      <c r="CF1264" s="115"/>
      <c r="CG1264" s="115"/>
      <c r="CH1264" s="115"/>
      <c r="CI1264" s="115"/>
      <c r="CJ1264" s="115"/>
      <c r="CK1264" s="115"/>
      <c r="CL1264" s="115"/>
      <c r="CM1264" s="115"/>
      <c r="CN1264" s="115"/>
      <c r="CO1264" s="115"/>
      <c r="CP1264" s="115"/>
      <c r="CQ1264" s="115"/>
      <c r="CR1264" s="115"/>
      <c r="CS1264" s="115"/>
      <c r="CT1264" s="115"/>
      <c r="CU1264" s="115"/>
      <c r="CV1264" s="115"/>
      <c r="CW1264" s="115"/>
      <c r="CX1264" s="115"/>
      <c r="CY1264" s="115"/>
      <c r="CZ1264" s="115"/>
      <c r="DA1264" s="115"/>
      <c r="DB1264" s="115"/>
      <c r="DC1264" s="115"/>
      <c r="DD1264" s="115"/>
      <c r="DE1264" s="115"/>
      <c r="DF1264" s="115"/>
      <c r="DG1264" s="115"/>
    </row>
    <row r="1265" spans="1:111" ht="15" customHeight="1">
      <c r="B1265" s="483" t="str">
        <f>IF($Z$32&gt;=26,26,"")</f>
        <v/>
      </c>
      <c r="C1265" s="483"/>
      <c r="D1265" s="131"/>
      <c r="E1265" s="482" t="str">
        <f>IF($Z$32&gt;=26,$O$1042,"")</f>
        <v/>
      </c>
      <c r="F1265" s="482"/>
      <c r="G1265" s="482"/>
      <c r="H1265" s="482"/>
      <c r="I1265" s="482"/>
      <c r="J1265" s="482"/>
      <c r="K1265" s="482"/>
      <c r="L1265" s="482"/>
      <c r="M1265" s="482"/>
      <c r="N1265" s="482"/>
      <c r="O1265" s="482"/>
      <c r="P1265" s="482"/>
      <c r="Q1265" s="482"/>
      <c r="R1265" s="482"/>
      <c r="S1265" s="482"/>
      <c r="T1265" s="482"/>
      <c r="U1265" s="482"/>
      <c r="V1265" s="482"/>
      <c r="W1265" s="482"/>
      <c r="X1265" s="482"/>
      <c r="Y1265" s="482"/>
      <c r="Z1265" s="482"/>
      <c r="AA1265" s="482"/>
      <c r="AB1265" s="482"/>
      <c r="AC1265" s="482"/>
      <c r="AD1265" s="482"/>
      <c r="AE1265" s="482"/>
      <c r="AF1265" s="482"/>
      <c r="AG1265" s="482"/>
      <c r="AH1265" s="483" t="str">
        <f>IF($Z$32&gt;=26,$V$1066,"")</f>
        <v/>
      </c>
      <c r="AI1265" s="483"/>
      <c r="AJ1265" s="483"/>
      <c r="AK1265" s="483"/>
      <c r="AL1265" s="484" t="str">
        <f>IF($Z$32&gt;=26,$BB$1070,"")</f>
        <v/>
      </c>
      <c r="AM1265" s="484"/>
      <c r="AN1265" s="484"/>
      <c r="AO1265" s="484"/>
      <c r="AP1265" s="484"/>
      <c r="AQ1265" s="484"/>
      <c r="AR1265" s="484"/>
      <c r="AS1265" s="484"/>
      <c r="AT1265" s="485" t="str">
        <f t="shared" si="2"/>
        <v/>
      </c>
      <c r="AU1265" s="485"/>
      <c r="AV1265" s="485"/>
      <c r="AW1265" s="485"/>
      <c r="AX1265" s="485"/>
      <c r="AY1265" s="485"/>
      <c r="AZ1265" s="485"/>
      <c r="BA1265" s="48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c r="BY1265" s="115"/>
      <c r="BZ1265" s="115"/>
      <c r="CA1265" s="115"/>
      <c r="CB1265" s="115"/>
      <c r="CC1265" s="115"/>
      <c r="CD1265" s="115"/>
      <c r="CE1265" s="115"/>
      <c r="CF1265" s="115"/>
      <c r="CG1265" s="115"/>
      <c r="CH1265" s="115"/>
      <c r="CI1265" s="115"/>
      <c r="CJ1265" s="115"/>
      <c r="CK1265" s="115"/>
      <c r="CL1265" s="115"/>
      <c r="CM1265" s="115"/>
      <c r="CN1265" s="115"/>
      <c r="CO1265" s="115"/>
      <c r="CP1265" s="115"/>
      <c r="CQ1265" s="115"/>
      <c r="CR1265" s="115"/>
      <c r="CS1265" s="115"/>
      <c r="CT1265" s="115"/>
      <c r="CU1265" s="115"/>
      <c r="CV1265" s="115"/>
      <c r="CW1265" s="115"/>
      <c r="CX1265" s="115"/>
      <c r="CY1265" s="115"/>
      <c r="CZ1265" s="115"/>
      <c r="DA1265" s="115"/>
      <c r="DB1265" s="115"/>
      <c r="DC1265" s="115"/>
      <c r="DD1265" s="115"/>
      <c r="DE1265" s="115"/>
      <c r="DF1265" s="115"/>
      <c r="DG1265" s="115"/>
    </row>
    <row r="1266" spans="1:111" ht="15" customHeight="1">
      <c r="B1266" s="483" t="str">
        <f>IF($Z$32&gt;=27,27,"")</f>
        <v/>
      </c>
      <c r="C1266" s="483"/>
      <c r="D1266" s="131"/>
      <c r="E1266" s="482" t="str">
        <f>IF($Z$32&gt;=27,$O$1082,"")</f>
        <v/>
      </c>
      <c r="F1266" s="482"/>
      <c r="G1266" s="482"/>
      <c r="H1266" s="482"/>
      <c r="I1266" s="482"/>
      <c r="J1266" s="482"/>
      <c r="K1266" s="482"/>
      <c r="L1266" s="482"/>
      <c r="M1266" s="482"/>
      <c r="N1266" s="482"/>
      <c r="O1266" s="482"/>
      <c r="P1266" s="482"/>
      <c r="Q1266" s="482"/>
      <c r="R1266" s="482"/>
      <c r="S1266" s="482"/>
      <c r="T1266" s="482"/>
      <c r="U1266" s="482"/>
      <c r="V1266" s="482"/>
      <c r="W1266" s="482"/>
      <c r="X1266" s="482"/>
      <c r="Y1266" s="482"/>
      <c r="Z1266" s="482"/>
      <c r="AA1266" s="482"/>
      <c r="AB1266" s="482"/>
      <c r="AC1266" s="482"/>
      <c r="AD1266" s="482"/>
      <c r="AE1266" s="482"/>
      <c r="AF1266" s="482"/>
      <c r="AG1266" s="482"/>
      <c r="AH1266" s="483" t="str">
        <f>IF($Z$32&gt;=26,$V$1106,"")</f>
        <v/>
      </c>
      <c r="AI1266" s="483"/>
      <c r="AJ1266" s="483"/>
      <c r="AK1266" s="483"/>
      <c r="AL1266" s="484" t="str">
        <f>IF($Z$32&gt;=27,$BB$1110,"")</f>
        <v/>
      </c>
      <c r="AM1266" s="484"/>
      <c r="AN1266" s="484"/>
      <c r="AO1266" s="484"/>
      <c r="AP1266" s="484"/>
      <c r="AQ1266" s="484"/>
      <c r="AR1266" s="484"/>
      <c r="AS1266" s="484"/>
      <c r="AT1266" s="485" t="str">
        <f t="shared" si="2"/>
        <v/>
      </c>
      <c r="AU1266" s="485"/>
      <c r="AV1266" s="485"/>
      <c r="AW1266" s="485"/>
      <c r="AX1266" s="485"/>
      <c r="AY1266" s="485"/>
      <c r="AZ1266" s="485"/>
      <c r="BA1266" s="48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c r="BY1266" s="115"/>
      <c r="BZ1266" s="115"/>
      <c r="CA1266" s="115"/>
      <c r="CB1266" s="115"/>
      <c r="CC1266" s="115"/>
      <c r="CD1266" s="115"/>
      <c r="CE1266" s="115"/>
      <c r="CF1266" s="115"/>
      <c r="CG1266" s="115"/>
      <c r="CH1266" s="115"/>
      <c r="CI1266" s="115"/>
      <c r="CJ1266" s="115"/>
      <c r="CK1266" s="115"/>
      <c r="CL1266" s="115"/>
      <c r="CM1266" s="115"/>
      <c r="CN1266" s="115"/>
      <c r="CO1266" s="115"/>
      <c r="CP1266" s="115"/>
      <c r="CQ1266" s="115"/>
      <c r="CR1266" s="115"/>
      <c r="CS1266" s="115"/>
      <c r="CT1266" s="115"/>
      <c r="CU1266" s="115"/>
      <c r="CV1266" s="115"/>
      <c r="CW1266" s="115"/>
      <c r="CX1266" s="115"/>
      <c r="CY1266" s="115"/>
      <c r="CZ1266" s="115"/>
      <c r="DA1266" s="115"/>
      <c r="DB1266" s="115"/>
      <c r="DC1266" s="115"/>
      <c r="DD1266" s="115"/>
      <c r="DE1266" s="115"/>
      <c r="DF1266" s="115"/>
      <c r="DG1266" s="115"/>
    </row>
    <row r="1267" spans="1:111" ht="15" customHeight="1">
      <c r="B1267" s="483" t="str">
        <f>IF($Z$32&gt;=28,28,"")</f>
        <v/>
      </c>
      <c r="C1267" s="483"/>
      <c r="D1267" s="131"/>
      <c r="E1267" s="482" t="str">
        <f>IF($Z$32&gt;=28,$O$1122,"")</f>
        <v/>
      </c>
      <c r="F1267" s="482"/>
      <c r="G1267" s="482"/>
      <c r="H1267" s="482"/>
      <c r="I1267" s="482"/>
      <c r="J1267" s="482"/>
      <c r="K1267" s="482"/>
      <c r="L1267" s="482"/>
      <c r="M1267" s="482"/>
      <c r="N1267" s="482"/>
      <c r="O1267" s="482"/>
      <c r="P1267" s="482"/>
      <c r="Q1267" s="482"/>
      <c r="R1267" s="482"/>
      <c r="S1267" s="482"/>
      <c r="T1267" s="482"/>
      <c r="U1267" s="482"/>
      <c r="V1267" s="482"/>
      <c r="W1267" s="482"/>
      <c r="X1267" s="482"/>
      <c r="Y1267" s="482"/>
      <c r="Z1267" s="482"/>
      <c r="AA1267" s="482"/>
      <c r="AB1267" s="482"/>
      <c r="AC1267" s="482"/>
      <c r="AD1267" s="482"/>
      <c r="AE1267" s="482"/>
      <c r="AF1267" s="482"/>
      <c r="AG1267" s="482"/>
      <c r="AH1267" s="483" t="str">
        <f>IF($Z$32&gt;=28,$V$1146,"")</f>
        <v/>
      </c>
      <c r="AI1267" s="483"/>
      <c r="AJ1267" s="483"/>
      <c r="AK1267" s="483"/>
      <c r="AL1267" s="484" t="str">
        <f>IF($Z$32&gt;=28,$BB$1150,"")</f>
        <v/>
      </c>
      <c r="AM1267" s="484"/>
      <c r="AN1267" s="484"/>
      <c r="AO1267" s="484"/>
      <c r="AP1267" s="484"/>
      <c r="AQ1267" s="484"/>
      <c r="AR1267" s="484"/>
      <c r="AS1267" s="484"/>
      <c r="AT1267" s="485" t="str">
        <f t="shared" si="2"/>
        <v/>
      </c>
      <c r="AU1267" s="485"/>
      <c r="AV1267" s="485"/>
      <c r="AW1267" s="485"/>
      <c r="AX1267" s="485"/>
      <c r="AY1267" s="485"/>
      <c r="AZ1267" s="485"/>
      <c r="BA1267" s="48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c r="BY1267" s="115"/>
      <c r="BZ1267" s="115"/>
      <c r="CA1267" s="115"/>
      <c r="CB1267" s="115"/>
      <c r="CC1267" s="115"/>
      <c r="CD1267" s="115"/>
      <c r="CE1267" s="115"/>
      <c r="CF1267" s="115"/>
      <c r="CG1267" s="115"/>
      <c r="CH1267" s="115"/>
      <c r="CI1267" s="115"/>
      <c r="CJ1267" s="115"/>
      <c r="CK1267" s="115"/>
      <c r="CL1267" s="115"/>
      <c r="CM1267" s="115"/>
      <c r="CN1267" s="115"/>
      <c r="CO1267" s="115"/>
      <c r="CP1267" s="115"/>
      <c r="CQ1267" s="115"/>
      <c r="CR1267" s="115"/>
      <c r="CS1267" s="115"/>
      <c r="CT1267" s="115"/>
      <c r="CU1267" s="115"/>
      <c r="CV1267" s="115"/>
      <c r="CW1267" s="115"/>
      <c r="CX1267" s="115"/>
      <c r="CY1267" s="115"/>
      <c r="CZ1267" s="115"/>
      <c r="DA1267" s="115"/>
      <c r="DB1267" s="115"/>
      <c r="DC1267" s="115"/>
      <c r="DD1267" s="115"/>
      <c r="DE1267" s="115"/>
      <c r="DF1267" s="115"/>
      <c r="DG1267" s="115"/>
    </row>
    <row r="1268" spans="1:111" ht="15" customHeight="1">
      <c r="B1268" s="483" t="str">
        <f>IF($Z$32&gt;=29,29,"")</f>
        <v/>
      </c>
      <c r="C1268" s="483"/>
      <c r="D1268" s="131"/>
      <c r="E1268" s="482" t="str">
        <f>IF($Z$32&gt;=29,$O$1162,"")</f>
        <v/>
      </c>
      <c r="F1268" s="482"/>
      <c r="G1268" s="482"/>
      <c r="H1268" s="482"/>
      <c r="I1268" s="482"/>
      <c r="J1268" s="482"/>
      <c r="K1268" s="482"/>
      <c r="L1268" s="482"/>
      <c r="M1268" s="482"/>
      <c r="N1268" s="482"/>
      <c r="O1268" s="482"/>
      <c r="P1268" s="482"/>
      <c r="Q1268" s="482"/>
      <c r="R1268" s="482"/>
      <c r="S1268" s="482"/>
      <c r="T1268" s="482"/>
      <c r="U1268" s="482"/>
      <c r="V1268" s="482"/>
      <c r="W1268" s="482"/>
      <c r="X1268" s="482"/>
      <c r="Y1268" s="482"/>
      <c r="Z1268" s="482"/>
      <c r="AA1268" s="482"/>
      <c r="AB1268" s="482"/>
      <c r="AC1268" s="482"/>
      <c r="AD1268" s="482"/>
      <c r="AE1268" s="482"/>
      <c r="AF1268" s="482"/>
      <c r="AG1268" s="482"/>
      <c r="AH1268" s="483" t="str">
        <f>IF($Z$32&gt;=29,$V$1186,"")</f>
        <v/>
      </c>
      <c r="AI1268" s="483"/>
      <c r="AJ1268" s="483"/>
      <c r="AK1268" s="483"/>
      <c r="AL1268" s="484" t="str">
        <f>IF($Z$32&gt;=29,$BB$1190,"")</f>
        <v/>
      </c>
      <c r="AM1268" s="484"/>
      <c r="AN1268" s="484"/>
      <c r="AO1268" s="484"/>
      <c r="AP1268" s="484"/>
      <c r="AQ1268" s="484"/>
      <c r="AR1268" s="484"/>
      <c r="AS1268" s="484"/>
      <c r="AT1268" s="485" t="str">
        <f t="shared" si="2"/>
        <v/>
      </c>
      <c r="AU1268" s="485"/>
      <c r="AV1268" s="485"/>
      <c r="AW1268" s="485"/>
      <c r="AX1268" s="485"/>
      <c r="AY1268" s="485"/>
      <c r="AZ1268" s="485"/>
      <c r="BA1268" s="48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c r="BY1268" s="115"/>
      <c r="BZ1268" s="115"/>
      <c r="CA1268" s="115"/>
      <c r="CB1268" s="115"/>
      <c r="CC1268" s="115"/>
      <c r="CD1268" s="115"/>
      <c r="CE1268" s="115"/>
      <c r="CF1268" s="115"/>
      <c r="CG1268" s="115"/>
      <c r="CH1268" s="115"/>
      <c r="CI1268" s="115"/>
      <c r="CJ1268" s="115"/>
      <c r="CK1268" s="115"/>
      <c r="CL1268" s="115"/>
      <c r="CM1268" s="115"/>
      <c r="CN1268" s="115"/>
      <c r="CO1268" s="115"/>
      <c r="CP1268" s="115"/>
      <c r="CQ1268" s="115"/>
      <c r="CR1268" s="115"/>
      <c r="CS1268" s="115"/>
      <c r="CT1268" s="115"/>
      <c r="CU1268" s="115"/>
      <c r="CV1268" s="115"/>
      <c r="CW1268" s="115"/>
      <c r="CX1268" s="115"/>
      <c r="CY1268" s="115"/>
      <c r="CZ1268" s="115"/>
      <c r="DA1268" s="115"/>
      <c r="DB1268" s="115"/>
      <c r="DC1268" s="115"/>
      <c r="DD1268" s="115"/>
      <c r="DE1268" s="115"/>
      <c r="DF1268" s="115"/>
      <c r="DG1268" s="115"/>
    </row>
    <row r="1269" spans="1:111" ht="15" customHeight="1">
      <c r="B1269" s="483" t="str">
        <f>IF($Z$32&gt;=30,30,"")</f>
        <v/>
      </c>
      <c r="C1269" s="483"/>
      <c r="D1269" s="131"/>
      <c r="E1269" s="482" t="str">
        <f>IF($Z$32&gt;=30,$O$1202,"")</f>
        <v/>
      </c>
      <c r="F1269" s="482"/>
      <c r="G1269" s="482"/>
      <c r="H1269" s="482"/>
      <c r="I1269" s="482"/>
      <c r="J1269" s="482"/>
      <c r="K1269" s="482"/>
      <c r="L1269" s="482"/>
      <c r="M1269" s="482"/>
      <c r="N1269" s="482"/>
      <c r="O1269" s="482"/>
      <c r="P1269" s="482"/>
      <c r="Q1269" s="482"/>
      <c r="R1269" s="482"/>
      <c r="S1269" s="482"/>
      <c r="T1269" s="482"/>
      <c r="U1269" s="482"/>
      <c r="V1269" s="482"/>
      <c r="W1269" s="482"/>
      <c r="X1269" s="482"/>
      <c r="Y1269" s="482"/>
      <c r="Z1269" s="482"/>
      <c r="AA1269" s="482"/>
      <c r="AB1269" s="482"/>
      <c r="AC1269" s="482"/>
      <c r="AD1269" s="482"/>
      <c r="AE1269" s="482"/>
      <c r="AF1269" s="482"/>
      <c r="AG1269" s="482"/>
      <c r="AH1269" s="483" t="str">
        <f>IF($Z$32&gt;=30,$V$1226,"")</f>
        <v/>
      </c>
      <c r="AI1269" s="483"/>
      <c r="AJ1269" s="483"/>
      <c r="AK1269" s="483"/>
      <c r="AL1269" s="484" t="str">
        <f>IF($Z$32&gt;=30,$BB$1230,"")</f>
        <v/>
      </c>
      <c r="AM1269" s="484"/>
      <c r="AN1269" s="484"/>
      <c r="AO1269" s="484"/>
      <c r="AP1269" s="484"/>
      <c r="AQ1269" s="484"/>
      <c r="AR1269" s="484"/>
      <c r="AS1269" s="484"/>
      <c r="AT1269" s="485" t="str">
        <f t="shared" si="2"/>
        <v/>
      </c>
      <c r="AU1269" s="485"/>
      <c r="AV1269" s="485"/>
      <c r="AW1269" s="485"/>
      <c r="AX1269" s="485"/>
      <c r="AY1269" s="485"/>
      <c r="AZ1269" s="485"/>
      <c r="BA1269" s="48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c r="BY1269" s="115"/>
      <c r="BZ1269" s="115"/>
      <c r="CA1269" s="115"/>
      <c r="CB1269" s="115"/>
      <c r="CC1269" s="115"/>
      <c r="CD1269" s="115"/>
      <c r="CE1269" s="115"/>
      <c r="CF1269" s="115"/>
      <c r="CG1269" s="115"/>
      <c r="CH1269" s="115"/>
      <c r="CI1269" s="115"/>
      <c r="CJ1269" s="115"/>
      <c r="CK1269" s="115"/>
      <c r="CL1269" s="115"/>
      <c r="CM1269" s="115"/>
      <c r="CN1269" s="115"/>
      <c r="CO1269" s="115"/>
      <c r="CP1269" s="115"/>
      <c r="CQ1269" s="115"/>
      <c r="CR1269" s="115"/>
      <c r="CS1269" s="115"/>
      <c r="CT1269" s="115"/>
      <c r="CU1269" s="115"/>
      <c r="CV1269" s="115"/>
      <c r="CW1269" s="115"/>
      <c r="CX1269" s="115"/>
      <c r="CY1269" s="115"/>
      <c r="CZ1269" s="115"/>
      <c r="DA1269" s="115"/>
      <c r="DB1269" s="115"/>
      <c r="DC1269" s="115"/>
      <c r="DD1269" s="115"/>
      <c r="DE1269" s="115"/>
      <c r="DF1269" s="115"/>
      <c r="DG1269" s="115"/>
    </row>
    <row r="1270" spans="1:111" ht="9" customHeight="1">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c r="BY1270" s="115"/>
      <c r="BZ1270" s="115"/>
      <c r="CA1270" s="115"/>
      <c r="CB1270" s="115"/>
      <c r="CC1270" s="115"/>
      <c r="CD1270" s="115"/>
      <c r="CE1270" s="115"/>
      <c r="CF1270" s="115"/>
      <c r="CG1270" s="115"/>
      <c r="CH1270" s="115"/>
      <c r="CI1270" s="115"/>
      <c r="CJ1270" s="115"/>
      <c r="CK1270" s="115"/>
      <c r="CL1270" s="115"/>
      <c r="CM1270" s="115"/>
      <c r="CN1270" s="115"/>
      <c r="CO1270" s="115"/>
      <c r="CP1270" s="115"/>
      <c r="CQ1270" s="115"/>
      <c r="CR1270" s="115"/>
      <c r="CS1270" s="115"/>
      <c r="CT1270" s="115"/>
      <c r="CU1270" s="115"/>
      <c r="CV1270" s="115"/>
      <c r="CW1270" s="115"/>
      <c r="CX1270" s="115"/>
      <c r="CY1270" s="115"/>
      <c r="CZ1270" s="115"/>
      <c r="DA1270" s="115"/>
      <c r="DB1270" s="115"/>
      <c r="DC1270" s="115"/>
      <c r="DD1270" s="115"/>
      <c r="DE1270" s="115"/>
      <c r="DF1270" s="115"/>
      <c r="DG1270" s="115"/>
    </row>
    <row r="1271" spans="1:111" ht="9" hidden="1" customHeight="1">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c r="BY1271" s="115"/>
      <c r="BZ1271" s="115"/>
      <c r="CA1271" s="115"/>
      <c r="CB1271" s="115"/>
      <c r="CC1271" s="115"/>
      <c r="CD1271" s="115"/>
      <c r="CE1271" s="115"/>
      <c r="CF1271" s="115"/>
      <c r="CG1271" s="115"/>
      <c r="CH1271" s="115"/>
      <c r="CI1271" s="115"/>
      <c r="CJ1271" s="115"/>
      <c r="CK1271" s="115"/>
      <c r="CL1271" s="115"/>
      <c r="CM1271" s="115"/>
      <c r="CN1271" s="115"/>
      <c r="CO1271" s="115"/>
      <c r="CP1271" s="115"/>
      <c r="CQ1271" s="115"/>
      <c r="CR1271" s="115"/>
      <c r="CS1271" s="115"/>
      <c r="CT1271" s="115"/>
      <c r="CU1271" s="115"/>
      <c r="CV1271" s="115"/>
      <c r="CW1271" s="115"/>
      <c r="CX1271" s="115"/>
      <c r="CY1271" s="115"/>
      <c r="CZ1271" s="115"/>
      <c r="DA1271" s="115"/>
      <c r="DB1271" s="115"/>
      <c r="DC1271" s="115"/>
      <c r="DD1271" s="115"/>
      <c r="DE1271" s="115"/>
      <c r="DF1271" s="115"/>
      <c r="DG1271" s="115"/>
    </row>
    <row r="1272" spans="1:111" ht="9" hidden="1" customHeight="1">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c r="BY1272" s="115"/>
      <c r="BZ1272" s="115"/>
      <c r="CA1272" s="115"/>
      <c r="CB1272" s="115"/>
      <c r="CC1272" s="115"/>
      <c r="CD1272" s="115"/>
      <c r="CE1272" s="115"/>
      <c r="CF1272" s="115"/>
      <c r="CG1272" s="115"/>
      <c r="CH1272" s="115"/>
      <c r="CI1272" s="115"/>
      <c r="CJ1272" s="115"/>
      <c r="CK1272" s="115"/>
      <c r="CL1272" s="115"/>
      <c r="CM1272" s="115"/>
      <c r="CN1272" s="115"/>
      <c r="CO1272" s="115"/>
      <c r="CP1272" s="115"/>
      <c r="CQ1272" s="115"/>
      <c r="CR1272" s="115"/>
      <c r="CS1272" s="115"/>
      <c r="CT1272" s="115"/>
      <c r="CU1272" s="115"/>
      <c r="CV1272" s="115"/>
      <c r="CW1272" s="115"/>
      <c r="CX1272" s="115"/>
      <c r="CY1272" s="115"/>
      <c r="CZ1272" s="115"/>
      <c r="DA1272" s="115"/>
      <c r="DB1272" s="115"/>
      <c r="DC1272" s="115"/>
      <c r="DD1272" s="115"/>
      <c r="DE1272" s="115"/>
      <c r="DF1272" s="115"/>
      <c r="DG1272" s="115"/>
    </row>
    <row r="1273" spans="1:111" ht="9" hidden="1" customHeight="1">
      <c r="I1273" s="510" t="s">
        <v>271</v>
      </c>
      <c r="J1273" s="510"/>
      <c r="K1273" s="510" t="s">
        <v>272</v>
      </c>
      <c r="L1273" s="510"/>
      <c r="M1273" s="510" t="s">
        <v>273</v>
      </c>
      <c r="N1273" s="510"/>
      <c r="O1273" s="510" t="s">
        <v>274</v>
      </c>
      <c r="P1273" s="510"/>
      <c r="Q1273" s="510" t="s">
        <v>275</v>
      </c>
      <c r="R1273" s="510"/>
      <c r="S1273" s="510" t="s">
        <v>327</v>
      </c>
      <c r="T1273" s="510"/>
      <c r="U1273" s="510" t="s">
        <v>276</v>
      </c>
      <c r="V1273" s="510"/>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c r="BY1273" s="115"/>
      <c r="BZ1273" s="115"/>
      <c r="CA1273" s="115"/>
      <c r="CB1273" s="115"/>
      <c r="CC1273" s="115"/>
      <c r="CD1273" s="115"/>
      <c r="CE1273" s="115"/>
      <c r="CF1273" s="115"/>
      <c r="CG1273" s="115"/>
      <c r="CH1273" s="115"/>
      <c r="CI1273" s="115"/>
      <c r="CJ1273" s="115"/>
      <c r="CK1273" s="115"/>
      <c r="CL1273" s="115"/>
      <c r="CM1273" s="115"/>
      <c r="CN1273" s="115"/>
      <c r="CO1273" s="115"/>
      <c r="CP1273" s="115"/>
      <c r="CQ1273" s="115"/>
      <c r="CR1273" s="115"/>
      <c r="CS1273" s="115"/>
      <c r="CT1273" s="115"/>
      <c r="CU1273" s="115"/>
      <c r="CV1273" s="115"/>
      <c r="CW1273" s="115"/>
      <c r="CX1273" s="115"/>
      <c r="CY1273" s="115"/>
      <c r="CZ1273" s="115"/>
      <c r="DA1273" s="115"/>
      <c r="DB1273" s="115"/>
      <c r="DC1273" s="115"/>
      <c r="DD1273" s="115"/>
      <c r="DE1273" s="115"/>
      <c r="DF1273" s="115"/>
      <c r="DG1273" s="115"/>
    </row>
    <row r="1274" spans="1:111" ht="9" hidden="1" customHeight="1">
      <c r="I1274" s="510"/>
      <c r="J1274" s="510"/>
      <c r="K1274" s="510"/>
      <c r="L1274" s="510"/>
      <c r="M1274" s="510"/>
      <c r="N1274" s="510"/>
      <c r="O1274" s="510"/>
      <c r="P1274" s="510"/>
      <c r="Q1274" s="510"/>
      <c r="R1274" s="510"/>
      <c r="S1274" s="510"/>
      <c r="T1274" s="510"/>
      <c r="U1274" s="510"/>
      <c r="V1274" s="510"/>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c r="BY1274" s="115"/>
      <c r="BZ1274" s="115"/>
      <c r="CA1274" s="115"/>
      <c r="CB1274" s="115"/>
      <c r="CC1274" s="115"/>
      <c r="CD1274" s="115"/>
      <c r="CE1274" s="115"/>
      <c r="CF1274" s="115"/>
      <c r="CG1274" s="115"/>
      <c r="CH1274" s="115"/>
      <c r="CI1274" s="115"/>
      <c r="CJ1274" s="115"/>
      <c r="CK1274" s="115"/>
      <c r="CL1274" s="115"/>
      <c r="CM1274" s="115"/>
      <c r="CN1274" s="115"/>
      <c r="CO1274" s="115"/>
      <c r="CP1274" s="115"/>
      <c r="CQ1274" s="115"/>
      <c r="CR1274" s="115"/>
      <c r="CS1274" s="115"/>
      <c r="CT1274" s="115"/>
      <c r="CU1274" s="115"/>
      <c r="CV1274" s="115"/>
      <c r="CW1274" s="115"/>
      <c r="CX1274" s="115"/>
      <c r="CY1274" s="115"/>
      <c r="CZ1274" s="115"/>
      <c r="DA1274" s="115"/>
      <c r="DB1274" s="115"/>
      <c r="DC1274" s="115"/>
      <c r="DD1274" s="115"/>
      <c r="DE1274" s="115"/>
      <c r="DF1274" s="115"/>
      <c r="DG1274" s="115"/>
    </row>
    <row r="1275" spans="1:111" s="180" customFormat="1" ht="15" hidden="1" customHeight="1">
      <c r="A1275" s="178"/>
      <c r="B1275" s="509">
        <v>1</v>
      </c>
      <c r="C1275" s="509"/>
      <c r="D1275" s="178"/>
      <c r="E1275" s="513" t="str">
        <f>$O$39</f>
        <v>40 | Serviços de Tecnologia da Informação e Comunicação – PJ</v>
      </c>
      <c r="F1275" s="514"/>
      <c r="G1275" s="515">
        <f t="shared" ref="G1275:G1304" si="3">AT1240</f>
        <v>1043255</v>
      </c>
      <c r="H1275" s="514"/>
      <c r="I1275" s="511" t="str">
        <f t="shared" ref="I1275:I1304" si="4">IF($E1275=I$1273,G1275,"")</f>
        <v/>
      </c>
      <c r="J1275" s="512"/>
      <c r="K1275" s="511" t="str">
        <f t="shared" ref="K1275:K1304" si="5">IF($E1275=K$1273,G1275,"")</f>
        <v/>
      </c>
      <c r="L1275" s="512"/>
      <c r="M1275" s="511" t="str">
        <f t="shared" ref="M1275:M1304" si="6">IF($E1275=M$1273,G1275,"")</f>
        <v/>
      </c>
      <c r="N1275" s="512"/>
      <c r="O1275" s="511" t="str">
        <f t="shared" ref="O1275:O1304" si="7">IF($E1275=O$1273,G1275,"")</f>
        <v/>
      </c>
      <c r="P1275" s="512"/>
      <c r="Q1275" s="511" t="str">
        <f t="shared" ref="Q1275:Q1304" si="8">IF($E1275=Q$1273,G1275,"")</f>
        <v/>
      </c>
      <c r="R1275" s="512"/>
      <c r="S1275" s="511">
        <f t="shared" ref="S1275:S1304" si="9">IF($E1275=S$1273,G1275,"")</f>
        <v>1043255</v>
      </c>
      <c r="T1275" s="512"/>
      <c r="U1275" s="511" t="str">
        <f t="shared" ref="U1275:U1304" si="10">IF($E1275=U$1273,G1275,"")</f>
        <v/>
      </c>
      <c r="V1275" s="512"/>
      <c r="W1275" s="178"/>
      <c r="X1275" s="178"/>
      <c r="Y1275" s="178"/>
      <c r="Z1275" s="178"/>
      <c r="AA1275" s="178"/>
      <c r="AB1275" s="178"/>
      <c r="AT1275" s="178"/>
      <c r="AU1275" s="178"/>
      <c r="AV1275" s="178"/>
      <c r="AW1275" s="178"/>
      <c r="AX1275" s="178"/>
      <c r="AY1275" s="178"/>
      <c r="AZ1275" s="178"/>
      <c r="BA1275" s="178"/>
      <c r="BB1275" s="178"/>
      <c r="BC1275" s="179"/>
      <c r="BD1275" s="179"/>
      <c r="BE1275" s="179"/>
      <c r="BF1275" s="179"/>
      <c r="BG1275" s="179"/>
      <c r="BH1275" s="179"/>
      <c r="BI1275" s="179"/>
      <c r="BJ1275" s="179"/>
      <c r="BK1275" s="179"/>
      <c r="BL1275" s="179"/>
      <c r="BM1275" s="179"/>
      <c r="BN1275" s="179"/>
      <c r="BO1275" s="179"/>
      <c r="BP1275" s="179"/>
      <c r="BQ1275" s="179"/>
      <c r="BR1275" s="179"/>
      <c r="BS1275" s="179"/>
      <c r="BT1275" s="179"/>
      <c r="BU1275" s="179"/>
      <c r="BV1275" s="179"/>
      <c r="BW1275" s="179"/>
      <c r="BX1275" s="179"/>
      <c r="BY1275" s="179"/>
      <c r="BZ1275" s="179"/>
      <c r="CA1275" s="179"/>
      <c r="CB1275" s="179"/>
      <c r="CC1275" s="179"/>
      <c r="CD1275" s="179"/>
      <c r="CE1275" s="179"/>
      <c r="CF1275" s="179"/>
      <c r="CG1275" s="179"/>
      <c r="CH1275" s="179"/>
      <c r="CI1275" s="179"/>
      <c r="CJ1275" s="179"/>
      <c r="CK1275" s="179"/>
      <c r="CL1275" s="179"/>
      <c r="CM1275" s="179"/>
      <c r="CN1275" s="179"/>
      <c r="CO1275" s="179"/>
      <c r="CP1275" s="179"/>
      <c r="CQ1275" s="179"/>
      <c r="CR1275" s="179"/>
      <c r="CS1275" s="179"/>
      <c r="CT1275" s="179"/>
      <c r="CU1275" s="179"/>
      <c r="CV1275" s="179"/>
      <c r="CW1275" s="179"/>
      <c r="CX1275" s="179"/>
      <c r="CY1275" s="179"/>
      <c r="CZ1275" s="179"/>
      <c r="DA1275" s="179"/>
      <c r="DB1275" s="179"/>
      <c r="DC1275" s="179"/>
      <c r="DD1275" s="179"/>
      <c r="DE1275" s="179"/>
      <c r="DF1275" s="179"/>
      <c r="DG1275" s="179"/>
    </row>
    <row r="1276" spans="1:111" s="180" customFormat="1" ht="15" hidden="1" customHeight="1">
      <c r="A1276" s="178"/>
      <c r="B1276" s="509">
        <v>2</v>
      </c>
      <c r="C1276" s="509"/>
      <c r="D1276" s="178"/>
      <c r="E1276" s="513" t="str">
        <f>$O$79</f>
        <v>40 | Serviços de Tecnologia da Informação e Comunicação – PJ</v>
      </c>
      <c r="F1276" s="514"/>
      <c r="G1276" s="516">
        <f t="shared" si="3"/>
        <v>518940.00000000006</v>
      </c>
      <c r="H1276" s="512"/>
      <c r="I1276" s="511" t="str">
        <f t="shared" si="4"/>
        <v/>
      </c>
      <c r="J1276" s="512"/>
      <c r="K1276" s="511" t="str">
        <f t="shared" si="5"/>
        <v/>
      </c>
      <c r="L1276" s="512"/>
      <c r="M1276" s="511" t="str">
        <f t="shared" si="6"/>
        <v/>
      </c>
      <c r="N1276" s="512"/>
      <c r="O1276" s="511" t="str">
        <f t="shared" si="7"/>
        <v/>
      </c>
      <c r="P1276" s="512"/>
      <c r="Q1276" s="511" t="str">
        <f t="shared" si="8"/>
        <v/>
      </c>
      <c r="R1276" s="512"/>
      <c r="S1276" s="511">
        <f t="shared" si="9"/>
        <v>518940.00000000006</v>
      </c>
      <c r="T1276" s="512"/>
      <c r="U1276" s="511" t="str">
        <f t="shared" si="10"/>
        <v/>
      </c>
      <c r="V1276" s="512"/>
      <c r="W1276" s="178"/>
      <c r="X1276" s="178"/>
      <c r="Y1276" s="178"/>
      <c r="Z1276" s="178"/>
      <c r="AA1276" s="178"/>
      <c r="AB1276" s="178"/>
      <c r="AT1276" s="178"/>
      <c r="AU1276" s="178"/>
      <c r="AV1276" s="178"/>
      <c r="AW1276" s="178"/>
      <c r="AX1276" s="178"/>
      <c r="AY1276" s="178"/>
      <c r="AZ1276" s="178"/>
      <c r="BA1276" s="178"/>
      <c r="BB1276" s="178"/>
      <c r="BC1276" s="179"/>
      <c r="BD1276" s="179"/>
      <c r="BE1276" s="179"/>
      <c r="BF1276" s="179"/>
      <c r="BG1276" s="179"/>
      <c r="BH1276" s="179"/>
      <c r="BI1276" s="179"/>
      <c r="BJ1276" s="179"/>
      <c r="BK1276" s="179"/>
      <c r="BL1276" s="179"/>
      <c r="BM1276" s="179"/>
      <c r="BN1276" s="179"/>
      <c r="BO1276" s="179"/>
      <c r="BP1276" s="179"/>
      <c r="BQ1276" s="179"/>
      <c r="BR1276" s="179"/>
      <c r="BS1276" s="179"/>
      <c r="BT1276" s="179"/>
      <c r="BU1276" s="179"/>
      <c r="BV1276" s="179"/>
      <c r="BW1276" s="179"/>
      <c r="BX1276" s="179"/>
      <c r="BY1276" s="179"/>
      <c r="BZ1276" s="179"/>
      <c r="CA1276" s="179"/>
      <c r="CB1276" s="179"/>
      <c r="CC1276" s="179"/>
      <c r="CD1276" s="179"/>
      <c r="CE1276" s="179"/>
      <c r="CF1276" s="179"/>
      <c r="CG1276" s="179"/>
      <c r="CH1276" s="179"/>
      <c r="CI1276" s="179"/>
      <c r="CJ1276" s="179"/>
      <c r="CK1276" s="179"/>
      <c r="CL1276" s="179"/>
      <c r="CM1276" s="179"/>
      <c r="CN1276" s="179"/>
      <c r="CO1276" s="179"/>
      <c r="CP1276" s="179"/>
      <c r="CQ1276" s="179"/>
      <c r="CR1276" s="179"/>
      <c r="CS1276" s="179"/>
      <c r="CT1276" s="179"/>
      <c r="CU1276" s="179"/>
      <c r="CV1276" s="179"/>
      <c r="CW1276" s="179"/>
      <c r="CX1276" s="179"/>
      <c r="CY1276" s="179"/>
      <c r="CZ1276" s="179"/>
      <c r="DA1276" s="179"/>
      <c r="DB1276" s="179"/>
      <c r="DC1276" s="179"/>
      <c r="DD1276" s="179"/>
      <c r="DE1276" s="179"/>
      <c r="DF1276" s="179"/>
      <c r="DG1276" s="179"/>
    </row>
    <row r="1277" spans="1:111" s="180" customFormat="1" ht="15" hidden="1" customHeight="1">
      <c r="A1277" s="178"/>
      <c r="B1277" s="509">
        <v>3</v>
      </c>
      <c r="C1277" s="509"/>
      <c r="D1277" s="178"/>
      <c r="E1277" s="513" t="str">
        <f>$O$119</f>
        <v>40 | Serviços de Tecnologia da Informação e Comunicação – PJ</v>
      </c>
      <c r="F1277" s="514"/>
      <c r="G1277" s="516">
        <f t="shared" si="3"/>
        <v>584027.52</v>
      </c>
      <c r="H1277" s="512"/>
      <c r="I1277" s="511" t="str">
        <f t="shared" si="4"/>
        <v/>
      </c>
      <c r="J1277" s="512"/>
      <c r="K1277" s="511" t="str">
        <f t="shared" si="5"/>
        <v/>
      </c>
      <c r="L1277" s="512"/>
      <c r="M1277" s="511" t="str">
        <f t="shared" si="6"/>
        <v/>
      </c>
      <c r="N1277" s="512"/>
      <c r="O1277" s="511" t="str">
        <f t="shared" si="7"/>
        <v/>
      </c>
      <c r="P1277" s="512"/>
      <c r="Q1277" s="511" t="str">
        <f t="shared" si="8"/>
        <v/>
      </c>
      <c r="R1277" s="512"/>
      <c r="S1277" s="511">
        <f t="shared" si="9"/>
        <v>584027.52</v>
      </c>
      <c r="T1277" s="512"/>
      <c r="U1277" s="511" t="str">
        <f t="shared" si="10"/>
        <v/>
      </c>
      <c r="V1277" s="512"/>
      <c r="W1277" s="178"/>
      <c r="X1277" s="178"/>
      <c r="Y1277" s="178"/>
      <c r="Z1277" s="178"/>
      <c r="AA1277" s="178"/>
      <c r="AB1277" s="178"/>
      <c r="AT1277" s="178"/>
      <c r="AU1277" s="178"/>
      <c r="AV1277" s="178"/>
      <c r="AW1277" s="178"/>
      <c r="AX1277" s="178"/>
      <c r="AY1277" s="178"/>
      <c r="AZ1277" s="178"/>
      <c r="BA1277" s="178"/>
      <c r="BB1277" s="178"/>
      <c r="BC1277" s="179"/>
      <c r="BD1277" s="179"/>
      <c r="BE1277" s="179"/>
      <c r="BF1277" s="179"/>
      <c r="BG1277" s="179"/>
      <c r="BH1277" s="179"/>
      <c r="BI1277" s="179"/>
      <c r="BJ1277" s="179"/>
      <c r="BK1277" s="179"/>
      <c r="BL1277" s="179"/>
      <c r="BM1277" s="179"/>
      <c r="BN1277" s="179"/>
      <c r="BO1277" s="179"/>
      <c r="BP1277" s="179"/>
      <c r="BQ1277" s="179"/>
      <c r="BR1277" s="179"/>
      <c r="BS1277" s="179"/>
      <c r="BT1277" s="179"/>
      <c r="BU1277" s="179"/>
      <c r="BV1277" s="179"/>
      <c r="BW1277" s="179"/>
      <c r="BX1277" s="179"/>
      <c r="BY1277" s="179"/>
      <c r="BZ1277" s="179"/>
      <c r="CA1277" s="179"/>
      <c r="CB1277" s="179"/>
      <c r="CC1277" s="179"/>
      <c r="CD1277" s="179"/>
      <c r="CE1277" s="179"/>
      <c r="CF1277" s="179"/>
      <c r="CG1277" s="179"/>
      <c r="CH1277" s="179"/>
      <c r="CI1277" s="179"/>
      <c r="CJ1277" s="179"/>
      <c r="CK1277" s="179"/>
      <c r="CL1277" s="179"/>
      <c r="CM1277" s="179"/>
      <c r="CN1277" s="179"/>
      <c r="CO1277" s="179"/>
      <c r="CP1277" s="179"/>
      <c r="CQ1277" s="179"/>
      <c r="CR1277" s="179"/>
      <c r="CS1277" s="179"/>
      <c r="CT1277" s="179"/>
      <c r="CU1277" s="179"/>
      <c r="CV1277" s="179"/>
      <c r="CW1277" s="179"/>
      <c r="CX1277" s="179"/>
      <c r="CY1277" s="179"/>
      <c r="CZ1277" s="179"/>
      <c r="DA1277" s="179"/>
      <c r="DB1277" s="179"/>
      <c r="DC1277" s="179"/>
      <c r="DD1277" s="179"/>
      <c r="DE1277" s="179"/>
      <c r="DF1277" s="179"/>
      <c r="DG1277" s="179"/>
    </row>
    <row r="1278" spans="1:111" s="180" customFormat="1" ht="15" hidden="1" customHeight="1">
      <c r="A1278" s="178"/>
      <c r="B1278" s="509">
        <v>4</v>
      </c>
      <c r="C1278" s="509"/>
      <c r="D1278" s="178"/>
      <c r="E1278" s="513" t="str">
        <f>$O$159</f>
        <v>39 | Outros Serviços de Terceiros - Pessoa Jurídica</v>
      </c>
      <c r="F1278" s="514"/>
      <c r="G1278" s="516">
        <f t="shared" si="3"/>
        <v>215924.5</v>
      </c>
      <c r="H1278" s="512"/>
      <c r="I1278" s="511" t="str">
        <f t="shared" si="4"/>
        <v/>
      </c>
      <c r="J1278" s="512"/>
      <c r="K1278" s="511" t="str">
        <f t="shared" si="5"/>
        <v/>
      </c>
      <c r="L1278" s="512"/>
      <c r="M1278" s="511" t="str">
        <f t="shared" si="6"/>
        <v/>
      </c>
      <c r="N1278" s="512"/>
      <c r="O1278" s="511" t="str">
        <f t="shared" si="7"/>
        <v/>
      </c>
      <c r="P1278" s="512"/>
      <c r="Q1278" s="511">
        <f t="shared" si="8"/>
        <v>215924.5</v>
      </c>
      <c r="R1278" s="512"/>
      <c r="S1278" s="511" t="str">
        <f t="shared" si="9"/>
        <v/>
      </c>
      <c r="T1278" s="512"/>
      <c r="U1278" s="511" t="str">
        <f t="shared" si="10"/>
        <v/>
      </c>
      <c r="V1278" s="512"/>
      <c r="W1278" s="178"/>
      <c r="X1278" s="178"/>
      <c r="Y1278" s="178"/>
      <c r="Z1278" s="178"/>
      <c r="AA1278" s="178"/>
      <c r="AB1278" s="178"/>
      <c r="AT1278" s="178"/>
      <c r="AU1278" s="178"/>
      <c r="AV1278" s="178"/>
      <c r="AW1278" s="178"/>
      <c r="AX1278" s="178"/>
      <c r="AY1278" s="178"/>
      <c r="AZ1278" s="178"/>
      <c r="BA1278" s="178"/>
      <c r="BB1278" s="178"/>
      <c r="BC1278" s="179"/>
      <c r="BD1278" s="179"/>
      <c r="BE1278" s="179"/>
      <c r="BF1278" s="179"/>
      <c r="BG1278" s="179"/>
      <c r="BH1278" s="179"/>
      <c r="BI1278" s="179"/>
      <c r="BJ1278" s="179"/>
      <c r="BK1278" s="179"/>
      <c r="BL1278" s="179"/>
      <c r="BM1278" s="179"/>
      <c r="BN1278" s="179"/>
      <c r="BO1278" s="179"/>
      <c r="BP1278" s="179"/>
      <c r="BQ1278" s="179"/>
      <c r="BR1278" s="179"/>
      <c r="BS1278" s="179"/>
      <c r="BT1278" s="179"/>
      <c r="BU1278" s="179"/>
      <c r="BV1278" s="179"/>
      <c r="BW1278" s="179"/>
      <c r="BX1278" s="179"/>
      <c r="BY1278" s="179"/>
      <c r="BZ1278" s="179"/>
      <c r="CA1278" s="179"/>
      <c r="CB1278" s="179"/>
      <c r="CC1278" s="179"/>
      <c r="CD1278" s="179"/>
      <c r="CE1278" s="179"/>
      <c r="CF1278" s="179"/>
      <c r="CG1278" s="179"/>
      <c r="CH1278" s="179"/>
      <c r="CI1278" s="179"/>
      <c r="CJ1278" s="179"/>
      <c r="CK1278" s="179"/>
      <c r="CL1278" s="179"/>
      <c r="CM1278" s="179"/>
      <c r="CN1278" s="179"/>
      <c r="CO1278" s="179"/>
      <c r="CP1278" s="179"/>
      <c r="CQ1278" s="179"/>
      <c r="CR1278" s="179"/>
      <c r="CS1278" s="179"/>
      <c r="CT1278" s="179"/>
      <c r="CU1278" s="179"/>
      <c r="CV1278" s="179"/>
      <c r="CW1278" s="179"/>
      <c r="CX1278" s="179"/>
      <c r="CY1278" s="179"/>
      <c r="CZ1278" s="179"/>
      <c r="DA1278" s="179"/>
      <c r="DB1278" s="179"/>
      <c r="DC1278" s="179"/>
      <c r="DD1278" s="179"/>
      <c r="DE1278" s="179"/>
      <c r="DF1278" s="179"/>
      <c r="DG1278" s="179"/>
    </row>
    <row r="1279" spans="1:111" s="180" customFormat="1" ht="15" hidden="1" customHeight="1">
      <c r="A1279" s="178"/>
      <c r="B1279" s="509">
        <v>5</v>
      </c>
      <c r="C1279" s="509"/>
      <c r="D1279" s="178"/>
      <c r="E1279" s="513" t="str">
        <f>$O$199</f>
        <v>40 | Serviços de Tecnologia da Informação e Comunicação – PJ</v>
      </c>
      <c r="F1279" s="514"/>
      <c r="G1279" s="516">
        <f t="shared" si="3"/>
        <v>22750</v>
      </c>
      <c r="H1279" s="512"/>
      <c r="I1279" s="511" t="str">
        <f t="shared" si="4"/>
        <v/>
      </c>
      <c r="J1279" s="512"/>
      <c r="K1279" s="511" t="str">
        <f t="shared" si="5"/>
        <v/>
      </c>
      <c r="L1279" s="512"/>
      <c r="M1279" s="511" t="str">
        <f t="shared" si="6"/>
        <v/>
      </c>
      <c r="N1279" s="512"/>
      <c r="O1279" s="511" t="str">
        <f t="shared" si="7"/>
        <v/>
      </c>
      <c r="P1279" s="512"/>
      <c r="Q1279" s="511" t="str">
        <f t="shared" si="8"/>
        <v/>
      </c>
      <c r="R1279" s="512"/>
      <c r="S1279" s="511">
        <f t="shared" si="9"/>
        <v>22750</v>
      </c>
      <c r="T1279" s="512"/>
      <c r="U1279" s="511" t="str">
        <f t="shared" si="10"/>
        <v/>
      </c>
      <c r="V1279" s="512"/>
      <c r="W1279" s="178"/>
      <c r="X1279" s="178"/>
      <c r="Y1279" s="178"/>
      <c r="Z1279" s="178"/>
      <c r="AA1279" s="178"/>
      <c r="AB1279" s="178"/>
      <c r="AT1279" s="178"/>
      <c r="AU1279" s="178"/>
      <c r="AV1279" s="178"/>
      <c r="AW1279" s="178"/>
      <c r="AX1279" s="178"/>
      <c r="AY1279" s="178"/>
      <c r="AZ1279" s="178"/>
      <c r="BA1279" s="178"/>
      <c r="BB1279" s="178"/>
      <c r="BC1279" s="179"/>
      <c r="BD1279" s="179"/>
      <c r="BE1279" s="179"/>
      <c r="BF1279" s="179"/>
      <c r="BG1279" s="179"/>
      <c r="BH1279" s="179"/>
      <c r="BI1279" s="179"/>
      <c r="BJ1279" s="179"/>
      <c r="BK1279" s="179"/>
      <c r="BL1279" s="179"/>
      <c r="BM1279" s="179"/>
      <c r="BN1279" s="179"/>
      <c r="BO1279" s="179"/>
      <c r="BP1279" s="179"/>
      <c r="BQ1279" s="179"/>
      <c r="BR1279" s="179"/>
      <c r="BS1279" s="179"/>
      <c r="BT1279" s="179"/>
      <c r="BU1279" s="179"/>
      <c r="BV1279" s="179"/>
      <c r="BW1279" s="179"/>
      <c r="BX1279" s="179"/>
      <c r="BY1279" s="179"/>
      <c r="BZ1279" s="179"/>
      <c r="CA1279" s="179"/>
      <c r="CB1279" s="179"/>
      <c r="CC1279" s="179"/>
      <c r="CD1279" s="179"/>
      <c r="CE1279" s="179"/>
      <c r="CF1279" s="179"/>
      <c r="CG1279" s="179"/>
      <c r="CH1279" s="179"/>
      <c r="CI1279" s="179"/>
      <c r="CJ1279" s="179"/>
      <c r="CK1279" s="179"/>
      <c r="CL1279" s="179"/>
      <c r="CM1279" s="179"/>
      <c r="CN1279" s="179"/>
      <c r="CO1279" s="179"/>
      <c r="CP1279" s="179"/>
      <c r="CQ1279" s="179"/>
      <c r="CR1279" s="179"/>
      <c r="CS1279" s="179"/>
      <c r="CT1279" s="179"/>
      <c r="CU1279" s="179"/>
      <c r="CV1279" s="179"/>
      <c r="CW1279" s="179"/>
      <c r="CX1279" s="179"/>
      <c r="CY1279" s="179"/>
      <c r="CZ1279" s="179"/>
      <c r="DA1279" s="179"/>
      <c r="DB1279" s="179"/>
      <c r="DC1279" s="179"/>
      <c r="DD1279" s="179"/>
      <c r="DE1279" s="179"/>
      <c r="DF1279" s="179"/>
      <c r="DG1279" s="179"/>
    </row>
    <row r="1280" spans="1:111" s="180" customFormat="1" ht="15" hidden="1" customHeight="1">
      <c r="A1280" s="178"/>
      <c r="B1280" s="509">
        <v>6</v>
      </c>
      <c r="C1280" s="509"/>
      <c r="D1280" s="178"/>
      <c r="E1280" s="513" t="str">
        <f>$O$239</f>
        <v>52 | Equipamentos e Material Permanente</v>
      </c>
      <c r="F1280" s="514"/>
      <c r="G1280" s="516">
        <f t="shared" si="3"/>
        <v>75500</v>
      </c>
      <c r="H1280" s="512"/>
      <c r="I1280" s="511" t="str">
        <f t="shared" si="4"/>
        <v/>
      </c>
      <c r="J1280" s="512"/>
      <c r="K1280" s="511" t="str">
        <f t="shared" si="5"/>
        <v/>
      </c>
      <c r="L1280" s="512"/>
      <c r="M1280" s="511" t="str">
        <f t="shared" si="6"/>
        <v/>
      </c>
      <c r="N1280" s="512"/>
      <c r="O1280" s="511" t="str">
        <f t="shared" si="7"/>
        <v/>
      </c>
      <c r="P1280" s="512"/>
      <c r="Q1280" s="511" t="str">
        <f t="shared" si="8"/>
        <v/>
      </c>
      <c r="R1280" s="512"/>
      <c r="S1280" s="511" t="str">
        <f t="shared" si="9"/>
        <v/>
      </c>
      <c r="T1280" s="512"/>
      <c r="U1280" s="511">
        <f t="shared" si="10"/>
        <v>75500</v>
      </c>
      <c r="V1280" s="512"/>
      <c r="W1280" s="178"/>
      <c r="X1280" s="178"/>
      <c r="Y1280" s="178"/>
      <c r="Z1280" s="178"/>
      <c r="AA1280" s="178"/>
      <c r="AB1280" s="178"/>
      <c r="AT1280" s="178"/>
      <c r="AU1280" s="178"/>
      <c r="AV1280" s="178"/>
      <c r="AW1280" s="178"/>
      <c r="AX1280" s="178"/>
      <c r="AY1280" s="178"/>
      <c r="AZ1280" s="178"/>
      <c r="BA1280" s="178"/>
      <c r="BB1280" s="178"/>
      <c r="BC1280" s="179"/>
      <c r="BD1280" s="179"/>
      <c r="BE1280" s="179"/>
      <c r="BF1280" s="179"/>
      <c r="BG1280" s="179"/>
      <c r="BH1280" s="179"/>
      <c r="BI1280" s="179"/>
      <c r="BJ1280" s="179"/>
      <c r="BK1280" s="179"/>
      <c r="BL1280" s="179"/>
      <c r="BM1280" s="179"/>
      <c r="BN1280" s="179"/>
      <c r="BO1280" s="179"/>
      <c r="BP1280" s="179"/>
      <c r="BQ1280" s="179"/>
      <c r="BR1280" s="179"/>
      <c r="BS1280" s="179"/>
      <c r="BT1280" s="179"/>
      <c r="BU1280" s="179"/>
      <c r="BV1280" s="179"/>
      <c r="BW1280" s="179"/>
      <c r="BX1280" s="179"/>
      <c r="BY1280" s="179"/>
      <c r="BZ1280" s="179"/>
      <c r="CA1280" s="179"/>
      <c r="CB1280" s="179"/>
      <c r="CC1280" s="179"/>
      <c r="CD1280" s="179"/>
      <c r="CE1280" s="179"/>
      <c r="CF1280" s="179"/>
      <c r="CG1280" s="179"/>
      <c r="CH1280" s="179"/>
      <c r="CI1280" s="179"/>
      <c r="CJ1280" s="179"/>
      <c r="CK1280" s="179"/>
      <c r="CL1280" s="179"/>
      <c r="CM1280" s="179"/>
      <c r="CN1280" s="179"/>
      <c r="CO1280" s="179"/>
      <c r="CP1280" s="179"/>
      <c r="CQ1280" s="179"/>
      <c r="CR1280" s="179"/>
      <c r="CS1280" s="179"/>
      <c r="CT1280" s="179"/>
      <c r="CU1280" s="179"/>
      <c r="CV1280" s="179"/>
      <c r="CW1280" s="179"/>
      <c r="CX1280" s="179"/>
      <c r="CY1280" s="179"/>
      <c r="CZ1280" s="179"/>
      <c r="DA1280" s="179"/>
      <c r="DB1280" s="179"/>
      <c r="DC1280" s="179"/>
      <c r="DD1280" s="179"/>
      <c r="DE1280" s="179"/>
      <c r="DF1280" s="179"/>
      <c r="DG1280" s="179"/>
    </row>
    <row r="1281" spans="1:111" s="180" customFormat="1" ht="15" hidden="1" customHeight="1">
      <c r="A1281" s="178"/>
      <c r="B1281" s="509">
        <v>7</v>
      </c>
      <c r="C1281" s="509"/>
      <c r="D1281" s="178"/>
      <c r="E1281" s="513" t="str">
        <f>$O$279</f>
        <v>52 | Equipamentos e Material Permanente</v>
      </c>
      <c r="F1281" s="514"/>
      <c r="G1281" s="516">
        <f t="shared" si="3"/>
        <v>1969.89</v>
      </c>
      <c r="H1281" s="512"/>
      <c r="I1281" s="511" t="str">
        <f t="shared" si="4"/>
        <v/>
      </c>
      <c r="J1281" s="512"/>
      <c r="K1281" s="511" t="str">
        <f t="shared" si="5"/>
        <v/>
      </c>
      <c r="L1281" s="512"/>
      <c r="M1281" s="511" t="str">
        <f t="shared" si="6"/>
        <v/>
      </c>
      <c r="N1281" s="512"/>
      <c r="O1281" s="511" t="str">
        <f t="shared" si="7"/>
        <v/>
      </c>
      <c r="P1281" s="512"/>
      <c r="Q1281" s="511" t="str">
        <f t="shared" si="8"/>
        <v/>
      </c>
      <c r="R1281" s="512"/>
      <c r="S1281" s="511" t="str">
        <f t="shared" si="9"/>
        <v/>
      </c>
      <c r="T1281" s="512"/>
      <c r="U1281" s="511">
        <f t="shared" si="10"/>
        <v>1969.89</v>
      </c>
      <c r="V1281" s="512"/>
      <c r="W1281" s="178"/>
      <c r="X1281" s="178"/>
      <c r="Y1281" s="178"/>
      <c r="Z1281" s="178"/>
      <c r="AA1281" s="178"/>
      <c r="AB1281" s="178"/>
      <c r="AT1281" s="178"/>
      <c r="AU1281" s="178"/>
      <c r="AV1281" s="178"/>
      <c r="AW1281" s="178"/>
      <c r="AX1281" s="178"/>
      <c r="AY1281" s="178"/>
      <c r="AZ1281" s="178"/>
      <c r="BA1281" s="178"/>
      <c r="BB1281" s="178"/>
      <c r="BC1281" s="179"/>
      <c r="BD1281" s="179"/>
      <c r="BE1281" s="179"/>
      <c r="BF1281" s="179"/>
      <c r="BG1281" s="179"/>
      <c r="BH1281" s="179"/>
      <c r="BI1281" s="179"/>
      <c r="BJ1281" s="179"/>
      <c r="BK1281" s="179"/>
      <c r="BL1281" s="179"/>
      <c r="BM1281" s="179"/>
      <c r="BN1281" s="179"/>
      <c r="BO1281" s="179"/>
      <c r="BP1281" s="179"/>
      <c r="BQ1281" s="179"/>
      <c r="BR1281" s="179"/>
      <c r="BS1281" s="179"/>
      <c r="BT1281" s="179"/>
      <c r="BU1281" s="179"/>
      <c r="BV1281" s="179"/>
      <c r="BW1281" s="179"/>
      <c r="BX1281" s="179"/>
      <c r="BY1281" s="179"/>
      <c r="BZ1281" s="179"/>
      <c r="CA1281" s="179"/>
      <c r="CB1281" s="179"/>
      <c r="CC1281" s="179"/>
      <c r="CD1281" s="179"/>
      <c r="CE1281" s="179"/>
      <c r="CF1281" s="179"/>
      <c r="CG1281" s="179"/>
      <c r="CH1281" s="179"/>
      <c r="CI1281" s="179"/>
      <c r="CJ1281" s="179"/>
      <c r="CK1281" s="179"/>
      <c r="CL1281" s="179"/>
      <c r="CM1281" s="179"/>
      <c r="CN1281" s="179"/>
      <c r="CO1281" s="179"/>
      <c r="CP1281" s="179"/>
      <c r="CQ1281" s="179"/>
      <c r="CR1281" s="179"/>
      <c r="CS1281" s="179"/>
      <c r="CT1281" s="179"/>
      <c r="CU1281" s="179"/>
      <c r="CV1281" s="179"/>
      <c r="CW1281" s="179"/>
      <c r="CX1281" s="179"/>
      <c r="CY1281" s="179"/>
      <c r="CZ1281" s="179"/>
      <c r="DA1281" s="179"/>
      <c r="DB1281" s="179"/>
      <c r="DC1281" s="179"/>
      <c r="DD1281" s="179"/>
      <c r="DE1281" s="179"/>
      <c r="DF1281" s="179"/>
      <c r="DG1281" s="179"/>
    </row>
    <row r="1282" spans="1:111" s="180" customFormat="1" ht="15" hidden="1" customHeight="1">
      <c r="A1282" s="178"/>
      <c r="B1282" s="509">
        <v>8</v>
      </c>
      <c r="C1282" s="509"/>
      <c r="D1282" s="178"/>
      <c r="E1282" s="513" t="str">
        <f>$O$319</f>
        <v>52 | Equipamentos e Material Permanente</v>
      </c>
      <c r="F1282" s="514"/>
      <c r="G1282" s="516">
        <f t="shared" si="3"/>
        <v>3411.6800000000003</v>
      </c>
      <c r="H1282" s="512"/>
      <c r="I1282" s="511" t="str">
        <f t="shared" si="4"/>
        <v/>
      </c>
      <c r="J1282" s="512"/>
      <c r="K1282" s="511" t="str">
        <f t="shared" si="5"/>
        <v/>
      </c>
      <c r="L1282" s="512"/>
      <c r="M1282" s="511" t="str">
        <f t="shared" si="6"/>
        <v/>
      </c>
      <c r="N1282" s="512"/>
      <c r="O1282" s="511" t="str">
        <f t="shared" si="7"/>
        <v/>
      </c>
      <c r="P1282" s="512"/>
      <c r="Q1282" s="511" t="str">
        <f t="shared" si="8"/>
        <v/>
      </c>
      <c r="R1282" s="512"/>
      <c r="S1282" s="511" t="str">
        <f t="shared" si="9"/>
        <v/>
      </c>
      <c r="T1282" s="512"/>
      <c r="U1282" s="511">
        <f t="shared" si="10"/>
        <v>3411.6800000000003</v>
      </c>
      <c r="V1282" s="512"/>
      <c r="W1282" s="178"/>
      <c r="X1282" s="178"/>
      <c r="Y1282" s="178"/>
      <c r="Z1282" s="178"/>
      <c r="AA1282" s="178"/>
      <c r="AB1282" s="178"/>
      <c r="AT1282" s="178"/>
      <c r="AU1282" s="178"/>
      <c r="AV1282" s="178"/>
      <c r="AW1282" s="178"/>
      <c r="AX1282" s="178"/>
      <c r="AY1282" s="178"/>
      <c r="AZ1282" s="178"/>
      <c r="BA1282" s="178"/>
      <c r="BB1282" s="178"/>
      <c r="BC1282" s="179"/>
      <c r="BD1282" s="179"/>
      <c r="BE1282" s="179"/>
      <c r="BF1282" s="179"/>
      <c r="BG1282" s="179"/>
      <c r="BH1282" s="179"/>
      <c r="BI1282" s="179"/>
      <c r="BJ1282" s="179"/>
      <c r="BK1282" s="179"/>
      <c r="BL1282" s="179"/>
      <c r="BM1282" s="179"/>
      <c r="BN1282" s="179"/>
      <c r="BO1282" s="179"/>
      <c r="BP1282" s="179"/>
      <c r="BQ1282" s="179"/>
      <c r="BR1282" s="179"/>
      <c r="BS1282" s="179"/>
      <c r="BT1282" s="179"/>
      <c r="BU1282" s="179"/>
      <c r="BV1282" s="179"/>
      <c r="BW1282" s="179"/>
      <c r="BX1282" s="179"/>
      <c r="BY1282" s="179"/>
      <c r="BZ1282" s="179"/>
      <c r="CA1282" s="179"/>
      <c r="CB1282" s="179"/>
      <c r="CC1282" s="179"/>
      <c r="CD1282" s="179"/>
      <c r="CE1282" s="179"/>
      <c r="CF1282" s="179"/>
      <c r="CG1282" s="179"/>
      <c r="CH1282" s="179"/>
      <c r="CI1282" s="179"/>
      <c r="CJ1282" s="179"/>
      <c r="CK1282" s="179"/>
      <c r="CL1282" s="179"/>
      <c r="CM1282" s="179"/>
      <c r="CN1282" s="179"/>
      <c r="CO1282" s="179"/>
      <c r="CP1282" s="179"/>
      <c r="CQ1282" s="179"/>
      <c r="CR1282" s="179"/>
      <c r="CS1282" s="179"/>
      <c r="CT1282" s="179"/>
      <c r="CU1282" s="179"/>
      <c r="CV1282" s="179"/>
      <c r="CW1282" s="179"/>
      <c r="CX1282" s="179"/>
      <c r="CY1282" s="179"/>
      <c r="CZ1282" s="179"/>
      <c r="DA1282" s="179"/>
      <c r="DB1282" s="179"/>
      <c r="DC1282" s="179"/>
      <c r="DD1282" s="179"/>
      <c r="DE1282" s="179"/>
      <c r="DF1282" s="179"/>
      <c r="DG1282" s="179"/>
    </row>
    <row r="1283" spans="1:111" s="180" customFormat="1" ht="15" hidden="1" customHeight="1">
      <c r="A1283" s="178"/>
      <c r="B1283" s="509">
        <v>9</v>
      </c>
      <c r="C1283" s="509"/>
      <c r="D1283" s="178"/>
      <c r="E1283" s="513" t="str">
        <f>$O$359</f>
        <v>52 | Equipamentos e Material Permanente</v>
      </c>
      <c r="F1283" s="514"/>
      <c r="G1283" s="516">
        <f t="shared" si="3"/>
        <v>25842.383333333331</v>
      </c>
      <c r="H1283" s="512"/>
      <c r="I1283" s="511" t="str">
        <f t="shared" si="4"/>
        <v/>
      </c>
      <c r="J1283" s="512"/>
      <c r="K1283" s="511" t="str">
        <f t="shared" si="5"/>
        <v/>
      </c>
      <c r="L1283" s="512"/>
      <c r="M1283" s="511" t="str">
        <f t="shared" si="6"/>
        <v/>
      </c>
      <c r="N1283" s="512"/>
      <c r="O1283" s="511" t="str">
        <f t="shared" si="7"/>
        <v/>
      </c>
      <c r="P1283" s="512"/>
      <c r="Q1283" s="511" t="str">
        <f t="shared" si="8"/>
        <v/>
      </c>
      <c r="R1283" s="512"/>
      <c r="S1283" s="511" t="str">
        <f t="shared" si="9"/>
        <v/>
      </c>
      <c r="T1283" s="512"/>
      <c r="U1283" s="511">
        <f t="shared" si="10"/>
        <v>25842.383333333331</v>
      </c>
      <c r="V1283" s="512"/>
      <c r="W1283" s="178"/>
      <c r="X1283" s="178"/>
      <c r="Y1283" s="178"/>
      <c r="Z1283" s="178"/>
      <c r="AA1283" s="178"/>
      <c r="AB1283" s="178"/>
      <c r="AT1283" s="178"/>
      <c r="AU1283" s="178"/>
      <c r="AV1283" s="178"/>
      <c r="AW1283" s="178"/>
      <c r="AX1283" s="178"/>
      <c r="AY1283" s="178"/>
      <c r="AZ1283" s="178"/>
      <c r="BA1283" s="178"/>
      <c r="BB1283" s="178"/>
      <c r="BC1283" s="179"/>
      <c r="BD1283" s="179"/>
      <c r="BE1283" s="179"/>
      <c r="BF1283" s="179"/>
      <c r="BG1283" s="179"/>
      <c r="BH1283" s="179"/>
      <c r="BI1283" s="179"/>
      <c r="BJ1283" s="179"/>
      <c r="BK1283" s="179"/>
      <c r="BL1283" s="179"/>
      <c r="BM1283" s="179"/>
      <c r="BN1283" s="179"/>
      <c r="BO1283" s="179"/>
      <c r="BP1283" s="179"/>
      <c r="BQ1283" s="179"/>
      <c r="BR1283" s="179"/>
      <c r="BS1283" s="179"/>
      <c r="BT1283" s="179"/>
      <c r="BU1283" s="179"/>
      <c r="BV1283" s="179"/>
      <c r="BW1283" s="179"/>
      <c r="BX1283" s="179"/>
      <c r="BY1283" s="179"/>
      <c r="BZ1283" s="179"/>
      <c r="CA1283" s="179"/>
      <c r="CB1283" s="179"/>
      <c r="CC1283" s="179"/>
      <c r="CD1283" s="179"/>
      <c r="CE1283" s="179"/>
      <c r="CF1283" s="179"/>
      <c r="CG1283" s="179"/>
      <c r="CH1283" s="179"/>
      <c r="CI1283" s="179"/>
      <c r="CJ1283" s="179"/>
      <c r="CK1283" s="179"/>
      <c r="CL1283" s="179"/>
      <c r="CM1283" s="179"/>
      <c r="CN1283" s="179"/>
      <c r="CO1283" s="179"/>
      <c r="CP1283" s="179"/>
      <c r="CQ1283" s="179"/>
      <c r="CR1283" s="179"/>
      <c r="CS1283" s="179"/>
      <c r="CT1283" s="179"/>
      <c r="CU1283" s="179"/>
      <c r="CV1283" s="179"/>
      <c r="CW1283" s="179"/>
      <c r="CX1283" s="179"/>
      <c r="CY1283" s="179"/>
      <c r="CZ1283" s="179"/>
      <c r="DA1283" s="179"/>
      <c r="DB1283" s="179"/>
      <c r="DC1283" s="179"/>
      <c r="DD1283" s="179"/>
      <c r="DE1283" s="179"/>
      <c r="DF1283" s="179"/>
      <c r="DG1283" s="179"/>
    </row>
    <row r="1284" spans="1:111" s="180" customFormat="1" ht="15" hidden="1" customHeight="1">
      <c r="A1284" s="178"/>
      <c r="B1284" s="509">
        <v>10</v>
      </c>
      <c r="C1284" s="509"/>
      <c r="D1284" s="178"/>
      <c r="E1284" s="513" t="str">
        <f>$O$399</f>
        <v>52 | Equipamentos e Material Permanente</v>
      </c>
      <c r="F1284" s="514"/>
      <c r="G1284" s="516">
        <f t="shared" si="3"/>
        <v>6297.4066666666668</v>
      </c>
      <c r="H1284" s="512"/>
      <c r="I1284" s="511" t="str">
        <f t="shared" si="4"/>
        <v/>
      </c>
      <c r="J1284" s="512"/>
      <c r="K1284" s="511" t="str">
        <f t="shared" si="5"/>
        <v/>
      </c>
      <c r="L1284" s="512"/>
      <c r="M1284" s="511" t="str">
        <f t="shared" si="6"/>
        <v/>
      </c>
      <c r="N1284" s="512"/>
      <c r="O1284" s="511" t="str">
        <f t="shared" si="7"/>
        <v/>
      </c>
      <c r="P1284" s="512"/>
      <c r="Q1284" s="511" t="str">
        <f t="shared" si="8"/>
        <v/>
      </c>
      <c r="R1284" s="512"/>
      <c r="S1284" s="511" t="str">
        <f t="shared" si="9"/>
        <v/>
      </c>
      <c r="T1284" s="512"/>
      <c r="U1284" s="511">
        <f t="shared" si="10"/>
        <v>6297.4066666666668</v>
      </c>
      <c r="V1284" s="512"/>
      <c r="W1284" s="178"/>
      <c r="X1284" s="178"/>
      <c r="Y1284" s="178"/>
      <c r="Z1284" s="178"/>
      <c r="AA1284" s="178"/>
      <c r="AB1284" s="178"/>
      <c r="AT1284" s="178"/>
      <c r="AU1284" s="178"/>
      <c r="AV1284" s="178"/>
      <c r="AW1284" s="178"/>
      <c r="AX1284" s="178"/>
      <c r="AY1284" s="178"/>
      <c r="AZ1284" s="178"/>
      <c r="BA1284" s="178"/>
      <c r="BB1284" s="178"/>
      <c r="BC1284" s="179"/>
      <c r="BD1284" s="179"/>
      <c r="BE1284" s="179"/>
      <c r="BF1284" s="179"/>
      <c r="BG1284" s="179"/>
      <c r="BH1284" s="179"/>
      <c r="BI1284" s="179"/>
      <c r="BJ1284" s="179"/>
      <c r="BK1284" s="179"/>
      <c r="BL1284" s="179"/>
      <c r="BM1284" s="179"/>
      <c r="BN1284" s="179"/>
      <c r="BO1284" s="179"/>
      <c r="BP1284" s="179"/>
      <c r="BQ1284" s="179"/>
      <c r="BR1284" s="179"/>
      <c r="BS1284" s="179"/>
      <c r="BT1284" s="179"/>
      <c r="BU1284" s="179"/>
      <c r="BV1284" s="179"/>
      <c r="BW1284" s="179"/>
      <c r="BX1284" s="179"/>
      <c r="BY1284" s="179"/>
      <c r="BZ1284" s="179"/>
      <c r="CA1284" s="179"/>
      <c r="CB1284" s="179"/>
      <c r="CC1284" s="179"/>
      <c r="CD1284" s="179"/>
      <c r="CE1284" s="179"/>
      <c r="CF1284" s="179"/>
      <c r="CG1284" s="179"/>
      <c r="CH1284" s="179"/>
      <c r="CI1284" s="179"/>
      <c r="CJ1284" s="179"/>
      <c r="CK1284" s="179"/>
      <c r="CL1284" s="179"/>
      <c r="CM1284" s="179"/>
      <c r="CN1284" s="179"/>
      <c r="CO1284" s="179"/>
      <c r="CP1284" s="179"/>
      <c r="CQ1284" s="179"/>
      <c r="CR1284" s="179"/>
      <c r="CS1284" s="179"/>
      <c r="CT1284" s="179"/>
      <c r="CU1284" s="179"/>
      <c r="CV1284" s="179"/>
      <c r="CW1284" s="179"/>
      <c r="CX1284" s="179"/>
      <c r="CY1284" s="179"/>
      <c r="CZ1284" s="179"/>
      <c r="DA1284" s="179"/>
      <c r="DB1284" s="179"/>
      <c r="DC1284" s="179"/>
      <c r="DD1284" s="179"/>
      <c r="DE1284" s="179"/>
      <c r="DF1284" s="179"/>
      <c r="DG1284" s="179"/>
    </row>
    <row r="1285" spans="1:111" s="180" customFormat="1" ht="15" hidden="1" customHeight="1">
      <c r="A1285" s="178"/>
      <c r="B1285" s="509">
        <v>11</v>
      </c>
      <c r="C1285" s="509"/>
      <c r="D1285" s="178"/>
      <c r="E1285" s="513" t="str">
        <f>$O$439</f>
        <v>52 | Equipamentos e Material Permanente</v>
      </c>
      <c r="F1285" s="514"/>
      <c r="G1285" s="516">
        <f t="shared" si="3"/>
        <v>16791.403333333332</v>
      </c>
      <c r="H1285" s="512"/>
      <c r="I1285" s="511" t="str">
        <f t="shared" si="4"/>
        <v/>
      </c>
      <c r="J1285" s="512"/>
      <c r="K1285" s="511" t="str">
        <f t="shared" si="5"/>
        <v/>
      </c>
      <c r="L1285" s="512"/>
      <c r="M1285" s="511" t="str">
        <f t="shared" si="6"/>
        <v/>
      </c>
      <c r="N1285" s="512"/>
      <c r="O1285" s="511" t="str">
        <f t="shared" si="7"/>
        <v/>
      </c>
      <c r="P1285" s="512"/>
      <c r="Q1285" s="511" t="str">
        <f t="shared" si="8"/>
        <v/>
      </c>
      <c r="R1285" s="512"/>
      <c r="S1285" s="511" t="str">
        <f t="shared" si="9"/>
        <v/>
      </c>
      <c r="T1285" s="512"/>
      <c r="U1285" s="511">
        <f t="shared" si="10"/>
        <v>16791.403333333332</v>
      </c>
      <c r="V1285" s="512"/>
      <c r="W1285" s="178"/>
      <c r="X1285" s="178"/>
      <c r="Y1285" s="178"/>
      <c r="Z1285" s="178"/>
      <c r="AA1285" s="178"/>
      <c r="AB1285" s="178"/>
      <c r="AT1285" s="178"/>
      <c r="AU1285" s="178"/>
      <c r="AV1285" s="178"/>
      <c r="AW1285" s="178"/>
      <c r="AX1285" s="178"/>
      <c r="AY1285" s="178"/>
      <c r="AZ1285" s="178"/>
      <c r="BA1285" s="178"/>
      <c r="BB1285" s="178"/>
      <c r="BC1285" s="179"/>
      <c r="BD1285" s="179"/>
      <c r="BE1285" s="179"/>
      <c r="BF1285" s="179"/>
      <c r="BG1285" s="179"/>
      <c r="BH1285" s="179"/>
      <c r="BI1285" s="179"/>
      <c r="BJ1285" s="179"/>
      <c r="BK1285" s="179"/>
      <c r="BL1285" s="179"/>
      <c r="BM1285" s="179"/>
      <c r="BN1285" s="179"/>
      <c r="BO1285" s="179"/>
      <c r="BP1285" s="179"/>
      <c r="BQ1285" s="179"/>
      <c r="BR1285" s="179"/>
      <c r="BS1285" s="179"/>
      <c r="BT1285" s="179"/>
      <c r="BU1285" s="179"/>
      <c r="BV1285" s="179"/>
      <c r="BW1285" s="179"/>
      <c r="BX1285" s="179"/>
      <c r="BY1285" s="179"/>
      <c r="BZ1285" s="179"/>
      <c r="CA1285" s="179"/>
      <c r="CB1285" s="179"/>
      <c r="CC1285" s="179"/>
      <c r="CD1285" s="179"/>
      <c r="CE1285" s="179"/>
      <c r="CF1285" s="179"/>
      <c r="CG1285" s="179"/>
      <c r="CH1285" s="179"/>
      <c r="CI1285" s="179"/>
      <c r="CJ1285" s="179"/>
      <c r="CK1285" s="179"/>
      <c r="CL1285" s="179"/>
      <c r="CM1285" s="179"/>
      <c r="CN1285" s="179"/>
      <c r="CO1285" s="179"/>
      <c r="CP1285" s="179"/>
      <c r="CQ1285" s="179"/>
      <c r="CR1285" s="179"/>
      <c r="CS1285" s="179"/>
      <c r="CT1285" s="179"/>
      <c r="CU1285" s="179"/>
      <c r="CV1285" s="179"/>
      <c r="CW1285" s="179"/>
      <c r="CX1285" s="179"/>
      <c r="CY1285" s="179"/>
      <c r="CZ1285" s="179"/>
      <c r="DA1285" s="179"/>
      <c r="DB1285" s="179"/>
      <c r="DC1285" s="179"/>
      <c r="DD1285" s="179"/>
      <c r="DE1285" s="179"/>
      <c r="DF1285" s="179"/>
      <c r="DG1285" s="179"/>
    </row>
    <row r="1286" spans="1:111" s="180" customFormat="1" ht="15" hidden="1" customHeight="1">
      <c r="A1286" s="178"/>
      <c r="B1286" s="509">
        <v>12</v>
      </c>
      <c r="C1286" s="509"/>
      <c r="D1286" s="178"/>
      <c r="E1286" s="513" t="str">
        <f>$O$479</f>
        <v>32 | Material, Bem ou Serviço p/ Distribuição Gratuita:</v>
      </c>
      <c r="F1286" s="514"/>
      <c r="G1286" s="516">
        <f t="shared" si="3"/>
        <v>25935</v>
      </c>
      <c r="H1286" s="512"/>
      <c r="I1286" s="511" t="str">
        <f t="shared" si="4"/>
        <v/>
      </c>
      <c r="J1286" s="512"/>
      <c r="K1286" s="511">
        <f t="shared" si="5"/>
        <v>25935</v>
      </c>
      <c r="L1286" s="512"/>
      <c r="M1286" s="511" t="str">
        <f t="shared" si="6"/>
        <v/>
      </c>
      <c r="N1286" s="512"/>
      <c r="O1286" s="511" t="str">
        <f t="shared" si="7"/>
        <v/>
      </c>
      <c r="P1286" s="512"/>
      <c r="Q1286" s="511" t="str">
        <f t="shared" si="8"/>
        <v/>
      </c>
      <c r="R1286" s="512"/>
      <c r="S1286" s="511" t="str">
        <f t="shared" si="9"/>
        <v/>
      </c>
      <c r="T1286" s="512"/>
      <c r="U1286" s="511" t="str">
        <f t="shared" si="10"/>
        <v/>
      </c>
      <c r="V1286" s="512"/>
      <c r="W1286" s="178"/>
      <c r="X1286" s="178"/>
      <c r="Y1286" s="178"/>
      <c r="Z1286" s="178"/>
      <c r="AA1286" s="178"/>
      <c r="AB1286" s="178"/>
      <c r="AT1286" s="178"/>
      <c r="AU1286" s="178"/>
      <c r="AV1286" s="178"/>
      <c r="AW1286" s="178"/>
      <c r="AX1286" s="178"/>
      <c r="AY1286" s="178"/>
      <c r="AZ1286" s="178"/>
      <c r="BA1286" s="178"/>
      <c r="BB1286" s="178"/>
      <c r="BC1286" s="179"/>
      <c r="BD1286" s="179"/>
      <c r="BE1286" s="179"/>
      <c r="BF1286" s="179"/>
      <c r="BG1286" s="179"/>
      <c r="BH1286" s="179"/>
      <c r="BI1286" s="179"/>
      <c r="BJ1286" s="179"/>
      <c r="BK1286" s="179"/>
      <c r="BL1286" s="179"/>
      <c r="BM1286" s="179"/>
      <c r="BN1286" s="179"/>
      <c r="BO1286" s="179"/>
      <c r="BP1286" s="179"/>
      <c r="BQ1286" s="179"/>
      <c r="BR1286" s="179"/>
      <c r="BS1286" s="179"/>
      <c r="BT1286" s="179"/>
      <c r="BU1286" s="179"/>
      <c r="BV1286" s="179"/>
      <c r="BW1286" s="179"/>
      <c r="BX1286" s="179"/>
      <c r="BY1286" s="179"/>
      <c r="BZ1286" s="179"/>
      <c r="CA1286" s="179"/>
      <c r="CB1286" s="179"/>
      <c r="CC1286" s="179"/>
      <c r="CD1286" s="179"/>
      <c r="CE1286" s="179"/>
      <c r="CF1286" s="179"/>
      <c r="CG1286" s="179"/>
      <c r="CH1286" s="179"/>
      <c r="CI1286" s="179"/>
      <c r="CJ1286" s="179"/>
      <c r="CK1286" s="179"/>
      <c r="CL1286" s="179"/>
      <c r="CM1286" s="179"/>
      <c r="CN1286" s="179"/>
      <c r="CO1286" s="179"/>
      <c r="CP1286" s="179"/>
      <c r="CQ1286" s="179"/>
      <c r="CR1286" s="179"/>
      <c r="CS1286" s="179"/>
      <c r="CT1286" s="179"/>
      <c r="CU1286" s="179"/>
      <c r="CV1286" s="179"/>
      <c r="CW1286" s="179"/>
      <c r="CX1286" s="179"/>
      <c r="CY1286" s="179"/>
      <c r="CZ1286" s="179"/>
      <c r="DA1286" s="179"/>
      <c r="DB1286" s="179"/>
      <c r="DC1286" s="179"/>
      <c r="DD1286" s="179"/>
      <c r="DE1286" s="179"/>
      <c r="DF1286" s="179"/>
      <c r="DG1286" s="179"/>
    </row>
    <row r="1287" spans="1:111" s="180" customFormat="1" ht="15" hidden="1" customHeight="1">
      <c r="A1287" s="178"/>
      <c r="B1287" s="509">
        <v>13</v>
      </c>
      <c r="C1287" s="509"/>
      <c r="D1287" s="178"/>
      <c r="E1287" s="513">
        <f>$O$519</f>
        <v>0</v>
      </c>
      <c r="F1287" s="514"/>
      <c r="G1287" s="516" t="str">
        <f t="shared" si="3"/>
        <v/>
      </c>
      <c r="H1287" s="512"/>
      <c r="I1287" s="511" t="str">
        <f t="shared" si="4"/>
        <v/>
      </c>
      <c r="J1287" s="512"/>
      <c r="K1287" s="511" t="str">
        <f t="shared" si="5"/>
        <v/>
      </c>
      <c r="L1287" s="512"/>
      <c r="M1287" s="511" t="str">
        <f t="shared" si="6"/>
        <v/>
      </c>
      <c r="N1287" s="512"/>
      <c r="O1287" s="511" t="str">
        <f t="shared" si="7"/>
        <v/>
      </c>
      <c r="P1287" s="512"/>
      <c r="Q1287" s="511" t="str">
        <f t="shared" si="8"/>
        <v/>
      </c>
      <c r="R1287" s="512"/>
      <c r="S1287" s="511" t="str">
        <f t="shared" si="9"/>
        <v/>
      </c>
      <c r="T1287" s="512"/>
      <c r="U1287" s="511" t="str">
        <f t="shared" si="10"/>
        <v/>
      </c>
      <c r="V1287" s="512"/>
      <c r="W1287" s="178"/>
      <c r="X1287" s="178"/>
      <c r="Y1287" s="178"/>
      <c r="Z1287" s="178"/>
      <c r="AA1287" s="178"/>
      <c r="AB1287" s="178"/>
      <c r="AT1287" s="178"/>
      <c r="AU1287" s="178"/>
      <c r="AV1287" s="178"/>
      <c r="AW1287" s="178"/>
      <c r="AX1287" s="178"/>
      <c r="AY1287" s="178"/>
      <c r="AZ1287" s="178"/>
      <c r="BA1287" s="178"/>
      <c r="BB1287" s="178"/>
      <c r="BC1287" s="179"/>
      <c r="BD1287" s="179"/>
      <c r="BE1287" s="179"/>
      <c r="BF1287" s="179"/>
      <c r="BG1287" s="179"/>
      <c r="BH1287" s="179"/>
      <c r="BI1287" s="179"/>
      <c r="BJ1287" s="179"/>
      <c r="BK1287" s="179"/>
      <c r="BL1287" s="179"/>
      <c r="BM1287" s="179"/>
      <c r="BN1287" s="179"/>
      <c r="BO1287" s="179"/>
      <c r="BP1287" s="179"/>
      <c r="BQ1287" s="179"/>
      <c r="BR1287" s="179"/>
      <c r="BS1287" s="179"/>
      <c r="BT1287" s="179"/>
      <c r="BU1287" s="179"/>
      <c r="BV1287" s="179"/>
      <c r="BW1287" s="179"/>
      <c r="BX1287" s="179"/>
      <c r="BY1287" s="179"/>
      <c r="BZ1287" s="179"/>
      <c r="CA1287" s="179"/>
      <c r="CB1287" s="179"/>
      <c r="CC1287" s="179"/>
      <c r="CD1287" s="179"/>
      <c r="CE1287" s="179"/>
      <c r="CF1287" s="179"/>
      <c r="CG1287" s="179"/>
      <c r="CH1287" s="179"/>
      <c r="CI1287" s="179"/>
      <c r="CJ1287" s="179"/>
      <c r="CK1287" s="179"/>
      <c r="CL1287" s="179"/>
      <c r="CM1287" s="179"/>
      <c r="CN1287" s="179"/>
      <c r="CO1287" s="179"/>
      <c r="CP1287" s="179"/>
      <c r="CQ1287" s="179"/>
      <c r="CR1287" s="179"/>
      <c r="CS1287" s="179"/>
      <c r="CT1287" s="179"/>
      <c r="CU1287" s="179"/>
      <c r="CV1287" s="179"/>
      <c r="CW1287" s="179"/>
      <c r="CX1287" s="179"/>
      <c r="CY1287" s="179"/>
      <c r="CZ1287" s="179"/>
      <c r="DA1287" s="179"/>
      <c r="DB1287" s="179"/>
      <c r="DC1287" s="179"/>
      <c r="DD1287" s="179"/>
      <c r="DE1287" s="179"/>
      <c r="DF1287" s="179"/>
      <c r="DG1287" s="179"/>
    </row>
    <row r="1288" spans="1:111" s="180" customFormat="1" ht="15" hidden="1" customHeight="1">
      <c r="A1288" s="178"/>
      <c r="B1288" s="509">
        <v>14</v>
      </c>
      <c r="C1288" s="509"/>
      <c r="D1288" s="178"/>
      <c r="E1288" s="513">
        <f>$O$559</f>
        <v>0</v>
      </c>
      <c r="F1288" s="514"/>
      <c r="G1288" s="516" t="str">
        <f t="shared" si="3"/>
        <v/>
      </c>
      <c r="H1288" s="512"/>
      <c r="I1288" s="511" t="str">
        <f t="shared" si="4"/>
        <v/>
      </c>
      <c r="J1288" s="512"/>
      <c r="K1288" s="511" t="str">
        <f t="shared" si="5"/>
        <v/>
      </c>
      <c r="L1288" s="512"/>
      <c r="M1288" s="511" t="str">
        <f t="shared" si="6"/>
        <v/>
      </c>
      <c r="N1288" s="512"/>
      <c r="O1288" s="511" t="str">
        <f t="shared" si="7"/>
        <v/>
      </c>
      <c r="P1288" s="512"/>
      <c r="Q1288" s="511" t="str">
        <f t="shared" si="8"/>
        <v/>
      </c>
      <c r="R1288" s="512"/>
      <c r="S1288" s="511" t="str">
        <f t="shared" si="9"/>
        <v/>
      </c>
      <c r="T1288" s="512"/>
      <c r="U1288" s="511" t="str">
        <f t="shared" si="10"/>
        <v/>
      </c>
      <c r="V1288" s="512"/>
      <c r="W1288" s="178"/>
      <c r="X1288" s="178"/>
      <c r="Y1288" s="178"/>
      <c r="Z1288" s="178"/>
      <c r="AA1288" s="178"/>
      <c r="AB1288" s="178"/>
      <c r="AT1288" s="178"/>
      <c r="AU1288" s="178"/>
      <c r="AV1288" s="178"/>
      <c r="AW1288" s="178"/>
      <c r="AX1288" s="178"/>
      <c r="AY1288" s="178"/>
      <c r="AZ1288" s="178"/>
      <c r="BA1288" s="178"/>
      <c r="BB1288" s="178"/>
      <c r="BC1288" s="179"/>
      <c r="BD1288" s="179"/>
      <c r="BE1288" s="179"/>
      <c r="BF1288" s="179"/>
      <c r="BG1288" s="179"/>
      <c r="BH1288" s="179"/>
      <c r="BI1288" s="179"/>
      <c r="BJ1288" s="179"/>
      <c r="BK1288" s="179"/>
      <c r="BL1288" s="179"/>
      <c r="BM1288" s="179"/>
      <c r="BN1288" s="179"/>
      <c r="BO1288" s="179"/>
      <c r="BP1288" s="179"/>
      <c r="BQ1288" s="179"/>
      <c r="BR1288" s="179"/>
      <c r="BS1288" s="179"/>
      <c r="BT1288" s="179"/>
      <c r="BU1288" s="179"/>
      <c r="BV1288" s="179"/>
      <c r="BW1288" s="179"/>
      <c r="BX1288" s="179"/>
      <c r="BY1288" s="179"/>
      <c r="BZ1288" s="179"/>
      <c r="CA1288" s="179"/>
      <c r="CB1288" s="179"/>
      <c r="CC1288" s="179"/>
      <c r="CD1288" s="179"/>
      <c r="CE1288" s="179"/>
      <c r="CF1288" s="179"/>
      <c r="CG1288" s="179"/>
      <c r="CH1288" s="179"/>
      <c r="CI1288" s="179"/>
      <c r="CJ1288" s="179"/>
      <c r="CK1288" s="179"/>
      <c r="CL1288" s="179"/>
      <c r="CM1288" s="179"/>
      <c r="CN1288" s="179"/>
      <c r="CO1288" s="179"/>
      <c r="CP1288" s="179"/>
      <c r="CQ1288" s="179"/>
      <c r="CR1288" s="179"/>
      <c r="CS1288" s="179"/>
      <c r="CT1288" s="179"/>
      <c r="CU1288" s="179"/>
      <c r="CV1288" s="179"/>
      <c r="CW1288" s="179"/>
      <c r="CX1288" s="179"/>
      <c r="CY1288" s="179"/>
      <c r="CZ1288" s="179"/>
      <c r="DA1288" s="179"/>
      <c r="DB1288" s="179"/>
      <c r="DC1288" s="179"/>
      <c r="DD1288" s="179"/>
      <c r="DE1288" s="179"/>
      <c r="DF1288" s="179"/>
      <c r="DG1288" s="179"/>
    </row>
    <row r="1289" spans="1:111" s="180" customFormat="1" ht="15" hidden="1" customHeight="1">
      <c r="A1289" s="178"/>
      <c r="B1289" s="509">
        <v>15</v>
      </c>
      <c r="C1289" s="509"/>
      <c r="D1289" s="178"/>
      <c r="E1289" s="513">
        <f>$O$599</f>
        <v>0</v>
      </c>
      <c r="F1289" s="514"/>
      <c r="G1289" s="516" t="str">
        <f t="shared" si="3"/>
        <v/>
      </c>
      <c r="H1289" s="512"/>
      <c r="I1289" s="511" t="str">
        <f t="shared" si="4"/>
        <v/>
      </c>
      <c r="J1289" s="512"/>
      <c r="K1289" s="511" t="str">
        <f t="shared" si="5"/>
        <v/>
      </c>
      <c r="L1289" s="512"/>
      <c r="M1289" s="511" t="str">
        <f t="shared" si="6"/>
        <v/>
      </c>
      <c r="N1289" s="512"/>
      <c r="O1289" s="511" t="str">
        <f t="shared" si="7"/>
        <v/>
      </c>
      <c r="P1289" s="512"/>
      <c r="Q1289" s="511" t="str">
        <f t="shared" si="8"/>
        <v/>
      </c>
      <c r="R1289" s="512"/>
      <c r="S1289" s="511" t="str">
        <f t="shared" si="9"/>
        <v/>
      </c>
      <c r="T1289" s="512"/>
      <c r="U1289" s="511" t="str">
        <f t="shared" si="10"/>
        <v/>
      </c>
      <c r="V1289" s="512"/>
      <c r="W1289" s="178"/>
      <c r="X1289" s="178"/>
      <c r="Y1289" s="178"/>
      <c r="Z1289" s="178"/>
      <c r="AA1289" s="178"/>
      <c r="AB1289" s="178"/>
      <c r="AT1289" s="178"/>
      <c r="AU1289" s="178"/>
      <c r="AV1289" s="178"/>
      <c r="AW1289" s="178"/>
      <c r="AX1289" s="178"/>
      <c r="AY1289" s="178"/>
      <c r="AZ1289" s="178"/>
      <c r="BA1289" s="178"/>
      <c r="BB1289" s="178"/>
      <c r="BC1289" s="179"/>
      <c r="BD1289" s="179"/>
      <c r="BE1289" s="179"/>
      <c r="BF1289" s="179"/>
      <c r="BG1289" s="179"/>
      <c r="BH1289" s="179"/>
      <c r="BI1289" s="179"/>
      <c r="BJ1289" s="179"/>
      <c r="BK1289" s="179"/>
      <c r="BL1289" s="179"/>
      <c r="BM1289" s="179"/>
      <c r="BN1289" s="179"/>
      <c r="BO1289" s="179"/>
      <c r="BP1289" s="179"/>
      <c r="BQ1289" s="179"/>
      <c r="BR1289" s="179"/>
      <c r="BS1289" s="179"/>
      <c r="BT1289" s="179"/>
      <c r="BU1289" s="179"/>
      <c r="BV1289" s="179"/>
      <c r="BW1289" s="179"/>
      <c r="BX1289" s="179"/>
      <c r="BY1289" s="179"/>
      <c r="BZ1289" s="179"/>
      <c r="CA1289" s="179"/>
      <c r="CB1289" s="179"/>
      <c r="CC1289" s="179"/>
      <c r="CD1289" s="179"/>
      <c r="CE1289" s="179"/>
      <c r="CF1289" s="179"/>
      <c r="CG1289" s="179"/>
      <c r="CH1289" s="179"/>
      <c r="CI1289" s="179"/>
      <c r="CJ1289" s="179"/>
      <c r="CK1289" s="179"/>
      <c r="CL1289" s="179"/>
      <c r="CM1289" s="179"/>
      <c r="CN1289" s="179"/>
      <c r="CO1289" s="179"/>
      <c r="CP1289" s="179"/>
      <c r="CQ1289" s="179"/>
      <c r="CR1289" s="179"/>
      <c r="CS1289" s="179"/>
      <c r="CT1289" s="179"/>
      <c r="CU1289" s="179"/>
      <c r="CV1289" s="179"/>
      <c r="CW1289" s="179"/>
      <c r="CX1289" s="179"/>
      <c r="CY1289" s="179"/>
      <c r="CZ1289" s="179"/>
      <c r="DA1289" s="179"/>
      <c r="DB1289" s="179"/>
      <c r="DC1289" s="179"/>
      <c r="DD1289" s="179"/>
      <c r="DE1289" s="179"/>
      <c r="DF1289" s="179"/>
      <c r="DG1289" s="179"/>
    </row>
    <row r="1290" spans="1:111" s="180" customFormat="1" ht="15" hidden="1" customHeight="1">
      <c r="A1290" s="178"/>
      <c r="B1290" s="509">
        <v>16</v>
      </c>
      <c r="C1290" s="509"/>
      <c r="D1290" s="178"/>
      <c r="E1290" s="513">
        <f>$O$639</f>
        <v>0</v>
      </c>
      <c r="F1290" s="514"/>
      <c r="G1290" s="516" t="str">
        <f t="shared" si="3"/>
        <v/>
      </c>
      <c r="H1290" s="512"/>
      <c r="I1290" s="511" t="str">
        <f t="shared" si="4"/>
        <v/>
      </c>
      <c r="J1290" s="512"/>
      <c r="K1290" s="511" t="str">
        <f t="shared" si="5"/>
        <v/>
      </c>
      <c r="L1290" s="512"/>
      <c r="M1290" s="511" t="str">
        <f t="shared" si="6"/>
        <v/>
      </c>
      <c r="N1290" s="512"/>
      <c r="O1290" s="511" t="str">
        <f t="shared" si="7"/>
        <v/>
      </c>
      <c r="P1290" s="512"/>
      <c r="Q1290" s="511" t="str">
        <f t="shared" si="8"/>
        <v/>
      </c>
      <c r="R1290" s="512"/>
      <c r="S1290" s="511" t="str">
        <f t="shared" si="9"/>
        <v/>
      </c>
      <c r="T1290" s="512"/>
      <c r="U1290" s="511" t="str">
        <f t="shared" si="10"/>
        <v/>
      </c>
      <c r="V1290" s="512"/>
      <c r="W1290" s="178"/>
      <c r="X1290" s="178"/>
      <c r="Y1290" s="178"/>
      <c r="Z1290" s="178"/>
      <c r="AA1290" s="178"/>
      <c r="AB1290" s="178"/>
      <c r="AT1290" s="178"/>
      <c r="AU1290" s="178"/>
      <c r="AV1290" s="178"/>
      <c r="AW1290" s="178"/>
      <c r="AX1290" s="178"/>
      <c r="AY1290" s="178"/>
      <c r="AZ1290" s="178"/>
      <c r="BA1290" s="178"/>
      <c r="BB1290" s="178"/>
      <c r="BC1290" s="179"/>
      <c r="BD1290" s="179"/>
      <c r="BE1290" s="179"/>
      <c r="BF1290" s="179"/>
      <c r="BG1290" s="179"/>
      <c r="BH1290" s="179"/>
      <c r="BI1290" s="179"/>
      <c r="BJ1290" s="179"/>
      <c r="BK1290" s="179"/>
      <c r="BL1290" s="179"/>
      <c r="BM1290" s="179"/>
      <c r="BN1290" s="179"/>
      <c r="BO1290" s="179"/>
      <c r="BP1290" s="179"/>
      <c r="BQ1290" s="179"/>
      <c r="BR1290" s="179"/>
      <c r="BS1290" s="179"/>
      <c r="BT1290" s="179"/>
      <c r="BU1290" s="179"/>
      <c r="BV1290" s="179"/>
      <c r="BW1290" s="179"/>
      <c r="BX1290" s="179"/>
      <c r="BY1290" s="179"/>
      <c r="BZ1290" s="179"/>
      <c r="CA1290" s="179"/>
      <c r="CB1290" s="179"/>
      <c r="CC1290" s="179"/>
      <c r="CD1290" s="179"/>
      <c r="CE1290" s="179"/>
      <c r="CF1290" s="179"/>
      <c r="CG1290" s="179"/>
      <c r="CH1290" s="179"/>
      <c r="CI1290" s="179"/>
      <c r="CJ1290" s="179"/>
      <c r="CK1290" s="179"/>
      <c r="CL1290" s="179"/>
      <c r="CM1290" s="179"/>
      <c r="CN1290" s="179"/>
      <c r="CO1290" s="179"/>
      <c r="CP1290" s="179"/>
      <c r="CQ1290" s="179"/>
      <c r="CR1290" s="179"/>
      <c r="CS1290" s="179"/>
      <c r="CT1290" s="179"/>
      <c r="CU1290" s="179"/>
      <c r="CV1290" s="179"/>
      <c r="CW1290" s="179"/>
      <c r="CX1290" s="179"/>
      <c r="CY1290" s="179"/>
      <c r="CZ1290" s="179"/>
      <c r="DA1290" s="179"/>
      <c r="DB1290" s="179"/>
      <c r="DC1290" s="179"/>
      <c r="DD1290" s="179"/>
      <c r="DE1290" s="179"/>
      <c r="DF1290" s="179"/>
      <c r="DG1290" s="179"/>
    </row>
    <row r="1291" spans="1:111" s="180" customFormat="1" ht="15" hidden="1" customHeight="1">
      <c r="A1291" s="178"/>
      <c r="B1291" s="509">
        <v>17</v>
      </c>
      <c r="C1291" s="509"/>
      <c r="D1291" s="178"/>
      <c r="E1291" s="513">
        <f>$O$679</f>
        <v>0</v>
      </c>
      <c r="F1291" s="514"/>
      <c r="G1291" s="516" t="str">
        <f t="shared" si="3"/>
        <v/>
      </c>
      <c r="H1291" s="512"/>
      <c r="I1291" s="511" t="str">
        <f t="shared" si="4"/>
        <v/>
      </c>
      <c r="J1291" s="512"/>
      <c r="K1291" s="511" t="str">
        <f t="shared" si="5"/>
        <v/>
      </c>
      <c r="L1291" s="512"/>
      <c r="M1291" s="511" t="str">
        <f t="shared" si="6"/>
        <v/>
      </c>
      <c r="N1291" s="512"/>
      <c r="O1291" s="511" t="str">
        <f t="shared" si="7"/>
        <v/>
      </c>
      <c r="P1291" s="512"/>
      <c r="Q1291" s="511" t="str">
        <f t="shared" si="8"/>
        <v/>
      </c>
      <c r="R1291" s="512"/>
      <c r="S1291" s="511" t="str">
        <f t="shared" si="9"/>
        <v/>
      </c>
      <c r="T1291" s="512"/>
      <c r="U1291" s="511" t="str">
        <f t="shared" si="10"/>
        <v/>
      </c>
      <c r="V1291" s="512"/>
      <c r="W1291" s="178"/>
      <c r="X1291" s="178"/>
      <c r="Y1291" s="178"/>
      <c r="Z1291" s="178"/>
      <c r="AA1291" s="178"/>
      <c r="AB1291" s="178"/>
      <c r="AT1291" s="178"/>
      <c r="AU1291" s="178"/>
      <c r="AV1291" s="178"/>
      <c r="AW1291" s="178"/>
      <c r="AX1291" s="178"/>
      <c r="AY1291" s="178"/>
      <c r="AZ1291" s="178"/>
      <c r="BA1291" s="178"/>
      <c r="BB1291" s="178"/>
      <c r="BC1291" s="179"/>
      <c r="BD1291" s="179"/>
      <c r="BE1291" s="179"/>
      <c r="BF1291" s="179"/>
      <c r="BG1291" s="179"/>
      <c r="BH1291" s="179"/>
      <c r="BI1291" s="179"/>
      <c r="BJ1291" s="179"/>
      <c r="BK1291" s="179"/>
      <c r="BL1291" s="179"/>
      <c r="BM1291" s="179"/>
      <c r="BN1291" s="179"/>
      <c r="BO1291" s="179"/>
      <c r="BP1291" s="179"/>
      <c r="BQ1291" s="179"/>
      <c r="BR1291" s="179"/>
      <c r="BS1291" s="179"/>
      <c r="BT1291" s="179"/>
      <c r="BU1291" s="179"/>
      <c r="BV1291" s="179"/>
      <c r="BW1291" s="179"/>
      <c r="BX1291" s="179"/>
      <c r="BY1291" s="179"/>
      <c r="BZ1291" s="179"/>
      <c r="CA1291" s="179"/>
      <c r="CB1291" s="179"/>
      <c r="CC1291" s="179"/>
      <c r="CD1291" s="179"/>
      <c r="CE1291" s="179"/>
      <c r="CF1291" s="179"/>
      <c r="CG1291" s="179"/>
      <c r="CH1291" s="179"/>
      <c r="CI1291" s="179"/>
      <c r="CJ1291" s="179"/>
      <c r="CK1291" s="179"/>
      <c r="CL1291" s="179"/>
      <c r="CM1291" s="179"/>
      <c r="CN1291" s="179"/>
      <c r="CO1291" s="179"/>
      <c r="CP1291" s="179"/>
      <c r="CQ1291" s="179"/>
      <c r="CR1291" s="179"/>
      <c r="CS1291" s="179"/>
      <c r="CT1291" s="179"/>
      <c r="CU1291" s="179"/>
      <c r="CV1291" s="179"/>
      <c r="CW1291" s="179"/>
      <c r="CX1291" s="179"/>
      <c r="CY1291" s="179"/>
      <c r="CZ1291" s="179"/>
      <c r="DA1291" s="179"/>
      <c r="DB1291" s="179"/>
      <c r="DC1291" s="179"/>
      <c r="DD1291" s="179"/>
      <c r="DE1291" s="179"/>
      <c r="DF1291" s="179"/>
      <c r="DG1291" s="179"/>
    </row>
    <row r="1292" spans="1:111" s="180" customFormat="1" ht="15" hidden="1" customHeight="1">
      <c r="A1292" s="178"/>
      <c r="B1292" s="509">
        <v>18</v>
      </c>
      <c r="C1292" s="509"/>
      <c r="D1292" s="178"/>
      <c r="E1292" s="513">
        <f>$O$719</f>
        <v>0</v>
      </c>
      <c r="F1292" s="514"/>
      <c r="G1292" s="516" t="str">
        <f t="shared" si="3"/>
        <v/>
      </c>
      <c r="H1292" s="512"/>
      <c r="I1292" s="511" t="str">
        <f t="shared" si="4"/>
        <v/>
      </c>
      <c r="J1292" s="512"/>
      <c r="K1292" s="511" t="str">
        <f t="shared" si="5"/>
        <v/>
      </c>
      <c r="L1292" s="512"/>
      <c r="M1292" s="511" t="str">
        <f t="shared" si="6"/>
        <v/>
      </c>
      <c r="N1292" s="512"/>
      <c r="O1292" s="511" t="str">
        <f t="shared" si="7"/>
        <v/>
      </c>
      <c r="P1292" s="512"/>
      <c r="Q1292" s="511" t="str">
        <f t="shared" si="8"/>
        <v/>
      </c>
      <c r="R1292" s="512"/>
      <c r="S1292" s="511" t="str">
        <f t="shared" si="9"/>
        <v/>
      </c>
      <c r="T1292" s="512"/>
      <c r="U1292" s="511" t="str">
        <f t="shared" si="10"/>
        <v/>
      </c>
      <c r="V1292" s="512"/>
      <c r="W1292" s="178"/>
      <c r="X1292" s="178"/>
      <c r="Y1292" s="178"/>
      <c r="Z1292" s="178"/>
      <c r="AA1292" s="178"/>
      <c r="AB1292" s="178"/>
      <c r="AT1292" s="178"/>
      <c r="AU1292" s="178"/>
      <c r="AV1292" s="178"/>
      <c r="AW1292" s="178"/>
      <c r="AX1292" s="178"/>
      <c r="AY1292" s="178"/>
      <c r="AZ1292" s="178"/>
      <c r="BA1292" s="178"/>
      <c r="BB1292" s="178"/>
      <c r="BC1292" s="179"/>
      <c r="BD1292" s="179"/>
      <c r="BE1292" s="179"/>
      <c r="BF1292" s="179"/>
      <c r="BG1292" s="179"/>
      <c r="BH1292" s="179"/>
      <c r="BI1292" s="179"/>
      <c r="BJ1292" s="179"/>
      <c r="BK1292" s="179"/>
      <c r="BL1292" s="179"/>
      <c r="BM1292" s="179"/>
      <c r="BN1292" s="179"/>
      <c r="BO1292" s="179"/>
      <c r="BP1292" s="179"/>
      <c r="BQ1292" s="179"/>
      <c r="BR1292" s="179"/>
      <c r="BS1292" s="179"/>
      <c r="BT1292" s="179"/>
      <c r="BU1292" s="179"/>
      <c r="BV1292" s="179"/>
      <c r="BW1292" s="179"/>
      <c r="BX1292" s="179"/>
      <c r="BY1292" s="179"/>
      <c r="BZ1292" s="179"/>
      <c r="CA1292" s="179"/>
      <c r="CB1292" s="179"/>
      <c r="CC1292" s="179"/>
      <c r="CD1292" s="179"/>
      <c r="CE1292" s="179"/>
      <c r="CF1292" s="179"/>
      <c r="CG1292" s="179"/>
      <c r="CH1292" s="179"/>
      <c r="CI1292" s="179"/>
      <c r="CJ1292" s="179"/>
      <c r="CK1292" s="179"/>
      <c r="CL1292" s="179"/>
      <c r="CM1292" s="179"/>
      <c r="CN1292" s="179"/>
      <c r="CO1292" s="179"/>
      <c r="CP1292" s="179"/>
      <c r="CQ1292" s="179"/>
      <c r="CR1292" s="179"/>
      <c r="CS1292" s="179"/>
      <c r="CT1292" s="179"/>
      <c r="CU1292" s="179"/>
      <c r="CV1292" s="179"/>
      <c r="CW1292" s="179"/>
      <c r="CX1292" s="179"/>
      <c r="CY1292" s="179"/>
      <c r="CZ1292" s="179"/>
      <c r="DA1292" s="179"/>
      <c r="DB1292" s="179"/>
      <c r="DC1292" s="179"/>
      <c r="DD1292" s="179"/>
      <c r="DE1292" s="179"/>
      <c r="DF1292" s="179"/>
      <c r="DG1292" s="179"/>
    </row>
    <row r="1293" spans="1:111" s="180" customFormat="1" ht="15" hidden="1" customHeight="1">
      <c r="A1293" s="178"/>
      <c r="B1293" s="509">
        <v>19</v>
      </c>
      <c r="C1293" s="509"/>
      <c r="D1293" s="178"/>
      <c r="E1293" s="513">
        <f>$O$759</f>
        <v>0</v>
      </c>
      <c r="F1293" s="514"/>
      <c r="G1293" s="516" t="str">
        <f t="shared" si="3"/>
        <v/>
      </c>
      <c r="H1293" s="512"/>
      <c r="I1293" s="511" t="str">
        <f t="shared" si="4"/>
        <v/>
      </c>
      <c r="J1293" s="512"/>
      <c r="K1293" s="511" t="str">
        <f t="shared" si="5"/>
        <v/>
      </c>
      <c r="L1293" s="512"/>
      <c r="M1293" s="511" t="str">
        <f t="shared" si="6"/>
        <v/>
      </c>
      <c r="N1293" s="512"/>
      <c r="O1293" s="511" t="str">
        <f t="shared" si="7"/>
        <v/>
      </c>
      <c r="P1293" s="512"/>
      <c r="Q1293" s="511" t="str">
        <f t="shared" si="8"/>
        <v/>
      </c>
      <c r="R1293" s="512"/>
      <c r="S1293" s="511" t="str">
        <f t="shared" si="9"/>
        <v/>
      </c>
      <c r="T1293" s="512"/>
      <c r="U1293" s="511" t="str">
        <f t="shared" si="10"/>
        <v/>
      </c>
      <c r="V1293" s="512"/>
      <c r="W1293" s="178"/>
      <c r="X1293" s="178"/>
      <c r="Y1293" s="178"/>
      <c r="Z1293" s="178"/>
      <c r="AA1293" s="178"/>
      <c r="AB1293" s="178"/>
      <c r="AT1293" s="178"/>
      <c r="AU1293" s="178"/>
      <c r="AV1293" s="178"/>
      <c r="AW1293" s="178"/>
      <c r="AX1293" s="178"/>
      <c r="AY1293" s="178"/>
      <c r="AZ1293" s="178"/>
      <c r="BA1293" s="178"/>
      <c r="BB1293" s="178"/>
      <c r="BC1293" s="179"/>
      <c r="BD1293" s="179"/>
      <c r="BE1293" s="179"/>
      <c r="BF1293" s="179"/>
      <c r="BG1293" s="179"/>
      <c r="BH1293" s="179"/>
      <c r="BI1293" s="179"/>
      <c r="BJ1293" s="179"/>
      <c r="BK1293" s="179"/>
      <c r="BL1293" s="179"/>
      <c r="BM1293" s="179"/>
      <c r="BN1293" s="179"/>
      <c r="BO1293" s="179"/>
      <c r="BP1293" s="179"/>
      <c r="BQ1293" s="179"/>
      <c r="BR1293" s="179"/>
      <c r="BS1293" s="179"/>
      <c r="BT1293" s="179"/>
      <c r="BU1293" s="179"/>
      <c r="BV1293" s="179"/>
      <c r="BW1293" s="179"/>
      <c r="BX1293" s="179"/>
      <c r="BY1293" s="179"/>
      <c r="BZ1293" s="179"/>
      <c r="CA1293" s="179"/>
      <c r="CB1293" s="179"/>
      <c r="CC1293" s="179"/>
      <c r="CD1293" s="179"/>
      <c r="CE1293" s="179"/>
      <c r="CF1293" s="179"/>
      <c r="CG1293" s="179"/>
      <c r="CH1293" s="179"/>
      <c r="CI1293" s="179"/>
      <c r="CJ1293" s="179"/>
      <c r="CK1293" s="179"/>
      <c r="CL1293" s="179"/>
      <c r="CM1293" s="179"/>
      <c r="CN1293" s="179"/>
      <c r="CO1293" s="179"/>
      <c r="CP1293" s="179"/>
      <c r="CQ1293" s="179"/>
      <c r="CR1293" s="179"/>
      <c r="CS1293" s="179"/>
      <c r="CT1293" s="179"/>
      <c r="CU1293" s="179"/>
      <c r="CV1293" s="179"/>
      <c r="CW1293" s="179"/>
      <c r="CX1293" s="179"/>
      <c r="CY1293" s="179"/>
      <c r="CZ1293" s="179"/>
      <c r="DA1293" s="179"/>
      <c r="DB1293" s="179"/>
      <c r="DC1293" s="179"/>
      <c r="DD1293" s="179"/>
      <c r="DE1293" s="179"/>
      <c r="DF1293" s="179"/>
      <c r="DG1293" s="179"/>
    </row>
    <row r="1294" spans="1:111" s="180" customFormat="1" ht="15" hidden="1" customHeight="1">
      <c r="A1294" s="178"/>
      <c r="B1294" s="509">
        <v>20</v>
      </c>
      <c r="C1294" s="509"/>
      <c r="D1294" s="178"/>
      <c r="E1294" s="513">
        <f>$O$799</f>
        <v>0</v>
      </c>
      <c r="F1294" s="514"/>
      <c r="G1294" s="516" t="str">
        <f t="shared" si="3"/>
        <v/>
      </c>
      <c r="H1294" s="512"/>
      <c r="I1294" s="511" t="str">
        <f t="shared" si="4"/>
        <v/>
      </c>
      <c r="J1294" s="512"/>
      <c r="K1294" s="511" t="str">
        <f t="shared" si="5"/>
        <v/>
      </c>
      <c r="L1294" s="512"/>
      <c r="M1294" s="511" t="str">
        <f t="shared" si="6"/>
        <v/>
      </c>
      <c r="N1294" s="512"/>
      <c r="O1294" s="511" t="str">
        <f t="shared" si="7"/>
        <v/>
      </c>
      <c r="P1294" s="512"/>
      <c r="Q1294" s="511" t="str">
        <f t="shared" si="8"/>
        <v/>
      </c>
      <c r="R1294" s="512"/>
      <c r="S1294" s="511" t="str">
        <f t="shared" si="9"/>
        <v/>
      </c>
      <c r="T1294" s="512"/>
      <c r="U1294" s="511" t="str">
        <f t="shared" si="10"/>
        <v/>
      </c>
      <c r="V1294" s="512"/>
      <c r="W1294" s="178"/>
      <c r="X1294" s="178"/>
      <c r="Y1294" s="178"/>
      <c r="Z1294" s="178"/>
      <c r="AA1294" s="178"/>
      <c r="AB1294" s="178"/>
      <c r="AT1294" s="178"/>
      <c r="AU1294" s="178"/>
      <c r="AV1294" s="178"/>
      <c r="AW1294" s="178"/>
      <c r="AX1294" s="178"/>
      <c r="AY1294" s="178"/>
      <c r="AZ1294" s="178"/>
      <c r="BA1294" s="178"/>
      <c r="BB1294" s="178"/>
      <c r="BC1294" s="179"/>
      <c r="BD1294" s="179"/>
      <c r="BE1294" s="179"/>
      <c r="BF1294" s="179"/>
      <c r="BG1294" s="179"/>
      <c r="BH1294" s="179"/>
      <c r="BI1294" s="179"/>
      <c r="BJ1294" s="179"/>
      <c r="BK1294" s="179"/>
      <c r="BL1294" s="179"/>
      <c r="BM1294" s="179"/>
      <c r="BN1294" s="179"/>
      <c r="BO1294" s="179"/>
      <c r="BP1294" s="179"/>
      <c r="BQ1294" s="179"/>
      <c r="BR1294" s="179"/>
      <c r="BS1294" s="179"/>
      <c r="BT1294" s="179"/>
      <c r="BU1294" s="179"/>
      <c r="BV1294" s="179"/>
      <c r="BW1294" s="179"/>
      <c r="BX1294" s="179"/>
      <c r="BY1294" s="179"/>
      <c r="BZ1294" s="179"/>
      <c r="CA1294" s="179"/>
      <c r="CB1294" s="179"/>
      <c r="CC1294" s="179"/>
      <c r="CD1294" s="179"/>
      <c r="CE1294" s="179"/>
      <c r="CF1294" s="179"/>
      <c r="CG1294" s="179"/>
      <c r="CH1294" s="179"/>
      <c r="CI1294" s="179"/>
      <c r="CJ1294" s="179"/>
      <c r="CK1294" s="179"/>
      <c r="CL1294" s="179"/>
      <c r="CM1294" s="179"/>
      <c r="CN1294" s="179"/>
      <c r="CO1294" s="179"/>
      <c r="CP1294" s="179"/>
      <c r="CQ1294" s="179"/>
      <c r="CR1294" s="179"/>
      <c r="CS1294" s="179"/>
      <c r="CT1294" s="179"/>
      <c r="CU1294" s="179"/>
      <c r="CV1294" s="179"/>
      <c r="CW1294" s="179"/>
      <c r="CX1294" s="179"/>
      <c r="CY1294" s="179"/>
      <c r="CZ1294" s="179"/>
      <c r="DA1294" s="179"/>
      <c r="DB1294" s="179"/>
      <c r="DC1294" s="179"/>
      <c r="DD1294" s="179"/>
      <c r="DE1294" s="179"/>
      <c r="DF1294" s="179"/>
      <c r="DG1294" s="179"/>
    </row>
    <row r="1295" spans="1:111" s="180" customFormat="1" ht="15" hidden="1" customHeight="1">
      <c r="A1295" s="178"/>
      <c r="B1295" s="509">
        <v>21</v>
      </c>
      <c r="C1295" s="509"/>
      <c r="D1295" s="178"/>
      <c r="E1295" s="513">
        <f>$O$839</f>
        <v>0</v>
      </c>
      <c r="F1295" s="514"/>
      <c r="G1295" s="516" t="str">
        <f t="shared" si="3"/>
        <v/>
      </c>
      <c r="H1295" s="512"/>
      <c r="I1295" s="511" t="str">
        <f t="shared" si="4"/>
        <v/>
      </c>
      <c r="J1295" s="512"/>
      <c r="K1295" s="511" t="str">
        <f t="shared" si="5"/>
        <v/>
      </c>
      <c r="L1295" s="512"/>
      <c r="M1295" s="511" t="str">
        <f t="shared" si="6"/>
        <v/>
      </c>
      <c r="N1295" s="512"/>
      <c r="O1295" s="511" t="str">
        <f t="shared" si="7"/>
        <v/>
      </c>
      <c r="P1295" s="512"/>
      <c r="Q1295" s="511" t="str">
        <f t="shared" si="8"/>
        <v/>
      </c>
      <c r="R1295" s="512"/>
      <c r="S1295" s="511" t="str">
        <f t="shared" si="9"/>
        <v/>
      </c>
      <c r="T1295" s="512"/>
      <c r="U1295" s="511" t="str">
        <f t="shared" si="10"/>
        <v/>
      </c>
      <c r="V1295" s="512"/>
      <c r="W1295" s="178"/>
      <c r="X1295" s="178"/>
      <c r="Y1295" s="178"/>
      <c r="Z1295" s="178"/>
      <c r="AA1295" s="178"/>
      <c r="AB1295" s="178"/>
      <c r="AT1295" s="178"/>
      <c r="AU1295" s="178"/>
      <c r="AV1295" s="178"/>
      <c r="AW1295" s="178"/>
      <c r="AX1295" s="178"/>
      <c r="AY1295" s="178"/>
      <c r="AZ1295" s="178"/>
      <c r="BA1295" s="178"/>
      <c r="BB1295" s="178"/>
      <c r="BC1295" s="179"/>
      <c r="BD1295" s="179"/>
      <c r="BE1295" s="179"/>
      <c r="BF1295" s="179"/>
      <c r="BG1295" s="179"/>
      <c r="BH1295" s="179"/>
      <c r="BI1295" s="179"/>
      <c r="BJ1295" s="179"/>
      <c r="BK1295" s="179"/>
      <c r="BL1295" s="179"/>
      <c r="BM1295" s="179"/>
      <c r="BN1295" s="179"/>
      <c r="BO1295" s="179"/>
      <c r="BP1295" s="179"/>
      <c r="BQ1295" s="179"/>
      <c r="BR1295" s="179"/>
      <c r="BS1295" s="179"/>
      <c r="BT1295" s="179"/>
      <c r="BU1295" s="179"/>
      <c r="BV1295" s="179"/>
      <c r="BW1295" s="179"/>
      <c r="BX1295" s="179"/>
      <c r="BY1295" s="179"/>
      <c r="BZ1295" s="179"/>
      <c r="CA1295" s="179"/>
      <c r="CB1295" s="179"/>
      <c r="CC1295" s="179"/>
      <c r="CD1295" s="179"/>
      <c r="CE1295" s="179"/>
      <c r="CF1295" s="179"/>
      <c r="CG1295" s="179"/>
      <c r="CH1295" s="179"/>
      <c r="CI1295" s="179"/>
      <c r="CJ1295" s="179"/>
      <c r="CK1295" s="179"/>
      <c r="CL1295" s="179"/>
      <c r="CM1295" s="179"/>
      <c r="CN1295" s="179"/>
      <c r="CO1295" s="179"/>
      <c r="CP1295" s="179"/>
      <c r="CQ1295" s="179"/>
      <c r="CR1295" s="179"/>
      <c r="CS1295" s="179"/>
      <c r="CT1295" s="179"/>
      <c r="CU1295" s="179"/>
      <c r="CV1295" s="179"/>
      <c r="CW1295" s="179"/>
      <c r="CX1295" s="179"/>
      <c r="CY1295" s="179"/>
      <c r="CZ1295" s="179"/>
      <c r="DA1295" s="179"/>
      <c r="DB1295" s="179"/>
      <c r="DC1295" s="179"/>
      <c r="DD1295" s="179"/>
      <c r="DE1295" s="179"/>
      <c r="DF1295" s="179"/>
      <c r="DG1295" s="179"/>
    </row>
    <row r="1296" spans="1:111" s="180" customFormat="1" ht="15" hidden="1" customHeight="1">
      <c r="A1296" s="178"/>
      <c r="B1296" s="509">
        <v>22</v>
      </c>
      <c r="C1296" s="509"/>
      <c r="D1296" s="178"/>
      <c r="E1296" s="513">
        <f>$O$879</f>
        <v>0</v>
      </c>
      <c r="F1296" s="514"/>
      <c r="G1296" s="516" t="str">
        <f t="shared" si="3"/>
        <v/>
      </c>
      <c r="H1296" s="512"/>
      <c r="I1296" s="511" t="str">
        <f t="shared" si="4"/>
        <v/>
      </c>
      <c r="J1296" s="512"/>
      <c r="K1296" s="511" t="str">
        <f t="shared" si="5"/>
        <v/>
      </c>
      <c r="L1296" s="512"/>
      <c r="M1296" s="511" t="str">
        <f t="shared" si="6"/>
        <v/>
      </c>
      <c r="N1296" s="512"/>
      <c r="O1296" s="511" t="str">
        <f t="shared" si="7"/>
        <v/>
      </c>
      <c r="P1296" s="512"/>
      <c r="Q1296" s="511" t="str">
        <f t="shared" si="8"/>
        <v/>
      </c>
      <c r="R1296" s="512"/>
      <c r="S1296" s="511" t="str">
        <f t="shared" si="9"/>
        <v/>
      </c>
      <c r="T1296" s="512"/>
      <c r="U1296" s="511" t="str">
        <f t="shared" si="10"/>
        <v/>
      </c>
      <c r="V1296" s="512"/>
      <c r="W1296" s="178"/>
      <c r="X1296" s="178"/>
      <c r="Y1296" s="178"/>
      <c r="Z1296" s="178"/>
      <c r="AA1296" s="178"/>
      <c r="AB1296" s="178"/>
      <c r="AT1296" s="178"/>
      <c r="AU1296" s="178"/>
      <c r="AV1296" s="178"/>
      <c r="AW1296" s="178"/>
      <c r="AX1296" s="178"/>
      <c r="AY1296" s="178"/>
      <c r="AZ1296" s="178"/>
      <c r="BA1296" s="178"/>
      <c r="BB1296" s="178"/>
      <c r="BC1296" s="179"/>
      <c r="BD1296" s="179"/>
      <c r="BE1296" s="179"/>
      <c r="BF1296" s="179"/>
      <c r="BG1296" s="179"/>
      <c r="BH1296" s="179"/>
      <c r="BI1296" s="179"/>
      <c r="BJ1296" s="179"/>
      <c r="BK1296" s="179"/>
      <c r="BL1296" s="179"/>
      <c r="BM1296" s="179"/>
      <c r="BN1296" s="179"/>
      <c r="BO1296" s="179"/>
      <c r="BP1296" s="179"/>
      <c r="BQ1296" s="179"/>
      <c r="BR1296" s="179"/>
      <c r="BS1296" s="179"/>
      <c r="BT1296" s="179"/>
      <c r="BU1296" s="179"/>
      <c r="BV1296" s="179"/>
      <c r="BW1296" s="179"/>
      <c r="BX1296" s="179"/>
      <c r="BY1296" s="179"/>
      <c r="BZ1296" s="179"/>
      <c r="CA1296" s="179"/>
      <c r="CB1296" s="179"/>
      <c r="CC1296" s="179"/>
      <c r="CD1296" s="179"/>
      <c r="CE1296" s="179"/>
      <c r="CF1296" s="179"/>
      <c r="CG1296" s="179"/>
      <c r="CH1296" s="179"/>
      <c r="CI1296" s="179"/>
      <c r="CJ1296" s="179"/>
      <c r="CK1296" s="179"/>
      <c r="CL1296" s="179"/>
      <c r="CM1296" s="179"/>
      <c r="CN1296" s="179"/>
      <c r="CO1296" s="179"/>
      <c r="CP1296" s="179"/>
      <c r="CQ1296" s="179"/>
      <c r="CR1296" s="179"/>
      <c r="CS1296" s="179"/>
      <c r="CT1296" s="179"/>
      <c r="CU1296" s="179"/>
      <c r="CV1296" s="179"/>
      <c r="CW1296" s="179"/>
      <c r="CX1296" s="179"/>
      <c r="CY1296" s="179"/>
      <c r="CZ1296" s="179"/>
      <c r="DA1296" s="179"/>
      <c r="DB1296" s="179"/>
      <c r="DC1296" s="179"/>
      <c r="DD1296" s="179"/>
      <c r="DE1296" s="179"/>
      <c r="DF1296" s="179"/>
      <c r="DG1296" s="179"/>
    </row>
    <row r="1297" spans="1:111" s="180" customFormat="1" ht="15" hidden="1" customHeight="1">
      <c r="A1297" s="178"/>
      <c r="B1297" s="509">
        <v>23</v>
      </c>
      <c r="C1297" s="509"/>
      <c r="D1297" s="178"/>
      <c r="E1297" s="513">
        <f>$O$919</f>
        <v>0</v>
      </c>
      <c r="F1297" s="514"/>
      <c r="G1297" s="516" t="str">
        <f t="shared" si="3"/>
        <v/>
      </c>
      <c r="H1297" s="512"/>
      <c r="I1297" s="511" t="str">
        <f t="shared" si="4"/>
        <v/>
      </c>
      <c r="J1297" s="512"/>
      <c r="K1297" s="511" t="str">
        <f t="shared" si="5"/>
        <v/>
      </c>
      <c r="L1297" s="512"/>
      <c r="M1297" s="511" t="str">
        <f t="shared" si="6"/>
        <v/>
      </c>
      <c r="N1297" s="512"/>
      <c r="O1297" s="511" t="str">
        <f t="shared" si="7"/>
        <v/>
      </c>
      <c r="P1297" s="512"/>
      <c r="Q1297" s="511" t="str">
        <f t="shared" si="8"/>
        <v/>
      </c>
      <c r="R1297" s="512"/>
      <c r="S1297" s="511" t="str">
        <f t="shared" si="9"/>
        <v/>
      </c>
      <c r="T1297" s="512"/>
      <c r="U1297" s="511" t="str">
        <f t="shared" si="10"/>
        <v/>
      </c>
      <c r="V1297" s="512"/>
      <c r="W1297" s="178"/>
      <c r="X1297" s="178"/>
      <c r="Y1297" s="178"/>
      <c r="Z1297" s="178"/>
      <c r="AA1297" s="178"/>
      <c r="AB1297" s="178"/>
      <c r="AT1297" s="178"/>
      <c r="AU1297" s="178"/>
      <c r="AV1297" s="178"/>
      <c r="AW1297" s="178"/>
      <c r="AX1297" s="178"/>
      <c r="AY1297" s="178"/>
      <c r="AZ1297" s="178"/>
      <c r="BA1297" s="178"/>
      <c r="BB1297" s="178"/>
      <c r="BC1297" s="179"/>
      <c r="BD1297" s="179"/>
      <c r="BE1297" s="179"/>
      <c r="BF1297" s="179"/>
      <c r="BG1297" s="179"/>
      <c r="BH1297" s="179"/>
      <c r="BI1297" s="179"/>
      <c r="BJ1297" s="179"/>
      <c r="BK1297" s="179"/>
      <c r="BL1297" s="179"/>
      <c r="BM1297" s="179"/>
      <c r="BN1297" s="179"/>
      <c r="BO1297" s="179"/>
      <c r="BP1297" s="179"/>
      <c r="BQ1297" s="179"/>
      <c r="BR1297" s="179"/>
      <c r="BS1297" s="179"/>
      <c r="BT1297" s="179"/>
      <c r="BU1297" s="179"/>
      <c r="BV1297" s="179"/>
      <c r="BW1297" s="179"/>
      <c r="BX1297" s="179"/>
      <c r="BY1297" s="179"/>
      <c r="BZ1297" s="179"/>
      <c r="CA1297" s="179"/>
      <c r="CB1297" s="179"/>
      <c r="CC1297" s="179"/>
      <c r="CD1297" s="179"/>
      <c r="CE1297" s="179"/>
      <c r="CF1297" s="179"/>
      <c r="CG1297" s="179"/>
      <c r="CH1297" s="179"/>
      <c r="CI1297" s="179"/>
      <c r="CJ1297" s="179"/>
      <c r="CK1297" s="179"/>
      <c r="CL1297" s="179"/>
      <c r="CM1297" s="179"/>
      <c r="CN1297" s="179"/>
      <c r="CO1297" s="179"/>
      <c r="CP1297" s="179"/>
      <c r="CQ1297" s="179"/>
      <c r="CR1297" s="179"/>
      <c r="CS1297" s="179"/>
      <c r="CT1297" s="179"/>
      <c r="CU1297" s="179"/>
      <c r="CV1297" s="179"/>
      <c r="CW1297" s="179"/>
      <c r="CX1297" s="179"/>
      <c r="CY1297" s="179"/>
      <c r="CZ1297" s="179"/>
      <c r="DA1297" s="179"/>
      <c r="DB1297" s="179"/>
      <c r="DC1297" s="179"/>
      <c r="DD1297" s="179"/>
      <c r="DE1297" s="179"/>
      <c r="DF1297" s="179"/>
      <c r="DG1297" s="179"/>
    </row>
    <row r="1298" spans="1:111" s="180" customFormat="1" ht="15" hidden="1" customHeight="1">
      <c r="A1298" s="178"/>
      <c r="B1298" s="509">
        <v>24</v>
      </c>
      <c r="C1298" s="509"/>
      <c r="D1298" s="178"/>
      <c r="E1298" s="513">
        <f>$O$959</f>
        <v>0</v>
      </c>
      <c r="F1298" s="514"/>
      <c r="G1298" s="516" t="str">
        <f t="shared" si="3"/>
        <v/>
      </c>
      <c r="H1298" s="512"/>
      <c r="I1298" s="511" t="str">
        <f t="shared" si="4"/>
        <v/>
      </c>
      <c r="J1298" s="512"/>
      <c r="K1298" s="511" t="str">
        <f t="shared" si="5"/>
        <v/>
      </c>
      <c r="L1298" s="512"/>
      <c r="M1298" s="511" t="str">
        <f t="shared" si="6"/>
        <v/>
      </c>
      <c r="N1298" s="512"/>
      <c r="O1298" s="511" t="str">
        <f t="shared" si="7"/>
        <v/>
      </c>
      <c r="P1298" s="512"/>
      <c r="Q1298" s="511" t="str">
        <f t="shared" si="8"/>
        <v/>
      </c>
      <c r="R1298" s="512"/>
      <c r="S1298" s="511" t="str">
        <f t="shared" si="9"/>
        <v/>
      </c>
      <c r="T1298" s="512"/>
      <c r="U1298" s="511" t="str">
        <f t="shared" si="10"/>
        <v/>
      </c>
      <c r="V1298" s="512"/>
      <c r="W1298" s="178"/>
      <c r="X1298" s="178"/>
      <c r="Y1298" s="178"/>
      <c r="Z1298" s="178"/>
      <c r="AA1298" s="178"/>
      <c r="AB1298" s="178"/>
      <c r="AT1298" s="178"/>
      <c r="AU1298" s="178"/>
      <c r="AV1298" s="178"/>
      <c r="AW1298" s="178"/>
      <c r="AX1298" s="178"/>
      <c r="AY1298" s="178"/>
      <c r="AZ1298" s="178"/>
      <c r="BA1298" s="178"/>
      <c r="BB1298" s="178"/>
      <c r="BC1298" s="179"/>
      <c r="BD1298" s="179"/>
      <c r="BE1298" s="179"/>
      <c r="BF1298" s="179"/>
      <c r="BG1298" s="179"/>
      <c r="BH1298" s="179"/>
      <c r="BI1298" s="179"/>
      <c r="BJ1298" s="179"/>
      <c r="BK1298" s="179"/>
      <c r="BL1298" s="179"/>
      <c r="BM1298" s="179"/>
      <c r="BN1298" s="179"/>
      <c r="BO1298" s="179"/>
      <c r="BP1298" s="179"/>
      <c r="BQ1298" s="179"/>
      <c r="BR1298" s="179"/>
      <c r="BS1298" s="179"/>
      <c r="BT1298" s="179"/>
      <c r="BU1298" s="179"/>
      <c r="BV1298" s="179"/>
      <c r="BW1298" s="179"/>
      <c r="BX1298" s="179"/>
      <c r="BY1298" s="179"/>
      <c r="BZ1298" s="179"/>
      <c r="CA1298" s="179"/>
      <c r="CB1298" s="179"/>
      <c r="CC1298" s="179"/>
      <c r="CD1298" s="179"/>
      <c r="CE1298" s="179"/>
      <c r="CF1298" s="179"/>
      <c r="CG1298" s="179"/>
      <c r="CH1298" s="179"/>
      <c r="CI1298" s="179"/>
      <c r="CJ1298" s="179"/>
      <c r="CK1298" s="179"/>
      <c r="CL1298" s="179"/>
      <c r="CM1298" s="179"/>
      <c r="CN1298" s="179"/>
      <c r="CO1298" s="179"/>
      <c r="CP1298" s="179"/>
      <c r="CQ1298" s="179"/>
      <c r="CR1298" s="179"/>
      <c r="CS1298" s="179"/>
      <c r="CT1298" s="179"/>
      <c r="CU1298" s="179"/>
      <c r="CV1298" s="179"/>
      <c r="CW1298" s="179"/>
      <c r="CX1298" s="179"/>
      <c r="CY1298" s="179"/>
      <c r="CZ1298" s="179"/>
      <c r="DA1298" s="179"/>
      <c r="DB1298" s="179"/>
      <c r="DC1298" s="179"/>
      <c r="DD1298" s="179"/>
      <c r="DE1298" s="179"/>
      <c r="DF1298" s="179"/>
      <c r="DG1298" s="179"/>
    </row>
    <row r="1299" spans="1:111" s="180" customFormat="1" ht="15" hidden="1" customHeight="1">
      <c r="A1299" s="178"/>
      <c r="B1299" s="509">
        <v>25</v>
      </c>
      <c r="C1299" s="509"/>
      <c r="D1299" s="178"/>
      <c r="E1299" s="513">
        <f>$O$999</f>
        <v>0</v>
      </c>
      <c r="F1299" s="514"/>
      <c r="G1299" s="516" t="str">
        <f t="shared" si="3"/>
        <v/>
      </c>
      <c r="H1299" s="512"/>
      <c r="I1299" s="511" t="str">
        <f t="shared" si="4"/>
        <v/>
      </c>
      <c r="J1299" s="512"/>
      <c r="K1299" s="511" t="str">
        <f t="shared" si="5"/>
        <v/>
      </c>
      <c r="L1299" s="512"/>
      <c r="M1299" s="511" t="str">
        <f t="shared" si="6"/>
        <v/>
      </c>
      <c r="N1299" s="512"/>
      <c r="O1299" s="511" t="str">
        <f t="shared" si="7"/>
        <v/>
      </c>
      <c r="P1299" s="512"/>
      <c r="Q1299" s="511" t="str">
        <f t="shared" si="8"/>
        <v/>
      </c>
      <c r="R1299" s="512"/>
      <c r="S1299" s="511" t="str">
        <f t="shared" si="9"/>
        <v/>
      </c>
      <c r="T1299" s="512"/>
      <c r="U1299" s="511" t="str">
        <f t="shared" si="10"/>
        <v/>
      </c>
      <c r="V1299" s="512"/>
      <c r="W1299" s="178"/>
      <c r="X1299" s="178"/>
      <c r="Y1299" s="178"/>
      <c r="Z1299" s="178"/>
      <c r="AA1299" s="178"/>
      <c r="AB1299" s="178"/>
      <c r="AT1299" s="178"/>
      <c r="AU1299" s="178"/>
      <c r="AV1299" s="178"/>
      <c r="AW1299" s="178"/>
      <c r="AX1299" s="178"/>
      <c r="AY1299" s="178"/>
      <c r="AZ1299" s="178"/>
      <c r="BA1299" s="178"/>
      <c r="BB1299" s="178"/>
      <c r="BC1299" s="179"/>
      <c r="BD1299" s="179"/>
      <c r="BE1299" s="179"/>
      <c r="BF1299" s="179"/>
      <c r="BG1299" s="179"/>
      <c r="BH1299" s="179"/>
      <c r="BI1299" s="179"/>
      <c r="BJ1299" s="179"/>
      <c r="BK1299" s="179"/>
      <c r="BL1299" s="179"/>
      <c r="BM1299" s="179"/>
      <c r="BN1299" s="179"/>
      <c r="BO1299" s="179"/>
      <c r="BP1299" s="179"/>
      <c r="BQ1299" s="179"/>
      <c r="BR1299" s="179"/>
      <c r="BS1299" s="179"/>
      <c r="BT1299" s="179"/>
      <c r="BU1299" s="179"/>
      <c r="BV1299" s="179"/>
      <c r="BW1299" s="179"/>
      <c r="BX1299" s="179"/>
      <c r="BY1299" s="179"/>
      <c r="BZ1299" s="179"/>
      <c r="CA1299" s="179"/>
      <c r="CB1299" s="179"/>
      <c r="CC1299" s="179"/>
      <c r="CD1299" s="179"/>
      <c r="CE1299" s="179"/>
      <c r="CF1299" s="179"/>
      <c r="CG1299" s="179"/>
      <c r="CH1299" s="179"/>
      <c r="CI1299" s="179"/>
      <c r="CJ1299" s="179"/>
      <c r="CK1299" s="179"/>
      <c r="CL1299" s="179"/>
      <c r="CM1299" s="179"/>
      <c r="CN1299" s="179"/>
      <c r="CO1299" s="179"/>
      <c r="CP1299" s="179"/>
      <c r="CQ1299" s="179"/>
      <c r="CR1299" s="179"/>
      <c r="CS1299" s="179"/>
      <c r="CT1299" s="179"/>
      <c r="CU1299" s="179"/>
      <c r="CV1299" s="179"/>
      <c r="CW1299" s="179"/>
      <c r="CX1299" s="179"/>
      <c r="CY1299" s="179"/>
      <c r="CZ1299" s="179"/>
      <c r="DA1299" s="179"/>
      <c r="DB1299" s="179"/>
      <c r="DC1299" s="179"/>
      <c r="DD1299" s="179"/>
      <c r="DE1299" s="179"/>
      <c r="DF1299" s="179"/>
      <c r="DG1299" s="179"/>
    </row>
    <row r="1300" spans="1:111" s="180" customFormat="1" ht="15" hidden="1" customHeight="1">
      <c r="A1300" s="178"/>
      <c r="B1300" s="509">
        <v>26</v>
      </c>
      <c r="C1300" s="509"/>
      <c r="D1300" s="178"/>
      <c r="E1300" s="513">
        <f>$O$1039</f>
        <v>0</v>
      </c>
      <c r="F1300" s="514"/>
      <c r="G1300" s="516" t="str">
        <f t="shared" si="3"/>
        <v/>
      </c>
      <c r="H1300" s="512"/>
      <c r="I1300" s="511" t="str">
        <f t="shared" si="4"/>
        <v/>
      </c>
      <c r="J1300" s="512"/>
      <c r="K1300" s="511" t="str">
        <f t="shared" si="5"/>
        <v/>
      </c>
      <c r="L1300" s="512"/>
      <c r="M1300" s="511" t="str">
        <f t="shared" si="6"/>
        <v/>
      </c>
      <c r="N1300" s="512"/>
      <c r="O1300" s="511" t="str">
        <f t="shared" si="7"/>
        <v/>
      </c>
      <c r="P1300" s="512"/>
      <c r="Q1300" s="511" t="str">
        <f t="shared" si="8"/>
        <v/>
      </c>
      <c r="R1300" s="512"/>
      <c r="S1300" s="511" t="str">
        <f t="shared" si="9"/>
        <v/>
      </c>
      <c r="T1300" s="512"/>
      <c r="U1300" s="511" t="str">
        <f t="shared" si="10"/>
        <v/>
      </c>
      <c r="V1300" s="512"/>
      <c r="W1300" s="178"/>
      <c r="X1300" s="178"/>
      <c r="Y1300" s="178"/>
      <c r="Z1300" s="178"/>
      <c r="AA1300" s="178"/>
      <c r="AB1300" s="178"/>
      <c r="AT1300" s="178"/>
      <c r="AU1300" s="178"/>
      <c r="AV1300" s="178"/>
      <c r="AW1300" s="178"/>
      <c r="AX1300" s="178"/>
      <c r="AY1300" s="178"/>
      <c r="AZ1300" s="178"/>
      <c r="BA1300" s="178"/>
      <c r="BB1300" s="178"/>
      <c r="BC1300" s="179"/>
      <c r="BD1300" s="179"/>
      <c r="BE1300" s="179"/>
      <c r="BF1300" s="179"/>
      <c r="BG1300" s="179"/>
      <c r="BH1300" s="179"/>
      <c r="BI1300" s="179"/>
      <c r="BJ1300" s="179"/>
      <c r="BK1300" s="179"/>
      <c r="BL1300" s="179"/>
      <c r="BM1300" s="179"/>
      <c r="BN1300" s="179"/>
      <c r="BO1300" s="179"/>
      <c r="BP1300" s="179"/>
      <c r="BQ1300" s="179"/>
      <c r="BR1300" s="179"/>
      <c r="BS1300" s="179"/>
      <c r="BT1300" s="179"/>
      <c r="BU1300" s="179"/>
      <c r="BV1300" s="179"/>
      <c r="BW1300" s="179"/>
      <c r="BX1300" s="179"/>
      <c r="BY1300" s="179"/>
      <c r="BZ1300" s="179"/>
      <c r="CA1300" s="179"/>
      <c r="CB1300" s="179"/>
      <c r="CC1300" s="179"/>
      <c r="CD1300" s="179"/>
      <c r="CE1300" s="179"/>
      <c r="CF1300" s="179"/>
      <c r="CG1300" s="179"/>
      <c r="CH1300" s="179"/>
      <c r="CI1300" s="179"/>
      <c r="CJ1300" s="179"/>
      <c r="CK1300" s="179"/>
      <c r="CL1300" s="179"/>
      <c r="CM1300" s="179"/>
      <c r="CN1300" s="179"/>
      <c r="CO1300" s="179"/>
      <c r="CP1300" s="179"/>
      <c r="CQ1300" s="179"/>
      <c r="CR1300" s="179"/>
      <c r="CS1300" s="179"/>
      <c r="CT1300" s="179"/>
      <c r="CU1300" s="179"/>
      <c r="CV1300" s="179"/>
      <c r="CW1300" s="179"/>
      <c r="CX1300" s="179"/>
      <c r="CY1300" s="179"/>
      <c r="CZ1300" s="179"/>
      <c r="DA1300" s="179"/>
      <c r="DB1300" s="179"/>
      <c r="DC1300" s="179"/>
      <c r="DD1300" s="179"/>
      <c r="DE1300" s="179"/>
      <c r="DF1300" s="179"/>
      <c r="DG1300" s="179"/>
    </row>
    <row r="1301" spans="1:111" s="180" customFormat="1" ht="15" hidden="1" customHeight="1">
      <c r="A1301" s="178"/>
      <c r="B1301" s="509">
        <v>27</v>
      </c>
      <c r="C1301" s="509"/>
      <c r="D1301" s="178"/>
      <c r="E1301" s="513">
        <f>$O$1079</f>
        <v>0</v>
      </c>
      <c r="F1301" s="514"/>
      <c r="G1301" s="516" t="str">
        <f t="shared" si="3"/>
        <v/>
      </c>
      <c r="H1301" s="512"/>
      <c r="I1301" s="511" t="str">
        <f t="shared" si="4"/>
        <v/>
      </c>
      <c r="J1301" s="512"/>
      <c r="K1301" s="511" t="str">
        <f t="shared" si="5"/>
        <v/>
      </c>
      <c r="L1301" s="512"/>
      <c r="M1301" s="511" t="str">
        <f t="shared" si="6"/>
        <v/>
      </c>
      <c r="N1301" s="512"/>
      <c r="O1301" s="511" t="str">
        <f t="shared" si="7"/>
        <v/>
      </c>
      <c r="P1301" s="512"/>
      <c r="Q1301" s="511" t="str">
        <f t="shared" si="8"/>
        <v/>
      </c>
      <c r="R1301" s="512"/>
      <c r="S1301" s="511" t="str">
        <f t="shared" si="9"/>
        <v/>
      </c>
      <c r="T1301" s="512"/>
      <c r="U1301" s="511" t="str">
        <f t="shared" si="10"/>
        <v/>
      </c>
      <c r="V1301" s="512"/>
      <c r="W1301" s="178"/>
      <c r="X1301" s="178"/>
      <c r="Y1301" s="178"/>
      <c r="Z1301" s="178"/>
      <c r="AA1301" s="178"/>
      <c r="AB1301" s="178"/>
      <c r="AT1301" s="178"/>
      <c r="AU1301" s="178"/>
      <c r="AV1301" s="178"/>
      <c r="AW1301" s="178"/>
      <c r="AX1301" s="178"/>
      <c r="AY1301" s="178"/>
      <c r="AZ1301" s="178"/>
      <c r="BA1301" s="178"/>
      <c r="BB1301" s="178"/>
      <c r="BC1301" s="179"/>
      <c r="BD1301" s="179"/>
      <c r="BE1301" s="179"/>
      <c r="BF1301" s="179"/>
      <c r="BG1301" s="179"/>
      <c r="BH1301" s="179"/>
      <c r="BI1301" s="179"/>
      <c r="BJ1301" s="179"/>
      <c r="BK1301" s="179"/>
      <c r="BL1301" s="179"/>
      <c r="BM1301" s="179"/>
      <c r="BN1301" s="179"/>
      <c r="BO1301" s="179"/>
      <c r="BP1301" s="179"/>
      <c r="BQ1301" s="179"/>
      <c r="BR1301" s="179"/>
      <c r="BS1301" s="179"/>
      <c r="BT1301" s="179"/>
      <c r="BU1301" s="179"/>
      <c r="BV1301" s="179"/>
      <c r="BW1301" s="179"/>
      <c r="BX1301" s="179"/>
      <c r="BY1301" s="179"/>
      <c r="BZ1301" s="179"/>
      <c r="CA1301" s="179"/>
      <c r="CB1301" s="179"/>
      <c r="CC1301" s="179"/>
      <c r="CD1301" s="179"/>
      <c r="CE1301" s="179"/>
      <c r="CF1301" s="179"/>
      <c r="CG1301" s="179"/>
      <c r="CH1301" s="179"/>
      <c r="CI1301" s="179"/>
      <c r="CJ1301" s="179"/>
      <c r="CK1301" s="179"/>
      <c r="CL1301" s="179"/>
      <c r="CM1301" s="179"/>
      <c r="CN1301" s="179"/>
      <c r="CO1301" s="179"/>
      <c r="CP1301" s="179"/>
      <c r="CQ1301" s="179"/>
      <c r="CR1301" s="179"/>
      <c r="CS1301" s="179"/>
      <c r="CT1301" s="179"/>
      <c r="CU1301" s="179"/>
      <c r="CV1301" s="179"/>
      <c r="CW1301" s="179"/>
      <c r="CX1301" s="179"/>
      <c r="CY1301" s="179"/>
      <c r="CZ1301" s="179"/>
      <c r="DA1301" s="179"/>
      <c r="DB1301" s="179"/>
      <c r="DC1301" s="179"/>
      <c r="DD1301" s="179"/>
      <c r="DE1301" s="179"/>
      <c r="DF1301" s="179"/>
      <c r="DG1301" s="179"/>
    </row>
    <row r="1302" spans="1:111" s="180" customFormat="1" ht="15" hidden="1" customHeight="1">
      <c r="A1302" s="178"/>
      <c r="B1302" s="509">
        <v>28</v>
      </c>
      <c r="C1302" s="509"/>
      <c r="D1302" s="178"/>
      <c r="E1302" s="513">
        <f>$O$1119</f>
        <v>0</v>
      </c>
      <c r="F1302" s="514"/>
      <c r="G1302" s="516" t="str">
        <f t="shared" si="3"/>
        <v/>
      </c>
      <c r="H1302" s="512"/>
      <c r="I1302" s="511" t="str">
        <f t="shared" si="4"/>
        <v/>
      </c>
      <c r="J1302" s="512"/>
      <c r="K1302" s="511" t="str">
        <f t="shared" si="5"/>
        <v/>
      </c>
      <c r="L1302" s="512"/>
      <c r="M1302" s="511" t="str">
        <f t="shared" si="6"/>
        <v/>
      </c>
      <c r="N1302" s="512"/>
      <c r="O1302" s="511" t="str">
        <f t="shared" si="7"/>
        <v/>
      </c>
      <c r="P1302" s="512"/>
      <c r="Q1302" s="511" t="str">
        <f t="shared" si="8"/>
        <v/>
      </c>
      <c r="R1302" s="512"/>
      <c r="S1302" s="511" t="str">
        <f t="shared" si="9"/>
        <v/>
      </c>
      <c r="T1302" s="512"/>
      <c r="U1302" s="511" t="str">
        <f t="shared" si="10"/>
        <v/>
      </c>
      <c r="V1302" s="512"/>
      <c r="W1302" s="178"/>
      <c r="X1302" s="178"/>
      <c r="Y1302" s="178"/>
      <c r="Z1302" s="178"/>
      <c r="AA1302" s="178"/>
      <c r="AB1302" s="178"/>
      <c r="AT1302" s="178"/>
      <c r="AU1302" s="178"/>
      <c r="AV1302" s="178"/>
      <c r="AW1302" s="178"/>
      <c r="AX1302" s="178"/>
      <c r="AY1302" s="178"/>
      <c r="AZ1302" s="178"/>
      <c r="BA1302" s="178"/>
      <c r="BB1302" s="178"/>
      <c r="BC1302" s="179"/>
      <c r="BD1302" s="179"/>
      <c r="BE1302" s="179"/>
      <c r="BF1302" s="179"/>
      <c r="BG1302" s="179"/>
      <c r="BH1302" s="179"/>
      <c r="BI1302" s="179"/>
      <c r="BJ1302" s="179"/>
      <c r="BK1302" s="179"/>
      <c r="BL1302" s="179"/>
      <c r="BM1302" s="179"/>
      <c r="BN1302" s="179"/>
      <c r="BO1302" s="179"/>
      <c r="BP1302" s="179"/>
      <c r="BQ1302" s="179"/>
      <c r="BR1302" s="179"/>
      <c r="BS1302" s="179"/>
      <c r="BT1302" s="179"/>
      <c r="BU1302" s="179"/>
      <c r="BV1302" s="179"/>
      <c r="BW1302" s="179"/>
      <c r="BX1302" s="179"/>
      <c r="BY1302" s="179"/>
      <c r="BZ1302" s="179"/>
      <c r="CA1302" s="179"/>
      <c r="CB1302" s="179"/>
      <c r="CC1302" s="179"/>
      <c r="CD1302" s="179"/>
      <c r="CE1302" s="179"/>
      <c r="CF1302" s="179"/>
      <c r="CG1302" s="179"/>
      <c r="CH1302" s="179"/>
      <c r="CI1302" s="179"/>
      <c r="CJ1302" s="179"/>
      <c r="CK1302" s="179"/>
      <c r="CL1302" s="179"/>
      <c r="CM1302" s="179"/>
      <c r="CN1302" s="179"/>
      <c r="CO1302" s="179"/>
      <c r="CP1302" s="179"/>
      <c r="CQ1302" s="179"/>
      <c r="CR1302" s="179"/>
      <c r="CS1302" s="179"/>
      <c r="CT1302" s="179"/>
      <c r="CU1302" s="179"/>
      <c r="CV1302" s="179"/>
      <c r="CW1302" s="179"/>
      <c r="CX1302" s="179"/>
      <c r="CY1302" s="179"/>
      <c r="CZ1302" s="179"/>
      <c r="DA1302" s="179"/>
      <c r="DB1302" s="179"/>
      <c r="DC1302" s="179"/>
      <c r="DD1302" s="179"/>
      <c r="DE1302" s="179"/>
      <c r="DF1302" s="179"/>
      <c r="DG1302" s="179"/>
    </row>
    <row r="1303" spans="1:111" s="180" customFormat="1" ht="15" hidden="1" customHeight="1">
      <c r="A1303" s="178"/>
      <c r="B1303" s="509">
        <v>29</v>
      </c>
      <c r="C1303" s="509"/>
      <c r="D1303" s="178"/>
      <c r="E1303" s="513">
        <f>$O$1159</f>
        <v>0</v>
      </c>
      <c r="F1303" s="514"/>
      <c r="G1303" s="516" t="str">
        <f t="shared" si="3"/>
        <v/>
      </c>
      <c r="H1303" s="512"/>
      <c r="I1303" s="511" t="str">
        <f t="shared" si="4"/>
        <v/>
      </c>
      <c r="J1303" s="512"/>
      <c r="K1303" s="511" t="str">
        <f t="shared" si="5"/>
        <v/>
      </c>
      <c r="L1303" s="512"/>
      <c r="M1303" s="511" t="str">
        <f t="shared" si="6"/>
        <v/>
      </c>
      <c r="N1303" s="512"/>
      <c r="O1303" s="511" t="str">
        <f t="shared" si="7"/>
        <v/>
      </c>
      <c r="P1303" s="512"/>
      <c r="Q1303" s="511" t="str">
        <f t="shared" si="8"/>
        <v/>
      </c>
      <c r="R1303" s="512"/>
      <c r="S1303" s="511" t="str">
        <f t="shared" si="9"/>
        <v/>
      </c>
      <c r="T1303" s="512"/>
      <c r="U1303" s="511" t="str">
        <f t="shared" si="10"/>
        <v/>
      </c>
      <c r="V1303" s="512"/>
      <c r="W1303" s="178"/>
      <c r="X1303" s="178"/>
      <c r="Y1303" s="178"/>
      <c r="Z1303" s="178"/>
      <c r="AA1303" s="178"/>
      <c r="AB1303" s="178"/>
      <c r="AT1303" s="178"/>
      <c r="AU1303" s="178"/>
      <c r="AV1303" s="178"/>
      <c r="AW1303" s="178"/>
      <c r="AX1303" s="178"/>
      <c r="AY1303" s="178"/>
      <c r="AZ1303" s="178"/>
      <c r="BA1303" s="178"/>
      <c r="BB1303" s="178"/>
      <c r="BC1303" s="179"/>
      <c r="BD1303" s="179"/>
      <c r="BE1303" s="179"/>
      <c r="BF1303" s="179"/>
      <c r="BG1303" s="179"/>
      <c r="BH1303" s="179"/>
      <c r="BI1303" s="179"/>
      <c r="BJ1303" s="179"/>
      <c r="BK1303" s="179"/>
      <c r="BL1303" s="179"/>
      <c r="BM1303" s="179"/>
      <c r="BN1303" s="179"/>
      <c r="BO1303" s="179"/>
      <c r="BP1303" s="179"/>
      <c r="BQ1303" s="179"/>
      <c r="BR1303" s="179"/>
      <c r="BS1303" s="179"/>
      <c r="BT1303" s="179"/>
      <c r="BU1303" s="179"/>
      <c r="BV1303" s="179"/>
      <c r="BW1303" s="179"/>
      <c r="BX1303" s="179"/>
      <c r="BY1303" s="179"/>
      <c r="BZ1303" s="179"/>
      <c r="CA1303" s="179"/>
      <c r="CB1303" s="179"/>
      <c r="CC1303" s="179"/>
      <c r="CD1303" s="179"/>
      <c r="CE1303" s="179"/>
      <c r="CF1303" s="179"/>
      <c r="CG1303" s="179"/>
      <c r="CH1303" s="179"/>
      <c r="CI1303" s="179"/>
      <c r="CJ1303" s="179"/>
      <c r="CK1303" s="179"/>
      <c r="CL1303" s="179"/>
      <c r="CM1303" s="179"/>
      <c r="CN1303" s="179"/>
      <c r="CO1303" s="179"/>
      <c r="CP1303" s="179"/>
      <c r="CQ1303" s="179"/>
      <c r="CR1303" s="179"/>
      <c r="CS1303" s="179"/>
      <c r="CT1303" s="179"/>
      <c r="CU1303" s="179"/>
      <c r="CV1303" s="179"/>
      <c r="CW1303" s="179"/>
      <c r="CX1303" s="179"/>
      <c r="CY1303" s="179"/>
      <c r="CZ1303" s="179"/>
      <c r="DA1303" s="179"/>
      <c r="DB1303" s="179"/>
      <c r="DC1303" s="179"/>
      <c r="DD1303" s="179"/>
      <c r="DE1303" s="179"/>
      <c r="DF1303" s="179"/>
      <c r="DG1303" s="179"/>
    </row>
    <row r="1304" spans="1:111" s="180" customFormat="1" ht="15" hidden="1" customHeight="1">
      <c r="A1304" s="178"/>
      <c r="B1304" s="509">
        <v>30</v>
      </c>
      <c r="C1304" s="509"/>
      <c r="D1304" s="178"/>
      <c r="E1304" s="513">
        <f>$O$1199</f>
        <v>0</v>
      </c>
      <c r="F1304" s="514"/>
      <c r="G1304" s="516" t="str">
        <f t="shared" si="3"/>
        <v/>
      </c>
      <c r="H1304" s="512"/>
      <c r="I1304" s="511" t="str">
        <f t="shared" si="4"/>
        <v/>
      </c>
      <c r="J1304" s="512"/>
      <c r="K1304" s="511" t="str">
        <f t="shared" si="5"/>
        <v/>
      </c>
      <c r="L1304" s="512"/>
      <c r="M1304" s="511" t="str">
        <f t="shared" si="6"/>
        <v/>
      </c>
      <c r="N1304" s="512"/>
      <c r="O1304" s="511" t="str">
        <f t="shared" si="7"/>
        <v/>
      </c>
      <c r="P1304" s="512"/>
      <c r="Q1304" s="511" t="str">
        <f t="shared" si="8"/>
        <v/>
      </c>
      <c r="R1304" s="512"/>
      <c r="S1304" s="511" t="str">
        <f t="shared" si="9"/>
        <v/>
      </c>
      <c r="T1304" s="512"/>
      <c r="U1304" s="511" t="str">
        <f t="shared" si="10"/>
        <v/>
      </c>
      <c r="V1304" s="512"/>
      <c r="W1304" s="178"/>
      <c r="X1304" s="178"/>
      <c r="Y1304" s="178"/>
      <c r="Z1304" s="178"/>
      <c r="AA1304" s="178"/>
      <c r="AB1304" s="178"/>
      <c r="AT1304" s="178"/>
      <c r="AU1304" s="178"/>
      <c r="AV1304" s="178"/>
      <c r="AW1304" s="178"/>
      <c r="AX1304" s="178"/>
      <c r="AY1304" s="178"/>
      <c r="AZ1304" s="178"/>
      <c r="BA1304" s="178"/>
      <c r="BB1304" s="178"/>
      <c r="BC1304" s="179"/>
      <c r="BD1304" s="179"/>
      <c r="BE1304" s="179"/>
      <c r="BF1304" s="179"/>
      <c r="BG1304" s="179"/>
      <c r="BH1304" s="179"/>
      <c r="BI1304" s="179"/>
      <c r="BJ1304" s="179"/>
      <c r="BK1304" s="179"/>
      <c r="BL1304" s="179"/>
      <c r="BM1304" s="179"/>
      <c r="BN1304" s="179"/>
      <c r="BO1304" s="179"/>
      <c r="BP1304" s="179"/>
      <c r="BQ1304" s="179"/>
      <c r="BR1304" s="179"/>
      <c r="BS1304" s="179"/>
      <c r="BT1304" s="179"/>
      <c r="BU1304" s="179"/>
      <c r="BV1304" s="179"/>
      <c r="BW1304" s="179"/>
      <c r="BX1304" s="179"/>
      <c r="BY1304" s="179"/>
      <c r="BZ1304" s="179"/>
      <c r="CA1304" s="179"/>
      <c r="CB1304" s="179"/>
      <c r="CC1304" s="179"/>
      <c r="CD1304" s="179"/>
      <c r="CE1304" s="179"/>
      <c r="CF1304" s="179"/>
      <c r="CG1304" s="179"/>
      <c r="CH1304" s="179"/>
      <c r="CI1304" s="179"/>
      <c r="CJ1304" s="179"/>
      <c r="CK1304" s="179"/>
      <c r="CL1304" s="179"/>
      <c r="CM1304" s="179"/>
      <c r="CN1304" s="179"/>
      <c r="CO1304" s="179"/>
      <c r="CP1304" s="179"/>
      <c r="CQ1304" s="179"/>
      <c r="CR1304" s="179"/>
      <c r="CS1304" s="179"/>
      <c r="CT1304" s="179"/>
      <c r="CU1304" s="179"/>
      <c r="CV1304" s="179"/>
      <c r="CW1304" s="179"/>
      <c r="CX1304" s="179"/>
      <c r="CY1304" s="179"/>
      <c r="CZ1304" s="179"/>
      <c r="DA1304" s="179"/>
      <c r="DB1304" s="179"/>
      <c r="DC1304" s="179"/>
      <c r="DD1304" s="179"/>
      <c r="DE1304" s="179"/>
      <c r="DF1304" s="179"/>
      <c r="DG1304" s="179"/>
    </row>
    <row r="1305" spans="1:111" s="180" customFormat="1" ht="9" hidden="1" customHeight="1">
      <c r="A1305" s="178"/>
      <c r="B1305" s="178"/>
      <c r="C1305" s="178"/>
      <c r="D1305" s="178"/>
      <c r="E1305" s="178"/>
      <c r="F1305" s="178"/>
      <c r="G1305" s="178"/>
      <c r="H1305" s="178"/>
      <c r="I1305" s="510">
        <f>SUM(I1275:J1304)</f>
        <v>0</v>
      </c>
      <c r="J1305" s="510"/>
      <c r="K1305" s="510">
        <f>SUM(K1275:L1304)</f>
        <v>25935</v>
      </c>
      <c r="L1305" s="510"/>
      <c r="M1305" s="510">
        <f>SUM(M1275:N1304)</f>
        <v>0</v>
      </c>
      <c r="N1305" s="510"/>
      <c r="O1305" s="510">
        <f>SUM(O1275:P1304)</f>
        <v>0</v>
      </c>
      <c r="P1305" s="510"/>
      <c r="Q1305" s="510">
        <f>SUM(Q1275:R1304)</f>
        <v>215924.5</v>
      </c>
      <c r="R1305" s="510"/>
      <c r="S1305" s="510">
        <f>SUM(S1275:T1304)</f>
        <v>2168972.52</v>
      </c>
      <c r="T1305" s="510"/>
      <c r="U1305" s="510">
        <f>SUM(U1275:V1304)</f>
        <v>129812.76333333334</v>
      </c>
      <c r="V1305" s="510"/>
      <c r="W1305" s="178"/>
      <c r="X1305" s="517">
        <f>SUM(I1305:V1306)</f>
        <v>2540644.7833333332</v>
      </c>
      <c r="Y1305" s="517"/>
      <c r="Z1305" s="517"/>
      <c r="AA1305" s="517"/>
      <c r="AB1305" s="517"/>
      <c r="AC1305" s="178"/>
      <c r="AD1305" s="178"/>
      <c r="AE1305" s="178"/>
      <c r="AF1305" s="178"/>
      <c r="AG1305" s="178"/>
      <c r="AH1305" s="178"/>
      <c r="AI1305" s="178"/>
      <c r="AJ1305" s="178"/>
      <c r="AK1305" s="178"/>
      <c r="AL1305" s="178"/>
      <c r="AM1305" s="178"/>
      <c r="AN1305" s="178"/>
      <c r="AO1305" s="178"/>
      <c r="AP1305" s="178"/>
      <c r="AQ1305" s="178"/>
      <c r="AR1305" s="178"/>
      <c r="AS1305" s="178"/>
      <c r="AT1305" s="178"/>
      <c r="AU1305" s="178"/>
      <c r="AV1305" s="178"/>
      <c r="AW1305" s="178"/>
      <c r="AX1305" s="178"/>
      <c r="AY1305" s="178"/>
      <c r="AZ1305" s="178"/>
      <c r="BA1305" s="178"/>
      <c r="BB1305" s="178"/>
      <c r="BC1305" s="179"/>
      <c r="BD1305" s="179"/>
      <c r="BE1305" s="179"/>
      <c r="BF1305" s="179"/>
      <c r="BG1305" s="179"/>
      <c r="BH1305" s="179"/>
      <c r="BI1305" s="179"/>
      <c r="BJ1305" s="179"/>
      <c r="BK1305" s="179"/>
      <c r="BL1305" s="179"/>
      <c r="BM1305" s="179"/>
      <c r="BN1305" s="179"/>
      <c r="BO1305" s="179"/>
      <c r="BP1305" s="179"/>
      <c r="BQ1305" s="179"/>
      <c r="BR1305" s="179"/>
      <c r="BS1305" s="179"/>
      <c r="BT1305" s="179"/>
      <c r="BU1305" s="179"/>
      <c r="BV1305" s="179"/>
      <c r="BW1305" s="179"/>
      <c r="BX1305" s="179"/>
      <c r="BY1305" s="179"/>
      <c r="BZ1305" s="179"/>
      <c r="CA1305" s="179"/>
      <c r="CB1305" s="179"/>
      <c r="CC1305" s="179"/>
      <c r="CD1305" s="179"/>
      <c r="CE1305" s="179"/>
      <c r="CF1305" s="179"/>
      <c r="CG1305" s="179"/>
      <c r="CH1305" s="179"/>
      <c r="CI1305" s="179"/>
      <c r="CJ1305" s="179"/>
      <c r="CK1305" s="179"/>
      <c r="CL1305" s="179"/>
      <c r="CM1305" s="179"/>
      <c r="CN1305" s="179"/>
      <c r="CO1305" s="179"/>
      <c r="CP1305" s="179"/>
      <c r="CQ1305" s="179"/>
      <c r="CR1305" s="179"/>
      <c r="CS1305" s="179"/>
      <c r="CT1305" s="179"/>
      <c r="CU1305" s="179"/>
      <c r="CV1305" s="179"/>
      <c r="CW1305" s="179"/>
      <c r="CX1305" s="179"/>
      <c r="CY1305" s="179"/>
      <c r="CZ1305" s="179"/>
      <c r="DA1305" s="179"/>
      <c r="DB1305" s="179"/>
      <c r="DC1305" s="179"/>
      <c r="DD1305" s="179"/>
      <c r="DE1305" s="179"/>
      <c r="DF1305" s="179"/>
      <c r="DG1305" s="179"/>
    </row>
    <row r="1306" spans="1:111" s="180" customFormat="1" ht="9" hidden="1" customHeight="1">
      <c r="A1306" s="178"/>
      <c r="B1306" s="178"/>
      <c r="C1306" s="178"/>
      <c r="D1306" s="178"/>
      <c r="E1306" s="178"/>
      <c r="F1306" s="178"/>
      <c r="G1306" s="178"/>
      <c r="H1306" s="178"/>
      <c r="I1306" s="510"/>
      <c r="J1306" s="510"/>
      <c r="K1306" s="510"/>
      <c r="L1306" s="510"/>
      <c r="M1306" s="510"/>
      <c r="N1306" s="510"/>
      <c r="O1306" s="510"/>
      <c r="P1306" s="510"/>
      <c r="Q1306" s="510"/>
      <c r="R1306" s="510"/>
      <c r="S1306" s="510"/>
      <c r="T1306" s="510"/>
      <c r="U1306" s="510"/>
      <c r="V1306" s="510"/>
      <c r="W1306" s="178"/>
      <c r="X1306" s="517"/>
      <c r="Y1306" s="517"/>
      <c r="Z1306" s="517"/>
      <c r="AA1306" s="517"/>
      <c r="AB1306" s="517"/>
      <c r="AC1306" s="178"/>
      <c r="AD1306" s="178"/>
      <c r="AE1306" s="178"/>
      <c r="AF1306" s="178"/>
      <c r="AG1306" s="178"/>
      <c r="AH1306" s="178"/>
      <c r="AI1306" s="178"/>
      <c r="AJ1306" s="178"/>
      <c r="AK1306" s="178"/>
      <c r="AL1306" s="178"/>
      <c r="AM1306" s="178"/>
      <c r="AN1306" s="178"/>
      <c r="AO1306" s="178"/>
      <c r="AP1306" s="178"/>
      <c r="AQ1306" s="178"/>
      <c r="AR1306" s="178"/>
      <c r="AS1306" s="178"/>
      <c r="AT1306" s="178"/>
      <c r="AU1306" s="178"/>
      <c r="AV1306" s="178"/>
      <c r="AW1306" s="178"/>
      <c r="AX1306" s="178"/>
      <c r="AY1306" s="178"/>
      <c r="AZ1306" s="178"/>
      <c r="BA1306" s="178"/>
      <c r="BB1306" s="178"/>
      <c r="BC1306" s="179"/>
      <c r="BD1306" s="179"/>
      <c r="BE1306" s="179"/>
      <c r="BF1306" s="179"/>
      <c r="BG1306" s="179"/>
      <c r="BH1306" s="179"/>
      <c r="BI1306" s="179"/>
      <c r="BJ1306" s="179"/>
      <c r="BK1306" s="179"/>
      <c r="BL1306" s="179"/>
      <c r="BM1306" s="179"/>
      <c r="BN1306" s="179"/>
      <c r="BO1306" s="179"/>
      <c r="BP1306" s="179"/>
      <c r="BQ1306" s="179"/>
      <c r="BR1306" s="179"/>
      <c r="BS1306" s="179"/>
      <c r="BT1306" s="179"/>
      <c r="BU1306" s="179"/>
      <c r="BV1306" s="179"/>
      <c r="BW1306" s="179"/>
      <c r="BX1306" s="179"/>
      <c r="BY1306" s="179"/>
      <c r="BZ1306" s="179"/>
      <c r="CA1306" s="179"/>
      <c r="CB1306" s="179"/>
      <c r="CC1306" s="179"/>
      <c r="CD1306" s="179"/>
      <c r="CE1306" s="179"/>
      <c r="CF1306" s="179"/>
      <c r="CG1306" s="179"/>
      <c r="CH1306" s="179"/>
      <c r="CI1306" s="179"/>
      <c r="CJ1306" s="179"/>
      <c r="CK1306" s="179"/>
      <c r="CL1306" s="179"/>
      <c r="CM1306" s="179"/>
      <c r="CN1306" s="179"/>
      <c r="CO1306" s="179"/>
      <c r="CP1306" s="179"/>
      <c r="CQ1306" s="179"/>
      <c r="CR1306" s="179"/>
      <c r="CS1306" s="179"/>
      <c r="CT1306" s="179"/>
      <c r="CU1306" s="179"/>
      <c r="CV1306" s="179"/>
      <c r="CW1306" s="179"/>
      <c r="CX1306" s="179"/>
      <c r="CY1306" s="179"/>
      <c r="CZ1306" s="179"/>
      <c r="DA1306" s="179"/>
      <c r="DB1306" s="179"/>
      <c r="DC1306" s="179"/>
      <c r="DD1306" s="179"/>
      <c r="DE1306" s="179"/>
      <c r="DF1306" s="179"/>
      <c r="DG1306" s="179"/>
    </row>
    <row r="1307" spans="1:111" s="180" customFormat="1" ht="15" hidden="1" customHeight="1">
      <c r="A1307" s="178"/>
      <c r="B1307" s="178"/>
      <c r="C1307" s="178"/>
      <c r="D1307" s="178"/>
      <c r="E1307" s="178"/>
      <c r="F1307" s="178"/>
      <c r="G1307" s="178"/>
      <c r="H1307" s="178"/>
      <c r="I1307" s="178"/>
      <c r="J1307" s="178"/>
      <c r="K1307" s="178"/>
      <c r="L1307" s="178"/>
      <c r="M1307" s="178"/>
      <c r="N1307" s="178"/>
      <c r="O1307" s="178"/>
      <c r="P1307" s="178"/>
      <c r="Q1307" s="178"/>
      <c r="R1307" s="178"/>
      <c r="S1307" s="178"/>
      <c r="T1307" s="178"/>
      <c r="U1307" s="178"/>
      <c r="V1307" s="178"/>
      <c r="W1307" s="178"/>
      <c r="X1307" s="178"/>
      <c r="Y1307" s="178"/>
      <c r="Z1307" s="178"/>
      <c r="AA1307" s="178"/>
      <c r="AB1307" s="178"/>
      <c r="AC1307" s="178"/>
      <c r="AD1307" s="178"/>
      <c r="AE1307" s="178"/>
      <c r="AF1307" s="178"/>
      <c r="AG1307" s="178"/>
      <c r="AH1307" s="178"/>
      <c r="AI1307" s="178"/>
      <c r="AJ1307" s="178"/>
      <c r="AK1307" s="178"/>
      <c r="AL1307" s="178"/>
      <c r="AM1307" s="178"/>
      <c r="AN1307" s="178"/>
      <c r="AO1307" s="178"/>
      <c r="AP1307" s="178"/>
      <c r="AQ1307" s="178"/>
      <c r="AR1307" s="178"/>
      <c r="AS1307" s="178"/>
      <c r="AT1307" s="178"/>
      <c r="AU1307" s="178"/>
      <c r="AV1307" s="178"/>
      <c r="AW1307" s="178"/>
      <c r="AX1307" s="178"/>
      <c r="AY1307" s="178"/>
      <c r="AZ1307" s="178"/>
      <c r="BA1307" s="178"/>
      <c r="BB1307" s="178"/>
      <c r="BC1307" s="179"/>
      <c r="BD1307" s="179"/>
      <c r="BE1307" s="179"/>
      <c r="BF1307" s="179"/>
      <c r="BG1307" s="179"/>
      <c r="BH1307" s="179"/>
      <c r="BI1307" s="179"/>
      <c r="BJ1307" s="179"/>
      <c r="BK1307" s="179"/>
      <c r="BL1307" s="179"/>
      <c r="BM1307" s="179"/>
      <c r="BN1307" s="179"/>
      <c r="BO1307" s="179"/>
      <c r="BP1307" s="179"/>
      <c r="BQ1307" s="179"/>
      <c r="BR1307" s="179"/>
      <c r="BS1307" s="179"/>
      <c r="BT1307" s="179"/>
      <c r="BU1307" s="179"/>
      <c r="BV1307" s="179"/>
      <c r="BW1307" s="179"/>
      <c r="BX1307" s="179"/>
      <c r="BY1307" s="179"/>
      <c r="BZ1307" s="179"/>
      <c r="CA1307" s="179"/>
      <c r="CB1307" s="179"/>
      <c r="CC1307" s="179"/>
      <c r="CD1307" s="179"/>
      <c r="CE1307" s="179"/>
      <c r="CF1307" s="179"/>
      <c r="CG1307" s="179"/>
      <c r="CH1307" s="179"/>
      <c r="CI1307" s="179"/>
      <c r="CJ1307" s="179"/>
      <c r="CK1307" s="179"/>
      <c r="CL1307" s="179"/>
      <c r="CM1307" s="179"/>
      <c r="CN1307" s="179"/>
      <c r="CO1307" s="179"/>
      <c r="CP1307" s="179"/>
      <c r="CQ1307" s="179"/>
      <c r="CR1307" s="179"/>
      <c r="CS1307" s="179"/>
      <c r="CT1307" s="179"/>
      <c r="CU1307" s="179"/>
      <c r="CV1307" s="179"/>
      <c r="CW1307" s="179"/>
      <c r="CX1307" s="179"/>
      <c r="CY1307" s="179"/>
      <c r="CZ1307" s="179"/>
      <c r="DA1307" s="179"/>
      <c r="DB1307" s="179"/>
      <c r="DC1307" s="179"/>
      <c r="DD1307" s="179"/>
      <c r="DE1307" s="179"/>
      <c r="DF1307" s="179"/>
      <c r="DG1307" s="179"/>
    </row>
    <row r="1308" spans="1:111" s="180" customFormat="1" ht="15" hidden="1" customHeight="1">
      <c r="A1308" s="178"/>
      <c r="B1308" s="178"/>
      <c r="C1308" s="178"/>
      <c r="D1308" s="178"/>
      <c r="E1308" s="178"/>
      <c r="F1308" s="178"/>
      <c r="G1308" s="178"/>
      <c r="H1308" s="178"/>
      <c r="I1308" s="178"/>
      <c r="J1308" s="178"/>
      <c r="K1308" s="178"/>
      <c r="L1308" s="178"/>
      <c r="M1308" s="178"/>
      <c r="N1308" s="178"/>
      <c r="O1308" s="178"/>
      <c r="P1308" s="178"/>
      <c r="Q1308" s="178"/>
      <c r="R1308" s="178"/>
      <c r="S1308" s="178"/>
      <c r="T1308" s="178"/>
      <c r="U1308" s="178"/>
      <c r="V1308" s="178"/>
      <c r="W1308" s="178"/>
      <c r="X1308" s="178"/>
      <c r="Y1308" s="178"/>
      <c r="Z1308" s="178"/>
      <c r="AA1308" s="178"/>
      <c r="AB1308" s="178"/>
      <c r="AC1308" s="178"/>
      <c r="AD1308" s="178"/>
      <c r="AE1308" s="178"/>
      <c r="AF1308" s="178"/>
      <c r="AG1308" s="178"/>
      <c r="AH1308" s="178"/>
      <c r="AI1308" s="178"/>
      <c r="AJ1308" s="178"/>
      <c r="AK1308" s="178"/>
      <c r="AL1308" s="178"/>
      <c r="AM1308" s="178"/>
      <c r="AN1308" s="178"/>
      <c r="AO1308" s="178"/>
      <c r="AP1308" s="178"/>
      <c r="AQ1308" s="178"/>
      <c r="AR1308" s="178"/>
      <c r="AS1308" s="178"/>
      <c r="AT1308" s="178"/>
      <c r="AU1308" s="178"/>
      <c r="AV1308" s="178"/>
      <c r="AW1308" s="178"/>
      <c r="AX1308" s="178"/>
      <c r="AY1308" s="178"/>
      <c r="AZ1308" s="178"/>
      <c r="BA1308" s="178"/>
      <c r="BB1308" s="178"/>
      <c r="BC1308" s="179"/>
      <c r="BD1308" s="179"/>
      <c r="BE1308" s="179"/>
      <c r="BF1308" s="179"/>
      <c r="BG1308" s="179"/>
      <c r="BH1308" s="179"/>
      <c r="BI1308" s="179"/>
      <c r="BJ1308" s="179"/>
      <c r="BK1308" s="179"/>
      <c r="BL1308" s="179"/>
      <c r="BM1308" s="179"/>
      <c r="BN1308" s="179"/>
      <c r="BO1308" s="179"/>
      <c r="BP1308" s="179"/>
      <c r="BQ1308" s="179"/>
      <c r="BR1308" s="179"/>
      <c r="BS1308" s="179"/>
      <c r="BT1308" s="179"/>
      <c r="BU1308" s="179"/>
      <c r="BV1308" s="179"/>
      <c r="BW1308" s="179"/>
      <c r="BX1308" s="179"/>
      <c r="BY1308" s="179"/>
      <c r="BZ1308" s="179"/>
      <c r="CA1308" s="179"/>
      <c r="CB1308" s="179"/>
      <c r="CC1308" s="179"/>
      <c r="CD1308" s="179"/>
      <c r="CE1308" s="179"/>
      <c r="CF1308" s="179"/>
      <c r="CG1308" s="179"/>
      <c r="CH1308" s="179"/>
      <c r="CI1308" s="179"/>
      <c r="CJ1308" s="179"/>
      <c r="CK1308" s="179"/>
      <c r="CL1308" s="179"/>
      <c r="CM1308" s="179"/>
      <c r="CN1308" s="179"/>
      <c r="CO1308" s="179"/>
      <c r="CP1308" s="179"/>
      <c r="CQ1308" s="179"/>
      <c r="CR1308" s="179"/>
      <c r="CS1308" s="179"/>
      <c r="CT1308" s="179"/>
      <c r="CU1308" s="179"/>
      <c r="CV1308" s="179"/>
      <c r="CW1308" s="179"/>
      <c r="CX1308" s="179"/>
      <c r="CY1308" s="179"/>
      <c r="CZ1308" s="179"/>
      <c r="DA1308" s="179"/>
      <c r="DB1308" s="179"/>
      <c r="DC1308" s="179"/>
      <c r="DD1308" s="179"/>
      <c r="DE1308" s="179"/>
      <c r="DF1308" s="179"/>
      <c r="DG1308" s="179"/>
    </row>
    <row r="1309" spans="1:111" s="180" customFormat="1" ht="15" hidden="1" customHeight="1">
      <c r="A1309" s="178"/>
      <c r="B1309" s="178"/>
      <c r="C1309" s="178"/>
      <c r="D1309" s="178"/>
      <c r="E1309" s="178"/>
      <c r="F1309" s="178"/>
      <c r="G1309" s="178"/>
      <c r="H1309" s="178"/>
      <c r="I1309" s="178"/>
      <c r="J1309" s="178"/>
      <c r="K1309" s="178"/>
      <c r="L1309" s="178"/>
      <c r="M1309" s="178"/>
      <c r="N1309" s="178"/>
      <c r="O1309" s="178"/>
      <c r="P1309" s="178"/>
      <c r="Q1309" s="178"/>
      <c r="R1309" s="178"/>
      <c r="S1309" s="178"/>
      <c r="T1309" s="178"/>
      <c r="U1309" s="178"/>
      <c r="V1309" s="178"/>
      <c r="W1309" s="178"/>
      <c r="X1309" s="178"/>
      <c r="Y1309" s="178"/>
      <c r="Z1309" s="178"/>
      <c r="AA1309" s="178"/>
      <c r="AB1309" s="178"/>
      <c r="AC1309" s="178"/>
      <c r="AD1309" s="178"/>
      <c r="AE1309" s="178"/>
      <c r="AF1309" s="178"/>
      <c r="AG1309" s="178"/>
      <c r="AH1309" s="178"/>
      <c r="AI1309" s="178"/>
      <c r="AJ1309" s="178"/>
      <c r="AK1309" s="178"/>
      <c r="AL1309" s="178"/>
      <c r="AM1309" s="178"/>
      <c r="AN1309" s="178"/>
      <c r="AO1309" s="178"/>
      <c r="AP1309" s="178"/>
      <c r="AQ1309" s="178"/>
      <c r="AR1309" s="178"/>
      <c r="AS1309" s="178"/>
      <c r="AT1309" s="178"/>
      <c r="AU1309" s="178"/>
      <c r="AV1309" s="178"/>
      <c r="AW1309" s="178"/>
      <c r="AX1309" s="178"/>
      <c r="AY1309" s="178"/>
      <c r="AZ1309" s="178"/>
      <c r="BA1309" s="178"/>
      <c r="BB1309" s="178"/>
      <c r="BC1309" s="179"/>
      <c r="BD1309" s="179"/>
      <c r="BE1309" s="179"/>
      <c r="BF1309" s="179"/>
      <c r="BG1309" s="179"/>
      <c r="BH1309" s="179"/>
      <c r="BI1309" s="179"/>
      <c r="BJ1309" s="179"/>
      <c r="BK1309" s="179"/>
      <c r="BL1309" s="179"/>
      <c r="BM1309" s="179"/>
      <c r="BN1309" s="179"/>
      <c r="BO1309" s="179"/>
      <c r="BP1309" s="179"/>
      <c r="BQ1309" s="179"/>
      <c r="BR1309" s="179"/>
      <c r="BS1309" s="179"/>
      <c r="BT1309" s="179"/>
      <c r="BU1309" s="179"/>
      <c r="BV1309" s="179"/>
      <c r="BW1309" s="179"/>
      <c r="BX1309" s="179"/>
      <c r="BY1309" s="179"/>
      <c r="BZ1309" s="179"/>
      <c r="CA1309" s="179"/>
      <c r="CB1309" s="179"/>
      <c r="CC1309" s="179"/>
      <c r="CD1309" s="179"/>
      <c r="CE1309" s="179"/>
      <c r="CF1309" s="179"/>
      <c r="CG1309" s="179"/>
      <c r="CH1309" s="179"/>
      <c r="CI1309" s="179"/>
      <c r="CJ1309" s="179"/>
      <c r="CK1309" s="179"/>
      <c r="CL1309" s="179"/>
      <c r="CM1309" s="179"/>
      <c r="CN1309" s="179"/>
      <c r="CO1309" s="179"/>
      <c r="CP1309" s="179"/>
      <c r="CQ1309" s="179"/>
      <c r="CR1309" s="179"/>
      <c r="CS1309" s="179"/>
      <c r="CT1309" s="179"/>
      <c r="CU1309" s="179"/>
      <c r="CV1309" s="179"/>
      <c r="CW1309" s="179"/>
      <c r="CX1309" s="179"/>
      <c r="CY1309" s="179"/>
      <c r="CZ1309" s="179"/>
      <c r="DA1309" s="179"/>
      <c r="DB1309" s="179"/>
      <c r="DC1309" s="179"/>
      <c r="DD1309" s="179"/>
      <c r="DE1309" s="179"/>
      <c r="DF1309" s="179"/>
      <c r="DG1309" s="179"/>
    </row>
    <row r="1310" spans="1:111" ht="9" hidden="1" customHeight="1">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c r="BY1310" s="115"/>
      <c r="BZ1310" s="115"/>
      <c r="CA1310" s="115"/>
      <c r="CB1310" s="115"/>
      <c r="CC1310" s="115"/>
      <c r="CD1310" s="115"/>
      <c r="CE1310" s="115"/>
      <c r="CF1310" s="115"/>
      <c r="CG1310" s="115"/>
      <c r="CH1310" s="115"/>
      <c r="CI1310" s="115"/>
      <c r="CJ1310" s="115"/>
      <c r="CK1310" s="115"/>
      <c r="CL1310" s="115"/>
      <c r="CM1310" s="115"/>
      <c r="CN1310" s="115"/>
      <c r="CO1310" s="115"/>
      <c r="CP1310" s="115"/>
      <c r="CQ1310" s="115"/>
      <c r="CR1310" s="115"/>
      <c r="CS1310" s="115"/>
      <c r="CT1310" s="115"/>
      <c r="CU1310" s="115"/>
      <c r="CV1310" s="115"/>
      <c r="CW1310" s="115"/>
      <c r="CX1310" s="115"/>
      <c r="CY1310" s="115"/>
      <c r="CZ1310" s="115"/>
      <c r="DA1310" s="115"/>
      <c r="DB1310" s="115"/>
      <c r="DC1310" s="115"/>
      <c r="DD1310" s="115"/>
      <c r="DE1310" s="115"/>
      <c r="DF1310" s="115"/>
      <c r="DG1310" s="115"/>
    </row>
    <row r="1311" spans="1:111" ht="9" hidden="1" customHeight="1">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c r="BY1311" s="115"/>
      <c r="BZ1311" s="115"/>
      <c r="CA1311" s="115"/>
      <c r="CB1311" s="115"/>
      <c r="CC1311" s="115"/>
      <c r="CD1311" s="115"/>
      <c r="CE1311" s="115"/>
      <c r="CF1311" s="115"/>
      <c r="CG1311" s="115"/>
      <c r="CH1311" s="115"/>
      <c r="CI1311" s="115"/>
      <c r="CJ1311" s="115"/>
      <c r="CK1311" s="115"/>
      <c r="CL1311" s="115"/>
      <c r="CM1311" s="115"/>
      <c r="CN1311" s="115"/>
      <c r="CO1311" s="115"/>
      <c r="CP1311" s="115"/>
      <c r="CQ1311" s="115"/>
      <c r="CR1311" s="115"/>
      <c r="CS1311" s="115"/>
      <c r="CT1311" s="115"/>
      <c r="CU1311" s="115"/>
      <c r="CV1311" s="115"/>
      <c r="CW1311" s="115"/>
      <c r="CX1311" s="115"/>
      <c r="CY1311" s="115"/>
      <c r="CZ1311" s="115"/>
      <c r="DA1311" s="115"/>
      <c r="DB1311" s="115"/>
      <c r="DC1311" s="115"/>
      <c r="DD1311" s="115"/>
      <c r="DE1311" s="115"/>
      <c r="DF1311" s="115"/>
      <c r="DG1311" s="115"/>
    </row>
    <row r="1312" spans="1:111" ht="9" hidden="1" customHeight="1">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c r="BY1312" s="115"/>
      <c r="BZ1312" s="115"/>
      <c r="CA1312" s="115"/>
      <c r="CB1312" s="115"/>
      <c r="CC1312" s="115"/>
      <c r="CD1312" s="115"/>
      <c r="CE1312" s="115"/>
      <c r="CF1312" s="115"/>
      <c r="CG1312" s="115"/>
      <c r="CH1312" s="115"/>
      <c r="CI1312" s="115"/>
      <c r="CJ1312" s="115"/>
      <c r="CK1312" s="115"/>
      <c r="CL1312" s="115"/>
      <c r="CM1312" s="115"/>
      <c r="CN1312" s="115"/>
      <c r="CO1312" s="115"/>
      <c r="CP1312" s="115"/>
      <c r="CQ1312" s="115"/>
      <c r="CR1312" s="115"/>
      <c r="CS1312" s="115"/>
      <c r="CT1312" s="115"/>
      <c r="CU1312" s="115"/>
      <c r="CV1312" s="115"/>
      <c r="CW1312" s="115"/>
      <c r="CX1312" s="115"/>
      <c r="CY1312" s="115"/>
      <c r="CZ1312" s="115"/>
      <c r="DA1312" s="115"/>
      <c r="DB1312" s="115"/>
      <c r="DC1312" s="115"/>
      <c r="DD1312" s="115"/>
      <c r="DE1312" s="115"/>
      <c r="DF1312" s="115"/>
      <c r="DG1312" s="115"/>
    </row>
    <row r="1313" spans="55:111" ht="9" hidden="1" customHeight="1">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c r="BY1313" s="115"/>
      <c r="BZ1313" s="115"/>
      <c r="CA1313" s="115"/>
      <c r="CB1313" s="115"/>
      <c r="CC1313" s="115"/>
      <c r="CD1313" s="115"/>
      <c r="CE1313" s="115"/>
      <c r="CF1313" s="115"/>
      <c r="CG1313" s="115"/>
      <c r="CH1313" s="115"/>
      <c r="CI1313" s="115"/>
      <c r="CJ1313" s="115"/>
      <c r="CK1313" s="115"/>
      <c r="CL1313" s="115"/>
      <c r="CM1313" s="115"/>
      <c r="CN1313" s="115"/>
      <c r="CO1313" s="115"/>
      <c r="CP1313" s="115"/>
      <c r="CQ1313" s="115"/>
      <c r="CR1313" s="115"/>
      <c r="CS1313" s="115"/>
      <c r="CT1313" s="115"/>
      <c r="CU1313" s="115"/>
      <c r="CV1313" s="115"/>
      <c r="CW1313" s="115"/>
      <c r="CX1313" s="115"/>
      <c r="CY1313" s="115"/>
      <c r="CZ1313" s="115"/>
      <c r="DA1313" s="115"/>
      <c r="DB1313" s="115"/>
      <c r="DC1313" s="115"/>
      <c r="DD1313" s="115"/>
      <c r="DE1313" s="115"/>
      <c r="DF1313" s="115"/>
      <c r="DG1313" s="115"/>
    </row>
    <row r="1314" spans="55:111" ht="9" hidden="1" customHeight="1">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c r="BY1314" s="115"/>
      <c r="BZ1314" s="115"/>
      <c r="CA1314" s="115"/>
      <c r="CB1314" s="115"/>
      <c r="CC1314" s="115"/>
      <c r="CD1314" s="115"/>
      <c r="CE1314" s="115"/>
      <c r="CF1314" s="115"/>
      <c r="CG1314" s="115"/>
      <c r="CH1314" s="115"/>
      <c r="CI1314" s="115"/>
      <c r="CJ1314" s="115"/>
      <c r="CK1314" s="115"/>
      <c r="CL1314" s="115"/>
      <c r="CM1314" s="115"/>
      <c r="CN1314" s="115"/>
      <c r="CO1314" s="115"/>
      <c r="CP1314" s="115"/>
      <c r="CQ1314" s="115"/>
      <c r="CR1314" s="115"/>
      <c r="CS1314" s="115"/>
      <c r="CT1314" s="115"/>
      <c r="CU1314" s="115"/>
      <c r="CV1314" s="115"/>
      <c r="CW1314" s="115"/>
      <c r="CX1314" s="115"/>
      <c r="CY1314" s="115"/>
      <c r="CZ1314" s="115"/>
      <c r="DA1314" s="115"/>
      <c r="DB1314" s="115"/>
      <c r="DC1314" s="115"/>
      <c r="DD1314" s="115"/>
      <c r="DE1314" s="115"/>
      <c r="DF1314" s="115"/>
      <c r="DG1314" s="115"/>
    </row>
    <row r="1315" spans="55:111" ht="9" hidden="1" customHeight="1">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c r="BY1315" s="115"/>
      <c r="BZ1315" s="115"/>
      <c r="CA1315" s="115"/>
      <c r="CB1315" s="115"/>
      <c r="CC1315" s="115"/>
      <c r="CD1315" s="115"/>
      <c r="CE1315" s="115"/>
      <c r="CF1315" s="115"/>
      <c r="CG1315" s="115"/>
      <c r="CH1315" s="115"/>
      <c r="CI1315" s="115"/>
      <c r="CJ1315" s="115"/>
      <c r="CK1315" s="115"/>
      <c r="CL1315" s="115"/>
      <c r="CM1315" s="115"/>
      <c r="CN1315" s="115"/>
      <c r="CO1315" s="115"/>
      <c r="CP1315" s="115"/>
      <c r="CQ1315" s="115"/>
      <c r="CR1315" s="115"/>
      <c r="CS1315" s="115"/>
      <c r="CT1315" s="115"/>
      <c r="CU1315" s="115"/>
      <c r="CV1315" s="115"/>
      <c r="CW1315" s="115"/>
      <c r="CX1315" s="115"/>
      <c r="CY1315" s="115"/>
      <c r="CZ1315" s="115"/>
      <c r="DA1315" s="115"/>
      <c r="DB1315" s="115"/>
      <c r="DC1315" s="115"/>
      <c r="DD1315" s="115"/>
      <c r="DE1315" s="115"/>
      <c r="DF1315" s="115"/>
      <c r="DG1315" s="115"/>
    </row>
    <row r="1316" spans="55:111" ht="9" hidden="1" customHeight="1">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c r="BY1316" s="115"/>
      <c r="BZ1316" s="115"/>
      <c r="CA1316" s="115"/>
      <c r="CB1316" s="115"/>
      <c r="CC1316" s="115"/>
      <c r="CD1316" s="115"/>
      <c r="CE1316" s="115"/>
      <c r="CF1316" s="115"/>
      <c r="CG1316" s="115"/>
      <c r="CH1316" s="115"/>
      <c r="CI1316" s="115"/>
      <c r="CJ1316" s="115"/>
      <c r="CK1316" s="115"/>
      <c r="CL1316" s="115"/>
      <c r="CM1316" s="115"/>
      <c r="CN1316" s="115"/>
      <c r="CO1316" s="115"/>
      <c r="CP1316" s="115"/>
      <c r="CQ1316" s="115"/>
      <c r="CR1316" s="115"/>
      <c r="CS1316" s="115"/>
      <c r="CT1316" s="115"/>
      <c r="CU1316" s="115"/>
      <c r="CV1316" s="115"/>
      <c r="CW1316" s="115"/>
      <c r="CX1316" s="115"/>
      <c r="CY1316" s="115"/>
      <c r="CZ1316" s="115"/>
      <c r="DA1316" s="115"/>
      <c r="DB1316" s="115"/>
      <c r="DC1316" s="115"/>
      <c r="DD1316" s="115"/>
      <c r="DE1316" s="115"/>
      <c r="DF1316" s="115"/>
      <c r="DG1316" s="115"/>
    </row>
    <row r="1317" spans="55:111" ht="9" hidden="1" customHeight="1">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c r="BY1317" s="115"/>
      <c r="BZ1317" s="115"/>
      <c r="CA1317" s="115"/>
      <c r="CB1317" s="115"/>
      <c r="CC1317" s="115"/>
      <c r="CD1317" s="115"/>
      <c r="CE1317" s="115"/>
      <c r="CF1317" s="115"/>
      <c r="CG1317" s="115"/>
      <c r="CH1317" s="115"/>
      <c r="CI1317" s="115"/>
      <c r="CJ1317" s="115"/>
      <c r="CK1317" s="115"/>
      <c r="CL1317" s="115"/>
      <c r="CM1317" s="115"/>
      <c r="CN1317" s="115"/>
      <c r="CO1317" s="115"/>
      <c r="CP1317" s="115"/>
      <c r="CQ1317" s="115"/>
      <c r="CR1317" s="115"/>
      <c r="CS1317" s="115"/>
      <c r="CT1317" s="115"/>
      <c r="CU1317" s="115"/>
      <c r="CV1317" s="115"/>
      <c r="CW1317" s="115"/>
      <c r="CX1317" s="115"/>
      <c r="CY1317" s="115"/>
      <c r="CZ1317" s="115"/>
      <c r="DA1317" s="115"/>
      <c r="DB1317" s="115"/>
      <c r="DC1317" s="115"/>
      <c r="DD1317" s="115"/>
      <c r="DE1317" s="115"/>
      <c r="DF1317" s="115"/>
      <c r="DG1317" s="115"/>
    </row>
    <row r="1318" spans="55:111" ht="9" hidden="1" customHeight="1">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c r="BY1318" s="115"/>
      <c r="BZ1318" s="115"/>
      <c r="CA1318" s="115"/>
      <c r="CB1318" s="115"/>
      <c r="CC1318" s="115"/>
      <c r="CD1318" s="115"/>
      <c r="CE1318" s="115"/>
      <c r="CF1318" s="115"/>
      <c r="CG1318" s="115"/>
      <c r="CH1318" s="115"/>
      <c r="CI1318" s="115"/>
      <c r="CJ1318" s="115"/>
      <c r="CK1318" s="115"/>
      <c r="CL1318" s="115"/>
      <c r="CM1318" s="115"/>
      <c r="CN1318" s="115"/>
      <c r="CO1318" s="115"/>
      <c r="CP1318" s="115"/>
      <c r="CQ1318" s="115"/>
      <c r="CR1318" s="115"/>
      <c r="CS1318" s="115"/>
      <c r="CT1318" s="115"/>
      <c r="CU1318" s="115"/>
      <c r="CV1318" s="115"/>
      <c r="CW1318" s="115"/>
      <c r="CX1318" s="115"/>
      <c r="CY1318" s="115"/>
      <c r="CZ1318" s="115"/>
      <c r="DA1318" s="115"/>
      <c r="DB1318" s="115"/>
      <c r="DC1318" s="115"/>
      <c r="DD1318" s="115"/>
      <c r="DE1318" s="115"/>
      <c r="DF1318" s="115"/>
      <c r="DG1318" s="115"/>
    </row>
    <row r="1319" spans="55:111" ht="9" hidden="1" customHeight="1">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c r="BY1319" s="115"/>
      <c r="BZ1319" s="115"/>
      <c r="CA1319" s="115"/>
      <c r="CB1319" s="115"/>
      <c r="CC1319" s="115"/>
      <c r="CD1319" s="115"/>
      <c r="CE1319" s="115"/>
      <c r="CF1319" s="115"/>
      <c r="CG1319" s="115"/>
      <c r="CH1319" s="115"/>
      <c r="CI1319" s="115"/>
      <c r="CJ1319" s="115"/>
      <c r="CK1319" s="115"/>
      <c r="CL1319" s="115"/>
      <c r="CM1319" s="115"/>
      <c r="CN1319" s="115"/>
      <c r="CO1319" s="115"/>
      <c r="CP1319" s="115"/>
      <c r="CQ1319" s="115"/>
      <c r="CR1319" s="115"/>
      <c r="CS1319" s="115"/>
      <c r="CT1319" s="115"/>
      <c r="CU1319" s="115"/>
      <c r="CV1319" s="115"/>
      <c r="CW1319" s="115"/>
      <c r="CX1319" s="115"/>
      <c r="CY1319" s="115"/>
      <c r="CZ1319" s="115"/>
      <c r="DA1319" s="115"/>
      <c r="DB1319" s="115"/>
      <c r="DC1319" s="115"/>
      <c r="DD1319" s="115"/>
      <c r="DE1319" s="115"/>
      <c r="DF1319" s="115"/>
      <c r="DG1319" s="115"/>
    </row>
    <row r="1320" spans="55:111" ht="9" hidden="1" customHeight="1">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c r="BY1320" s="115"/>
      <c r="BZ1320" s="115"/>
      <c r="CA1320" s="115"/>
      <c r="CB1320" s="115"/>
      <c r="CC1320" s="115"/>
      <c r="CD1320" s="115"/>
      <c r="CE1320" s="115"/>
      <c r="CF1320" s="115"/>
      <c r="CG1320" s="115"/>
      <c r="CH1320" s="115"/>
      <c r="CI1320" s="115"/>
      <c r="CJ1320" s="115"/>
      <c r="CK1320" s="115"/>
      <c r="CL1320" s="115"/>
      <c r="CM1320" s="115"/>
      <c r="CN1320" s="115"/>
      <c r="CO1320" s="115"/>
      <c r="CP1320" s="115"/>
      <c r="CQ1320" s="115"/>
      <c r="CR1320" s="115"/>
      <c r="CS1320" s="115"/>
      <c r="CT1320" s="115"/>
      <c r="CU1320" s="115"/>
      <c r="CV1320" s="115"/>
      <c r="CW1320" s="115"/>
      <c r="CX1320" s="115"/>
      <c r="CY1320" s="115"/>
      <c r="CZ1320" s="115"/>
      <c r="DA1320" s="115"/>
      <c r="DB1320" s="115"/>
      <c r="DC1320" s="115"/>
      <c r="DD1320" s="115"/>
      <c r="DE1320" s="115"/>
      <c r="DF1320" s="115"/>
      <c r="DG1320" s="115"/>
    </row>
    <row r="1321" spans="55:111" ht="9" hidden="1" customHeight="1">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c r="BY1321" s="115"/>
      <c r="BZ1321" s="115"/>
      <c r="CA1321" s="115"/>
      <c r="CB1321" s="115"/>
      <c r="CC1321" s="115"/>
      <c r="CD1321" s="115"/>
      <c r="CE1321" s="115"/>
      <c r="CF1321" s="115"/>
      <c r="CG1321" s="115"/>
      <c r="CH1321" s="115"/>
      <c r="CI1321" s="115"/>
      <c r="CJ1321" s="115"/>
      <c r="CK1321" s="115"/>
      <c r="CL1321" s="115"/>
      <c r="CM1321" s="115"/>
      <c r="CN1321" s="115"/>
      <c r="CO1321" s="115"/>
      <c r="CP1321" s="115"/>
      <c r="CQ1321" s="115"/>
      <c r="CR1321" s="115"/>
      <c r="CS1321" s="115"/>
      <c r="CT1321" s="115"/>
      <c r="CU1321" s="115"/>
      <c r="CV1321" s="115"/>
      <c r="CW1321" s="115"/>
      <c r="CX1321" s="115"/>
      <c r="CY1321" s="115"/>
      <c r="CZ1321" s="115"/>
      <c r="DA1321" s="115"/>
      <c r="DB1321" s="115"/>
      <c r="DC1321" s="115"/>
      <c r="DD1321" s="115"/>
      <c r="DE1321" s="115"/>
      <c r="DF1321" s="115"/>
      <c r="DG1321" s="115"/>
    </row>
    <row r="1322" spans="55:111" ht="9" hidden="1" customHeight="1">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c r="BY1322" s="115"/>
      <c r="BZ1322" s="115"/>
      <c r="CA1322" s="115"/>
      <c r="CB1322" s="115"/>
      <c r="CC1322" s="115"/>
      <c r="CD1322" s="115"/>
      <c r="CE1322" s="115"/>
      <c r="CF1322" s="115"/>
      <c r="CG1322" s="115"/>
      <c r="CH1322" s="115"/>
      <c r="CI1322" s="115"/>
      <c r="CJ1322" s="115"/>
      <c r="CK1322" s="115"/>
      <c r="CL1322" s="115"/>
      <c r="CM1322" s="115"/>
      <c r="CN1322" s="115"/>
      <c r="CO1322" s="115"/>
      <c r="CP1322" s="115"/>
      <c r="CQ1322" s="115"/>
      <c r="CR1322" s="115"/>
      <c r="CS1322" s="115"/>
      <c r="CT1322" s="115"/>
      <c r="CU1322" s="115"/>
      <c r="CV1322" s="115"/>
      <c r="CW1322" s="115"/>
      <c r="CX1322" s="115"/>
      <c r="CY1322" s="115"/>
      <c r="CZ1322" s="115"/>
      <c r="DA1322" s="115"/>
      <c r="DB1322" s="115"/>
      <c r="DC1322" s="115"/>
      <c r="DD1322" s="115"/>
      <c r="DE1322" s="115"/>
      <c r="DF1322" s="115"/>
      <c r="DG1322" s="115"/>
    </row>
    <row r="1323" spans="55:111" ht="9" hidden="1" customHeight="1">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c r="BY1323" s="115"/>
      <c r="BZ1323" s="115"/>
      <c r="CA1323" s="115"/>
      <c r="CB1323" s="115"/>
      <c r="CC1323" s="115"/>
      <c r="CD1323" s="115"/>
      <c r="CE1323" s="115"/>
      <c r="CF1323" s="115"/>
      <c r="CG1323" s="115"/>
      <c r="CH1323" s="115"/>
      <c r="CI1323" s="115"/>
      <c r="CJ1323" s="115"/>
      <c r="CK1323" s="115"/>
      <c r="CL1323" s="115"/>
      <c r="CM1323" s="115"/>
      <c r="CN1323" s="115"/>
      <c r="CO1323" s="115"/>
      <c r="CP1323" s="115"/>
      <c r="CQ1323" s="115"/>
      <c r="CR1323" s="115"/>
      <c r="CS1323" s="115"/>
      <c r="CT1323" s="115"/>
      <c r="CU1323" s="115"/>
      <c r="CV1323" s="115"/>
      <c r="CW1323" s="115"/>
      <c r="CX1323" s="115"/>
      <c r="CY1323" s="115"/>
      <c r="CZ1323" s="115"/>
      <c r="DA1323" s="115"/>
      <c r="DB1323" s="115"/>
      <c r="DC1323" s="115"/>
      <c r="DD1323" s="115"/>
      <c r="DE1323" s="115"/>
      <c r="DF1323" s="115"/>
      <c r="DG1323" s="115"/>
    </row>
    <row r="1324" spans="55:111" ht="9" hidden="1" customHeight="1">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c r="BY1324" s="115"/>
      <c r="BZ1324" s="115"/>
      <c r="CA1324" s="115"/>
      <c r="CB1324" s="115"/>
      <c r="CC1324" s="115"/>
      <c r="CD1324" s="115"/>
      <c r="CE1324" s="115"/>
      <c r="CF1324" s="115"/>
      <c r="CG1324" s="115"/>
      <c r="CH1324" s="115"/>
      <c r="CI1324" s="115"/>
      <c r="CJ1324" s="115"/>
      <c r="CK1324" s="115"/>
      <c r="CL1324" s="115"/>
      <c r="CM1324" s="115"/>
      <c r="CN1324" s="115"/>
      <c r="CO1324" s="115"/>
      <c r="CP1324" s="115"/>
      <c r="CQ1324" s="115"/>
      <c r="CR1324" s="115"/>
      <c r="CS1324" s="115"/>
      <c r="CT1324" s="115"/>
      <c r="CU1324" s="115"/>
      <c r="CV1324" s="115"/>
      <c r="CW1324" s="115"/>
      <c r="CX1324" s="115"/>
      <c r="CY1324" s="115"/>
      <c r="CZ1324" s="115"/>
      <c r="DA1324" s="115"/>
      <c r="DB1324" s="115"/>
      <c r="DC1324" s="115"/>
      <c r="DD1324" s="115"/>
      <c r="DE1324" s="115"/>
      <c r="DF1324" s="115"/>
      <c r="DG1324" s="115"/>
    </row>
    <row r="1325" spans="55:111" ht="9" hidden="1" customHeight="1">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c r="BY1325" s="115"/>
      <c r="BZ1325" s="115"/>
      <c r="CA1325" s="115"/>
      <c r="CB1325" s="115"/>
      <c r="CC1325" s="115"/>
      <c r="CD1325" s="115"/>
      <c r="CE1325" s="115"/>
      <c r="CF1325" s="115"/>
      <c r="CG1325" s="115"/>
      <c r="CH1325" s="115"/>
      <c r="CI1325" s="115"/>
      <c r="CJ1325" s="115"/>
      <c r="CK1325" s="115"/>
      <c r="CL1325" s="115"/>
      <c r="CM1325" s="115"/>
      <c r="CN1325" s="115"/>
      <c r="CO1325" s="115"/>
      <c r="CP1325" s="115"/>
      <c r="CQ1325" s="115"/>
      <c r="CR1325" s="115"/>
      <c r="CS1325" s="115"/>
      <c r="CT1325" s="115"/>
      <c r="CU1325" s="115"/>
      <c r="CV1325" s="115"/>
      <c r="CW1325" s="115"/>
      <c r="CX1325" s="115"/>
      <c r="CY1325" s="115"/>
      <c r="CZ1325" s="115"/>
      <c r="DA1325" s="115"/>
      <c r="DB1325" s="115"/>
      <c r="DC1325" s="115"/>
      <c r="DD1325" s="115"/>
      <c r="DE1325" s="115"/>
      <c r="DF1325" s="115"/>
      <c r="DG1325" s="115"/>
    </row>
    <row r="1326" spans="55:111" ht="9" hidden="1" customHeight="1">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c r="BY1326" s="115"/>
      <c r="BZ1326" s="115"/>
      <c r="CA1326" s="115"/>
      <c r="CB1326" s="115"/>
      <c r="CC1326" s="115"/>
      <c r="CD1326" s="115"/>
      <c r="CE1326" s="115"/>
      <c r="CF1326" s="115"/>
      <c r="CG1326" s="115"/>
      <c r="CH1326" s="115"/>
      <c r="CI1326" s="115"/>
      <c r="CJ1326" s="115"/>
      <c r="CK1326" s="115"/>
      <c r="CL1326" s="115"/>
      <c r="CM1326" s="115"/>
      <c r="CN1326" s="115"/>
      <c r="CO1326" s="115"/>
      <c r="CP1326" s="115"/>
      <c r="CQ1326" s="115"/>
      <c r="CR1326" s="115"/>
      <c r="CS1326" s="115"/>
      <c r="CT1326" s="115"/>
      <c r="CU1326" s="115"/>
      <c r="CV1326" s="115"/>
      <c r="CW1326" s="115"/>
      <c r="CX1326" s="115"/>
      <c r="CY1326" s="115"/>
      <c r="CZ1326" s="115"/>
      <c r="DA1326" s="115"/>
      <c r="DB1326" s="115"/>
      <c r="DC1326" s="115"/>
      <c r="DD1326" s="115"/>
      <c r="DE1326" s="115"/>
      <c r="DF1326" s="115"/>
      <c r="DG1326" s="115"/>
    </row>
    <row r="1327" spans="55:111" ht="9" hidden="1" customHeight="1">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c r="BY1327" s="115"/>
      <c r="BZ1327" s="115"/>
      <c r="CA1327" s="115"/>
      <c r="CB1327" s="115"/>
      <c r="CC1327" s="115"/>
      <c r="CD1327" s="115"/>
      <c r="CE1327" s="115"/>
      <c r="CF1327" s="115"/>
      <c r="CG1327" s="115"/>
      <c r="CH1327" s="115"/>
      <c r="CI1327" s="115"/>
      <c r="CJ1327" s="115"/>
      <c r="CK1327" s="115"/>
      <c r="CL1327" s="115"/>
      <c r="CM1327" s="115"/>
      <c r="CN1327" s="115"/>
      <c r="CO1327" s="115"/>
      <c r="CP1327" s="115"/>
      <c r="CQ1327" s="115"/>
      <c r="CR1327" s="115"/>
      <c r="CS1327" s="115"/>
      <c r="CT1327" s="115"/>
      <c r="CU1327" s="115"/>
      <c r="CV1327" s="115"/>
      <c r="CW1327" s="115"/>
      <c r="CX1327" s="115"/>
      <c r="CY1327" s="115"/>
      <c r="CZ1327" s="115"/>
      <c r="DA1327" s="115"/>
      <c r="DB1327" s="115"/>
      <c r="DC1327" s="115"/>
      <c r="DD1327" s="115"/>
      <c r="DE1327" s="115"/>
      <c r="DF1327" s="115"/>
      <c r="DG1327" s="115"/>
    </row>
    <row r="1328" spans="55:111" ht="9" hidden="1" customHeight="1">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c r="BY1328" s="115"/>
      <c r="BZ1328" s="115"/>
      <c r="CA1328" s="115"/>
      <c r="CB1328" s="115"/>
      <c r="CC1328" s="115"/>
      <c r="CD1328" s="115"/>
      <c r="CE1328" s="115"/>
      <c r="CF1328" s="115"/>
      <c r="CG1328" s="115"/>
      <c r="CH1328" s="115"/>
      <c r="CI1328" s="115"/>
      <c r="CJ1328" s="115"/>
      <c r="CK1328" s="115"/>
      <c r="CL1328" s="115"/>
      <c r="CM1328" s="115"/>
      <c r="CN1328" s="115"/>
      <c r="CO1328" s="115"/>
      <c r="CP1328" s="115"/>
      <c r="CQ1328" s="115"/>
      <c r="CR1328" s="115"/>
      <c r="CS1328" s="115"/>
      <c r="CT1328" s="115"/>
      <c r="CU1328" s="115"/>
      <c r="CV1328" s="115"/>
      <c r="CW1328" s="115"/>
      <c r="CX1328" s="115"/>
      <c r="CY1328" s="115"/>
      <c r="CZ1328" s="115"/>
      <c r="DA1328" s="115"/>
      <c r="DB1328" s="115"/>
      <c r="DC1328" s="115"/>
      <c r="DD1328" s="115"/>
      <c r="DE1328" s="115"/>
      <c r="DF1328" s="115"/>
      <c r="DG1328" s="115"/>
    </row>
    <row r="1329" spans="55:111" ht="9" hidden="1" customHeight="1">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c r="BY1329" s="115"/>
      <c r="BZ1329" s="115"/>
      <c r="CA1329" s="115"/>
      <c r="CB1329" s="115"/>
      <c r="CC1329" s="115"/>
      <c r="CD1329" s="115"/>
      <c r="CE1329" s="115"/>
      <c r="CF1329" s="115"/>
      <c r="CG1329" s="115"/>
      <c r="CH1329" s="115"/>
      <c r="CI1329" s="115"/>
      <c r="CJ1329" s="115"/>
      <c r="CK1329" s="115"/>
      <c r="CL1329" s="115"/>
      <c r="CM1329" s="115"/>
      <c r="CN1329" s="115"/>
      <c r="CO1329" s="115"/>
      <c r="CP1329" s="115"/>
      <c r="CQ1329" s="115"/>
      <c r="CR1329" s="115"/>
      <c r="CS1329" s="115"/>
      <c r="CT1329" s="115"/>
      <c r="CU1329" s="115"/>
      <c r="CV1329" s="115"/>
      <c r="CW1329" s="115"/>
      <c r="CX1329" s="115"/>
      <c r="CY1329" s="115"/>
      <c r="CZ1329" s="115"/>
      <c r="DA1329" s="115"/>
      <c r="DB1329" s="115"/>
      <c r="DC1329" s="115"/>
      <c r="DD1329" s="115"/>
      <c r="DE1329" s="115"/>
      <c r="DF1329" s="115"/>
      <c r="DG1329" s="115"/>
    </row>
    <row r="1330" spans="55:111" ht="9" hidden="1" customHeight="1">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c r="BY1330" s="115"/>
      <c r="BZ1330" s="115"/>
      <c r="CA1330" s="115"/>
      <c r="CB1330" s="115"/>
      <c r="CC1330" s="115"/>
      <c r="CD1330" s="115"/>
      <c r="CE1330" s="115"/>
      <c r="CF1330" s="115"/>
      <c r="CG1330" s="115"/>
      <c r="CH1330" s="115"/>
      <c r="CI1330" s="115"/>
      <c r="CJ1330" s="115"/>
      <c r="CK1330" s="115"/>
      <c r="CL1330" s="115"/>
      <c r="CM1330" s="115"/>
      <c r="CN1330" s="115"/>
      <c r="CO1330" s="115"/>
      <c r="CP1330" s="115"/>
      <c r="CQ1330" s="115"/>
      <c r="CR1330" s="115"/>
      <c r="CS1330" s="115"/>
      <c r="CT1330" s="115"/>
      <c r="CU1330" s="115"/>
      <c r="CV1330" s="115"/>
      <c r="CW1330" s="115"/>
      <c r="CX1330" s="115"/>
      <c r="CY1330" s="115"/>
      <c r="CZ1330" s="115"/>
      <c r="DA1330" s="115"/>
      <c r="DB1330" s="115"/>
      <c r="DC1330" s="115"/>
      <c r="DD1330" s="115"/>
      <c r="DE1330" s="115"/>
      <c r="DF1330" s="115"/>
      <c r="DG1330" s="115"/>
    </row>
    <row r="1331" spans="55:111" ht="9" hidden="1" customHeight="1">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c r="BY1331" s="115"/>
      <c r="BZ1331" s="115"/>
      <c r="CA1331" s="115"/>
      <c r="CB1331" s="115"/>
      <c r="CC1331" s="115"/>
      <c r="CD1331" s="115"/>
      <c r="CE1331" s="115"/>
      <c r="CF1331" s="115"/>
      <c r="CG1331" s="115"/>
      <c r="CH1331" s="115"/>
      <c r="CI1331" s="115"/>
      <c r="CJ1331" s="115"/>
      <c r="CK1331" s="115"/>
      <c r="CL1331" s="115"/>
      <c r="CM1331" s="115"/>
      <c r="CN1331" s="115"/>
      <c r="CO1331" s="115"/>
      <c r="CP1331" s="115"/>
      <c r="CQ1331" s="115"/>
      <c r="CR1331" s="115"/>
      <c r="CS1331" s="115"/>
      <c r="CT1331" s="115"/>
      <c r="CU1331" s="115"/>
      <c r="CV1331" s="115"/>
      <c r="CW1331" s="115"/>
      <c r="CX1331" s="115"/>
      <c r="CY1331" s="115"/>
      <c r="CZ1331" s="115"/>
      <c r="DA1331" s="115"/>
      <c r="DB1331" s="115"/>
      <c r="DC1331" s="115"/>
      <c r="DD1331" s="115"/>
      <c r="DE1331" s="115"/>
      <c r="DF1331" s="115"/>
      <c r="DG1331" s="115"/>
    </row>
    <row r="1332" spans="55:111" ht="9" hidden="1" customHeight="1">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c r="BY1332" s="115"/>
      <c r="BZ1332" s="115"/>
      <c r="CA1332" s="115"/>
      <c r="CB1332" s="115"/>
      <c r="CC1332" s="115"/>
      <c r="CD1332" s="115"/>
      <c r="CE1332" s="115"/>
      <c r="CF1332" s="115"/>
      <c r="CG1332" s="115"/>
      <c r="CH1332" s="115"/>
      <c r="CI1332" s="115"/>
      <c r="CJ1332" s="115"/>
      <c r="CK1332" s="115"/>
      <c r="CL1332" s="115"/>
      <c r="CM1332" s="115"/>
      <c r="CN1332" s="115"/>
      <c r="CO1332" s="115"/>
      <c r="CP1332" s="115"/>
      <c r="CQ1332" s="115"/>
      <c r="CR1332" s="115"/>
      <c r="CS1332" s="115"/>
      <c r="CT1332" s="115"/>
      <c r="CU1332" s="115"/>
      <c r="CV1332" s="115"/>
      <c r="CW1332" s="115"/>
      <c r="CX1332" s="115"/>
      <c r="CY1332" s="115"/>
      <c r="CZ1332" s="115"/>
      <c r="DA1332" s="115"/>
      <c r="DB1332" s="115"/>
      <c r="DC1332" s="115"/>
      <c r="DD1332" s="115"/>
      <c r="DE1332" s="115"/>
      <c r="DF1332" s="115"/>
      <c r="DG1332" s="115"/>
    </row>
    <row r="1333" spans="55:111" ht="9" hidden="1" customHeight="1">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c r="BY1333" s="115"/>
      <c r="BZ1333" s="115"/>
      <c r="CA1333" s="115"/>
      <c r="CB1333" s="115"/>
      <c r="CC1333" s="115"/>
      <c r="CD1333" s="115"/>
      <c r="CE1333" s="115"/>
      <c r="CF1333" s="115"/>
      <c r="CG1333" s="115"/>
      <c r="CH1333" s="115"/>
      <c r="CI1333" s="115"/>
      <c r="CJ1333" s="115"/>
      <c r="CK1333" s="115"/>
      <c r="CL1333" s="115"/>
      <c r="CM1333" s="115"/>
      <c r="CN1333" s="115"/>
      <c r="CO1333" s="115"/>
      <c r="CP1333" s="115"/>
      <c r="CQ1333" s="115"/>
      <c r="CR1333" s="115"/>
      <c r="CS1333" s="115"/>
      <c r="CT1333" s="115"/>
      <c r="CU1333" s="115"/>
      <c r="CV1333" s="115"/>
      <c r="CW1333" s="115"/>
      <c r="CX1333" s="115"/>
      <c r="CY1333" s="115"/>
      <c r="CZ1333" s="115"/>
      <c r="DA1333" s="115"/>
      <c r="DB1333" s="115"/>
      <c r="DC1333" s="115"/>
      <c r="DD1333" s="115"/>
      <c r="DE1333" s="115"/>
      <c r="DF1333" s="115"/>
      <c r="DG1333" s="115"/>
    </row>
    <row r="1334" spans="55:111" ht="9" hidden="1" customHeight="1">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c r="BY1334" s="115"/>
      <c r="BZ1334" s="115"/>
      <c r="CA1334" s="115"/>
      <c r="CB1334" s="115"/>
      <c r="CC1334" s="115"/>
      <c r="CD1334" s="115"/>
      <c r="CE1334" s="115"/>
      <c r="CF1334" s="115"/>
      <c r="CG1334" s="115"/>
      <c r="CH1334" s="115"/>
      <c r="CI1334" s="115"/>
      <c r="CJ1334" s="115"/>
      <c r="CK1334" s="115"/>
      <c r="CL1334" s="115"/>
      <c r="CM1334" s="115"/>
      <c r="CN1334" s="115"/>
      <c r="CO1334" s="115"/>
      <c r="CP1334" s="115"/>
      <c r="CQ1334" s="115"/>
      <c r="CR1334" s="115"/>
      <c r="CS1334" s="115"/>
      <c r="CT1334" s="115"/>
      <c r="CU1334" s="115"/>
      <c r="CV1334" s="115"/>
      <c r="CW1334" s="115"/>
      <c r="CX1334" s="115"/>
      <c r="CY1334" s="115"/>
      <c r="CZ1334" s="115"/>
      <c r="DA1334" s="115"/>
      <c r="DB1334" s="115"/>
      <c r="DC1334" s="115"/>
      <c r="DD1334" s="115"/>
      <c r="DE1334" s="115"/>
      <c r="DF1334" s="115"/>
      <c r="DG1334" s="115"/>
    </row>
    <row r="1335" spans="55:111" ht="9" hidden="1" customHeight="1">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c r="BY1335" s="115"/>
      <c r="BZ1335" s="115"/>
      <c r="CA1335" s="115"/>
      <c r="CB1335" s="115"/>
      <c r="CC1335" s="115"/>
      <c r="CD1335" s="115"/>
      <c r="CE1335" s="115"/>
      <c r="CF1335" s="115"/>
      <c r="CG1335" s="115"/>
      <c r="CH1335" s="115"/>
      <c r="CI1335" s="115"/>
      <c r="CJ1335" s="115"/>
      <c r="CK1335" s="115"/>
      <c r="CL1335" s="115"/>
      <c r="CM1335" s="115"/>
      <c r="CN1335" s="115"/>
      <c r="CO1335" s="115"/>
      <c r="CP1335" s="115"/>
      <c r="CQ1335" s="115"/>
      <c r="CR1335" s="115"/>
      <c r="CS1335" s="115"/>
      <c r="CT1335" s="115"/>
      <c r="CU1335" s="115"/>
      <c r="CV1335" s="115"/>
      <c r="CW1335" s="115"/>
      <c r="CX1335" s="115"/>
      <c r="CY1335" s="115"/>
      <c r="CZ1335" s="115"/>
      <c r="DA1335" s="115"/>
      <c r="DB1335" s="115"/>
      <c r="DC1335" s="115"/>
      <c r="DD1335" s="115"/>
      <c r="DE1335" s="115"/>
      <c r="DF1335" s="115"/>
      <c r="DG1335" s="115"/>
    </row>
    <row r="1336" spans="55:111" ht="9" hidden="1" customHeight="1">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c r="BY1336" s="115"/>
      <c r="BZ1336" s="115"/>
      <c r="CA1336" s="115"/>
      <c r="CB1336" s="115"/>
      <c r="CC1336" s="115"/>
      <c r="CD1336" s="115"/>
      <c r="CE1336" s="115"/>
      <c r="CF1336" s="115"/>
      <c r="CG1336" s="115"/>
      <c r="CH1336" s="115"/>
      <c r="CI1336" s="115"/>
      <c r="CJ1336" s="115"/>
      <c r="CK1336" s="115"/>
      <c r="CL1336" s="115"/>
      <c r="CM1336" s="115"/>
      <c r="CN1336" s="115"/>
      <c r="CO1336" s="115"/>
      <c r="CP1336" s="115"/>
      <c r="CQ1336" s="115"/>
      <c r="CR1336" s="115"/>
      <c r="CS1336" s="115"/>
      <c r="CT1336" s="115"/>
      <c r="CU1336" s="115"/>
      <c r="CV1336" s="115"/>
      <c r="CW1336" s="115"/>
      <c r="CX1336" s="115"/>
      <c r="CY1336" s="115"/>
      <c r="CZ1336" s="115"/>
      <c r="DA1336" s="115"/>
      <c r="DB1336" s="115"/>
      <c r="DC1336" s="115"/>
      <c r="DD1336" s="115"/>
      <c r="DE1336" s="115"/>
      <c r="DF1336" s="115"/>
      <c r="DG1336" s="115"/>
    </row>
    <row r="1337" spans="55:111" ht="9" hidden="1" customHeight="1">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c r="BY1337" s="115"/>
      <c r="BZ1337" s="115"/>
      <c r="CA1337" s="115"/>
      <c r="CB1337" s="115"/>
      <c r="CC1337" s="115"/>
      <c r="CD1337" s="115"/>
      <c r="CE1337" s="115"/>
      <c r="CF1337" s="115"/>
      <c r="CG1337" s="115"/>
      <c r="CH1337" s="115"/>
      <c r="CI1337" s="115"/>
      <c r="CJ1337" s="115"/>
      <c r="CK1337" s="115"/>
      <c r="CL1337" s="115"/>
      <c r="CM1337" s="115"/>
      <c r="CN1337" s="115"/>
      <c r="CO1337" s="115"/>
      <c r="CP1337" s="115"/>
      <c r="CQ1337" s="115"/>
      <c r="CR1337" s="115"/>
      <c r="CS1337" s="115"/>
      <c r="CT1337" s="115"/>
      <c r="CU1337" s="115"/>
      <c r="CV1337" s="115"/>
      <c r="CW1337" s="115"/>
      <c r="CX1337" s="115"/>
      <c r="CY1337" s="115"/>
      <c r="CZ1337" s="115"/>
      <c r="DA1337" s="115"/>
      <c r="DB1337" s="115"/>
      <c r="DC1337" s="115"/>
      <c r="DD1337" s="115"/>
      <c r="DE1337" s="115"/>
      <c r="DF1337" s="115"/>
      <c r="DG1337" s="115"/>
    </row>
    <row r="1338" spans="55:111" ht="9" hidden="1" customHeight="1">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c r="BY1338" s="115"/>
      <c r="BZ1338" s="115"/>
      <c r="CA1338" s="115"/>
      <c r="CB1338" s="115"/>
      <c r="CC1338" s="115"/>
      <c r="CD1338" s="115"/>
      <c r="CE1338" s="115"/>
      <c r="CF1338" s="115"/>
      <c r="CG1338" s="115"/>
      <c r="CH1338" s="115"/>
      <c r="CI1338" s="115"/>
      <c r="CJ1338" s="115"/>
      <c r="CK1338" s="115"/>
      <c r="CL1338" s="115"/>
      <c r="CM1338" s="115"/>
      <c r="CN1338" s="115"/>
      <c r="CO1338" s="115"/>
      <c r="CP1338" s="115"/>
      <c r="CQ1338" s="115"/>
      <c r="CR1338" s="115"/>
      <c r="CS1338" s="115"/>
      <c r="CT1338" s="115"/>
      <c r="CU1338" s="115"/>
      <c r="CV1338" s="115"/>
      <c r="CW1338" s="115"/>
      <c r="CX1338" s="115"/>
      <c r="CY1338" s="115"/>
      <c r="CZ1338" s="115"/>
      <c r="DA1338" s="115"/>
      <c r="DB1338" s="115"/>
      <c r="DC1338" s="115"/>
      <c r="DD1338" s="115"/>
      <c r="DE1338" s="115"/>
      <c r="DF1338" s="115"/>
      <c r="DG1338" s="115"/>
    </row>
    <row r="1339" spans="55:111" ht="9" hidden="1" customHeight="1">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c r="BY1339" s="115"/>
      <c r="BZ1339" s="115"/>
      <c r="CA1339" s="115"/>
      <c r="CB1339" s="115"/>
      <c r="CC1339" s="115"/>
      <c r="CD1339" s="115"/>
      <c r="CE1339" s="115"/>
      <c r="CF1339" s="115"/>
      <c r="CG1339" s="115"/>
      <c r="CH1339" s="115"/>
      <c r="CI1339" s="115"/>
      <c r="CJ1339" s="115"/>
      <c r="CK1339" s="115"/>
      <c r="CL1339" s="115"/>
      <c r="CM1339" s="115"/>
      <c r="CN1339" s="115"/>
      <c r="CO1339" s="115"/>
      <c r="CP1339" s="115"/>
      <c r="CQ1339" s="115"/>
      <c r="CR1339" s="115"/>
      <c r="CS1339" s="115"/>
      <c r="CT1339" s="115"/>
      <c r="CU1339" s="115"/>
      <c r="CV1339" s="115"/>
      <c r="CW1339" s="115"/>
      <c r="CX1339" s="115"/>
      <c r="CY1339" s="115"/>
      <c r="CZ1339" s="115"/>
      <c r="DA1339" s="115"/>
      <c r="DB1339" s="115"/>
      <c r="DC1339" s="115"/>
      <c r="DD1339" s="115"/>
      <c r="DE1339" s="115"/>
      <c r="DF1339" s="115"/>
      <c r="DG1339" s="115"/>
    </row>
    <row r="1340" spans="55:111" ht="9" hidden="1" customHeight="1">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c r="BY1340" s="115"/>
      <c r="BZ1340" s="115"/>
      <c r="CA1340" s="115"/>
      <c r="CB1340" s="115"/>
      <c r="CC1340" s="115"/>
      <c r="CD1340" s="115"/>
      <c r="CE1340" s="115"/>
      <c r="CF1340" s="115"/>
      <c r="CG1340" s="115"/>
      <c r="CH1340" s="115"/>
      <c r="CI1340" s="115"/>
      <c r="CJ1340" s="115"/>
      <c r="CK1340" s="115"/>
      <c r="CL1340" s="115"/>
      <c r="CM1340" s="115"/>
      <c r="CN1340" s="115"/>
      <c r="CO1340" s="115"/>
      <c r="CP1340" s="115"/>
      <c r="CQ1340" s="115"/>
      <c r="CR1340" s="115"/>
      <c r="CS1340" s="115"/>
      <c r="CT1340" s="115"/>
      <c r="CU1340" s="115"/>
      <c r="CV1340" s="115"/>
      <c r="CW1340" s="115"/>
      <c r="CX1340" s="115"/>
      <c r="CY1340" s="115"/>
      <c r="CZ1340" s="115"/>
      <c r="DA1340" s="115"/>
      <c r="DB1340" s="115"/>
      <c r="DC1340" s="115"/>
      <c r="DD1340" s="115"/>
      <c r="DE1340" s="115"/>
      <c r="DF1340" s="115"/>
      <c r="DG1340" s="115"/>
    </row>
    <row r="1341" spans="55:111" ht="9" hidden="1" customHeight="1">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c r="BY1341" s="115"/>
      <c r="BZ1341" s="115"/>
      <c r="CA1341" s="115"/>
      <c r="CB1341" s="115"/>
      <c r="CC1341" s="115"/>
      <c r="CD1341" s="115"/>
      <c r="CE1341" s="115"/>
      <c r="CF1341" s="115"/>
      <c r="CG1341" s="115"/>
      <c r="CH1341" s="115"/>
      <c r="CI1341" s="115"/>
      <c r="CJ1341" s="115"/>
      <c r="CK1341" s="115"/>
      <c r="CL1341" s="115"/>
      <c r="CM1341" s="115"/>
      <c r="CN1341" s="115"/>
      <c r="CO1341" s="115"/>
      <c r="CP1341" s="115"/>
      <c r="CQ1341" s="115"/>
      <c r="CR1341" s="115"/>
      <c r="CS1341" s="115"/>
      <c r="CT1341" s="115"/>
      <c r="CU1341" s="115"/>
      <c r="CV1341" s="115"/>
      <c r="CW1341" s="115"/>
      <c r="CX1341" s="115"/>
      <c r="CY1341" s="115"/>
      <c r="CZ1341" s="115"/>
      <c r="DA1341" s="115"/>
      <c r="DB1341" s="115"/>
      <c r="DC1341" s="115"/>
      <c r="DD1341" s="115"/>
      <c r="DE1341" s="115"/>
      <c r="DF1341" s="115"/>
      <c r="DG1341" s="115"/>
    </row>
    <row r="1342" spans="55:111" ht="9" hidden="1" customHeight="1">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c r="BY1342" s="115"/>
      <c r="BZ1342" s="115"/>
      <c r="CA1342" s="115"/>
      <c r="CB1342" s="115"/>
      <c r="CC1342" s="115"/>
      <c r="CD1342" s="115"/>
      <c r="CE1342" s="115"/>
      <c r="CF1342" s="115"/>
      <c r="CG1342" s="115"/>
      <c r="CH1342" s="115"/>
      <c r="CI1342" s="115"/>
      <c r="CJ1342" s="115"/>
      <c r="CK1342" s="115"/>
      <c r="CL1342" s="115"/>
      <c r="CM1342" s="115"/>
      <c r="CN1342" s="115"/>
      <c r="CO1342" s="115"/>
      <c r="CP1342" s="115"/>
      <c r="CQ1342" s="115"/>
      <c r="CR1342" s="115"/>
      <c r="CS1342" s="115"/>
      <c r="CT1342" s="115"/>
      <c r="CU1342" s="115"/>
      <c r="CV1342" s="115"/>
      <c r="CW1342" s="115"/>
      <c r="CX1342" s="115"/>
      <c r="CY1342" s="115"/>
      <c r="CZ1342" s="115"/>
      <c r="DA1342" s="115"/>
      <c r="DB1342" s="115"/>
      <c r="DC1342" s="115"/>
      <c r="DD1342" s="115"/>
      <c r="DE1342" s="115"/>
      <c r="DF1342" s="115"/>
      <c r="DG1342" s="115"/>
    </row>
    <row r="1343" spans="55:111" ht="9" hidden="1" customHeight="1">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c r="BY1343" s="115"/>
      <c r="BZ1343" s="115"/>
      <c r="CA1343" s="115"/>
      <c r="CB1343" s="115"/>
      <c r="CC1343" s="115"/>
      <c r="CD1343" s="115"/>
      <c r="CE1343" s="115"/>
      <c r="CF1343" s="115"/>
      <c r="CG1343" s="115"/>
      <c r="CH1343" s="115"/>
      <c r="CI1343" s="115"/>
      <c r="CJ1343" s="115"/>
      <c r="CK1343" s="115"/>
      <c r="CL1343" s="115"/>
      <c r="CM1343" s="115"/>
      <c r="CN1343" s="115"/>
      <c r="CO1343" s="115"/>
      <c r="CP1343" s="115"/>
      <c r="CQ1343" s="115"/>
      <c r="CR1343" s="115"/>
      <c r="CS1343" s="115"/>
      <c r="CT1343" s="115"/>
      <c r="CU1343" s="115"/>
      <c r="CV1343" s="115"/>
      <c r="CW1343" s="115"/>
      <c r="CX1343" s="115"/>
      <c r="CY1343" s="115"/>
      <c r="CZ1343" s="115"/>
      <c r="DA1343" s="115"/>
      <c r="DB1343" s="115"/>
      <c r="DC1343" s="115"/>
      <c r="DD1343" s="115"/>
      <c r="DE1343" s="115"/>
      <c r="DF1343" s="115"/>
      <c r="DG1343" s="115"/>
    </row>
    <row r="1344" spans="55:111" ht="9" hidden="1" customHeight="1">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c r="BY1344" s="115"/>
      <c r="BZ1344" s="115"/>
      <c r="CA1344" s="115"/>
      <c r="CB1344" s="115"/>
      <c r="CC1344" s="115"/>
      <c r="CD1344" s="115"/>
      <c r="CE1344" s="115"/>
      <c r="CF1344" s="115"/>
      <c r="CG1344" s="115"/>
      <c r="CH1344" s="115"/>
      <c r="CI1344" s="115"/>
      <c r="CJ1344" s="115"/>
      <c r="CK1344" s="115"/>
      <c r="CL1344" s="115"/>
      <c r="CM1344" s="115"/>
      <c r="CN1344" s="115"/>
      <c r="CO1344" s="115"/>
      <c r="CP1344" s="115"/>
      <c r="CQ1344" s="115"/>
      <c r="CR1344" s="115"/>
      <c r="CS1344" s="115"/>
      <c r="CT1344" s="115"/>
      <c r="CU1344" s="115"/>
      <c r="CV1344" s="115"/>
      <c r="CW1344" s="115"/>
      <c r="CX1344" s="115"/>
      <c r="CY1344" s="115"/>
      <c r="CZ1344" s="115"/>
      <c r="DA1344" s="115"/>
      <c r="DB1344" s="115"/>
      <c r="DC1344" s="115"/>
      <c r="DD1344" s="115"/>
      <c r="DE1344" s="115"/>
      <c r="DF1344" s="115"/>
      <c r="DG1344" s="115"/>
    </row>
    <row r="1345" spans="55:111" ht="9" hidden="1" customHeight="1">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c r="BY1345" s="115"/>
      <c r="BZ1345" s="115"/>
      <c r="CA1345" s="115"/>
      <c r="CB1345" s="115"/>
      <c r="CC1345" s="115"/>
      <c r="CD1345" s="115"/>
      <c r="CE1345" s="115"/>
      <c r="CF1345" s="115"/>
      <c r="CG1345" s="115"/>
      <c r="CH1345" s="115"/>
      <c r="CI1345" s="115"/>
      <c r="CJ1345" s="115"/>
      <c r="CK1345" s="115"/>
      <c r="CL1345" s="115"/>
      <c r="CM1345" s="115"/>
      <c r="CN1345" s="115"/>
      <c r="CO1345" s="115"/>
      <c r="CP1345" s="115"/>
      <c r="CQ1345" s="115"/>
      <c r="CR1345" s="115"/>
      <c r="CS1345" s="115"/>
      <c r="CT1345" s="115"/>
      <c r="CU1345" s="115"/>
      <c r="CV1345" s="115"/>
      <c r="CW1345" s="115"/>
      <c r="CX1345" s="115"/>
      <c r="CY1345" s="115"/>
      <c r="CZ1345" s="115"/>
      <c r="DA1345" s="115"/>
      <c r="DB1345" s="115"/>
      <c r="DC1345" s="115"/>
      <c r="DD1345" s="115"/>
      <c r="DE1345" s="115"/>
      <c r="DF1345" s="115"/>
      <c r="DG1345" s="115"/>
    </row>
    <row r="1346" spans="55:111" ht="9" hidden="1" customHeight="1">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c r="BY1346" s="115"/>
      <c r="BZ1346" s="115"/>
      <c r="CA1346" s="115"/>
      <c r="CB1346" s="115"/>
      <c r="CC1346" s="115"/>
      <c r="CD1346" s="115"/>
      <c r="CE1346" s="115"/>
      <c r="CF1346" s="115"/>
      <c r="CG1346" s="115"/>
      <c r="CH1346" s="115"/>
      <c r="CI1346" s="115"/>
      <c r="CJ1346" s="115"/>
      <c r="CK1346" s="115"/>
      <c r="CL1346" s="115"/>
      <c r="CM1346" s="115"/>
      <c r="CN1346" s="115"/>
      <c r="CO1346" s="115"/>
      <c r="CP1346" s="115"/>
      <c r="CQ1346" s="115"/>
      <c r="CR1346" s="115"/>
      <c r="CS1346" s="115"/>
      <c r="CT1346" s="115"/>
      <c r="CU1346" s="115"/>
      <c r="CV1346" s="115"/>
      <c r="CW1346" s="115"/>
      <c r="CX1346" s="115"/>
      <c r="CY1346" s="115"/>
      <c r="CZ1346" s="115"/>
      <c r="DA1346" s="115"/>
      <c r="DB1346" s="115"/>
      <c r="DC1346" s="115"/>
      <c r="DD1346" s="115"/>
      <c r="DE1346" s="115"/>
      <c r="DF1346" s="115"/>
      <c r="DG1346" s="115"/>
    </row>
    <row r="1347" spans="55:111" ht="9" hidden="1" customHeight="1">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c r="BY1347" s="115"/>
      <c r="BZ1347" s="115"/>
      <c r="CA1347" s="115"/>
      <c r="CB1347" s="115"/>
      <c r="CC1347" s="115"/>
      <c r="CD1347" s="115"/>
      <c r="CE1347" s="115"/>
      <c r="CF1347" s="115"/>
      <c r="CG1347" s="115"/>
      <c r="CH1347" s="115"/>
      <c r="CI1347" s="115"/>
      <c r="CJ1347" s="115"/>
      <c r="CK1347" s="115"/>
      <c r="CL1347" s="115"/>
      <c r="CM1347" s="115"/>
      <c r="CN1347" s="115"/>
      <c r="CO1347" s="115"/>
      <c r="CP1347" s="115"/>
      <c r="CQ1347" s="115"/>
      <c r="CR1347" s="115"/>
      <c r="CS1347" s="115"/>
      <c r="CT1347" s="115"/>
      <c r="CU1347" s="115"/>
      <c r="CV1347" s="115"/>
      <c r="CW1347" s="115"/>
      <c r="CX1347" s="115"/>
      <c r="CY1347" s="115"/>
      <c r="CZ1347" s="115"/>
      <c r="DA1347" s="115"/>
      <c r="DB1347" s="115"/>
      <c r="DC1347" s="115"/>
      <c r="DD1347" s="115"/>
      <c r="DE1347" s="115"/>
      <c r="DF1347" s="115"/>
      <c r="DG1347" s="115"/>
    </row>
    <row r="1348" spans="55:111" ht="9" hidden="1" customHeight="1">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c r="BY1348" s="115"/>
      <c r="BZ1348" s="115"/>
      <c r="CA1348" s="115"/>
      <c r="CB1348" s="115"/>
      <c r="CC1348" s="115"/>
      <c r="CD1348" s="115"/>
      <c r="CE1348" s="115"/>
      <c r="CF1348" s="115"/>
      <c r="CG1348" s="115"/>
      <c r="CH1348" s="115"/>
      <c r="CI1348" s="115"/>
      <c r="CJ1348" s="115"/>
      <c r="CK1348" s="115"/>
      <c r="CL1348" s="115"/>
      <c r="CM1348" s="115"/>
      <c r="CN1348" s="115"/>
      <c r="CO1348" s="115"/>
      <c r="CP1348" s="115"/>
      <c r="CQ1348" s="115"/>
      <c r="CR1348" s="115"/>
      <c r="CS1348" s="115"/>
      <c r="CT1348" s="115"/>
      <c r="CU1348" s="115"/>
      <c r="CV1348" s="115"/>
      <c r="CW1348" s="115"/>
      <c r="CX1348" s="115"/>
      <c r="CY1348" s="115"/>
      <c r="CZ1348" s="115"/>
      <c r="DA1348" s="115"/>
      <c r="DB1348" s="115"/>
      <c r="DC1348" s="115"/>
      <c r="DD1348" s="115"/>
      <c r="DE1348" s="115"/>
      <c r="DF1348" s="115"/>
      <c r="DG1348" s="115"/>
    </row>
    <row r="1349" spans="55:111" ht="9" hidden="1" customHeight="1">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c r="BY1349" s="115"/>
      <c r="BZ1349" s="115"/>
      <c r="CA1349" s="115"/>
      <c r="CB1349" s="115"/>
      <c r="CC1349" s="115"/>
      <c r="CD1349" s="115"/>
      <c r="CE1349" s="115"/>
      <c r="CF1349" s="115"/>
      <c r="CG1349" s="115"/>
      <c r="CH1349" s="115"/>
      <c r="CI1349" s="115"/>
      <c r="CJ1349" s="115"/>
      <c r="CK1349" s="115"/>
      <c r="CL1349" s="115"/>
      <c r="CM1349" s="115"/>
      <c r="CN1349" s="115"/>
      <c r="CO1349" s="115"/>
      <c r="CP1349" s="115"/>
      <c r="CQ1349" s="115"/>
      <c r="CR1349" s="115"/>
      <c r="CS1349" s="115"/>
      <c r="CT1349" s="115"/>
      <c r="CU1349" s="115"/>
      <c r="CV1349" s="115"/>
      <c r="CW1349" s="115"/>
      <c r="CX1349" s="115"/>
      <c r="CY1349" s="115"/>
      <c r="CZ1349" s="115"/>
      <c r="DA1349" s="115"/>
      <c r="DB1349" s="115"/>
      <c r="DC1349" s="115"/>
      <c r="DD1349" s="115"/>
      <c r="DE1349" s="115"/>
      <c r="DF1349" s="115"/>
      <c r="DG1349" s="115"/>
    </row>
    <row r="1350" spans="55:111" ht="9" hidden="1" customHeight="1">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c r="BY1350" s="115"/>
      <c r="BZ1350" s="115"/>
      <c r="CA1350" s="115"/>
      <c r="CB1350" s="115"/>
      <c r="CC1350" s="115"/>
      <c r="CD1350" s="115"/>
      <c r="CE1350" s="115"/>
      <c r="CF1350" s="115"/>
      <c r="CG1350" s="115"/>
      <c r="CH1350" s="115"/>
      <c r="CI1350" s="115"/>
      <c r="CJ1350" s="115"/>
      <c r="CK1350" s="115"/>
      <c r="CL1350" s="115"/>
      <c r="CM1350" s="115"/>
      <c r="CN1350" s="115"/>
      <c r="CO1350" s="115"/>
      <c r="CP1350" s="115"/>
      <c r="CQ1350" s="115"/>
      <c r="CR1350" s="115"/>
      <c r="CS1350" s="115"/>
      <c r="CT1350" s="115"/>
      <c r="CU1350" s="115"/>
      <c r="CV1350" s="115"/>
      <c r="CW1350" s="115"/>
      <c r="CX1350" s="115"/>
      <c r="CY1350" s="115"/>
      <c r="CZ1350" s="115"/>
      <c r="DA1350" s="115"/>
      <c r="DB1350" s="115"/>
      <c r="DC1350" s="115"/>
      <c r="DD1350" s="115"/>
      <c r="DE1350" s="115"/>
      <c r="DF1350" s="115"/>
      <c r="DG1350" s="115"/>
    </row>
    <row r="1351" spans="55:111" ht="9" hidden="1" customHeight="1">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c r="BY1351" s="115"/>
      <c r="BZ1351" s="115"/>
      <c r="CA1351" s="115"/>
      <c r="CB1351" s="115"/>
      <c r="CC1351" s="115"/>
      <c r="CD1351" s="115"/>
      <c r="CE1351" s="115"/>
      <c r="CF1351" s="115"/>
      <c r="CG1351" s="115"/>
      <c r="CH1351" s="115"/>
      <c r="CI1351" s="115"/>
      <c r="CJ1351" s="115"/>
      <c r="CK1351" s="115"/>
      <c r="CL1351" s="115"/>
      <c r="CM1351" s="115"/>
      <c r="CN1351" s="115"/>
      <c r="CO1351" s="115"/>
      <c r="CP1351" s="115"/>
      <c r="CQ1351" s="115"/>
      <c r="CR1351" s="115"/>
      <c r="CS1351" s="115"/>
      <c r="CT1351" s="115"/>
      <c r="CU1351" s="115"/>
      <c r="CV1351" s="115"/>
      <c r="CW1351" s="115"/>
      <c r="CX1351" s="115"/>
      <c r="CY1351" s="115"/>
      <c r="CZ1351" s="115"/>
      <c r="DA1351" s="115"/>
      <c r="DB1351" s="115"/>
      <c r="DC1351" s="115"/>
      <c r="DD1351" s="115"/>
      <c r="DE1351" s="115"/>
      <c r="DF1351" s="115"/>
      <c r="DG1351" s="115"/>
    </row>
    <row r="1352" spans="55:111" ht="9" hidden="1" customHeight="1">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c r="BY1352" s="115"/>
      <c r="BZ1352" s="115"/>
      <c r="CA1352" s="115"/>
      <c r="CB1352" s="115"/>
      <c r="CC1352" s="115"/>
      <c r="CD1352" s="115"/>
      <c r="CE1352" s="115"/>
      <c r="CF1352" s="115"/>
      <c r="CG1352" s="115"/>
      <c r="CH1352" s="115"/>
      <c r="CI1352" s="115"/>
      <c r="CJ1352" s="115"/>
      <c r="CK1352" s="115"/>
      <c r="CL1352" s="115"/>
      <c r="CM1352" s="115"/>
      <c r="CN1352" s="115"/>
      <c r="CO1352" s="115"/>
      <c r="CP1352" s="115"/>
      <c r="CQ1352" s="115"/>
      <c r="CR1352" s="115"/>
      <c r="CS1352" s="115"/>
      <c r="CT1352" s="115"/>
      <c r="CU1352" s="115"/>
      <c r="CV1352" s="115"/>
      <c r="CW1352" s="115"/>
      <c r="CX1352" s="115"/>
      <c r="CY1352" s="115"/>
      <c r="CZ1352" s="115"/>
      <c r="DA1352" s="115"/>
      <c r="DB1352" s="115"/>
      <c r="DC1352" s="115"/>
      <c r="DD1352" s="115"/>
      <c r="DE1352" s="115"/>
      <c r="DF1352" s="115"/>
      <c r="DG1352" s="115"/>
    </row>
    <row r="1353" spans="55:111" ht="9" hidden="1" customHeight="1">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c r="BY1353" s="115"/>
      <c r="BZ1353" s="115"/>
      <c r="CA1353" s="115"/>
      <c r="CB1353" s="115"/>
      <c r="CC1353" s="115"/>
      <c r="CD1353" s="115"/>
      <c r="CE1353" s="115"/>
      <c r="CF1353" s="115"/>
      <c r="CG1353" s="115"/>
      <c r="CH1353" s="115"/>
      <c r="CI1353" s="115"/>
      <c r="CJ1353" s="115"/>
      <c r="CK1353" s="115"/>
      <c r="CL1353" s="115"/>
      <c r="CM1353" s="115"/>
      <c r="CN1353" s="115"/>
      <c r="CO1353" s="115"/>
      <c r="CP1353" s="115"/>
      <c r="CQ1353" s="115"/>
      <c r="CR1353" s="115"/>
      <c r="CS1353" s="115"/>
      <c r="CT1353" s="115"/>
      <c r="CU1353" s="115"/>
      <c r="CV1353" s="115"/>
      <c r="CW1353" s="115"/>
      <c r="CX1353" s="115"/>
      <c r="CY1353" s="115"/>
      <c r="CZ1353" s="115"/>
      <c r="DA1353" s="115"/>
      <c r="DB1353" s="115"/>
      <c r="DC1353" s="115"/>
      <c r="DD1353" s="115"/>
      <c r="DE1353" s="115"/>
      <c r="DF1353" s="115"/>
      <c r="DG1353" s="115"/>
    </row>
    <row r="1354" spans="55:111" ht="9" hidden="1" customHeight="1">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c r="BY1354" s="115"/>
      <c r="BZ1354" s="115"/>
      <c r="CA1354" s="115"/>
      <c r="CB1354" s="115"/>
      <c r="CC1354" s="115"/>
      <c r="CD1354" s="115"/>
      <c r="CE1354" s="115"/>
      <c r="CF1354" s="115"/>
      <c r="CG1354" s="115"/>
      <c r="CH1354" s="115"/>
      <c r="CI1354" s="115"/>
      <c r="CJ1354" s="115"/>
      <c r="CK1354" s="115"/>
      <c r="CL1354" s="115"/>
      <c r="CM1354" s="115"/>
      <c r="CN1354" s="115"/>
      <c r="CO1354" s="115"/>
      <c r="CP1354" s="115"/>
      <c r="CQ1354" s="115"/>
      <c r="CR1354" s="115"/>
      <c r="CS1354" s="115"/>
      <c r="CT1354" s="115"/>
      <c r="CU1354" s="115"/>
      <c r="CV1354" s="115"/>
      <c r="CW1354" s="115"/>
      <c r="CX1354" s="115"/>
      <c r="CY1354" s="115"/>
      <c r="CZ1354" s="115"/>
      <c r="DA1354" s="115"/>
      <c r="DB1354" s="115"/>
      <c r="DC1354" s="115"/>
      <c r="DD1354" s="115"/>
      <c r="DE1354" s="115"/>
      <c r="DF1354" s="115"/>
      <c r="DG1354" s="115"/>
    </row>
    <row r="1355" spans="55:111" ht="9" hidden="1" customHeight="1">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c r="BY1355" s="115"/>
      <c r="BZ1355" s="115"/>
      <c r="CA1355" s="115"/>
      <c r="CB1355" s="115"/>
      <c r="CC1355" s="115"/>
      <c r="CD1355" s="115"/>
      <c r="CE1355" s="115"/>
      <c r="CF1355" s="115"/>
      <c r="CG1355" s="115"/>
      <c r="CH1355" s="115"/>
      <c r="CI1355" s="115"/>
      <c r="CJ1355" s="115"/>
      <c r="CK1355" s="115"/>
      <c r="CL1355" s="115"/>
      <c r="CM1355" s="115"/>
      <c r="CN1355" s="115"/>
      <c r="CO1355" s="115"/>
      <c r="CP1355" s="115"/>
      <c r="CQ1355" s="115"/>
      <c r="CR1355" s="115"/>
      <c r="CS1355" s="115"/>
      <c r="CT1355" s="115"/>
      <c r="CU1355" s="115"/>
      <c r="CV1355" s="115"/>
      <c r="CW1355" s="115"/>
      <c r="CX1355" s="115"/>
      <c r="CY1355" s="115"/>
      <c r="CZ1355" s="115"/>
      <c r="DA1355" s="115"/>
      <c r="DB1355" s="115"/>
      <c r="DC1355" s="115"/>
      <c r="DD1355" s="115"/>
      <c r="DE1355" s="115"/>
      <c r="DF1355" s="115"/>
      <c r="DG1355" s="115"/>
    </row>
    <row r="1356" spans="55:111" ht="9" hidden="1" customHeight="1">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c r="BY1356" s="115"/>
      <c r="BZ1356" s="115"/>
      <c r="CA1356" s="115"/>
      <c r="CB1356" s="115"/>
      <c r="CC1356" s="115"/>
      <c r="CD1356" s="115"/>
      <c r="CE1356" s="115"/>
      <c r="CF1356" s="115"/>
      <c r="CG1356" s="115"/>
      <c r="CH1356" s="115"/>
      <c r="CI1356" s="115"/>
      <c r="CJ1356" s="115"/>
      <c r="CK1356" s="115"/>
      <c r="CL1356" s="115"/>
      <c r="CM1356" s="115"/>
      <c r="CN1356" s="115"/>
      <c r="CO1356" s="115"/>
      <c r="CP1356" s="115"/>
      <c r="CQ1356" s="115"/>
      <c r="CR1356" s="115"/>
      <c r="CS1356" s="115"/>
      <c r="CT1356" s="115"/>
      <c r="CU1356" s="115"/>
      <c r="CV1356" s="115"/>
      <c r="CW1356" s="115"/>
      <c r="CX1356" s="115"/>
      <c r="CY1356" s="115"/>
      <c r="CZ1356" s="115"/>
      <c r="DA1356" s="115"/>
      <c r="DB1356" s="115"/>
      <c r="DC1356" s="115"/>
      <c r="DD1356" s="115"/>
      <c r="DE1356" s="115"/>
      <c r="DF1356" s="115"/>
      <c r="DG1356" s="115"/>
    </row>
    <row r="1357" spans="55:111" ht="9" hidden="1" customHeight="1">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c r="BY1357" s="115"/>
      <c r="BZ1357" s="115"/>
      <c r="CA1357" s="115"/>
      <c r="CB1357" s="115"/>
      <c r="CC1357" s="115"/>
      <c r="CD1357" s="115"/>
      <c r="CE1357" s="115"/>
      <c r="CF1357" s="115"/>
      <c r="CG1357" s="115"/>
      <c r="CH1357" s="115"/>
      <c r="CI1357" s="115"/>
      <c r="CJ1357" s="115"/>
      <c r="CK1357" s="115"/>
      <c r="CL1357" s="115"/>
      <c r="CM1357" s="115"/>
      <c r="CN1357" s="115"/>
      <c r="CO1357" s="115"/>
      <c r="CP1357" s="115"/>
      <c r="CQ1357" s="115"/>
      <c r="CR1357" s="115"/>
      <c r="CS1357" s="115"/>
      <c r="CT1357" s="115"/>
      <c r="CU1357" s="115"/>
      <c r="CV1357" s="115"/>
      <c r="CW1357" s="115"/>
      <c r="CX1357" s="115"/>
      <c r="CY1357" s="115"/>
      <c r="CZ1357" s="115"/>
      <c r="DA1357" s="115"/>
      <c r="DB1357" s="115"/>
      <c r="DC1357" s="115"/>
      <c r="DD1357" s="115"/>
      <c r="DE1357" s="115"/>
      <c r="DF1357" s="115"/>
      <c r="DG1357" s="115"/>
    </row>
    <row r="1358" spans="55:111" ht="9" hidden="1" customHeight="1">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c r="BY1358" s="115"/>
      <c r="BZ1358" s="115"/>
      <c r="CA1358" s="115"/>
      <c r="CB1358" s="115"/>
      <c r="CC1358" s="115"/>
      <c r="CD1358" s="115"/>
      <c r="CE1358" s="115"/>
      <c r="CF1358" s="115"/>
      <c r="CG1358" s="115"/>
      <c r="CH1358" s="115"/>
      <c r="CI1358" s="115"/>
      <c r="CJ1358" s="115"/>
      <c r="CK1358" s="115"/>
      <c r="CL1358" s="115"/>
      <c r="CM1358" s="115"/>
      <c r="CN1358" s="115"/>
      <c r="CO1358" s="115"/>
      <c r="CP1358" s="115"/>
      <c r="CQ1358" s="115"/>
      <c r="CR1358" s="115"/>
      <c r="CS1358" s="115"/>
      <c r="CT1358" s="115"/>
      <c r="CU1358" s="115"/>
      <c r="CV1358" s="115"/>
      <c r="CW1358" s="115"/>
      <c r="CX1358" s="115"/>
      <c r="CY1358" s="115"/>
      <c r="CZ1358" s="115"/>
      <c r="DA1358" s="115"/>
      <c r="DB1358" s="115"/>
      <c r="DC1358" s="115"/>
      <c r="DD1358" s="115"/>
      <c r="DE1358" s="115"/>
      <c r="DF1358" s="115"/>
      <c r="DG1358" s="115"/>
    </row>
    <row r="1359" spans="55:111" ht="9" hidden="1" customHeight="1">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c r="BY1359" s="115"/>
      <c r="BZ1359" s="115"/>
      <c r="CA1359" s="115"/>
      <c r="CB1359" s="115"/>
      <c r="CC1359" s="115"/>
      <c r="CD1359" s="115"/>
      <c r="CE1359" s="115"/>
      <c r="CF1359" s="115"/>
      <c r="CG1359" s="115"/>
      <c r="CH1359" s="115"/>
      <c r="CI1359" s="115"/>
      <c r="CJ1359" s="115"/>
      <c r="CK1359" s="115"/>
      <c r="CL1359" s="115"/>
      <c r="CM1359" s="115"/>
      <c r="CN1359" s="115"/>
      <c r="CO1359" s="115"/>
      <c r="CP1359" s="115"/>
      <c r="CQ1359" s="115"/>
      <c r="CR1359" s="115"/>
      <c r="CS1359" s="115"/>
      <c r="CT1359" s="115"/>
      <c r="CU1359" s="115"/>
      <c r="CV1359" s="115"/>
      <c r="CW1359" s="115"/>
      <c r="CX1359" s="115"/>
      <c r="CY1359" s="115"/>
      <c r="CZ1359" s="115"/>
      <c r="DA1359" s="115"/>
      <c r="DB1359" s="115"/>
      <c r="DC1359" s="115"/>
      <c r="DD1359" s="115"/>
      <c r="DE1359" s="115"/>
      <c r="DF1359" s="115"/>
      <c r="DG1359" s="115"/>
    </row>
    <row r="1360" spans="55:111" ht="9" hidden="1" customHeight="1">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c r="BY1360" s="115"/>
      <c r="BZ1360" s="115"/>
      <c r="CA1360" s="115"/>
      <c r="CB1360" s="115"/>
      <c r="CC1360" s="115"/>
      <c r="CD1360" s="115"/>
      <c r="CE1360" s="115"/>
      <c r="CF1360" s="115"/>
      <c r="CG1360" s="115"/>
      <c r="CH1360" s="115"/>
      <c r="CI1360" s="115"/>
      <c r="CJ1360" s="115"/>
      <c r="CK1360" s="115"/>
      <c r="CL1360" s="115"/>
      <c r="CM1360" s="115"/>
      <c r="CN1360" s="115"/>
      <c r="CO1360" s="115"/>
      <c r="CP1360" s="115"/>
      <c r="CQ1360" s="115"/>
      <c r="CR1360" s="115"/>
      <c r="CS1360" s="115"/>
      <c r="CT1360" s="115"/>
      <c r="CU1360" s="115"/>
      <c r="CV1360" s="115"/>
      <c r="CW1360" s="115"/>
      <c r="CX1360" s="115"/>
      <c r="CY1360" s="115"/>
      <c r="CZ1360" s="115"/>
      <c r="DA1360" s="115"/>
      <c r="DB1360" s="115"/>
      <c r="DC1360" s="115"/>
      <c r="DD1360" s="115"/>
      <c r="DE1360" s="115"/>
      <c r="DF1360" s="115"/>
      <c r="DG1360" s="115"/>
    </row>
    <row r="1361" spans="55:111" ht="9" hidden="1" customHeight="1">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c r="BY1361" s="115"/>
      <c r="BZ1361" s="115"/>
      <c r="CA1361" s="115"/>
      <c r="CB1361" s="115"/>
      <c r="CC1361" s="115"/>
      <c r="CD1361" s="115"/>
      <c r="CE1361" s="115"/>
      <c r="CF1361" s="115"/>
      <c r="CG1361" s="115"/>
      <c r="CH1361" s="115"/>
      <c r="CI1361" s="115"/>
      <c r="CJ1361" s="115"/>
      <c r="CK1361" s="115"/>
      <c r="CL1361" s="115"/>
      <c r="CM1361" s="115"/>
      <c r="CN1361" s="115"/>
      <c r="CO1361" s="115"/>
      <c r="CP1361" s="115"/>
      <c r="CQ1361" s="115"/>
      <c r="CR1361" s="115"/>
      <c r="CS1361" s="115"/>
      <c r="CT1361" s="115"/>
      <c r="CU1361" s="115"/>
      <c r="CV1361" s="115"/>
      <c r="CW1361" s="115"/>
      <c r="CX1361" s="115"/>
      <c r="CY1361" s="115"/>
      <c r="CZ1361" s="115"/>
      <c r="DA1361" s="115"/>
      <c r="DB1361" s="115"/>
      <c r="DC1361" s="115"/>
      <c r="DD1361" s="115"/>
      <c r="DE1361" s="115"/>
      <c r="DF1361" s="115"/>
      <c r="DG1361" s="115"/>
    </row>
    <row r="1362" spans="55:111" ht="9" hidden="1" customHeight="1">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c r="BY1362" s="115"/>
      <c r="BZ1362" s="115"/>
      <c r="CA1362" s="115"/>
      <c r="CB1362" s="115"/>
      <c r="CC1362" s="115"/>
      <c r="CD1362" s="115"/>
      <c r="CE1362" s="115"/>
      <c r="CF1362" s="115"/>
      <c r="CG1362" s="115"/>
      <c r="CH1362" s="115"/>
      <c r="CI1362" s="115"/>
      <c r="CJ1362" s="115"/>
      <c r="CK1362" s="115"/>
      <c r="CL1362" s="115"/>
      <c r="CM1362" s="115"/>
      <c r="CN1362" s="115"/>
      <c r="CO1362" s="115"/>
      <c r="CP1362" s="115"/>
      <c r="CQ1362" s="115"/>
      <c r="CR1362" s="115"/>
      <c r="CS1362" s="115"/>
      <c r="CT1362" s="115"/>
      <c r="CU1362" s="115"/>
      <c r="CV1362" s="115"/>
      <c r="CW1362" s="115"/>
      <c r="CX1362" s="115"/>
      <c r="CY1362" s="115"/>
      <c r="CZ1362" s="115"/>
      <c r="DA1362" s="115"/>
      <c r="DB1362" s="115"/>
      <c r="DC1362" s="115"/>
      <c r="DD1362" s="115"/>
      <c r="DE1362" s="115"/>
      <c r="DF1362" s="115"/>
      <c r="DG1362" s="115"/>
    </row>
    <row r="1363" spans="55:111" ht="9" hidden="1" customHeight="1">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c r="BY1363" s="115"/>
      <c r="BZ1363" s="115"/>
      <c r="CA1363" s="115"/>
      <c r="CB1363" s="115"/>
      <c r="CC1363" s="115"/>
      <c r="CD1363" s="115"/>
      <c r="CE1363" s="115"/>
      <c r="CF1363" s="115"/>
      <c r="CG1363" s="115"/>
      <c r="CH1363" s="115"/>
      <c r="CI1363" s="115"/>
      <c r="CJ1363" s="115"/>
      <c r="CK1363" s="115"/>
      <c r="CL1363" s="115"/>
      <c r="CM1363" s="115"/>
      <c r="CN1363" s="115"/>
      <c r="CO1363" s="115"/>
      <c r="CP1363" s="115"/>
      <c r="CQ1363" s="115"/>
      <c r="CR1363" s="115"/>
      <c r="CS1363" s="115"/>
      <c r="CT1363" s="115"/>
      <c r="CU1363" s="115"/>
      <c r="CV1363" s="115"/>
      <c r="CW1363" s="115"/>
      <c r="CX1363" s="115"/>
      <c r="CY1363" s="115"/>
      <c r="CZ1363" s="115"/>
      <c r="DA1363" s="115"/>
      <c r="DB1363" s="115"/>
      <c r="DC1363" s="115"/>
      <c r="DD1363" s="115"/>
      <c r="DE1363" s="115"/>
      <c r="DF1363" s="115"/>
      <c r="DG1363" s="115"/>
    </row>
    <row r="1364" spans="55:111" ht="9" hidden="1" customHeight="1">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c r="BY1364" s="115"/>
      <c r="BZ1364" s="115"/>
      <c r="CA1364" s="115"/>
      <c r="CB1364" s="115"/>
      <c r="CC1364" s="115"/>
      <c r="CD1364" s="115"/>
      <c r="CE1364" s="115"/>
      <c r="CF1364" s="115"/>
      <c r="CG1364" s="115"/>
      <c r="CH1364" s="115"/>
      <c r="CI1364" s="115"/>
      <c r="CJ1364" s="115"/>
      <c r="CK1364" s="115"/>
      <c r="CL1364" s="115"/>
      <c r="CM1364" s="115"/>
      <c r="CN1364" s="115"/>
      <c r="CO1364" s="115"/>
      <c r="CP1364" s="115"/>
      <c r="CQ1364" s="115"/>
      <c r="CR1364" s="115"/>
      <c r="CS1364" s="115"/>
      <c r="CT1364" s="115"/>
      <c r="CU1364" s="115"/>
      <c r="CV1364" s="115"/>
      <c r="CW1364" s="115"/>
      <c r="CX1364" s="115"/>
      <c r="CY1364" s="115"/>
      <c r="CZ1364" s="115"/>
      <c r="DA1364" s="115"/>
      <c r="DB1364" s="115"/>
      <c r="DC1364" s="115"/>
      <c r="DD1364" s="115"/>
      <c r="DE1364" s="115"/>
      <c r="DF1364" s="115"/>
      <c r="DG1364" s="115"/>
    </row>
    <row r="1365" spans="55:111" ht="9" hidden="1" customHeight="1">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c r="BY1365" s="115"/>
      <c r="BZ1365" s="115"/>
      <c r="CA1365" s="115"/>
      <c r="CB1365" s="115"/>
      <c r="CC1365" s="115"/>
      <c r="CD1365" s="115"/>
      <c r="CE1365" s="115"/>
      <c r="CF1365" s="115"/>
      <c r="CG1365" s="115"/>
      <c r="CH1365" s="115"/>
      <c r="CI1365" s="115"/>
      <c r="CJ1365" s="115"/>
      <c r="CK1365" s="115"/>
      <c r="CL1365" s="115"/>
      <c r="CM1365" s="115"/>
      <c r="CN1365" s="115"/>
      <c r="CO1365" s="115"/>
      <c r="CP1365" s="115"/>
      <c r="CQ1365" s="115"/>
      <c r="CR1365" s="115"/>
      <c r="CS1365" s="115"/>
      <c r="CT1365" s="115"/>
      <c r="CU1365" s="115"/>
      <c r="CV1365" s="115"/>
      <c r="CW1365" s="115"/>
      <c r="CX1365" s="115"/>
      <c r="CY1365" s="115"/>
      <c r="CZ1365" s="115"/>
      <c r="DA1365" s="115"/>
      <c r="DB1365" s="115"/>
      <c r="DC1365" s="115"/>
      <c r="DD1365" s="115"/>
      <c r="DE1365" s="115"/>
      <c r="DF1365" s="115"/>
      <c r="DG1365" s="115"/>
    </row>
    <row r="1366" spans="55:111" ht="9" hidden="1" customHeight="1">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c r="BY1366" s="115"/>
      <c r="BZ1366" s="115"/>
      <c r="CA1366" s="115"/>
      <c r="CB1366" s="115"/>
      <c r="CC1366" s="115"/>
      <c r="CD1366" s="115"/>
      <c r="CE1366" s="115"/>
      <c r="CF1366" s="115"/>
      <c r="CG1366" s="115"/>
      <c r="CH1366" s="115"/>
      <c r="CI1366" s="115"/>
      <c r="CJ1366" s="115"/>
      <c r="CK1366" s="115"/>
      <c r="CL1366" s="115"/>
      <c r="CM1366" s="115"/>
      <c r="CN1366" s="115"/>
      <c r="CO1366" s="115"/>
      <c r="CP1366" s="115"/>
      <c r="CQ1366" s="115"/>
      <c r="CR1366" s="115"/>
      <c r="CS1366" s="115"/>
      <c r="CT1366" s="115"/>
      <c r="CU1366" s="115"/>
      <c r="CV1366" s="115"/>
      <c r="CW1366" s="115"/>
      <c r="CX1366" s="115"/>
      <c r="CY1366" s="115"/>
      <c r="CZ1366" s="115"/>
      <c r="DA1366" s="115"/>
      <c r="DB1366" s="115"/>
      <c r="DC1366" s="115"/>
      <c r="DD1366" s="115"/>
      <c r="DE1366" s="115"/>
      <c r="DF1366" s="115"/>
      <c r="DG1366" s="115"/>
    </row>
    <row r="1367" spans="55:111" ht="9" hidden="1" customHeight="1">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c r="BY1367" s="115"/>
      <c r="BZ1367" s="115"/>
      <c r="CA1367" s="115"/>
      <c r="CB1367" s="115"/>
      <c r="CC1367" s="115"/>
      <c r="CD1367" s="115"/>
      <c r="CE1367" s="115"/>
      <c r="CF1367" s="115"/>
      <c r="CG1367" s="115"/>
      <c r="CH1367" s="115"/>
      <c r="CI1367" s="115"/>
      <c r="CJ1367" s="115"/>
      <c r="CK1367" s="115"/>
      <c r="CL1367" s="115"/>
      <c r="CM1367" s="115"/>
      <c r="CN1367" s="115"/>
      <c r="CO1367" s="115"/>
      <c r="CP1367" s="115"/>
      <c r="CQ1367" s="115"/>
      <c r="CR1367" s="115"/>
      <c r="CS1367" s="115"/>
      <c r="CT1367" s="115"/>
      <c r="CU1367" s="115"/>
      <c r="CV1367" s="115"/>
      <c r="CW1367" s="115"/>
      <c r="CX1367" s="115"/>
      <c r="CY1367" s="115"/>
      <c r="CZ1367" s="115"/>
      <c r="DA1367" s="115"/>
      <c r="DB1367" s="115"/>
      <c r="DC1367" s="115"/>
      <c r="DD1367" s="115"/>
      <c r="DE1367" s="115"/>
      <c r="DF1367" s="115"/>
      <c r="DG1367" s="115"/>
    </row>
    <row r="1368" spans="55:111" ht="9" hidden="1" customHeight="1">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c r="BY1368" s="115"/>
      <c r="BZ1368" s="115"/>
      <c r="CA1368" s="115"/>
      <c r="CB1368" s="115"/>
      <c r="CC1368" s="115"/>
      <c r="CD1368" s="115"/>
      <c r="CE1368" s="115"/>
      <c r="CF1368" s="115"/>
      <c r="CG1368" s="115"/>
      <c r="CH1368" s="115"/>
      <c r="CI1368" s="115"/>
      <c r="CJ1368" s="115"/>
      <c r="CK1368" s="115"/>
      <c r="CL1368" s="115"/>
      <c r="CM1368" s="115"/>
      <c r="CN1368" s="115"/>
      <c r="CO1368" s="115"/>
      <c r="CP1368" s="115"/>
      <c r="CQ1368" s="115"/>
      <c r="CR1368" s="115"/>
      <c r="CS1368" s="115"/>
      <c r="CT1368" s="115"/>
      <c r="CU1368" s="115"/>
      <c r="CV1368" s="115"/>
      <c r="CW1368" s="115"/>
      <c r="CX1368" s="115"/>
      <c r="CY1368" s="115"/>
      <c r="CZ1368" s="115"/>
      <c r="DA1368" s="115"/>
      <c r="DB1368" s="115"/>
      <c r="DC1368" s="115"/>
      <c r="DD1368" s="115"/>
      <c r="DE1368" s="115"/>
      <c r="DF1368" s="115"/>
      <c r="DG1368" s="115"/>
    </row>
    <row r="1369" spans="55:111" ht="9" hidden="1" customHeight="1">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c r="BY1369" s="115"/>
      <c r="BZ1369" s="115"/>
      <c r="CA1369" s="115"/>
      <c r="CB1369" s="115"/>
      <c r="CC1369" s="115"/>
      <c r="CD1369" s="115"/>
      <c r="CE1369" s="115"/>
      <c r="CF1369" s="115"/>
      <c r="CG1369" s="115"/>
      <c r="CH1369" s="115"/>
      <c r="CI1369" s="115"/>
      <c r="CJ1369" s="115"/>
      <c r="CK1369" s="115"/>
      <c r="CL1369" s="115"/>
      <c r="CM1369" s="115"/>
      <c r="CN1369" s="115"/>
      <c r="CO1369" s="115"/>
      <c r="CP1369" s="115"/>
      <c r="CQ1369" s="115"/>
      <c r="CR1369" s="115"/>
      <c r="CS1369" s="115"/>
      <c r="CT1369" s="115"/>
      <c r="CU1369" s="115"/>
      <c r="CV1369" s="115"/>
      <c r="CW1369" s="115"/>
      <c r="CX1369" s="115"/>
      <c r="CY1369" s="115"/>
      <c r="CZ1369" s="115"/>
      <c r="DA1369" s="115"/>
      <c r="DB1369" s="115"/>
      <c r="DC1369" s="115"/>
      <c r="DD1369" s="115"/>
      <c r="DE1369" s="115"/>
      <c r="DF1369" s="115"/>
      <c r="DG1369" s="115"/>
    </row>
    <row r="1370" spans="55:111" ht="9" hidden="1" customHeight="1">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c r="BY1370" s="115"/>
      <c r="BZ1370" s="115"/>
      <c r="CA1370" s="115"/>
      <c r="CB1370" s="115"/>
      <c r="CC1370" s="115"/>
      <c r="CD1370" s="115"/>
      <c r="CE1370" s="115"/>
      <c r="CF1370" s="115"/>
      <c r="CG1370" s="115"/>
      <c r="CH1370" s="115"/>
      <c r="CI1370" s="115"/>
      <c r="CJ1370" s="115"/>
      <c r="CK1370" s="115"/>
      <c r="CL1370" s="115"/>
      <c r="CM1370" s="115"/>
      <c r="CN1370" s="115"/>
      <c r="CO1370" s="115"/>
      <c r="CP1370" s="115"/>
      <c r="CQ1370" s="115"/>
      <c r="CR1370" s="115"/>
      <c r="CS1370" s="115"/>
      <c r="CT1370" s="115"/>
      <c r="CU1370" s="115"/>
      <c r="CV1370" s="115"/>
      <c r="CW1370" s="115"/>
      <c r="CX1370" s="115"/>
      <c r="CY1370" s="115"/>
      <c r="CZ1370" s="115"/>
      <c r="DA1370" s="115"/>
      <c r="DB1370" s="115"/>
      <c r="DC1370" s="115"/>
      <c r="DD1370" s="115"/>
      <c r="DE1370" s="115"/>
      <c r="DF1370" s="115"/>
      <c r="DG1370" s="115"/>
    </row>
    <row r="1371" spans="55:111" ht="9" hidden="1" customHeight="1">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c r="BY1371" s="115"/>
      <c r="BZ1371" s="115"/>
      <c r="CA1371" s="115"/>
      <c r="CB1371" s="115"/>
      <c r="CC1371" s="115"/>
      <c r="CD1371" s="115"/>
      <c r="CE1371" s="115"/>
      <c r="CF1371" s="115"/>
      <c r="CG1371" s="115"/>
      <c r="CH1371" s="115"/>
      <c r="CI1371" s="115"/>
      <c r="CJ1371" s="115"/>
      <c r="CK1371" s="115"/>
      <c r="CL1371" s="115"/>
      <c r="CM1371" s="115"/>
      <c r="CN1371" s="115"/>
      <c r="CO1371" s="115"/>
      <c r="CP1371" s="115"/>
      <c r="CQ1371" s="115"/>
      <c r="CR1371" s="115"/>
      <c r="CS1371" s="115"/>
      <c r="CT1371" s="115"/>
      <c r="CU1371" s="115"/>
      <c r="CV1371" s="115"/>
      <c r="CW1371" s="115"/>
      <c r="CX1371" s="115"/>
      <c r="CY1371" s="115"/>
      <c r="CZ1371" s="115"/>
      <c r="DA1371" s="115"/>
      <c r="DB1371" s="115"/>
      <c r="DC1371" s="115"/>
      <c r="DD1371" s="115"/>
      <c r="DE1371" s="115"/>
      <c r="DF1371" s="115"/>
      <c r="DG1371" s="115"/>
    </row>
    <row r="1372" spans="55:111" ht="9" hidden="1" customHeight="1">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c r="BY1372" s="115"/>
      <c r="BZ1372" s="115"/>
      <c r="CA1372" s="115"/>
      <c r="CB1372" s="115"/>
      <c r="CC1372" s="115"/>
      <c r="CD1372" s="115"/>
      <c r="CE1372" s="115"/>
      <c r="CF1372" s="115"/>
      <c r="CG1372" s="115"/>
      <c r="CH1372" s="115"/>
      <c r="CI1372" s="115"/>
      <c r="CJ1372" s="115"/>
      <c r="CK1372" s="115"/>
      <c r="CL1372" s="115"/>
      <c r="CM1372" s="115"/>
      <c r="CN1372" s="115"/>
      <c r="CO1372" s="115"/>
      <c r="CP1372" s="115"/>
      <c r="CQ1372" s="115"/>
      <c r="CR1372" s="115"/>
      <c r="CS1372" s="115"/>
      <c r="CT1372" s="115"/>
      <c r="CU1372" s="115"/>
      <c r="CV1372" s="115"/>
      <c r="CW1372" s="115"/>
      <c r="CX1372" s="115"/>
      <c r="CY1372" s="115"/>
      <c r="CZ1372" s="115"/>
      <c r="DA1372" s="115"/>
      <c r="DB1372" s="115"/>
      <c r="DC1372" s="115"/>
      <c r="DD1372" s="115"/>
      <c r="DE1372" s="115"/>
      <c r="DF1372" s="115"/>
      <c r="DG1372" s="115"/>
    </row>
    <row r="1373" spans="55:111" ht="9" hidden="1" customHeight="1">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c r="BY1373" s="115"/>
      <c r="BZ1373" s="115"/>
      <c r="CA1373" s="115"/>
      <c r="CB1373" s="115"/>
      <c r="CC1373" s="115"/>
      <c r="CD1373" s="115"/>
      <c r="CE1373" s="115"/>
      <c r="CF1373" s="115"/>
      <c r="CG1373" s="115"/>
      <c r="CH1373" s="115"/>
      <c r="CI1373" s="115"/>
      <c r="CJ1373" s="115"/>
      <c r="CK1373" s="115"/>
      <c r="CL1373" s="115"/>
      <c r="CM1373" s="115"/>
      <c r="CN1373" s="115"/>
      <c r="CO1373" s="115"/>
      <c r="CP1373" s="115"/>
      <c r="CQ1373" s="115"/>
      <c r="CR1373" s="115"/>
      <c r="CS1373" s="115"/>
      <c r="CT1373" s="115"/>
      <c r="CU1373" s="115"/>
      <c r="CV1373" s="115"/>
      <c r="CW1373" s="115"/>
      <c r="CX1373" s="115"/>
      <c r="CY1373" s="115"/>
      <c r="CZ1373" s="115"/>
      <c r="DA1373" s="115"/>
      <c r="DB1373" s="115"/>
      <c r="DC1373" s="115"/>
      <c r="DD1373" s="115"/>
      <c r="DE1373" s="115"/>
      <c r="DF1373" s="115"/>
      <c r="DG1373" s="115"/>
    </row>
    <row r="1374" spans="55:111" ht="9" hidden="1" customHeight="1">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c r="BY1374" s="115"/>
      <c r="BZ1374" s="115"/>
      <c r="CA1374" s="115"/>
      <c r="CB1374" s="115"/>
      <c r="CC1374" s="115"/>
      <c r="CD1374" s="115"/>
      <c r="CE1374" s="115"/>
      <c r="CF1374" s="115"/>
      <c r="CG1374" s="115"/>
      <c r="CH1374" s="115"/>
      <c r="CI1374" s="115"/>
      <c r="CJ1374" s="115"/>
      <c r="CK1374" s="115"/>
      <c r="CL1374" s="115"/>
      <c r="CM1374" s="115"/>
      <c r="CN1374" s="115"/>
      <c r="CO1374" s="115"/>
      <c r="CP1374" s="115"/>
      <c r="CQ1374" s="115"/>
      <c r="CR1374" s="115"/>
      <c r="CS1374" s="115"/>
      <c r="CT1374" s="115"/>
      <c r="CU1374" s="115"/>
      <c r="CV1374" s="115"/>
      <c r="CW1374" s="115"/>
      <c r="CX1374" s="115"/>
      <c r="CY1374" s="115"/>
      <c r="CZ1374" s="115"/>
      <c r="DA1374" s="115"/>
      <c r="DB1374" s="115"/>
      <c r="DC1374" s="115"/>
      <c r="DD1374" s="115"/>
      <c r="DE1374" s="115"/>
      <c r="DF1374" s="115"/>
      <c r="DG1374" s="115"/>
    </row>
    <row r="1375" spans="55:111" ht="9" hidden="1" customHeight="1">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c r="BY1375" s="115"/>
      <c r="BZ1375" s="115"/>
      <c r="CA1375" s="115"/>
      <c r="CB1375" s="115"/>
      <c r="CC1375" s="115"/>
      <c r="CD1375" s="115"/>
      <c r="CE1375" s="115"/>
      <c r="CF1375" s="115"/>
      <c r="CG1375" s="115"/>
      <c r="CH1375" s="115"/>
      <c r="CI1375" s="115"/>
      <c r="CJ1375" s="115"/>
      <c r="CK1375" s="115"/>
      <c r="CL1375" s="115"/>
      <c r="CM1375" s="115"/>
      <c r="CN1375" s="115"/>
      <c r="CO1375" s="115"/>
      <c r="CP1375" s="115"/>
      <c r="CQ1375" s="115"/>
      <c r="CR1375" s="115"/>
      <c r="CS1375" s="115"/>
      <c r="CT1375" s="115"/>
      <c r="CU1375" s="115"/>
      <c r="CV1375" s="115"/>
      <c r="CW1375" s="115"/>
      <c r="CX1375" s="115"/>
      <c r="CY1375" s="115"/>
      <c r="CZ1375" s="115"/>
      <c r="DA1375" s="115"/>
      <c r="DB1375" s="115"/>
      <c r="DC1375" s="115"/>
      <c r="DD1375" s="115"/>
      <c r="DE1375" s="115"/>
      <c r="DF1375" s="115"/>
      <c r="DG1375" s="115"/>
    </row>
    <row r="1376" spans="55:111" ht="9" hidden="1" customHeight="1">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c r="BY1376" s="115"/>
      <c r="BZ1376" s="115"/>
      <c r="CA1376" s="115"/>
      <c r="CB1376" s="115"/>
      <c r="CC1376" s="115"/>
      <c r="CD1376" s="115"/>
      <c r="CE1376" s="115"/>
      <c r="CF1376" s="115"/>
      <c r="CG1376" s="115"/>
      <c r="CH1376" s="115"/>
      <c r="CI1376" s="115"/>
      <c r="CJ1376" s="115"/>
      <c r="CK1376" s="115"/>
      <c r="CL1376" s="115"/>
      <c r="CM1376" s="115"/>
      <c r="CN1376" s="115"/>
      <c r="CO1376" s="115"/>
      <c r="CP1376" s="115"/>
      <c r="CQ1376" s="115"/>
      <c r="CR1376" s="115"/>
      <c r="CS1376" s="115"/>
      <c r="CT1376" s="115"/>
      <c r="CU1376" s="115"/>
      <c r="CV1376" s="115"/>
      <c r="CW1376" s="115"/>
      <c r="CX1376" s="115"/>
      <c r="CY1376" s="115"/>
      <c r="CZ1376" s="115"/>
      <c r="DA1376" s="115"/>
      <c r="DB1376" s="115"/>
      <c r="DC1376" s="115"/>
      <c r="DD1376" s="115"/>
      <c r="DE1376" s="115"/>
      <c r="DF1376" s="115"/>
      <c r="DG1376" s="115"/>
    </row>
    <row r="1377" spans="55:111" ht="9" hidden="1" customHeight="1">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c r="BY1377" s="115"/>
      <c r="BZ1377" s="115"/>
      <c r="CA1377" s="115"/>
      <c r="CB1377" s="115"/>
      <c r="CC1377" s="115"/>
      <c r="CD1377" s="115"/>
      <c r="CE1377" s="115"/>
      <c r="CF1377" s="115"/>
      <c r="CG1377" s="115"/>
      <c r="CH1377" s="115"/>
      <c r="CI1377" s="115"/>
      <c r="CJ1377" s="115"/>
      <c r="CK1377" s="115"/>
      <c r="CL1377" s="115"/>
      <c r="CM1377" s="115"/>
      <c r="CN1377" s="115"/>
      <c r="CO1377" s="115"/>
      <c r="CP1377" s="115"/>
      <c r="CQ1377" s="115"/>
      <c r="CR1377" s="115"/>
      <c r="CS1377" s="115"/>
      <c r="CT1377" s="115"/>
      <c r="CU1377" s="115"/>
      <c r="CV1377" s="115"/>
      <c r="CW1377" s="115"/>
      <c r="CX1377" s="115"/>
      <c r="CY1377" s="115"/>
      <c r="CZ1377" s="115"/>
      <c r="DA1377" s="115"/>
      <c r="DB1377" s="115"/>
      <c r="DC1377" s="115"/>
      <c r="DD1377" s="115"/>
      <c r="DE1377" s="115"/>
      <c r="DF1377" s="115"/>
      <c r="DG1377" s="115"/>
    </row>
    <row r="1378" spans="55:111" ht="9" hidden="1" customHeight="1">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c r="BY1378" s="115"/>
      <c r="BZ1378" s="115"/>
      <c r="CA1378" s="115"/>
      <c r="CB1378" s="115"/>
      <c r="CC1378" s="115"/>
      <c r="CD1378" s="115"/>
      <c r="CE1378" s="115"/>
      <c r="CF1378" s="115"/>
      <c r="CG1378" s="115"/>
      <c r="CH1378" s="115"/>
      <c r="CI1378" s="115"/>
      <c r="CJ1378" s="115"/>
      <c r="CK1378" s="115"/>
      <c r="CL1378" s="115"/>
      <c r="CM1378" s="115"/>
      <c r="CN1378" s="115"/>
      <c r="CO1378" s="115"/>
      <c r="CP1378" s="115"/>
      <c r="CQ1378" s="115"/>
      <c r="CR1378" s="115"/>
      <c r="CS1378" s="115"/>
      <c r="CT1378" s="115"/>
      <c r="CU1378" s="115"/>
      <c r="CV1378" s="115"/>
      <c r="CW1378" s="115"/>
      <c r="CX1378" s="115"/>
      <c r="CY1378" s="115"/>
      <c r="CZ1378" s="115"/>
      <c r="DA1378" s="115"/>
      <c r="DB1378" s="115"/>
      <c r="DC1378" s="115"/>
      <c r="DD1378" s="115"/>
      <c r="DE1378" s="115"/>
      <c r="DF1378" s="115"/>
      <c r="DG1378" s="115"/>
    </row>
    <row r="1379" spans="55:111" ht="9" hidden="1" customHeight="1">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c r="BY1379" s="115"/>
      <c r="BZ1379" s="115"/>
      <c r="CA1379" s="115"/>
      <c r="CB1379" s="115"/>
      <c r="CC1379" s="115"/>
      <c r="CD1379" s="115"/>
      <c r="CE1379" s="115"/>
      <c r="CF1379" s="115"/>
      <c r="CG1379" s="115"/>
      <c r="CH1379" s="115"/>
      <c r="CI1379" s="115"/>
      <c r="CJ1379" s="115"/>
      <c r="CK1379" s="115"/>
      <c r="CL1379" s="115"/>
      <c r="CM1379" s="115"/>
      <c r="CN1379" s="115"/>
      <c r="CO1379" s="115"/>
      <c r="CP1379" s="115"/>
      <c r="CQ1379" s="115"/>
      <c r="CR1379" s="115"/>
      <c r="CS1379" s="115"/>
      <c r="CT1379" s="115"/>
      <c r="CU1379" s="115"/>
      <c r="CV1379" s="115"/>
      <c r="CW1379" s="115"/>
      <c r="CX1379" s="115"/>
      <c r="CY1379" s="115"/>
      <c r="CZ1379" s="115"/>
      <c r="DA1379" s="115"/>
      <c r="DB1379" s="115"/>
      <c r="DC1379" s="115"/>
      <c r="DD1379" s="115"/>
      <c r="DE1379" s="115"/>
      <c r="DF1379" s="115"/>
      <c r="DG1379" s="115"/>
    </row>
    <row r="1380" spans="55:111" ht="9" hidden="1" customHeight="1">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c r="BY1380" s="115"/>
      <c r="BZ1380" s="115"/>
      <c r="CA1380" s="115"/>
      <c r="CB1380" s="115"/>
      <c r="CC1380" s="115"/>
      <c r="CD1380" s="115"/>
      <c r="CE1380" s="115"/>
      <c r="CF1380" s="115"/>
      <c r="CG1380" s="115"/>
      <c r="CH1380" s="115"/>
      <c r="CI1380" s="115"/>
      <c r="CJ1380" s="115"/>
      <c r="CK1380" s="115"/>
      <c r="CL1380" s="115"/>
      <c r="CM1380" s="115"/>
      <c r="CN1380" s="115"/>
      <c r="CO1380" s="115"/>
      <c r="CP1380" s="115"/>
      <c r="CQ1380" s="115"/>
      <c r="CR1380" s="115"/>
      <c r="CS1380" s="115"/>
      <c r="CT1380" s="115"/>
      <c r="CU1380" s="115"/>
      <c r="CV1380" s="115"/>
      <c r="CW1380" s="115"/>
      <c r="CX1380" s="115"/>
      <c r="CY1380" s="115"/>
      <c r="CZ1380" s="115"/>
      <c r="DA1380" s="115"/>
      <c r="DB1380" s="115"/>
      <c r="DC1380" s="115"/>
      <c r="DD1380" s="115"/>
      <c r="DE1380" s="115"/>
      <c r="DF1380" s="115"/>
      <c r="DG1380" s="115"/>
    </row>
    <row r="1381" spans="55:111" ht="9" hidden="1" customHeight="1">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c r="BY1381" s="115"/>
      <c r="BZ1381" s="115"/>
      <c r="CA1381" s="115"/>
      <c r="CB1381" s="115"/>
      <c r="CC1381" s="115"/>
      <c r="CD1381" s="115"/>
      <c r="CE1381" s="115"/>
      <c r="CF1381" s="115"/>
      <c r="CG1381" s="115"/>
      <c r="CH1381" s="115"/>
      <c r="CI1381" s="115"/>
      <c r="CJ1381" s="115"/>
      <c r="CK1381" s="115"/>
      <c r="CL1381" s="115"/>
      <c r="CM1381" s="115"/>
      <c r="CN1381" s="115"/>
      <c r="CO1381" s="115"/>
      <c r="CP1381" s="115"/>
      <c r="CQ1381" s="115"/>
      <c r="CR1381" s="115"/>
      <c r="CS1381" s="115"/>
      <c r="CT1381" s="115"/>
      <c r="CU1381" s="115"/>
      <c r="CV1381" s="115"/>
      <c r="CW1381" s="115"/>
      <c r="CX1381" s="115"/>
      <c r="CY1381" s="115"/>
      <c r="CZ1381" s="115"/>
      <c r="DA1381" s="115"/>
      <c r="DB1381" s="115"/>
      <c r="DC1381" s="115"/>
      <c r="DD1381" s="115"/>
      <c r="DE1381" s="115"/>
      <c r="DF1381" s="115"/>
      <c r="DG1381" s="115"/>
    </row>
    <row r="1382" spans="55:111" ht="9" hidden="1" customHeight="1">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c r="BY1382" s="115"/>
      <c r="BZ1382" s="115"/>
      <c r="CA1382" s="115"/>
      <c r="CB1382" s="115"/>
      <c r="CC1382" s="115"/>
      <c r="CD1382" s="115"/>
      <c r="CE1382" s="115"/>
      <c r="CF1382" s="115"/>
      <c r="CG1382" s="115"/>
      <c r="CH1382" s="115"/>
      <c r="CI1382" s="115"/>
      <c r="CJ1382" s="115"/>
      <c r="CK1382" s="115"/>
      <c r="CL1382" s="115"/>
      <c r="CM1382" s="115"/>
      <c r="CN1382" s="115"/>
      <c r="CO1382" s="115"/>
      <c r="CP1382" s="115"/>
      <c r="CQ1382" s="115"/>
      <c r="CR1382" s="115"/>
      <c r="CS1382" s="115"/>
      <c r="CT1382" s="115"/>
      <c r="CU1382" s="115"/>
      <c r="CV1382" s="115"/>
      <c r="CW1382" s="115"/>
      <c r="CX1382" s="115"/>
      <c r="CY1382" s="115"/>
      <c r="CZ1382" s="115"/>
      <c r="DA1382" s="115"/>
      <c r="DB1382" s="115"/>
      <c r="DC1382" s="115"/>
      <c r="DD1382" s="115"/>
      <c r="DE1382" s="115"/>
      <c r="DF1382" s="115"/>
      <c r="DG1382" s="115"/>
    </row>
    <row r="1383" spans="55:111" ht="9" hidden="1" customHeight="1">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c r="BY1383" s="115"/>
      <c r="BZ1383" s="115"/>
      <c r="CA1383" s="115"/>
      <c r="CB1383" s="115"/>
      <c r="CC1383" s="115"/>
      <c r="CD1383" s="115"/>
      <c r="CE1383" s="115"/>
      <c r="CF1383" s="115"/>
      <c r="CG1383" s="115"/>
      <c r="CH1383" s="115"/>
      <c r="CI1383" s="115"/>
      <c r="CJ1383" s="115"/>
      <c r="CK1383" s="115"/>
      <c r="CL1383" s="115"/>
      <c r="CM1383" s="115"/>
      <c r="CN1383" s="115"/>
      <c r="CO1383" s="115"/>
      <c r="CP1383" s="115"/>
      <c r="CQ1383" s="115"/>
      <c r="CR1383" s="115"/>
      <c r="CS1383" s="115"/>
      <c r="CT1383" s="115"/>
      <c r="CU1383" s="115"/>
      <c r="CV1383" s="115"/>
      <c r="CW1383" s="115"/>
      <c r="CX1383" s="115"/>
      <c r="CY1383" s="115"/>
      <c r="CZ1383" s="115"/>
      <c r="DA1383" s="115"/>
      <c r="DB1383" s="115"/>
      <c r="DC1383" s="115"/>
      <c r="DD1383" s="115"/>
      <c r="DE1383" s="115"/>
      <c r="DF1383" s="115"/>
      <c r="DG1383" s="115"/>
    </row>
    <row r="1384" spans="55:111" ht="9" hidden="1" customHeight="1">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c r="BY1384" s="115"/>
      <c r="BZ1384" s="115"/>
      <c r="CA1384" s="115"/>
      <c r="CB1384" s="115"/>
      <c r="CC1384" s="115"/>
      <c r="CD1384" s="115"/>
      <c r="CE1384" s="115"/>
      <c r="CF1384" s="115"/>
      <c r="CG1384" s="115"/>
      <c r="CH1384" s="115"/>
      <c r="CI1384" s="115"/>
      <c r="CJ1384" s="115"/>
      <c r="CK1384" s="115"/>
      <c r="CL1384" s="115"/>
      <c r="CM1384" s="115"/>
      <c r="CN1384" s="115"/>
      <c r="CO1384" s="115"/>
      <c r="CP1384" s="115"/>
      <c r="CQ1384" s="115"/>
      <c r="CR1384" s="115"/>
      <c r="CS1384" s="115"/>
      <c r="CT1384" s="115"/>
      <c r="CU1384" s="115"/>
      <c r="CV1384" s="115"/>
      <c r="CW1384" s="115"/>
      <c r="CX1384" s="115"/>
      <c r="CY1384" s="115"/>
      <c r="CZ1384" s="115"/>
      <c r="DA1384" s="115"/>
      <c r="DB1384" s="115"/>
      <c r="DC1384" s="115"/>
      <c r="DD1384" s="115"/>
      <c r="DE1384" s="115"/>
      <c r="DF1384" s="115"/>
      <c r="DG1384" s="115"/>
    </row>
    <row r="1385" spans="55:111" ht="9" hidden="1" customHeight="1">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c r="BY1385" s="115"/>
      <c r="BZ1385" s="115"/>
      <c r="CA1385" s="115"/>
      <c r="CB1385" s="115"/>
      <c r="CC1385" s="115"/>
      <c r="CD1385" s="115"/>
      <c r="CE1385" s="115"/>
      <c r="CF1385" s="115"/>
      <c r="CG1385" s="115"/>
      <c r="CH1385" s="115"/>
      <c r="CI1385" s="115"/>
      <c r="CJ1385" s="115"/>
      <c r="CK1385" s="115"/>
      <c r="CL1385" s="115"/>
      <c r="CM1385" s="115"/>
      <c r="CN1385" s="115"/>
      <c r="CO1385" s="115"/>
      <c r="CP1385" s="115"/>
      <c r="CQ1385" s="115"/>
      <c r="CR1385" s="115"/>
      <c r="CS1385" s="115"/>
      <c r="CT1385" s="115"/>
      <c r="CU1385" s="115"/>
      <c r="CV1385" s="115"/>
      <c r="CW1385" s="115"/>
      <c r="CX1385" s="115"/>
      <c r="CY1385" s="115"/>
      <c r="CZ1385" s="115"/>
      <c r="DA1385" s="115"/>
      <c r="DB1385" s="115"/>
      <c r="DC1385" s="115"/>
      <c r="DD1385" s="115"/>
      <c r="DE1385" s="115"/>
      <c r="DF1385" s="115"/>
      <c r="DG1385" s="115"/>
    </row>
    <row r="1386" spans="55:111" ht="9" hidden="1" customHeight="1">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c r="BY1386" s="115"/>
      <c r="BZ1386" s="115"/>
      <c r="CA1386" s="115"/>
      <c r="CB1386" s="115"/>
      <c r="CC1386" s="115"/>
      <c r="CD1386" s="115"/>
      <c r="CE1386" s="115"/>
      <c r="CF1386" s="115"/>
      <c r="CG1386" s="115"/>
      <c r="CH1386" s="115"/>
      <c r="CI1386" s="115"/>
      <c r="CJ1386" s="115"/>
      <c r="CK1386" s="115"/>
      <c r="CL1386" s="115"/>
      <c r="CM1386" s="115"/>
      <c r="CN1386" s="115"/>
      <c r="CO1386" s="115"/>
      <c r="CP1386" s="115"/>
      <c r="CQ1386" s="115"/>
      <c r="CR1386" s="115"/>
      <c r="CS1386" s="115"/>
      <c r="CT1386" s="115"/>
      <c r="CU1386" s="115"/>
      <c r="CV1386" s="115"/>
      <c r="CW1386" s="115"/>
      <c r="CX1386" s="115"/>
      <c r="CY1386" s="115"/>
      <c r="CZ1386" s="115"/>
      <c r="DA1386" s="115"/>
      <c r="DB1386" s="115"/>
      <c r="DC1386" s="115"/>
      <c r="DD1386" s="115"/>
      <c r="DE1386" s="115"/>
      <c r="DF1386" s="115"/>
      <c r="DG1386" s="115"/>
    </row>
    <row r="1387" spans="55:111" ht="9" hidden="1" customHeight="1">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c r="BY1387" s="115"/>
      <c r="BZ1387" s="115"/>
      <c r="CA1387" s="115"/>
      <c r="CB1387" s="115"/>
      <c r="CC1387" s="115"/>
      <c r="CD1387" s="115"/>
      <c r="CE1387" s="115"/>
      <c r="CF1387" s="115"/>
      <c r="CG1387" s="115"/>
      <c r="CH1387" s="115"/>
      <c r="CI1387" s="115"/>
      <c r="CJ1387" s="115"/>
      <c r="CK1387" s="115"/>
      <c r="CL1387" s="115"/>
      <c r="CM1387" s="115"/>
      <c r="CN1387" s="115"/>
      <c r="CO1387" s="115"/>
      <c r="CP1387" s="115"/>
      <c r="CQ1387" s="115"/>
      <c r="CR1387" s="115"/>
      <c r="CS1387" s="115"/>
      <c r="CT1387" s="115"/>
      <c r="CU1387" s="115"/>
      <c r="CV1387" s="115"/>
      <c r="CW1387" s="115"/>
      <c r="CX1387" s="115"/>
      <c r="CY1387" s="115"/>
      <c r="CZ1387" s="115"/>
      <c r="DA1387" s="115"/>
      <c r="DB1387" s="115"/>
      <c r="DC1387" s="115"/>
      <c r="DD1387" s="115"/>
      <c r="DE1387" s="115"/>
      <c r="DF1387" s="115"/>
      <c r="DG1387" s="115"/>
    </row>
    <row r="1388" spans="55:111" ht="9" hidden="1" customHeight="1">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c r="BY1388" s="115"/>
      <c r="BZ1388" s="115"/>
      <c r="CA1388" s="115"/>
      <c r="CB1388" s="115"/>
      <c r="CC1388" s="115"/>
      <c r="CD1388" s="115"/>
      <c r="CE1388" s="115"/>
      <c r="CF1388" s="115"/>
      <c r="CG1388" s="115"/>
      <c r="CH1388" s="115"/>
      <c r="CI1388" s="115"/>
      <c r="CJ1388" s="115"/>
      <c r="CK1388" s="115"/>
      <c r="CL1388" s="115"/>
      <c r="CM1388" s="115"/>
      <c r="CN1388" s="115"/>
      <c r="CO1388" s="115"/>
      <c r="CP1388" s="115"/>
      <c r="CQ1388" s="115"/>
      <c r="CR1388" s="115"/>
      <c r="CS1388" s="115"/>
      <c r="CT1388" s="115"/>
      <c r="CU1388" s="115"/>
      <c r="CV1388" s="115"/>
      <c r="CW1388" s="115"/>
      <c r="CX1388" s="115"/>
      <c r="CY1388" s="115"/>
      <c r="CZ1388" s="115"/>
      <c r="DA1388" s="115"/>
      <c r="DB1388" s="115"/>
      <c r="DC1388" s="115"/>
      <c r="DD1388" s="115"/>
      <c r="DE1388" s="115"/>
      <c r="DF1388" s="115"/>
      <c r="DG1388" s="115"/>
    </row>
    <row r="1389" spans="55:111" ht="9" hidden="1" customHeight="1">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c r="BY1389" s="115"/>
      <c r="BZ1389" s="115"/>
      <c r="CA1389" s="115"/>
      <c r="CB1389" s="115"/>
      <c r="CC1389" s="115"/>
      <c r="CD1389" s="115"/>
      <c r="CE1389" s="115"/>
      <c r="CF1389" s="115"/>
      <c r="CG1389" s="115"/>
      <c r="CH1389" s="115"/>
      <c r="CI1389" s="115"/>
      <c r="CJ1389" s="115"/>
      <c r="CK1389" s="115"/>
      <c r="CL1389" s="115"/>
      <c r="CM1389" s="115"/>
      <c r="CN1389" s="115"/>
      <c r="CO1389" s="115"/>
      <c r="CP1389" s="115"/>
      <c r="CQ1389" s="115"/>
      <c r="CR1389" s="115"/>
      <c r="CS1389" s="115"/>
      <c r="CT1389" s="115"/>
      <c r="CU1389" s="115"/>
      <c r="CV1389" s="115"/>
      <c r="CW1389" s="115"/>
      <c r="CX1389" s="115"/>
      <c r="CY1389" s="115"/>
      <c r="CZ1389" s="115"/>
      <c r="DA1389" s="115"/>
      <c r="DB1389" s="115"/>
      <c r="DC1389" s="115"/>
      <c r="DD1389" s="115"/>
      <c r="DE1389" s="115"/>
      <c r="DF1389" s="115"/>
      <c r="DG1389" s="115"/>
    </row>
    <row r="1390" spans="55:111" ht="9" hidden="1" customHeight="1">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c r="BY1390" s="115"/>
      <c r="BZ1390" s="115"/>
      <c r="CA1390" s="115"/>
      <c r="CB1390" s="115"/>
      <c r="CC1390" s="115"/>
      <c r="CD1390" s="115"/>
      <c r="CE1390" s="115"/>
      <c r="CF1390" s="115"/>
      <c r="CG1390" s="115"/>
      <c r="CH1390" s="115"/>
      <c r="CI1390" s="115"/>
      <c r="CJ1390" s="115"/>
      <c r="CK1390" s="115"/>
      <c r="CL1390" s="115"/>
      <c r="CM1390" s="115"/>
      <c r="CN1390" s="115"/>
      <c r="CO1390" s="115"/>
      <c r="CP1390" s="115"/>
      <c r="CQ1390" s="115"/>
      <c r="CR1390" s="115"/>
      <c r="CS1390" s="115"/>
      <c r="CT1390" s="115"/>
      <c r="CU1390" s="115"/>
      <c r="CV1390" s="115"/>
      <c r="CW1390" s="115"/>
      <c r="CX1390" s="115"/>
      <c r="CY1390" s="115"/>
      <c r="CZ1390" s="115"/>
      <c r="DA1390" s="115"/>
      <c r="DB1390" s="115"/>
      <c r="DC1390" s="115"/>
      <c r="DD1390" s="115"/>
      <c r="DE1390" s="115"/>
      <c r="DF1390" s="115"/>
      <c r="DG1390" s="115"/>
    </row>
    <row r="1391" spans="55:111" ht="9" hidden="1" customHeight="1">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c r="BY1391" s="115"/>
      <c r="BZ1391" s="115"/>
      <c r="CA1391" s="115"/>
      <c r="CB1391" s="115"/>
      <c r="CC1391" s="115"/>
      <c r="CD1391" s="115"/>
      <c r="CE1391" s="115"/>
      <c r="CF1391" s="115"/>
      <c r="CG1391" s="115"/>
      <c r="CH1391" s="115"/>
      <c r="CI1391" s="115"/>
      <c r="CJ1391" s="115"/>
      <c r="CK1391" s="115"/>
      <c r="CL1391" s="115"/>
      <c r="CM1391" s="115"/>
      <c r="CN1391" s="115"/>
      <c r="CO1391" s="115"/>
      <c r="CP1391" s="115"/>
      <c r="CQ1391" s="115"/>
      <c r="CR1391" s="115"/>
      <c r="CS1391" s="115"/>
      <c r="CT1391" s="115"/>
      <c r="CU1391" s="115"/>
      <c r="CV1391" s="115"/>
      <c r="CW1391" s="115"/>
      <c r="CX1391" s="115"/>
      <c r="CY1391" s="115"/>
      <c r="CZ1391" s="115"/>
      <c r="DA1391" s="115"/>
      <c r="DB1391" s="115"/>
      <c r="DC1391" s="115"/>
      <c r="DD1391" s="115"/>
      <c r="DE1391" s="115"/>
      <c r="DF1391" s="115"/>
      <c r="DG1391" s="115"/>
    </row>
    <row r="1392" spans="55:111" ht="9" hidden="1" customHeight="1">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c r="BY1392" s="115"/>
      <c r="BZ1392" s="115"/>
      <c r="CA1392" s="115"/>
      <c r="CB1392" s="115"/>
      <c r="CC1392" s="115"/>
      <c r="CD1392" s="115"/>
      <c r="CE1392" s="115"/>
      <c r="CF1392" s="115"/>
      <c r="CG1392" s="115"/>
      <c r="CH1392" s="115"/>
      <c r="CI1392" s="115"/>
      <c r="CJ1392" s="115"/>
      <c r="CK1392" s="115"/>
      <c r="CL1392" s="115"/>
      <c r="CM1392" s="115"/>
      <c r="CN1392" s="115"/>
      <c r="CO1392" s="115"/>
      <c r="CP1392" s="115"/>
      <c r="CQ1392" s="115"/>
      <c r="CR1392" s="115"/>
      <c r="CS1392" s="115"/>
      <c r="CT1392" s="115"/>
      <c r="CU1392" s="115"/>
      <c r="CV1392" s="115"/>
      <c r="CW1392" s="115"/>
      <c r="CX1392" s="115"/>
      <c r="CY1392" s="115"/>
      <c r="CZ1392" s="115"/>
      <c r="DA1392" s="115"/>
      <c r="DB1392" s="115"/>
      <c r="DC1392" s="115"/>
      <c r="DD1392" s="115"/>
      <c r="DE1392" s="115"/>
      <c r="DF1392" s="115"/>
      <c r="DG1392" s="115"/>
    </row>
    <row r="1393" spans="55:111" ht="9" hidden="1" customHeight="1">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c r="BY1393" s="115"/>
      <c r="BZ1393" s="115"/>
      <c r="CA1393" s="115"/>
      <c r="CB1393" s="115"/>
      <c r="CC1393" s="115"/>
      <c r="CD1393" s="115"/>
      <c r="CE1393" s="115"/>
      <c r="CF1393" s="115"/>
      <c r="CG1393" s="115"/>
      <c r="CH1393" s="115"/>
      <c r="CI1393" s="115"/>
      <c r="CJ1393" s="115"/>
      <c r="CK1393" s="115"/>
      <c r="CL1393" s="115"/>
      <c r="CM1393" s="115"/>
      <c r="CN1393" s="115"/>
      <c r="CO1393" s="115"/>
      <c r="CP1393" s="115"/>
      <c r="CQ1393" s="115"/>
      <c r="CR1393" s="115"/>
      <c r="CS1393" s="115"/>
      <c r="CT1393" s="115"/>
      <c r="CU1393" s="115"/>
      <c r="CV1393" s="115"/>
      <c r="CW1393" s="115"/>
      <c r="CX1393" s="115"/>
      <c r="CY1393" s="115"/>
      <c r="CZ1393" s="115"/>
      <c r="DA1393" s="115"/>
      <c r="DB1393" s="115"/>
      <c r="DC1393" s="115"/>
      <c r="DD1393" s="115"/>
      <c r="DE1393" s="115"/>
      <c r="DF1393" s="115"/>
      <c r="DG1393" s="115"/>
    </row>
    <row r="1394" spans="55:111" ht="9" hidden="1" customHeight="1">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c r="BY1394" s="115"/>
      <c r="BZ1394" s="115"/>
      <c r="CA1394" s="115"/>
      <c r="CB1394" s="115"/>
      <c r="CC1394" s="115"/>
      <c r="CD1394" s="115"/>
      <c r="CE1394" s="115"/>
      <c r="CF1394" s="115"/>
      <c r="CG1394" s="115"/>
      <c r="CH1394" s="115"/>
      <c r="CI1394" s="115"/>
      <c r="CJ1394" s="115"/>
      <c r="CK1394" s="115"/>
      <c r="CL1394" s="115"/>
      <c r="CM1394" s="115"/>
      <c r="CN1394" s="115"/>
      <c r="CO1394" s="115"/>
      <c r="CP1394" s="115"/>
      <c r="CQ1394" s="115"/>
      <c r="CR1394" s="115"/>
      <c r="CS1394" s="115"/>
      <c r="CT1394" s="115"/>
      <c r="CU1394" s="115"/>
      <c r="CV1394" s="115"/>
      <c r="CW1394" s="115"/>
      <c r="CX1394" s="115"/>
      <c r="CY1394" s="115"/>
      <c r="CZ1394" s="115"/>
      <c r="DA1394" s="115"/>
      <c r="DB1394" s="115"/>
      <c r="DC1394" s="115"/>
      <c r="DD1394" s="115"/>
      <c r="DE1394" s="115"/>
      <c r="DF1394" s="115"/>
      <c r="DG1394" s="115"/>
    </row>
    <row r="1395" spans="55:111" ht="9" hidden="1" customHeight="1">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c r="BY1395" s="115"/>
      <c r="BZ1395" s="115"/>
      <c r="CA1395" s="115"/>
      <c r="CB1395" s="115"/>
      <c r="CC1395" s="115"/>
      <c r="CD1395" s="115"/>
      <c r="CE1395" s="115"/>
      <c r="CF1395" s="115"/>
      <c r="CG1395" s="115"/>
      <c r="CH1395" s="115"/>
      <c r="CI1395" s="115"/>
      <c r="CJ1395" s="115"/>
      <c r="CK1395" s="115"/>
      <c r="CL1395" s="115"/>
      <c r="CM1395" s="115"/>
      <c r="CN1395" s="115"/>
      <c r="CO1395" s="115"/>
      <c r="CP1395" s="115"/>
      <c r="CQ1395" s="115"/>
      <c r="CR1395" s="115"/>
      <c r="CS1395" s="115"/>
      <c r="CT1395" s="115"/>
      <c r="CU1395" s="115"/>
      <c r="CV1395" s="115"/>
      <c r="CW1395" s="115"/>
      <c r="CX1395" s="115"/>
      <c r="CY1395" s="115"/>
      <c r="CZ1395" s="115"/>
      <c r="DA1395" s="115"/>
      <c r="DB1395" s="115"/>
      <c r="DC1395" s="115"/>
      <c r="DD1395" s="115"/>
      <c r="DE1395" s="115"/>
      <c r="DF1395" s="115"/>
      <c r="DG1395" s="115"/>
    </row>
    <row r="1396" spans="55:111" ht="9" hidden="1" customHeight="1">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c r="BY1396" s="115"/>
      <c r="BZ1396" s="115"/>
      <c r="CA1396" s="115"/>
      <c r="CB1396" s="115"/>
      <c r="CC1396" s="115"/>
      <c r="CD1396" s="115"/>
      <c r="CE1396" s="115"/>
      <c r="CF1396" s="115"/>
      <c r="CG1396" s="115"/>
      <c r="CH1396" s="115"/>
      <c r="CI1396" s="115"/>
      <c r="CJ1396" s="115"/>
      <c r="CK1396" s="115"/>
      <c r="CL1396" s="115"/>
      <c r="CM1396" s="115"/>
      <c r="CN1396" s="115"/>
      <c r="CO1396" s="115"/>
      <c r="CP1396" s="115"/>
      <c r="CQ1396" s="115"/>
      <c r="CR1396" s="115"/>
      <c r="CS1396" s="115"/>
      <c r="CT1396" s="115"/>
      <c r="CU1396" s="115"/>
      <c r="CV1396" s="115"/>
      <c r="CW1396" s="115"/>
      <c r="CX1396" s="115"/>
      <c r="CY1396" s="115"/>
      <c r="CZ1396" s="115"/>
      <c r="DA1396" s="115"/>
      <c r="DB1396" s="115"/>
      <c r="DC1396" s="115"/>
      <c r="DD1396" s="115"/>
      <c r="DE1396" s="115"/>
      <c r="DF1396" s="115"/>
      <c r="DG1396" s="115"/>
    </row>
    <row r="1397" spans="55:111" ht="9" hidden="1" customHeight="1">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c r="BY1397" s="115"/>
      <c r="BZ1397" s="115"/>
      <c r="CA1397" s="115"/>
      <c r="CB1397" s="115"/>
      <c r="CC1397" s="115"/>
      <c r="CD1397" s="115"/>
      <c r="CE1397" s="115"/>
      <c r="CF1397" s="115"/>
      <c r="CG1397" s="115"/>
      <c r="CH1397" s="115"/>
      <c r="CI1397" s="115"/>
      <c r="CJ1397" s="115"/>
      <c r="CK1397" s="115"/>
      <c r="CL1397" s="115"/>
      <c r="CM1397" s="115"/>
      <c r="CN1397" s="115"/>
      <c r="CO1397" s="115"/>
      <c r="CP1397" s="115"/>
      <c r="CQ1397" s="115"/>
      <c r="CR1397" s="115"/>
      <c r="CS1397" s="115"/>
      <c r="CT1397" s="115"/>
      <c r="CU1397" s="115"/>
      <c r="CV1397" s="115"/>
      <c r="CW1397" s="115"/>
      <c r="CX1397" s="115"/>
      <c r="CY1397" s="115"/>
      <c r="CZ1397" s="115"/>
      <c r="DA1397" s="115"/>
      <c r="DB1397" s="115"/>
      <c r="DC1397" s="115"/>
      <c r="DD1397" s="115"/>
      <c r="DE1397" s="115"/>
      <c r="DF1397" s="115"/>
      <c r="DG1397" s="115"/>
    </row>
    <row r="1398" spans="55:111" ht="9" hidden="1" customHeight="1">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c r="BY1398" s="115"/>
      <c r="BZ1398" s="115"/>
      <c r="CA1398" s="115"/>
      <c r="CB1398" s="115"/>
      <c r="CC1398" s="115"/>
      <c r="CD1398" s="115"/>
      <c r="CE1398" s="115"/>
      <c r="CF1398" s="115"/>
      <c r="CG1398" s="115"/>
      <c r="CH1398" s="115"/>
      <c r="CI1398" s="115"/>
      <c r="CJ1398" s="115"/>
      <c r="CK1398" s="115"/>
      <c r="CL1398" s="115"/>
      <c r="CM1398" s="115"/>
      <c r="CN1398" s="115"/>
      <c r="CO1398" s="115"/>
      <c r="CP1398" s="115"/>
      <c r="CQ1398" s="115"/>
      <c r="CR1398" s="115"/>
      <c r="CS1398" s="115"/>
      <c r="CT1398" s="115"/>
      <c r="CU1398" s="115"/>
      <c r="CV1398" s="115"/>
      <c r="CW1398" s="115"/>
      <c r="CX1398" s="115"/>
      <c r="CY1398" s="115"/>
      <c r="CZ1398" s="115"/>
      <c r="DA1398" s="115"/>
      <c r="DB1398" s="115"/>
      <c r="DC1398" s="115"/>
      <c r="DD1398" s="115"/>
      <c r="DE1398" s="115"/>
      <c r="DF1398" s="115"/>
      <c r="DG1398" s="115"/>
    </row>
    <row r="1399" spans="55:111" ht="9" hidden="1" customHeight="1">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c r="BY1399" s="115"/>
      <c r="BZ1399" s="115"/>
      <c r="CA1399" s="115"/>
      <c r="CB1399" s="115"/>
      <c r="CC1399" s="115"/>
      <c r="CD1399" s="115"/>
      <c r="CE1399" s="115"/>
      <c r="CF1399" s="115"/>
      <c r="CG1399" s="115"/>
      <c r="CH1399" s="115"/>
      <c r="CI1399" s="115"/>
      <c r="CJ1399" s="115"/>
      <c r="CK1399" s="115"/>
      <c r="CL1399" s="115"/>
      <c r="CM1399" s="115"/>
      <c r="CN1399" s="115"/>
      <c r="CO1399" s="115"/>
      <c r="CP1399" s="115"/>
      <c r="CQ1399" s="115"/>
      <c r="CR1399" s="115"/>
      <c r="CS1399" s="115"/>
      <c r="CT1399" s="115"/>
      <c r="CU1399" s="115"/>
      <c r="CV1399" s="115"/>
      <c r="CW1399" s="115"/>
      <c r="CX1399" s="115"/>
      <c r="CY1399" s="115"/>
      <c r="CZ1399" s="115"/>
      <c r="DA1399" s="115"/>
      <c r="DB1399" s="115"/>
      <c r="DC1399" s="115"/>
      <c r="DD1399" s="115"/>
      <c r="DE1399" s="115"/>
      <c r="DF1399" s="115"/>
      <c r="DG1399" s="115"/>
    </row>
    <row r="1400" spans="55:111" ht="9" hidden="1" customHeight="1">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c r="BY1400" s="115"/>
      <c r="BZ1400" s="115"/>
      <c r="CA1400" s="115"/>
      <c r="CB1400" s="115"/>
      <c r="CC1400" s="115"/>
      <c r="CD1400" s="115"/>
      <c r="CE1400" s="115"/>
      <c r="CF1400" s="115"/>
      <c r="CG1400" s="115"/>
      <c r="CH1400" s="115"/>
      <c r="CI1400" s="115"/>
      <c r="CJ1400" s="115"/>
      <c r="CK1400" s="115"/>
      <c r="CL1400" s="115"/>
      <c r="CM1400" s="115"/>
      <c r="CN1400" s="115"/>
      <c r="CO1400" s="115"/>
      <c r="CP1400" s="115"/>
      <c r="CQ1400" s="115"/>
      <c r="CR1400" s="115"/>
      <c r="CS1400" s="115"/>
      <c r="CT1400" s="115"/>
      <c r="CU1400" s="115"/>
      <c r="CV1400" s="115"/>
      <c r="CW1400" s="115"/>
      <c r="CX1400" s="115"/>
      <c r="CY1400" s="115"/>
      <c r="CZ1400" s="115"/>
      <c r="DA1400" s="115"/>
      <c r="DB1400" s="115"/>
      <c r="DC1400" s="115"/>
      <c r="DD1400" s="115"/>
      <c r="DE1400" s="115"/>
      <c r="DF1400" s="115"/>
      <c r="DG1400" s="115"/>
    </row>
    <row r="1401" spans="55:111" ht="9" hidden="1" customHeight="1">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c r="BY1401" s="115"/>
      <c r="BZ1401" s="115"/>
      <c r="CA1401" s="115"/>
      <c r="CB1401" s="115"/>
      <c r="CC1401" s="115"/>
      <c r="CD1401" s="115"/>
      <c r="CE1401" s="115"/>
      <c r="CF1401" s="115"/>
      <c r="CG1401" s="115"/>
      <c r="CH1401" s="115"/>
      <c r="CI1401" s="115"/>
      <c r="CJ1401" s="115"/>
      <c r="CK1401" s="115"/>
      <c r="CL1401" s="115"/>
      <c r="CM1401" s="115"/>
      <c r="CN1401" s="115"/>
      <c r="CO1401" s="115"/>
      <c r="CP1401" s="115"/>
      <c r="CQ1401" s="115"/>
      <c r="CR1401" s="115"/>
      <c r="CS1401" s="115"/>
      <c r="CT1401" s="115"/>
      <c r="CU1401" s="115"/>
      <c r="CV1401" s="115"/>
      <c r="CW1401" s="115"/>
      <c r="CX1401" s="115"/>
      <c r="CY1401" s="115"/>
      <c r="CZ1401" s="115"/>
      <c r="DA1401" s="115"/>
      <c r="DB1401" s="115"/>
      <c r="DC1401" s="115"/>
      <c r="DD1401" s="115"/>
      <c r="DE1401" s="115"/>
      <c r="DF1401" s="115"/>
      <c r="DG1401" s="115"/>
    </row>
    <row r="1402" spans="55:111" ht="9" hidden="1" customHeight="1">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c r="BY1402" s="115"/>
      <c r="BZ1402" s="115"/>
      <c r="CA1402" s="115"/>
      <c r="CB1402" s="115"/>
      <c r="CC1402" s="115"/>
      <c r="CD1402" s="115"/>
      <c r="CE1402" s="115"/>
      <c r="CF1402" s="115"/>
      <c r="CG1402" s="115"/>
      <c r="CH1402" s="115"/>
      <c r="CI1402" s="115"/>
      <c r="CJ1402" s="115"/>
      <c r="CK1402" s="115"/>
      <c r="CL1402" s="115"/>
      <c r="CM1402" s="115"/>
      <c r="CN1402" s="115"/>
      <c r="CO1402" s="115"/>
      <c r="CP1402" s="115"/>
      <c r="CQ1402" s="115"/>
      <c r="CR1402" s="115"/>
      <c r="CS1402" s="115"/>
      <c r="CT1402" s="115"/>
      <c r="CU1402" s="115"/>
      <c r="CV1402" s="115"/>
      <c r="CW1402" s="115"/>
      <c r="CX1402" s="115"/>
      <c r="CY1402" s="115"/>
      <c r="CZ1402" s="115"/>
      <c r="DA1402" s="115"/>
      <c r="DB1402" s="115"/>
      <c r="DC1402" s="115"/>
      <c r="DD1402" s="115"/>
      <c r="DE1402" s="115"/>
      <c r="DF1402" s="115"/>
      <c r="DG1402" s="115"/>
    </row>
    <row r="1403" spans="55:111" ht="9" hidden="1" customHeight="1">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c r="BY1403" s="115"/>
      <c r="BZ1403" s="115"/>
      <c r="CA1403" s="115"/>
      <c r="CB1403" s="115"/>
      <c r="CC1403" s="115"/>
      <c r="CD1403" s="115"/>
      <c r="CE1403" s="115"/>
      <c r="CF1403" s="115"/>
      <c r="CG1403" s="115"/>
      <c r="CH1403" s="115"/>
      <c r="CI1403" s="115"/>
      <c r="CJ1403" s="115"/>
      <c r="CK1403" s="115"/>
      <c r="CL1403" s="115"/>
      <c r="CM1403" s="115"/>
      <c r="CN1403" s="115"/>
      <c r="CO1403" s="115"/>
      <c r="CP1403" s="115"/>
      <c r="CQ1403" s="115"/>
      <c r="CR1403" s="115"/>
      <c r="CS1403" s="115"/>
      <c r="CT1403" s="115"/>
      <c r="CU1403" s="115"/>
      <c r="CV1403" s="115"/>
      <c r="CW1403" s="115"/>
      <c r="CX1403" s="115"/>
      <c r="CY1403" s="115"/>
      <c r="CZ1403" s="115"/>
      <c r="DA1403" s="115"/>
      <c r="DB1403" s="115"/>
      <c r="DC1403" s="115"/>
      <c r="DD1403" s="115"/>
      <c r="DE1403" s="115"/>
      <c r="DF1403" s="115"/>
      <c r="DG1403" s="115"/>
    </row>
    <row r="1404" spans="55:111" ht="9" hidden="1" customHeight="1">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c r="BY1404" s="115"/>
      <c r="BZ1404" s="115"/>
      <c r="CA1404" s="115"/>
      <c r="CB1404" s="115"/>
      <c r="CC1404" s="115"/>
      <c r="CD1404" s="115"/>
      <c r="CE1404" s="115"/>
      <c r="CF1404" s="115"/>
      <c r="CG1404" s="115"/>
      <c r="CH1404" s="115"/>
      <c r="CI1404" s="115"/>
      <c r="CJ1404" s="115"/>
      <c r="CK1404" s="115"/>
      <c r="CL1404" s="115"/>
      <c r="CM1404" s="115"/>
      <c r="CN1404" s="115"/>
      <c r="CO1404" s="115"/>
      <c r="CP1404" s="115"/>
      <c r="CQ1404" s="115"/>
      <c r="CR1404" s="115"/>
      <c r="CS1404" s="115"/>
      <c r="CT1404" s="115"/>
      <c r="CU1404" s="115"/>
      <c r="CV1404" s="115"/>
      <c r="CW1404" s="115"/>
      <c r="CX1404" s="115"/>
      <c r="CY1404" s="115"/>
      <c r="CZ1404" s="115"/>
      <c r="DA1404" s="115"/>
      <c r="DB1404" s="115"/>
      <c r="DC1404" s="115"/>
      <c r="DD1404" s="115"/>
      <c r="DE1404" s="115"/>
      <c r="DF1404" s="115"/>
      <c r="DG1404" s="115"/>
    </row>
    <row r="1405" spans="55:111" ht="9" hidden="1" customHeight="1">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c r="BY1405" s="115"/>
      <c r="BZ1405" s="115"/>
      <c r="CA1405" s="115"/>
      <c r="CB1405" s="115"/>
      <c r="CC1405" s="115"/>
      <c r="CD1405" s="115"/>
      <c r="CE1405" s="115"/>
      <c r="CF1405" s="115"/>
      <c r="CG1405" s="115"/>
      <c r="CH1405" s="115"/>
      <c r="CI1405" s="115"/>
      <c r="CJ1405" s="115"/>
      <c r="CK1405" s="115"/>
      <c r="CL1405" s="115"/>
      <c r="CM1405" s="115"/>
      <c r="CN1405" s="115"/>
      <c r="CO1405" s="115"/>
      <c r="CP1405" s="115"/>
      <c r="CQ1405" s="115"/>
      <c r="CR1405" s="115"/>
      <c r="CS1405" s="115"/>
      <c r="CT1405" s="115"/>
      <c r="CU1405" s="115"/>
      <c r="CV1405" s="115"/>
      <c r="CW1405" s="115"/>
      <c r="CX1405" s="115"/>
      <c r="CY1405" s="115"/>
      <c r="CZ1405" s="115"/>
      <c r="DA1405" s="115"/>
      <c r="DB1405" s="115"/>
      <c r="DC1405" s="115"/>
      <c r="DD1405" s="115"/>
      <c r="DE1405" s="115"/>
      <c r="DF1405" s="115"/>
      <c r="DG1405" s="115"/>
    </row>
    <row r="1406" spans="55:111" ht="9" hidden="1" customHeight="1">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c r="BY1406" s="115"/>
      <c r="BZ1406" s="115"/>
      <c r="CA1406" s="115"/>
      <c r="CB1406" s="115"/>
      <c r="CC1406" s="115"/>
      <c r="CD1406" s="115"/>
      <c r="CE1406" s="115"/>
      <c r="CF1406" s="115"/>
      <c r="CG1406" s="115"/>
      <c r="CH1406" s="115"/>
      <c r="CI1406" s="115"/>
      <c r="CJ1406" s="115"/>
      <c r="CK1406" s="115"/>
      <c r="CL1406" s="115"/>
      <c r="CM1406" s="115"/>
      <c r="CN1406" s="115"/>
      <c r="CO1406" s="115"/>
      <c r="CP1406" s="115"/>
      <c r="CQ1406" s="115"/>
      <c r="CR1406" s="115"/>
      <c r="CS1406" s="115"/>
      <c r="CT1406" s="115"/>
      <c r="CU1406" s="115"/>
      <c r="CV1406" s="115"/>
      <c r="CW1406" s="115"/>
      <c r="CX1406" s="115"/>
      <c r="CY1406" s="115"/>
      <c r="CZ1406" s="115"/>
      <c r="DA1406" s="115"/>
      <c r="DB1406" s="115"/>
      <c r="DC1406" s="115"/>
      <c r="DD1406" s="115"/>
      <c r="DE1406" s="115"/>
      <c r="DF1406" s="115"/>
      <c r="DG1406" s="115"/>
    </row>
    <row r="1407" spans="55:111" ht="9" hidden="1" customHeight="1">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c r="BY1407" s="115"/>
      <c r="BZ1407" s="115"/>
      <c r="CA1407" s="115"/>
      <c r="CB1407" s="115"/>
      <c r="CC1407" s="115"/>
      <c r="CD1407" s="115"/>
      <c r="CE1407" s="115"/>
      <c r="CF1407" s="115"/>
      <c r="CG1407" s="115"/>
      <c r="CH1407" s="115"/>
      <c r="CI1407" s="115"/>
      <c r="CJ1407" s="115"/>
      <c r="CK1407" s="115"/>
      <c r="CL1407" s="115"/>
      <c r="CM1407" s="115"/>
      <c r="CN1407" s="115"/>
      <c r="CO1407" s="115"/>
      <c r="CP1407" s="115"/>
      <c r="CQ1407" s="115"/>
      <c r="CR1407" s="115"/>
      <c r="CS1407" s="115"/>
      <c r="CT1407" s="115"/>
      <c r="CU1407" s="115"/>
      <c r="CV1407" s="115"/>
      <c r="CW1407" s="115"/>
      <c r="CX1407" s="115"/>
      <c r="CY1407" s="115"/>
      <c r="CZ1407" s="115"/>
      <c r="DA1407" s="115"/>
      <c r="DB1407" s="115"/>
      <c r="DC1407" s="115"/>
      <c r="DD1407" s="115"/>
      <c r="DE1407" s="115"/>
      <c r="DF1407" s="115"/>
      <c r="DG1407" s="115"/>
    </row>
    <row r="1408" spans="55:111" ht="9" hidden="1" customHeight="1">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c r="BY1408" s="115"/>
      <c r="BZ1408" s="115"/>
      <c r="CA1408" s="115"/>
      <c r="CB1408" s="115"/>
      <c r="CC1408" s="115"/>
      <c r="CD1408" s="115"/>
      <c r="CE1408" s="115"/>
      <c r="CF1408" s="115"/>
      <c r="CG1408" s="115"/>
      <c r="CH1408" s="115"/>
      <c r="CI1408" s="115"/>
      <c r="CJ1408" s="115"/>
      <c r="CK1408" s="115"/>
      <c r="CL1408" s="115"/>
      <c r="CM1408" s="115"/>
      <c r="CN1408" s="115"/>
      <c r="CO1408" s="115"/>
      <c r="CP1408" s="115"/>
      <c r="CQ1408" s="115"/>
      <c r="CR1408" s="115"/>
      <c r="CS1408" s="115"/>
      <c r="CT1408" s="115"/>
      <c r="CU1408" s="115"/>
      <c r="CV1408" s="115"/>
      <c r="CW1408" s="115"/>
      <c r="CX1408" s="115"/>
      <c r="CY1408" s="115"/>
      <c r="CZ1408" s="115"/>
      <c r="DA1408" s="115"/>
      <c r="DB1408" s="115"/>
      <c r="DC1408" s="115"/>
      <c r="DD1408" s="115"/>
      <c r="DE1408" s="115"/>
      <c r="DF1408" s="115"/>
      <c r="DG1408" s="115"/>
    </row>
    <row r="1409" spans="55:111" ht="9" hidden="1" customHeight="1">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c r="BY1409" s="115"/>
      <c r="BZ1409" s="115"/>
      <c r="CA1409" s="115"/>
      <c r="CB1409" s="115"/>
      <c r="CC1409" s="115"/>
      <c r="CD1409" s="115"/>
      <c r="CE1409" s="115"/>
      <c r="CF1409" s="115"/>
      <c r="CG1409" s="115"/>
      <c r="CH1409" s="115"/>
      <c r="CI1409" s="115"/>
      <c r="CJ1409" s="115"/>
      <c r="CK1409" s="115"/>
      <c r="CL1409" s="115"/>
      <c r="CM1409" s="115"/>
      <c r="CN1409" s="115"/>
      <c r="CO1409" s="115"/>
      <c r="CP1409" s="115"/>
      <c r="CQ1409" s="115"/>
      <c r="CR1409" s="115"/>
      <c r="CS1409" s="115"/>
      <c r="CT1409" s="115"/>
      <c r="CU1409" s="115"/>
      <c r="CV1409" s="115"/>
      <c r="CW1409" s="115"/>
      <c r="CX1409" s="115"/>
      <c r="CY1409" s="115"/>
      <c r="CZ1409" s="115"/>
      <c r="DA1409" s="115"/>
      <c r="DB1409" s="115"/>
      <c r="DC1409" s="115"/>
      <c r="DD1409" s="115"/>
      <c r="DE1409" s="115"/>
      <c r="DF1409" s="115"/>
      <c r="DG1409" s="115"/>
    </row>
    <row r="1410" spans="55:111" ht="9" hidden="1" customHeight="1">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c r="BY1410" s="115"/>
      <c r="BZ1410" s="115"/>
      <c r="CA1410" s="115"/>
      <c r="CB1410" s="115"/>
      <c r="CC1410" s="115"/>
      <c r="CD1410" s="115"/>
      <c r="CE1410" s="115"/>
      <c r="CF1410" s="115"/>
      <c r="CG1410" s="115"/>
      <c r="CH1410" s="115"/>
      <c r="CI1410" s="115"/>
      <c r="CJ1410" s="115"/>
      <c r="CK1410" s="115"/>
      <c r="CL1410" s="115"/>
      <c r="CM1410" s="115"/>
      <c r="CN1410" s="115"/>
      <c r="CO1410" s="115"/>
      <c r="CP1410" s="115"/>
      <c r="CQ1410" s="115"/>
      <c r="CR1410" s="115"/>
      <c r="CS1410" s="115"/>
      <c r="CT1410" s="115"/>
      <c r="CU1410" s="115"/>
      <c r="CV1410" s="115"/>
      <c r="CW1410" s="115"/>
      <c r="CX1410" s="115"/>
      <c r="CY1410" s="115"/>
      <c r="CZ1410" s="115"/>
      <c r="DA1410" s="115"/>
      <c r="DB1410" s="115"/>
      <c r="DC1410" s="115"/>
      <c r="DD1410" s="115"/>
      <c r="DE1410" s="115"/>
      <c r="DF1410" s="115"/>
      <c r="DG1410" s="115"/>
    </row>
    <row r="1411" spans="55:111" ht="9" hidden="1" customHeight="1">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c r="BY1411" s="115"/>
      <c r="BZ1411" s="115"/>
      <c r="CA1411" s="115"/>
      <c r="CB1411" s="115"/>
      <c r="CC1411" s="115"/>
      <c r="CD1411" s="115"/>
      <c r="CE1411" s="115"/>
      <c r="CF1411" s="115"/>
      <c r="CG1411" s="115"/>
      <c r="CH1411" s="115"/>
      <c r="CI1411" s="115"/>
      <c r="CJ1411" s="115"/>
      <c r="CK1411" s="115"/>
      <c r="CL1411" s="115"/>
      <c r="CM1411" s="115"/>
      <c r="CN1411" s="115"/>
      <c r="CO1411" s="115"/>
      <c r="CP1411" s="115"/>
      <c r="CQ1411" s="115"/>
      <c r="CR1411" s="115"/>
      <c r="CS1411" s="115"/>
      <c r="CT1411" s="115"/>
      <c r="CU1411" s="115"/>
      <c r="CV1411" s="115"/>
      <c r="CW1411" s="115"/>
      <c r="CX1411" s="115"/>
      <c r="CY1411" s="115"/>
      <c r="CZ1411" s="115"/>
      <c r="DA1411" s="115"/>
      <c r="DB1411" s="115"/>
      <c r="DC1411" s="115"/>
      <c r="DD1411" s="115"/>
      <c r="DE1411" s="115"/>
      <c r="DF1411" s="115"/>
      <c r="DG1411" s="115"/>
    </row>
    <row r="1412" spans="55:111" ht="9" hidden="1" customHeight="1">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c r="BY1412" s="115"/>
      <c r="BZ1412" s="115"/>
      <c r="CA1412" s="115"/>
      <c r="CB1412" s="115"/>
      <c r="CC1412" s="115"/>
      <c r="CD1412" s="115"/>
      <c r="CE1412" s="115"/>
      <c r="CF1412" s="115"/>
      <c r="CG1412" s="115"/>
      <c r="CH1412" s="115"/>
      <c r="CI1412" s="115"/>
      <c r="CJ1412" s="115"/>
      <c r="CK1412" s="115"/>
      <c r="CL1412" s="115"/>
      <c r="CM1412" s="115"/>
      <c r="CN1412" s="115"/>
      <c r="CO1412" s="115"/>
      <c r="CP1412" s="115"/>
      <c r="CQ1412" s="115"/>
      <c r="CR1412" s="115"/>
      <c r="CS1412" s="115"/>
      <c r="CT1412" s="115"/>
      <c r="CU1412" s="115"/>
      <c r="CV1412" s="115"/>
      <c r="CW1412" s="115"/>
      <c r="CX1412" s="115"/>
      <c r="CY1412" s="115"/>
      <c r="CZ1412" s="115"/>
      <c r="DA1412" s="115"/>
      <c r="DB1412" s="115"/>
      <c r="DC1412" s="115"/>
      <c r="DD1412" s="115"/>
      <c r="DE1412" s="115"/>
      <c r="DF1412" s="115"/>
      <c r="DG1412" s="115"/>
    </row>
    <row r="1413" spans="55:111" ht="9" hidden="1" customHeight="1">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c r="BY1413" s="115"/>
      <c r="BZ1413" s="115"/>
      <c r="CA1413" s="115"/>
      <c r="CB1413" s="115"/>
      <c r="CC1413" s="115"/>
      <c r="CD1413" s="115"/>
      <c r="CE1413" s="115"/>
      <c r="CF1413" s="115"/>
      <c r="CG1413" s="115"/>
      <c r="CH1413" s="115"/>
      <c r="CI1413" s="115"/>
      <c r="CJ1413" s="115"/>
      <c r="CK1413" s="115"/>
      <c r="CL1413" s="115"/>
      <c r="CM1413" s="115"/>
      <c r="CN1413" s="115"/>
      <c r="CO1413" s="115"/>
      <c r="CP1413" s="115"/>
      <c r="CQ1413" s="115"/>
      <c r="CR1413" s="115"/>
      <c r="CS1413" s="115"/>
      <c r="CT1413" s="115"/>
      <c r="CU1413" s="115"/>
      <c r="CV1413" s="115"/>
      <c r="CW1413" s="115"/>
      <c r="CX1413" s="115"/>
      <c r="CY1413" s="115"/>
      <c r="CZ1413" s="115"/>
      <c r="DA1413" s="115"/>
      <c r="DB1413" s="115"/>
      <c r="DC1413" s="115"/>
      <c r="DD1413" s="115"/>
      <c r="DE1413" s="115"/>
      <c r="DF1413" s="115"/>
      <c r="DG1413" s="115"/>
    </row>
    <row r="1414" spans="55:111" ht="9" hidden="1" customHeight="1">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c r="BY1414" s="115"/>
      <c r="BZ1414" s="115"/>
      <c r="CA1414" s="115"/>
      <c r="CB1414" s="115"/>
      <c r="CC1414" s="115"/>
      <c r="CD1414" s="115"/>
      <c r="CE1414" s="115"/>
      <c r="CF1414" s="115"/>
      <c r="CG1414" s="115"/>
      <c r="CH1414" s="115"/>
      <c r="CI1414" s="115"/>
      <c r="CJ1414" s="115"/>
      <c r="CK1414" s="115"/>
      <c r="CL1414" s="115"/>
      <c r="CM1414" s="115"/>
      <c r="CN1414" s="115"/>
      <c r="CO1414" s="115"/>
      <c r="CP1414" s="115"/>
      <c r="CQ1414" s="115"/>
      <c r="CR1414" s="115"/>
      <c r="CS1414" s="115"/>
      <c r="CT1414" s="115"/>
      <c r="CU1414" s="115"/>
      <c r="CV1414" s="115"/>
      <c r="CW1414" s="115"/>
      <c r="CX1414" s="115"/>
      <c r="CY1414" s="115"/>
      <c r="CZ1414" s="115"/>
      <c r="DA1414" s="115"/>
      <c r="DB1414" s="115"/>
      <c r="DC1414" s="115"/>
      <c r="DD1414" s="115"/>
      <c r="DE1414" s="115"/>
      <c r="DF1414" s="115"/>
      <c r="DG1414" s="115"/>
    </row>
    <row r="1415" spans="55:111" ht="9" hidden="1" customHeight="1">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c r="BY1415" s="115"/>
      <c r="BZ1415" s="115"/>
      <c r="CA1415" s="115"/>
      <c r="CB1415" s="115"/>
      <c r="CC1415" s="115"/>
      <c r="CD1415" s="115"/>
      <c r="CE1415" s="115"/>
      <c r="CF1415" s="115"/>
      <c r="CG1415" s="115"/>
      <c r="CH1415" s="115"/>
      <c r="CI1415" s="115"/>
      <c r="CJ1415" s="115"/>
      <c r="CK1415" s="115"/>
      <c r="CL1415" s="115"/>
      <c r="CM1415" s="115"/>
      <c r="CN1415" s="115"/>
      <c r="CO1415" s="115"/>
      <c r="CP1415" s="115"/>
      <c r="CQ1415" s="115"/>
      <c r="CR1415" s="115"/>
      <c r="CS1415" s="115"/>
      <c r="CT1415" s="115"/>
      <c r="CU1415" s="115"/>
      <c r="CV1415" s="115"/>
      <c r="CW1415" s="115"/>
      <c r="CX1415" s="115"/>
      <c r="CY1415" s="115"/>
      <c r="CZ1415" s="115"/>
      <c r="DA1415" s="115"/>
      <c r="DB1415" s="115"/>
      <c r="DC1415" s="115"/>
      <c r="DD1415" s="115"/>
      <c r="DE1415" s="115"/>
      <c r="DF1415" s="115"/>
      <c r="DG1415" s="115"/>
    </row>
    <row r="1416" spans="55:111" ht="9" hidden="1" customHeight="1">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c r="BY1416" s="115"/>
      <c r="BZ1416" s="115"/>
      <c r="CA1416" s="115"/>
      <c r="CB1416" s="115"/>
      <c r="CC1416" s="115"/>
      <c r="CD1416" s="115"/>
      <c r="CE1416" s="115"/>
      <c r="CF1416" s="115"/>
      <c r="CG1416" s="115"/>
      <c r="CH1416" s="115"/>
      <c r="CI1416" s="115"/>
      <c r="CJ1416" s="115"/>
      <c r="CK1416" s="115"/>
      <c r="CL1416" s="115"/>
      <c r="CM1416" s="115"/>
      <c r="CN1416" s="115"/>
      <c r="CO1416" s="115"/>
      <c r="CP1416" s="115"/>
      <c r="CQ1416" s="115"/>
      <c r="CR1416" s="115"/>
      <c r="CS1416" s="115"/>
      <c r="CT1416" s="115"/>
      <c r="CU1416" s="115"/>
      <c r="CV1416" s="115"/>
      <c r="CW1416" s="115"/>
      <c r="CX1416" s="115"/>
      <c r="CY1416" s="115"/>
      <c r="CZ1416" s="115"/>
      <c r="DA1416" s="115"/>
      <c r="DB1416" s="115"/>
      <c r="DC1416" s="115"/>
      <c r="DD1416" s="115"/>
      <c r="DE1416" s="115"/>
      <c r="DF1416" s="115"/>
      <c r="DG1416" s="115"/>
    </row>
    <row r="1417" spans="55:111" ht="9" hidden="1" customHeight="1">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c r="BY1417" s="115"/>
      <c r="BZ1417" s="115"/>
      <c r="CA1417" s="115"/>
      <c r="CB1417" s="115"/>
      <c r="CC1417" s="115"/>
      <c r="CD1417" s="115"/>
      <c r="CE1417" s="115"/>
      <c r="CF1417" s="115"/>
      <c r="CG1417" s="115"/>
      <c r="CH1417" s="115"/>
      <c r="CI1417" s="115"/>
      <c r="CJ1417" s="115"/>
      <c r="CK1417" s="115"/>
      <c r="CL1417" s="115"/>
      <c r="CM1417" s="115"/>
      <c r="CN1417" s="115"/>
      <c r="CO1417" s="115"/>
      <c r="CP1417" s="115"/>
      <c r="CQ1417" s="115"/>
      <c r="CR1417" s="115"/>
      <c r="CS1417" s="115"/>
      <c r="CT1417" s="115"/>
      <c r="CU1417" s="115"/>
      <c r="CV1417" s="115"/>
      <c r="CW1417" s="115"/>
      <c r="CX1417" s="115"/>
      <c r="CY1417" s="115"/>
      <c r="CZ1417" s="115"/>
      <c r="DA1417" s="115"/>
      <c r="DB1417" s="115"/>
      <c r="DC1417" s="115"/>
      <c r="DD1417" s="115"/>
      <c r="DE1417" s="115"/>
      <c r="DF1417" s="115"/>
      <c r="DG1417" s="115"/>
    </row>
    <row r="1418" spans="55:111" ht="9" hidden="1" customHeight="1">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c r="BY1418" s="115"/>
      <c r="BZ1418" s="115"/>
      <c r="CA1418" s="115"/>
      <c r="CB1418" s="115"/>
      <c r="CC1418" s="115"/>
      <c r="CD1418" s="115"/>
      <c r="CE1418" s="115"/>
      <c r="CF1418" s="115"/>
      <c r="CG1418" s="115"/>
      <c r="CH1418" s="115"/>
      <c r="CI1418" s="115"/>
      <c r="CJ1418" s="115"/>
      <c r="CK1418" s="115"/>
      <c r="CL1418" s="115"/>
      <c r="CM1418" s="115"/>
      <c r="CN1418" s="115"/>
      <c r="CO1418" s="115"/>
      <c r="CP1418" s="115"/>
      <c r="CQ1418" s="115"/>
      <c r="CR1418" s="115"/>
      <c r="CS1418" s="115"/>
      <c r="CT1418" s="115"/>
      <c r="CU1418" s="115"/>
      <c r="CV1418" s="115"/>
      <c r="CW1418" s="115"/>
      <c r="CX1418" s="115"/>
      <c r="CY1418" s="115"/>
      <c r="CZ1418" s="115"/>
      <c r="DA1418" s="115"/>
      <c r="DB1418" s="115"/>
      <c r="DC1418" s="115"/>
      <c r="DD1418" s="115"/>
      <c r="DE1418" s="115"/>
      <c r="DF1418" s="115"/>
      <c r="DG1418" s="115"/>
    </row>
    <row r="1419" spans="55:111" ht="9" hidden="1" customHeight="1">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c r="BY1419" s="115"/>
      <c r="BZ1419" s="115"/>
      <c r="CA1419" s="115"/>
      <c r="CB1419" s="115"/>
      <c r="CC1419" s="115"/>
      <c r="CD1419" s="115"/>
      <c r="CE1419" s="115"/>
      <c r="CF1419" s="115"/>
      <c r="CG1419" s="115"/>
      <c r="CH1419" s="115"/>
      <c r="CI1419" s="115"/>
      <c r="CJ1419" s="115"/>
      <c r="CK1419" s="115"/>
      <c r="CL1419" s="115"/>
      <c r="CM1419" s="115"/>
      <c r="CN1419" s="115"/>
      <c r="CO1419" s="115"/>
      <c r="CP1419" s="115"/>
      <c r="CQ1419" s="115"/>
      <c r="CR1419" s="115"/>
      <c r="CS1419" s="115"/>
      <c r="CT1419" s="115"/>
      <c r="CU1419" s="115"/>
      <c r="CV1419" s="115"/>
      <c r="CW1419" s="115"/>
      <c r="CX1419" s="115"/>
      <c r="CY1419" s="115"/>
      <c r="CZ1419" s="115"/>
      <c r="DA1419" s="115"/>
      <c r="DB1419" s="115"/>
      <c r="DC1419" s="115"/>
      <c r="DD1419" s="115"/>
      <c r="DE1419" s="115"/>
      <c r="DF1419" s="115"/>
      <c r="DG1419" s="115"/>
    </row>
    <row r="1420" spans="55:111" ht="9" hidden="1" customHeight="1">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c r="BY1420" s="115"/>
      <c r="BZ1420" s="115"/>
      <c r="CA1420" s="115"/>
      <c r="CB1420" s="115"/>
      <c r="CC1420" s="115"/>
      <c r="CD1420" s="115"/>
      <c r="CE1420" s="115"/>
      <c r="CF1420" s="115"/>
      <c r="CG1420" s="115"/>
      <c r="CH1420" s="115"/>
      <c r="CI1420" s="115"/>
      <c r="CJ1420" s="115"/>
      <c r="CK1420" s="115"/>
      <c r="CL1420" s="115"/>
      <c r="CM1420" s="115"/>
      <c r="CN1420" s="115"/>
      <c r="CO1420" s="115"/>
      <c r="CP1420" s="115"/>
      <c r="CQ1420" s="115"/>
      <c r="CR1420" s="115"/>
      <c r="CS1420" s="115"/>
      <c r="CT1420" s="115"/>
      <c r="CU1420" s="115"/>
      <c r="CV1420" s="115"/>
      <c r="CW1420" s="115"/>
      <c r="CX1420" s="115"/>
      <c r="CY1420" s="115"/>
      <c r="CZ1420" s="115"/>
      <c r="DA1420" s="115"/>
      <c r="DB1420" s="115"/>
      <c r="DC1420" s="115"/>
      <c r="DD1420" s="115"/>
      <c r="DE1420" s="115"/>
      <c r="DF1420" s="115"/>
      <c r="DG1420" s="115"/>
    </row>
    <row r="1421" spans="55:111" ht="9" hidden="1" customHeight="1">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c r="BY1421" s="115"/>
      <c r="BZ1421" s="115"/>
      <c r="CA1421" s="115"/>
      <c r="CB1421" s="115"/>
      <c r="CC1421" s="115"/>
      <c r="CD1421" s="115"/>
      <c r="CE1421" s="115"/>
      <c r="CF1421" s="115"/>
      <c r="CG1421" s="115"/>
      <c r="CH1421" s="115"/>
      <c r="CI1421" s="115"/>
      <c r="CJ1421" s="115"/>
      <c r="CK1421" s="115"/>
      <c r="CL1421" s="115"/>
      <c r="CM1421" s="115"/>
      <c r="CN1421" s="115"/>
      <c r="CO1421" s="115"/>
      <c r="CP1421" s="115"/>
      <c r="CQ1421" s="115"/>
      <c r="CR1421" s="115"/>
      <c r="CS1421" s="115"/>
      <c r="CT1421" s="115"/>
      <c r="CU1421" s="115"/>
      <c r="CV1421" s="115"/>
      <c r="CW1421" s="115"/>
      <c r="CX1421" s="115"/>
      <c r="CY1421" s="115"/>
      <c r="CZ1421" s="115"/>
      <c r="DA1421" s="115"/>
      <c r="DB1421" s="115"/>
      <c r="DC1421" s="115"/>
      <c r="DD1421" s="115"/>
      <c r="DE1421" s="115"/>
      <c r="DF1421" s="115"/>
      <c r="DG1421" s="115"/>
    </row>
    <row r="1422" spans="55:111" ht="9" hidden="1" customHeight="1">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c r="BY1422" s="115"/>
      <c r="BZ1422" s="115"/>
      <c r="CA1422" s="115"/>
      <c r="CB1422" s="115"/>
      <c r="CC1422" s="115"/>
      <c r="CD1422" s="115"/>
      <c r="CE1422" s="115"/>
      <c r="CF1422" s="115"/>
      <c r="CG1422" s="115"/>
      <c r="CH1422" s="115"/>
      <c r="CI1422" s="115"/>
      <c r="CJ1422" s="115"/>
      <c r="CK1422" s="115"/>
      <c r="CL1422" s="115"/>
      <c r="CM1422" s="115"/>
      <c r="CN1422" s="115"/>
      <c r="CO1422" s="115"/>
      <c r="CP1422" s="115"/>
      <c r="CQ1422" s="115"/>
      <c r="CR1422" s="115"/>
      <c r="CS1422" s="115"/>
      <c r="CT1422" s="115"/>
      <c r="CU1422" s="115"/>
      <c r="CV1422" s="115"/>
      <c r="CW1422" s="115"/>
      <c r="CX1422" s="115"/>
      <c r="CY1422" s="115"/>
      <c r="CZ1422" s="115"/>
      <c r="DA1422" s="115"/>
      <c r="DB1422" s="115"/>
      <c r="DC1422" s="115"/>
      <c r="DD1422" s="115"/>
      <c r="DE1422" s="115"/>
      <c r="DF1422" s="115"/>
      <c r="DG1422" s="115"/>
    </row>
    <row r="1423" spans="55:111" ht="9" hidden="1" customHeight="1">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c r="BY1423" s="115"/>
      <c r="BZ1423" s="115"/>
      <c r="CA1423" s="115"/>
      <c r="CB1423" s="115"/>
      <c r="CC1423" s="115"/>
      <c r="CD1423" s="115"/>
      <c r="CE1423" s="115"/>
      <c r="CF1423" s="115"/>
      <c r="CG1423" s="115"/>
      <c r="CH1423" s="115"/>
      <c r="CI1423" s="115"/>
      <c r="CJ1423" s="115"/>
      <c r="CK1423" s="115"/>
      <c r="CL1423" s="115"/>
      <c r="CM1423" s="115"/>
      <c r="CN1423" s="115"/>
      <c r="CO1423" s="115"/>
      <c r="CP1423" s="115"/>
      <c r="CQ1423" s="115"/>
      <c r="CR1423" s="115"/>
      <c r="CS1423" s="115"/>
      <c r="CT1423" s="115"/>
      <c r="CU1423" s="115"/>
      <c r="CV1423" s="115"/>
      <c r="CW1423" s="115"/>
      <c r="CX1423" s="115"/>
      <c r="CY1423" s="115"/>
      <c r="CZ1423" s="115"/>
      <c r="DA1423" s="115"/>
      <c r="DB1423" s="115"/>
      <c r="DC1423" s="115"/>
      <c r="DD1423" s="115"/>
      <c r="DE1423" s="115"/>
      <c r="DF1423" s="115"/>
      <c r="DG1423" s="115"/>
    </row>
    <row r="1424" spans="55:111" ht="9" hidden="1" customHeight="1">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c r="BY1424" s="115"/>
      <c r="BZ1424" s="115"/>
      <c r="CA1424" s="115"/>
      <c r="CB1424" s="115"/>
      <c r="CC1424" s="115"/>
      <c r="CD1424" s="115"/>
      <c r="CE1424" s="115"/>
      <c r="CF1424" s="115"/>
      <c r="CG1424" s="115"/>
      <c r="CH1424" s="115"/>
      <c r="CI1424" s="115"/>
      <c r="CJ1424" s="115"/>
      <c r="CK1424" s="115"/>
      <c r="CL1424" s="115"/>
      <c r="CM1424" s="115"/>
      <c r="CN1424" s="115"/>
      <c r="CO1424" s="115"/>
      <c r="CP1424" s="115"/>
      <c r="CQ1424" s="115"/>
      <c r="CR1424" s="115"/>
      <c r="CS1424" s="115"/>
      <c r="CT1424" s="115"/>
      <c r="CU1424" s="115"/>
      <c r="CV1424" s="115"/>
      <c r="CW1424" s="115"/>
      <c r="CX1424" s="115"/>
      <c r="CY1424" s="115"/>
      <c r="CZ1424" s="115"/>
      <c r="DA1424" s="115"/>
      <c r="DB1424" s="115"/>
      <c r="DC1424" s="115"/>
      <c r="DD1424" s="115"/>
      <c r="DE1424" s="115"/>
      <c r="DF1424" s="115"/>
      <c r="DG1424" s="115"/>
    </row>
    <row r="1425" spans="55:111" ht="9" hidden="1" customHeight="1">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c r="BY1425" s="115"/>
      <c r="BZ1425" s="115"/>
      <c r="CA1425" s="115"/>
      <c r="CB1425" s="115"/>
      <c r="CC1425" s="115"/>
      <c r="CD1425" s="115"/>
      <c r="CE1425" s="115"/>
      <c r="CF1425" s="115"/>
      <c r="CG1425" s="115"/>
      <c r="CH1425" s="115"/>
      <c r="CI1425" s="115"/>
      <c r="CJ1425" s="115"/>
      <c r="CK1425" s="115"/>
      <c r="CL1425" s="115"/>
      <c r="CM1425" s="115"/>
      <c r="CN1425" s="115"/>
      <c r="CO1425" s="115"/>
      <c r="CP1425" s="115"/>
      <c r="CQ1425" s="115"/>
      <c r="CR1425" s="115"/>
      <c r="CS1425" s="115"/>
      <c r="CT1425" s="115"/>
      <c r="CU1425" s="115"/>
      <c r="CV1425" s="115"/>
      <c r="CW1425" s="115"/>
      <c r="CX1425" s="115"/>
      <c r="CY1425" s="115"/>
      <c r="CZ1425" s="115"/>
      <c r="DA1425" s="115"/>
      <c r="DB1425" s="115"/>
      <c r="DC1425" s="115"/>
      <c r="DD1425" s="115"/>
      <c r="DE1425" s="115"/>
      <c r="DF1425" s="115"/>
      <c r="DG1425" s="115"/>
    </row>
    <row r="1426" spans="55:111" ht="9" hidden="1" customHeight="1">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c r="BY1426" s="115"/>
      <c r="BZ1426" s="115"/>
      <c r="CA1426" s="115"/>
      <c r="CB1426" s="115"/>
      <c r="CC1426" s="115"/>
      <c r="CD1426" s="115"/>
      <c r="CE1426" s="115"/>
      <c r="CF1426" s="115"/>
      <c r="CG1426" s="115"/>
      <c r="CH1426" s="115"/>
      <c r="CI1426" s="115"/>
      <c r="CJ1426" s="115"/>
      <c r="CK1426" s="115"/>
      <c r="CL1426" s="115"/>
      <c r="CM1426" s="115"/>
      <c r="CN1426" s="115"/>
      <c r="CO1426" s="115"/>
      <c r="CP1426" s="115"/>
      <c r="CQ1426" s="115"/>
      <c r="CR1426" s="115"/>
      <c r="CS1426" s="115"/>
      <c r="CT1426" s="115"/>
      <c r="CU1426" s="115"/>
      <c r="CV1426" s="115"/>
      <c r="CW1426" s="115"/>
      <c r="CX1426" s="115"/>
      <c r="CY1426" s="115"/>
      <c r="CZ1426" s="115"/>
      <c r="DA1426" s="115"/>
      <c r="DB1426" s="115"/>
      <c r="DC1426" s="115"/>
      <c r="DD1426" s="115"/>
      <c r="DE1426" s="115"/>
      <c r="DF1426" s="115"/>
      <c r="DG1426" s="115"/>
    </row>
    <row r="1427" spans="55:111" ht="9" hidden="1" customHeight="1">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c r="BY1427" s="115"/>
      <c r="BZ1427" s="115"/>
      <c r="CA1427" s="115"/>
      <c r="CB1427" s="115"/>
      <c r="CC1427" s="115"/>
      <c r="CD1427" s="115"/>
      <c r="CE1427" s="115"/>
      <c r="CF1427" s="115"/>
      <c r="CG1427" s="115"/>
      <c r="CH1427" s="115"/>
      <c r="CI1427" s="115"/>
      <c r="CJ1427" s="115"/>
      <c r="CK1427" s="115"/>
      <c r="CL1427" s="115"/>
      <c r="CM1427" s="115"/>
      <c r="CN1427" s="115"/>
      <c r="CO1427" s="115"/>
      <c r="CP1427" s="115"/>
      <c r="CQ1427" s="115"/>
      <c r="CR1427" s="115"/>
      <c r="CS1427" s="115"/>
      <c r="CT1427" s="115"/>
      <c r="CU1427" s="115"/>
      <c r="CV1427" s="115"/>
      <c r="CW1427" s="115"/>
      <c r="CX1427" s="115"/>
      <c r="CY1427" s="115"/>
      <c r="CZ1427" s="115"/>
      <c r="DA1427" s="115"/>
      <c r="DB1427" s="115"/>
      <c r="DC1427" s="115"/>
      <c r="DD1427" s="115"/>
      <c r="DE1427" s="115"/>
      <c r="DF1427" s="115"/>
      <c r="DG1427" s="115"/>
    </row>
    <row r="1428" spans="55:111" ht="9" hidden="1" customHeight="1">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c r="BY1428" s="115"/>
      <c r="BZ1428" s="115"/>
      <c r="CA1428" s="115"/>
      <c r="CB1428" s="115"/>
      <c r="CC1428" s="115"/>
      <c r="CD1428" s="115"/>
      <c r="CE1428" s="115"/>
      <c r="CF1428" s="115"/>
      <c r="CG1428" s="115"/>
      <c r="CH1428" s="115"/>
      <c r="CI1428" s="115"/>
      <c r="CJ1428" s="115"/>
      <c r="CK1428" s="115"/>
      <c r="CL1428" s="115"/>
      <c r="CM1428" s="115"/>
      <c r="CN1428" s="115"/>
      <c r="CO1428" s="115"/>
      <c r="CP1428" s="115"/>
      <c r="CQ1428" s="115"/>
      <c r="CR1428" s="115"/>
      <c r="CS1428" s="115"/>
      <c r="CT1428" s="115"/>
      <c r="CU1428" s="115"/>
      <c r="CV1428" s="115"/>
      <c r="CW1428" s="115"/>
      <c r="CX1428" s="115"/>
      <c r="CY1428" s="115"/>
      <c r="CZ1428" s="115"/>
      <c r="DA1428" s="115"/>
      <c r="DB1428" s="115"/>
      <c r="DC1428" s="115"/>
      <c r="DD1428" s="115"/>
      <c r="DE1428" s="115"/>
      <c r="DF1428" s="115"/>
      <c r="DG1428" s="115"/>
    </row>
    <row r="1429" spans="55:111" ht="9" hidden="1" customHeight="1">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c r="BY1429" s="115"/>
      <c r="BZ1429" s="115"/>
      <c r="CA1429" s="115"/>
      <c r="CB1429" s="115"/>
      <c r="CC1429" s="115"/>
      <c r="CD1429" s="115"/>
      <c r="CE1429" s="115"/>
      <c r="CF1429" s="115"/>
      <c r="CG1429" s="115"/>
      <c r="CH1429" s="115"/>
      <c r="CI1429" s="115"/>
      <c r="CJ1429" s="115"/>
      <c r="CK1429" s="115"/>
      <c r="CL1429" s="115"/>
      <c r="CM1429" s="115"/>
      <c r="CN1429" s="115"/>
      <c r="CO1429" s="115"/>
      <c r="CP1429" s="115"/>
      <c r="CQ1429" s="115"/>
      <c r="CR1429" s="115"/>
      <c r="CS1429" s="115"/>
      <c r="CT1429" s="115"/>
      <c r="CU1429" s="115"/>
      <c r="CV1429" s="115"/>
      <c r="CW1429" s="115"/>
      <c r="CX1429" s="115"/>
      <c r="CY1429" s="115"/>
      <c r="CZ1429" s="115"/>
      <c r="DA1429" s="115"/>
      <c r="DB1429" s="115"/>
      <c r="DC1429" s="115"/>
      <c r="DD1429" s="115"/>
      <c r="DE1429" s="115"/>
      <c r="DF1429" s="115"/>
      <c r="DG1429" s="115"/>
    </row>
    <row r="1430" spans="55:111" ht="9" hidden="1" customHeight="1">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c r="BY1430" s="115"/>
      <c r="BZ1430" s="115"/>
      <c r="CA1430" s="115"/>
      <c r="CB1430" s="115"/>
      <c r="CC1430" s="115"/>
      <c r="CD1430" s="115"/>
      <c r="CE1430" s="115"/>
      <c r="CF1430" s="115"/>
      <c r="CG1430" s="115"/>
      <c r="CH1430" s="115"/>
      <c r="CI1430" s="115"/>
      <c r="CJ1430" s="115"/>
      <c r="CK1430" s="115"/>
      <c r="CL1430" s="115"/>
      <c r="CM1430" s="115"/>
      <c r="CN1430" s="115"/>
      <c r="CO1430" s="115"/>
      <c r="CP1430" s="115"/>
      <c r="CQ1430" s="115"/>
      <c r="CR1430" s="115"/>
      <c r="CS1430" s="115"/>
      <c r="CT1430" s="115"/>
      <c r="CU1430" s="115"/>
      <c r="CV1430" s="115"/>
      <c r="CW1430" s="115"/>
      <c r="CX1430" s="115"/>
      <c r="CY1430" s="115"/>
      <c r="CZ1430" s="115"/>
      <c r="DA1430" s="115"/>
      <c r="DB1430" s="115"/>
      <c r="DC1430" s="115"/>
      <c r="DD1430" s="115"/>
      <c r="DE1430" s="115"/>
      <c r="DF1430" s="115"/>
      <c r="DG1430" s="115"/>
    </row>
    <row r="1431" spans="55:111" ht="9" hidden="1" customHeight="1">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c r="BY1431" s="115"/>
      <c r="BZ1431" s="115"/>
      <c r="CA1431" s="115"/>
      <c r="CB1431" s="115"/>
      <c r="CC1431" s="115"/>
      <c r="CD1431" s="115"/>
      <c r="CE1431" s="115"/>
      <c r="CF1431" s="115"/>
      <c r="CG1431" s="115"/>
      <c r="CH1431" s="115"/>
      <c r="CI1431" s="115"/>
      <c r="CJ1431" s="115"/>
      <c r="CK1431" s="115"/>
      <c r="CL1431" s="115"/>
      <c r="CM1431" s="115"/>
      <c r="CN1431" s="115"/>
      <c r="CO1431" s="115"/>
      <c r="CP1431" s="115"/>
      <c r="CQ1431" s="115"/>
      <c r="CR1431" s="115"/>
      <c r="CS1431" s="115"/>
      <c r="CT1431" s="115"/>
      <c r="CU1431" s="115"/>
      <c r="CV1431" s="115"/>
      <c r="CW1431" s="115"/>
      <c r="CX1431" s="115"/>
      <c r="CY1431" s="115"/>
      <c r="CZ1431" s="115"/>
      <c r="DA1431" s="115"/>
      <c r="DB1431" s="115"/>
      <c r="DC1431" s="115"/>
      <c r="DD1431" s="115"/>
      <c r="DE1431" s="115"/>
      <c r="DF1431" s="115"/>
      <c r="DG1431" s="115"/>
    </row>
    <row r="1432" spans="55:111" ht="9" hidden="1" customHeight="1">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c r="BY1432" s="115"/>
      <c r="BZ1432" s="115"/>
      <c r="CA1432" s="115"/>
      <c r="CB1432" s="115"/>
      <c r="CC1432" s="115"/>
      <c r="CD1432" s="115"/>
      <c r="CE1432" s="115"/>
      <c r="CF1432" s="115"/>
      <c r="CG1432" s="115"/>
      <c r="CH1432" s="115"/>
      <c r="CI1432" s="115"/>
      <c r="CJ1432" s="115"/>
      <c r="CK1432" s="115"/>
      <c r="CL1432" s="115"/>
      <c r="CM1432" s="115"/>
      <c r="CN1432" s="115"/>
      <c r="CO1432" s="115"/>
      <c r="CP1432" s="115"/>
      <c r="CQ1432" s="115"/>
      <c r="CR1432" s="115"/>
      <c r="CS1432" s="115"/>
      <c r="CT1432" s="115"/>
      <c r="CU1432" s="115"/>
      <c r="CV1432" s="115"/>
      <c r="CW1432" s="115"/>
      <c r="CX1432" s="115"/>
      <c r="CY1432" s="115"/>
      <c r="CZ1432" s="115"/>
      <c r="DA1432" s="115"/>
      <c r="DB1432" s="115"/>
      <c r="DC1432" s="115"/>
      <c r="DD1432" s="115"/>
      <c r="DE1432" s="115"/>
      <c r="DF1432" s="115"/>
      <c r="DG1432" s="115"/>
    </row>
    <row r="1433" spans="55:111" ht="9" hidden="1" customHeight="1">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c r="BY1433" s="115"/>
      <c r="BZ1433" s="115"/>
      <c r="CA1433" s="115"/>
      <c r="CB1433" s="115"/>
      <c r="CC1433" s="115"/>
      <c r="CD1433" s="115"/>
      <c r="CE1433" s="115"/>
      <c r="CF1433" s="115"/>
      <c r="CG1433" s="115"/>
      <c r="CH1433" s="115"/>
      <c r="CI1433" s="115"/>
      <c r="CJ1433" s="115"/>
      <c r="CK1433" s="115"/>
      <c r="CL1433" s="115"/>
      <c r="CM1433" s="115"/>
      <c r="CN1433" s="115"/>
      <c r="CO1433" s="115"/>
      <c r="CP1433" s="115"/>
      <c r="CQ1433" s="115"/>
      <c r="CR1433" s="115"/>
      <c r="CS1433" s="115"/>
      <c r="CT1433" s="115"/>
      <c r="CU1433" s="115"/>
      <c r="CV1433" s="115"/>
      <c r="CW1433" s="115"/>
      <c r="CX1433" s="115"/>
      <c r="CY1433" s="115"/>
      <c r="CZ1433" s="115"/>
      <c r="DA1433" s="115"/>
      <c r="DB1433" s="115"/>
      <c r="DC1433" s="115"/>
      <c r="DD1433" s="115"/>
      <c r="DE1433" s="115"/>
      <c r="DF1433" s="115"/>
      <c r="DG1433" s="115"/>
    </row>
    <row r="1434" spans="55:111" ht="9" hidden="1" customHeight="1">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c r="BY1434" s="115"/>
      <c r="BZ1434" s="115"/>
      <c r="CA1434" s="115"/>
      <c r="CB1434" s="115"/>
      <c r="CC1434" s="115"/>
      <c r="CD1434" s="115"/>
      <c r="CE1434" s="115"/>
      <c r="CF1434" s="115"/>
      <c r="CG1434" s="115"/>
      <c r="CH1434" s="115"/>
      <c r="CI1434" s="115"/>
      <c r="CJ1434" s="115"/>
      <c r="CK1434" s="115"/>
      <c r="CL1434" s="115"/>
      <c r="CM1434" s="115"/>
      <c r="CN1434" s="115"/>
      <c r="CO1434" s="115"/>
      <c r="CP1434" s="115"/>
      <c r="CQ1434" s="115"/>
      <c r="CR1434" s="115"/>
      <c r="CS1434" s="115"/>
      <c r="CT1434" s="115"/>
      <c r="CU1434" s="115"/>
      <c r="CV1434" s="115"/>
      <c r="CW1434" s="115"/>
      <c r="CX1434" s="115"/>
      <c r="CY1434" s="115"/>
      <c r="CZ1434" s="115"/>
      <c r="DA1434" s="115"/>
      <c r="DB1434" s="115"/>
      <c r="DC1434" s="115"/>
      <c r="DD1434" s="115"/>
      <c r="DE1434" s="115"/>
      <c r="DF1434" s="115"/>
      <c r="DG1434" s="115"/>
    </row>
    <row r="1435" spans="55:111" ht="9" hidden="1" customHeight="1">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c r="BY1435" s="115"/>
      <c r="BZ1435" s="115"/>
      <c r="CA1435" s="115"/>
      <c r="CB1435" s="115"/>
      <c r="CC1435" s="115"/>
      <c r="CD1435" s="115"/>
      <c r="CE1435" s="115"/>
      <c r="CF1435" s="115"/>
      <c r="CG1435" s="115"/>
      <c r="CH1435" s="115"/>
      <c r="CI1435" s="115"/>
      <c r="CJ1435" s="115"/>
      <c r="CK1435" s="115"/>
      <c r="CL1435" s="115"/>
      <c r="CM1435" s="115"/>
      <c r="CN1435" s="115"/>
      <c r="CO1435" s="115"/>
      <c r="CP1435" s="115"/>
      <c r="CQ1435" s="115"/>
      <c r="CR1435" s="115"/>
      <c r="CS1435" s="115"/>
      <c r="CT1435" s="115"/>
      <c r="CU1435" s="115"/>
      <c r="CV1435" s="115"/>
      <c r="CW1435" s="115"/>
      <c r="CX1435" s="115"/>
      <c r="CY1435" s="115"/>
      <c r="CZ1435" s="115"/>
      <c r="DA1435" s="115"/>
      <c r="DB1435" s="115"/>
      <c r="DC1435" s="115"/>
      <c r="DD1435" s="115"/>
      <c r="DE1435" s="115"/>
      <c r="DF1435" s="115"/>
      <c r="DG1435" s="115"/>
    </row>
    <row r="1436" spans="55:111" ht="9" hidden="1" customHeight="1">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c r="BY1436" s="115"/>
      <c r="BZ1436" s="115"/>
      <c r="CA1436" s="115"/>
      <c r="CB1436" s="115"/>
      <c r="CC1436" s="115"/>
      <c r="CD1436" s="115"/>
      <c r="CE1436" s="115"/>
      <c r="CF1436" s="115"/>
      <c r="CG1436" s="115"/>
      <c r="CH1436" s="115"/>
      <c r="CI1436" s="115"/>
      <c r="CJ1436" s="115"/>
      <c r="CK1436" s="115"/>
      <c r="CL1436" s="115"/>
      <c r="CM1436" s="115"/>
      <c r="CN1436" s="115"/>
      <c r="CO1436" s="115"/>
      <c r="CP1436" s="115"/>
      <c r="CQ1436" s="115"/>
      <c r="CR1436" s="115"/>
      <c r="CS1436" s="115"/>
      <c r="CT1436" s="115"/>
      <c r="CU1436" s="115"/>
      <c r="CV1436" s="115"/>
      <c r="CW1436" s="115"/>
      <c r="CX1436" s="115"/>
      <c r="CY1436" s="115"/>
      <c r="CZ1436" s="115"/>
      <c r="DA1436" s="115"/>
      <c r="DB1436" s="115"/>
      <c r="DC1436" s="115"/>
      <c r="DD1436" s="115"/>
      <c r="DE1436" s="115"/>
      <c r="DF1436" s="115"/>
      <c r="DG1436" s="115"/>
    </row>
    <row r="1437" spans="55:111" ht="9" hidden="1" customHeight="1">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c r="BY1437" s="115"/>
      <c r="BZ1437" s="115"/>
      <c r="CA1437" s="115"/>
      <c r="CB1437" s="115"/>
      <c r="CC1437" s="115"/>
      <c r="CD1437" s="115"/>
      <c r="CE1437" s="115"/>
      <c r="CF1437" s="115"/>
      <c r="CG1437" s="115"/>
      <c r="CH1437" s="115"/>
      <c r="CI1437" s="115"/>
      <c r="CJ1437" s="115"/>
      <c r="CK1437" s="115"/>
      <c r="CL1437" s="115"/>
      <c r="CM1437" s="115"/>
      <c r="CN1437" s="115"/>
      <c r="CO1437" s="115"/>
      <c r="CP1437" s="115"/>
      <c r="CQ1437" s="115"/>
      <c r="CR1437" s="115"/>
      <c r="CS1437" s="115"/>
      <c r="CT1437" s="115"/>
      <c r="CU1437" s="115"/>
      <c r="CV1437" s="115"/>
      <c r="CW1437" s="115"/>
      <c r="CX1437" s="115"/>
      <c r="CY1437" s="115"/>
      <c r="CZ1437" s="115"/>
      <c r="DA1437" s="115"/>
      <c r="DB1437" s="115"/>
      <c r="DC1437" s="115"/>
      <c r="DD1437" s="115"/>
      <c r="DE1437" s="115"/>
      <c r="DF1437" s="115"/>
      <c r="DG1437" s="115"/>
    </row>
    <row r="1438" spans="55:111" ht="9" hidden="1" customHeight="1">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c r="BY1438" s="115"/>
      <c r="BZ1438" s="115"/>
      <c r="CA1438" s="115"/>
      <c r="CB1438" s="115"/>
      <c r="CC1438" s="115"/>
      <c r="CD1438" s="115"/>
      <c r="CE1438" s="115"/>
      <c r="CF1438" s="115"/>
      <c r="CG1438" s="115"/>
      <c r="CH1438" s="115"/>
      <c r="CI1438" s="115"/>
      <c r="CJ1438" s="115"/>
      <c r="CK1438" s="115"/>
      <c r="CL1438" s="115"/>
      <c r="CM1438" s="115"/>
      <c r="CN1438" s="115"/>
      <c r="CO1438" s="115"/>
      <c r="CP1438" s="115"/>
      <c r="CQ1438" s="115"/>
      <c r="CR1438" s="115"/>
      <c r="CS1438" s="115"/>
      <c r="CT1438" s="115"/>
      <c r="CU1438" s="115"/>
      <c r="CV1438" s="115"/>
      <c r="CW1438" s="115"/>
      <c r="CX1438" s="115"/>
      <c r="CY1438" s="115"/>
      <c r="CZ1438" s="115"/>
      <c r="DA1438" s="115"/>
      <c r="DB1438" s="115"/>
      <c r="DC1438" s="115"/>
      <c r="DD1438" s="115"/>
      <c r="DE1438" s="115"/>
      <c r="DF1438" s="115"/>
      <c r="DG1438" s="115"/>
    </row>
    <row r="1439" spans="55:111" ht="9" hidden="1" customHeight="1">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c r="BY1439" s="115"/>
      <c r="BZ1439" s="115"/>
      <c r="CA1439" s="115"/>
      <c r="CB1439" s="115"/>
      <c r="CC1439" s="115"/>
      <c r="CD1439" s="115"/>
      <c r="CE1439" s="115"/>
      <c r="CF1439" s="115"/>
      <c r="CG1439" s="115"/>
      <c r="CH1439" s="115"/>
      <c r="CI1439" s="115"/>
      <c r="CJ1439" s="115"/>
      <c r="CK1439" s="115"/>
      <c r="CL1439" s="115"/>
      <c r="CM1439" s="115"/>
      <c r="CN1439" s="115"/>
      <c r="CO1439" s="115"/>
      <c r="CP1439" s="115"/>
      <c r="CQ1439" s="115"/>
      <c r="CR1439" s="115"/>
      <c r="CS1439" s="115"/>
      <c r="CT1439" s="115"/>
      <c r="CU1439" s="115"/>
      <c r="CV1439" s="115"/>
      <c r="CW1439" s="115"/>
      <c r="CX1439" s="115"/>
      <c r="CY1439" s="115"/>
      <c r="CZ1439" s="115"/>
      <c r="DA1439" s="115"/>
      <c r="DB1439" s="115"/>
      <c r="DC1439" s="115"/>
      <c r="DD1439" s="115"/>
      <c r="DE1439" s="115"/>
      <c r="DF1439" s="115"/>
      <c r="DG1439" s="115"/>
    </row>
    <row r="1440" spans="55:111" ht="9" hidden="1" customHeight="1">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c r="BY1440" s="115"/>
      <c r="BZ1440" s="115"/>
      <c r="CA1440" s="115"/>
      <c r="CB1440" s="115"/>
      <c r="CC1440" s="115"/>
      <c r="CD1440" s="115"/>
      <c r="CE1440" s="115"/>
      <c r="CF1440" s="115"/>
      <c r="CG1440" s="115"/>
      <c r="CH1440" s="115"/>
      <c r="CI1440" s="115"/>
      <c r="CJ1440" s="115"/>
      <c r="CK1440" s="115"/>
      <c r="CL1440" s="115"/>
      <c r="CM1440" s="115"/>
      <c r="CN1440" s="115"/>
      <c r="CO1440" s="115"/>
      <c r="CP1440" s="115"/>
      <c r="CQ1440" s="115"/>
      <c r="CR1440" s="115"/>
      <c r="CS1440" s="115"/>
      <c r="CT1440" s="115"/>
      <c r="CU1440" s="115"/>
      <c r="CV1440" s="115"/>
      <c r="CW1440" s="115"/>
      <c r="CX1440" s="115"/>
      <c r="CY1440" s="115"/>
      <c r="CZ1440" s="115"/>
      <c r="DA1440" s="115"/>
      <c r="DB1440" s="115"/>
      <c r="DC1440" s="115"/>
      <c r="DD1440" s="115"/>
      <c r="DE1440" s="115"/>
      <c r="DF1440" s="115"/>
      <c r="DG1440" s="115"/>
    </row>
    <row r="1441" spans="55:111" ht="9" hidden="1" customHeight="1">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c r="BY1441" s="115"/>
      <c r="BZ1441" s="115"/>
      <c r="CA1441" s="115"/>
      <c r="CB1441" s="115"/>
      <c r="CC1441" s="115"/>
      <c r="CD1441" s="115"/>
      <c r="CE1441" s="115"/>
      <c r="CF1441" s="115"/>
      <c r="CG1441" s="115"/>
      <c r="CH1441" s="115"/>
      <c r="CI1441" s="115"/>
      <c r="CJ1441" s="115"/>
      <c r="CK1441" s="115"/>
      <c r="CL1441" s="115"/>
      <c r="CM1441" s="115"/>
      <c r="CN1441" s="115"/>
      <c r="CO1441" s="115"/>
      <c r="CP1441" s="115"/>
      <c r="CQ1441" s="115"/>
      <c r="CR1441" s="115"/>
      <c r="CS1441" s="115"/>
      <c r="CT1441" s="115"/>
      <c r="CU1441" s="115"/>
      <c r="CV1441" s="115"/>
      <c r="CW1441" s="115"/>
      <c r="CX1441" s="115"/>
      <c r="CY1441" s="115"/>
      <c r="CZ1441" s="115"/>
      <c r="DA1441" s="115"/>
      <c r="DB1441" s="115"/>
      <c r="DC1441" s="115"/>
      <c r="DD1441" s="115"/>
      <c r="DE1441" s="115"/>
      <c r="DF1441" s="115"/>
      <c r="DG1441" s="115"/>
    </row>
    <row r="1442" spans="55:111" ht="9" hidden="1" customHeight="1">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c r="BY1442" s="115"/>
      <c r="BZ1442" s="115"/>
      <c r="CA1442" s="115"/>
      <c r="CB1442" s="115"/>
      <c r="CC1442" s="115"/>
      <c r="CD1442" s="115"/>
      <c r="CE1442" s="115"/>
      <c r="CF1442" s="115"/>
      <c r="CG1442" s="115"/>
      <c r="CH1442" s="115"/>
      <c r="CI1442" s="115"/>
      <c r="CJ1442" s="115"/>
      <c r="CK1442" s="115"/>
      <c r="CL1442" s="115"/>
      <c r="CM1442" s="115"/>
      <c r="CN1442" s="115"/>
      <c r="CO1442" s="115"/>
      <c r="CP1442" s="115"/>
      <c r="CQ1442" s="115"/>
      <c r="CR1442" s="115"/>
      <c r="CS1442" s="115"/>
      <c r="CT1442" s="115"/>
      <c r="CU1442" s="115"/>
      <c r="CV1442" s="115"/>
      <c r="CW1442" s="115"/>
      <c r="CX1442" s="115"/>
      <c r="CY1442" s="115"/>
      <c r="CZ1442" s="115"/>
      <c r="DA1442" s="115"/>
      <c r="DB1442" s="115"/>
      <c r="DC1442" s="115"/>
      <c r="DD1442" s="115"/>
      <c r="DE1442" s="115"/>
      <c r="DF1442" s="115"/>
      <c r="DG1442" s="115"/>
    </row>
    <row r="1443" spans="55:111" ht="9" hidden="1" customHeight="1">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c r="BY1443" s="115"/>
      <c r="BZ1443" s="115"/>
      <c r="CA1443" s="115"/>
      <c r="CB1443" s="115"/>
      <c r="CC1443" s="115"/>
      <c r="CD1443" s="115"/>
      <c r="CE1443" s="115"/>
      <c r="CF1443" s="115"/>
      <c r="CG1443" s="115"/>
      <c r="CH1443" s="115"/>
      <c r="CI1443" s="115"/>
      <c r="CJ1443" s="115"/>
      <c r="CK1443" s="115"/>
      <c r="CL1443" s="115"/>
      <c r="CM1443" s="115"/>
      <c r="CN1443" s="115"/>
      <c r="CO1443" s="115"/>
      <c r="CP1443" s="115"/>
      <c r="CQ1443" s="115"/>
      <c r="CR1443" s="115"/>
      <c r="CS1443" s="115"/>
      <c r="CT1443" s="115"/>
      <c r="CU1443" s="115"/>
      <c r="CV1443" s="115"/>
      <c r="CW1443" s="115"/>
      <c r="CX1443" s="115"/>
      <c r="CY1443" s="115"/>
      <c r="CZ1443" s="115"/>
      <c r="DA1443" s="115"/>
      <c r="DB1443" s="115"/>
      <c r="DC1443" s="115"/>
      <c r="DD1443" s="115"/>
      <c r="DE1443" s="115"/>
      <c r="DF1443" s="115"/>
      <c r="DG1443" s="115"/>
    </row>
    <row r="1444" spans="55:111" ht="9" hidden="1" customHeight="1">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c r="BY1444" s="115"/>
      <c r="BZ1444" s="115"/>
      <c r="CA1444" s="115"/>
      <c r="CB1444" s="115"/>
      <c r="CC1444" s="115"/>
      <c r="CD1444" s="115"/>
      <c r="CE1444" s="115"/>
      <c r="CF1444" s="115"/>
      <c r="CG1444" s="115"/>
      <c r="CH1444" s="115"/>
      <c r="CI1444" s="115"/>
      <c r="CJ1444" s="115"/>
      <c r="CK1444" s="115"/>
      <c r="CL1444" s="115"/>
      <c r="CM1444" s="115"/>
      <c r="CN1444" s="115"/>
      <c r="CO1444" s="115"/>
      <c r="CP1444" s="115"/>
      <c r="CQ1444" s="115"/>
      <c r="CR1444" s="115"/>
      <c r="CS1444" s="115"/>
      <c r="CT1444" s="115"/>
      <c r="CU1444" s="115"/>
      <c r="CV1444" s="115"/>
      <c r="CW1444" s="115"/>
      <c r="CX1444" s="115"/>
      <c r="CY1444" s="115"/>
      <c r="CZ1444" s="115"/>
      <c r="DA1444" s="115"/>
      <c r="DB1444" s="115"/>
      <c r="DC1444" s="115"/>
      <c r="DD1444" s="115"/>
      <c r="DE1444" s="115"/>
      <c r="DF1444" s="115"/>
      <c r="DG1444" s="115"/>
    </row>
    <row r="1445" spans="55:111" ht="9" hidden="1" customHeight="1">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c r="BY1445" s="115"/>
      <c r="BZ1445" s="115"/>
      <c r="CA1445" s="115"/>
      <c r="CB1445" s="115"/>
      <c r="CC1445" s="115"/>
      <c r="CD1445" s="115"/>
      <c r="CE1445" s="115"/>
      <c r="CF1445" s="115"/>
      <c r="CG1445" s="115"/>
      <c r="CH1445" s="115"/>
      <c r="CI1445" s="115"/>
      <c r="CJ1445" s="115"/>
      <c r="CK1445" s="115"/>
      <c r="CL1445" s="115"/>
      <c r="CM1445" s="115"/>
      <c r="CN1445" s="115"/>
      <c r="CO1445" s="115"/>
      <c r="CP1445" s="115"/>
      <c r="CQ1445" s="115"/>
      <c r="CR1445" s="115"/>
      <c r="CS1445" s="115"/>
      <c r="CT1445" s="115"/>
      <c r="CU1445" s="115"/>
      <c r="CV1445" s="115"/>
      <c r="CW1445" s="115"/>
      <c r="CX1445" s="115"/>
      <c r="CY1445" s="115"/>
      <c r="CZ1445" s="115"/>
      <c r="DA1445" s="115"/>
      <c r="DB1445" s="115"/>
      <c r="DC1445" s="115"/>
      <c r="DD1445" s="115"/>
      <c r="DE1445" s="115"/>
      <c r="DF1445" s="115"/>
      <c r="DG1445" s="115"/>
    </row>
    <row r="1446" spans="55:111" ht="9" hidden="1" customHeight="1">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c r="BY1446" s="115"/>
      <c r="BZ1446" s="115"/>
      <c r="CA1446" s="115"/>
      <c r="CB1446" s="115"/>
      <c r="CC1446" s="115"/>
      <c r="CD1446" s="115"/>
      <c r="CE1446" s="115"/>
      <c r="CF1446" s="115"/>
      <c r="CG1446" s="115"/>
      <c r="CH1446" s="115"/>
      <c r="CI1446" s="115"/>
      <c r="CJ1446" s="115"/>
      <c r="CK1446" s="115"/>
      <c r="CL1446" s="115"/>
      <c r="CM1446" s="115"/>
      <c r="CN1446" s="115"/>
      <c r="CO1446" s="115"/>
      <c r="CP1446" s="115"/>
      <c r="CQ1446" s="115"/>
      <c r="CR1446" s="115"/>
      <c r="CS1446" s="115"/>
      <c r="CT1446" s="115"/>
      <c r="CU1446" s="115"/>
      <c r="CV1446" s="115"/>
      <c r="CW1446" s="115"/>
      <c r="CX1446" s="115"/>
      <c r="CY1446" s="115"/>
      <c r="CZ1446" s="115"/>
      <c r="DA1446" s="115"/>
      <c r="DB1446" s="115"/>
      <c r="DC1446" s="115"/>
      <c r="DD1446" s="115"/>
      <c r="DE1446" s="115"/>
      <c r="DF1446" s="115"/>
      <c r="DG1446" s="115"/>
    </row>
    <row r="1447" spans="55:111" ht="9" hidden="1" customHeight="1">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c r="BY1447" s="115"/>
      <c r="BZ1447" s="115"/>
      <c r="CA1447" s="115"/>
      <c r="CB1447" s="115"/>
      <c r="CC1447" s="115"/>
      <c r="CD1447" s="115"/>
      <c r="CE1447" s="115"/>
      <c r="CF1447" s="115"/>
      <c r="CG1447" s="115"/>
      <c r="CH1447" s="115"/>
      <c r="CI1447" s="115"/>
      <c r="CJ1447" s="115"/>
      <c r="CK1447" s="115"/>
      <c r="CL1447" s="115"/>
      <c r="CM1447" s="115"/>
      <c r="CN1447" s="115"/>
      <c r="CO1447" s="115"/>
      <c r="CP1447" s="115"/>
      <c r="CQ1447" s="115"/>
      <c r="CR1447" s="115"/>
      <c r="CS1447" s="115"/>
      <c r="CT1447" s="115"/>
      <c r="CU1447" s="115"/>
      <c r="CV1447" s="115"/>
      <c r="CW1447" s="115"/>
      <c r="CX1447" s="115"/>
      <c r="CY1447" s="115"/>
      <c r="CZ1447" s="115"/>
      <c r="DA1447" s="115"/>
      <c r="DB1447" s="115"/>
      <c r="DC1447" s="115"/>
      <c r="DD1447" s="115"/>
      <c r="DE1447" s="115"/>
      <c r="DF1447" s="115"/>
      <c r="DG1447" s="115"/>
    </row>
    <row r="1448" spans="55:111" ht="9" hidden="1" customHeight="1">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c r="BY1448" s="115"/>
      <c r="BZ1448" s="115"/>
      <c r="CA1448" s="115"/>
      <c r="CB1448" s="115"/>
      <c r="CC1448" s="115"/>
      <c r="CD1448" s="115"/>
      <c r="CE1448" s="115"/>
      <c r="CF1448" s="115"/>
      <c r="CG1448" s="115"/>
      <c r="CH1448" s="115"/>
      <c r="CI1448" s="115"/>
      <c r="CJ1448" s="115"/>
      <c r="CK1448" s="115"/>
      <c r="CL1448" s="115"/>
      <c r="CM1448" s="115"/>
      <c r="CN1448" s="115"/>
      <c r="CO1448" s="115"/>
      <c r="CP1448" s="115"/>
      <c r="CQ1448" s="115"/>
      <c r="CR1448" s="115"/>
      <c r="CS1448" s="115"/>
      <c r="CT1448" s="115"/>
      <c r="CU1448" s="115"/>
      <c r="CV1448" s="115"/>
      <c r="CW1448" s="115"/>
      <c r="CX1448" s="115"/>
      <c r="CY1448" s="115"/>
      <c r="CZ1448" s="115"/>
      <c r="DA1448" s="115"/>
      <c r="DB1448" s="115"/>
      <c r="DC1448" s="115"/>
      <c r="DD1448" s="115"/>
      <c r="DE1448" s="115"/>
      <c r="DF1448" s="115"/>
      <c r="DG1448" s="115"/>
    </row>
    <row r="1449" spans="55:111" ht="9" hidden="1" customHeight="1">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c r="BY1449" s="115"/>
      <c r="BZ1449" s="115"/>
      <c r="CA1449" s="115"/>
      <c r="CB1449" s="115"/>
      <c r="CC1449" s="115"/>
      <c r="CD1449" s="115"/>
      <c r="CE1449" s="115"/>
      <c r="CF1449" s="115"/>
      <c r="CG1449" s="115"/>
      <c r="CH1449" s="115"/>
      <c r="CI1449" s="115"/>
      <c r="CJ1449" s="115"/>
      <c r="CK1449" s="115"/>
      <c r="CL1449" s="115"/>
      <c r="CM1449" s="115"/>
      <c r="CN1449" s="115"/>
      <c r="CO1449" s="115"/>
      <c r="CP1449" s="115"/>
      <c r="CQ1449" s="115"/>
      <c r="CR1449" s="115"/>
      <c r="CS1449" s="115"/>
      <c r="CT1449" s="115"/>
      <c r="CU1449" s="115"/>
      <c r="CV1449" s="115"/>
      <c r="CW1449" s="115"/>
      <c r="CX1449" s="115"/>
      <c r="CY1449" s="115"/>
      <c r="CZ1449" s="115"/>
      <c r="DA1449" s="115"/>
      <c r="DB1449" s="115"/>
      <c r="DC1449" s="115"/>
      <c r="DD1449" s="115"/>
      <c r="DE1449" s="115"/>
      <c r="DF1449" s="115"/>
      <c r="DG1449" s="115"/>
    </row>
    <row r="1450" spans="55:111" ht="9" hidden="1" customHeight="1">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c r="BY1450" s="115"/>
      <c r="BZ1450" s="115"/>
      <c r="CA1450" s="115"/>
      <c r="CB1450" s="115"/>
      <c r="CC1450" s="115"/>
      <c r="CD1450" s="115"/>
      <c r="CE1450" s="115"/>
      <c r="CF1450" s="115"/>
      <c r="CG1450" s="115"/>
      <c r="CH1450" s="115"/>
      <c r="CI1450" s="115"/>
      <c r="CJ1450" s="115"/>
      <c r="CK1450" s="115"/>
      <c r="CL1450" s="115"/>
      <c r="CM1450" s="115"/>
      <c r="CN1450" s="115"/>
      <c r="CO1450" s="115"/>
      <c r="CP1450" s="115"/>
      <c r="CQ1450" s="115"/>
      <c r="CR1450" s="115"/>
      <c r="CS1450" s="115"/>
      <c r="CT1450" s="115"/>
      <c r="CU1450" s="115"/>
      <c r="CV1450" s="115"/>
      <c r="CW1450" s="115"/>
      <c r="CX1450" s="115"/>
      <c r="CY1450" s="115"/>
      <c r="CZ1450" s="115"/>
      <c r="DA1450" s="115"/>
      <c r="DB1450" s="115"/>
      <c r="DC1450" s="115"/>
      <c r="DD1450" s="115"/>
      <c r="DE1450" s="115"/>
      <c r="DF1450" s="115"/>
      <c r="DG1450" s="115"/>
    </row>
    <row r="1451" spans="55:111" ht="9" hidden="1" customHeight="1">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c r="BY1451" s="115"/>
      <c r="BZ1451" s="115"/>
      <c r="CA1451" s="115"/>
      <c r="CB1451" s="115"/>
      <c r="CC1451" s="115"/>
      <c r="CD1451" s="115"/>
      <c r="CE1451" s="115"/>
      <c r="CF1451" s="115"/>
      <c r="CG1451" s="115"/>
      <c r="CH1451" s="115"/>
      <c r="CI1451" s="115"/>
      <c r="CJ1451" s="115"/>
      <c r="CK1451" s="115"/>
      <c r="CL1451" s="115"/>
      <c r="CM1451" s="115"/>
      <c r="CN1451" s="115"/>
      <c r="CO1451" s="115"/>
      <c r="CP1451" s="115"/>
      <c r="CQ1451" s="115"/>
      <c r="CR1451" s="115"/>
      <c r="CS1451" s="115"/>
      <c r="CT1451" s="115"/>
      <c r="CU1451" s="115"/>
      <c r="CV1451" s="115"/>
      <c r="CW1451" s="115"/>
      <c r="CX1451" s="115"/>
      <c r="CY1451" s="115"/>
      <c r="CZ1451" s="115"/>
      <c r="DA1451" s="115"/>
      <c r="DB1451" s="115"/>
      <c r="DC1451" s="115"/>
      <c r="DD1451" s="115"/>
      <c r="DE1451" s="115"/>
      <c r="DF1451" s="115"/>
      <c r="DG1451" s="115"/>
    </row>
    <row r="1452" spans="55:111" ht="9" hidden="1" customHeight="1">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c r="BY1452" s="115"/>
      <c r="BZ1452" s="115"/>
      <c r="CA1452" s="115"/>
      <c r="CB1452" s="115"/>
      <c r="CC1452" s="115"/>
      <c r="CD1452" s="115"/>
      <c r="CE1452" s="115"/>
      <c r="CF1452" s="115"/>
      <c r="CG1452" s="115"/>
      <c r="CH1452" s="115"/>
      <c r="CI1452" s="115"/>
      <c r="CJ1452" s="115"/>
      <c r="CK1452" s="115"/>
      <c r="CL1452" s="115"/>
      <c r="CM1452" s="115"/>
      <c r="CN1452" s="115"/>
      <c r="CO1452" s="115"/>
      <c r="CP1452" s="115"/>
      <c r="CQ1452" s="115"/>
      <c r="CR1452" s="115"/>
      <c r="CS1452" s="115"/>
      <c r="CT1452" s="115"/>
      <c r="CU1452" s="115"/>
      <c r="CV1452" s="115"/>
      <c r="CW1452" s="115"/>
      <c r="CX1452" s="115"/>
      <c r="CY1452" s="115"/>
      <c r="CZ1452" s="115"/>
      <c r="DA1452" s="115"/>
      <c r="DB1452" s="115"/>
      <c r="DC1452" s="115"/>
      <c r="DD1452" s="115"/>
      <c r="DE1452" s="115"/>
      <c r="DF1452" s="115"/>
      <c r="DG1452" s="115"/>
    </row>
    <row r="1453" spans="55:111" ht="9" hidden="1" customHeight="1">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c r="BY1453" s="115"/>
      <c r="BZ1453" s="115"/>
      <c r="CA1453" s="115"/>
      <c r="CB1453" s="115"/>
      <c r="CC1453" s="115"/>
      <c r="CD1453" s="115"/>
      <c r="CE1453" s="115"/>
      <c r="CF1453" s="115"/>
      <c r="CG1453" s="115"/>
      <c r="CH1453" s="115"/>
      <c r="CI1453" s="115"/>
      <c r="CJ1453" s="115"/>
      <c r="CK1453" s="115"/>
      <c r="CL1453" s="115"/>
      <c r="CM1453" s="115"/>
      <c r="CN1453" s="115"/>
      <c r="CO1453" s="115"/>
      <c r="CP1453" s="115"/>
      <c r="CQ1453" s="115"/>
      <c r="CR1453" s="115"/>
      <c r="CS1453" s="115"/>
      <c r="CT1453" s="115"/>
      <c r="CU1453" s="115"/>
      <c r="CV1453" s="115"/>
      <c r="CW1453" s="115"/>
      <c r="CX1453" s="115"/>
      <c r="CY1453" s="115"/>
      <c r="CZ1453" s="115"/>
      <c r="DA1453" s="115"/>
      <c r="DB1453" s="115"/>
      <c r="DC1453" s="115"/>
      <c r="DD1453" s="115"/>
      <c r="DE1453" s="115"/>
      <c r="DF1453" s="115"/>
      <c r="DG1453" s="115"/>
    </row>
    <row r="1454" spans="55:111" ht="9" hidden="1" customHeight="1">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c r="BY1454" s="115"/>
      <c r="BZ1454" s="115"/>
      <c r="CA1454" s="115"/>
      <c r="CB1454" s="115"/>
      <c r="CC1454" s="115"/>
      <c r="CD1454" s="115"/>
      <c r="CE1454" s="115"/>
      <c r="CF1454" s="115"/>
      <c r="CG1454" s="115"/>
      <c r="CH1454" s="115"/>
      <c r="CI1454" s="115"/>
      <c r="CJ1454" s="115"/>
      <c r="CK1454" s="115"/>
      <c r="CL1454" s="115"/>
      <c r="CM1454" s="115"/>
      <c r="CN1454" s="115"/>
      <c r="CO1454" s="115"/>
      <c r="CP1454" s="115"/>
      <c r="CQ1454" s="115"/>
      <c r="CR1454" s="115"/>
      <c r="CS1454" s="115"/>
      <c r="CT1454" s="115"/>
      <c r="CU1454" s="115"/>
      <c r="CV1454" s="115"/>
      <c r="CW1454" s="115"/>
      <c r="CX1454" s="115"/>
      <c r="CY1454" s="115"/>
      <c r="CZ1454" s="115"/>
      <c r="DA1454" s="115"/>
      <c r="DB1454" s="115"/>
      <c r="DC1454" s="115"/>
      <c r="DD1454" s="115"/>
      <c r="DE1454" s="115"/>
      <c r="DF1454" s="115"/>
      <c r="DG1454" s="115"/>
    </row>
    <row r="1455" spans="55:111" ht="9" hidden="1" customHeight="1">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c r="BY1455" s="115"/>
      <c r="BZ1455" s="115"/>
      <c r="CA1455" s="115"/>
      <c r="CB1455" s="115"/>
      <c r="CC1455" s="115"/>
      <c r="CD1455" s="115"/>
      <c r="CE1455" s="115"/>
      <c r="CF1455" s="115"/>
      <c r="CG1455" s="115"/>
      <c r="CH1455" s="115"/>
      <c r="CI1455" s="115"/>
      <c r="CJ1455" s="115"/>
      <c r="CK1455" s="115"/>
      <c r="CL1455" s="115"/>
      <c r="CM1455" s="115"/>
      <c r="CN1455" s="115"/>
      <c r="CO1455" s="115"/>
      <c r="CP1455" s="115"/>
      <c r="CQ1455" s="115"/>
      <c r="CR1455" s="115"/>
      <c r="CS1455" s="115"/>
      <c r="CT1455" s="115"/>
      <c r="CU1455" s="115"/>
      <c r="CV1455" s="115"/>
      <c r="CW1455" s="115"/>
      <c r="CX1455" s="115"/>
      <c r="CY1455" s="115"/>
      <c r="CZ1455" s="115"/>
      <c r="DA1455" s="115"/>
      <c r="DB1455" s="115"/>
      <c r="DC1455" s="115"/>
      <c r="DD1455" s="115"/>
      <c r="DE1455" s="115"/>
      <c r="DF1455" s="115"/>
      <c r="DG1455" s="115"/>
    </row>
    <row r="1456" spans="55:111" ht="9" hidden="1" customHeight="1">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c r="BY1456" s="115"/>
      <c r="BZ1456" s="115"/>
      <c r="CA1456" s="115"/>
      <c r="CB1456" s="115"/>
      <c r="CC1456" s="115"/>
      <c r="CD1456" s="115"/>
      <c r="CE1456" s="115"/>
      <c r="CF1456" s="115"/>
      <c r="CG1456" s="115"/>
      <c r="CH1456" s="115"/>
      <c r="CI1456" s="115"/>
      <c r="CJ1456" s="115"/>
      <c r="CK1456" s="115"/>
      <c r="CL1456" s="115"/>
      <c r="CM1456" s="115"/>
      <c r="CN1456" s="115"/>
      <c r="CO1456" s="115"/>
      <c r="CP1456" s="115"/>
      <c r="CQ1456" s="115"/>
      <c r="CR1456" s="115"/>
      <c r="CS1456" s="115"/>
      <c r="CT1456" s="115"/>
      <c r="CU1456" s="115"/>
      <c r="CV1456" s="115"/>
      <c r="CW1456" s="115"/>
      <c r="CX1456" s="115"/>
      <c r="CY1456" s="115"/>
      <c r="CZ1456" s="115"/>
      <c r="DA1456" s="115"/>
      <c r="DB1456" s="115"/>
      <c r="DC1456" s="115"/>
      <c r="DD1456" s="115"/>
      <c r="DE1456" s="115"/>
      <c r="DF1456" s="115"/>
      <c r="DG1456" s="115"/>
    </row>
    <row r="1457" spans="55:111" ht="9" hidden="1" customHeight="1">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c r="BY1457" s="115"/>
      <c r="BZ1457" s="115"/>
      <c r="CA1457" s="115"/>
      <c r="CB1457" s="115"/>
      <c r="CC1457" s="115"/>
      <c r="CD1457" s="115"/>
      <c r="CE1457" s="115"/>
      <c r="CF1457" s="115"/>
      <c r="CG1457" s="115"/>
      <c r="CH1457" s="115"/>
      <c r="CI1457" s="115"/>
      <c r="CJ1457" s="115"/>
      <c r="CK1457" s="115"/>
      <c r="CL1457" s="115"/>
      <c r="CM1457" s="115"/>
      <c r="CN1457" s="115"/>
      <c r="CO1457" s="115"/>
      <c r="CP1457" s="115"/>
      <c r="CQ1457" s="115"/>
      <c r="CR1457" s="115"/>
      <c r="CS1457" s="115"/>
      <c r="CT1457" s="115"/>
      <c r="CU1457" s="115"/>
      <c r="CV1457" s="115"/>
      <c r="CW1457" s="115"/>
      <c r="CX1457" s="115"/>
      <c r="CY1457" s="115"/>
      <c r="CZ1457" s="115"/>
      <c r="DA1457" s="115"/>
      <c r="DB1457" s="115"/>
      <c r="DC1457" s="115"/>
      <c r="DD1457" s="115"/>
      <c r="DE1457" s="115"/>
      <c r="DF1457" s="115"/>
      <c r="DG1457" s="115"/>
    </row>
    <row r="1458" spans="55:111" ht="9" hidden="1" customHeight="1">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c r="BY1458" s="115"/>
      <c r="BZ1458" s="115"/>
      <c r="CA1458" s="115"/>
      <c r="CB1458" s="115"/>
      <c r="CC1458" s="115"/>
      <c r="CD1458" s="115"/>
      <c r="CE1458" s="115"/>
      <c r="CF1458" s="115"/>
      <c r="CG1458" s="115"/>
      <c r="CH1458" s="115"/>
      <c r="CI1458" s="115"/>
      <c r="CJ1458" s="115"/>
      <c r="CK1458" s="115"/>
      <c r="CL1458" s="115"/>
      <c r="CM1458" s="115"/>
      <c r="CN1458" s="115"/>
      <c r="CO1458" s="115"/>
      <c r="CP1458" s="115"/>
      <c r="CQ1458" s="115"/>
      <c r="CR1458" s="115"/>
      <c r="CS1458" s="115"/>
      <c r="CT1458" s="115"/>
      <c r="CU1458" s="115"/>
      <c r="CV1458" s="115"/>
      <c r="CW1458" s="115"/>
      <c r="CX1458" s="115"/>
      <c r="CY1458" s="115"/>
      <c r="CZ1458" s="115"/>
      <c r="DA1458" s="115"/>
      <c r="DB1458" s="115"/>
      <c r="DC1458" s="115"/>
      <c r="DD1458" s="115"/>
      <c r="DE1458" s="115"/>
      <c r="DF1458" s="115"/>
      <c r="DG1458" s="115"/>
    </row>
    <row r="1459" spans="55:111" ht="9" hidden="1" customHeight="1">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c r="BY1459" s="115"/>
      <c r="BZ1459" s="115"/>
      <c r="CA1459" s="115"/>
      <c r="CB1459" s="115"/>
      <c r="CC1459" s="115"/>
      <c r="CD1459" s="115"/>
      <c r="CE1459" s="115"/>
      <c r="CF1459" s="115"/>
      <c r="CG1459" s="115"/>
      <c r="CH1459" s="115"/>
      <c r="CI1459" s="115"/>
      <c r="CJ1459" s="115"/>
      <c r="CK1459" s="115"/>
      <c r="CL1459" s="115"/>
      <c r="CM1459" s="115"/>
      <c r="CN1459" s="115"/>
      <c r="CO1459" s="115"/>
      <c r="CP1459" s="115"/>
      <c r="CQ1459" s="115"/>
      <c r="CR1459" s="115"/>
      <c r="CS1459" s="115"/>
      <c r="CT1459" s="115"/>
      <c r="CU1459" s="115"/>
      <c r="CV1459" s="115"/>
      <c r="CW1459" s="115"/>
      <c r="CX1459" s="115"/>
      <c r="CY1459" s="115"/>
      <c r="CZ1459" s="115"/>
      <c r="DA1459" s="115"/>
      <c r="DB1459" s="115"/>
      <c r="DC1459" s="115"/>
      <c r="DD1459" s="115"/>
      <c r="DE1459" s="115"/>
      <c r="DF1459" s="115"/>
      <c r="DG1459" s="115"/>
    </row>
    <row r="1460" spans="55:111" ht="9" hidden="1" customHeight="1">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c r="BY1460" s="115"/>
      <c r="BZ1460" s="115"/>
      <c r="CA1460" s="115"/>
      <c r="CB1460" s="115"/>
      <c r="CC1460" s="115"/>
      <c r="CD1460" s="115"/>
      <c r="CE1460" s="115"/>
      <c r="CF1460" s="115"/>
      <c r="CG1460" s="115"/>
      <c r="CH1460" s="115"/>
      <c r="CI1460" s="115"/>
      <c r="CJ1460" s="115"/>
      <c r="CK1460" s="115"/>
      <c r="CL1460" s="115"/>
      <c r="CM1460" s="115"/>
      <c r="CN1460" s="115"/>
      <c r="CO1460" s="115"/>
      <c r="CP1460" s="115"/>
      <c r="CQ1460" s="115"/>
      <c r="CR1460" s="115"/>
      <c r="CS1460" s="115"/>
      <c r="CT1460" s="115"/>
      <c r="CU1460" s="115"/>
      <c r="CV1460" s="115"/>
      <c r="CW1460" s="115"/>
      <c r="CX1460" s="115"/>
      <c r="CY1460" s="115"/>
      <c r="CZ1460" s="115"/>
      <c r="DA1460" s="115"/>
      <c r="DB1460" s="115"/>
      <c r="DC1460" s="115"/>
      <c r="DD1460" s="115"/>
      <c r="DE1460" s="115"/>
      <c r="DF1460" s="115"/>
      <c r="DG1460" s="115"/>
    </row>
    <row r="1461" spans="55:111" ht="9" hidden="1" customHeight="1">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c r="BY1461" s="115"/>
      <c r="BZ1461" s="115"/>
      <c r="CA1461" s="115"/>
      <c r="CB1461" s="115"/>
      <c r="CC1461" s="115"/>
      <c r="CD1461" s="115"/>
      <c r="CE1461" s="115"/>
      <c r="CF1461" s="115"/>
      <c r="CG1461" s="115"/>
      <c r="CH1461" s="115"/>
      <c r="CI1461" s="115"/>
      <c r="CJ1461" s="115"/>
      <c r="CK1461" s="115"/>
      <c r="CL1461" s="115"/>
      <c r="CM1461" s="115"/>
      <c r="CN1461" s="115"/>
      <c r="CO1461" s="115"/>
      <c r="CP1461" s="115"/>
      <c r="CQ1461" s="115"/>
      <c r="CR1461" s="115"/>
      <c r="CS1461" s="115"/>
      <c r="CT1461" s="115"/>
      <c r="CU1461" s="115"/>
      <c r="CV1461" s="115"/>
      <c r="CW1461" s="115"/>
      <c r="CX1461" s="115"/>
      <c r="CY1461" s="115"/>
      <c r="CZ1461" s="115"/>
      <c r="DA1461" s="115"/>
      <c r="DB1461" s="115"/>
      <c r="DC1461" s="115"/>
      <c r="DD1461" s="115"/>
      <c r="DE1461" s="115"/>
      <c r="DF1461" s="115"/>
      <c r="DG1461" s="115"/>
    </row>
    <row r="1462" spans="55:111" ht="9" hidden="1" customHeight="1">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c r="BY1462" s="115"/>
      <c r="BZ1462" s="115"/>
      <c r="CA1462" s="115"/>
      <c r="CB1462" s="115"/>
      <c r="CC1462" s="115"/>
      <c r="CD1462" s="115"/>
      <c r="CE1462" s="115"/>
      <c r="CF1462" s="115"/>
      <c r="CG1462" s="115"/>
      <c r="CH1462" s="115"/>
      <c r="CI1462" s="115"/>
      <c r="CJ1462" s="115"/>
      <c r="CK1462" s="115"/>
      <c r="CL1462" s="115"/>
      <c r="CM1462" s="115"/>
      <c r="CN1462" s="115"/>
      <c r="CO1462" s="115"/>
      <c r="CP1462" s="115"/>
      <c r="CQ1462" s="115"/>
      <c r="CR1462" s="115"/>
      <c r="CS1462" s="115"/>
      <c r="CT1462" s="115"/>
      <c r="CU1462" s="115"/>
      <c r="CV1462" s="115"/>
      <c r="CW1462" s="115"/>
      <c r="CX1462" s="115"/>
      <c r="CY1462" s="115"/>
      <c r="CZ1462" s="115"/>
      <c r="DA1462" s="115"/>
      <c r="DB1462" s="115"/>
      <c r="DC1462" s="115"/>
      <c r="DD1462" s="115"/>
      <c r="DE1462" s="115"/>
      <c r="DF1462" s="115"/>
      <c r="DG1462" s="115"/>
    </row>
    <row r="1463" spans="55:111" ht="9" hidden="1" customHeight="1">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c r="BY1463" s="115"/>
      <c r="BZ1463" s="115"/>
      <c r="CA1463" s="115"/>
      <c r="CB1463" s="115"/>
      <c r="CC1463" s="115"/>
      <c r="CD1463" s="115"/>
      <c r="CE1463" s="115"/>
      <c r="CF1463" s="115"/>
      <c r="CG1463" s="115"/>
      <c r="CH1463" s="115"/>
      <c r="CI1463" s="115"/>
      <c r="CJ1463" s="115"/>
      <c r="CK1463" s="115"/>
      <c r="CL1463" s="115"/>
      <c r="CM1463" s="115"/>
      <c r="CN1463" s="115"/>
      <c r="CO1463" s="115"/>
      <c r="CP1463" s="115"/>
      <c r="CQ1463" s="115"/>
      <c r="CR1463" s="115"/>
      <c r="CS1463" s="115"/>
      <c r="CT1463" s="115"/>
      <c r="CU1463" s="115"/>
      <c r="CV1463" s="115"/>
      <c r="CW1463" s="115"/>
      <c r="CX1463" s="115"/>
      <c r="CY1463" s="115"/>
      <c r="CZ1463" s="115"/>
      <c r="DA1463" s="115"/>
      <c r="DB1463" s="115"/>
      <c r="DC1463" s="115"/>
      <c r="DD1463" s="115"/>
      <c r="DE1463" s="115"/>
      <c r="DF1463" s="115"/>
      <c r="DG1463" s="115"/>
    </row>
    <row r="1464" spans="55:111" ht="9" hidden="1" customHeight="1">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c r="BY1464" s="115"/>
      <c r="BZ1464" s="115"/>
      <c r="CA1464" s="115"/>
      <c r="CB1464" s="115"/>
      <c r="CC1464" s="115"/>
      <c r="CD1464" s="115"/>
      <c r="CE1464" s="115"/>
      <c r="CF1464" s="115"/>
      <c r="CG1464" s="115"/>
      <c r="CH1464" s="115"/>
      <c r="CI1464" s="115"/>
      <c r="CJ1464" s="115"/>
      <c r="CK1464" s="115"/>
      <c r="CL1464" s="115"/>
      <c r="CM1464" s="115"/>
      <c r="CN1464" s="115"/>
      <c r="CO1464" s="115"/>
      <c r="CP1464" s="115"/>
      <c r="CQ1464" s="115"/>
      <c r="CR1464" s="115"/>
      <c r="CS1464" s="115"/>
      <c r="CT1464" s="115"/>
      <c r="CU1464" s="115"/>
      <c r="CV1464" s="115"/>
      <c r="CW1464" s="115"/>
      <c r="CX1464" s="115"/>
      <c r="CY1464" s="115"/>
      <c r="CZ1464" s="115"/>
      <c r="DA1464" s="115"/>
      <c r="DB1464" s="115"/>
      <c r="DC1464" s="115"/>
      <c r="DD1464" s="115"/>
      <c r="DE1464" s="115"/>
      <c r="DF1464" s="115"/>
      <c r="DG1464" s="115"/>
    </row>
    <row r="1465" spans="55:111" ht="9" hidden="1" customHeight="1">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c r="BY1465" s="115"/>
      <c r="BZ1465" s="115"/>
      <c r="CA1465" s="115"/>
      <c r="CB1465" s="115"/>
      <c r="CC1465" s="115"/>
      <c r="CD1465" s="115"/>
      <c r="CE1465" s="115"/>
      <c r="CF1465" s="115"/>
      <c r="CG1465" s="115"/>
      <c r="CH1465" s="115"/>
      <c r="CI1465" s="115"/>
      <c r="CJ1465" s="115"/>
      <c r="CK1465" s="115"/>
      <c r="CL1465" s="115"/>
      <c r="CM1465" s="115"/>
      <c r="CN1465" s="115"/>
      <c r="CO1465" s="115"/>
      <c r="CP1465" s="115"/>
      <c r="CQ1465" s="115"/>
      <c r="CR1465" s="115"/>
      <c r="CS1465" s="115"/>
      <c r="CT1465" s="115"/>
      <c r="CU1465" s="115"/>
      <c r="CV1465" s="115"/>
      <c r="CW1465" s="115"/>
      <c r="CX1465" s="115"/>
      <c r="CY1465" s="115"/>
      <c r="CZ1465" s="115"/>
      <c r="DA1465" s="115"/>
      <c r="DB1465" s="115"/>
      <c r="DC1465" s="115"/>
      <c r="DD1465" s="115"/>
      <c r="DE1465" s="115"/>
      <c r="DF1465" s="115"/>
      <c r="DG1465" s="115"/>
    </row>
    <row r="1466" spans="55:111" ht="9" hidden="1" customHeight="1">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c r="BY1466" s="115"/>
      <c r="BZ1466" s="115"/>
      <c r="CA1466" s="115"/>
      <c r="CB1466" s="115"/>
      <c r="CC1466" s="115"/>
      <c r="CD1466" s="115"/>
      <c r="CE1466" s="115"/>
      <c r="CF1466" s="115"/>
      <c r="CG1466" s="115"/>
      <c r="CH1466" s="115"/>
      <c r="CI1466" s="115"/>
      <c r="CJ1466" s="115"/>
      <c r="CK1466" s="115"/>
      <c r="CL1466" s="115"/>
      <c r="CM1466" s="115"/>
      <c r="CN1466" s="115"/>
      <c r="CO1466" s="115"/>
      <c r="CP1466" s="115"/>
      <c r="CQ1466" s="115"/>
      <c r="CR1466" s="115"/>
      <c r="CS1466" s="115"/>
      <c r="CT1466" s="115"/>
      <c r="CU1466" s="115"/>
      <c r="CV1466" s="115"/>
      <c r="CW1466" s="115"/>
      <c r="CX1466" s="115"/>
      <c r="CY1466" s="115"/>
      <c r="CZ1466" s="115"/>
      <c r="DA1466" s="115"/>
      <c r="DB1466" s="115"/>
      <c r="DC1466" s="115"/>
      <c r="DD1466" s="115"/>
      <c r="DE1466" s="115"/>
      <c r="DF1466" s="115"/>
      <c r="DG1466" s="115"/>
    </row>
    <row r="1467" spans="55:111" ht="9" hidden="1" customHeight="1">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c r="BY1467" s="115"/>
      <c r="BZ1467" s="115"/>
      <c r="CA1467" s="115"/>
      <c r="CB1467" s="115"/>
      <c r="CC1467" s="115"/>
      <c r="CD1467" s="115"/>
      <c r="CE1467" s="115"/>
      <c r="CF1467" s="115"/>
      <c r="CG1467" s="115"/>
      <c r="CH1467" s="115"/>
      <c r="CI1467" s="115"/>
      <c r="CJ1467" s="115"/>
      <c r="CK1467" s="115"/>
      <c r="CL1467" s="115"/>
      <c r="CM1467" s="115"/>
      <c r="CN1467" s="115"/>
      <c r="CO1467" s="115"/>
      <c r="CP1467" s="115"/>
      <c r="CQ1467" s="115"/>
      <c r="CR1467" s="115"/>
      <c r="CS1467" s="115"/>
      <c r="CT1467" s="115"/>
      <c r="CU1467" s="115"/>
      <c r="CV1467" s="115"/>
      <c r="CW1467" s="115"/>
      <c r="CX1467" s="115"/>
      <c r="CY1467" s="115"/>
      <c r="CZ1467" s="115"/>
      <c r="DA1467" s="115"/>
      <c r="DB1467" s="115"/>
      <c r="DC1467" s="115"/>
      <c r="DD1467" s="115"/>
      <c r="DE1467" s="115"/>
      <c r="DF1467" s="115"/>
      <c r="DG1467" s="115"/>
    </row>
    <row r="1468" spans="55:111" ht="9" hidden="1" customHeight="1">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c r="BY1468" s="115"/>
      <c r="BZ1468" s="115"/>
      <c r="CA1468" s="115"/>
      <c r="CB1468" s="115"/>
      <c r="CC1468" s="115"/>
      <c r="CD1468" s="115"/>
      <c r="CE1468" s="115"/>
      <c r="CF1468" s="115"/>
      <c r="CG1468" s="115"/>
      <c r="CH1468" s="115"/>
      <c r="CI1468" s="115"/>
      <c r="CJ1468" s="115"/>
      <c r="CK1468" s="115"/>
      <c r="CL1468" s="115"/>
      <c r="CM1468" s="115"/>
      <c r="CN1468" s="115"/>
      <c r="CO1468" s="115"/>
      <c r="CP1468" s="115"/>
      <c r="CQ1468" s="115"/>
      <c r="CR1468" s="115"/>
      <c r="CS1468" s="115"/>
      <c r="CT1468" s="115"/>
      <c r="CU1468" s="115"/>
      <c r="CV1468" s="115"/>
      <c r="CW1468" s="115"/>
      <c r="CX1468" s="115"/>
      <c r="CY1468" s="115"/>
      <c r="CZ1468" s="115"/>
      <c r="DA1468" s="115"/>
      <c r="DB1468" s="115"/>
      <c r="DC1468" s="115"/>
      <c r="DD1468" s="115"/>
      <c r="DE1468" s="115"/>
      <c r="DF1468" s="115"/>
      <c r="DG1468" s="115"/>
    </row>
    <row r="1469" spans="55:111" ht="9" hidden="1" customHeight="1">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c r="BY1469" s="115"/>
      <c r="BZ1469" s="115"/>
      <c r="CA1469" s="115"/>
      <c r="CB1469" s="115"/>
      <c r="CC1469" s="115"/>
      <c r="CD1469" s="115"/>
      <c r="CE1469" s="115"/>
      <c r="CF1469" s="115"/>
      <c r="CG1469" s="115"/>
      <c r="CH1469" s="115"/>
      <c r="CI1469" s="115"/>
      <c r="CJ1469" s="115"/>
      <c r="CK1469" s="115"/>
      <c r="CL1469" s="115"/>
      <c r="CM1469" s="115"/>
      <c r="CN1469" s="115"/>
      <c r="CO1469" s="115"/>
      <c r="CP1469" s="115"/>
      <c r="CQ1469" s="115"/>
      <c r="CR1469" s="115"/>
      <c r="CS1469" s="115"/>
      <c r="CT1469" s="115"/>
      <c r="CU1469" s="115"/>
      <c r="CV1469" s="115"/>
      <c r="CW1469" s="115"/>
      <c r="CX1469" s="115"/>
      <c r="CY1469" s="115"/>
      <c r="CZ1469" s="115"/>
      <c r="DA1469" s="115"/>
      <c r="DB1469" s="115"/>
      <c r="DC1469" s="115"/>
      <c r="DD1469" s="115"/>
      <c r="DE1469" s="115"/>
      <c r="DF1469" s="115"/>
      <c r="DG1469" s="115"/>
    </row>
    <row r="1470" spans="55:111" ht="9" hidden="1" customHeight="1">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c r="BY1470" s="115"/>
      <c r="BZ1470" s="115"/>
      <c r="CA1470" s="115"/>
      <c r="CB1470" s="115"/>
      <c r="CC1470" s="115"/>
      <c r="CD1470" s="115"/>
      <c r="CE1470" s="115"/>
      <c r="CF1470" s="115"/>
      <c r="CG1470" s="115"/>
      <c r="CH1470" s="115"/>
      <c r="CI1470" s="115"/>
      <c r="CJ1470" s="115"/>
      <c r="CK1470" s="115"/>
      <c r="CL1470" s="115"/>
      <c r="CM1470" s="115"/>
      <c r="CN1470" s="115"/>
      <c r="CO1470" s="115"/>
      <c r="CP1470" s="115"/>
      <c r="CQ1470" s="115"/>
      <c r="CR1470" s="115"/>
      <c r="CS1470" s="115"/>
      <c r="CT1470" s="115"/>
      <c r="CU1470" s="115"/>
      <c r="CV1470" s="115"/>
      <c r="CW1470" s="115"/>
      <c r="CX1470" s="115"/>
      <c r="CY1470" s="115"/>
      <c r="CZ1470" s="115"/>
      <c r="DA1470" s="115"/>
      <c r="DB1470" s="115"/>
      <c r="DC1470" s="115"/>
      <c r="DD1470" s="115"/>
      <c r="DE1470" s="115"/>
      <c r="DF1470" s="115"/>
      <c r="DG1470" s="115"/>
    </row>
    <row r="1471" spans="55:111" ht="9" hidden="1" customHeight="1">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c r="BY1471" s="115"/>
      <c r="BZ1471" s="115"/>
      <c r="CA1471" s="115"/>
      <c r="CB1471" s="115"/>
      <c r="CC1471" s="115"/>
      <c r="CD1471" s="115"/>
      <c r="CE1471" s="115"/>
      <c r="CF1471" s="115"/>
      <c r="CG1471" s="115"/>
      <c r="CH1471" s="115"/>
      <c r="CI1471" s="115"/>
      <c r="CJ1471" s="115"/>
      <c r="CK1471" s="115"/>
      <c r="CL1471" s="115"/>
      <c r="CM1471" s="115"/>
      <c r="CN1471" s="115"/>
      <c r="CO1471" s="115"/>
      <c r="CP1471" s="115"/>
      <c r="CQ1471" s="115"/>
      <c r="CR1471" s="115"/>
      <c r="CS1471" s="115"/>
      <c r="CT1471" s="115"/>
      <c r="CU1471" s="115"/>
      <c r="CV1471" s="115"/>
      <c r="CW1471" s="115"/>
      <c r="CX1471" s="115"/>
      <c r="CY1471" s="115"/>
      <c r="CZ1471" s="115"/>
      <c r="DA1471" s="115"/>
      <c r="DB1471" s="115"/>
      <c r="DC1471" s="115"/>
      <c r="DD1471" s="115"/>
      <c r="DE1471" s="115"/>
      <c r="DF1471" s="115"/>
      <c r="DG1471" s="115"/>
    </row>
    <row r="1472" spans="55:111" ht="9" hidden="1" customHeight="1">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c r="BY1472" s="115"/>
      <c r="BZ1472" s="115"/>
      <c r="CA1472" s="115"/>
      <c r="CB1472" s="115"/>
      <c r="CC1472" s="115"/>
      <c r="CD1472" s="115"/>
      <c r="CE1472" s="115"/>
      <c r="CF1472" s="115"/>
      <c r="CG1472" s="115"/>
      <c r="CH1472" s="115"/>
      <c r="CI1472" s="115"/>
      <c r="CJ1472" s="115"/>
      <c r="CK1472" s="115"/>
      <c r="CL1472" s="115"/>
      <c r="CM1472" s="115"/>
      <c r="CN1472" s="115"/>
      <c r="CO1472" s="115"/>
      <c r="CP1472" s="115"/>
      <c r="CQ1472" s="115"/>
      <c r="CR1472" s="115"/>
      <c r="CS1472" s="115"/>
      <c r="CT1472" s="115"/>
      <c r="CU1472" s="115"/>
      <c r="CV1472" s="115"/>
      <c r="CW1472" s="115"/>
      <c r="CX1472" s="115"/>
      <c r="CY1472" s="115"/>
      <c r="CZ1472" s="115"/>
      <c r="DA1472" s="115"/>
      <c r="DB1472" s="115"/>
      <c r="DC1472" s="115"/>
      <c r="DD1472" s="115"/>
      <c r="DE1472" s="115"/>
      <c r="DF1472" s="115"/>
      <c r="DG1472" s="115"/>
    </row>
    <row r="1473" spans="55:111" ht="9" hidden="1" customHeight="1">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c r="BY1473" s="115"/>
      <c r="BZ1473" s="115"/>
      <c r="CA1473" s="115"/>
      <c r="CB1473" s="115"/>
      <c r="CC1473" s="115"/>
      <c r="CD1473" s="115"/>
      <c r="CE1473" s="115"/>
      <c r="CF1473" s="115"/>
      <c r="CG1473" s="115"/>
      <c r="CH1473" s="115"/>
      <c r="CI1473" s="115"/>
      <c r="CJ1473" s="115"/>
      <c r="CK1473" s="115"/>
      <c r="CL1473" s="115"/>
      <c r="CM1473" s="115"/>
      <c r="CN1473" s="115"/>
      <c r="CO1473" s="115"/>
      <c r="CP1473" s="115"/>
      <c r="CQ1473" s="115"/>
      <c r="CR1473" s="115"/>
      <c r="CS1473" s="115"/>
      <c r="CT1473" s="115"/>
      <c r="CU1473" s="115"/>
      <c r="CV1473" s="115"/>
      <c r="CW1473" s="115"/>
      <c r="CX1473" s="115"/>
      <c r="CY1473" s="115"/>
      <c r="CZ1473" s="115"/>
      <c r="DA1473" s="115"/>
      <c r="DB1473" s="115"/>
      <c r="DC1473" s="115"/>
      <c r="DD1473" s="115"/>
      <c r="DE1473" s="115"/>
      <c r="DF1473" s="115"/>
      <c r="DG1473" s="115"/>
    </row>
    <row r="1474" spans="55:111" ht="9" hidden="1" customHeight="1">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c r="BY1474" s="115"/>
      <c r="BZ1474" s="115"/>
      <c r="CA1474" s="115"/>
      <c r="CB1474" s="115"/>
      <c r="CC1474" s="115"/>
      <c r="CD1474" s="115"/>
      <c r="CE1474" s="115"/>
      <c r="CF1474" s="115"/>
      <c r="CG1474" s="115"/>
      <c r="CH1474" s="115"/>
      <c r="CI1474" s="115"/>
      <c r="CJ1474" s="115"/>
      <c r="CK1474" s="115"/>
      <c r="CL1474" s="115"/>
      <c r="CM1474" s="115"/>
      <c r="CN1474" s="115"/>
      <c r="CO1474" s="115"/>
      <c r="CP1474" s="115"/>
      <c r="CQ1474" s="115"/>
      <c r="CR1474" s="115"/>
      <c r="CS1474" s="115"/>
      <c r="CT1474" s="115"/>
      <c r="CU1474" s="115"/>
      <c r="CV1474" s="115"/>
      <c r="CW1474" s="115"/>
      <c r="CX1474" s="115"/>
      <c r="CY1474" s="115"/>
      <c r="CZ1474" s="115"/>
      <c r="DA1474" s="115"/>
      <c r="DB1474" s="115"/>
      <c r="DC1474" s="115"/>
      <c r="DD1474" s="115"/>
      <c r="DE1474" s="115"/>
      <c r="DF1474" s="115"/>
      <c r="DG1474" s="115"/>
    </row>
    <row r="1475" spans="55:111" ht="9" hidden="1" customHeight="1">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c r="BY1475" s="115"/>
      <c r="BZ1475" s="115"/>
      <c r="CA1475" s="115"/>
      <c r="CB1475" s="115"/>
      <c r="CC1475" s="115"/>
      <c r="CD1475" s="115"/>
      <c r="CE1475" s="115"/>
      <c r="CF1475" s="115"/>
      <c r="CG1475" s="115"/>
      <c r="CH1475" s="115"/>
      <c r="CI1475" s="115"/>
      <c r="CJ1475" s="115"/>
      <c r="CK1475" s="115"/>
      <c r="CL1475" s="115"/>
      <c r="CM1475" s="115"/>
      <c r="CN1475" s="115"/>
      <c r="CO1475" s="115"/>
      <c r="CP1475" s="115"/>
      <c r="CQ1475" s="115"/>
      <c r="CR1475" s="115"/>
      <c r="CS1475" s="115"/>
      <c r="CT1475" s="115"/>
      <c r="CU1475" s="115"/>
      <c r="CV1475" s="115"/>
      <c r="CW1475" s="115"/>
      <c r="CX1475" s="115"/>
      <c r="CY1475" s="115"/>
      <c r="CZ1475" s="115"/>
      <c r="DA1475" s="115"/>
      <c r="DB1475" s="115"/>
      <c r="DC1475" s="115"/>
      <c r="DD1475" s="115"/>
      <c r="DE1475" s="115"/>
      <c r="DF1475" s="115"/>
      <c r="DG1475" s="115"/>
    </row>
    <row r="1476" spans="55:111" ht="9" hidden="1" customHeight="1">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c r="BY1476" s="115"/>
      <c r="BZ1476" s="115"/>
      <c r="CA1476" s="115"/>
      <c r="CB1476" s="115"/>
      <c r="CC1476" s="115"/>
      <c r="CD1476" s="115"/>
      <c r="CE1476" s="115"/>
      <c r="CF1476" s="115"/>
      <c r="CG1476" s="115"/>
      <c r="CH1476" s="115"/>
      <c r="CI1476" s="115"/>
      <c r="CJ1476" s="115"/>
      <c r="CK1476" s="115"/>
      <c r="CL1476" s="115"/>
      <c r="CM1476" s="115"/>
      <c r="CN1476" s="115"/>
      <c r="CO1476" s="115"/>
      <c r="CP1476" s="115"/>
      <c r="CQ1476" s="115"/>
      <c r="CR1476" s="115"/>
      <c r="CS1476" s="115"/>
      <c r="CT1476" s="115"/>
      <c r="CU1476" s="115"/>
      <c r="CV1476" s="115"/>
      <c r="CW1476" s="115"/>
      <c r="CX1476" s="115"/>
      <c r="CY1476" s="115"/>
      <c r="CZ1476" s="115"/>
      <c r="DA1476" s="115"/>
      <c r="DB1476" s="115"/>
      <c r="DC1476" s="115"/>
      <c r="DD1476" s="115"/>
      <c r="DE1476" s="115"/>
      <c r="DF1476" s="115"/>
      <c r="DG1476" s="115"/>
    </row>
    <row r="1477" spans="55:111" ht="9" hidden="1" customHeight="1">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c r="BY1477" s="115"/>
      <c r="BZ1477" s="115"/>
      <c r="CA1477" s="115"/>
      <c r="CB1477" s="115"/>
      <c r="CC1477" s="115"/>
      <c r="CD1477" s="115"/>
      <c r="CE1477" s="115"/>
      <c r="CF1477" s="115"/>
      <c r="CG1477" s="115"/>
      <c r="CH1477" s="115"/>
      <c r="CI1477" s="115"/>
      <c r="CJ1477" s="115"/>
      <c r="CK1477" s="115"/>
      <c r="CL1477" s="115"/>
      <c r="CM1477" s="115"/>
      <c r="CN1477" s="115"/>
      <c r="CO1477" s="115"/>
      <c r="CP1477" s="115"/>
      <c r="CQ1477" s="115"/>
      <c r="CR1477" s="115"/>
      <c r="CS1477" s="115"/>
      <c r="CT1477" s="115"/>
      <c r="CU1477" s="115"/>
      <c r="CV1477" s="115"/>
      <c r="CW1477" s="115"/>
      <c r="CX1477" s="115"/>
      <c r="CY1477" s="115"/>
      <c r="CZ1477" s="115"/>
      <c r="DA1477" s="115"/>
      <c r="DB1477" s="115"/>
      <c r="DC1477" s="115"/>
      <c r="DD1477" s="115"/>
      <c r="DE1477" s="115"/>
      <c r="DF1477" s="115"/>
      <c r="DG1477" s="115"/>
    </row>
    <row r="1478" spans="55:111" ht="9" hidden="1" customHeight="1">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c r="BY1478" s="115"/>
      <c r="BZ1478" s="115"/>
      <c r="CA1478" s="115"/>
      <c r="CB1478" s="115"/>
      <c r="CC1478" s="115"/>
      <c r="CD1478" s="115"/>
      <c r="CE1478" s="115"/>
      <c r="CF1478" s="115"/>
      <c r="CG1478" s="115"/>
      <c r="CH1478" s="115"/>
      <c r="CI1478" s="115"/>
      <c r="CJ1478" s="115"/>
      <c r="CK1478" s="115"/>
      <c r="CL1478" s="115"/>
      <c r="CM1478" s="115"/>
      <c r="CN1478" s="115"/>
      <c r="CO1478" s="115"/>
      <c r="CP1478" s="115"/>
      <c r="CQ1478" s="115"/>
      <c r="CR1478" s="115"/>
      <c r="CS1478" s="115"/>
      <c r="CT1478" s="115"/>
      <c r="CU1478" s="115"/>
      <c r="CV1478" s="115"/>
      <c r="CW1478" s="115"/>
      <c r="CX1478" s="115"/>
      <c r="CY1478" s="115"/>
      <c r="CZ1478" s="115"/>
      <c r="DA1478" s="115"/>
      <c r="DB1478" s="115"/>
      <c r="DC1478" s="115"/>
      <c r="DD1478" s="115"/>
      <c r="DE1478" s="115"/>
      <c r="DF1478" s="115"/>
      <c r="DG1478" s="115"/>
    </row>
    <row r="1479" spans="55:111" ht="9" hidden="1" customHeight="1">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c r="BY1479" s="115"/>
      <c r="BZ1479" s="115"/>
      <c r="CA1479" s="115"/>
      <c r="CB1479" s="115"/>
      <c r="CC1479" s="115"/>
      <c r="CD1479" s="115"/>
      <c r="CE1479" s="115"/>
      <c r="CF1479" s="115"/>
      <c r="CG1479" s="115"/>
      <c r="CH1479" s="115"/>
      <c r="CI1479" s="115"/>
      <c r="CJ1479" s="115"/>
      <c r="CK1479" s="115"/>
      <c r="CL1479" s="115"/>
      <c r="CM1479" s="115"/>
      <c r="CN1479" s="115"/>
      <c r="CO1479" s="115"/>
      <c r="CP1479" s="115"/>
      <c r="CQ1479" s="115"/>
      <c r="CR1479" s="115"/>
      <c r="CS1479" s="115"/>
      <c r="CT1479" s="115"/>
      <c r="CU1479" s="115"/>
      <c r="CV1479" s="115"/>
      <c r="CW1479" s="115"/>
      <c r="CX1479" s="115"/>
      <c r="CY1479" s="115"/>
      <c r="CZ1479" s="115"/>
      <c r="DA1479" s="115"/>
      <c r="DB1479" s="115"/>
      <c r="DC1479" s="115"/>
      <c r="DD1479" s="115"/>
      <c r="DE1479" s="115"/>
      <c r="DF1479" s="115"/>
      <c r="DG1479" s="115"/>
    </row>
    <row r="1480" spans="55:111" ht="9" hidden="1" customHeight="1">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c r="BY1480" s="115"/>
      <c r="BZ1480" s="115"/>
      <c r="CA1480" s="115"/>
      <c r="CB1480" s="115"/>
      <c r="CC1480" s="115"/>
      <c r="CD1480" s="115"/>
      <c r="CE1480" s="115"/>
      <c r="CF1480" s="115"/>
      <c r="CG1480" s="115"/>
      <c r="CH1480" s="115"/>
      <c r="CI1480" s="115"/>
      <c r="CJ1480" s="115"/>
      <c r="CK1480" s="115"/>
      <c r="CL1480" s="115"/>
      <c r="CM1480" s="115"/>
      <c r="CN1480" s="115"/>
      <c r="CO1480" s="115"/>
      <c r="CP1480" s="115"/>
      <c r="CQ1480" s="115"/>
      <c r="CR1480" s="115"/>
      <c r="CS1480" s="115"/>
      <c r="CT1480" s="115"/>
      <c r="CU1480" s="115"/>
      <c r="CV1480" s="115"/>
      <c r="CW1480" s="115"/>
      <c r="CX1480" s="115"/>
      <c r="CY1480" s="115"/>
      <c r="CZ1480" s="115"/>
      <c r="DA1480" s="115"/>
      <c r="DB1480" s="115"/>
      <c r="DC1480" s="115"/>
      <c r="DD1480" s="115"/>
      <c r="DE1480" s="115"/>
      <c r="DF1480" s="115"/>
      <c r="DG1480" s="115"/>
    </row>
    <row r="1481" spans="55:111" ht="9" hidden="1" customHeight="1">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c r="BY1481" s="115"/>
      <c r="BZ1481" s="115"/>
      <c r="CA1481" s="115"/>
      <c r="CB1481" s="115"/>
      <c r="CC1481" s="115"/>
      <c r="CD1481" s="115"/>
      <c r="CE1481" s="115"/>
      <c r="CF1481" s="115"/>
      <c r="CG1481" s="115"/>
      <c r="CH1481" s="115"/>
      <c r="CI1481" s="115"/>
      <c r="CJ1481" s="115"/>
      <c r="CK1481" s="115"/>
      <c r="CL1481" s="115"/>
      <c r="CM1481" s="115"/>
      <c r="CN1481" s="115"/>
      <c r="CO1481" s="115"/>
      <c r="CP1481" s="115"/>
      <c r="CQ1481" s="115"/>
      <c r="CR1481" s="115"/>
      <c r="CS1481" s="115"/>
      <c r="CT1481" s="115"/>
      <c r="CU1481" s="115"/>
      <c r="CV1481" s="115"/>
      <c r="CW1481" s="115"/>
      <c r="CX1481" s="115"/>
      <c r="CY1481" s="115"/>
      <c r="CZ1481" s="115"/>
      <c r="DA1481" s="115"/>
      <c r="DB1481" s="115"/>
      <c r="DC1481" s="115"/>
      <c r="DD1481" s="115"/>
      <c r="DE1481" s="115"/>
      <c r="DF1481" s="115"/>
      <c r="DG1481" s="115"/>
    </row>
    <row r="1482" spans="55:111" ht="9" hidden="1" customHeight="1">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c r="BY1482" s="115"/>
      <c r="BZ1482" s="115"/>
      <c r="CA1482" s="115"/>
      <c r="CB1482" s="115"/>
      <c r="CC1482" s="115"/>
      <c r="CD1482" s="115"/>
      <c r="CE1482" s="115"/>
      <c r="CF1482" s="115"/>
      <c r="CG1482" s="115"/>
      <c r="CH1482" s="115"/>
      <c r="CI1482" s="115"/>
      <c r="CJ1482" s="115"/>
      <c r="CK1482" s="115"/>
      <c r="CL1482" s="115"/>
      <c r="CM1482" s="115"/>
      <c r="CN1482" s="115"/>
      <c r="CO1482" s="115"/>
      <c r="CP1482" s="115"/>
      <c r="CQ1482" s="115"/>
      <c r="CR1482" s="115"/>
      <c r="CS1482" s="115"/>
      <c r="CT1482" s="115"/>
      <c r="CU1482" s="115"/>
      <c r="CV1482" s="115"/>
      <c r="CW1482" s="115"/>
      <c r="CX1482" s="115"/>
      <c r="CY1482" s="115"/>
      <c r="CZ1482" s="115"/>
      <c r="DA1482" s="115"/>
      <c r="DB1482" s="115"/>
      <c r="DC1482" s="115"/>
      <c r="DD1482" s="115"/>
      <c r="DE1482" s="115"/>
      <c r="DF1482" s="115"/>
      <c r="DG1482" s="115"/>
    </row>
    <row r="1483" spans="55:111" ht="9" hidden="1" customHeight="1">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c r="BY1483" s="115"/>
      <c r="BZ1483" s="115"/>
      <c r="CA1483" s="115"/>
      <c r="CB1483" s="115"/>
      <c r="CC1483" s="115"/>
      <c r="CD1483" s="115"/>
      <c r="CE1483" s="115"/>
      <c r="CF1483" s="115"/>
      <c r="CG1483" s="115"/>
      <c r="CH1483" s="115"/>
      <c r="CI1483" s="115"/>
      <c r="CJ1483" s="115"/>
      <c r="CK1483" s="115"/>
      <c r="CL1483" s="115"/>
      <c r="CM1483" s="115"/>
      <c r="CN1483" s="115"/>
      <c r="CO1483" s="115"/>
      <c r="CP1483" s="115"/>
      <c r="CQ1483" s="115"/>
      <c r="CR1483" s="115"/>
      <c r="CS1483" s="115"/>
      <c r="CT1483" s="115"/>
      <c r="CU1483" s="115"/>
      <c r="CV1483" s="115"/>
      <c r="CW1483" s="115"/>
      <c r="CX1483" s="115"/>
      <c r="CY1483" s="115"/>
      <c r="CZ1483" s="115"/>
      <c r="DA1483" s="115"/>
      <c r="DB1483" s="115"/>
      <c r="DC1483" s="115"/>
      <c r="DD1483" s="115"/>
      <c r="DE1483" s="115"/>
      <c r="DF1483" s="115"/>
      <c r="DG1483" s="115"/>
    </row>
    <row r="1484" spans="55:111" ht="9" hidden="1" customHeight="1">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c r="BY1484" s="115"/>
      <c r="BZ1484" s="115"/>
      <c r="CA1484" s="115"/>
      <c r="CB1484" s="115"/>
      <c r="CC1484" s="115"/>
      <c r="CD1484" s="115"/>
      <c r="CE1484" s="115"/>
      <c r="CF1484" s="115"/>
      <c r="CG1484" s="115"/>
      <c r="CH1484" s="115"/>
      <c r="CI1484" s="115"/>
      <c r="CJ1484" s="115"/>
      <c r="CK1484" s="115"/>
      <c r="CL1484" s="115"/>
      <c r="CM1484" s="115"/>
      <c r="CN1484" s="115"/>
      <c r="CO1484" s="115"/>
      <c r="CP1484" s="115"/>
      <c r="CQ1484" s="115"/>
      <c r="CR1484" s="115"/>
      <c r="CS1484" s="115"/>
      <c r="CT1484" s="115"/>
      <c r="CU1484" s="115"/>
      <c r="CV1484" s="115"/>
      <c r="CW1484" s="115"/>
      <c r="CX1484" s="115"/>
      <c r="CY1484" s="115"/>
      <c r="CZ1484" s="115"/>
      <c r="DA1484" s="115"/>
      <c r="DB1484" s="115"/>
      <c r="DC1484" s="115"/>
      <c r="DD1484" s="115"/>
      <c r="DE1484" s="115"/>
      <c r="DF1484" s="115"/>
      <c r="DG1484" s="115"/>
    </row>
    <row r="1485" spans="55:111" ht="9" hidden="1" customHeight="1">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c r="BY1485" s="115"/>
      <c r="BZ1485" s="115"/>
      <c r="CA1485" s="115"/>
      <c r="CB1485" s="115"/>
      <c r="CC1485" s="115"/>
      <c r="CD1485" s="115"/>
      <c r="CE1485" s="115"/>
      <c r="CF1485" s="115"/>
      <c r="CG1485" s="115"/>
      <c r="CH1485" s="115"/>
      <c r="CI1485" s="115"/>
      <c r="CJ1485" s="115"/>
      <c r="CK1485" s="115"/>
      <c r="CL1485" s="115"/>
      <c r="CM1485" s="115"/>
      <c r="CN1485" s="115"/>
      <c r="CO1485" s="115"/>
      <c r="CP1485" s="115"/>
      <c r="CQ1485" s="115"/>
      <c r="CR1485" s="115"/>
      <c r="CS1485" s="115"/>
      <c r="CT1485" s="115"/>
      <c r="CU1485" s="115"/>
      <c r="CV1485" s="115"/>
      <c r="CW1485" s="115"/>
      <c r="CX1485" s="115"/>
      <c r="CY1485" s="115"/>
      <c r="CZ1485" s="115"/>
      <c r="DA1485" s="115"/>
      <c r="DB1485" s="115"/>
      <c r="DC1485" s="115"/>
      <c r="DD1485" s="115"/>
      <c r="DE1485" s="115"/>
      <c r="DF1485" s="115"/>
      <c r="DG1485" s="115"/>
    </row>
    <row r="1486" spans="55:111" ht="9" hidden="1" customHeight="1">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c r="BY1486" s="115"/>
      <c r="BZ1486" s="115"/>
      <c r="CA1486" s="115"/>
      <c r="CB1486" s="115"/>
      <c r="CC1486" s="115"/>
      <c r="CD1486" s="115"/>
      <c r="CE1486" s="115"/>
      <c r="CF1486" s="115"/>
      <c r="CG1486" s="115"/>
      <c r="CH1486" s="115"/>
      <c r="CI1486" s="115"/>
      <c r="CJ1486" s="115"/>
      <c r="CK1486" s="115"/>
      <c r="CL1486" s="115"/>
      <c r="CM1486" s="115"/>
      <c r="CN1486" s="115"/>
      <c r="CO1486" s="115"/>
      <c r="CP1486" s="115"/>
      <c r="CQ1486" s="115"/>
      <c r="CR1486" s="115"/>
      <c r="CS1486" s="115"/>
      <c r="CT1486" s="115"/>
      <c r="CU1486" s="115"/>
      <c r="CV1486" s="115"/>
      <c r="CW1486" s="115"/>
      <c r="CX1486" s="115"/>
      <c r="CY1486" s="115"/>
      <c r="CZ1486" s="115"/>
      <c r="DA1486" s="115"/>
      <c r="DB1486" s="115"/>
      <c r="DC1486" s="115"/>
      <c r="DD1486" s="115"/>
      <c r="DE1486" s="115"/>
      <c r="DF1486" s="115"/>
      <c r="DG1486" s="115"/>
    </row>
    <row r="1487" spans="55:111" ht="9" hidden="1" customHeight="1">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c r="BY1487" s="115"/>
      <c r="BZ1487" s="115"/>
      <c r="CA1487" s="115"/>
      <c r="CB1487" s="115"/>
      <c r="CC1487" s="115"/>
      <c r="CD1487" s="115"/>
      <c r="CE1487" s="115"/>
      <c r="CF1487" s="115"/>
      <c r="CG1487" s="115"/>
      <c r="CH1487" s="115"/>
      <c r="CI1487" s="115"/>
      <c r="CJ1487" s="115"/>
      <c r="CK1487" s="115"/>
      <c r="CL1487" s="115"/>
      <c r="CM1487" s="115"/>
      <c r="CN1487" s="115"/>
      <c r="CO1487" s="115"/>
      <c r="CP1487" s="115"/>
      <c r="CQ1487" s="115"/>
      <c r="CR1487" s="115"/>
      <c r="CS1487" s="115"/>
      <c r="CT1487" s="115"/>
      <c r="CU1487" s="115"/>
      <c r="CV1487" s="115"/>
      <c r="CW1487" s="115"/>
      <c r="CX1487" s="115"/>
      <c r="CY1487" s="115"/>
      <c r="CZ1487" s="115"/>
      <c r="DA1487" s="115"/>
      <c r="DB1487" s="115"/>
      <c r="DC1487" s="115"/>
      <c r="DD1487" s="115"/>
      <c r="DE1487" s="115"/>
      <c r="DF1487" s="115"/>
      <c r="DG1487" s="115"/>
    </row>
    <row r="1488" spans="55:111" ht="9" hidden="1" customHeight="1">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c r="BY1488" s="115"/>
      <c r="BZ1488" s="115"/>
      <c r="CA1488" s="115"/>
      <c r="CB1488" s="115"/>
      <c r="CC1488" s="115"/>
      <c r="CD1488" s="115"/>
      <c r="CE1488" s="115"/>
      <c r="CF1488" s="115"/>
      <c r="CG1488" s="115"/>
      <c r="CH1488" s="115"/>
      <c r="CI1488" s="115"/>
      <c r="CJ1488" s="115"/>
      <c r="CK1488" s="115"/>
      <c r="CL1488" s="115"/>
      <c r="CM1488" s="115"/>
      <c r="CN1488" s="115"/>
      <c r="CO1488" s="115"/>
      <c r="CP1488" s="115"/>
      <c r="CQ1488" s="115"/>
      <c r="CR1488" s="115"/>
      <c r="CS1488" s="115"/>
      <c r="CT1488" s="115"/>
      <c r="CU1488" s="115"/>
      <c r="CV1488" s="115"/>
      <c r="CW1488" s="115"/>
      <c r="CX1488" s="115"/>
      <c r="CY1488" s="115"/>
      <c r="CZ1488" s="115"/>
      <c r="DA1488" s="115"/>
      <c r="DB1488" s="115"/>
      <c r="DC1488" s="115"/>
      <c r="DD1488" s="115"/>
      <c r="DE1488" s="115"/>
      <c r="DF1488" s="115"/>
      <c r="DG1488" s="115"/>
    </row>
    <row r="1489" spans="55:111" ht="9" hidden="1" customHeight="1">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c r="BY1489" s="115"/>
      <c r="BZ1489" s="115"/>
      <c r="CA1489" s="115"/>
      <c r="CB1489" s="115"/>
      <c r="CC1489" s="115"/>
      <c r="CD1489" s="115"/>
      <c r="CE1489" s="115"/>
      <c r="CF1489" s="115"/>
      <c r="CG1489" s="115"/>
      <c r="CH1489" s="115"/>
      <c r="CI1489" s="115"/>
      <c r="CJ1489" s="115"/>
      <c r="CK1489" s="115"/>
      <c r="CL1489" s="115"/>
      <c r="CM1489" s="115"/>
      <c r="CN1489" s="115"/>
      <c r="CO1489" s="115"/>
      <c r="CP1489" s="115"/>
      <c r="CQ1489" s="115"/>
      <c r="CR1489" s="115"/>
      <c r="CS1489" s="115"/>
      <c r="CT1489" s="115"/>
      <c r="CU1489" s="115"/>
      <c r="CV1489" s="115"/>
      <c r="CW1489" s="115"/>
      <c r="CX1489" s="115"/>
      <c r="CY1489" s="115"/>
      <c r="CZ1489" s="115"/>
      <c r="DA1489" s="115"/>
      <c r="DB1489" s="115"/>
      <c r="DC1489" s="115"/>
      <c r="DD1489" s="115"/>
      <c r="DE1489" s="115"/>
      <c r="DF1489" s="115"/>
      <c r="DG1489" s="115"/>
    </row>
    <row r="1490" spans="55:111" ht="9" hidden="1" customHeight="1">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c r="BY1490" s="115"/>
      <c r="BZ1490" s="115"/>
      <c r="CA1490" s="115"/>
      <c r="CB1490" s="115"/>
      <c r="CC1490" s="115"/>
      <c r="CD1490" s="115"/>
      <c r="CE1490" s="115"/>
      <c r="CF1490" s="115"/>
      <c r="CG1490" s="115"/>
      <c r="CH1490" s="115"/>
      <c r="CI1490" s="115"/>
      <c r="CJ1490" s="115"/>
      <c r="CK1490" s="115"/>
      <c r="CL1490" s="115"/>
      <c r="CM1490" s="115"/>
      <c r="CN1490" s="115"/>
      <c r="CO1490" s="115"/>
      <c r="CP1490" s="115"/>
      <c r="CQ1490" s="115"/>
      <c r="CR1490" s="115"/>
      <c r="CS1490" s="115"/>
      <c r="CT1490" s="115"/>
      <c r="CU1490" s="115"/>
      <c r="CV1490" s="115"/>
      <c r="CW1490" s="115"/>
      <c r="CX1490" s="115"/>
      <c r="CY1490" s="115"/>
      <c r="CZ1490" s="115"/>
      <c r="DA1490" s="115"/>
      <c r="DB1490" s="115"/>
      <c r="DC1490" s="115"/>
      <c r="DD1490" s="115"/>
      <c r="DE1490" s="115"/>
      <c r="DF1490" s="115"/>
      <c r="DG1490" s="115"/>
    </row>
    <row r="1491" spans="55:111" ht="9" hidden="1" customHeight="1">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c r="BY1491" s="115"/>
      <c r="BZ1491" s="115"/>
      <c r="CA1491" s="115"/>
      <c r="CB1491" s="115"/>
      <c r="CC1491" s="115"/>
      <c r="CD1491" s="115"/>
      <c r="CE1491" s="115"/>
      <c r="CF1491" s="115"/>
      <c r="CG1491" s="115"/>
      <c r="CH1491" s="115"/>
      <c r="CI1491" s="115"/>
      <c r="CJ1491" s="115"/>
      <c r="CK1491" s="115"/>
      <c r="CL1491" s="115"/>
      <c r="CM1491" s="115"/>
      <c r="CN1491" s="115"/>
      <c r="CO1491" s="115"/>
      <c r="CP1491" s="115"/>
      <c r="CQ1491" s="115"/>
      <c r="CR1491" s="115"/>
      <c r="CS1491" s="115"/>
      <c r="CT1491" s="115"/>
      <c r="CU1491" s="115"/>
      <c r="CV1491" s="115"/>
      <c r="CW1491" s="115"/>
      <c r="CX1491" s="115"/>
      <c r="CY1491" s="115"/>
      <c r="CZ1491" s="115"/>
      <c r="DA1491" s="115"/>
      <c r="DB1491" s="115"/>
      <c r="DC1491" s="115"/>
      <c r="DD1491" s="115"/>
      <c r="DE1491" s="115"/>
      <c r="DF1491" s="115"/>
      <c r="DG1491" s="115"/>
    </row>
    <row r="1492" spans="55:111" ht="9" hidden="1" customHeight="1">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c r="BY1492" s="115"/>
      <c r="BZ1492" s="115"/>
      <c r="CA1492" s="115"/>
      <c r="CB1492" s="115"/>
      <c r="CC1492" s="115"/>
      <c r="CD1492" s="115"/>
      <c r="CE1492" s="115"/>
      <c r="CF1492" s="115"/>
      <c r="CG1492" s="115"/>
      <c r="CH1492" s="115"/>
      <c r="CI1492" s="115"/>
      <c r="CJ1492" s="115"/>
      <c r="CK1492" s="115"/>
      <c r="CL1492" s="115"/>
      <c r="CM1492" s="115"/>
      <c r="CN1492" s="115"/>
      <c r="CO1492" s="115"/>
      <c r="CP1492" s="115"/>
      <c r="CQ1492" s="115"/>
      <c r="CR1492" s="115"/>
      <c r="CS1492" s="115"/>
      <c r="CT1492" s="115"/>
      <c r="CU1492" s="115"/>
      <c r="CV1492" s="115"/>
      <c r="CW1492" s="115"/>
      <c r="CX1492" s="115"/>
      <c r="CY1492" s="115"/>
      <c r="CZ1492" s="115"/>
      <c r="DA1492" s="115"/>
      <c r="DB1492" s="115"/>
      <c r="DC1492" s="115"/>
      <c r="DD1492" s="115"/>
      <c r="DE1492" s="115"/>
      <c r="DF1492" s="115"/>
      <c r="DG1492" s="115"/>
    </row>
    <row r="1493" spans="55:111" ht="9" hidden="1" customHeight="1">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c r="BY1493" s="115"/>
      <c r="BZ1493" s="115"/>
      <c r="CA1493" s="115"/>
      <c r="CB1493" s="115"/>
      <c r="CC1493" s="115"/>
      <c r="CD1493" s="115"/>
      <c r="CE1493" s="115"/>
      <c r="CF1493" s="115"/>
      <c r="CG1493" s="115"/>
      <c r="CH1493" s="115"/>
      <c r="CI1493" s="115"/>
      <c r="CJ1493" s="115"/>
      <c r="CK1493" s="115"/>
      <c r="CL1493" s="115"/>
      <c r="CM1493" s="115"/>
      <c r="CN1493" s="115"/>
      <c r="CO1493" s="115"/>
      <c r="CP1493" s="115"/>
      <c r="CQ1493" s="115"/>
      <c r="CR1493" s="115"/>
      <c r="CS1493" s="115"/>
      <c r="CT1493" s="115"/>
      <c r="CU1493" s="115"/>
      <c r="CV1493" s="115"/>
      <c r="CW1493" s="115"/>
      <c r="CX1493" s="115"/>
      <c r="CY1493" s="115"/>
      <c r="CZ1493" s="115"/>
      <c r="DA1493" s="115"/>
      <c r="DB1493" s="115"/>
      <c r="DC1493" s="115"/>
      <c r="DD1493" s="115"/>
      <c r="DE1493" s="115"/>
      <c r="DF1493" s="115"/>
      <c r="DG1493" s="115"/>
    </row>
    <row r="1494" spans="55:111" ht="9" hidden="1" customHeight="1">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c r="BY1494" s="115"/>
      <c r="BZ1494" s="115"/>
      <c r="CA1494" s="115"/>
      <c r="CB1494" s="115"/>
      <c r="CC1494" s="115"/>
      <c r="CD1494" s="115"/>
      <c r="CE1494" s="115"/>
      <c r="CF1494" s="115"/>
      <c r="CG1494" s="115"/>
      <c r="CH1494" s="115"/>
      <c r="CI1494" s="115"/>
      <c r="CJ1494" s="115"/>
      <c r="CK1494" s="115"/>
      <c r="CL1494" s="115"/>
      <c r="CM1494" s="115"/>
      <c r="CN1494" s="115"/>
      <c r="CO1494" s="115"/>
      <c r="CP1494" s="115"/>
      <c r="CQ1494" s="115"/>
      <c r="CR1494" s="115"/>
      <c r="CS1494" s="115"/>
      <c r="CT1494" s="115"/>
      <c r="CU1494" s="115"/>
      <c r="CV1494" s="115"/>
      <c r="CW1494" s="115"/>
      <c r="CX1494" s="115"/>
      <c r="CY1494" s="115"/>
      <c r="CZ1494" s="115"/>
      <c r="DA1494" s="115"/>
      <c r="DB1494" s="115"/>
      <c r="DC1494" s="115"/>
      <c r="DD1494" s="115"/>
      <c r="DE1494" s="115"/>
      <c r="DF1494" s="115"/>
      <c r="DG1494" s="115"/>
    </row>
    <row r="1495" spans="55:111" ht="9" hidden="1" customHeight="1">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c r="BY1495" s="115"/>
      <c r="BZ1495" s="115"/>
      <c r="CA1495" s="115"/>
      <c r="CB1495" s="115"/>
      <c r="CC1495" s="115"/>
      <c r="CD1495" s="115"/>
      <c r="CE1495" s="115"/>
      <c r="CF1495" s="115"/>
      <c r="CG1495" s="115"/>
      <c r="CH1495" s="115"/>
      <c r="CI1495" s="115"/>
      <c r="CJ1495" s="115"/>
      <c r="CK1495" s="115"/>
      <c r="CL1495" s="115"/>
      <c r="CM1495" s="115"/>
      <c r="CN1495" s="115"/>
      <c r="CO1495" s="115"/>
      <c r="CP1495" s="115"/>
      <c r="CQ1495" s="115"/>
      <c r="CR1495" s="115"/>
      <c r="CS1495" s="115"/>
      <c r="CT1495" s="115"/>
      <c r="CU1495" s="115"/>
      <c r="CV1495" s="115"/>
      <c r="CW1495" s="115"/>
      <c r="CX1495" s="115"/>
      <c r="CY1495" s="115"/>
      <c r="CZ1495" s="115"/>
      <c r="DA1495" s="115"/>
      <c r="DB1495" s="115"/>
      <c r="DC1495" s="115"/>
      <c r="DD1495" s="115"/>
      <c r="DE1495" s="115"/>
      <c r="DF1495" s="115"/>
      <c r="DG1495" s="115"/>
    </row>
    <row r="1496" spans="55:111" ht="9" hidden="1" customHeight="1">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c r="BY1496" s="115"/>
      <c r="BZ1496" s="115"/>
      <c r="CA1496" s="115"/>
      <c r="CB1496" s="115"/>
      <c r="CC1496" s="115"/>
      <c r="CD1496" s="115"/>
      <c r="CE1496" s="115"/>
      <c r="CF1496" s="115"/>
      <c r="CG1496" s="115"/>
      <c r="CH1496" s="115"/>
      <c r="CI1496" s="115"/>
      <c r="CJ1496" s="115"/>
      <c r="CK1496" s="115"/>
      <c r="CL1496" s="115"/>
      <c r="CM1496" s="115"/>
      <c r="CN1496" s="115"/>
      <c r="CO1496" s="115"/>
      <c r="CP1496" s="115"/>
      <c r="CQ1496" s="115"/>
      <c r="CR1496" s="115"/>
      <c r="CS1496" s="115"/>
      <c r="CT1496" s="115"/>
      <c r="CU1496" s="115"/>
      <c r="CV1496" s="115"/>
      <c r="CW1496" s="115"/>
      <c r="CX1496" s="115"/>
      <c r="CY1496" s="115"/>
      <c r="CZ1496" s="115"/>
      <c r="DA1496" s="115"/>
      <c r="DB1496" s="115"/>
      <c r="DC1496" s="115"/>
      <c r="DD1496" s="115"/>
      <c r="DE1496" s="115"/>
      <c r="DF1496" s="115"/>
      <c r="DG1496" s="115"/>
    </row>
    <row r="1497" spans="55:111" ht="9" hidden="1" customHeight="1">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c r="BY1497" s="115"/>
      <c r="BZ1497" s="115"/>
      <c r="CA1497" s="115"/>
      <c r="CB1497" s="115"/>
      <c r="CC1497" s="115"/>
      <c r="CD1497" s="115"/>
      <c r="CE1497" s="115"/>
      <c r="CF1497" s="115"/>
      <c r="CG1497" s="115"/>
      <c r="CH1497" s="115"/>
      <c r="CI1497" s="115"/>
      <c r="CJ1497" s="115"/>
      <c r="CK1497" s="115"/>
      <c r="CL1497" s="115"/>
      <c r="CM1497" s="115"/>
      <c r="CN1497" s="115"/>
      <c r="CO1497" s="115"/>
      <c r="CP1497" s="115"/>
      <c r="CQ1497" s="115"/>
      <c r="CR1497" s="115"/>
      <c r="CS1497" s="115"/>
      <c r="CT1497" s="115"/>
      <c r="CU1497" s="115"/>
      <c r="CV1497" s="115"/>
      <c r="CW1497" s="115"/>
      <c r="CX1497" s="115"/>
      <c r="CY1497" s="115"/>
      <c r="CZ1497" s="115"/>
      <c r="DA1497" s="115"/>
      <c r="DB1497" s="115"/>
      <c r="DC1497" s="115"/>
      <c r="DD1497" s="115"/>
      <c r="DE1497" s="115"/>
      <c r="DF1497" s="115"/>
      <c r="DG1497" s="115"/>
    </row>
    <row r="1498" spans="55:111" ht="9" hidden="1" customHeight="1">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c r="BY1498" s="115"/>
      <c r="BZ1498" s="115"/>
      <c r="CA1498" s="115"/>
      <c r="CB1498" s="115"/>
      <c r="CC1498" s="115"/>
      <c r="CD1498" s="115"/>
      <c r="CE1498" s="115"/>
      <c r="CF1498" s="115"/>
      <c r="CG1498" s="115"/>
      <c r="CH1498" s="115"/>
      <c r="CI1498" s="115"/>
      <c r="CJ1498" s="115"/>
      <c r="CK1498" s="115"/>
      <c r="CL1498" s="115"/>
      <c r="CM1498" s="115"/>
      <c r="CN1498" s="115"/>
      <c r="CO1498" s="115"/>
      <c r="CP1498" s="115"/>
      <c r="CQ1498" s="115"/>
      <c r="CR1498" s="115"/>
      <c r="CS1498" s="115"/>
      <c r="CT1498" s="115"/>
      <c r="CU1498" s="115"/>
      <c r="CV1498" s="115"/>
      <c r="CW1498" s="115"/>
      <c r="CX1498" s="115"/>
      <c r="CY1498" s="115"/>
      <c r="CZ1498" s="115"/>
      <c r="DA1498" s="115"/>
      <c r="DB1498" s="115"/>
      <c r="DC1498" s="115"/>
      <c r="DD1498" s="115"/>
      <c r="DE1498" s="115"/>
      <c r="DF1498" s="115"/>
      <c r="DG1498" s="115"/>
    </row>
    <row r="1499" spans="55:111" ht="9" hidden="1" customHeight="1">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c r="BY1499" s="115"/>
      <c r="BZ1499" s="115"/>
      <c r="CA1499" s="115"/>
      <c r="CB1499" s="115"/>
      <c r="CC1499" s="115"/>
      <c r="CD1499" s="115"/>
      <c r="CE1499" s="115"/>
      <c r="CF1499" s="115"/>
      <c r="CG1499" s="115"/>
      <c r="CH1499" s="115"/>
      <c r="CI1499" s="115"/>
      <c r="CJ1499" s="115"/>
      <c r="CK1499" s="115"/>
      <c r="CL1499" s="115"/>
      <c r="CM1499" s="115"/>
      <c r="CN1499" s="115"/>
      <c r="CO1499" s="115"/>
      <c r="CP1499" s="115"/>
      <c r="CQ1499" s="115"/>
      <c r="CR1499" s="115"/>
      <c r="CS1499" s="115"/>
      <c r="CT1499" s="115"/>
      <c r="CU1499" s="115"/>
      <c r="CV1499" s="115"/>
      <c r="CW1499" s="115"/>
      <c r="CX1499" s="115"/>
      <c r="CY1499" s="115"/>
      <c r="CZ1499" s="115"/>
      <c r="DA1499" s="115"/>
      <c r="DB1499" s="115"/>
      <c r="DC1499" s="115"/>
      <c r="DD1499" s="115"/>
      <c r="DE1499" s="115"/>
      <c r="DF1499" s="115"/>
      <c r="DG1499" s="115"/>
    </row>
    <row r="1500" spans="55:111" ht="9" hidden="1" customHeight="1">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c r="BY1500" s="115"/>
      <c r="BZ1500" s="115"/>
      <c r="CA1500" s="115"/>
      <c r="CB1500" s="115"/>
      <c r="CC1500" s="115"/>
      <c r="CD1500" s="115"/>
      <c r="CE1500" s="115"/>
      <c r="CF1500" s="115"/>
      <c r="CG1500" s="115"/>
      <c r="CH1500" s="115"/>
      <c r="CI1500" s="115"/>
      <c r="CJ1500" s="115"/>
      <c r="CK1500" s="115"/>
      <c r="CL1500" s="115"/>
      <c r="CM1500" s="115"/>
      <c r="CN1500" s="115"/>
      <c r="CO1500" s="115"/>
      <c r="CP1500" s="115"/>
      <c r="CQ1500" s="115"/>
      <c r="CR1500" s="115"/>
      <c r="CS1500" s="115"/>
      <c r="CT1500" s="115"/>
      <c r="CU1500" s="115"/>
      <c r="CV1500" s="115"/>
      <c r="CW1500" s="115"/>
      <c r="CX1500" s="115"/>
      <c r="CY1500" s="115"/>
      <c r="CZ1500" s="115"/>
      <c r="DA1500" s="115"/>
      <c r="DB1500" s="115"/>
      <c r="DC1500" s="115"/>
      <c r="DD1500" s="115"/>
      <c r="DE1500" s="115"/>
      <c r="DF1500" s="115"/>
      <c r="DG1500" s="115"/>
    </row>
    <row r="1501" spans="55:111" ht="9" hidden="1" customHeight="1">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c r="BY1501" s="115"/>
      <c r="BZ1501" s="115"/>
      <c r="CA1501" s="115"/>
      <c r="CB1501" s="115"/>
      <c r="CC1501" s="115"/>
      <c r="CD1501" s="115"/>
      <c r="CE1501" s="115"/>
      <c r="CF1501" s="115"/>
      <c r="CG1501" s="115"/>
      <c r="CH1501" s="115"/>
      <c r="CI1501" s="115"/>
      <c r="CJ1501" s="115"/>
      <c r="CK1501" s="115"/>
      <c r="CL1501" s="115"/>
      <c r="CM1501" s="115"/>
      <c r="CN1501" s="115"/>
      <c r="CO1501" s="115"/>
      <c r="CP1501" s="115"/>
      <c r="CQ1501" s="115"/>
      <c r="CR1501" s="115"/>
      <c r="CS1501" s="115"/>
      <c r="CT1501" s="115"/>
      <c r="CU1501" s="115"/>
      <c r="CV1501" s="115"/>
      <c r="CW1501" s="115"/>
      <c r="CX1501" s="115"/>
      <c r="CY1501" s="115"/>
      <c r="CZ1501" s="115"/>
      <c r="DA1501" s="115"/>
      <c r="DB1501" s="115"/>
      <c r="DC1501" s="115"/>
      <c r="DD1501" s="115"/>
      <c r="DE1501" s="115"/>
      <c r="DF1501" s="115"/>
      <c r="DG1501" s="115"/>
    </row>
    <row r="1502" spans="55:111" ht="9" hidden="1" customHeight="1">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c r="BY1502" s="115"/>
      <c r="BZ1502" s="115"/>
      <c r="CA1502" s="115"/>
      <c r="CB1502" s="115"/>
      <c r="CC1502" s="115"/>
      <c r="CD1502" s="115"/>
      <c r="CE1502" s="115"/>
      <c r="CF1502" s="115"/>
      <c r="CG1502" s="115"/>
      <c r="CH1502" s="115"/>
      <c r="CI1502" s="115"/>
      <c r="CJ1502" s="115"/>
      <c r="CK1502" s="115"/>
      <c r="CL1502" s="115"/>
      <c r="CM1502" s="115"/>
      <c r="CN1502" s="115"/>
      <c r="CO1502" s="115"/>
      <c r="CP1502" s="115"/>
      <c r="CQ1502" s="115"/>
      <c r="CR1502" s="115"/>
      <c r="CS1502" s="115"/>
      <c r="CT1502" s="115"/>
      <c r="CU1502" s="115"/>
      <c r="CV1502" s="115"/>
      <c r="CW1502" s="115"/>
      <c r="CX1502" s="115"/>
      <c r="CY1502" s="115"/>
      <c r="CZ1502" s="115"/>
      <c r="DA1502" s="115"/>
      <c r="DB1502" s="115"/>
      <c r="DC1502" s="115"/>
      <c r="DD1502" s="115"/>
      <c r="DE1502" s="115"/>
      <c r="DF1502" s="115"/>
      <c r="DG1502" s="115"/>
    </row>
    <row r="1503" spans="55:111" ht="9" hidden="1" customHeight="1">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c r="BY1503" s="115"/>
      <c r="BZ1503" s="115"/>
      <c r="CA1503" s="115"/>
      <c r="CB1503" s="115"/>
      <c r="CC1503" s="115"/>
      <c r="CD1503" s="115"/>
      <c r="CE1503" s="115"/>
      <c r="CF1503" s="115"/>
      <c r="CG1503" s="115"/>
      <c r="CH1503" s="115"/>
      <c r="CI1503" s="115"/>
      <c r="CJ1503" s="115"/>
      <c r="CK1503" s="115"/>
      <c r="CL1503" s="115"/>
      <c r="CM1503" s="115"/>
      <c r="CN1503" s="115"/>
      <c r="CO1503" s="115"/>
      <c r="CP1503" s="115"/>
      <c r="CQ1503" s="115"/>
      <c r="CR1503" s="115"/>
      <c r="CS1503" s="115"/>
      <c r="CT1503" s="115"/>
      <c r="CU1503" s="115"/>
      <c r="CV1503" s="115"/>
      <c r="CW1503" s="115"/>
      <c r="CX1503" s="115"/>
      <c r="CY1503" s="115"/>
      <c r="CZ1503" s="115"/>
      <c r="DA1503" s="115"/>
      <c r="DB1503" s="115"/>
      <c r="DC1503" s="115"/>
      <c r="DD1503" s="115"/>
      <c r="DE1503" s="115"/>
      <c r="DF1503" s="115"/>
      <c r="DG1503" s="115"/>
    </row>
    <row r="1504" spans="55:111" ht="9" hidden="1" customHeight="1">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c r="BY1504" s="115"/>
      <c r="BZ1504" s="115"/>
      <c r="CA1504" s="115"/>
      <c r="CB1504" s="115"/>
      <c r="CC1504" s="115"/>
      <c r="CD1504" s="115"/>
      <c r="CE1504" s="115"/>
      <c r="CF1504" s="115"/>
      <c r="CG1504" s="115"/>
      <c r="CH1504" s="115"/>
      <c r="CI1504" s="115"/>
      <c r="CJ1504" s="115"/>
      <c r="CK1504" s="115"/>
      <c r="CL1504" s="115"/>
      <c r="CM1504" s="115"/>
      <c r="CN1504" s="115"/>
      <c r="CO1504" s="115"/>
      <c r="CP1504" s="115"/>
      <c r="CQ1504" s="115"/>
      <c r="CR1504" s="115"/>
      <c r="CS1504" s="115"/>
      <c r="CT1504" s="115"/>
      <c r="CU1504" s="115"/>
      <c r="CV1504" s="115"/>
      <c r="CW1504" s="115"/>
      <c r="CX1504" s="115"/>
      <c r="CY1504" s="115"/>
      <c r="CZ1504" s="115"/>
      <c r="DA1504" s="115"/>
      <c r="DB1504" s="115"/>
      <c r="DC1504" s="115"/>
      <c r="DD1504" s="115"/>
      <c r="DE1504" s="115"/>
      <c r="DF1504" s="115"/>
      <c r="DG1504" s="115"/>
    </row>
    <row r="1505" spans="55:111" ht="9" hidden="1" customHeight="1">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c r="BY1505" s="115"/>
      <c r="BZ1505" s="115"/>
      <c r="CA1505" s="115"/>
      <c r="CB1505" s="115"/>
      <c r="CC1505" s="115"/>
      <c r="CD1505" s="115"/>
      <c r="CE1505" s="115"/>
      <c r="CF1505" s="115"/>
      <c r="CG1505" s="115"/>
      <c r="CH1505" s="115"/>
      <c r="CI1505" s="115"/>
      <c r="CJ1505" s="115"/>
      <c r="CK1505" s="115"/>
      <c r="CL1505" s="115"/>
      <c r="CM1505" s="115"/>
      <c r="CN1505" s="115"/>
      <c r="CO1505" s="115"/>
      <c r="CP1505" s="115"/>
      <c r="CQ1505" s="115"/>
      <c r="CR1505" s="115"/>
      <c r="CS1505" s="115"/>
      <c r="CT1505" s="115"/>
      <c r="CU1505" s="115"/>
      <c r="CV1505" s="115"/>
      <c r="CW1505" s="115"/>
      <c r="CX1505" s="115"/>
      <c r="CY1505" s="115"/>
      <c r="CZ1505" s="115"/>
      <c r="DA1505" s="115"/>
      <c r="DB1505" s="115"/>
      <c r="DC1505" s="115"/>
      <c r="DD1505" s="115"/>
      <c r="DE1505" s="115"/>
      <c r="DF1505" s="115"/>
      <c r="DG1505" s="115"/>
    </row>
    <row r="1506" spans="55:111" ht="9" hidden="1" customHeight="1">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c r="BY1506" s="115"/>
      <c r="BZ1506" s="115"/>
      <c r="CA1506" s="115"/>
      <c r="CB1506" s="115"/>
      <c r="CC1506" s="115"/>
      <c r="CD1506" s="115"/>
      <c r="CE1506" s="115"/>
      <c r="CF1506" s="115"/>
      <c r="CG1506" s="115"/>
      <c r="CH1506" s="115"/>
      <c r="CI1506" s="115"/>
      <c r="CJ1506" s="115"/>
      <c r="CK1506" s="115"/>
      <c r="CL1506" s="115"/>
      <c r="CM1506" s="115"/>
      <c r="CN1506" s="115"/>
      <c r="CO1506" s="115"/>
      <c r="CP1506" s="115"/>
      <c r="CQ1506" s="115"/>
      <c r="CR1506" s="115"/>
      <c r="CS1506" s="115"/>
      <c r="CT1506" s="115"/>
      <c r="CU1506" s="115"/>
      <c r="CV1506" s="115"/>
      <c r="CW1506" s="115"/>
      <c r="CX1506" s="115"/>
      <c r="CY1506" s="115"/>
      <c r="CZ1506" s="115"/>
      <c r="DA1506" s="115"/>
      <c r="DB1506" s="115"/>
      <c r="DC1506" s="115"/>
      <c r="DD1506" s="115"/>
      <c r="DE1506" s="115"/>
      <c r="DF1506" s="115"/>
      <c r="DG1506" s="115"/>
    </row>
    <row r="1507" spans="55:111" ht="9" hidden="1" customHeight="1">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c r="BY1507" s="115"/>
      <c r="BZ1507" s="115"/>
      <c r="CA1507" s="115"/>
      <c r="CB1507" s="115"/>
      <c r="CC1507" s="115"/>
      <c r="CD1507" s="115"/>
      <c r="CE1507" s="115"/>
      <c r="CF1507" s="115"/>
      <c r="CG1507" s="115"/>
      <c r="CH1507" s="115"/>
      <c r="CI1507" s="115"/>
      <c r="CJ1507" s="115"/>
      <c r="CK1507" s="115"/>
      <c r="CL1507" s="115"/>
      <c r="CM1507" s="115"/>
      <c r="CN1507" s="115"/>
      <c r="CO1507" s="115"/>
      <c r="CP1507" s="115"/>
      <c r="CQ1507" s="115"/>
      <c r="CR1507" s="115"/>
      <c r="CS1507" s="115"/>
      <c r="CT1507" s="115"/>
      <c r="CU1507" s="115"/>
      <c r="CV1507" s="115"/>
      <c r="CW1507" s="115"/>
      <c r="CX1507" s="115"/>
      <c r="CY1507" s="115"/>
      <c r="CZ1507" s="115"/>
      <c r="DA1507" s="115"/>
      <c r="DB1507" s="115"/>
      <c r="DC1507" s="115"/>
      <c r="DD1507" s="115"/>
      <c r="DE1507" s="115"/>
      <c r="DF1507" s="115"/>
      <c r="DG1507" s="115"/>
    </row>
    <row r="1508" spans="55:111" ht="9" hidden="1" customHeight="1">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c r="BY1508" s="115"/>
      <c r="BZ1508" s="115"/>
      <c r="CA1508" s="115"/>
      <c r="CB1508" s="115"/>
      <c r="CC1508" s="115"/>
      <c r="CD1508" s="115"/>
      <c r="CE1508" s="115"/>
      <c r="CF1508" s="115"/>
      <c r="CG1508" s="115"/>
      <c r="CH1508" s="115"/>
      <c r="CI1508" s="115"/>
      <c r="CJ1508" s="115"/>
      <c r="CK1508" s="115"/>
      <c r="CL1508" s="115"/>
      <c r="CM1508" s="115"/>
      <c r="CN1508" s="115"/>
      <c r="CO1508" s="115"/>
      <c r="CP1508" s="115"/>
      <c r="CQ1508" s="115"/>
      <c r="CR1508" s="115"/>
      <c r="CS1508" s="115"/>
      <c r="CT1508" s="115"/>
      <c r="CU1508" s="115"/>
      <c r="CV1508" s="115"/>
      <c r="CW1508" s="115"/>
      <c r="CX1508" s="115"/>
      <c r="CY1508" s="115"/>
      <c r="CZ1508" s="115"/>
      <c r="DA1508" s="115"/>
      <c r="DB1508" s="115"/>
      <c r="DC1508" s="115"/>
      <c r="DD1508" s="115"/>
      <c r="DE1508" s="115"/>
      <c r="DF1508" s="115"/>
      <c r="DG1508" s="115"/>
    </row>
    <row r="1509" spans="55:111" ht="9" hidden="1" customHeight="1">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c r="BY1509" s="115"/>
      <c r="BZ1509" s="115"/>
      <c r="CA1509" s="115"/>
      <c r="CB1509" s="115"/>
      <c r="CC1509" s="115"/>
      <c r="CD1509" s="115"/>
      <c r="CE1509" s="115"/>
      <c r="CF1509" s="115"/>
      <c r="CG1509" s="115"/>
      <c r="CH1509" s="115"/>
      <c r="CI1509" s="115"/>
      <c r="CJ1509" s="115"/>
      <c r="CK1509" s="115"/>
      <c r="CL1509" s="115"/>
      <c r="CM1509" s="115"/>
      <c r="CN1509" s="115"/>
      <c r="CO1509" s="115"/>
      <c r="CP1509" s="115"/>
      <c r="CQ1509" s="115"/>
      <c r="CR1509" s="115"/>
      <c r="CS1509" s="115"/>
      <c r="CT1509" s="115"/>
      <c r="CU1509" s="115"/>
      <c r="CV1509" s="115"/>
      <c r="CW1509" s="115"/>
      <c r="CX1509" s="115"/>
      <c r="CY1509" s="115"/>
      <c r="CZ1509" s="115"/>
      <c r="DA1509" s="115"/>
      <c r="DB1509" s="115"/>
      <c r="DC1509" s="115"/>
      <c r="DD1509" s="115"/>
      <c r="DE1509" s="115"/>
      <c r="DF1509" s="115"/>
      <c r="DG1509" s="115"/>
    </row>
    <row r="1510" spans="55:111" ht="9" hidden="1" customHeight="1">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c r="BY1510" s="115"/>
      <c r="BZ1510" s="115"/>
      <c r="CA1510" s="115"/>
      <c r="CB1510" s="115"/>
      <c r="CC1510" s="115"/>
      <c r="CD1510" s="115"/>
      <c r="CE1510" s="115"/>
      <c r="CF1510" s="115"/>
      <c r="CG1510" s="115"/>
      <c r="CH1510" s="115"/>
      <c r="CI1510" s="115"/>
      <c r="CJ1510" s="115"/>
      <c r="CK1510" s="115"/>
      <c r="CL1510" s="115"/>
      <c r="CM1510" s="115"/>
      <c r="CN1510" s="115"/>
      <c r="CO1510" s="115"/>
      <c r="CP1510" s="115"/>
      <c r="CQ1510" s="115"/>
      <c r="CR1510" s="115"/>
      <c r="CS1510" s="115"/>
      <c r="CT1510" s="115"/>
      <c r="CU1510" s="115"/>
      <c r="CV1510" s="115"/>
      <c r="CW1510" s="115"/>
      <c r="CX1510" s="115"/>
      <c r="CY1510" s="115"/>
      <c r="CZ1510" s="115"/>
      <c r="DA1510" s="115"/>
      <c r="DB1510" s="115"/>
      <c r="DC1510" s="115"/>
      <c r="DD1510" s="115"/>
      <c r="DE1510" s="115"/>
      <c r="DF1510" s="115"/>
      <c r="DG1510" s="115"/>
    </row>
    <row r="1511" spans="55:111" ht="9" hidden="1" customHeight="1">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c r="BY1511" s="115"/>
      <c r="BZ1511" s="115"/>
      <c r="CA1511" s="115"/>
      <c r="CB1511" s="115"/>
      <c r="CC1511" s="115"/>
      <c r="CD1511" s="115"/>
      <c r="CE1511" s="115"/>
      <c r="CF1511" s="115"/>
      <c r="CG1511" s="115"/>
      <c r="CH1511" s="115"/>
      <c r="CI1511" s="115"/>
      <c r="CJ1511" s="115"/>
      <c r="CK1511" s="115"/>
      <c r="CL1511" s="115"/>
      <c r="CM1511" s="115"/>
      <c r="CN1511" s="115"/>
      <c r="CO1511" s="115"/>
      <c r="CP1511" s="115"/>
      <c r="CQ1511" s="115"/>
      <c r="CR1511" s="115"/>
      <c r="CS1511" s="115"/>
      <c r="CT1511" s="115"/>
      <c r="CU1511" s="115"/>
      <c r="CV1511" s="115"/>
      <c r="CW1511" s="115"/>
      <c r="CX1511" s="115"/>
      <c r="CY1511" s="115"/>
      <c r="CZ1511" s="115"/>
      <c r="DA1511" s="115"/>
      <c r="DB1511" s="115"/>
      <c r="DC1511" s="115"/>
      <c r="DD1511" s="115"/>
      <c r="DE1511" s="115"/>
      <c r="DF1511" s="115"/>
      <c r="DG1511" s="115"/>
    </row>
    <row r="1512" spans="55:111" ht="9" hidden="1" customHeight="1">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c r="BY1512" s="115"/>
      <c r="BZ1512" s="115"/>
      <c r="CA1512" s="115"/>
      <c r="CB1512" s="115"/>
      <c r="CC1512" s="115"/>
      <c r="CD1512" s="115"/>
      <c r="CE1512" s="115"/>
      <c r="CF1512" s="115"/>
      <c r="CG1512" s="115"/>
      <c r="CH1512" s="115"/>
      <c r="CI1512" s="115"/>
      <c r="CJ1512" s="115"/>
      <c r="CK1512" s="115"/>
      <c r="CL1512" s="115"/>
      <c r="CM1512" s="115"/>
      <c r="CN1512" s="115"/>
      <c r="CO1512" s="115"/>
      <c r="CP1512" s="115"/>
      <c r="CQ1512" s="115"/>
      <c r="CR1512" s="115"/>
      <c r="CS1512" s="115"/>
      <c r="CT1512" s="115"/>
      <c r="CU1512" s="115"/>
      <c r="CV1512" s="115"/>
      <c r="CW1512" s="115"/>
      <c r="CX1512" s="115"/>
      <c r="CY1512" s="115"/>
      <c r="CZ1512" s="115"/>
      <c r="DA1512" s="115"/>
      <c r="DB1512" s="115"/>
      <c r="DC1512" s="115"/>
      <c r="DD1512" s="115"/>
      <c r="DE1512" s="115"/>
      <c r="DF1512" s="115"/>
      <c r="DG1512" s="115"/>
    </row>
    <row r="1513" spans="55:111" ht="9" hidden="1" customHeight="1">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c r="BY1513" s="115"/>
      <c r="BZ1513" s="115"/>
      <c r="CA1513" s="115"/>
      <c r="CB1513" s="115"/>
      <c r="CC1513" s="115"/>
      <c r="CD1513" s="115"/>
      <c r="CE1513" s="115"/>
      <c r="CF1513" s="115"/>
      <c r="CG1513" s="115"/>
      <c r="CH1513" s="115"/>
      <c r="CI1513" s="115"/>
      <c r="CJ1513" s="115"/>
      <c r="CK1513" s="115"/>
      <c r="CL1513" s="115"/>
      <c r="CM1513" s="115"/>
      <c r="CN1513" s="115"/>
      <c r="CO1513" s="115"/>
      <c r="CP1513" s="115"/>
      <c r="CQ1513" s="115"/>
      <c r="CR1513" s="115"/>
      <c r="CS1513" s="115"/>
      <c r="CT1513" s="115"/>
      <c r="CU1513" s="115"/>
      <c r="CV1513" s="115"/>
      <c r="CW1513" s="115"/>
      <c r="CX1513" s="115"/>
      <c r="CY1513" s="115"/>
      <c r="CZ1513" s="115"/>
      <c r="DA1513" s="115"/>
      <c r="DB1513" s="115"/>
      <c r="DC1513" s="115"/>
      <c r="DD1513" s="115"/>
      <c r="DE1513" s="115"/>
      <c r="DF1513" s="115"/>
      <c r="DG1513" s="115"/>
    </row>
    <row r="1514" spans="55:111" ht="9" hidden="1" customHeight="1">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c r="BY1514" s="115"/>
      <c r="BZ1514" s="115"/>
      <c r="CA1514" s="115"/>
      <c r="CB1514" s="115"/>
      <c r="CC1514" s="115"/>
      <c r="CD1514" s="115"/>
      <c r="CE1514" s="115"/>
      <c r="CF1514" s="115"/>
      <c r="CG1514" s="115"/>
      <c r="CH1514" s="115"/>
      <c r="CI1514" s="115"/>
      <c r="CJ1514" s="115"/>
      <c r="CK1514" s="115"/>
      <c r="CL1514" s="115"/>
      <c r="CM1514" s="115"/>
      <c r="CN1514" s="115"/>
      <c r="CO1514" s="115"/>
      <c r="CP1514" s="115"/>
      <c r="CQ1514" s="115"/>
      <c r="CR1514" s="115"/>
      <c r="CS1514" s="115"/>
      <c r="CT1514" s="115"/>
      <c r="CU1514" s="115"/>
      <c r="CV1514" s="115"/>
      <c r="CW1514" s="115"/>
      <c r="CX1514" s="115"/>
      <c r="CY1514" s="115"/>
      <c r="CZ1514" s="115"/>
      <c r="DA1514" s="115"/>
      <c r="DB1514" s="115"/>
      <c r="DC1514" s="115"/>
      <c r="DD1514" s="115"/>
      <c r="DE1514" s="115"/>
      <c r="DF1514" s="115"/>
      <c r="DG1514" s="115"/>
    </row>
    <row r="1515" spans="55:111" ht="9" hidden="1" customHeight="1">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c r="BY1515" s="115"/>
      <c r="BZ1515" s="115"/>
      <c r="CA1515" s="115"/>
      <c r="CB1515" s="115"/>
      <c r="CC1515" s="115"/>
      <c r="CD1515" s="115"/>
      <c r="CE1515" s="115"/>
      <c r="CF1515" s="115"/>
      <c r="CG1515" s="115"/>
      <c r="CH1515" s="115"/>
      <c r="CI1515" s="115"/>
      <c r="CJ1515" s="115"/>
      <c r="CK1515" s="115"/>
      <c r="CL1515" s="115"/>
      <c r="CM1515" s="115"/>
      <c r="CN1515" s="115"/>
      <c r="CO1515" s="115"/>
      <c r="CP1515" s="115"/>
      <c r="CQ1515" s="115"/>
      <c r="CR1515" s="115"/>
      <c r="CS1515" s="115"/>
      <c r="CT1515" s="115"/>
      <c r="CU1515" s="115"/>
      <c r="CV1515" s="115"/>
      <c r="CW1515" s="115"/>
      <c r="CX1515" s="115"/>
      <c r="CY1515" s="115"/>
      <c r="CZ1515" s="115"/>
      <c r="DA1515" s="115"/>
      <c r="DB1515" s="115"/>
      <c r="DC1515" s="115"/>
      <c r="DD1515" s="115"/>
      <c r="DE1515" s="115"/>
      <c r="DF1515" s="115"/>
      <c r="DG1515" s="115"/>
    </row>
    <row r="1516" spans="55:111" ht="9" hidden="1" customHeight="1">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c r="BY1516" s="115"/>
      <c r="BZ1516" s="115"/>
      <c r="CA1516" s="115"/>
      <c r="CB1516" s="115"/>
      <c r="CC1516" s="115"/>
      <c r="CD1516" s="115"/>
      <c r="CE1516" s="115"/>
      <c r="CF1516" s="115"/>
      <c r="CG1516" s="115"/>
      <c r="CH1516" s="115"/>
      <c r="CI1516" s="115"/>
      <c r="CJ1516" s="115"/>
      <c r="CK1516" s="115"/>
      <c r="CL1516" s="115"/>
      <c r="CM1516" s="115"/>
      <c r="CN1516" s="115"/>
      <c r="CO1516" s="115"/>
      <c r="CP1516" s="115"/>
      <c r="CQ1516" s="115"/>
      <c r="CR1516" s="115"/>
      <c r="CS1516" s="115"/>
      <c r="CT1516" s="115"/>
      <c r="CU1516" s="115"/>
      <c r="CV1516" s="115"/>
      <c r="CW1516" s="115"/>
      <c r="CX1516" s="115"/>
      <c r="CY1516" s="115"/>
      <c r="CZ1516" s="115"/>
      <c r="DA1516" s="115"/>
      <c r="DB1516" s="115"/>
      <c r="DC1516" s="115"/>
      <c r="DD1516" s="115"/>
      <c r="DE1516" s="115"/>
      <c r="DF1516" s="115"/>
      <c r="DG1516" s="115"/>
    </row>
    <row r="1517" spans="55:111" ht="9" hidden="1" customHeight="1">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c r="BY1517" s="115"/>
      <c r="BZ1517" s="115"/>
      <c r="CA1517" s="115"/>
      <c r="CB1517" s="115"/>
      <c r="CC1517" s="115"/>
      <c r="CD1517" s="115"/>
      <c r="CE1517" s="115"/>
      <c r="CF1517" s="115"/>
      <c r="CG1517" s="115"/>
      <c r="CH1517" s="115"/>
      <c r="CI1517" s="115"/>
      <c r="CJ1517" s="115"/>
      <c r="CK1517" s="115"/>
      <c r="CL1517" s="115"/>
      <c r="CM1517" s="115"/>
      <c r="CN1517" s="115"/>
      <c r="CO1517" s="115"/>
      <c r="CP1517" s="115"/>
      <c r="CQ1517" s="115"/>
      <c r="CR1517" s="115"/>
      <c r="CS1517" s="115"/>
      <c r="CT1517" s="115"/>
      <c r="CU1517" s="115"/>
      <c r="CV1517" s="115"/>
      <c r="CW1517" s="115"/>
      <c r="CX1517" s="115"/>
      <c r="CY1517" s="115"/>
      <c r="CZ1517" s="115"/>
      <c r="DA1517" s="115"/>
      <c r="DB1517" s="115"/>
      <c r="DC1517" s="115"/>
      <c r="DD1517" s="115"/>
      <c r="DE1517" s="115"/>
      <c r="DF1517" s="115"/>
      <c r="DG1517" s="115"/>
    </row>
    <row r="1518" spans="55:111" ht="9" hidden="1" customHeight="1">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c r="BY1518" s="115"/>
      <c r="BZ1518" s="115"/>
      <c r="CA1518" s="115"/>
      <c r="CB1518" s="115"/>
      <c r="CC1518" s="115"/>
      <c r="CD1518" s="115"/>
      <c r="CE1518" s="115"/>
      <c r="CF1518" s="115"/>
      <c r="CG1518" s="115"/>
      <c r="CH1518" s="115"/>
      <c r="CI1518" s="115"/>
      <c r="CJ1518" s="115"/>
      <c r="CK1518" s="115"/>
      <c r="CL1518" s="115"/>
      <c r="CM1518" s="115"/>
      <c r="CN1518" s="115"/>
      <c r="CO1518" s="115"/>
      <c r="CP1518" s="115"/>
      <c r="CQ1518" s="115"/>
      <c r="CR1518" s="115"/>
      <c r="CS1518" s="115"/>
      <c r="CT1518" s="115"/>
      <c r="CU1518" s="115"/>
      <c r="CV1518" s="115"/>
      <c r="CW1518" s="115"/>
      <c r="CX1518" s="115"/>
      <c r="CY1518" s="115"/>
      <c r="CZ1518" s="115"/>
      <c r="DA1518" s="115"/>
      <c r="DB1518" s="115"/>
      <c r="DC1518" s="115"/>
      <c r="DD1518" s="115"/>
      <c r="DE1518" s="115"/>
      <c r="DF1518" s="115"/>
      <c r="DG1518" s="115"/>
    </row>
    <row r="1519" spans="55:111" ht="9" hidden="1" customHeight="1">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c r="BY1519" s="115"/>
      <c r="BZ1519" s="115"/>
      <c r="CA1519" s="115"/>
      <c r="CB1519" s="115"/>
      <c r="CC1519" s="115"/>
      <c r="CD1519" s="115"/>
      <c r="CE1519" s="115"/>
      <c r="CF1519" s="115"/>
      <c r="CG1519" s="115"/>
      <c r="CH1519" s="115"/>
      <c r="CI1519" s="115"/>
      <c r="CJ1519" s="115"/>
      <c r="CK1519" s="115"/>
      <c r="CL1519" s="115"/>
      <c r="CM1519" s="115"/>
      <c r="CN1519" s="115"/>
      <c r="CO1519" s="115"/>
      <c r="CP1519" s="115"/>
      <c r="CQ1519" s="115"/>
      <c r="CR1519" s="115"/>
      <c r="CS1519" s="115"/>
      <c r="CT1519" s="115"/>
      <c r="CU1519" s="115"/>
      <c r="CV1519" s="115"/>
      <c r="CW1519" s="115"/>
      <c r="CX1519" s="115"/>
      <c r="CY1519" s="115"/>
      <c r="CZ1519" s="115"/>
      <c r="DA1519" s="115"/>
      <c r="DB1519" s="115"/>
      <c r="DC1519" s="115"/>
      <c r="DD1519" s="115"/>
      <c r="DE1519" s="115"/>
      <c r="DF1519" s="115"/>
      <c r="DG1519" s="115"/>
    </row>
    <row r="1520" spans="55:111" ht="9" hidden="1" customHeight="1">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c r="BY1520" s="115"/>
      <c r="BZ1520" s="115"/>
      <c r="CA1520" s="115"/>
      <c r="CB1520" s="115"/>
      <c r="CC1520" s="115"/>
      <c r="CD1520" s="115"/>
      <c r="CE1520" s="115"/>
      <c r="CF1520" s="115"/>
      <c r="CG1520" s="115"/>
      <c r="CH1520" s="115"/>
      <c r="CI1520" s="115"/>
      <c r="CJ1520" s="115"/>
      <c r="CK1520" s="115"/>
      <c r="CL1520" s="115"/>
      <c r="CM1520" s="115"/>
      <c r="CN1520" s="115"/>
      <c r="CO1520" s="115"/>
      <c r="CP1520" s="115"/>
      <c r="CQ1520" s="115"/>
      <c r="CR1520" s="115"/>
      <c r="CS1520" s="115"/>
      <c r="CT1520" s="115"/>
      <c r="CU1520" s="115"/>
      <c r="CV1520" s="115"/>
      <c r="CW1520" s="115"/>
      <c r="CX1520" s="115"/>
      <c r="CY1520" s="115"/>
      <c r="CZ1520" s="115"/>
      <c r="DA1520" s="115"/>
      <c r="DB1520" s="115"/>
      <c r="DC1520" s="115"/>
      <c r="DD1520" s="115"/>
      <c r="DE1520" s="115"/>
      <c r="DF1520" s="115"/>
      <c r="DG1520" s="115"/>
    </row>
    <row r="1521" spans="55:111" ht="9" hidden="1" customHeight="1">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c r="BY1521" s="115"/>
      <c r="BZ1521" s="115"/>
      <c r="CA1521" s="115"/>
      <c r="CB1521" s="115"/>
      <c r="CC1521" s="115"/>
      <c r="CD1521" s="115"/>
      <c r="CE1521" s="115"/>
      <c r="CF1521" s="115"/>
      <c r="CG1521" s="115"/>
      <c r="CH1521" s="115"/>
      <c r="CI1521" s="115"/>
      <c r="CJ1521" s="115"/>
      <c r="CK1521" s="115"/>
      <c r="CL1521" s="115"/>
      <c r="CM1521" s="115"/>
      <c r="CN1521" s="115"/>
      <c r="CO1521" s="115"/>
      <c r="CP1521" s="115"/>
      <c r="CQ1521" s="115"/>
      <c r="CR1521" s="115"/>
      <c r="CS1521" s="115"/>
      <c r="CT1521" s="115"/>
      <c r="CU1521" s="115"/>
      <c r="CV1521" s="115"/>
      <c r="CW1521" s="115"/>
      <c r="CX1521" s="115"/>
      <c r="CY1521" s="115"/>
      <c r="CZ1521" s="115"/>
      <c r="DA1521" s="115"/>
      <c r="DB1521" s="115"/>
      <c r="DC1521" s="115"/>
      <c r="DD1521" s="115"/>
      <c r="DE1521" s="115"/>
      <c r="DF1521" s="115"/>
      <c r="DG1521" s="115"/>
    </row>
    <row r="1522" spans="55:111" ht="9" hidden="1" customHeight="1">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c r="BY1522" s="115"/>
      <c r="BZ1522" s="115"/>
      <c r="CA1522" s="115"/>
      <c r="CB1522" s="115"/>
      <c r="CC1522" s="115"/>
      <c r="CD1522" s="115"/>
      <c r="CE1522" s="115"/>
      <c r="CF1522" s="115"/>
      <c r="CG1522" s="115"/>
      <c r="CH1522" s="115"/>
      <c r="CI1522" s="115"/>
      <c r="CJ1522" s="115"/>
      <c r="CK1522" s="115"/>
      <c r="CL1522" s="115"/>
      <c r="CM1522" s="115"/>
      <c r="CN1522" s="115"/>
      <c r="CO1522" s="115"/>
      <c r="CP1522" s="115"/>
      <c r="CQ1522" s="115"/>
      <c r="CR1522" s="115"/>
      <c r="CS1522" s="115"/>
      <c r="CT1522" s="115"/>
      <c r="CU1522" s="115"/>
      <c r="CV1522" s="115"/>
      <c r="CW1522" s="115"/>
      <c r="CX1522" s="115"/>
      <c r="CY1522" s="115"/>
      <c r="CZ1522" s="115"/>
      <c r="DA1522" s="115"/>
      <c r="DB1522" s="115"/>
      <c r="DC1522" s="115"/>
      <c r="DD1522" s="115"/>
      <c r="DE1522" s="115"/>
      <c r="DF1522" s="115"/>
      <c r="DG1522" s="115"/>
    </row>
    <row r="1523" spans="55:111" ht="9" hidden="1" customHeight="1">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c r="BY1523" s="115"/>
      <c r="BZ1523" s="115"/>
      <c r="CA1523" s="115"/>
      <c r="CB1523" s="115"/>
      <c r="CC1523" s="115"/>
      <c r="CD1523" s="115"/>
      <c r="CE1523" s="115"/>
      <c r="CF1523" s="115"/>
      <c r="CG1523" s="115"/>
      <c r="CH1523" s="115"/>
      <c r="CI1523" s="115"/>
      <c r="CJ1523" s="115"/>
      <c r="CK1523" s="115"/>
      <c r="CL1523" s="115"/>
      <c r="CM1523" s="115"/>
      <c r="CN1523" s="115"/>
      <c r="CO1523" s="115"/>
      <c r="CP1523" s="115"/>
      <c r="CQ1523" s="115"/>
      <c r="CR1523" s="115"/>
      <c r="CS1523" s="115"/>
      <c r="CT1523" s="115"/>
      <c r="CU1523" s="115"/>
      <c r="CV1523" s="115"/>
      <c r="CW1523" s="115"/>
      <c r="CX1523" s="115"/>
      <c r="CY1523" s="115"/>
      <c r="CZ1523" s="115"/>
      <c r="DA1523" s="115"/>
      <c r="DB1523" s="115"/>
      <c r="DC1523" s="115"/>
      <c r="DD1523" s="115"/>
      <c r="DE1523" s="115"/>
      <c r="DF1523" s="115"/>
      <c r="DG1523" s="115"/>
    </row>
    <row r="1524" spans="55:111" ht="9" hidden="1" customHeight="1">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c r="BY1524" s="115"/>
      <c r="BZ1524" s="115"/>
      <c r="CA1524" s="115"/>
      <c r="CB1524" s="115"/>
      <c r="CC1524" s="115"/>
      <c r="CD1524" s="115"/>
      <c r="CE1524" s="115"/>
      <c r="CF1524" s="115"/>
      <c r="CG1524" s="115"/>
      <c r="CH1524" s="115"/>
      <c r="CI1524" s="115"/>
      <c r="CJ1524" s="115"/>
      <c r="CK1524" s="115"/>
      <c r="CL1524" s="115"/>
      <c r="CM1524" s="115"/>
      <c r="CN1524" s="115"/>
      <c r="CO1524" s="115"/>
      <c r="CP1524" s="115"/>
      <c r="CQ1524" s="115"/>
      <c r="CR1524" s="115"/>
      <c r="CS1524" s="115"/>
      <c r="CT1524" s="115"/>
      <c r="CU1524" s="115"/>
      <c r="CV1524" s="115"/>
      <c r="CW1524" s="115"/>
      <c r="CX1524" s="115"/>
      <c r="CY1524" s="115"/>
      <c r="CZ1524" s="115"/>
      <c r="DA1524" s="115"/>
      <c r="DB1524" s="115"/>
      <c r="DC1524" s="115"/>
      <c r="DD1524" s="115"/>
      <c r="DE1524" s="115"/>
      <c r="DF1524" s="115"/>
      <c r="DG1524" s="115"/>
    </row>
    <row r="1525" spans="55:111" ht="9" hidden="1" customHeight="1">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c r="BY1525" s="115"/>
      <c r="BZ1525" s="115"/>
      <c r="CA1525" s="115"/>
      <c r="CB1525" s="115"/>
      <c r="CC1525" s="115"/>
      <c r="CD1525" s="115"/>
      <c r="CE1525" s="115"/>
      <c r="CF1525" s="115"/>
      <c r="CG1525" s="115"/>
      <c r="CH1525" s="115"/>
      <c r="CI1525" s="115"/>
      <c r="CJ1525" s="115"/>
      <c r="CK1525" s="115"/>
      <c r="CL1525" s="115"/>
      <c r="CM1525" s="115"/>
      <c r="CN1525" s="115"/>
      <c r="CO1525" s="115"/>
      <c r="CP1525" s="115"/>
      <c r="CQ1525" s="115"/>
      <c r="CR1525" s="115"/>
      <c r="CS1525" s="115"/>
      <c r="CT1525" s="115"/>
      <c r="CU1525" s="115"/>
      <c r="CV1525" s="115"/>
      <c r="CW1525" s="115"/>
      <c r="CX1525" s="115"/>
      <c r="CY1525" s="115"/>
      <c r="CZ1525" s="115"/>
      <c r="DA1525" s="115"/>
      <c r="DB1525" s="115"/>
      <c r="DC1525" s="115"/>
      <c r="DD1525" s="115"/>
      <c r="DE1525" s="115"/>
      <c r="DF1525" s="115"/>
      <c r="DG1525" s="115"/>
    </row>
    <row r="1526" spans="55:111" ht="9" hidden="1" customHeight="1">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c r="BY1526" s="115"/>
      <c r="BZ1526" s="115"/>
      <c r="CA1526" s="115"/>
      <c r="CB1526" s="115"/>
      <c r="CC1526" s="115"/>
      <c r="CD1526" s="115"/>
      <c r="CE1526" s="115"/>
      <c r="CF1526" s="115"/>
      <c r="CG1526" s="115"/>
      <c r="CH1526" s="115"/>
      <c r="CI1526" s="115"/>
      <c r="CJ1526" s="115"/>
      <c r="CK1526" s="115"/>
      <c r="CL1526" s="115"/>
      <c r="CM1526" s="115"/>
      <c r="CN1526" s="115"/>
      <c r="CO1526" s="115"/>
      <c r="CP1526" s="115"/>
      <c r="CQ1526" s="115"/>
      <c r="CR1526" s="115"/>
      <c r="CS1526" s="115"/>
      <c r="CT1526" s="115"/>
      <c r="CU1526" s="115"/>
      <c r="CV1526" s="115"/>
      <c r="CW1526" s="115"/>
      <c r="CX1526" s="115"/>
      <c r="CY1526" s="115"/>
      <c r="CZ1526" s="115"/>
      <c r="DA1526" s="115"/>
      <c r="DB1526" s="115"/>
      <c r="DC1526" s="115"/>
      <c r="DD1526" s="115"/>
      <c r="DE1526" s="115"/>
      <c r="DF1526" s="115"/>
      <c r="DG1526" s="115"/>
    </row>
    <row r="1527" spans="55:111" ht="9" hidden="1" customHeight="1">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c r="BY1527" s="115"/>
      <c r="BZ1527" s="115"/>
      <c r="CA1527" s="115"/>
      <c r="CB1527" s="115"/>
      <c r="CC1527" s="115"/>
      <c r="CD1527" s="115"/>
      <c r="CE1527" s="115"/>
      <c r="CF1527" s="115"/>
      <c r="CG1527" s="115"/>
      <c r="CH1527" s="115"/>
      <c r="CI1527" s="115"/>
      <c r="CJ1527" s="115"/>
      <c r="CK1527" s="115"/>
      <c r="CL1527" s="115"/>
      <c r="CM1527" s="115"/>
      <c r="CN1527" s="115"/>
      <c r="CO1527" s="115"/>
      <c r="CP1527" s="115"/>
      <c r="CQ1527" s="115"/>
      <c r="CR1527" s="115"/>
      <c r="CS1527" s="115"/>
      <c r="CT1527" s="115"/>
      <c r="CU1527" s="115"/>
      <c r="CV1527" s="115"/>
      <c r="CW1527" s="115"/>
      <c r="CX1527" s="115"/>
      <c r="CY1527" s="115"/>
      <c r="CZ1527" s="115"/>
      <c r="DA1527" s="115"/>
      <c r="DB1527" s="115"/>
      <c r="DC1527" s="115"/>
      <c r="DD1527" s="115"/>
      <c r="DE1527" s="115"/>
      <c r="DF1527" s="115"/>
      <c r="DG1527" s="115"/>
    </row>
    <row r="1528" spans="55:111" ht="9" hidden="1" customHeight="1">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c r="BY1528" s="115"/>
      <c r="BZ1528" s="115"/>
      <c r="CA1528" s="115"/>
      <c r="CB1528" s="115"/>
      <c r="CC1528" s="115"/>
      <c r="CD1528" s="115"/>
      <c r="CE1528" s="115"/>
      <c r="CF1528" s="115"/>
      <c r="CG1528" s="115"/>
      <c r="CH1528" s="115"/>
      <c r="CI1528" s="115"/>
      <c r="CJ1528" s="115"/>
      <c r="CK1528" s="115"/>
      <c r="CL1528" s="115"/>
      <c r="CM1528" s="115"/>
      <c r="CN1528" s="115"/>
      <c r="CO1528" s="115"/>
      <c r="CP1528" s="115"/>
      <c r="CQ1528" s="115"/>
      <c r="CR1528" s="115"/>
      <c r="CS1528" s="115"/>
      <c r="CT1528" s="115"/>
      <c r="CU1528" s="115"/>
      <c r="CV1528" s="115"/>
      <c r="CW1528" s="115"/>
      <c r="CX1528" s="115"/>
      <c r="CY1528" s="115"/>
      <c r="CZ1528" s="115"/>
      <c r="DA1528" s="115"/>
      <c r="DB1528" s="115"/>
      <c r="DC1528" s="115"/>
      <c r="DD1528" s="115"/>
      <c r="DE1528" s="115"/>
      <c r="DF1528" s="115"/>
      <c r="DG1528" s="115"/>
    </row>
    <row r="1529" spans="55:111" ht="9" hidden="1" customHeight="1">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c r="BY1529" s="115"/>
      <c r="BZ1529" s="115"/>
      <c r="CA1529" s="115"/>
      <c r="CB1529" s="115"/>
      <c r="CC1529" s="115"/>
      <c r="CD1529" s="115"/>
      <c r="CE1529" s="115"/>
      <c r="CF1529" s="115"/>
      <c r="CG1529" s="115"/>
      <c r="CH1529" s="115"/>
      <c r="CI1529" s="115"/>
      <c r="CJ1529" s="115"/>
      <c r="CK1529" s="115"/>
      <c r="CL1529" s="115"/>
      <c r="CM1529" s="115"/>
      <c r="CN1529" s="115"/>
      <c r="CO1529" s="115"/>
      <c r="CP1529" s="115"/>
      <c r="CQ1529" s="115"/>
      <c r="CR1529" s="115"/>
      <c r="CS1529" s="115"/>
      <c r="CT1529" s="115"/>
      <c r="CU1529" s="115"/>
      <c r="CV1529" s="115"/>
      <c r="CW1529" s="115"/>
      <c r="CX1529" s="115"/>
      <c r="CY1529" s="115"/>
      <c r="CZ1529" s="115"/>
      <c r="DA1529" s="115"/>
      <c r="DB1529" s="115"/>
      <c r="DC1529" s="115"/>
      <c r="DD1529" s="115"/>
      <c r="DE1529" s="115"/>
      <c r="DF1529" s="115"/>
      <c r="DG1529" s="115"/>
    </row>
    <row r="1530" spans="55:111" ht="9" hidden="1" customHeight="1">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c r="BY1530" s="115"/>
      <c r="BZ1530" s="115"/>
      <c r="CA1530" s="115"/>
      <c r="CB1530" s="115"/>
      <c r="CC1530" s="115"/>
      <c r="CD1530" s="115"/>
      <c r="CE1530" s="115"/>
      <c r="CF1530" s="115"/>
      <c r="CG1530" s="115"/>
      <c r="CH1530" s="115"/>
      <c r="CI1530" s="115"/>
      <c r="CJ1530" s="115"/>
      <c r="CK1530" s="115"/>
      <c r="CL1530" s="115"/>
      <c r="CM1530" s="115"/>
      <c r="CN1530" s="115"/>
      <c r="CO1530" s="115"/>
      <c r="CP1530" s="115"/>
      <c r="CQ1530" s="115"/>
      <c r="CR1530" s="115"/>
      <c r="CS1530" s="115"/>
      <c r="CT1530" s="115"/>
      <c r="CU1530" s="115"/>
      <c r="CV1530" s="115"/>
      <c r="CW1530" s="115"/>
      <c r="CX1530" s="115"/>
      <c r="CY1530" s="115"/>
      <c r="CZ1530" s="115"/>
      <c r="DA1530" s="115"/>
      <c r="DB1530" s="115"/>
      <c r="DC1530" s="115"/>
      <c r="DD1530" s="115"/>
      <c r="DE1530" s="115"/>
      <c r="DF1530" s="115"/>
      <c r="DG1530" s="115"/>
    </row>
    <row r="1531" spans="55:111" ht="9" hidden="1" customHeight="1">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c r="BY1531" s="115"/>
      <c r="BZ1531" s="115"/>
      <c r="CA1531" s="115"/>
      <c r="CB1531" s="115"/>
      <c r="CC1531" s="115"/>
      <c r="CD1531" s="115"/>
      <c r="CE1531" s="115"/>
      <c r="CF1531" s="115"/>
      <c r="CG1531" s="115"/>
      <c r="CH1531" s="115"/>
      <c r="CI1531" s="115"/>
      <c r="CJ1531" s="115"/>
      <c r="CK1531" s="115"/>
      <c r="CL1531" s="115"/>
      <c r="CM1531" s="115"/>
      <c r="CN1531" s="115"/>
      <c r="CO1531" s="115"/>
      <c r="CP1531" s="115"/>
      <c r="CQ1531" s="115"/>
      <c r="CR1531" s="115"/>
      <c r="CS1531" s="115"/>
      <c r="CT1531" s="115"/>
      <c r="CU1531" s="115"/>
      <c r="CV1531" s="115"/>
      <c r="CW1531" s="115"/>
      <c r="CX1531" s="115"/>
      <c r="CY1531" s="115"/>
      <c r="CZ1531" s="115"/>
      <c r="DA1531" s="115"/>
      <c r="DB1531" s="115"/>
      <c r="DC1531" s="115"/>
      <c r="DD1531" s="115"/>
      <c r="DE1531" s="115"/>
      <c r="DF1531" s="115"/>
      <c r="DG1531" s="115"/>
    </row>
    <row r="1532" spans="55:111" ht="9" hidden="1" customHeight="1">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c r="BY1532" s="115"/>
      <c r="BZ1532" s="115"/>
      <c r="CA1532" s="115"/>
      <c r="CB1532" s="115"/>
      <c r="CC1532" s="115"/>
      <c r="CD1532" s="115"/>
      <c r="CE1532" s="115"/>
      <c r="CF1532" s="115"/>
      <c r="CG1532" s="115"/>
      <c r="CH1532" s="115"/>
      <c r="CI1532" s="115"/>
      <c r="CJ1532" s="115"/>
      <c r="CK1532" s="115"/>
      <c r="CL1532" s="115"/>
      <c r="CM1532" s="115"/>
      <c r="CN1532" s="115"/>
      <c r="CO1532" s="115"/>
      <c r="CP1532" s="115"/>
      <c r="CQ1532" s="115"/>
      <c r="CR1532" s="115"/>
      <c r="CS1532" s="115"/>
      <c r="CT1532" s="115"/>
      <c r="CU1532" s="115"/>
      <c r="CV1532" s="115"/>
      <c r="CW1532" s="115"/>
      <c r="CX1532" s="115"/>
      <c r="CY1532" s="115"/>
      <c r="CZ1532" s="115"/>
      <c r="DA1532" s="115"/>
      <c r="DB1532" s="115"/>
      <c r="DC1532" s="115"/>
      <c r="DD1532" s="115"/>
      <c r="DE1532" s="115"/>
      <c r="DF1532" s="115"/>
      <c r="DG1532" s="115"/>
    </row>
    <row r="1533" spans="55:111" ht="9" hidden="1" customHeight="1">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c r="BY1533" s="115"/>
      <c r="BZ1533" s="115"/>
      <c r="CA1533" s="115"/>
      <c r="CB1533" s="115"/>
      <c r="CC1533" s="115"/>
      <c r="CD1533" s="115"/>
      <c r="CE1533" s="115"/>
      <c r="CF1533" s="115"/>
      <c r="CG1533" s="115"/>
      <c r="CH1533" s="115"/>
      <c r="CI1533" s="115"/>
      <c r="CJ1533" s="115"/>
      <c r="CK1533" s="115"/>
      <c r="CL1533" s="115"/>
      <c r="CM1533" s="115"/>
      <c r="CN1533" s="115"/>
      <c r="CO1533" s="115"/>
      <c r="CP1533" s="115"/>
      <c r="CQ1533" s="115"/>
      <c r="CR1533" s="115"/>
      <c r="CS1533" s="115"/>
      <c r="CT1533" s="115"/>
      <c r="CU1533" s="115"/>
      <c r="CV1533" s="115"/>
      <c r="CW1533" s="115"/>
      <c r="CX1533" s="115"/>
      <c r="CY1533" s="115"/>
      <c r="CZ1533" s="115"/>
      <c r="DA1533" s="115"/>
      <c r="DB1533" s="115"/>
      <c r="DC1533" s="115"/>
      <c r="DD1533" s="115"/>
      <c r="DE1533" s="115"/>
      <c r="DF1533" s="115"/>
      <c r="DG1533" s="115"/>
    </row>
    <row r="1534" spans="55:111" ht="9" hidden="1" customHeight="1">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c r="BY1534" s="115"/>
      <c r="BZ1534" s="115"/>
      <c r="CA1534" s="115"/>
      <c r="CB1534" s="115"/>
      <c r="CC1534" s="115"/>
      <c r="CD1534" s="115"/>
      <c r="CE1534" s="115"/>
      <c r="CF1534" s="115"/>
      <c r="CG1534" s="115"/>
      <c r="CH1534" s="115"/>
      <c r="CI1534" s="115"/>
      <c r="CJ1534" s="115"/>
      <c r="CK1534" s="115"/>
      <c r="CL1534" s="115"/>
      <c r="CM1534" s="115"/>
      <c r="CN1534" s="115"/>
      <c r="CO1534" s="115"/>
      <c r="CP1534" s="115"/>
      <c r="CQ1534" s="115"/>
      <c r="CR1534" s="115"/>
      <c r="CS1534" s="115"/>
      <c r="CT1534" s="115"/>
      <c r="CU1534" s="115"/>
      <c r="CV1534" s="115"/>
      <c r="CW1534" s="115"/>
      <c r="CX1534" s="115"/>
      <c r="CY1534" s="115"/>
      <c r="CZ1534" s="115"/>
      <c r="DA1534" s="115"/>
      <c r="DB1534" s="115"/>
      <c r="DC1534" s="115"/>
      <c r="DD1534" s="115"/>
      <c r="DE1534" s="115"/>
      <c r="DF1534" s="115"/>
      <c r="DG1534" s="115"/>
    </row>
    <row r="1535" spans="55:111" ht="9" hidden="1" customHeight="1">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c r="BY1535" s="115"/>
      <c r="BZ1535" s="115"/>
      <c r="CA1535" s="115"/>
      <c r="CB1535" s="115"/>
      <c r="CC1535" s="115"/>
      <c r="CD1535" s="115"/>
      <c r="CE1535" s="115"/>
      <c r="CF1535" s="115"/>
      <c r="CG1535" s="115"/>
      <c r="CH1535" s="115"/>
      <c r="CI1535" s="115"/>
      <c r="CJ1535" s="115"/>
      <c r="CK1535" s="115"/>
      <c r="CL1535" s="115"/>
      <c r="CM1535" s="115"/>
      <c r="CN1535" s="115"/>
      <c r="CO1535" s="115"/>
      <c r="CP1535" s="115"/>
      <c r="CQ1535" s="115"/>
      <c r="CR1535" s="115"/>
      <c r="CS1535" s="115"/>
      <c r="CT1535" s="115"/>
      <c r="CU1535" s="115"/>
      <c r="CV1535" s="115"/>
      <c r="CW1535" s="115"/>
      <c r="CX1535" s="115"/>
      <c r="CY1535" s="115"/>
      <c r="CZ1535" s="115"/>
      <c r="DA1535" s="115"/>
      <c r="DB1535" s="115"/>
      <c r="DC1535" s="115"/>
      <c r="DD1535" s="115"/>
      <c r="DE1535" s="115"/>
      <c r="DF1535" s="115"/>
      <c r="DG1535" s="115"/>
    </row>
    <row r="1536" spans="55:111" ht="9" hidden="1" customHeight="1">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c r="BY1536" s="115"/>
      <c r="BZ1536" s="115"/>
      <c r="CA1536" s="115"/>
      <c r="CB1536" s="115"/>
      <c r="CC1536" s="115"/>
      <c r="CD1536" s="115"/>
      <c r="CE1536" s="115"/>
      <c r="CF1536" s="115"/>
      <c r="CG1536" s="115"/>
      <c r="CH1536" s="115"/>
      <c r="CI1536" s="115"/>
      <c r="CJ1536" s="115"/>
      <c r="CK1536" s="115"/>
      <c r="CL1536" s="115"/>
      <c r="CM1536" s="115"/>
      <c r="CN1536" s="115"/>
      <c r="CO1536" s="115"/>
      <c r="CP1536" s="115"/>
      <c r="CQ1536" s="115"/>
      <c r="CR1536" s="115"/>
      <c r="CS1536" s="115"/>
      <c r="CT1536" s="115"/>
      <c r="CU1536" s="115"/>
      <c r="CV1536" s="115"/>
      <c r="CW1536" s="115"/>
      <c r="CX1536" s="115"/>
      <c r="CY1536" s="115"/>
      <c r="CZ1536" s="115"/>
      <c r="DA1536" s="115"/>
      <c r="DB1536" s="115"/>
      <c r="DC1536" s="115"/>
      <c r="DD1536" s="115"/>
      <c r="DE1536" s="115"/>
      <c r="DF1536" s="115"/>
      <c r="DG1536" s="115"/>
    </row>
    <row r="1537" spans="55:111" ht="9" hidden="1" customHeight="1">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c r="BY1537" s="115"/>
      <c r="BZ1537" s="115"/>
      <c r="CA1537" s="115"/>
      <c r="CB1537" s="115"/>
      <c r="CC1537" s="115"/>
      <c r="CD1537" s="115"/>
      <c r="CE1537" s="115"/>
      <c r="CF1537" s="115"/>
      <c r="CG1537" s="115"/>
      <c r="CH1537" s="115"/>
      <c r="CI1537" s="115"/>
      <c r="CJ1537" s="115"/>
      <c r="CK1537" s="115"/>
      <c r="CL1537" s="115"/>
      <c r="CM1537" s="115"/>
      <c r="CN1537" s="115"/>
      <c r="CO1537" s="115"/>
      <c r="CP1537" s="115"/>
      <c r="CQ1537" s="115"/>
      <c r="CR1537" s="115"/>
      <c r="CS1537" s="115"/>
      <c r="CT1537" s="115"/>
      <c r="CU1537" s="115"/>
      <c r="CV1537" s="115"/>
      <c r="CW1537" s="115"/>
      <c r="CX1537" s="115"/>
      <c r="CY1537" s="115"/>
      <c r="CZ1537" s="115"/>
      <c r="DA1537" s="115"/>
      <c r="DB1537" s="115"/>
      <c r="DC1537" s="115"/>
      <c r="DD1537" s="115"/>
      <c r="DE1537" s="115"/>
      <c r="DF1537" s="115"/>
      <c r="DG1537" s="115"/>
    </row>
    <row r="1538" spans="55:111" ht="9" hidden="1" customHeight="1">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c r="BY1538" s="115"/>
      <c r="BZ1538" s="115"/>
      <c r="CA1538" s="115"/>
      <c r="CB1538" s="115"/>
      <c r="CC1538" s="115"/>
      <c r="CD1538" s="115"/>
      <c r="CE1538" s="115"/>
      <c r="CF1538" s="115"/>
      <c r="CG1538" s="115"/>
      <c r="CH1538" s="115"/>
      <c r="CI1538" s="115"/>
      <c r="CJ1538" s="115"/>
      <c r="CK1538" s="115"/>
      <c r="CL1538" s="115"/>
      <c r="CM1538" s="115"/>
      <c r="CN1538" s="115"/>
      <c r="CO1538" s="115"/>
      <c r="CP1538" s="115"/>
      <c r="CQ1538" s="115"/>
      <c r="CR1538" s="115"/>
      <c r="CS1538" s="115"/>
      <c r="CT1538" s="115"/>
      <c r="CU1538" s="115"/>
      <c r="CV1538" s="115"/>
      <c r="CW1538" s="115"/>
      <c r="CX1538" s="115"/>
      <c r="CY1538" s="115"/>
      <c r="CZ1538" s="115"/>
      <c r="DA1538" s="115"/>
      <c r="DB1538" s="115"/>
      <c r="DC1538" s="115"/>
      <c r="DD1538" s="115"/>
      <c r="DE1538" s="115"/>
      <c r="DF1538" s="115"/>
      <c r="DG1538" s="115"/>
    </row>
    <row r="1539" spans="55:111" ht="9" hidden="1" customHeight="1">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c r="BY1539" s="115"/>
      <c r="BZ1539" s="115"/>
      <c r="CA1539" s="115"/>
      <c r="CB1539" s="115"/>
      <c r="CC1539" s="115"/>
      <c r="CD1539" s="115"/>
      <c r="CE1539" s="115"/>
      <c r="CF1539" s="115"/>
      <c r="CG1539" s="115"/>
      <c r="CH1539" s="115"/>
      <c r="CI1539" s="115"/>
      <c r="CJ1539" s="115"/>
      <c r="CK1539" s="115"/>
      <c r="CL1539" s="115"/>
      <c r="CM1539" s="115"/>
      <c r="CN1539" s="115"/>
      <c r="CO1539" s="115"/>
      <c r="CP1539" s="115"/>
      <c r="CQ1539" s="115"/>
      <c r="CR1539" s="115"/>
      <c r="CS1539" s="115"/>
      <c r="CT1539" s="115"/>
      <c r="CU1539" s="115"/>
      <c r="CV1539" s="115"/>
      <c r="CW1539" s="115"/>
      <c r="CX1539" s="115"/>
      <c r="CY1539" s="115"/>
      <c r="CZ1539" s="115"/>
      <c r="DA1539" s="115"/>
      <c r="DB1539" s="115"/>
      <c r="DC1539" s="115"/>
      <c r="DD1539" s="115"/>
      <c r="DE1539" s="115"/>
      <c r="DF1539" s="115"/>
      <c r="DG1539" s="115"/>
    </row>
    <row r="1540" spans="55:111" ht="9" hidden="1" customHeight="1">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c r="BY1540" s="115"/>
      <c r="BZ1540" s="115"/>
      <c r="CA1540" s="115"/>
      <c r="CB1540" s="115"/>
      <c r="CC1540" s="115"/>
      <c r="CD1540" s="115"/>
      <c r="CE1540" s="115"/>
      <c r="CF1540" s="115"/>
      <c r="CG1540" s="115"/>
      <c r="CH1540" s="115"/>
      <c r="CI1540" s="115"/>
      <c r="CJ1540" s="115"/>
      <c r="CK1540" s="115"/>
      <c r="CL1540" s="115"/>
      <c r="CM1540" s="115"/>
      <c r="CN1540" s="115"/>
      <c r="CO1540" s="115"/>
      <c r="CP1540" s="115"/>
      <c r="CQ1540" s="115"/>
      <c r="CR1540" s="115"/>
      <c r="CS1540" s="115"/>
      <c r="CT1540" s="115"/>
      <c r="CU1540" s="115"/>
      <c r="CV1540" s="115"/>
      <c r="CW1540" s="115"/>
      <c r="CX1540" s="115"/>
      <c r="CY1540" s="115"/>
      <c r="CZ1540" s="115"/>
      <c r="DA1540" s="115"/>
      <c r="DB1540" s="115"/>
      <c r="DC1540" s="115"/>
      <c r="DD1540" s="115"/>
      <c r="DE1540" s="115"/>
      <c r="DF1540" s="115"/>
      <c r="DG1540" s="115"/>
    </row>
    <row r="1541" spans="55:111" ht="9" hidden="1" customHeight="1">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c r="BY1541" s="115"/>
      <c r="BZ1541" s="115"/>
      <c r="CA1541" s="115"/>
      <c r="CB1541" s="115"/>
      <c r="CC1541" s="115"/>
      <c r="CD1541" s="115"/>
      <c r="CE1541" s="115"/>
      <c r="CF1541" s="115"/>
      <c r="CG1541" s="115"/>
      <c r="CH1541" s="115"/>
      <c r="CI1541" s="115"/>
      <c r="CJ1541" s="115"/>
      <c r="CK1541" s="115"/>
      <c r="CL1541" s="115"/>
      <c r="CM1541" s="115"/>
      <c r="CN1541" s="115"/>
      <c r="CO1541" s="115"/>
      <c r="CP1541" s="115"/>
      <c r="CQ1541" s="115"/>
      <c r="CR1541" s="115"/>
      <c r="CS1541" s="115"/>
      <c r="CT1541" s="115"/>
      <c r="CU1541" s="115"/>
      <c r="CV1541" s="115"/>
      <c r="CW1541" s="115"/>
      <c r="CX1541" s="115"/>
      <c r="CY1541" s="115"/>
      <c r="CZ1541" s="115"/>
      <c r="DA1541" s="115"/>
      <c r="DB1541" s="115"/>
      <c r="DC1541" s="115"/>
      <c r="DD1541" s="115"/>
      <c r="DE1541" s="115"/>
      <c r="DF1541" s="115"/>
      <c r="DG1541" s="115"/>
    </row>
    <row r="1542" spans="55:111" ht="9" hidden="1" customHeight="1">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c r="BY1542" s="115"/>
      <c r="BZ1542" s="115"/>
      <c r="CA1542" s="115"/>
      <c r="CB1542" s="115"/>
      <c r="CC1542" s="115"/>
      <c r="CD1542" s="115"/>
      <c r="CE1542" s="115"/>
      <c r="CF1542" s="115"/>
      <c r="CG1542" s="115"/>
      <c r="CH1542" s="115"/>
      <c r="CI1542" s="115"/>
      <c r="CJ1542" s="115"/>
      <c r="CK1542" s="115"/>
      <c r="CL1542" s="115"/>
      <c r="CM1542" s="115"/>
      <c r="CN1542" s="115"/>
      <c r="CO1542" s="115"/>
      <c r="CP1542" s="115"/>
      <c r="CQ1542" s="115"/>
      <c r="CR1542" s="115"/>
      <c r="CS1542" s="115"/>
      <c r="CT1542" s="115"/>
      <c r="CU1542" s="115"/>
      <c r="CV1542" s="115"/>
      <c r="CW1542" s="115"/>
      <c r="CX1542" s="115"/>
      <c r="CY1542" s="115"/>
      <c r="CZ1542" s="115"/>
      <c r="DA1542" s="115"/>
      <c r="DB1542" s="115"/>
      <c r="DC1542" s="115"/>
      <c r="DD1542" s="115"/>
      <c r="DE1542" s="115"/>
      <c r="DF1542" s="115"/>
      <c r="DG1542" s="115"/>
    </row>
    <row r="1543" spans="55:111" ht="9" hidden="1" customHeight="1">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c r="BY1543" s="115"/>
      <c r="BZ1543" s="115"/>
      <c r="CA1543" s="115"/>
      <c r="CB1543" s="115"/>
      <c r="CC1543" s="115"/>
      <c r="CD1543" s="115"/>
      <c r="CE1543" s="115"/>
      <c r="CF1543" s="115"/>
      <c r="CG1543" s="115"/>
      <c r="CH1543" s="115"/>
      <c r="CI1543" s="115"/>
      <c r="CJ1543" s="115"/>
      <c r="CK1543" s="115"/>
      <c r="CL1543" s="115"/>
      <c r="CM1543" s="115"/>
      <c r="CN1543" s="115"/>
      <c r="CO1543" s="115"/>
      <c r="CP1543" s="115"/>
      <c r="CQ1543" s="115"/>
      <c r="CR1543" s="115"/>
      <c r="CS1543" s="115"/>
      <c r="CT1543" s="115"/>
      <c r="CU1543" s="115"/>
      <c r="CV1543" s="115"/>
      <c r="CW1543" s="115"/>
      <c r="CX1543" s="115"/>
      <c r="CY1543" s="115"/>
      <c r="CZ1543" s="115"/>
      <c r="DA1543" s="115"/>
      <c r="DB1543" s="115"/>
      <c r="DC1543" s="115"/>
      <c r="DD1543" s="115"/>
      <c r="DE1543" s="115"/>
      <c r="DF1543" s="115"/>
      <c r="DG1543" s="115"/>
    </row>
    <row r="1544" spans="55:111" ht="9" hidden="1" customHeight="1">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c r="BY1544" s="115"/>
      <c r="BZ1544" s="115"/>
      <c r="CA1544" s="115"/>
      <c r="CB1544" s="115"/>
      <c r="CC1544" s="115"/>
      <c r="CD1544" s="115"/>
      <c r="CE1544" s="115"/>
      <c r="CF1544" s="115"/>
      <c r="CG1544" s="115"/>
      <c r="CH1544" s="115"/>
      <c r="CI1544" s="115"/>
      <c r="CJ1544" s="115"/>
      <c r="CK1544" s="115"/>
      <c r="CL1544" s="115"/>
      <c r="CM1544" s="115"/>
      <c r="CN1544" s="115"/>
      <c r="CO1544" s="115"/>
      <c r="CP1544" s="115"/>
      <c r="CQ1544" s="115"/>
      <c r="CR1544" s="115"/>
      <c r="CS1544" s="115"/>
      <c r="CT1544" s="115"/>
      <c r="CU1544" s="115"/>
      <c r="CV1544" s="115"/>
      <c r="CW1544" s="115"/>
      <c r="CX1544" s="115"/>
      <c r="CY1544" s="115"/>
      <c r="CZ1544" s="115"/>
      <c r="DA1544" s="115"/>
      <c r="DB1544" s="115"/>
      <c r="DC1544" s="115"/>
      <c r="DD1544" s="115"/>
      <c r="DE1544" s="115"/>
      <c r="DF1544" s="115"/>
      <c r="DG1544" s="115"/>
    </row>
    <row r="1545" spans="55:111" ht="9" hidden="1" customHeight="1">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c r="BY1545" s="115"/>
      <c r="BZ1545" s="115"/>
      <c r="CA1545" s="115"/>
      <c r="CB1545" s="115"/>
      <c r="CC1545" s="115"/>
      <c r="CD1545" s="115"/>
      <c r="CE1545" s="115"/>
      <c r="CF1545" s="115"/>
      <c r="CG1545" s="115"/>
      <c r="CH1545" s="115"/>
      <c r="CI1545" s="115"/>
      <c r="CJ1545" s="115"/>
      <c r="CK1545" s="115"/>
      <c r="CL1545" s="115"/>
      <c r="CM1545" s="115"/>
      <c r="CN1545" s="115"/>
      <c r="CO1545" s="115"/>
      <c r="CP1545" s="115"/>
      <c r="CQ1545" s="115"/>
      <c r="CR1545" s="115"/>
      <c r="CS1545" s="115"/>
      <c r="CT1545" s="115"/>
      <c r="CU1545" s="115"/>
      <c r="CV1545" s="115"/>
      <c r="CW1545" s="115"/>
      <c r="CX1545" s="115"/>
      <c r="CY1545" s="115"/>
      <c r="CZ1545" s="115"/>
      <c r="DA1545" s="115"/>
      <c r="DB1545" s="115"/>
      <c r="DC1545" s="115"/>
      <c r="DD1545" s="115"/>
      <c r="DE1545" s="115"/>
      <c r="DF1545" s="115"/>
      <c r="DG1545" s="115"/>
    </row>
    <row r="1546" spans="55:111" ht="9" hidden="1" customHeight="1">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c r="BY1546" s="115"/>
      <c r="BZ1546" s="115"/>
      <c r="CA1546" s="115"/>
      <c r="CB1546" s="115"/>
      <c r="CC1546" s="115"/>
      <c r="CD1546" s="115"/>
      <c r="CE1546" s="115"/>
      <c r="CF1546" s="115"/>
      <c r="CG1546" s="115"/>
      <c r="CH1546" s="115"/>
      <c r="CI1546" s="115"/>
      <c r="CJ1546" s="115"/>
      <c r="CK1546" s="115"/>
      <c r="CL1546" s="115"/>
      <c r="CM1546" s="115"/>
      <c r="CN1546" s="115"/>
      <c r="CO1546" s="115"/>
      <c r="CP1546" s="115"/>
      <c r="CQ1546" s="115"/>
      <c r="CR1546" s="115"/>
      <c r="CS1546" s="115"/>
      <c r="CT1546" s="115"/>
      <c r="CU1546" s="115"/>
      <c r="CV1546" s="115"/>
      <c r="CW1546" s="115"/>
      <c r="CX1546" s="115"/>
      <c r="CY1546" s="115"/>
      <c r="CZ1546" s="115"/>
      <c r="DA1546" s="115"/>
      <c r="DB1546" s="115"/>
      <c r="DC1546" s="115"/>
      <c r="DD1546" s="115"/>
      <c r="DE1546" s="115"/>
      <c r="DF1546" s="115"/>
      <c r="DG1546" s="115"/>
    </row>
    <row r="1547" spans="55:111" ht="9" hidden="1" customHeight="1">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c r="BY1547" s="115"/>
      <c r="BZ1547" s="115"/>
      <c r="CA1547" s="115"/>
      <c r="CB1547" s="115"/>
      <c r="CC1547" s="115"/>
      <c r="CD1547" s="115"/>
      <c r="CE1547" s="115"/>
      <c r="CF1547" s="115"/>
      <c r="CG1547" s="115"/>
      <c r="CH1547" s="115"/>
      <c r="CI1547" s="115"/>
      <c r="CJ1547" s="115"/>
      <c r="CK1547" s="115"/>
      <c r="CL1547" s="115"/>
      <c r="CM1547" s="115"/>
      <c r="CN1547" s="115"/>
      <c r="CO1547" s="115"/>
      <c r="CP1547" s="115"/>
      <c r="CQ1547" s="115"/>
      <c r="CR1547" s="115"/>
      <c r="CS1547" s="115"/>
      <c r="CT1547" s="115"/>
      <c r="CU1547" s="115"/>
      <c r="CV1547" s="115"/>
      <c r="CW1547" s="115"/>
      <c r="CX1547" s="115"/>
      <c r="CY1547" s="115"/>
      <c r="CZ1547" s="115"/>
      <c r="DA1547" s="115"/>
      <c r="DB1547" s="115"/>
      <c r="DC1547" s="115"/>
      <c r="DD1547" s="115"/>
      <c r="DE1547" s="115"/>
      <c r="DF1547" s="115"/>
      <c r="DG1547" s="115"/>
    </row>
    <row r="1548" spans="55:111" ht="9" hidden="1" customHeight="1">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c r="BY1548" s="115"/>
      <c r="BZ1548" s="115"/>
      <c r="CA1548" s="115"/>
      <c r="CB1548" s="115"/>
      <c r="CC1548" s="115"/>
      <c r="CD1548" s="115"/>
      <c r="CE1548" s="115"/>
      <c r="CF1548" s="115"/>
      <c r="CG1548" s="115"/>
      <c r="CH1548" s="115"/>
      <c r="CI1548" s="115"/>
      <c r="CJ1548" s="115"/>
      <c r="CK1548" s="115"/>
      <c r="CL1548" s="115"/>
      <c r="CM1548" s="115"/>
      <c r="CN1548" s="115"/>
      <c r="CO1548" s="115"/>
      <c r="CP1548" s="115"/>
      <c r="CQ1548" s="115"/>
      <c r="CR1548" s="115"/>
      <c r="CS1548" s="115"/>
      <c r="CT1548" s="115"/>
      <c r="CU1548" s="115"/>
      <c r="CV1548" s="115"/>
      <c r="CW1548" s="115"/>
      <c r="CX1548" s="115"/>
      <c r="CY1548" s="115"/>
      <c r="CZ1548" s="115"/>
      <c r="DA1548" s="115"/>
      <c r="DB1548" s="115"/>
      <c r="DC1548" s="115"/>
      <c r="DD1548" s="115"/>
      <c r="DE1548" s="115"/>
      <c r="DF1548" s="115"/>
      <c r="DG1548" s="115"/>
    </row>
    <row r="1549" spans="55:111" ht="9" hidden="1" customHeight="1">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c r="BY1549" s="115"/>
      <c r="BZ1549" s="115"/>
      <c r="CA1549" s="115"/>
      <c r="CB1549" s="115"/>
      <c r="CC1549" s="115"/>
      <c r="CD1549" s="115"/>
      <c r="CE1549" s="115"/>
      <c r="CF1549" s="115"/>
      <c r="CG1549" s="115"/>
      <c r="CH1549" s="115"/>
      <c r="CI1549" s="115"/>
      <c r="CJ1549" s="115"/>
      <c r="CK1549" s="115"/>
      <c r="CL1549" s="115"/>
      <c r="CM1549" s="115"/>
      <c r="CN1549" s="115"/>
      <c r="CO1549" s="115"/>
      <c r="CP1549" s="115"/>
      <c r="CQ1549" s="115"/>
      <c r="CR1549" s="115"/>
      <c r="CS1549" s="115"/>
      <c r="CT1549" s="115"/>
      <c r="CU1549" s="115"/>
      <c r="CV1549" s="115"/>
      <c r="CW1549" s="115"/>
      <c r="CX1549" s="115"/>
      <c r="CY1549" s="115"/>
      <c r="CZ1549" s="115"/>
      <c r="DA1549" s="115"/>
      <c r="DB1549" s="115"/>
      <c r="DC1549" s="115"/>
      <c r="DD1549" s="115"/>
      <c r="DE1549" s="115"/>
      <c r="DF1549" s="115"/>
      <c r="DG1549" s="115"/>
    </row>
    <row r="1550" spans="55:111" ht="9" hidden="1" customHeight="1">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c r="BY1550" s="115"/>
      <c r="BZ1550" s="115"/>
      <c r="CA1550" s="115"/>
      <c r="CB1550" s="115"/>
      <c r="CC1550" s="115"/>
      <c r="CD1550" s="115"/>
      <c r="CE1550" s="115"/>
      <c r="CF1550" s="115"/>
      <c r="CG1550" s="115"/>
      <c r="CH1550" s="115"/>
      <c r="CI1550" s="115"/>
      <c r="CJ1550" s="115"/>
      <c r="CK1550" s="115"/>
      <c r="CL1550" s="115"/>
      <c r="CM1550" s="115"/>
      <c r="CN1550" s="115"/>
      <c r="CO1550" s="115"/>
      <c r="CP1550" s="115"/>
      <c r="CQ1550" s="115"/>
      <c r="CR1550" s="115"/>
      <c r="CS1550" s="115"/>
      <c r="CT1550" s="115"/>
      <c r="CU1550" s="115"/>
      <c r="CV1550" s="115"/>
      <c r="CW1550" s="115"/>
      <c r="CX1550" s="115"/>
      <c r="CY1550" s="115"/>
      <c r="CZ1550" s="115"/>
      <c r="DA1550" s="115"/>
      <c r="DB1550" s="115"/>
      <c r="DC1550" s="115"/>
      <c r="DD1550" s="115"/>
      <c r="DE1550" s="115"/>
      <c r="DF1550" s="115"/>
      <c r="DG1550" s="115"/>
    </row>
    <row r="1551" spans="55:111" ht="9" hidden="1" customHeight="1">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c r="BY1551" s="115"/>
      <c r="BZ1551" s="115"/>
      <c r="CA1551" s="115"/>
      <c r="CB1551" s="115"/>
      <c r="CC1551" s="115"/>
      <c r="CD1551" s="115"/>
      <c r="CE1551" s="115"/>
      <c r="CF1551" s="115"/>
      <c r="CG1551" s="115"/>
      <c r="CH1551" s="115"/>
      <c r="CI1551" s="115"/>
      <c r="CJ1551" s="115"/>
      <c r="CK1551" s="115"/>
      <c r="CL1551" s="115"/>
      <c r="CM1551" s="115"/>
      <c r="CN1551" s="115"/>
      <c r="CO1551" s="115"/>
      <c r="CP1551" s="115"/>
      <c r="CQ1551" s="115"/>
      <c r="CR1551" s="115"/>
      <c r="CS1551" s="115"/>
      <c r="CT1551" s="115"/>
      <c r="CU1551" s="115"/>
      <c r="CV1551" s="115"/>
      <c r="CW1551" s="115"/>
      <c r="CX1551" s="115"/>
      <c r="CY1551" s="115"/>
      <c r="CZ1551" s="115"/>
      <c r="DA1551" s="115"/>
      <c r="DB1551" s="115"/>
      <c r="DC1551" s="115"/>
      <c r="DD1551" s="115"/>
      <c r="DE1551" s="115"/>
      <c r="DF1551" s="115"/>
      <c r="DG1551" s="115"/>
    </row>
    <row r="1552" spans="55:111" ht="9" hidden="1" customHeight="1">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c r="BY1552" s="115"/>
      <c r="BZ1552" s="115"/>
      <c r="CA1552" s="115"/>
      <c r="CB1552" s="115"/>
      <c r="CC1552" s="115"/>
      <c r="CD1552" s="115"/>
      <c r="CE1552" s="115"/>
      <c r="CF1552" s="115"/>
      <c r="CG1552" s="115"/>
      <c r="CH1552" s="115"/>
      <c r="CI1552" s="115"/>
      <c r="CJ1552" s="115"/>
      <c r="CK1552" s="115"/>
      <c r="CL1552" s="115"/>
      <c r="CM1552" s="115"/>
      <c r="CN1552" s="115"/>
      <c r="CO1552" s="115"/>
      <c r="CP1552" s="115"/>
      <c r="CQ1552" s="115"/>
      <c r="CR1552" s="115"/>
      <c r="CS1552" s="115"/>
      <c r="CT1552" s="115"/>
      <c r="CU1552" s="115"/>
      <c r="CV1552" s="115"/>
      <c r="CW1552" s="115"/>
      <c r="CX1552" s="115"/>
      <c r="CY1552" s="115"/>
      <c r="CZ1552" s="115"/>
      <c r="DA1552" s="115"/>
      <c r="DB1552" s="115"/>
      <c r="DC1552" s="115"/>
      <c r="DD1552" s="115"/>
      <c r="DE1552" s="115"/>
      <c r="DF1552" s="115"/>
      <c r="DG1552" s="115"/>
    </row>
    <row r="1553" spans="55:111" ht="9" hidden="1" customHeight="1">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c r="BY1553" s="115"/>
      <c r="BZ1553" s="115"/>
      <c r="CA1553" s="115"/>
      <c r="CB1553" s="115"/>
      <c r="CC1553" s="115"/>
      <c r="CD1553" s="115"/>
      <c r="CE1553" s="115"/>
      <c r="CF1553" s="115"/>
      <c r="CG1553" s="115"/>
      <c r="CH1553" s="115"/>
      <c r="CI1553" s="115"/>
      <c r="CJ1553" s="115"/>
      <c r="CK1553" s="115"/>
      <c r="CL1553" s="115"/>
      <c r="CM1553" s="115"/>
      <c r="CN1553" s="115"/>
      <c r="CO1553" s="115"/>
      <c r="CP1553" s="115"/>
      <c r="CQ1553" s="115"/>
      <c r="CR1553" s="115"/>
      <c r="CS1553" s="115"/>
      <c r="CT1553" s="115"/>
      <c r="CU1553" s="115"/>
      <c r="CV1553" s="115"/>
      <c r="CW1553" s="115"/>
      <c r="CX1553" s="115"/>
      <c r="CY1553" s="115"/>
      <c r="CZ1553" s="115"/>
      <c r="DA1553" s="115"/>
      <c r="DB1553" s="115"/>
      <c r="DC1553" s="115"/>
      <c r="DD1553" s="115"/>
      <c r="DE1553" s="115"/>
      <c r="DF1553" s="115"/>
      <c r="DG1553" s="115"/>
    </row>
    <row r="1554" spans="55:111" ht="9" hidden="1" customHeight="1">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c r="BY1554" s="115"/>
      <c r="BZ1554" s="115"/>
      <c r="CA1554" s="115"/>
      <c r="CB1554" s="115"/>
      <c r="CC1554" s="115"/>
      <c r="CD1554" s="115"/>
      <c r="CE1554" s="115"/>
      <c r="CF1554" s="115"/>
      <c r="CG1554" s="115"/>
      <c r="CH1554" s="115"/>
      <c r="CI1554" s="115"/>
      <c r="CJ1554" s="115"/>
      <c r="CK1554" s="115"/>
      <c r="CL1554" s="115"/>
      <c r="CM1554" s="115"/>
      <c r="CN1554" s="115"/>
      <c r="CO1554" s="115"/>
      <c r="CP1554" s="115"/>
      <c r="CQ1554" s="115"/>
      <c r="CR1554" s="115"/>
      <c r="CS1554" s="115"/>
      <c r="CT1554" s="115"/>
      <c r="CU1554" s="115"/>
      <c r="CV1554" s="115"/>
      <c r="CW1554" s="115"/>
      <c r="CX1554" s="115"/>
      <c r="CY1554" s="115"/>
      <c r="CZ1554" s="115"/>
      <c r="DA1554" s="115"/>
      <c r="DB1554" s="115"/>
      <c r="DC1554" s="115"/>
      <c r="DD1554" s="115"/>
      <c r="DE1554" s="115"/>
      <c r="DF1554" s="115"/>
      <c r="DG1554" s="115"/>
    </row>
    <row r="1555" spans="55:111" ht="9" hidden="1" customHeight="1">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c r="BY1555" s="115"/>
      <c r="BZ1555" s="115"/>
      <c r="CA1555" s="115"/>
      <c r="CB1555" s="115"/>
      <c r="CC1555" s="115"/>
      <c r="CD1555" s="115"/>
      <c r="CE1555" s="115"/>
      <c r="CF1555" s="115"/>
      <c r="CG1555" s="115"/>
      <c r="CH1555" s="115"/>
      <c r="CI1555" s="115"/>
      <c r="CJ1555" s="115"/>
      <c r="CK1555" s="115"/>
      <c r="CL1555" s="115"/>
      <c r="CM1555" s="115"/>
      <c r="CN1555" s="115"/>
      <c r="CO1555" s="115"/>
      <c r="CP1555" s="115"/>
      <c r="CQ1555" s="115"/>
      <c r="CR1555" s="115"/>
      <c r="CS1555" s="115"/>
      <c r="CT1555" s="115"/>
      <c r="CU1555" s="115"/>
      <c r="CV1555" s="115"/>
      <c r="CW1555" s="115"/>
      <c r="CX1555" s="115"/>
      <c r="CY1555" s="115"/>
      <c r="CZ1555" s="115"/>
      <c r="DA1555" s="115"/>
      <c r="DB1555" s="115"/>
      <c r="DC1555" s="115"/>
      <c r="DD1555" s="115"/>
      <c r="DE1555" s="115"/>
      <c r="DF1555" s="115"/>
      <c r="DG1555" s="115"/>
    </row>
    <row r="1556" spans="55:111" ht="9" hidden="1" customHeight="1">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c r="BY1556" s="115"/>
      <c r="BZ1556" s="115"/>
      <c r="CA1556" s="115"/>
      <c r="CB1556" s="115"/>
      <c r="CC1556" s="115"/>
      <c r="CD1556" s="115"/>
      <c r="CE1556" s="115"/>
      <c r="CF1556" s="115"/>
      <c r="CG1556" s="115"/>
      <c r="CH1556" s="115"/>
      <c r="CI1556" s="115"/>
      <c r="CJ1556" s="115"/>
      <c r="CK1556" s="115"/>
      <c r="CL1556" s="115"/>
      <c r="CM1556" s="115"/>
      <c r="CN1556" s="115"/>
      <c r="CO1556" s="115"/>
      <c r="CP1556" s="115"/>
      <c r="CQ1556" s="115"/>
      <c r="CR1556" s="115"/>
      <c r="CS1556" s="115"/>
      <c r="CT1556" s="115"/>
      <c r="CU1556" s="115"/>
      <c r="CV1556" s="115"/>
      <c r="CW1556" s="115"/>
      <c r="CX1556" s="115"/>
      <c r="CY1556" s="115"/>
      <c r="CZ1556" s="115"/>
      <c r="DA1556" s="115"/>
      <c r="DB1556" s="115"/>
      <c r="DC1556" s="115"/>
      <c r="DD1556" s="115"/>
      <c r="DE1556" s="115"/>
      <c r="DF1556" s="115"/>
      <c r="DG1556" s="115"/>
    </row>
    <row r="1557" spans="55:111" ht="9" hidden="1" customHeight="1">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c r="BY1557" s="115"/>
      <c r="BZ1557" s="115"/>
      <c r="CA1557" s="115"/>
      <c r="CB1557" s="115"/>
      <c r="CC1557" s="115"/>
      <c r="CD1557" s="115"/>
      <c r="CE1557" s="115"/>
      <c r="CF1557" s="115"/>
      <c r="CG1557" s="115"/>
      <c r="CH1557" s="115"/>
      <c r="CI1557" s="115"/>
      <c r="CJ1557" s="115"/>
      <c r="CK1557" s="115"/>
      <c r="CL1557" s="115"/>
      <c r="CM1557" s="115"/>
      <c r="CN1557" s="115"/>
      <c r="CO1557" s="115"/>
      <c r="CP1557" s="115"/>
      <c r="CQ1557" s="115"/>
      <c r="CR1557" s="115"/>
      <c r="CS1557" s="115"/>
      <c r="CT1557" s="115"/>
      <c r="CU1557" s="115"/>
      <c r="CV1557" s="115"/>
      <c r="CW1557" s="115"/>
      <c r="CX1557" s="115"/>
      <c r="CY1557" s="115"/>
      <c r="CZ1557" s="115"/>
      <c r="DA1557" s="115"/>
      <c r="DB1557" s="115"/>
      <c r="DC1557" s="115"/>
      <c r="DD1557" s="115"/>
      <c r="DE1557" s="115"/>
      <c r="DF1557" s="115"/>
      <c r="DG1557" s="115"/>
    </row>
    <row r="1558" spans="55:111" ht="9" hidden="1" customHeight="1">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c r="BY1558" s="115"/>
      <c r="BZ1558" s="115"/>
      <c r="CA1558" s="115"/>
      <c r="CB1558" s="115"/>
      <c r="CC1558" s="115"/>
      <c r="CD1558" s="115"/>
      <c r="CE1558" s="115"/>
      <c r="CF1558" s="115"/>
      <c r="CG1558" s="115"/>
      <c r="CH1558" s="115"/>
      <c r="CI1558" s="115"/>
      <c r="CJ1558" s="115"/>
      <c r="CK1558" s="115"/>
      <c r="CL1558" s="115"/>
      <c r="CM1558" s="115"/>
      <c r="CN1558" s="115"/>
      <c r="CO1558" s="115"/>
      <c r="CP1558" s="115"/>
      <c r="CQ1558" s="115"/>
      <c r="CR1558" s="115"/>
      <c r="CS1558" s="115"/>
      <c r="CT1558" s="115"/>
      <c r="CU1558" s="115"/>
      <c r="CV1558" s="115"/>
      <c r="CW1558" s="115"/>
      <c r="CX1558" s="115"/>
      <c r="CY1558" s="115"/>
      <c r="CZ1558" s="115"/>
      <c r="DA1558" s="115"/>
      <c r="DB1558" s="115"/>
      <c r="DC1558" s="115"/>
      <c r="DD1558" s="115"/>
      <c r="DE1558" s="115"/>
      <c r="DF1558" s="115"/>
      <c r="DG1558" s="115"/>
    </row>
    <row r="1559" spans="55:111" ht="9" hidden="1" customHeight="1">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c r="BY1559" s="115"/>
      <c r="BZ1559" s="115"/>
      <c r="CA1559" s="115"/>
      <c r="CB1559" s="115"/>
      <c r="CC1559" s="115"/>
      <c r="CD1559" s="115"/>
      <c r="CE1559" s="115"/>
      <c r="CF1559" s="115"/>
      <c r="CG1559" s="115"/>
      <c r="CH1559" s="115"/>
      <c r="CI1559" s="115"/>
      <c r="CJ1559" s="115"/>
      <c r="CK1559" s="115"/>
      <c r="CL1559" s="115"/>
      <c r="CM1559" s="115"/>
      <c r="CN1559" s="115"/>
      <c r="CO1559" s="115"/>
      <c r="CP1559" s="115"/>
      <c r="CQ1559" s="115"/>
      <c r="CR1559" s="115"/>
      <c r="CS1559" s="115"/>
      <c r="CT1559" s="115"/>
      <c r="CU1559" s="115"/>
      <c r="CV1559" s="115"/>
      <c r="CW1559" s="115"/>
      <c r="CX1559" s="115"/>
      <c r="CY1559" s="115"/>
      <c r="CZ1559" s="115"/>
      <c r="DA1559" s="115"/>
      <c r="DB1559" s="115"/>
      <c r="DC1559" s="115"/>
      <c r="DD1559" s="115"/>
      <c r="DE1559" s="115"/>
      <c r="DF1559" s="115"/>
      <c r="DG1559" s="115"/>
    </row>
    <row r="1560" spans="55:111" ht="9" hidden="1" customHeight="1">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c r="BY1560" s="115"/>
      <c r="BZ1560" s="115"/>
      <c r="CA1560" s="115"/>
      <c r="CB1560" s="115"/>
      <c r="CC1560" s="115"/>
      <c r="CD1560" s="115"/>
      <c r="CE1560" s="115"/>
      <c r="CF1560" s="115"/>
      <c r="CG1560" s="115"/>
      <c r="CH1560" s="115"/>
      <c r="CI1560" s="115"/>
      <c r="CJ1560" s="115"/>
      <c r="CK1560" s="115"/>
      <c r="CL1560" s="115"/>
      <c r="CM1560" s="115"/>
      <c r="CN1560" s="115"/>
      <c r="CO1560" s="115"/>
      <c r="CP1560" s="115"/>
      <c r="CQ1560" s="115"/>
      <c r="CR1560" s="115"/>
      <c r="CS1560" s="115"/>
      <c r="CT1560" s="115"/>
      <c r="CU1560" s="115"/>
      <c r="CV1560" s="115"/>
      <c r="CW1560" s="115"/>
      <c r="CX1560" s="115"/>
      <c r="CY1560" s="115"/>
      <c r="CZ1560" s="115"/>
      <c r="DA1560" s="115"/>
      <c r="DB1560" s="115"/>
      <c r="DC1560" s="115"/>
      <c r="DD1560" s="115"/>
      <c r="DE1560" s="115"/>
      <c r="DF1560" s="115"/>
      <c r="DG1560" s="115"/>
    </row>
    <row r="1561" spans="55:111" ht="9" hidden="1" customHeight="1">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c r="BY1561" s="115"/>
      <c r="BZ1561" s="115"/>
      <c r="CA1561" s="115"/>
      <c r="CB1561" s="115"/>
      <c r="CC1561" s="115"/>
      <c r="CD1561" s="115"/>
      <c r="CE1561" s="115"/>
      <c r="CF1561" s="115"/>
      <c r="CG1561" s="115"/>
      <c r="CH1561" s="115"/>
      <c r="CI1561" s="115"/>
      <c r="CJ1561" s="115"/>
      <c r="CK1561" s="115"/>
      <c r="CL1561" s="115"/>
      <c r="CM1561" s="115"/>
      <c r="CN1561" s="115"/>
      <c r="CO1561" s="115"/>
      <c r="CP1561" s="115"/>
      <c r="CQ1561" s="115"/>
      <c r="CR1561" s="115"/>
      <c r="CS1561" s="115"/>
      <c r="CT1561" s="115"/>
      <c r="CU1561" s="115"/>
      <c r="CV1561" s="115"/>
      <c r="CW1561" s="115"/>
      <c r="CX1561" s="115"/>
      <c r="CY1561" s="115"/>
      <c r="CZ1561" s="115"/>
      <c r="DA1561" s="115"/>
      <c r="DB1561" s="115"/>
      <c r="DC1561" s="115"/>
      <c r="DD1561" s="115"/>
      <c r="DE1561" s="115"/>
      <c r="DF1561" s="115"/>
      <c r="DG1561" s="115"/>
    </row>
    <row r="1562" spans="55:111" ht="9" hidden="1" customHeight="1">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c r="BY1562" s="115"/>
      <c r="BZ1562" s="115"/>
      <c r="CA1562" s="115"/>
      <c r="CB1562" s="115"/>
      <c r="CC1562" s="115"/>
      <c r="CD1562" s="115"/>
      <c r="CE1562" s="115"/>
      <c r="CF1562" s="115"/>
      <c r="CG1562" s="115"/>
      <c r="CH1562" s="115"/>
      <c r="CI1562" s="115"/>
      <c r="CJ1562" s="115"/>
      <c r="CK1562" s="115"/>
      <c r="CL1562" s="115"/>
      <c r="CM1562" s="115"/>
      <c r="CN1562" s="115"/>
      <c r="CO1562" s="115"/>
      <c r="CP1562" s="115"/>
      <c r="CQ1562" s="115"/>
      <c r="CR1562" s="115"/>
      <c r="CS1562" s="115"/>
      <c r="CT1562" s="115"/>
      <c r="CU1562" s="115"/>
      <c r="CV1562" s="115"/>
      <c r="CW1562" s="115"/>
      <c r="CX1562" s="115"/>
      <c r="CY1562" s="115"/>
      <c r="CZ1562" s="115"/>
      <c r="DA1562" s="115"/>
      <c r="DB1562" s="115"/>
      <c r="DC1562" s="115"/>
      <c r="DD1562" s="115"/>
      <c r="DE1562" s="115"/>
      <c r="DF1562" s="115"/>
      <c r="DG1562" s="115"/>
    </row>
    <row r="1563" spans="55:111" ht="9" hidden="1" customHeight="1">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c r="BY1563" s="115"/>
      <c r="BZ1563" s="115"/>
      <c r="CA1563" s="115"/>
      <c r="CB1563" s="115"/>
      <c r="CC1563" s="115"/>
      <c r="CD1563" s="115"/>
      <c r="CE1563" s="115"/>
      <c r="CF1563" s="115"/>
      <c r="CG1563" s="115"/>
      <c r="CH1563" s="115"/>
      <c r="CI1563" s="115"/>
      <c r="CJ1563" s="115"/>
      <c r="CK1563" s="115"/>
      <c r="CL1563" s="115"/>
      <c r="CM1563" s="115"/>
      <c r="CN1563" s="115"/>
      <c r="CO1563" s="115"/>
      <c r="CP1563" s="115"/>
      <c r="CQ1563" s="115"/>
      <c r="CR1563" s="115"/>
      <c r="CS1563" s="115"/>
      <c r="CT1563" s="115"/>
      <c r="CU1563" s="115"/>
      <c r="CV1563" s="115"/>
      <c r="CW1563" s="115"/>
      <c r="CX1563" s="115"/>
      <c r="CY1563" s="115"/>
      <c r="CZ1563" s="115"/>
      <c r="DA1563" s="115"/>
      <c r="DB1563" s="115"/>
      <c r="DC1563" s="115"/>
      <c r="DD1563" s="115"/>
      <c r="DE1563" s="115"/>
      <c r="DF1563" s="115"/>
      <c r="DG1563" s="115"/>
    </row>
    <row r="1564" spans="55:111" ht="9" hidden="1" customHeight="1">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c r="BY1564" s="115"/>
      <c r="BZ1564" s="115"/>
      <c r="CA1564" s="115"/>
      <c r="CB1564" s="115"/>
      <c r="CC1564" s="115"/>
      <c r="CD1564" s="115"/>
      <c r="CE1564" s="115"/>
      <c r="CF1564" s="115"/>
      <c r="CG1564" s="115"/>
      <c r="CH1564" s="115"/>
      <c r="CI1564" s="115"/>
      <c r="CJ1564" s="115"/>
      <c r="CK1564" s="115"/>
      <c r="CL1564" s="115"/>
      <c r="CM1564" s="115"/>
      <c r="CN1564" s="115"/>
      <c r="CO1564" s="115"/>
      <c r="CP1564" s="115"/>
      <c r="CQ1564" s="115"/>
      <c r="CR1564" s="115"/>
      <c r="CS1564" s="115"/>
      <c r="CT1564" s="115"/>
      <c r="CU1564" s="115"/>
      <c r="CV1564" s="115"/>
      <c r="CW1564" s="115"/>
      <c r="CX1564" s="115"/>
      <c r="CY1564" s="115"/>
      <c r="CZ1564" s="115"/>
      <c r="DA1564" s="115"/>
      <c r="DB1564" s="115"/>
      <c r="DC1564" s="115"/>
      <c r="DD1564" s="115"/>
      <c r="DE1564" s="115"/>
      <c r="DF1564" s="115"/>
      <c r="DG1564" s="115"/>
    </row>
    <row r="1565" spans="55:111" ht="9" hidden="1" customHeight="1">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c r="BY1565" s="115"/>
      <c r="BZ1565" s="115"/>
      <c r="CA1565" s="115"/>
      <c r="CB1565" s="115"/>
      <c r="CC1565" s="115"/>
      <c r="CD1565" s="115"/>
      <c r="CE1565" s="115"/>
      <c r="CF1565" s="115"/>
      <c r="CG1565" s="115"/>
      <c r="CH1565" s="115"/>
      <c r="CI1565" s="115"/>
      <c r="CJ1565" s="115"/>
      <c r="CK1565" s="115"/>
      <c r="CL1565" s="115"/>
      <c r="CM1565" s="115"/>
      <c r="CN1565" s="115"/>
      <c r="CO1565" s="115"/>
      <c r="CP1565" s="115"/>
      <c r="CQ1565" s="115"/>
      <c r="CR1565" s="115"/>
      <c r="CS1565" s="115"/>
      <c r="CT1565" s="115"/>
      <c r="CU1565" s="115"/>
      <c r="CV1565" s="115"/>
      <c r="CW1565" s="115"/>
      <c r="CX1565" s="115"/>
      <c r="CY1565" s="115"/>
      <c r="CZ1565" s="115"/>
      <c r="DA1565" s="115"/>
      <c r="DB1565" s="115"/>
      <c r="DC1565" s="115"/>
      <c r="DD1565" s="115"/>
      <c r="DE1565" s="115"/>
      <c r="DF1565" s="115"/>
      <c r="DG1565" s="115"/>
    </row>
    <row r="1566" spans="55:111" ht="9" hidden="1" customHeight="1">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c r="BY1566" s="115"/>
      <c r="BZ1566" s="115"/>
      <c r="CA1566" s="115"/>
      <c r="CB1566" s="115"/>
      <c r="CC1566" s="115"/>
      <c r="CD1566" s="115"/>
      <c r="CE1566" s="115"/>
      <c r="CF1566" s="115"/>
      <c r="CG1566" s="115"/>
      <c r="CH1566" s="115"/>
      <c r="CI1566" s="115"/>
      <c r="CJ1566" s="115"/>
      <c r="CK1566" s="115"/>
      <c r="CL1566" s="115"/>
      <c r="CM1566" s="115"/>
      <c r="CN1566" s="115"/>
      <c r="CO1566" s="115"/>
      <c r="CP1566" s="115"/>
      <c r="CQ1566" s="115"/>
      <c r="CR1566" s="115"/>
      <c r="CS1566" s="115"/>
      <c r="CT1566" s="115"/>
      <c r="CU1566" s="115"/>
      <c r="CV1566" s="115"/>
      <c r="CW1566" s="115"/>
      <c r="CX1566" s="115"/>
      <c r="CY1566" s="115"/>
      <c r="CZ1566" s="115"/>
      <c r="DA1566" s="115"/>
      <c r="DB1566" s="115"/>
      <c r="DC1566" s="115"/>
      <c r="DD1566" s="115"/>
      <c r="DE1566" s="115"/>
      <c r="DF1566" s="115"/>
      <c r="DG1566" s="115"/>
    </row>
    <row r="1567" spans="55:111" ht="9" hidden="1" customHeight="1">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c r="BY1567" s="115"/>
      <c r="BZ1567" s="115"/>
      <c r="CA1567" s="115"/>
      <c r="CB1567" s="115"/>
      <c r="CC1567" s="115"/>
      <c r="CD1567" s="115"/>
      <c r="CE1567" s="115"/>
      <c r="CF1567" s="115"/>
      <c r="CG1567" s="115"/>
      <c r="CH1567" s="115"/>
      <c r="CI1567" s="115"/>
      <c r="CJ1567" s="115"/>
      <c r="CK1567" s="115"/>
      <c r="CL1567" s="115"/>
      <c r="CM1567" s="115"/>
      <c r="CN1567" s="115"/>
      <c r="CO1567" s="115"/>
      <c r="CP1567" s="115"/>
      <c r="CQ1567" s="115"/>
      <c r="CR1567" s="115"/>
      <c r="CS1567" s="115"/>
      <c r="CT1567" s="115"/>
      <c r="CU1567" s="115"/>
      <c r="CV1567" s="115"/>
      <c r="CW1567" s="115"/>
      <c r="CX1567" s="115"/>
      <c r="CY1567" s="115"/>
      <c r="CZ1567" s="115"/>
      <c r="DA1567" s="115"/>
      <c r="DB1567" s="115"/>
      <c r="DC1567" s="115"/>
      <c r="DD1567" s="115"/>
      <c r="DE1567" s="115"/>
      <c r="DF1567" s="115"/>
      <c r="DG1567" s="115"/>
    </row>
    <row r="1568" spans="55:111" ht="9" hidden="1" customHeight="1">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c r="BY1568" s="115"/>
      <c r="BZ1568" s="115"/>
      <c r="CA1568" s="115"/>
      <c r="CB1568" s="115"/>
      <c r="CC1568" s="115"/>
      <c r="CD1568" s="115"/>
      <c r="CE1568" s="115"/>
      <c r="CF1568" s="115"/>
      <c r="CG1568" s="115"/>
      <c r="CH1568" s="115"/>
      <c r="CI1568" s="115"/>
      <c r="CJ1568" s="115"/>
      <c r="CK1568" s="115"/>
      <c r="CL1568" s="115"/>
      <c r="CM1568" s="115"/>
      <c r="CN1568" s="115"/>
      <c r="CO1568" s="115"/>
      <c r="CP1568" s="115"/>
      <c r="CQ1568" s="115"/>
      <c r="CR1568" s="115"/>
      <c r="CS1568" s="115"/>
      <c r="CT1568" s="115"/>
      <c r="CU1568" s="115"/>
      <c r="CV1568" s="115"/>
      <c r="CW1568" s="115"/>
      <c r="CX1568" s="115"/>
      <c r="CY1568" s="115"/>
      <c r="CZ1568" s="115"/>
      <c r="DA1568" s="115"/>
      <c r="DB1568" s="115"/>
      <c r="DC1568" s="115"/>
      <c r="DD1568" s="115"/>
      <c r="DE1568" s="115"/>
      <c r="DF1568" s="115"/>
      <c r="DG1568" s="115"/>
    </row>
    <row r="1569" spans="55:111" ht="9" hidden="1" customHeight="1">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c r="BY1569" s="115"/>
      <c r="BZ1569" s="115"/>
      <c r="CA1569" s="115"/>
      <c r="CB1569" s="115"/>
      <c r="CC1569" s="115"/>
      <c r="CD1569" s="115"/>
      <c r="CE1569" s="115"/>
      <c r="CF1569" s="115"/>
      <c r="CG1569" s="115"/>
      <c r="CH1569" s="115"/>
      <c r="CI1569" s="115"/>
      <c r="CJ1569" s="115"/>
      <c r="CK1569" s="115"/>
      <c r="CL1569" s="115"/>
      <c r="CM1569" s="115"/>
      <c r="CN1569" s="115"/>
      <c r="CO1569" s="115"/>
      <c r="CP1569" s="115"/>
      <c r="CQ1569" s="115"/>
      <c r="CR1569" s="115"/>
      <c r="CS1569" s="115"/>
      <c r="CT1569" s="115"/>
      <c r="CU1569" s="115"/>
      <c r="CV1569" s="115"/>
      <c r="CW1569" s="115"/>
      <c r="CX1569" s="115"/>
      <c r="CY1569" s="115"/>
      <c r="CZ1569" s="115"/>
      <c r="DA1569" s="115"/>
      <c r="DB1569" s="115"/>
      <c r="DC1569" s="115"/>
      <c r="DD1569" s="115"/>
      <c r="DE1569" s="115"/>
      <c r="DF1569" s="115"/>
      <c r="DG1569" s="115"/>
    </row>
    <row r="1570" spans="55:111" ht="9" hidden="1" customHeight="1">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c r="BY1570" s="115"/>
      <c r="BZ1570" s="115"/>
      <c r="CA1570" s="115"/>
      <c r="CB1570" s="115"/>
      <c r="CC1570" s="115"/>
      <c r="CD1570" s="115"/>
      <c r="CE1570" s="115"/>
      <c r="CF1570" s="115"/>
      <c r="CG1570" s="115"/>
      <c r="CH1570" s="115"/>
      <c r="CI1570" s="115"/>
      <c r="CJ1570" s="115"/>
      <c r="CK1570" s="115"/>
      <c r="CL1570" s="115"/>
      <c r="CM1570" s="115"/>
      <c r="CN1570" s="115"/>
      <c r="CO1570" s="115"/>
      <c r="CP1570" s="115"/>
      <c r="CQ1570" s="115"/>
      <c r="CR1570" s="115"/>
      <c r="CS1570" s="115"/>
      <c r="CT1570" s="115"/>
      <c r="CU1570" s="115"/>
      <c r="CV1570" s="115"/>
      <c r="CW1570" s="115"/>
      <c r="CX1570" s="115"/>
      <c r="CY1570" s="115"/>
      <c r="CZ1570" s="115"/>
      <c r="DA1570" s="115"/>
      <c r="DB1570" s="115"/>
      <c r="DC1570" s="115"/>
      <c r="DD1570" s="115"/>
      <c r="DE1570" s="115"/>
      <c r="DF1570" s="115"/>
      <c r="DG1570" s="115"/>
    </row>
    <row r="1571" spans="55:111" ht="9" hidden="1" customHeight="1">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c r="BY1571" s="115"/>
      <c r="BZ1571" s="115"/>
      <c r="CA1571" s="115"/>
      <c r="CB1571" s="115"/>
      <c r="CC1571" s="115"/>
      <c r="CD1571" s="115"/>
      <c r="CE1571" s="115"/>
      <c r="CF1571" s="115"/>
      <c r="CG1571" s="115"/>
      <c r="CH1571" s="115"/>
      <c r="CI1571" s="115"/>
      <c r="CJ1571" s="115"/>
      <c r="CK1571" s="115"/>
      <c r="CL1571" s="115"/>
      <c r="CM1571" s="115"/>
      <c r="CN1571" s="115"/>
      <c r="CO1571" s="115"/>
      <c r="CP1571" s="115"/>
      <c r="CQ1571" s="115"/>
      <c r="CR1571" s="115"/>
      <c r="CS1571" s="115"/>
      <c r="CT1571" s="115"/>
      <c r="CU1571" s="115"/>
      <c r="CV1571" s="115"/>
      <c r="CW1571" s="115"/>
      <c r="CX1571" s="115"/>
      <c r="CY1571" s="115"/>
      <c r="CZ1571" s="115"/>
      <c r="DA1571" s="115"/>
      <c r="DB1571" s="115"/>
      <c r="DC1571" s="115"/>
      <c r="DD1571" s="115"/>
      <c r="DE1571" s="115"/>
      <c r="DF1571" s="115"/>
      <c r="DG1571" s="115"/>
    </row>
    <row r="1572" spans="55:111" ht="9" hidden="1" customHeight="1">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c r="BY1572" s="115"/>
      <c r="BZ1572" s="115"/>
      <c r="CA1572" s="115"/>
      <c r="CB1572" s="115"/>
      <c r="CC1572" s="115"/>
      <c r="CD1572" s="115"/>
      <c r="CE1572" s="115"/>
      <c r="CF1572" s="115"/>
      <c r="CG1572" s="115"/>
      <c r="CH1572" s="115"/>
      <c r="CI1572" s="115"/>
      <c r="CJ1572" s="115"/>
      <c r="CK1572" s="115"/>
      <c r="CL1572" s="115"/>
      <c r="CM1572" s="115"/>
      <c r="CN1572" s="115"/>
      <c r="CO1572" s="115"/>
      <c r="CP1572" s="115"/>
      <c r="CQ1572" s="115"/>
      <c r="CR1572" s="115"/>
      <c r="CS1572" s="115"/>
      <c r="CT1572" s="115"/>
      <c r="CU1572" s="115"/>
      <c r="CV1572" s="115"/>
      <c r="CW1572" s="115"/>
      <c r="CX1572" s="115"/>
      <c r="CY1572" s="115"/>
      <c r="CZ1572" s="115"/>
      <c r="DA1572" s="115"/>
      <c r="DB1572" s="115"/>
      <c r="DC1572" s="115"/>
      <c r="DD1572" s="115"/>
      <c r="DE1572" s="115"/>
      <c r="DF1572" s="115"/>
      <c r="DG1572" s="115"/>
    </row>
    <row r="1573" spans="55:111" ht="9" hidden="1" customHeight="1">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c r="BY1573" s="115"/>
      <c r="BZ1573" s="115"/>
      <c r="CA1573" s="115"/>
      <c r="CB1573" s="115"/>
      <c r="CC1573" s="115"/>
      <c r="CD1573" s="115"/>
      <c r="CE1573" s="115"/>
      <c r="CF1573" s="115"/>
      <c r="CG1573" s="115"/>
      <c r="CH1573" s="115"/>
      <c r="CI1573" s="115"/>
      <c r="CJ1573" s="115"/>
      <c r="CK1573" s="115"/>
      <c r="CL1573" s="115"/>
      <c r="CM1573" s="115"/>
      <c r="CN1573" s="115"/>
      <c r="CO1573" s="115"/>
      <c r="CP1573" s="115"/>
      <c r="CQ1573" s="115"/>
      <c r="CR1573" s="115"/>
      <c r="CS1573" s="115"/>
      <c r="CT1573" s="115"/>
      <c r="CU1573" s="115"/>
      <c r="CV1573" s="115"/>
      <c r="CW1573" s="115"/>
      <c r="CX1573" s="115"/>
      <c r="CY1573" s="115"/>
      <c r="CZ1573" s="115"/>
      <c r="DA1573" s="115"/>
      <c r="DB1573" s="115"/>
      <c r="DC1573" s="115"/>
      <c r="DD1573" s="115"/>
      <c r="DE1573" s="115"/>
      <c r="DF1573" s="115"/>
      <c r="DG1573" s="115"/>
    </row>
    <row r="1574" spans="55:111" ht="9" hidden="1" customHeight="1">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c r="BY1574" s="115"/>
      <c r="BZ1574" s="115"/>
      <c r="CA1574" s="115"/>
      <c r="CB1574" s="115"/>
      <c r="CC1574" s="115"/>
      <c r="CD1574" s="115"/>
      <c r="CE1574" s="115"/>
      <c r="CF1574" s="115"/>
      <c r="CG1574" s="115"/>
      <c r="CH1574" s="115"/>
      <c r="CI1574" s="115"/>
      <c r="CJ1574" s="115"/>
      <c r="CK1574" s="115"/>
      <c r="CL1574" s="115"/>
      <c r="CM1574" s="115"/>
      <c r="CN1574" s="115"/>
      <c r="CO1574" s="115"/>
      <c r="CP1574" s="115"/>
      <c r="CQ1574" s="115"/>
      <c r="CR1574" s="115"/>
      <c r="CS1574" s="115"/>
      <c r="CT1574" s="115"/>
      <c r="CU1574" s="115"/>
      <c r="CV1574" s="115"/>
      <c r="CW1574" s="115"/>
      <c r="CX1574" s="115"/>
      <c r="CY1574" s="115"/>
      <c r="CZ1574" s="115"/>
      <c r="DA1574" s="115"/>
      <c r="DB1574" s="115"/>
      <c r="DC1574" s="115"/>
      <c r="DD1574" s="115"/>
      <c r="DE1574" s="115"/>
      <c r="DF1574" s="115"/>
      <c r="DG1574" s="115"/>
    </row>
    <row r="1575" spans="55:111" ht="9" hidden="1" customHeight="1">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c r="BY1575" s="115"/>
      <c r="BZ1575" s="115"/>
      <c r="CA1575" s="115"/>
      <c r="CB1575" s="115"/>
      <c r="CC1575" s="115"/>
      <c r="CD1575" s="115"/>
      <c r="CE1575" s="115"/>
      <c r="CF1575" s="115"/>
      <c r="CG1575" s="115"/>
      <c r="CH1575" s="115"/>
      <c r="CI1575" s="115"/>
      <c r="CJ1575" s="115"/>
      <c r="CK1575" s="115"/>
      <c r="CL1575" s="115"/>
      <c r="CM1575" s="115"/>
      <c r="CN1575" s="115"/>
      <c r="CO1575" s="115"/>
      <c r="CP1575" s="115"/>
      <c r="CQ1575" s="115"/>
      <c r="CR1575" s="115"/>
      <c r="CS1575" s="115"/>
      <c r="CT1575" s="115"/>
      <c r="CU1575" s="115"/>
      <c r="CV1575" s="115"/>
      <c r="CW1575" s="115"/>
      <c r="CX1575" s="115"/>
      <c r="CY1575" s="115"/>
      <c r="CZ1575" s="115"/>
      <c r="DA1575" s="115"/>
      <c r="DB1575" s="115"/>
      <c r="DC1575" s="115"/>
      <c r="DD1575" s="115"/>
      <c r="DE1575" s="115"/>
      <c r="DF1575" s="115"/>
      <c r="DG1575" s="115"/>
    </row>
    <row r="1576" spans="55:111" ht="9" hidden="1" customHeight="1">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c r="BY1576" s="115"/>
      <c r="BZ1576" s="115"/>
      <c r="CA1576" s="115"/>
      <c r="CB1576" s="115"/>
      <c r="CC1576" s="115"/>
      <c r="CD1576" s="115"/>
      <c r="CE1576" s="115"/>
      <c r="CF1576" s="115"/>
      <c r="CG1576" s="115"/>
      <c r="CH1576" s="115"/>
      <c r="CI1576" s="115"/>
      <c r="CJ1576" s="115"/>
      <c r="CK1576" s="115"/>
      <c r="CL1576" s="115"/>
      <c r="CM1576" s="115"/>
      <c r="CN1576" s="115"/>
      <c r="CO1576" s="115"/>
      <c r="CP1576" s="115"/>
      <c r="CQ1576" s="115"/>
      <c r="CR1576" s="115"/>
      <c r="CS1576" s="115"/>
      <c r="CT1576" s="115"/>
      <c r="CU1576" s="115"/>
      <c r="CV1576" s="115"/>
      <c r="CW1576" s="115"/>
      <c r="CX1576" s="115"/>
      <c r="CY1576" s="115"/>
      <c r="CZ1576" s="115"/>
      <c r="DA1576" s="115"/>
      <c r="DB1576" s="115"/>
      <c r="DC1576" s="115"/>
      <c r="DD1576" s="115"/>
      <c r="DE1576" s="115"/>
      <c r="DF1576" s="115"/>
      <c r="DG1576" s="115"/>
    </row>
    <row r="1577" spans="55:111" ht="9" hidden="1" customHeight="1">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c r="BY1577" s="115"/>
      <c r="BZ1577" s="115"/>
      <c r="CA1577" s="115"/>
      <c r="CB1577" s="115"/>
      <c r="CC1577" s="115"/>
      <c r="CD1577" s="115"/>
      <c r="CE1577" s="115"/>
      <c r="CF1577" s="115"/>
      <c r="CG1577" s="115"/>
      <c r="CH1577" s="115"/>
      <c r="CI1577" s="115"/>
      <c r="CJ1577" s="115"/>
      <c r="CK1577" s="115"/>
      <c r="CL1577" s="115"/>
      <c r="CM1577" s="115"/>
      <c r="CN1577" s="115"/>
      <c r="CO1577" s="115"/>
      <c r="CP1577" s="115"/>
      <c r="CQ1577" s="115"/>
      <c r="CR1577" s="115"/>
      <c r="CS1577" s="115"/>
      <c r="CT1577" s="115"/>
      <c r="CU1577" s="115"/>
      <c r="CV1577" s="115"/>
      <c r="CW1577" s="115"/>
      <c r="CX1577" s="115"/>
      <c r="CY1577" s="115"/>
      <c r="CZ1577" s="115"/>
      <c r="DA1577" s="115"/>
      <c r="DB1577" s="115"/>
      <c r="DC1577" s="115"/>
      <c r="DD1577" s="115"/>
      <c r="DE1577" s="115"/>
      <c r="DF1577" s="115"/>
      <c r="DG1577" s="115"/>
    </row>
    <row r="1578" spans="55:111" ht="9" hidden="1" customHeight="1">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c r="BY1578" s="115"/>
      <c r="BZ1578" s="115"/>
      <c r="CA1578" s="115"/>
      <c r="CB1578" s="115"/>
      <c r="CC1578" s="115"/>
      <c r="CD1578" s="115"/>
      <c r="CE1578" s="115"/>
      <c r="CF1578" s="115"/>
      <c r="CG1578" s="115"/>
      <c r="CH1578" s="115"/>
      <c r="CI1578" s="115"/>
      <c r="CJ1578" s="115"/>
      <c r="CK1578" s="115"/>
      <c r="CL1578" s="115"/>
      <c r="CM1578" s="115"/>
      <c r="CN1578" s="115"/>
      <c r="CO1578" s="115"/>
      <c r="CP1578" s="115"/>
      <c r="CQ1578" s="115"/>
      <c r="CR1578" s="115"/>
      <c r="CS1578" s="115"/>
      <c r="CT1578" s="115"/>
      <c r="CU1578" s="115"/>
      <c r="CV1578" s="115"/>
      <c r="CW1578" s="115"/>
      <c r="CX1578" s="115"/>
      <c r="CY1578" s="115"/>
      <c r="CZ1578" s="115"/>
      <c r="DA1578" s="115"/>
      <c r="DB1578" s="115"/>
      <c r="DC1578" s="115"/>
      <c r="DD1578" s="115"/>
      <c r="DE1578" s="115"/>
      <c r="DF1578" s="115"/>
      <c r="DG1578" s="115"/>
    </row>
    <row r="1579" spans="55:111" ht="9" hidden="1" customHeight="1">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c r="BY1579" s="115"/>
      <c r="BZ1579" s="115"/>
      <c r="CA1579" s="115"/>
      <c r="CB1579" s="115"/>
      <c r="CC1579" s="115"/>
      <c r="CD1579" s="115"/>
      <c r="CE1579" s="115"/>
      <c r="CF1579" s="115"/>
      <c r="CG1579" s="115"/>
      <c r="CH1579" s="115"/>
      <c r="CI1579" s="115"/>
      <c r="CJ1579" s="115"/>
      <c r="CK1579" s="115"/>
      <c r="CL1579" s="115"/>
      <c r="CM1579" s="115"/>
      <c r="CN1579" s="115"/>
      <c r="CO1579" s="115"/>
      <c r="CP1579" s="115"/>
      <c r="CQ1579" s="115"/>
      <c r="CR1579" s="115"/>
      <c r="CS1579" s="115"/>
      <c r="CT1579" s="115"/>
      <c r="CU1579" s="115"/>
      <c r="CV1579" s="115"/>
      <c r="CW1579" s="115"/>
      <c r="CX1579" s="115"/>
      <c r="CY1579" s="115"/>
      <c r="CZ1579" s="115"/>
      <c r="DA1579" s="115"/>
      <c r="DB1579" s="115"/>
      <c r="DC1579" s="115"/>
      <c r="DD1579" s="115"/>
      <c r="DE1579" s="115"/>
      <c r="DF1579" s="115"/>
      <c r="DG1579" s="115"/>
    </row>
    <row r="1580" spans="55:111" ht="9" hidden="1" customHeight="1">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c r="BY1580" s="115"/>
      <c r="BZ1580" s="115"/>
      <c r="CA1580" s="115"/>
      <c r="CB1580" s="115"/>
      <c r="CC1580" s="115"/>
      <c r="CD1580" s="115"/>
      <c r="CE1580" s="115"/>
      <c r="CF1580" s="115"/>
      <c r="CG1580" s="115"/>
      <c r="CH1580" s="115"/>
      <c r="CI1580" s="115"/>
      <c r="CJ1580" s="115"/>
      <c r="CK1580" s="115"/>
      <c r="CL1580" s="115"/>
      <c r="CM1580" s="115"/>
      <c r="CN1580" s="115"/>
      <c r="CO1580" s="115"/>
      <c r="CP1580" s="115"/>
      <c r="CQ1580" s="115"/>
      <c r="CR1580" s="115"/>
      <c r="CS1580" s="115"/>
      <c r="CT1580" s="115"/>
      <c r="CU1580" s="115"/>
      <c r="CV1580" s="115"/>
      <c r="CW1580" s="115"/>
      <c r="CX1580" s="115"/>
      <c r="CY1580" s="115"/>
      <c r="CZ1580" s="115"/>
      <c r="DA1580" s="115"/>
      <c r="DB1580" s="115"/>
      <c r="DC1580" s="115"/>
      <c r="DD1580" s="115"/>
      <c r="DE1580" s="115"/>
      <c r="DF1580" s="115"/>
      <c r="DG1580" s="115"/>
    </row>
    <row r="1581" spans="55:111" ht="9" hidden="1" customHeight="1">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c r="BY1581" s="115"/>
      <c r="BZ1581" s="115"/>
      <c r="CA1581" s="115"/>
      <c r="CB1581" s="115"/>
      <c r="CC1581" s="115"/>
      <c r="CD1581" s="115"/>
      <c r="CE1581" s="115"/>
      <c r="CF1581" s="115"/>
      <c r="CG1581" s="115"/>
      <c r="CH1581" s="115"/>
      <c r="CI1581" s="115"/>
      <c r="CJ1581" s="115"/>
      <c r="CK1581" s="115"/>
      <c r="CL1581" s="115"/>
      <c r="CM1581" s="115"/>
      <c r="CN1581" s="115"/>
      <c r="CO1581" s="115"/>
      <c r="CP1581" s="115"/>
      <c r="CQ1581" s="115"/>
      <c r="CR1581" s="115"/>
      <c r="CS1581" s="115"/>
      <c r="CT1581" s="115"/>
      <c r="CU1581" s="115"/>
      <c r="CV1581" s="115"/>
      <c r="CW1581" s="115"/>
      <c r="CX1581" s="115"/>
      <c r="CY1581" s="115"/>
      <c r="CZ1581" s="115"/>
      <c r="DA1581" s="115"/>
      <c r="DB1581" s="115"/>
      <c r="DC1581" s="115"/>
      <c r="DD1581" s="115"/>
      <c r="DE1581" s="115"/>
      <c r="DF1581" s="115"/>
      <c r="DG1581" s="115"/>
    </row>
    <row r="1582" spans="55:111" ht="9" hidden="1" customHeight="1">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c r="BY1582" s="115"/>
      <c r="BZ1582" s="115"/>
      <c r="CA1582" s="115"/>
      <c r="CB1582" s="115"/>
      <c r="CC1582" s="115"/>
      <c r="CD1582" s="115"/>
      <c r="CE1582" s="115"/>
      <c r="CF1582" s="115"/>
      <c r="CG1582" s="115"/>
      <c r="CH1582" s="115"/>
      <c r="CI1582" s="115"/>
      <c r="CJ1582" s="115"/>
      <c r="CK1582" s="115"/>
      <c r="CL1582" s="115"/>
      <c r="CM1582" s="115"/>
      <c r="CN1582" s="115"/>
      <c r="CO1582" s="115"/>
      <c r="CP1582" s="115"/>
      <c r="CQ1582" s="115"/>
      <c r="CR1582" s="115"/>
      <c r="CS1582" s="115"/>
      <c r="CT1582" s="115"/>
      <c r="CU1582" s="115"/>
      <c r="CV1582" s="115"/>
      <c r="CW1582" s="115"/>
      <c r="CX1582" s="115"/>
      <c r="CY1582" s="115"/>
      <c r="CZ1582" s="115"/>
      <c r="DA1582" s="115"/>
      <c r="DB1582" s="115"/>
      <c r="DC1582" s="115"/>
      <c r="DD1582" s="115"/>
      <c r="DE1582" s="115"/>
      <c r="DF1582" s="115"/>
      <c r="DG1582" s="115"/>
    </row>
    <row r="1583" spans="55:111" ht="9" hidden="1" customHeight="1">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c r="BY1583" s="115"/>
      <c r="BZ1583" s="115"/>
      <c r="CA1583" s="115"/>
      <c r="CB1583" s="115"/>
      <c r="CC1583" s="115"/>
      <c r="CD1583" s="115"/>
      <c r="CE1583" s="115"/>
      <c r="CF1583" s="115"/>
      <c r="CG1583" s="115"/>
      <c r="CH1583" s="115"/>
      <c r="CI1583" s="115"/>
      <c r="CJ1583" s="115"/>
      <c r="CK1583" s="115"/>
      <c r="CL1583" s="115"/>
      <c r="CM1583" s="115"/>
      <c r="CN1583" s="115"/>
      <c r="CO1583" s="115"/>
      <c r="CP1583" s="115"/>
      <c r="CQ1583" s="115"/>
      <c r="CR1583" s="115"/>
      <c r="CS1583" s="115"/>
      <c r="CT1583" s="115"/>
      <c r="CU1583" s="115"/>
      <c r="CV1583" s="115"/>
      <c r="CW1583" s="115"/>
      <c r="CX1583" s="115"/>
      <c r="CY1583" s="115"/>
      <c r="CZ1583" s="115"/>
      <c r="DA1583" s="115"/>
      <c r="DB1583" s="115"/>
      <c r="DC1583" s="115"/>
      <c r="DD1583" s="115"/>
      <c r="DE1583" s="115"/>
      <c r="DF1583" s="115"/>
      <c r="DG1583" s="115"/>
    </row>
    <row r="1584" spans="55:111" ht="9" hidden="1" customHeight="1">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c r="BY1584" s="115"/>
      <c r="BZ1584" s="115"/>
      <c r="CA1584" s="115"/>
      <c r="CB1584" s="115"/>
      <c r="CC1584" s="115"/>
      <c r="CD1584" s="115"/>
      <c r="CE1584" s="115"/>
      <c r="CF1584" s="115"/>
      <c r="CG1584" s="115"/>
      <c r="CH1584" s="115"/>
      <c r="CI1584" s="115"/>
      <c r="CJ1584" s="115"/>
      <c r="CK1584" s="115"/>
      <c r="CL1584" s="115"/>
      <c r="CM1584" s="115"/>
      <c r="CN1584" s="115"/>
      <c r="CO1584" s="115"/>
      <c r="CP1584" s="115"/>
      <c r="CQ1584" s="115"/>
      <c r="CR1584" s="115"/>
      <c r="CS1584" s="115"/>
      <c r="CT1584" s="115"/>
      <c r="CU1584" s="115"/>
      <c r="CV1584" s="115"/>
      <c r="CW1584" s="115"/>
      <c r="CX1584" s="115"/>
      <c r="CY1584" s="115"/>
      <c r="CZ1584" s="115"/>
      <c r="DA1584" s="115"/>
      <c r="DB1584" s="115"/>
      <c r="DC1584" s="115"/>
      <c r="DD1584" s="115"/>
      <c r="DE1584" s="115"/>
      <c r="DF1584" s="115"/>
      <c r="DG1584" s="115"/>
    </row>
    <row r="1585" spans="55:111" ht="9" hidden="1" customHeight="1">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c r="BY1585" s="115"/>
      <c r="BZ1585" s="115"/>
      <c r="CA1585" s="115"/>
      <c r="CB1585" s="115"/>
      <c r="CC1585" s="115"/>
      <c r="CD1585" s="115"/>
      <c r="CE1585" s="115"/>
      <c r="CF1585" s="115"/>
      <c r="CG1585" s="115"/>
      <c r="CH1585" s="115"/>
      <c r="CI1585" s="115"/>
      <c r="CJ1585" s="115"/>
      <c r="CK1585" s="115"/>
      <c r="CL1585" s="115"/>
      <c r="CM1585" s="115"/>
      <c r="CN1585" s="115"/>
      <c r="CO1585" s="115"/>
      <c r="CP1585" s="115"/>
      <c r="CQ1585" s="115"/>
      <c r="CR1585" s="115"/>
      <c r="CS1585" s="115"/>
      <c r="CT1585" s="115"/>
      <c r="CU1585" s="115"/>
      <c r="CV1585" s="115"/>
      <c r="CW1585" s="115"/>
      <c r="CX1585" s="115"/>
      <c r="CY1585" s="115"/>
      <c r="CZ1585" s="115"/>
      <c r="DA1585" s="115"/>
      <c r="DB1585" s="115"/>
      <c r="DC1585" s="115"/>
      <c r="DD1585" s="115"/>
      <c r="DE1585" s="115"/>
      <c r="DF1585" s="115"/>
      <c r="DG1585" s="115"/>
    </row>
    <row r="1586" spans="55:111" ht="9" hidden="1" customHeight="1">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c r="BY1586" s="115"/>
      <c r="BZ1586" s="115"/>
      <c r="CA1586" s="115"/>
      <c r="CB1586" s="115"/>
      <c r="CC1586" s="115"/>
      <c r="CD1586" s="115"/>
      <c r="CE1586" s="115"/>
      <c r="CF1586" s="115"/>
      <c r="CG1586" s="115"/>
      <c r="CH1586" s="115"/>
      <c r="CI1586" s="115"/>
      <c r="CJ1586" s="115"/>
      <c r="CK1586" s="115"/>
      <c r="CL1586" s="115"/>
      <c r="CM1586" s="115"/>
      <c r="CN1586" s="115"/>
      <c r="CO1586" s="115"/>
      <c r="CP1586" s="115"/>
      <c r="CQ1586" s="115"/>
      <c r="CR1586" s="115"/>
      <c r="CS1586" s="115"/>
      <c r="CT1586" s="115"/>
      <c r="CU1586" s="115"/>
      <c r="CV1586" s="115"/>
      <c r="CW1586" s="115"/>
      <c r="CX1586" s="115"/>
      <c r="CY1586" s="115"/>
      <c r="CZ1586" s="115"/>
      <c r="DA1586" s="115"/>
      <c r="DB1586" s="115"/>
      <c r="DC1586" s="115"/>
      <c r="DD1586" s="115"/>
      <c r="DE1586" s="115"/>
      <c r="DF1586" s="115"/>
      <c r="DG1586" s="115"/>
    </row>
    <row r="1587" spans="55:111" ht="9" hidden="1" customHeight="1">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c r="BY1587" s="115"/>
      <c r="BZ1587" s="115"/>
      <c r="CA1587" s="115"/>
      <c r="CB1587" s="115"/>
      <c r="CC1587" s="115"/>
      <c r="CD1587" s="115"/>
      <c r="CE1587" s="115"/>
      <c r="CF1587" s="115"/>
      <c r="CG1587" s="115"/>
      <c r="CH1587" s="115"/>
      <c r="CI1587" s="115"/>
      <c r="CJ1587" s="115"/>
      <c r="CK1587" s="115"/>
      <c r="CL1587" s="115"/>
      <c r="CM1587" s="115"/>
      <c r="CN1587" s="115"/>
      <c r="CO1587" s="115"/>
      <c r="CP1587" s="115"/>
      <c r="CQ1587" s="115"/>
      <c r="CR1587" s="115"/>
      <c r="CS1587" s="115"/>
      <c r="CT1587" s="115"/>
      <c r="CU1587" s="115"/>
      <c r="CV1587" s="115"/>
      <c r="CW1587" s="115"/>
      <c r="CX1587" s="115"/>
      <c r="CY1587" s="115"/>
      <c r="CZ1587" s="115"/>
      <c r="DA1587" s="115"/>
      <c r="DB1587" s="115"/>
      <c r="DC1587" s="115"/>
      <c r="DD1587" s="115"/>
      <c r="DE1587" s="115"/>
      <c r="DF1587" s="115"/>
      <c r="DG1587" s="115"/>
    </row>
    <row r="1588" spans="55:111" ht="9" hidden="1" customHeight="1">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c r="BY1588" s="115"/>
      <c r="BZ1588" s="115"/>
      <c r="CA1588" s="115"/>
      <c r="CB1588" s="115"/>
      <c r="CC1588" s="115"/>
      <c r="CD1588" s="115"/>
      <c r="CE1588" s="115"/>
      <c r="CF1588" s="115"/>
      <c r="CG1588" s="115"/>
      <c r="CH1588" s="115"/>
      <c r="CI1588" s="115"/>
      <c r="CJ1588" s="115"/>
      <c r="CK1588" s="115"/>
      <c r="CL1588" s="115"/>
      <c r="CM1588" s="115"/>
      <c r="CN1588" s="115"/>
      <c r="CO1588" s="115"/>
      <c r="CP1588" s="115"/>
      <c r="CQ1588" s="115"/>
      <c r="CR1588" s="115"/>
      <c r="CS1588" s="115"/>
      <c r="CT1588" s="115"/>
      <c r="CU1588" s="115"/>
      <c r="CV1588" s="115"/>
      <c r="CW1588" s="115"/>
      <c r="CX1588" s="115"/>
      <c r="CY1588" s="115"/>
      <c r="CZ1588" s="115"/>
      <c r="DA1588" s="115"/>
      <c r="DB1588" s="115"/>
      <c r="DC1588" s="115"/>
      <c r="DD1588" s="115"/>
      <c r="DE1588" s="115"/>
      <c r="DF1588" s="115"/>
      <c r="DG1588" s="115"/>
    </row>
    <row r="1589" spans="55:111" ht="9" hidden="1" customHeight="1">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c r="BY1589" s="115"/>
      <c r="BZ1589" s="115"/>
      <c r="CA1589" s="115"/>
      <c r="CB1589" s="115"/>
      <c r="CC1589" s="115"/>
      <c r="CD1589" s="115"/>
      <c r="CE1589" s="115"/>
      <c r="CF1589" s="115"/>
      <c r="CG1589" s="115"/>
      <c r="CH1589" s="115"/>
      <c r="CI1589" s="115"/>
      <c r="CJ1589" s="115"/>
      <c r="CK1589" s="115"/>
      <c r="CL1589" s="115"/>
      <c r="CM1589" s="115"/>
      <c r="CN1589" s="115"/>
      <c r="CO1589" s="115"/>
      <c r="CP1589" s="115"/>
      <c r="CQ1589" s="115"/>
      <c r="CR1589" s="115"/>
      <c r="CS1589" s="115"/>
      <c r="CT1589" s="115"/>
      <c r="CU1589" s="115"/>
      <c r="CV1589" s="115"/>
      <c r="CW1589" s="115"/>
      <c r="CX1589" s="115"/>
      <c r="CY1589" s="115"/>
      <c r="CZ1589" s="115"/>
      <c r="DA1589" s="115"/>
      <c r="DB1589" s="115"/>
      <c r="DC1589" s="115"/>
      <c r="DD1589" s="115"/>
      <c r="DE1589" s="115"/>
      <c r="DF1589" s="115"/>
      <c r="DG1589" s="115"/>
    </row>
    <row r="1590" spans="55:111" ht="9" hidden="1" customHeight="1">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c r="BY1590" s="115"/>
      <c r="BZ1590" s="115"/>
      <c r="CA1590" s="115"/>
      <c r="CB1590" s="115"/>
      <c r="CC1590" s="115"/>
      <c r="CD1590" s="115"/>
      <c r="CE1590" s="115"/>
      <c r="CF1590" s="115"/>
      <c r="CG1590" s="115"/>
      <c r="CH1590" s="115"/>
      <c r="CI1590" s="115"/>
      <c r="CJ1590" s="115"/>
      <c r="CK1590" s="115"/>
      <c r="CL1590" s="115"/>
      <c r="CM1590" s="115"/>
      <c r="CN1590" s="115"/>
      <c r="CO1590" s="115"/>
      <c r="CP1590" s="115"/>
      <c r="CQ1590" s="115"/>
      <c r="CR1590" s="115"/>
      <c r="CS1590" s="115"/>
      <c r="CT1590" s="115"/>
      <c r="CU1590" s="115"/>
      <c r="CV1590" s="115"/>
      <c r="CW1590" s="115"/>
      <c r="CX1590" s="115"/>
      <c r="CY1590" s="115"/>
      <c r="CZ1590" s="115"/>
      <c r="DA1590" s="115"/>
      <c r="DB1590" s="115"/>
      <c r="DC1590" s="115"/>
      <c r="DD1590" s="115"/>
      <c r="DE1590" s="115"/>
      <c r="DF1590" s="115"/>
      <c r="DG1590" s="115"/>
    </row>
    <row r="1591" spans="55:111" ht="9" hidden="1" customHeight="1">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c r="BY1591" s="115"/>
      <c r="BZ1591" s="115"/>
      <c r="CA1591" s="115"/>
      <c r="CB1591" s="115"/>
      <c r="CC1591" s="115"/>
      <c r="CD1591" s="115"/>
      <c r="CE1591" s="115"/>
      <c r="CF1591" s="115"/>
      <c r="CG1591" s="115"/>
      <c r="CH1591" s="115"/>
      <c r="CI1591" s="115"/>
      <c r="CJ1591" s="115"/>
      <c r="CK1591" s="115"/>
      <c r="CL1591" s="115"/>
      <c r="CM1591" s="115"/>
      <c r="CN1591" s="115"/>
      <c r="CO1591" s="115"/>
      <c r="CP1591" s="115"/>
      <c r="CQ1591" s="115"/>
      <c r="CR1591" s="115"/>
      <c r="CS1591" s="115"/>
      <c r="CT1591" s="115"/>
      <c r="CU1591" s="115"/>
      <c r="CV1591" s="115"/>
      <c r="CW1591" s="115"/>
      <c r="CX1591" s="115"/>
      <c r="CY1591" s="115"/>
      <c r="CZ1591" s="115"/>
      <c r="DA1591" s="115"/>
      <c r="DB1591" s="115"/>
      <c r="DC1591" s="115"/>
      <c r="DD1591" s="115"/>
      <c r="DE1591" s="115"/>
      <c r="DF1591" s="115"/>
      <c r="DG1591" s="115"/>
    </row>
    <row r="1592" spans="55:111" ht="9" hidden="1" customHeight="1">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c r="BY1592" s="115"/>
      <c r="BZ1592" s="115"/>
      <c r="CA1592" s="115"/>
      <c r="CB1592" s="115"/>
      <c r="CC1592" s="115"/>
      <c r="CD1592" s="115"/>
      <c r="CE1592" s="115"/>
      <c r="CF1592" s="115"/>
      <c r="CG1592" s="115"/>
      <c r="CH1592" s="115"/>
      <c r="CI1592" s="115"/>
      <c r="CJ1592" s="115"/>
      <c r="CK1592" s="115"/>
      <c r="CL1592" s="115"/>
      <c r="CM1592" s="115"/>
      <c r="CN1592" s="115"/>
      <c r="CO1592" s="115"/>
      <c r="CP1592" s="115"/>
      <c r="CQ1592" s="115"/>
      <c r="CR1592" s="115"/>
      <c r="CS1592" s="115"/>
      <c r="CT1592" s="115"/>
      <c r="CU1592" s="115"/>
      <c r="CV1592" s="115"/>
      <c r="CW1592" s="115"/>
      <c r="CX1592" s="115"/>
      <c r="CY1592" s="115"/>
      <c r="CZ1592" s="115"/>
      <c r="DA1592" s="115"/>
      <c r="DB1592" s="115"/>
      <c r="DC1592" s="115"/>
      <c r="DD1592" s="115"/>
      <c r="DE1592" s="115"/>
      <c r="DF1592" s="115"/>
      <c r="DG1592" s="115"/>
    </row>
    <row r="1593" spans="55:111" ht="9" hidden="1" customHeight="1">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c r="BY1593" s="115"/>
      <c r="BZ1593" s="115"/>
      <c r="CA1593" s="115"/>
      <c r="CB1593" s="115"/>
      <c r="CC1593" s="115"/>
      <c r="CD1593" s="115"/>
      <c r="CE1593" s="115"/>
      <c r="CF1593" s="115"/>
      <c r="CG1593" s="115"/>
      <c r="CH1593" s="115"/>
      <c r="CI1593" s="115"/>
      <c r="CJ1593" s="115"/>
      <c r="CK1593" s="115"/>
      <c r="CL1593" s="115"/>
      <c r="CM1593" s="115"/>
      <c r="CN1593" s="115"/>
      <c r="CO1593" s="115"/>
      <c r="CP1593" s="115"/>
      <c r="CQ1593" s="115"/>
      <c r="CR1593" s="115"/>
      <c r="CS1593" s="115"/>
      <c r="CT1593" s="115"/>
      <c r="CU1593" s="115"/>
      <c r="CV1593" s="115"/>
      <c r="CW1593" s="115"/>
      <c r="CX1593" s="115"/>
      <c r="CY1593" s="115"/>
      <c r="CZ1593" s="115"/>
      <c r="DA1593" s="115"/>
      <c r="DB1593" s="115"/>
      <c r="DC1593" s="115"/>
      <c r="DD1593" s="115"/>
      <c r="DE1593" s="115"/>
      <c r="DF1593" s="115"/>
      <c r="DG1593" s="115"/>
    </row>
    <row r="1594" spans="55:111" ht="9" hidden="1" customHeight="1">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c r="BY1594" s="115"/>
      <c r="BZ1594" s="115"/>
      <c r="CA1594" s="115"/>
      <c r="CB1594" s="115"/>
      <c r="CC1594" s="115"/>
      <c r="CD1594" s="115"/>
      <c r="CE1594" s="115"/>
      <c r="CF1594" s="115"/>
      <c r="CG1594" s="115"/>
      <c r="CH1594" s="115"/>
      <c r="CI1594" s="115"/>
      <c r="CJ1594" s="115"/>
      <c r="CK1594" s="115"/>
      <c r="CL1594" s="115"/>
      <c r="CM1594" s="115"/>
      <c r="CN1594" s="115"/>
      <c r="CO1594" s="115"/>
      <c r="CP1594" s="115"/>
      <c r="CQ1594" s="115"/>
      <c r="CR1594" s="115"/>
      <c r="CS1594" s="115"/>
      <c r="CT1594" s="115"/>
      <c r="CU1594" s="115"/>
      <c r="CV1594" s="115"/>
      <c r="CW1594" s="115"/>
      <c r="CX1594" s="115"/>
      <c r="CY1594" s="115"/>
      <c r="CZ1594" s="115"/>
      <c r="DA1594" s="115"/>
      <c r="DB1594" s="115"/>
      <c r="DC1594" s="115"/>
      <c r="DD1594" s="115"/>
      <c r="DE1594" s="115"/>
      <c r="DF1594" s="115"/>
      <c r="DG1594" s="115"/>
    </row>
    <row r="1595" spans="55:111" ht="9" hidden="1" customHeight="1">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c r="BY1595" s="115"/>
      <c r="BZ1595" s="115"/>
      <c r="CA1595" s="115"/>
      <c r="CB1595" s="115"/>
      <c r="CC1595" s="115"/>
      <c r="CD1595" s="115"/>
      <c r="CE1595" s="115"/>
      <c r="CF1595" s="115"/>
      <c r="CG1595" s="115"/>
      <c r="CH1595" s="115"/>
      <c r="CI1595" s="115"/>
      <c r="CJ1595" s="115"/>
      <c r="CK1595" s="115"/>
      <c r="CL1595" s="115"/>
      <c r="CM1595" s="115"/>
      <c r="CN1595" s="115"/>
      <c r="CO1595" s="115"/>
      <c r="CP1595" s="115"/>
      <c r="CQ1595" s="115"/>
      <c r="CR1595" s="115"/>
      <c r="CS1595" s="115"/>
      <c r="CT1595" s="115"/>
      <c r="CU1595" s="115"/>
      <c r="CV1595" s="115"/>
      <c r="CW1595" s="115"/>
      <c r="CX1595" s="115"/>
      <c r="CY1595" s="115"/>
      <c r="CZ1595" s="115"/>
      <c r="DA1595" s="115"/>
      <c r="DB1595" s="115"/>
      <c r="DC1595" s="115"/>
      <c r="DD1595" s="115"/>
      <c r="DE1595" s="115"/>
      <c r="DF1595" s="115"/>
      <c r="DG1595" s="115"/>
    </row>
    <row r="1596" spans="55:111" ht="9" hidden="1" customHeight="1">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c r="BY1596" s="115"/>
      <c r="BZ1596" s="115"/>
      <c r="CA1596" s="115"/>
      <c r="CB1596" s="115"/>
      <c r="CC1596" s="115"/>
      <c r="CD1596" s="115"/>
      <c r="CE1596" s="115"/>
      <c r="CF1596" s="115"/>
      <c r="CG1596" s="115"/>
      <c r="CH1596" s="115"/>
      <c r="CI1596" s="115"/>
      <c r="CJ1596" s="115"/>
      <c r="CK1596" s="115"/>
      <c r="CL1596" s="115"/>
      <c r="CM1596" s="115"/>
      <c r="CN1596" s="115"/>
      <c r="CO1596" s="115"/>
      <c r="CP1596" s="115"/>
      <c r="CQ1596" s="115"/>
      <c r="CR1596" s="115"/>
      <c r="CS1596" s="115"/>
      <c r="CT1596" s="115"/>
      <c r="CU1596" s="115"/>
      <c r="CV1596" s="115"/>
      <c r="CW1596" s="115"/>
      <c r="CX1596" s="115"/>
      <c r="CY1596" s="115"/>
      <c r="CZ1596" s="115"/>
      <c r="DA1596" s="115"/>
      <c r="DB1596" s="115"/>
      <c r="DC1596" s="115"/>
      <c r="DD1596" s="115"/>
      <c r="DE1596" s="115"/>
      <c r="DF1596" s="115"/>
      <c r="DG1596" s="115"/>
    </row>
    <row r="1597" spans="55:111" ht="9" hidden="1" customHeight="1">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c r="BY1597" s="115"/>
      <c r="BZ1597" s="115"/>
      <c r="CA1597" s="115"/>
      <c r="CB1597" s="115"/>
      <c r="CC1597" s="115"/>
      <c r="CD1597" s="115"/>
      <c r="CE1597" s="115"/>
      <c r="CF1597" s="115"/>
      <c r="CG1597" s="115"/>
      <c r="CH1597" s="115"/>
      <c r="CI1597" s="115"/>
      <c r="CJ1597" s="115"/>
      <c r="CK1597" s="115"/>
      <c r="CL1597" s="115"/>
      <c r="CM1597" s="115"/>
      <c r="CN1597" s="115"/>
      <c r="CO1597" s="115"/>
      <c r="CP1597" s="115"/>
      <c r="CQ1597" s="115"/>
      <c r="CR1597" s="115"/>
      <c r="CS1597" s="115"/>
      <c r="CT1597" s="115"/>
      <c r="CU1597" s="115"/>
      <c r="CV1597" s="115"/>
      <c r="CW1597" s="115"/>
      <c r="CX1597" s="115"/>
      <c r="CY1597" s="115"/>
      <c r="CZ1597" s="115"/>
      <c r="DA1597" s="115"/>
      <c r="DB1597" s="115"/>
      <c r="DC1597" s="115"/>
      <c r="DD1597" s="115"/>
      <c r="DE1597" s="115"/>
      <c r="DF1597" s="115"/>
      <c r="DG1597" s="115"/>
    </row>
    <row r="1598" spans="55:111" ht="9" hidden="1" customHeight="1">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c r="BY1598" s="115"/>
      <c r="BZ1598" s="115"/>
      <c r="CA1598" s="115"/>
      <c r="CB1598" s="115"/>
      <c r="CC1598" s="115"/>
      <c r="CD1598" s="115"/>
      <c r="CE1598" s="115"/>
      <c r="CF1598" s="115"/>
      <c r="CG1598" s="115"/>
      <c r="CH1598" s="115"/>
      <c r="CI1598" s="115"/>
      <c r="CJ1598" s="115"/>
      <c r="CK1598" s="115"/>
      <c r="CL1598" s="115"/>
      <c r="CM1598" s="115"/>
      <c r="CN1598" s="115"/>
      <c r="CO1598" s="115"/>
      <c r="CP1598" s="115"/>
      <c r="CQ1598" s="115"/>
      <c r="CR1598" s="115"/>
      <c r="CS1598" s="115"/>
      <c r="CT1598" s="115"/>
      <c r="CU1598" s="115"/>
      <c r="CV1598" s="115"/>
      <c r="CW1598" s="115"/>
      <c r="CX1598" s="115"/>
      <c r="CY1598" s="115"/>
      <c r="CZ1598" s="115"/>
      <c r="DA1598" s="115"/>
      <c r="DB1598" s="115"/>
      <c r="DC1598" s="115"/>
      <c r="DD1598" s="115"/>
      <c r="DE1598" s="115"/>
      <c r="DF1598" s="115"/>
      <c r="DG1598" s="115"/>
    </row>
    <row r="1599" spans="55:111" ht="9" hidden="1" customHeight="1">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c r="BY1599" s="115"/>
      <c r="BZ1599" s="115"/>
      <c r="CA1599" s="115"/>
      <c r="CB1599" s="115"/>
      <c r="CC1599" s="115"/>
      <c r="CD1599" s="115"/>
      <c r="CE1599" s="115"/>
      <c r="CF1599" s="115"/>
      <c r="CG1599" s="115"/>
      <c r="CH1599" s="115"/>
      <c r="CI1599" s="115"/>
      <c r="CJ1599" s="115"/>
      <c r="CK1599" s="115"/>
      <c r="CL1599" s="115"/>
      <c r="CM1599" s="115"/>
      <c r="CN1599" s="115"/>
      <c r="CO1599" s="115"/>
      <c r="CP1599" s="115"/>
      <c r="CQ1599" s="115"/>
      <c r="CR1599" s="115"/>
      <c r="CS1599" s="115"/>
      <c r="CT1599" s="115"/>
      <c r="CU1599" s="115"/>
      <c r="CV1599" s="115"/>
      <c r="CW1599" s="115"/>
      <c r="CX1599" s="115"/>
      <c r="CY1599" s="115"/>
      <c r="CZ1599" s="115"/>
      <c r="DA1599" s="115"/>
      <c r="DB1599" s="115"/>
      <c r="DC1599" s="115"/>
      <c r="DD1599" s="115"/>
      <c r="DE1599" s="115"/>
      <c r="DF1599" s="115"/>
      <c r="DG1599" s="115"/>
    </row>
    <row r="1600" spans="55:111" ht="9" hidden="1" customHeight="1">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c r="BY1600" s="115"/>
      <c r="BZ1600" s="115"/>
      <c r="CA1600" s="115"/>
      <c r="CB1600" s="115"/>
      <c r="CC1600" s="115"/>
      <c r="CD1600" s="115"/>
      <c r="CE1600" s="115"/>
      <c r="CF1600" s="115"/>
      <c r="CG1600" s="115"/>
      <c r="CH1600" s="115"/>
      <c r="CI1600" s="115"/>
      <c r="CJ1600" s="115"/>
      <c r="CK1600" s="115"/>
      <c r="CL1600" s="115"/>
      <c r="CM1600" s="115"/>
      <c r="CN1600" s="115"/>
      <c r="CO1600" s="115"/>
      <c r="CP1600" s="115"/>
      <c r="CQ1600" s="115"/>
      <c r="CR1600" s="115"/>
      <c r="CS1600" s="115"/>
      <c r="CT1600" s="115"/>
      <c r="CU1600" s="115"/>
      <c r="CV1600" s="115"/>
      <c r="CW1600" s="115"/>
      <c r="CX1600" s="115"/>
      <c r="CY1600" s="115"/>
      <c r="CZ1600" s="115"/>
      <c r="DA1600" s="115"/>
      <c r="DB1600" s="115"/>
      <c r="DC1600" s="115"/>
      <c r="DD1600" s="115"/>
      <c r="DE1600" s="115"/>
      <c r="DF1600" s="115"/>
      <c r="DG1600" s="115"/>
    </row>
    <row r="1601" spans="55:111" ht="9" hidden="1" customHeight="1">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c r="BY1601" s="115"/>
      <c r="BZ1601" s="115"/>
      <c r="CA1601" s="115"/>
      <c r="CB1601" s="115"/>
      <c r="CC1601" s="115"/>
      <c r="CD1601" s="115"/>
      <c r="CE1601" s="115"/>
      <c r="CF1601" s="115"/>
      <c r="CG1601" s="115"/>
      <c r="CH1601" s="115"/>
      <c r="CI1601" s="115"/>
      <c r="CJ1601" s="115"/>
      <c r="CK1601" s="115"/>
      <c r="CL1601" s="115"/>
      <c r="CM1601" s="115"/>
      <c r="CN1601" s="115"/>
      <c r="CO1601" s="115"/>
      <c r="CP1601" s="115"/>
      <c r="CQ1601" s="115"/>
      <c r="CR1601" s="115"/>
      <c r="CS1601" s="115"/>
      <c r="CT1601" s="115"/>
      <c r="CU1601" s="115"/>
      <c r="CV1601" s="115"/>
      <c r="CW1601" s="115"/>
      <c r="CX1601" s="115"/>
      <c r="CY1601" s="115"/>
      <c r="CZ1601" s="115"/>
      <c r="DA1601" s="115"/>
      <c r="DB1601" s="115"/>
      <c r="DC1601" s="115"/>
      <c r="DD1601" s="115"/>
      <c r="DE1601" s="115"/>
      <c r="DF1601" s="115"/>
      <c r="DG1601" s="115"/>
    </row>
    <row r="1602" spans="55:111" ht="9" hidden="1" customHeight="1">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c r="BY1602" s="115"/>
      <c r="BZ1602" s="115"/>
      <c r="CA1602" s="115"/>
      <c r="CB1602" s="115"/>
      <c r="CC1602" s="115"/>
      <c r="CD1602" s="115"/>
      <c r="CE1602" s="115"/>
      <c r="CF1602" s="115"/>
      <c r="CG1602" s="115"/>
      <c r="CH1602" s="115"/>
      <c r="CI1602" s="115"/>
      <c r="CJ1602" s="115"/>
      <c r="CK1602" s="115"/>
      <c r="CL1602" s="115"/>
      <c r="CM1602" s="115"/>
      <c r="CN1602" s="115"/>
      <c r="CO1602" s="115"/>
      <c r="CP1602" s="115"/>
      <c r="CQ1602" s="115"/>
      <c r="CR1602" s="115"/>
      <c r="CS1602" s="115"/>
      <c r="CT1602" s="115"/>
      <c r="CU1602" s="115"/>
      <c r="CV1602" s="115"/>
      <c r="CW1602" s="115"/>
      <c r="CX1602" s="115"/>
      <c r="CY1602" s="115"/>
      <c r="CZ1602" s="115"/>
      <c r="DA1602" s="115"/>
      <c r="DB1602" s="115"/>
      <c r="DC1602" s="115"/>
      <c r="DD1602" s="115"/>
      <c r="DE1602" s="115"/>
      <c r="DF1602" s="115"/>
      <c r="DG1602" s="115"/>
    </row>
    <row r="1603" spans="55:111" ht="9" hidden="1" customHeight="1">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c r="BY1603" s="115"/>
      <c r="BZ1603" s="115"/>
      <c r="CA1603" s="115"/>
      <c r="CB1603" s="115"/>
      <c r="CC1603" s="115"/>
      <c r="CD1603" s="115"/>
      <c r="CE1603" s="115"/>
      <c r="CF1603" s="115"/>
      <c r="CG1603" s="115"/>
      <c r="CH1603" s="115"/>
      <c r="CI1603" s="115"/>
      <c r="CJ1603" s="115"/>
      <c r="CK1603" s="115"/>
      <c r="CL1603" s="115"/>
      <c r="CM1603" s="115"/>
      <c r="CN1603" s="115"/>
      <c r="CO1603" s="115"/>
      <c r="CP1603" s="115"/>
      <c r="CQ1603" s="115"/>
      <c r="CR1603" s="115"/>
      <c r="CS1603" s="115"/>
      <c r="CT1603" s="115"/>
      <c r="CU1603" s="115"/>
      <c r="CV1603" s="115"/>
      <c r="CW1603" s="115"/>
      <c r="CX1603" s="115"/>
      <c r="CY1603" s="115"/>
      <c r="CZ1603" s="115"/>
      <c r="DA1603" s="115"/>
      <c r="DB1603" s="115"/>
      <c r="DC1603" s="115"/>
      <c r="DD1603" s="115"/>
      <c r="DE1603" s="115"/>
      <c r="DF1603" s="115"/>
      <c r="DG1603" s="115"/>
    </row>
    <row r="1604" spans="55:111" ht="9" hidden="1" customHeight="1">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c r="BY1604" s="115"/>
      <c r="BZ1604" s="115"/>
      <c r="CA1604" s="115"/>
      <c r="CB1604" s="115"/>
      <c r="CC1604" s="115"/>
      <c r="CD1604" s="115"/>
      <c r="CE1604" s="115"/>
      <c r="CF1604" s="115"/>
      <c r="CG1604" s="115"/>
      <c r="CH1604" s="115"/>
      <c r="CI1604" s="115"/>
      <c r="CJ1604" s="115"/>
      <c r="CK1604" s="115"/>
      <c r="CL1604" s="115"/>
      <c r="CM1604" s="115"/>
      <c r="CN1604" s="115"/>
      <c r="CO1604" s="115"/>
      <c r="CP1604" s="115"/>
      <c r="CQ1604" s="115"/>
      <c r="CR1604" s="115"/>
      <c r="CS1604" s="115"/>
      <c r="CT1604" s="115"/>
      <c r="CU1604" s="115"/>
      <c r="CV1604" s="115"/>
      <c r="CW1604" s="115"/>
      <c r="CX1604" s="115"/>
      <c r="CY1604" s="115"/>
      <c r="CZ1604" s="115"/>
      <c r="DA1604" s="115"/>
      <c r="DB1604" s="115"/>
      <c r="DC1604" s="115"/>
      <c r="DD1604" s="115"/>
      <c r="DE1604" s="115"/>
      <c r="DF1604" s="115"/>
      <c r="DG1604" s="115"/>
    </row>
    <row r="1605" spans="55:111" ht="9" hidden="1" customHeight="1">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c r="BY1605" s="115"/>
      <c r="BZ1605" s="115"/>
      <c r="CA1605" s="115"/>
      <c r="CB1605" s="115"/>
      <c r="CC1605" s="115"/>
      <c r="CD1605" s="115"/>
      <c r="CE1605" s="115"/>
      <c r="CF1605" s="115"/>
      <c r="CG1605" s="115"/>
      <c r="CH1605" s="115"/>
      <c r="CI1605" s="115"/>
      <c r="CJ1605" s="115"/>
      <c r="CK1605" s="115"/>
      <c r="CL1605" s="115"/>
      <c r="CM1605" s="115"/>
      <c r="CN1605" s="115"/>
      <c r="CO1605" s="115"/>
      <c r="CP1605" s="115"/>
      <c r="CQ1605" s="115"/>
      <c r="CR1605" s="115"/>
      <c r="CS1605" s="115"/>
      <c r="CT1605" s="115"/>
      <c r="CU1605" s="115"/>
      <c r="CV1605" s="115"/>
      <c r="CW1605" s="115"/>
      <c r="CX1605" s="115"/>
      <c r="CY1605" s="115"/>
      <c r="CZ1605" s="115"/>
      <c r="DA1605" s="115"/>
      <c r="DB1605" s="115"/>
      <c r="DC1605" s="115"/>
      <c r="DD1605" s="115"/>
      <c r="DE1605" s="115"/>
      <c r="DF1605" s="115"/>
      <c r="DG1605" s="115"/>
    </row>
    <row r="1606" spans="55:111" ht="9" hidden="1" customHeight="1">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c r="BY1606" s="115"/>
      <c r="BZ1606" s="115"/>
      <c r="CA1606" s="115"/>
      <c r="CB1606" s="115"/>
      <c r="CC1606" s="115"/>
      <c r="CD1606" s="115"/>
      <c r="CE1606" s="115"/>
      <c r="CF1606" s="115"/>
      <c r="CG1606" s="115"/>
      <c r="CH1606" s="115"/>
      <c r="CI1606" s="115"/>
      <c r="CJ1606" s="115"/>
      <c r="CK1606" s="115"/>
      <c r="CL1606" s="115"/>
      <c r="CM1606" s="115"/>
      <c r="CN1606" s="115"/>
      <c r="CO1606" s="115"/>
      <c r="CP1606" s="115"/>
      <c r="CQ1606" s="115"/>
      <c r="CR1606" s="115"/>
      <c r="CS1606" s="115"/>
      <c r="CT1606" s="115"/>
      <c r="CU1606" s="115"/>
      <c r="CV1606" s="115"/>
      <c r="CW1606" s="115"/>
      <c r="CX1606" s="115"/>
      <c r="CY1606" s="115"/>
      <c r="CZ1606" s="115"/>
      <c r="DA1606" s="115"/>
      <c r="DB1606" s="115"/>
      <c r="DC1606" s="115"/>
      <c r="DD1606" s="115"/>
      <c r="DE1606" s="115"/>
      <c r="DF1606" s="115"/>
      <c r="DG1606" s="115"/>
    </row>
    <row r="1607" spans="55:111" hidden="1">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c r="BY1607" s="115"/>
      <c r="BZ1607" s="115"/>
      <c r="CA1607" s="115"/>
      <c r="CB1607" s="115"/>
      <c r="CC1607" s="115"/>
      <c r="CD1607" s="115"/>
      <c r="CE1607" s="115"/>
      <c r="CF1607" s="115"/>
      <c r="CG1607" s="115"/>
      <c r="CH1607" s="115"/>
      <c r="CI1607" s="115"/>
      <c r="CJ1607" s="115"/>
      <c r="CK1607" s="115"/>
      <c r="CL1607" s="115"/>
      <c r="CM1607" s="115"/>
      <c r="CN1607" s="115"/>
      <c r="CO1607" s="115"/>
      <c r="CP1607" s="115"/>
      <c r="CQ1607" s="115"/>
      <c r="CR1607" s="115"/>
      <c r="CS1607" s="115"/>
      <c r="CT1607" s="115"/>
      <c r="CU1607" s="115"/>
      <c r="CV1607" s="115"/>
      <c r="CW1607" s="115"/>
      <c r="CX1607" s="115"/>
      <c r="CY1607" s="115"/>
      <c r="CZ1607" s="115"/>
      <c r="DA1607" s="115"/>
      <c r="DB1607" s="115"/>
      <c r="DC1607" s="115"/>
      <c r="DD1607" s="115"/>
      <c r="DE1607" s="115"/>
      <c r="DF1607" s="115"/>
      <c r="DG1607" s="115"/>
    </row>
    <row r="1608" spans="55:111" hidden="1">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c r="BY1608" s="115"/>
      <c r="BZ1608" s="115"/>
      <c r="CA1608" s="115"/>
      <c r="CB1608" s="115"/>
      <c r="CC1608" s="115"/>
      <c r="CD1608" s="115"/>
      <c r="CE1608" s="115"/>
      <c r="CF1608" s="115"/>
      <c r="CG1608" s="115"/>
      <c r="CH1608" s="115"/>
      <c r="CI1608" s="115"/>
      <c r="CJ1608" s="115"/>
      <c r="CK1608" s="115"/>
      <c r="CL1608" s="115"/>
      <c r="CM1608" s="115"/>
      <c r="CN1608" s="115"/>
      <c r="CO1608" s="115"/>
      <c r="CP1608" s="115"/>
      <c r="CQ1608" s="115"/>
      <c r="CR1608" s="115"/>
      <c r="CS1608" s="115"/>
      <c r="CT1608" s="115"/>
      <c r="CU1608" s="115"/>
      <c r="CV1608" s="115"/>
      <c r="CW1608" s="115"/>
      <c r="CX1608" s="115"/>
      <c r="CY1608" s="115"/>
      <c r="CZ1608" s="115"/>
      <c r="DA1608" s="115"/>
      <c r="DB1608" s="115"/>
      <c r="DC1608" s="115"/>
      <c r="DD1608" s="115"/>
      <c r="DE1608" s="115"/>
      <c r="DF1608" s="115"/>
      <c r="DG1608" s="115"/>
    </row>
    <row r="1609" spans="55:111" hidden="1">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c r="BY1609" s="115"/>
      <c r="BZ1609" s="115"/>
      <c r="CA1609" s="115"/>
      <c r="CB1609" s="115"/>
      <c r="CC1609" s="115"/>
      <c r="CD1609" s="115"/>
      <c r="CE1609" s="115"/>
      <c r="CF1609" s="115"/>
      <c r="CG1609" s="115"/>
      <c r="CH1609" s="115"/>
      <c r="CI1609" s="115"/>
      <c r="CJ1609" s="115"/>
      <c r="CK1609" s="115"/>
      <c r="CL1609" s="115"/>
      <c r="CM1609" s="115"/>
      <c r="CN1609" s="115"/>
      <c r="CO1609" s="115"/>
      <c r="CP1609" s="115"/>
      <c r="CQ1609" s="115"/>
      <c r="CR1609" s="115"/>
      <c r="CS1609" s="115"/>
      <c r="CT1609" s="115"/>
      <c r="CU1609" s="115"/>
      <c r="CV1609" s="115"/>
      <c r="CW1609" s="115"/>
      <c r="CX1609" s="115"/>
      <c r="CY1609" s="115"/>
      <c r="CZ1609" s="115"/>
      <c r="DA1609" s="115"/>
      <c r="DB1609" s="115"/>
      <c r="DC1609" s="115"/>
      <c r="DD1609" s="115"/>
      <c r="DE1609" s="115"/>
      <c r="DF1609" s="115"/>
      <c r="DG1609" s="115"/>
    </row>
    <row r="1610" spans="55:111" hidden="1">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c r="BY1610" s="115"/>
      <c r="BZ1610" s="115"/>
      <c r="CA1610" s="115"/>
      <c r="CB1610" s="115"/>
      <c r="CC1610" s="115"/>
      <c r="CD1610" s="115"/>
      <c r="CE1610" s="115"/>
      <c r="CF1610" s="115"/>
      <c r="CG1610" s="115"/>
      <c r="CH1610" s="115"/>
      <c r="CI1610" s="115"/>
      <c r="CJ1610" s="115"/>
      <c r="CK1610" s="115"/>
      <c r="CL1610" s="115"/>
      <c r="CM1610" s="115"/>
      <c r="CN1610" s="115"/>
      <c r="CO1610" s="115"/>
      <c r="CP1610" s="115"/>
      <c r="CQ1610" s="115"/>
      <c r="CR1610" s="115"/>
      <c r="CS1610" s="115"/>
      <c r="CT1610" s="115"/>
      <c r="CU1610" s="115"/>
      <c r="CV1610" s="115"/>
      <c r="CW1610" s="115"/>
      <c r="CX1610" s="115"/>
      <c r="CY1610" s="115"/>
      <c r="CZ1610" s="115"/>
      <c r="DA1610" s="115"/>
      <c r="DB1610" s="115"/>
      <c r="DC1610" s="115"/>
      <c r="DD1610" s="115"/>
      <c r="DE1610" s="115"/>
      <c r="DF1610" s="115"/>
      <c r="DG1610" s="115"/>
    </row>
    <row r="1611" spans="55:111" hidden="1">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c r="BY1611" s="115"/>
      <c r="BZ1611" s="115"/>
      <c r="CA1611" s="115"/>
      <c r="CB1611" s="115"/>
      <c r="CC1611" s="115"/>
      <c r="CD1611" s="115"/>
      <c r="CE1611" s="115"/>
      <c r="CF1611" s="115"/>
      <c r="CG1611" s="115"/>
      <c r="CH1611" s="115"/>
      <c r="CI1611" s="115"/>
      <c r="CJ1611" s="115"/>
      <c r="CK1611" s="115"/>
      <c r="CL1611" s="115"/>
      <c r="CM1611" s="115"/>
      <c r="CN1611" s="115"/>
      <c r="CO1611" s="115"/>
      <c r="CP1611" s="115"/>
      <c r="CQ1611" s="115"/>
      <c r="CR1611" s="115"/>
      <c r="CS1611" s="115"/>
      <c r="CT1611" s="115"/>
      <c r="CU1611" s="115"/>
      <c r="CV1611" s="115"/>
      <c r="CW1611" s="115"/>
      <c r="CX1611" s="115"/>
      <c r="CY1611" s="115"/>
      <c r="CZ1611" s="115"/>
      <c r="DA1611" s="115"/>
      <c r="DB1611" s="115"/>
      <c r="DC1611" s="115"/>
      <c r="DD1611" s="115"/>
      <c r="DE1611" s="115"/>
      <c r="DF1611" s="115"/>
      <c r="DG1611" s="115"/>
    </row>
    <row r="1612" spans="55:111" hidden="1">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c r="BY1612" s="115"/>
      <c r="BZ1612" s="115"/>
      <c r="CA1612" s="115"/>
      <c r="CB1612" s="115"/>
      <c r="CC1612" s="115"/>
      <c r="CD1612" s="115"/>
      <c r="CE1612" s="115"/>
      <c r="CF1612" s="115"/>
      <c r="CG1612" s="115"/>
      <c r="CH1612" s="115"/>
      <c r="CI1612" s="115"/>
      <c r="CJ1612" s="115"/>
      <c r="CK1612" s="115"/>
      <c r="CL1612" s="115"/>
      <c r="CM1612" s="115"/>
      <c r="CN1612" s="115"/>
      <c r="CO1612" s="115"/>
      <c r="CP1612" s="115"/>
      <c r="CQ1612" s="115"/>
      <c r="CR1612" s="115"/>
      <c r="CS1612" s="115"/>
      <c r="CT1612" s="115"/>
      <c r="CU1612" s="115"/>
      <c r="CV1612" s="115"/>
      <c r="CW1612" s="115"/>
      <c r="CX1612" s="115"/>
      <c r="CY1612" s="115"/>
      <c r="CZ1612" s="115"/>
      <c r="DA1612" s="115"/>
      <c r="DB1612" s="115"/>
      <c r="DC1612" s="115"/>
      <c r="DD1612" s="115"/>
      <c r="DE1612" s="115"/>
      <c r="DF1612" s="115"/>
      <c r="DG1612" s="115"/>
    </row>
    <row r="1613" spans="55:111" hidden="1">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c r="BY1613" s="115"/>
      <c r="BZ1613" s="115"/>
      <c r="CA1613" s="115"/>
      <c r="CB1613" s="115"/>
      <c r="CC1613" s="115"/>
      <c r="CD1613" s="115"/>
      <c r="CE1613" s="115"/>
      <c r="CF1613" s="115"/>
      <c r="CG1613" s="115"/>
      <c r="CH1613" s="115"/>
      <c r="CI1613" s="115"/>
      <c r="CJ1613" s="115"/>
      <c r="CK1613" s="115"/>
      <c r="CL1613" s="115"/>
      <c r="CM1613" s="115"/>
      <c r="CN1613" s="115"/>
      <c r="CO1613" s="115"/>
      <c r="CP1613" s="115"/>
      <c r="CQ1613" s="115"/>
      <c r="CR1613" s="115"/>
      <c r="CS1613" s="115"/>
      <c r="CT1613" s="115"/>
      <c r="CU1613" s="115"/>
      <c r="CV1613" s="115"/>
      <c r="CW1613" s="115"/>
      <c r="CX1613" s="115"/>
      <c r="CY1613" s="115"/>
      <c r="CZ1613" s="115"/>
      <c r="DA1613" s="115"/>
      <c r="DB1613" s="115"/>
      <c r="DC1613" s="115"/>
      <c r="DD1613" s="115"/>
      <c r="DE1613" s="115"/>
      <c r="DF1613" s="115"/>
      <c r="DG1613" s="115"/>
    </row>
    <row r="1614" spans="55:111" hidden="1">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c r="BY1614" s="115"/>
      <c r="BZ1614" s="115"/>
      <c r="CA1614" s="115"/>
      <c r="CB1614" s="115"/>
      <c r="CC1614" s="115"/>
      <c r="CD1614" s="115"/>
      <c r="CE1614" s="115"/>
      <c r="CF1614" s="115"/>
      <c r="CG1614" s="115"/>
      <c r="CH1614" s="115"/>
      <c r="CI1614" s="115"/>
      <c r="CJ1614" s="115"/>
      <c r="CK1614" s="115"/>
      <c r="CL1614" s="115"/>
      <c r="CM1614" s="115"/>
      <c r="CN1614" s="115"/>
      <c r="CO1614" s="115"/>
      <c r="CP1614" s="115"/>
      <c r="CQ1614" s="115"/>
      <c r="CR1614" s="115"/>
      <c r="CS1614" s="115"/>
      <c r="CT1614" s="115"/>
      <c r="CU1614" s="115"/>
      <c r="CV1614" s="115"/>
      <c r="CW1614" s="115"/>
      <c r="CX1614" s="115"/>
      <c r="CY1614" s="115"/>
      <c r="CZ1614" s="115"/>
      <c r="DA1614" s="115"/>
      <c r="DB1614" s="115"/>
      <c r="DC1614" s="115"/>
      <c r="DD1614" s="115"/>
      <c r="DE1614" s="115"/>
      <c r="DF1614" s="115"/>
      <c r="DG1614" s="115"/>
    </row>
    <row r="1615" spans="55:111" hidden="1">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c r="BY1615" s="115"/>
      <c r="BZ1615" s="115"/>
      <c r="CA1615" s="115"/>
      <c r="CB1615" s="115"/>
      <c r="CC1615" s="115"/>
      <c r="CD1615" s="115"/>
      <c r="CE1615" s="115"/>
      <c r="CF1615" s="115"/>
      <c r="CG1615" s="115"/>
      <c r="CH1615" s="115"/>
      <c r="CI1615" s="115"/>
      <c r="CJ1615" s="115"/>
      <c r="CK1615" s="115"/>
      <c r="CL1615" s="115"/>
      <c r="CM1615" s="115"/>
      <c r="CN1615" s="115"/>
      <c r="CO1615" s="115"/>
      <c r="CP1615" s="115"/>
      <c r="CQ1615" s="115"/>
      <c r="CR1615" s="115"/>
      <c r="CS1615" s="115"/>
      <c r="CT1615" s="115"/>
      <c r="CU1615" s="115"/>
      <c r="CV1615" s="115"/>
      <c r="CW1615" s="115"/>
      <c r="CX1615" s="115"/>
      <c r="CY1615" s="115"/>
      <c r="CZ1615" s="115"/>
      <c r="DA1615" s="115"/>
      <c r="DB1615" s="115"/>
      <c r="DC1615" s="115"/>
      <c r="DD1615" s="115"/>
      <c r="DE1615" s="115"/>
      <c r="DF1615" s="115"/>
      <c r="DG1615" s="115"/>
    </row>
    <row r="1616" spans="55:111" hidden="1">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c r="BY1616" s="115"/>
      <c r="BZ1616" s="115"/>
      <c r="CA1616" s="115"/>
      <c r="CB1616" s="115"/>
      <c r="CC1616" s="115"/>
      <c r="CD1616" s="115"/>
      <c r="CE1616" s="115"/>
      <c r="CF1616" s="115"/>
      <c r="CG1616" s="115"/>
      <c r="CH1616" s="115"/>
      <c r="CI1616" s="115"/>
      <c r="CJ1616" s="115"/>
      <c r="CK1616" s="115"/>
      <c r="CL1616" s="115"/>
      <c r="CM1616" s="115"/>
      <c r="CN1616" s="115"/>
      <c r="CO1616" s="115"/>
      <c r="CP1616" s="115"/>
      <c r="CQ1616" s="115"/>
      <c r="CR1616" s="115"/>
      <c r="CS1616" s="115"/>
      <c r="CT1616" s="115"/>
      <c r="CU1616" s="115"/>
      <c r="CV1616" s="115"/>
      <c r="CW1616" s="115"/>
      <c r="CX1616" s="115"/>
      <c r="CY1616" s="115"/>
      <c r="CZ1616" s="115"/>
      <c r="DA1616" s="115"/>
      <c r="DB1616" s="115"/>
      <c r="DC1616" s="115"/>
      <c r="DD1616" s="115"/>
      <c r="DE1616" s="115"/>
      <c r="DF1616" s="115"/>
      <c r="DG1616" s="115"/>
    </row>
    <row r="1617" spans="55:111" hidden="1">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c r="BY1617" s="115"/>
      <c r="BZ1617" s="115"/>
      <c r="CA1617" s="115"/>
      <c r="CB1617" s="115"/>
      <c r="CC1617" s="115"/>
      <c r="CD1617" s="115"/>
      <c r="CE1617" s="115"/>
      <c r="CF1617" s="115"/>
      <c r="CG1617" s="115"/>
      <c r="CH1617" s="115"/>
      <c r="CI1617" s="115"/>
      <c r="CJ1617" s="115"/>
      <c r="CK1617" s="115"/>
      <c r="CL1617" s="115"/>
      <c r="CM1617" s="115"/>
      <c r="CN1617" s="115"/>
      <c r="CO1617" s="115"/>
      <c r="CP1617" s="115"/>
      <c r="CQ1617" s="115"/>
      <c r="CR1617" s="115"/>
      <c r="CS1617" s="115"/>
      <c r="CT1617" s="115"/>
      <c r="CU1617" s="115"/>
      <c r="CV1617" s="115"/>
      <c r="CW1617" s="115"/>
      <c r="CX1617" s="115"/>
      <c r="CY1617" s="115"/>
      <c r="CZ1617" s="115"/>
      <c r="DA1617" s="115"/>
      <c r="DB1617" s="115"/>
      <c r="DC1617" s="115"/>
      <c r="DD1617" s="115"/>
      <c r="DE1617" s="115"/>
      <c r="DF1617" s="115"/>
      <c r="DG1617" s="115"/>
    </row>
    <row r="1618" spans="55:111" hidden="1">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c r="BY1618" s="115"/>
      <c r="BZ1618" s="115"/>
      <c r="CA1618" s="115"/>
      <c r="CB1618" s="115"/>
      <c r="CC1618" s="115"/>
      <c r="CD1618" s="115"/>
      <c r="CE1618" s="115"/>
      <c r="CF1618" s="115"/>
      <c r="CG1618" s="115"/>
      <c r="CH1618" s="115"/>
      <c r="CI1618" s="115"/>
      <c r="CJ1618" s="115"/>
      <c r="CK1618" s="115"/>
      <c r="CL1618" s="115"/>
      <c r="CM1618" s="115"/>
      <c r="CN1618" s="115"/>
      <c r="CO1618" s="115"/>
      <c r="CP1618" s="115"/>
      <c r="CQ1618" s="115"/>
      <c r="CR1618" s="115"/>
      <c r="CS1618" s="115"/>
      <c r="CT1618" s="115"/>
      <c r="CU1618" s="115"/>
      <c r="CV1618" s="115"/>
      <c r="CW1618" s="115"/>
      <c r="CX1618" s="115"/>
      <c r="CY1618" s="115"/>
      <c r="CZ1618" s="115"/>
      <c r="DA1618" s="115"/>
      <c r="DB1618" s="115"/>
      <c r="DC1618" s="115"/>
      <c r="DD1618" s="115"/>
      <c r="DE1618" s="115"/>
      <c r="DF1618" s="115"/>
      <c r="DG1618" s="115"/>
    </row>
    <row r="1619" spans="55:111" hidden="1">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c r="BY1619" s="115"/>
      <c r="BZ1619" s="115"/>
      <c r="CA1619" s="115"/>
      <c r="CB1619" s="115"/>
      <c r="CC1619" s="115"/>
      <c r="CD1619" s="115"/>
      <c r="CE1619" s="115"/>
      <c r="CF1619" s="115"/>
      <c r="CG1619" s="115"/>
      <c r="CH1619" s="115"/>
      <c r="CI1619" s="115"/>
      <c r="CJ1619" s="115"/>
      <c r="CK1619" s="115"/>
      <c r="CL1619" s="115"/>
      <c r="CM1619" s="115"/>
      <c r="CN1619" s="115"/>
      <c r="CO1619" s="115"/>
      <c r="CP1619" s="115"/>
      <c r="CQ1619" s="115"/>
      <c r="CR1619" s="115"/>
      <c r="CS1619" s="115"/>
      <c r="CT1619" s="115"/>
      <c r="CU1619" s="115"/>
      <c r="CV1619" s="115"/>
      <c r="CW1619" s="115"/>
      <c r="CX1619" s="115"/>
      <c r="CY1619" s="115"/>
      <c r="CZ1619" s="115"/>
      <c r="DA1619" s="115"/>
      <c r="DB1619" s="115"/>
      <c r="DC1619" s="115"/>
      <c r="DD1619" s="115"/>
      <c r="DE1619" s="115"/>
      <c r="DF1619" s="115"/>
      <c r="DG1619" s="115"/>
    </row>
    <row r="1620" spans="55:111" hidden="1">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c r="BY1620" s="115"/>
      <c r="BZ1620" s="115"/>
      <c r="CA1620" s="115"/>
      <c r="CB1620" s="115"/>
      <c r="CC1620" s="115"/>
      <c r="CD1620" s="115"/>
      <c r="CE1620" s="115"/>
      <c r="CF1620" s="115"/>
      <c r="CG1620" s="115"/>
      <c r="CH1620" s="115"/>
      <c r="CI1620" s="115"/>
      <c r="CJ1620" s="115"/>
      <c r="CK1620" s="115"/>
      <c r="CL1620" s="115"/>
      <c r="CM1620" s="115"/>
      <c r="CN1620" s="115"/>
      <c r="CO1620" s="115"/>
      <c r="CP1620" s="115"/>
      <c r="CQ1620" s="115"/>
      <c r="CR1620" s="115"/>
      <c r="CS1620" s="115"/>
      <c r="CT1620" s="115"/>
      <c r="CU1620" s="115"/>
      <c r="CV1620" s="115"/>
      <c r="CW1620" s="115"/>
      <c r="CX1620" s="115"/>
      <c r="CY1620" s="115"/>
      <c r="CZ1620" s="115"/>
      <c r="DA1620" s="115"/>
      <c r="DB1620" s="115"/>
      <c r="DC1620" s="115"/>
      <c r="DD1620" s="115"/>
      <c r="DE1620" s="115"/>
      <c r="DF1620" s="115"/>
      <c r="DG1620" s="115"/>
    </row>
    <row r="1621" spans="55:111" hidden="1">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c r="BY1621" s="115"/>
      <c r="BZ1621" s="115"/>
      <c r="CA1621" s="115"/>
      <c r="CB1621" s="115"/>
      <c r="CC1621" s="115"/>
      <c r="CD1621" s="115"/>
      <c r="CE1621" s="115"/>
      <c r="CF1621" s="115"/>
      <c r="CG1621" s="115"/>
      <c r="CH1621" s="115"/>
      <c r="CI1621" s="115"/>
      <c r="CJ1621" s="115"/>
      <c r="CK1621" s="115"/>
      <c r="CL1621" s="115"/>
      <c r="CM1621" s="115"/>
      <c r="CN1621" s="115"/>
      <c r="CO1621" s="115"/>
      <c r="CP1621" s="115"/>
      <c r="CQ1621" s="115"/>
      <c r="CR1621" s="115"/>
      <c r="CS1621" s="115"/>
      <c r="CT1621" s="115"/>
      <c r="CU1621" s="115"/>
      <c r="CV1621" s="115"/>
      <c r="CW1621" s="115"/>
      <c r="CX1621" s="115"/>
      <c r="CY1621" s="115"/>
      <c r="CZ1621" s="115"/>
      <c r="DA1621" s="115"/>
      <c r="DB1621" s="115"/>
      <c r="DC1621" s="115"/>
      <c r="DD1621" s="115"/>
      <c r="DE1621" s="115"/>
      <c r="DF1621" s="115"/>
      <c r="DG1621" s="115"/>
    </row>
    <row r="1622" spans="55:111" hidden="1">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c r="BY1622" s="115"/>
      <c r="BZ1622" s="115"/>
      <c r="CA1622" s="115"/>
      <c r="CB1622" s="115"/>
      <c r="CC1622" s="115"/>
      <c r="CD1622" s="115"/>
      <c r="CE1622" s="115"/>
      <c r="CF1622" s="115"/>
      <c r="CG1622" s="115"/>
      <c r="CH1622" s="115"/>
      <c r="CI1622" s="115"/>
      <c r="CJ1622" s="115"/>
      <c r="CK1622" s="115"/>
      <c r="CL1622" s="115"/>
      <c r="CM1622" s="115"/>
      <c r="CN1622" s="115"/>
      <c r="CO1622" s="115"/>
      <c r="CP1622" s="115"/>
      <c r="CQ1622" s="115"/>
      <c r="CR1622" s="115"/>
      <c r="CS1622" s="115"/>
      <c r="CT1622" s="115"/>
      <c r="CU1622" s="115"/>
      <c r="CV1622" s="115"/>
      <c r="CW1622" s="115"/>
      <c r="CX1622" s="115"/>
      <c r="CY1622" s="115"/>
      <c r="CZ1622" s="115"/>
      <c r="DA1622" s="115"/>
      <c r="DB1622" s="115"/>
      <c r="DC1622" s="115"/>
      <c r="DD1622" s="115"/>
      <c r="DE1622" s="115"/>
      <c r="DF1622" s="115"/>
      <c r="DG1622" s="115"/>
    </row>
    <row r="1623" spans="55:111" hidden="1">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c r="BY1623" s="115"/>
      <c r="BZ1623" s="115"/>
      <c r="CA1623" s="115"/>
      <c r="CB1623" s="115"/>
      <c r="CC1623" s="115"/>
      <c r="CD1623" s="115"/>
      <c r="CE1623" s="115"/>
      <c r="CF1623" s="115"/>
      <c r="CG1623" s="115"/>
      <c r="CH1623" s="115"/>
      <c r="CI1623" s="115"/>
      <c r="CJ1623" s="115"/>
      <c r="CK1623" s="115"/>
      <c r="CL1623" s="115"/>
      <c r="CM1623" s="115"/>
      <c r="CN1623" s="115"/>
      <c r="CO1623" s="115"/>
      <c r="CP1623" s="115"/>
      <c r="CQ1623" s="115"/>
      <c r="CR1623" s="115"/>
      <c r="CS1623" s="115"/>
      <c r="CT1623" s="115"/>
      <c r="CU1623" s="115"/>
      <c r="CV1623" s="115"/>
      <c r="CW1623" s="115"/>
      <c r="CX1623" s="115"/>
      <c r="CY1623" s="115"/>
      <c r="CZ1623" s="115"/>
      <c r="DA1623" s="115"/>
      <c r="DB1623" s="115"/>
      <c r="DC1623" s="115"/>
      <c r="DD1623" s="115"/>
      <c r="DE1623" s="115"/>
      <c r="DF1623" s="115"/>
      <c r="DG1623" s="115"/>
    </row>
    <row r="1624" spans="55:111" hidden="1">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c r="BY1624" s="115"/>
      <c r="BZ1624" s="115"/>
      <c r="CA1624" s="115"/>
      <c r="CB1624" s="115"/>
      <c r="CC1624" s="115"/>
      <c r="CD1624" s="115"/>
      <c r="CE1624" s="115"/>
      <c r="CF1624" s="115"/>
      <c r="CG1624" s="115"/>
      <c r="CH1624" s="115"/>
      <c r="CI1624" s="115"/>
      <c r="CJ1624" s="115"/>
      <c r="CK1624" s="115"/>
      <c r="CL1624" s="115"/>
      <c r="CM1624" s="115"/>
      <c r="CN1624" s="115"/>
      <c r="CO1624" s="115"/>
      <c r="CP1624" s="115"/>
      <c r="CQ1624" s="115"/>
      <c r="CR1624" s="115"/>
      <c r="CS1624" s="115"/>
      <c r="CT1624" s="115"/>
      <c r="CU1624" s="115"/>
      <c r="CV1624" s="115"/>
      <c r="CW1624" s="115"/>
      <c r="CX1624" s="115"/>
      <c r="CY1624" s="115"/>
      <c r="CZ1624" s="115"/>
      <c r="DA1624" s="115"/>
      <c r="DB1624" s="115"/>
      <c r="DC1624" s="115"/>
      <c r="DD1624" s="115"/>
      <c r="DE1624" s="115"/>
      <c r="DF1624" s="115"/>
      <c r="DG1624" s="115"/>
    </row>
    <row r="1625" spans="55:111" hidden="1">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c r="BY1625" s="115"/>
      <c r="BZ1625" s="115"/>
      <c r="CA1625" s="115"/>
      <c r="CB1625" s="115"/>
      <c r="CC1625" s="115"/>
      <c r="CD1625" s="115"/>
      <c r="CE1625" s="115"/>
      <c r="CF1625" s="115"/>
      <c r="CG1625" s="115"/>
      <c r="CH1625" s="115"/>
      <c r="CI1625" s="115"/>
      <c r="CJ1625" s="115"/>
      <c r="CK1625" s="115"/>
      <c r="CL1625" s="115"/>
      <c r="CM1625" s="115"/>
      <c r="CN1625" s="115"/>
      <c r="CO1625" s="115"/>
      <c r="CP1625" s="115"/>
      <c r="CQ1625" s="115"/>
      <c r="CR1625" s="115"/>
      <c r="CS1625" s="115"/>
      <c r="CT1625" s="115"/>
      <c r="CU1625" s="115"/>
      <c r="CV1625" s="115"/>
      <c r="CW1625" s="115"/>
      <c r="CX1625" s="115"/>
      <c r="CY1625" s="115"/>
      <c r="CZ1625" s="115"/>
      <c r="DA1625" s="115"/>
      <c r="DB1625" s="115"/>
      <c r="DC1625" s="115"/>
      <c r="DD1625" s="115"/>
      <c r="DE1625" s="115"/>
      <c r="DF1625" s="115"/>
      <c r="DG1625" s="115"/>
    </row>
    <row r="1626" spans="55:111" hidden="1">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c r="BY1626" s="115"/>
      <c r="BZ1626" s="115"/>
      <c r="CA1626" s="115"/>
      <c r="CB1626" s="115"/>
      <c r="CC1626" s="115"/>
      <c r="CD1626" s="115"/>
      <c r="CE1626" s="115"/>
      <c r="CF1626" s="115"/>
      <c r="CG1626" s="115"/>
      <c r="CH1626" s="115"/>
      <c r="CI1626" s="115"/>
      <c r="CJ1626" s="115"/>
      <c r="CK1626" s="115"/>
      <c r="CL1626" s="115"/>
      <c r="CM1626" s="115"/>
      <c r="CN1626" s="115"/>
      <c r="CO1626" s="115"/>
      <c r="CP1626" s="115"/>
      <c r="CQ1626" s="115"/>
      <c r="CR1626" s="115"/>
      <c r="CS1626" s="115"/>
      <c r="CT1626" s="115"/>
      <c r="CU1626" s="115"/>
      <c r="CV1626" s="115"/>
      <c r="CW1626" s="115"/>
      <c r="CX1626" s="115"/>
      <c r="CY1626" s="115"/>
      <c r="CZ1626" s="115"/>
      <c r="DA1626" s="115"/>
      <c r="DB1626" s="115"/>
      <c r="DC1626" s="115"/>
      <c r="DD1626" s="115"/>
      <c r="DE1626" s="115"/>
      <c r="DF1626" s="115"/>
      <c r="DG1626" s="115"/>
    </row>
    <row r="1627" spans="55:111" hidden="1">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c r="BY1627" s="115"/>
      <c r="BZ1627" s="115"/>
      <c r="CA1627" s="115"/>
      <c r="CB1627" s="115"/>
      <c r="CC1627" s="115"/>
      <c r="CD1627" s="115"/>
      <c r="CE1627" s="115"/>
      <c r="CF1627" s="115"/>
      <c r="CG1627" s="115"/>
      <c r="CH1627" s="115"/>
      <c r="CI1627" s="115"/>
      <c r="CJ1627" s="115"/>
      <c r="CK1627" s="115"/>
      <c r="CL1627" s="115"/>
      <c r="CM1627" s="115"/>
      <c r="CN1627" s="115"/>
      <c r="CO1627" s="115"/>
      <c r="CP1627" s="115"/>
      <c r="CQ1627" s="115"/>
      <c r="CR1627" s="115"/>
      <c r="CS1627" s="115"/>
      <c r="CT1627" s="115"/>
      <c r="CU1627" s="115"/>
      <c r="CV1627" s="115"/>
      <c r="CW1627" s="115"/>
      <c r="CX1627" s="115"/>
      <c r="CY1627" s="115"/>
      <c r="CZ1627" s="115"/>
      <c r="DA1627" s="115"/>
      <c r="DB1627" s="115"/>
      <c r="DC1627" s="115"/>
      <c r="DD1627" s="115"/>
      <c r="DE1627" s="115"/>
      <c r="DF1627" s="115"/>
      <c r="DG1627" s="115"/>
    </row>
    <row r="1628" spans="55:111" hidden="1">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c r="BY1628" s="115"/>
      <c r="BZ1628" s="115"/>
      <c r="CA1628" s="115"/>
      <c r="CB1628" s="115"/>
      <c r="CC1628" s="115"/>
      <c r="CD1628" s="115"/>
      <c r="CE1628" s="115"/>
      <c r="CF1628" s="115"/>
      <c r="CG1628" s="115"/>
      <c r="CH1628" s="115"/>
      <c r="CI1628" s="115"/>
      <c r="CJ1628" s="115"/>
      <c r="CK1628" s="115"/>
      <c r="CL1628" s="115"/>
      <c r="CM1628" s="115"/>
      <c r="CN1628" s="115"/>
      <c r="CO1628" s="115"/>
      <c r="CP1628" s="115"/>
      <c r="CQ1628" s="115"/>
      <c r="CR1628" s="115"/>
      <c r="CS1628" s="115"/>
      <c r="CT1628" s="115"/>
      <c r="CU1628" s="115"/>
      <c r="CV1628" s="115"/>
      <c r="CW1628" s="115"/>
      <c r="CX1628" s="115"/>
      <c r="CY1628" s="115"/>
      <c r="CZ1628" s="115"/>
      <c r="DA1628" s="115"/>
      <c r="DB1628" s="115"/>
      <c r="DC1628" s="115"/>
      <c r="DD1628" s="115"/>
      <c r="DE1628" s="115"/>
      <c r="DF1628" s="115"/>
      <c r="DG1628" s="115"/>
    </row>
    <row r="1629" spans="55:111" hidden="1">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c r="BY1629" s="115"/>
      <c r="BZ1629" s="115"/>
      <c r="CA1629" s="115"/>
      <c r="CB1629" s="115"/>
      <c r="CC1629" s="115"/>
      <c r="CD1629" s="115"/>
      <c r="CE1629" s="115"/>
      <c r="CF1629" s="115"/>
      <c r="CG1629" s="115"/>
      <c r="CH1629" s="115"/>
      <c r="CI1629" s="115"/>
      <c r="CJ1629" s="115"/>
      <c r="CK1629" s="115"/>
      <c r="CL1629" s="115"/>
      <c r="CM1629" s="115"/>
      <c r="CN1629" s="115"/>
      <c r="CO1629" s="115"/>
      <c r="CP1629" s="115"/>
      <c r="CQ1629" s="115"/>
      <c r="CR1629" s="115"/>
      <c r="CS1629" s="115"/>
      <c r="CT1629" s="115"/>
      <c r="CU1629" s="115"/>
      <c r="CV1629" s="115"/>
      <c r="CW1629" s="115"/>
      <c r="CX1629" s="115"/>
      <c r="CY1629" s="115"/>
      <c r="CZ1629" s="115"/>
      <c r="DA1629" s="115"/>
      <c r="DB1629" s="115"/>
      <c r="DC1629" s="115"/>
      <c r="DD1629" s="115"/>
      <c r="DE1629" s="115"/>
      <c r="DF1629" s="115"/>
      <c r="DG1629" s="115"/>
    </row>
    <row r="1630" spans="55:111" hidden="1">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c r="BY1630" s="115"/>
      <c r="BZ1630" s="115"/>
      <c r="CA1630" s="115"/>
      <c r="CB1630" s="115"/>
      <c r="CC1630" s="115"/>
      <c r="CD1630" s="115"/>
      <c r="CE1630" s="115"/>
      <c r="CF1630" s="115"/>
      <c r="CG1630" s="115"/>
      <c r="CH1630" s="115"/>
      <c r="CI1630" s="115"/>
      <c r="CJ1630" s="115"/>
      <c r="CK1630" s="115"/>
      <c r="CL1630" s="115"/>
      <c r="CM1630" s="115"/>
      <c r="CN1630" s="115"/>
      <c r="CO1630" s="115"/>
      <c r="CP1630" s="115"/>
      <c r="CQ1630" s="115"/>
      <c r="CR1630" s="115"/>
      <c r="CS1630" s="115"/>
      <c r="CT1630" s="115"/>
      <c r="CU1630" s="115"/>
      <c r="CV1630" s="115"/>
      <c r="CW1630" s="115"/>
      <c r="CX1630" s="115"/>
      <c r="CY1630" s="115"/>
      <c r="CZ1630" s="115"/>
      <c r="DA1630" s="115"/>
      <c r="DB1630" s="115"/>
      <c r="DC1630" s="115"/>
      <c r="DD1630" s="115"/>
      <c r="DE1630" s="115"/>
      <c r="DF1630" s="115"/>
      <c r="DG1630" s="115"/>
    </row>
    <row r="1631" spans="55:111" hidden="1">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c r="BY1631" s="115"/>
      <c r="BZ1631" s="115"/>
      <c r="CA1631" s="115"/>
      <c r="CB1631" s="115"/>
      <c r="CC1631" s="115"/>
      <c r="CD1631" s="115"/>
      <c r="CE1631" s="115"/>
      <c r="CF1631" s="115"/>
      <c r="CG1631" s="115"/>
      <c r="CH1631" s="115"/>
      <c r="CI1631" s="115"/>
      <c r="CJ1631" s="115"/>
      <c r="CK1631" s="115"/>
      <c r="CL1631" s="115"/>
      <c r="CM1631" s="115"/>
      <c r="CN1631" s="115"/>
      <c r="CO1631" s="115"/>
      <c r="CP1631" s="115"/>
      <c r="CQ1631" s="115"/>
      <c r="CR1631" s="115"/>
      <c r="CS1631" s="115"/>
      <c r="CT1631" s="115"/>
      <c r="CU1631" s="115"/>
      <c r="CV1631" s="115"/>
      <c r="CW1631" s="115"/>
      <c r="CX1631" s="115"/>
      <c r="CY1631" s="115"/>
      <c r="CZ1631" s="115"/>
      <c r="DA1631" s="115"/>
      <c r="DB1631" s="115"/>
      <c r="DC1631" s="115"/>
      <c r="DD1631" s="115"/>
      <c r="DE1631" s="115"/>
      <c r="DF1631" s="115"/>
      <c r="DG1631" s="115"/>
    </row>
    <row r="1632" spans="55:111" hidden="1">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c r="BY1632" s="115"/>
      <c r="BZ1632" s="115"/>
      <c r="CA1632" s="115"/>
      <c r="CB1632" s="115"/>
      <c r="CC1632" s="115"/>
      <c r="CD1632" s="115"/>
      <c r="CE1632" s="115"/>
      <c r="CF1632" s="115"/>
      <c r="CG1632" s="115"/>
      <c r="CH1632" s="115"/>
      <c r="CI1632" s="115"/>
      <c r="CJ1632" s="115"/>
      <c r="CK1632" s="115"/>
      <c r="CL1632" s="115"/>
      <c r="CM1632" s="115"/>
      <c r="CN1632" s="115"/>
      <c r="CO1632" s="115"/>
      <c r="CP1632" s="115"/>
      <c r="CQ1632" s="115"/>
      <c r="CR1632" s="115"/>
      <c r="CS1632" s="115"/>
      <c r="CT1632" s="115"/>
      <c r="CU1632" s="115"/>
      <c r="CV1632" s="115"/>
      <c r="CW1632" s="115"/>
      <c r="CX1632" s="115"/>
      <c r="CY1632" s="115"/>
      <c r="CZ1632" s="115"/>
      <c r="DA1632" s="115"/>
      <c r="DB1632" s="115"/>
      <c r="DC1632" s="115"/>
      <c r="DD1632" s="115"/>
      <c r="DE1632" s="115"/>
      <c r="DF1632" s="115"/>
      <c r="DG1632" s="115"/>
    </row>
    <row r="1633" spans="55:111" hidden="1">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c r="BY1633" s="115"/>
      <c r="BZ1633" s="115"/>
      <c r="CA1633" s="115"/>
      <c r="CB1633" s="115"/>
      <c r="CC1633" s="115"/>
      <c r="CD1633" s="115"/>
      <c r="CE1633" s="115"/>
      <c r="CF1633" s="115"/>
      <c r="CG1633" s="115"/>
      <c r="CH1633" s="115"/>
      <c r="CI1633" s="115"/>
      <c r="CJ1633" s="115"/>
      <c r="CK1633" s="115"/>
      <c r="CL1633" s="115"/>
      <c r="CM1633" s="115"/>
      <c r="CN1633" s="115"/>
      <c r="CO1633" s="115"/>
      <c r="CP1633" s="115"/>
      <c r="CQ1633" s="115"/>
      <c r="CR1633" s="115"/>
      <c r="CS1633" s="115"/>
      <c r="CT1633" s="115"/>
      <c r="CU1633" s="115"/>
      <c r="CV1633" s="115"/>
      <c r="CW1633" s="115"/>
      <c r="CX1633" s="115"/>
      <c r="CY1633" s="115"/>
      <c r="CZ1633" s="115"/>
      <c r="DA1633" s="115"/>
      <c r="DB1633" s="115"/>
      <c r="DC1633" s="115"/>
      <c r="DD1633" s="115"/>
      <c r="DE1633" s="115"/>
      <c r="DF1633" s="115"/>
      <c r="DG1633" s="115"/>
    </row>
    <row r="1634" spans="55:111" hidden="1">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c r="BY1634" s="115"/>
      <c r="BZ1634" s="115"/>
      <c r="CA1634" s="115"/>
      <c r="CB1634" s="115"/>
      <c r="CC1634" s="115"/>
      <c r="CD1634" s="115"/>
      <c r="CE1634" s="115"/>
      <c r="CF1634" s="115"/>
      <c r="CG1634" s="115"/>
      <c r="CH1634" s="115"/>
      <c r="CI1634" s="115"/>
      <c r="CJ1634" s="115"/>
      <c r="CK1634" s="115"/>
      <c r="CL1634" s="115"/>
      <c r="CM1634" s="115"/>
      <c r="CN1634" s="115"/>
      <c r="CO1634" s="115"/>
      <c r="CP1634" s="115"/>
      <c r="CQ1634" s="115"/>
      <c r="CR1634" s="115"/>
      <c r="CS1634" s="115"/>
      <c r="CT1634" s="115"/>
      <c r="CU1634" s="115"/>
      <c r="CV1634" s="115"/>
      <c r="CW1634" s="115"/>
      <c r="CX1634" s="115"/>
      <c r="CY1634" s="115"/>
      <c r="CZ1634" s="115"/>
      <c r="DA1634" s="115"/>
      <c r="DB1634" s="115"/>
      <c r="DC1634" s="115"/>
      <c r="DD1634" s="115"/>
      <c r="DE1634" s="115"/>
      <c r="DF1634" s="115"/>
      <c r="DG1634" s="115"/>
    </row>
    <row r="1635" spans="55:111" hidden="1">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c r="BY1635" s="115"/>
      <c r="BZ1635" s="115"/>
      <c r="CA1635" s="115"/>
      <c r="CB1635" s="115"/>
      <c r="CC1635" s="115"/>
      <c r="CD1635" s="115"/>
      <c r="CE1635" s="115"/>
      <c r="CF1635" s="115"/>
      <c r="CG1635" s="115"/>
      <c r="CH1635" s="115"/>
      <c r="CI1635" s="115"/>
      <c r="CJ1635" s="115"/>
      <c r="CK1635" s="115"/>
      <c r="CL1635" s="115"/>
      <c r="CM1635" s="115"/>
      <c r="CN1635" s="115"/>
      <c r="CO1635" s="115"/>
      <c r="CP1635" s="115"/>
      <c r="CQ1635" s="115"/>
      <c r="CR1635" s="115"/>
      <c r="CS1635" s="115"/>
      <c r="CT1635" s="115"/>
      <c r="CU1635" s="115"/>
      <c r="CV1635" s="115"/>
      <c r="CW1635" s="115"/>
      <c r="CX1635" s="115"/>
      <c r="CY1635" s="115"/>
      <c r="CZ1635" s="115"/>
      <c r="DA1635" s="115"/>
      <c r="DB1635" s="115"/>
      <c r="DC1635" s="115"/>
      <c r="DD1635" s="115"/>
      <c r="DE1635" s="115"/>
      <c r="DF1635" s="115"/>
      <c r="DG1635" s="115"/>
    </row>
    <row r="1636" spans="55:111" hidden="1">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c r="BY1636" s="115"/>
      <c r="BZ1636" s="115"/>
      <c r="CA1636" s="115"/>
      <c r="CB1636" s="115"/>
      <c r="CC1636" s="115"/>
      <c r="CD1636" s="115"/>
      <c r="CE1636" s="115"/>
      <c r="CF1636" s="115"/>
      <c r="CG1636" s="115"/>
      <c r="CH1636" s="115"/>
      <c r="CI1636" s="115"/>
      <c r="CJ1636" s="115"/>
      <c r="CK1636" s="115"/>
      <c r="CL1636" s="115"/>
      <c r="CM1636" s="115"/>
      <c r="CN1636" s="115"/>
      <c r="CO1636" s="115"/>
      <c r="CP1636" s="115"/>
      <c r="CQ1636" s="115"/>
      <c r="CR1636" s="115"/>
      <c r="CS1636" s="115"/>
      <c r="CT1636" s="115"/>
      <c r="CU1636" s="115"/>
      <c r="CV1636" s="115"/>
      <c r="CW1636" s="115"/>
      <c r="CX1636" s="115"/>
      <c r="CY1636" s="115"/>
      <c r="CZ1636" s="115"/>
      <c r="DA1636" s="115"/>
      <c r="DB1636" s="115"/>
      <c r="DC1636" s="115"/>
      <c r="DD1636" s="115"/>
      <c r="DE1636" s="115"/>
      <c r="DF1636" s="115"/>
      <c r="DG1636" s="115"/>
    </row>
    <row r="1637" spans="55:111" hidden="1">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c r="BY1637" s="115"/>
      <c r="BZ1637" s="115"/>
      <c r="CA1637" s="115"/>
      <c r="CB1637" s="115"/>
      <c r="CC1637" s="115"/>
      <c r="CD1637" s="115"/>
      <c r="CE1637" s="115"/>
      <c r="CF1637" s="115"/>
      <c r="CG1637" s="115"/>
      <c r="CH1637" s="115"/>
      <c r="CI1637" s="115"/>
      <c r="CJ1637" s="115"/>
      <c r="CK1637" s="115"/>
      <c r="CL1637" s="115"/>
      <c r="CM1637" s="115"/>
      <c r="CN1637" s="115"/>
      <c r="CO1637" s="115"/>
      <c r="CP1637" s="115"/>
      <c r="CQ1637" s="115"/>
      <c r="CR1637" s="115"/>
      <c r="CS1637" s="115"/>
      <c r="CT1637" s="115"/>
      <c r="CU1637" s="115"/>
      <c r="CV1637" s="115"/>
      <c r="CW1637" s="115"/>
      <c r="CX1637" s="115"/>
      <c r="CY1637" s="115"/>
      <c r="CZ1637" s="115"/>
      <c r="DA1637" s="115"/>
      <c r="DB1637" s="115"/>
      <c r="DC1637" s="115"/>
      <c r="DD1637" s="115"/>
      <c r="DE1637" s="115"/>
      <c r="DF1637" s="115"/>
      <c r="DG1637" s="115"/>
    </row>
    <row r="1638" spans="55:111" hidden="1">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c r="BY1638" s="115"/>
      <c r="BZ1638" s="115"/>
      <c r="CA1638" s="115"/>
      <c r="CB1638" s="115"/>
      <c r="CC1638" s="115"/>
      <c r="CD1638" s="115"/>
      <c r="CE1638" s="115"/>
      <c r="CF1638" s="115"/>
      <c r="CG1638" s="115"/>
      <c r="CH1638" s="115"/>
      <c r="CI1638" s="115"/>
      <c r="CJ1638" s="115"/>
      <c r="CK1638" s="115"/>
      <c r="CL1638" s="115"/>
      <c r="CM1638" s="115"/>
      <c r="CN1638" s="115"/>
      <c r="CO1638" s="115"/>
      <c r="CP1638" s="115"/>
      <c r="CQ1638" s="115"/>
      <c r="CR1638" s="115"/>
      <c r="CS1638" s="115"/>
      <c r="CT1638" s="115"/>
      <c r="CU1638" s="115"/>
      <c r="CV1638" s="115"/>
      <c r="CW1638" s="115"/>
      <c r="CX1638" s="115"/>
      <c r="CY1638" s="115"/>
      <c r="CZ1638" s="115"/>
      <c r="DA1638" s="115"/>
      <c r="DB1638" s="115"/>
      <c r="DC1638" s="115"/>
      <c r="DD1638" s="115"/>
      <c r="DE1638" s="115"/>
      <c r="DF1638" s="115"/>
      <c r="DG1638" s="115"/>
    </row>
    <row r="1639" spans="55:111" hidden="1">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c r="BY1639" s="115"/>
      <c r="BZ1639" s="115"/>
      <c r="CA1639" s="115"/>
      <c r="CB1639" s="115"/>
      <c r="CC1639" s="115"/>
      <c r="CD1639" s="115"/>
      <c r="CE1639" s="115"/>
      <c r="CF1639" s="115"/>
      <c r="CG1639" s="115"/>
      <c r="CH1639" s="115"/>
      <c r="CI1639" s="115"/>
      <c r="CJ1639" s="115"/>
      <c r="CK1639" s="115"/>
      <c r="CL1639" s="115"/>
      <c r="CM1639" s="115"/>
      <c r="CN1639" s="115"/>
      <c r="CO1639" s="115"/>
      <c r="CP1639" s="115"/>
      <c r="CQ1639" s="115"/>
      <c r="CR1639" s="115"/>
      <c r="CS1639" s="115"/>
      <c r="CT1639" s="115"/>
      <c r="CU1639" s="115"/>
      <c r="CV1639" s="115"/>
      <c r="CW1639" s="115"/>
      <c r="CX1639" s="115"/>
      <c r="CY1639" s="115"/>
      <c r="CZ1639" s="115"/>
      <c r="DA1639" s="115"/>
      <c r="DB1639" s="115"/>
      <c r="DC1639" s="115"/>
      <c r="DD1639" s="115"/>
      <c r="DE1639" s="115"/>
      <c r="DF1639" s="115"/>
      <c r="DG1639" s="115"/>
    </row>
    <row r="1640" spans="55:111" hidden="1">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c r="BY1640" s="115"/>
      <c r="BZ1640" s="115"/>
      <c r="CA1640" s="115"/>
      <c r="CB1640" s="115"/>
      <c r="CC1640" s="115"/>
      <c r="CD1640" s="115"/>
      <c r="CE1640" s="115"/>
      <c r="CF1640" s="115"/>
      <c r="CG1640" s="115"/>
      <c r="CH1640" s="115"/>
      <c r="CI1640" s="115"/>
      <c r="CJ1640" s="115"/>
      <c r="CK1640" s="115"/>
      <c r="CL1640" s="115"/>
      <c r="CM1640" s="115"/>
      <c r="CN1640" s="115"/>
      <c r="CO1640" s="115"/>
      <c r="CP1640" s="115"/>
      <c r="CQ1640" s="115"/>
      <c r="CR1640" s="115"/>
      <c r="CS1640" s="115"/>
      <c r="CT1640" s="115"/>
      <c r="CU1640" s="115"/>
      <c r="CV1640" s="115"/>
      <c r="CW1640" s="115"/>
      <c r="CX1640" s="115"/>
      <c r="CY1640" s="115"/>
      <c r="CZ1640" s="115"/>
      <c r="DA1640" s="115"/>
      <c r="DB1640" s="115"/>
      <c r="DC1640" s="115"/>
      <c r="DD1640" s="115"/>
      <c r="DE1640" s="115"/>
      <c r="DF1640" s="115"/>
      <c r="DG1640" s="115"/>
    </row>
    <row r="1641" spans="55:111" hidden="1">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c r="BY1641" s="115"/>
      <c r="BZ1641" s="115"/>
      <c r="CA1641" s="115"/>
      <c r="CB1641" s="115"/>
      <c r="CC1641" s="115"/>
      <c r="CD1641" s="115"/>
      <c r="CE1641" s="115"/>
      <c r="CF1641" s="115"/>
      <c r="CG1641" s="115"/>
      <c r="CH1641" s="115"/>
      <c r="CI1641" s="115"/>
      <c r="CJ1641" s="115"/>
      <c r="CK1641" s="115"/>
      <c r="CL1641" s="115"/>
      <c r="CM1641" s="115"/>
      <c r="CN1641" s="115"/>
      <c r="CO1641" s="115"/>
      <c r="CP1641" s="115"/>
      <c r="CQ1641" s="115"/>
      <c r="CR1641" s="115"/>
      <c r="CS1641" s="115"/>
      <c r="CT1641" s="115"/>
      <c r="CU1641" s="115"/>
      <c r="CV1641" s="115"/>
      <c r="CW1641" s="115"/>
      <c r="CX1641" s="115"/>
      <c r="CY1641" s="115"/>
      <c r="CZ1641" s="115"/>
      <c r="DA1641" s="115"/>
      <c r="DB1641" s="115"/>
      <c r="DC1641" s="115"/>
      <c r="DD1641" s="115"/>
      <c r="DE1641" s="115"/>
      <c r="DF1641" s="115"/>
      <c r="DG1641" s="115"/>
    </row>
    <row r="1642" spans="55:111" hidden="1">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c r="BY1642" s="115"/>
      <c r="BZ1642" s="115"/>
      <c r="CA1642" s="115"/>
      <c r="CB1642" s="115"/>
      <c r="CC1642" s="115"/>
      <c r="CD1642" s="115"/>
      <c r="CE1642" s="115"/>
      <c r="CF1642" s="115"/>
      <c r="CG1642" s="115"/>
      <c r="CH1642" s="115"/>
      <c r="CI1642" s="115"/>
      <c r="CJ1642" s="115"/>
      <c r="CK1642" s="115"/>
      <c r="CL1642" s="115"/>
      <c r="CM1642" s="115"/>
      <c r="CN1642" s="115"/>
      <c r="CO1642" s="115"/>
      <c r="CP1642" s="115"/>
      <c r="CQ1642" s="115"/>
      <c r="CR1642" s="115"/>
      <c r="CS1642" s="115"/>
      <c r="CT1642" s="115"/>
      <c r="CU1642" s="115"/>
      <c r="CV1642" s="115"/>
      <c r="CW1642" s="115"/>
      <c r="CX1642" s="115"/>
      <c r="CY1642" s="115"/>
      <c r="CZ1642" s="115"/>
      <c r="DA1642" s="115"/>
      <c r="DB1642" s="115"/>
      <c r="DC1642" s="115"/>
      <c r="DD1642" s="115"/>
      <c r="DE1642" s="115"/>
      <c r="DF1642" s="115"/>
      <c r="DG1642" s="115"/>
    </row>
    <row r="1643" spans="55:111" hidden="1">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c r="BY1643" s="115"/>
      <c r="BZ1643" s="115"/>
      <c r="CA1643" s="115"/>
      <c r="CB1643" s="115"/>
      <c r="CC1643" s="115"/>
      <c r="CD1643" s="115"/>
      <c r="CE1643" s="115"/>
      <c r="CF1643" s="115"/>
      <c r="CG1643" s="115"/>
      <c r="CH1643" s="115"/>
      <c r="CI1643" s="115"/>
      <c r="CJ1643" s="115"/>
      <c r="CK1643" s="115"/>
      <c r="CL1643" s="115"/>
      <c r="CM1643" s="115"/>
      <c r="CN1643" s="115"/>
      <c r="CO1643" s="115"/>
      <c r="CP1643" s="115"/>
      <c r="CQ1643" s="115"/>
      <c r="CR1643" s="115"/>
      <c r="CS1643" s="115"/>
      <c r="CT1643" s="115"/>
      <c r="CU1643" s="115"/>
      <c r="CV1643" s="115"/>
      <c r="CW1643" s="115"/>
      <c r="CX1643" s="115"/>
      <c r="CY1643" s="115"/>
      <c r="CZ1643" s="115"/>
      <c r="DA1643" s="115"/>
      <c r="DB1643" s="115"/>
      <c r="DC1643" s="115"/>
      <c r="DD1643" s="115"/>
      <c r="DE1643" s="115"/>
      <c r="DF1643" s="115"/>
      <c r="DG1643" s="115"/>
    </row>
    <row r="1644" spans="55:111" hidden="1">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c r="BY1644" s="115"/>
      <c r="BZ1644" s="115"/>
      <c r="CA1644" s="115"/>
      <c r="CB1644" s="115"/>
      <c r="CC1644" s="115"/>
      <c r="CD1644" s="115"/>
      <c r="CE1644" s="115"/>
      <c r="CF1644" s="115"/>
      <c r="CG1644" s="115"/>
      <c r="CH1644" s="115"/>
      <c r="CI1644" s="115"/>
      <c r="CJ1644" s="115"/>
      <c r="CK1644" s="115"/>
      <c r="CL1644" s="115"/>
      <c r="CM1644" s="115"/>
      <c r="CN1644" s="115"/>
      <c r="CO1644" s="115"/>
      <c r="CP1644" s="115"/>
      <c r="CQ1644" s="115"/>
      <c r="CR1644" s="115"/>
      <c r="CS1644" s="115"/>
      <c r="CT1644" s="115"/>
      <c r="CU1644" s="115"/>
      <c r="CV1644" s="115"/>
      <c r="CW1644" s="115"/>
      <c r="CX1644" s="115"/>
      <c r="CY1644" s="115"/>
      <c r="CZ1644" s="115"/>
      <c r="DA1644" s="115"/>
      <c r="DB1644" s="115"/>
      <c r="DC1644" s="115"/>
      <c r="DD1644" s="115"/>
      <c r="DE1644" s="115"/>
      <c r="DF1644" s="115"/>
      <c r="DG1644" s="115"/>
    </row>
    <row r="1645" spans="55:111" hidden="1">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c r="BY1645" s="115"/>
      <c r="BZ1645" s="115"/>
      <c r="CA1645" s="115"/>
      <c r="CB1645" s="115"/>
      <c r="CC1645" s="115"/>
      <c r="CD1645" s="115"/>
      <c r="CE1645" s="115"/>
      <c r="CF1645" s="115"/>
      <c r="CG1645" s="115"/>
      <c r="CH1645" s="115"/>
      <c r="CI1645" s="115"/>
      <c r="CJ1645" s="115"/>
      <c r="CK1645" s="115"/>
      <c r="CL1645" s="115"/>
      <c r="CM1645" s="115"/>
      <c r="CN1645" s="115"/>
      <c r="CO1645" s="115"/>
      <c r="CP1645" s="115"/>
      <c r="CQ1645" s="115"/>
      <c r="CR1645" s="115"/>
      <c r="CS1645" s="115"/>
      <c r="CT1645" s="115"/>
      <c r="CU1645" s="115"/>
      <c r="CV1645" s="115"/>
      <c r="CW1645" s="115"/>
      <c r="CX1645" s="115"/>
      <c r="CY1645" s="115"/>
      <c r="CZ1645" s="115"/>
      <c r="DA1645" s="115"/>
      <c r="DB1645" s="115"/>
      <c r="DC1645" s="115"/>
      <c r="DD1645" s="115"/>
      <c r="DE1645" s="115"/>
      <c r="DF1645" s="115"/>
      <c r="DG1645" s="115"/>
    </row>
    <row r="1646" spans="55:111" hidden="1">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c r="BY1646" s="115"/>
      <c r="BZ1646" s="115"/>
      <c r="CA1646" s="115"/>
      <c r="CB1646" s="115"/>
      <c r="CC1646" s="115"/>
      <c r="CD1646" s="115"/>
      <c r="CE1646" s="115"/>
      <c r="CF1646" s="115"/>
      <c r="CG1646" s="115"/>
      <c r="CH1646" s="115"/>
      <c r="CI1646" s="115"/>
      <c r="CJ1646" s="115"/>
      <c r="CK1646" s="115"/>
      <c r="CL1646" s="115"/>
      <c r="CM1646" s="115"/>
      <c r="CN1646" s="115"/>
      <c r="CO1646" s="115"/>
      <c r="CP1646" s="115"/>
      <c r="CQ1646" s="115"/>
      <c r="CR1646" s="115"/>
      <c r="CS1646" s="115"/>
      <c r="CT1646" s="115"/>
      <c r="CU1646" s="115"/>
      <c r="CV1646" s="115"/>
      <c r="CW1646" s="115"/>
      <c r="CX1646" s="115"/>
      <c r="CY1646" s="115"/>
      <c r="CZ1646" s="115"/>
      <c r="DA1646" s="115"/>
      <c r="DB1646" s="115"/>
      <c r="DC1646" s="115"/>
      <c r="DD1646" s="115"/>
      <c r="DE1646" s="115"/>
      <c r="DF1646" s="115"/>
      <c r="DG1646" s="115"/>
    </row>
    <row r="1647" spans="55:111" hidden="1">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c r="BY1647" s="115"/>
      <c r="BZ1647" s="115"/>
      <c r="CA1647" s="115"/>
      <c r="CB1647" s="115"/>
      <c r="CC1647" s="115"/>
      <c r="CD1647" s="115"/>
      <c r="CE1647" s="115"/>
      <c r="CF1647" s="115"/>
      <c r="CG1647" s="115"/>
      <c r="CH1647" s="115"/>
      <c r="CI1647" s="115"/>
      <c r="CJ1647" s="115"/>
      <c r="CK1647" s="115"/>
      <c r="CL1647" s="115"/>
      <c r="CM1647" s="115"/>
      <c r="CN1647" s="115"/>
      <c r="CO1647" s="115"/>
      <c r="CP1647" s="115"/>
      <c r="CQ1647" s="115"/>
      <c r="CR1647" s="115"/>
      <c r="CS1647" s="115"/>
      <c r="CT1647" s="115"/>
      <c r="CU1647" s="115"/>
      <c r="CV1647" s="115"/>
      <c r="CW1647" s="115"/>
      <c r="CX1647" s="115"/>
      <c r="CY1647" s="115"/>
      <c r="CZ1647" s="115"/>
      <c r="DA1647" s="115"/>
      <c r="DB1647" s="115"/>
      <c r="DC1647" s="115"/>
      <c r="DD1647" s="115"/>
      <c r="DE1647" s="115"/>
      <c r="DF1647" s="115"/>
      <c r="DG1647" s="115"/>
    </row>
    <row r="1648" spans="55:111" hidden="1">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c r="BY1648" s="115"/>
      <c r="BZ1648" s="115"/>
      <c r="CA1648" s="115"/>
      <c r="CB1648" s="115"/>
      <c r="CC1648" s="115"/>
      <c r="CD1648" s="115"/>
      <c r="CE1648" s="115"/>
      <c r="CF1648" s="115"/>
      <c r="CG1648" s="115"/>
      <c r="CH1648" s="115"/>
      <c r="CI1648" s="115"/>
      <c r="CJ1648" s="115"/>
      <c r="CK1648" s="115"/>
      <c r="CL1648" s="115"/>
      <c r="CM1648" s="115"/>
      <c r="CN1648" s="115"/>
      <c r="CO1648" s="115"/>
      <c r="CP1648" s="115"/>
      <c r="CQ1648" s="115"/>
      <c r="CR1648" s="115"/>
      <c r="CS1648" s="115"/>
      <c r="CT1648" s="115"/>
      <c r="CU1648" s="115"/>
      <c r="CV1648" s="115"/>
      <c r="CW1648" s="115"/>
      <c r="CX1648" s="115"/>
      <c r="CY1648" s="115"/>
      <c r="CZ1648" s="115"/>
      <c r="DA1648" s="115"/>
      <c r="DB1648" s="115"/>
      <c r="DC1648" s="115"/>
      <c r="DD1648" s="115"/>
      <c r="DE1648" s="115"/>
      <c r="DF1648" s="115"/>
      <c r="DG1648" s="115"/>
    </row>
    <row r="1649" spans="55:111" hidden="1">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c r="BY1649" s="115"/>
      <c r="BZ1649" s="115"/>
      <c r="CA1649" s="115"/>
      <c r="CB1649" s="115"/>
      <c r="CC1649" s="115"/>
      <c r="CD1649" s="115"/>
      <c r="CE1649" s="115"/>
      <c r="CF1649" s="115"/>
      <c r="CG1649" s="115"/>
      <c r="CH1649" s="115"/>
      <c r="CI1649" s="115"/>
      <c r="CJ1649" s="115"/>
      <c r="CK1649" s="115"/>
      <c r="CL1649" s="115"/>
      <c r="CM1649" s="115"/>
      <c r="CN1649" s="115"/>
      <c r="CO1649" s="115"/>
      <c r="CP1649" s="115"/>
      <c r="CQ1649" s="115"/>
      <c r="CR1649" s="115"/>
      <c r="CS1649" s="115"/>
      <c r="CT1649" s="115"/>
      <c r="CU1649" s="115"/>
      <c r="CV1649" s="115"/>
      <c r="CW1649" s="115"/>
      <c r="CX1649" s="115"/>
      <c r="CY1649" s="115"/>
      <c r="CZ1649" s="115"/>
      <c r="DA1649" s="115"/>
      <c r="DB1649" s="115"/>
      <c r="DC1649" s="115"/>
      <c r="DD1649" s="115"/>
      <c r="DE1649" s="115"/>
      <c r="DF1649" s="115"/>
      <c r="DG1649" s="115"/>
    </row>
    <row r="1650" spans="55:111" hidden="1">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c r="BY1650" s="115"/>
      <c r="BZ1650" s="115"/>
      <c r="CA1650" s="115"/>
      <c r="CB1650" s="115"/>
      <c r="CC1650" s="115"/>
      <c r="CD1650" s="115"/>
      <c r="CE1650" s="115"/>
      <c r="CF1650" s="115"/>
      <c r="CG1650" s="115"/>
      <c r="CH1650" s="115"/>
      <c r="CI1650" s="115"/>
      <c r="CJ1650" s="115"/>
      <c r="CK1650" s="115"/>
      <c r="CL1650" s="115"/>
      <c r="CM1650" s="115"/>
      <c r="CN1650" s="115"/>
      <c r="CO1650" s="115"/>
      <c r="CP1650" s="115"/>
      <c r="CQ1650" s="115"/>
      <c r="CR1650" s="115"/>
      <c r="CS1650" s="115"/>
      <c r="CT1650" s="115"/>
      <c r="CU1650" s="115"/>
      <c r="CV1650" s="115"/>
      <c r="CW1650" s="115"/>
      <c r="CX1650" s="115"/>
      <c r="CY1650" s="115"/>
      <c r="CZ1650" s="115"/>
      <c r="DA1650" s="115"/>
      <c r="DB1650" s="115"/>
      <c r="DC1650" s="115"/>
      <c r="DD1650" s="115"/>
      <c r="DE1650" s="115"/>
      <c r="DF1650" s="115"/>
      <c r="DG1650" s="115"/>
    </row>
    <row r="1651" spans="55:111" hidden="1">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c r="BY1651" s="115"/>
      <c r="BZ1651" s="115"/>
      <c r="CA1651" s="115"/>
      <c r="CB1651" s="115"/>
      <c r="CC1651" s="115"/>
      <c r="CD1651" s="115"/>
      <c r="CE1651" s="115"/>
      <c r="CF1651" s="115"/>
      <c r="CG1651" s="115"/>
      <c r="CH1651" s="115"/>
      <c r="CI1651" s="115"/>
      <c r="CJ1651" s="115"/>
      <c r="CK1651" s="115"/>
      <c r="CL1651" s="115"/>
      <c r="CM1651" s="115"/>
      <c r="CN1651" s="115"/>
      <c r="CO1651" s="115"/>
      <c r="CP1651" s="115"/>
      <c r="CQ1651" s="115"/>
      <c r="CR1651" s="115"/>
      <c r="CS1651" s="115"/>
      <c r="CT1651" s="115"/>
      <c r="CU1651" s="115"/>
      <c r="CV1651" s="115"/>
      <c r="CW1651" s="115"/>
      <c r="CX1651" s="115"/>
      <c r="CY1651" s="115"/>
      <c r="CZ1651" s="115"/>
      <c r="DA1651" s="115"/>
      <c r="DB1651" s="115"/>
      <c r="DC1651" s="115"/>
      <c r="DD1651" s="115"/>
      <c r="DE1651" s="115"/>
      <c r="DF1651" s="115"/>
      <c r="DG1651" s="115"/>
    </row>
    <row r="1652" spans="55:111" hidden="1">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c r="BY1652" s="115"/>
      <c r="BZ1652" s="115"/>
      <c r="CA1652" s="115"/>
      <c r="CB1652" s="115"/>
      <c r="CC1652" s="115"/>
      <c r="CD1652" s="115"/>
      <c r="CE1652" s="115"/>
      <c r="CF1652" s="115"/>
      <c r="CG1652" s="115"/>
      <c r="CH1652" s="115"/>
      <c r="CI1652" s="115"/>
      <c r="CJ1652" s="115"/>
      <c r="CK1652" s="115"/>
      <c r="CL1652" s="115"/>
      <c r="CM1652" s="115"/>
      <c r="CN1652" s="115"/>
      <c r="CO1652" s="115"/>
      <c r="CP1652" s="115"/>
      <c r="CQ1652" s="115"/>
      <c r="CR1652" s="115"/>
      <c r="CS1652" s="115"/>
      <c r="CT1652" s="115"/>
      <c r="CU1652" s="115"/>
      <c r="CV1652" s="115"/>
      <c r="CW1652" s="115"/>
      <c r="CX1652" s="115"/>
      <c r="CY1652" s="115"/>
      <c r="CZ1652" s="115"/>
      <c r="DA1652" s="115"/>
      <c r="DB1652" s="115"/>
      <c r="DC1652" s="115"/>
      <c r="DD1652" s="115"/>
      <c r="DE1652" s="115"/>
      <c r="DF1652" s="115"/>
      <c r="DG1652" s="115"/>
    </row>
    <row r="1653" spans="55:111" hidden="1">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c r="BY1653" s="115"/>
      <c r="BZ1653" s="115"/>
      <c r="CA1653" s="115"/>
      <c r="CB1653" s="115"/>
      <c r="CC1653" s="115"/>
      <c r="CD1653" s="115"/>
      <c r="CE1653" s="115"/>
      <c r="CF1653" s="115"/>
      <c r="CG1653" s="115"/>
      <c r="CH1653" s="115"/>
      <c r="CI1653" s="115"/>
      <c r="CJ1653" s="115"/>
      <c r="CK1653" s="115"/>
      <c r="CL1653" s="115"/>
      <c r="CM1653" s="115"/>
      <c r="CN1653" s="115"/>
      <c r="CO1653" s="115"/>
      <c r="CP1653" s="115"/>
      <c r="CQ1653" s="115"/>
      <c r="CR1653" s="115"/>
      <c r="CS1653" s="115"/>
      <c r="CT1653" s="115"/>
      <c r="CU1653" s="115"/>
      <c r="CV1653" s="115"/>
      <c r="CW1653" s="115"/>
      <c r="CX1653" s="115"/>
      <c r="CY1653" s="115"/>
      <c r="CZ1653" s="115"/>
      <c r="DA1653" s="115"/>
      <c r="DB1653" s="115"/>
      <c r="DC1653" s="115"/>
      <c r="DD1653" s="115"/>
      <c r="DE1653" s="115"/>
      <c r="DF1653" s="115"/>
      <c r="DG1653" s="115"/>
    </row>
    <row r="1654" spans="55:111" hidden="1">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c r="BY1654" s="115"/>
      <c r="BZ1654" s="115"/>
      <c r="CA1654" s="115"/>
      <c r="CB1654" s="115"/>
      <c r="CC1654" s="115"/>
      <c r="CD1654" s="115"/>
      <c r="CE1654" s="115"/>
      <c r="CF1654" s="115"/>
      <c r="CG1654" s="115"/>
      <c r="CH1654" s="115"/>
      <c r="CI1654" s="115"/>
      <c r="CJ1654" s="115"/>
      <c r="CK1654" s="115"/>
      <c r="CL1654" s="115"/>
      <c r="CM1654" s="115"/>
      <c r="CN1654" s="115"/>
      <c r="CO1654" s="115"/>
      <c r="CP1654" s="115"/>
      <c r="CQ1654" s="115"/>
      <c r="CR1654" s="115"/>
      <c r="CS1654" s="115"/>
      <c r="CT1654" s="115"/>
      <c r="CU1654" s="115"/>
      <c r="CV1654" s="115"/>
      <c r="CW1654" s="115"/>
      <c r="CX1654" s="115"/>
      <c r="CY1654" s="115"/>
      <c r="CZ1654" s="115"/>
      <c r="DA1654" s="115"/>
      <c r="DB1654" s="115"/>
      <c r="DC1654" s="115"/>
      <c r="DD1654" s="115"/>
      <c r="DE1654" s="115"/>
      <c r="DF1654" s="115"/>
      <c r="DG1654" s="115"/>
    </row>
    <row r="1655" spans="55:111" hidden="1">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c r="BY1655" s="115"/>
      <c r="BZ1655" s="115"/>
      <c r="CA1655" s="115"/>
      <c r="CB1655" s="115"/>
      <c r="CC1655" s="115"/>
      <c r="CD1655" s="115"/>
      <c r="CE1655" s="115"/>
      <c r="CF1655" s="115"/>
      <c r="CG1655" s="115"/>
      <c r="CH1655" s="115"/>
      <c r="CI1655" s="115"/>
      <c r="CJ1655" s="115"/>
      <c r="CK1655" s="115"/>
      <c r="CL1655" s="115"/>
      <c r="CM1655" s="115"/>
      <c r="CN1655" s="115"/>
      <c r="CO1655" s="115"/>
      <c r="CP1655" s="115"/>
      <c r="CQ1655" s="115"/>
      <c r="CR1655" s="115"/>
      <c r="CS1655" s="115"/>
      <c r="CT1655" s="115"/>
      <c r="CU1655" s="115"/>
      <c r="CV1655" s="115"/>
      <c r="CW1655" s="115"/>
      <c r="CX1655" s="115"/>
      <c r="CY1655" s="115"/>
      <c r="CZ1655" s="115"/>
      <c r="DA1655" s="115"/>
      <c r="DB1655" s="115"/>
      <c r="DC1655" s="115"/>
      <c r="DD1655" s="115"/>
      <c r="DE1655" s="115"/>
      <c r="DF1655" s="115"/>
      <c r="DG1655" s="115"/>
    </row>
    <row r="1656" spans="55:111" hidden="1">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c r="BY1656" s="115"/>
      <c r="BZ1656" s="115"/>
      <c r="CA1656" s="115"/>
      <c r="CB1656" s="115"/>
      <c r="CC1656" s="115"/>
      <c r="CD1656" s="115"/>
      <c r="CE1656" s="115"/>
      <c r="CF1656" s="115"/>
      <c r="CG1656" s="115"/>
      <c r="CH1656" s="115"/>
      <c r="CI1656" s="115"/>
      <c r="CJ1656" s="115"/>
      <c r="CK1656" s="115"/>
      <c r="CL1656" s="115"/>
      <c r="CM1656" s="115"/>
      <c r="CN1656" s="115"/>
      <c r="CO1656" s="115"/>
      <c r="CP1656" s="115"/>
      <c r="CQ1656" s="115"/>
      <c r="CR1656" s="115"/>
      <c r="CS1656" s="115"/>
      <c r="CT1656" s="115"/>
      <c r="CU1656" s="115"/>
      <c r="CV1656" s="115"/>
      <c r="CW1656" s="115"/>
      <c r="CX1656" s="115"/>
      <c r="CY1656" s="115"/>
      <c r="CZ1656" s="115"/>
      <c r="DA1656" s="115"/>
      <c r="DB1656" s="115"/>
      <c r="DC1656" s="115"/>
      <c r="DD1656" s="115"/>
      <c r="DE1656" s="115"/>
      <c r="DF1656" s="115"/>
      <c r="DG1656" s="115"/>
    </row>
    <row r="1657" spans="55:111" hidden="1">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c r="BY1657" s="115"/>
      <c r="BZ1657" s="115"/>
      <c r="CA1657" s="115"/>
      <c r="CB1657" s="115"/>
      <c r="CC1657" s="115"/>
      <c r="CD1657" s="115"/>
      <c r="CE1657" s="115"/>
      <c r="CF1657" s="115"/>
      <c r="CG1657" s="115"/>
      <c r="CH1657" s="115"/>
      <c r="CI1657" s="115"/>
      <c r="CJ1657" s="115"/>
      <c r="CK1657" s="115"/>
      <c r="CL1657" s="115"/>
      <c r="CM1657" s="115"/>
      <c r="CN1657" s="115"/>
      <c r="CO1657" s="115"/>
      <c r="CP1657" s="115"/>
      <c r="CQ1657" s="115"/>
      <c r="CR1657" s="115"/>
      <c r="CS1657" s="115"/>
      <c r="CT1657" s="115"/>
      <c r="CU1657" s="115"/>
      <c r="CV1657" s="115"/>
      <c r="CW1657" s="115"/>
      <c r="CX1657" s="115"/>
      <c r="CY1657" s="115"/>
      <c r="CZ1657" s="115"/>
      <c r="DA1657" s="115"/>
      <c r="DB1657" s="115"/>
      <c r="DC1657" s="115"/>
      <c r="DD1657" s="115"/>
      <c r="DE1657" s="115"/>
      <c r="DF1657" s="115"/>
      <c r="DG1657" s="115"/>
    </row>
    <row r="1658" spans="55:111" hidden="1">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c r="BY1658" s="115"/>
      <c r="BZ1658" s="115"/>
      <c r="CA1658" s="115"/>
      <c r="CB1658" s="115"/>
      <c r="CC1658" s="115"/>
      <c r="CD1658" s="115"/>
      <c r="CE1658" s="115"/>
      <c r="CF1658" s="115"/>
      <c r="CG1658" s="115"/>
      <c r="CH1658" s="115"/>
      <c r="CI1658" s="115"/>
      <c r="CJ1658" s="115"/>
      <c r="CK1658" s="115"/>
      <c r="CL1658" s="115"/>
      <c r="CM1658" s="115"/>
      <c r="CN1658" s="115"/>
      <c r="CO1658" s="115"/>
      <c r="CP1658" s="115"/>
      <c r="CQ1658" s="115"/>
      <c r="CR1658" s="115"/>
      <c r="CS1658" s="115"/>
      <c r="CT1658" s="115"/>
      <c r="CU1658" s="115"/>
      <c r="CV1658" s="115"/>
      <c r="CW1658" s="115"/>
      <c r="CX1658" s="115"/>
      <c r="CY1658" s="115"/>
      <c r="CZ1658" s="115"/>
      <c r="DA1658" s="115"/>
      <c r="DB1658" s="115"/>
      <c r="DC1658" s="115"/>
      <c r="DD1658" s="115"/>
      <c r="DE1658" s="115"/>
      <c r="DF1658" s="115"/>
      <c r="DG1658" s="115"/>
    </row>
    <row r="1659" spans="55:111" hidden="1">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c r="BY1659" s="115"/>
      <c r="BZ1659" s="115"/>
      <c r="CA1659" s="115"/>
      <c r="CB1659" s="115"/>
      <c r="CC1659" s="115"/>
      <c r="CD1659" s="115"/>
      <c r="CE1659" s="115"/>
      <c r="CF1659" s="115"/>
      <c r="CG1659" s="115"/>
      <c r="CH1659" s="115"/>
      <c r="CI1659" s="115"/>
      <c r="CJ1659" s="115"/>
      <c r="CK1659" s="115"/>
      <c r="CL1659" s="115"/>
      <c r="CM1659" s="115"/>
      <c r="CN1659" s="115"/>
      <c r="CO1659" s="115"/>
      <c r="CP1659" s="115"/>
      <c r="CQ1659" s="115"/>
      <c r="CR1659" s="115"/>
      <c r="CS1659" s="115"/>
      <c r="CT1659" s="115"/>
      <c r="CU1659" s="115"/>
      <c r="CV1659" s="115"/>
      <c r="CW1659" s="115"/>
      <c r="CX1659" s="115"/>
      <c r="CY1659" s="115"/>
      <c r="CZ1659" s="115"/>
      <c r="DA1659" s="115"/>
      <c r="DB1659" s="115"/>
      <c r="DC1659" s="115"/>
      <c r="DD1659" s="115"/>
      <c r="DE1659" s="115"/>
      <c r="DF1659" s="115"/>
      <c r="DG1659" s="115"/>
    </row>
    <row r="1660" spans="55:111" hidden="1">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c r="BY1660" s="115"/>
      <c r="BZ1660" s="115"/>
      <c r="CA1660" s="115"/>
      <c r="CB1660" s="115"/>
      <c r="CC1660" s="115"/>
      <c r="CD1660" s="115"/>
      <c r="CE1660" s="115"/>
      <c r="CF1660" s="115"/>
      <c r="CG1660" s="115"/>
      <c r="CH1660" s="115"/>
      <c r="CI1660" s="115"/>
      <c r="CJ1660" s="115"/>
      <c r="CK1660" s="115"/>
      <c r="CL1660" s="115"/>
      <c r="CM1660" s="115"/>
      <c r="CN1660" s="115"/>
      <c r="CO1660" s="115"/>
      <c r="CP1660" s="115"/>
      <c r="CQ1660" s="115"/>
      <c r="CR1660" s="115"/>
      <c r="CS1660" s="115"/>
      <c r="CT1660" s="115"/>
      <c r="CU1660" s="115"/>
      <c r="CV1660" s="115"/>
      <c r="CW1660" s="115"/>
      <c r="CX1660" s="115"/>
      <c r="CY1660" s="115"/>
      <c r="CZ1660" s="115"/>
      <c r="DA1660" s="115"/>
      <c r="DB1660" s="115"/>
      <c r="DC1660" s="115"/>
      <c r="DD1660" s="115"/>
      <c r="DE1660" s="115"/>
      <c r="DF1660" s="115"/>
      <c r="DG1660" s="115"/>
    </row>
    <row r="1661" spans="55:111" hidden="1">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c r="BY1661" s="115"/>
      <c r="BZ1661" s="115"/>
      <c r="CA1661" s="115"/>
      <c r="CB1661" s="115"/>
      <c r="CC1661" s="115"/>
      <c r="CD1661" s="115"/>
      <c r="CE1661" s="115"/>
      <c r="CF1661" s="115"/>
      <c r="CG1661" s="115"/>
      <c r="CH1661" s="115"/>
      <c r="CI1661" s="115"/>
      <c r="CJ1661" s="115"/>
      <c r="CK1661" s="115"/>
      <c r="CL1661" s="115"/>
      <c r="CM1661" s="115"/>
      <c r="CN1661" s="115"/>
      <c r="CO1661" s="115"/>
      <c r="CP1661" s="115"/>
      <c r="CQ1661" s="115"/>
      <c r="CR1661" s="115"/>
      <c r="CS1661" s="115"/>
      <c r="CT1661" s="115"/>
      <c r="CU1661" s="115"/>
      <c r="CV1661" s="115"/>
      <c r="CW1661" s="115"/>
      <c r="CX1661" s="115"/>
      <c r="CY1661" s="115"/>
      <c r="CZ1661" s="115"/>
      <c r="DA1661" s="115"/>
      <c r="DB1661" s="115"/>
      <c r="DC1661" s="115"/>
      <c r="DD1661" s="115"/>
      <c r="DE1661" s="115"/>
      <c r="DF1661" s="115"/>
      <c r="DG1661" s="115"/>
    </row>
    <row r="1662" spans="55:111" hidden="1">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c r="BY1662" s="115"/>
      <c r="BZ1662" s="115"/>
      <c r="CA1662" s="115"/>
      <c r="CB1662" s="115"/>
      <c r="CC1662" s="115"/>
      <c r="CD1662" s="115"/>
      <c r="CE1662" s="115"/>
      <c r="CF1662" s="115"/>
      <c r="CG1662" s="115"/>
      <c r="CH1662" s="115"/>
      <c r="CI1662" s="115"/>
      <c r="CJ1662" s="115"/>
      <c r="CK1662" s="115"/>
      <c r="CL1662" s="115"/>
      <c r="CM1662" s="115"/>
      <c r="CN1662" s="115"/>
      <c r="CO1662" s="115"/>
      <c r="CP1662" s="115"/>
      <c r="CQ1662" s="115"/>
      <c r="CR1662" s="115"/>
      <c r="CS1662" s="115"/>
      <c r="CT1662" s="115"/>
      <c r="CU1662" s="115"/>
      <c r="CV1662" s="115"/>
      <c r="CW1662" s="115"/>
      <c r="CX1662" s="115"/>
      <c r="CY1662" s="115"/>
      <c r="CZ1662" s="115"/>
      <c r="DA1662" s="115"/>
      <c r="DB1662" s="115"/>
      <c r="DC1662" s="115"/>
      <c r="DD1662" s="115"/>
      <c r="DE1662" s="115"/>
      <c r="DF1662" s="115"/>
      <c r="DG1662" s="115"/>
    </row>
    <row r="1663" spans="55:111" hidden="1">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c r="BY1663" s="115"/>
      <c r="BZ1663" s="115"/>
      <c r="CA1663" s="115"/>
      <c r="CB1663" s="115"/>
      <c r="CC1663" s="115"/>
      <c r="CD1663" s="115"/>
      <c r="CE1663" s="115"/>
      <c r="CF1663" s="115"/>
      <c r="CG1663" s="115"/>
      <c r="CH1663" s="115"/>
      <c r="CI1663" s="115"/>
      <c r="CJ1663" s="115"/>
      <c r="CK1663" s="115"/>
      <c r="CL1663" s="115"/>
      <c r="CM1663" s="115"/>
      <c r="CN1663" s="115"/>
      <c r="CO1663" s="115"/>
      <c r="CP1663" s="115"/>
      <c r="CQ1663" s="115"/>
      <c r="CR1663" s="115"/>
      <c r="CS1663" s="115"/>
      <c r="CT1663" s="115"/>
      <c r="CU1663" s="115"/>
      <c r="CV1663" s="115"/>
      <c r="CW1663" s="115"/>
      <c r="CX1663" s="115"/>
      <c r="CY1663" s="115"/>
      <c r="CZ1663" s="115"/>
      <c r="DA1663" s="115"/>
      <c r="DB1663" s="115"/>
      <c r="DC1663" s="115"/>
      <c r="DD1663" s="115"/>
      <c r="DE1663" s="115"/>
      <c r="DF1663" s="115"/>
      <c r="DG1663" s="115"/>
    </row>
    <row r="1664" spans="55:111" hidden="1">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c r="BY1664" s="115"/>
      <c r="BZ1664" s="115"/>
      <c r="CA1664" s="115"/>
      <c r="CB1664" s="115"/>
      <c r="CC1664" s="115"/>
      <c r="CD1664" s="115"/>
      <c r="CE1664" s="115"/>
      <c r="CF1664" s="115"/>
      <c r="CG1664" s="115"/>
      <c r="CH1664" s="115"/>
      <c r="CI1664" s="115"/>
      <c r="CJ1664" s="115"/>
      <c r="CK1664" s="115"/>
      <c r="CL1664" s="115"/>
      <c r="CM1664" s="115"/>
      <c r="CN1664" s="115"/>
      <c r="CO1664" s="115"/>
      <c r="CP1664" s="115"/>
      <c r="CQ1664" s="115"/>
      <c r="CR1664" s="115"/>
      <c r="CS1664" s="115"/>
      <c r="CT1664" s="115"/>
      <c r="CU1664" s="115"/>
      <c r="CV1664" s="115"/>
      <c r="CW1664" s="115"/>
      <c r="CX1664" s="115"/>
      <c r="CY1664" s="115"/>
      <c r="CZ1664" s="115"/>
      <c r="DA1664" s="115"/>
      <c r="DB1664" s="115"/>
      <c r="DC1664" s="115"/>
      <c r="DD1664" s="115"/>
      <c r="DE1664" s="115"/>
      <c r="DF1664" s="115"/>
      <c r="DG1664" s="115"/>
    </row>
    <row r="1665" spans="55:111" hidden="1">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c r="BY1665" s="115"/>
      <c r="BZ1665" s="115"/>
      <c r="CA1665" s="115"/>
      <c r="CB1665" s="115"/>
      <c r="CC1665" s="115"/>
      <c r="CD1665" s="115"/>
      <c r="CE1665" s="115"/>
      <c r="CF1665" s="115"/>
      <c r="CG1665" s="115"/>
      <c r="CH1665" s="115"/>
      <c r="CI1665" s="115"/>
      <c r="CJ1665" s="115"/>
      <c r="CK1665" s="115"/>
      <c r="CL1665" s="115"/>
      <c r="CM1665" s="115"/>
      <c r="CN1665" s="115"/>
      <c r="CO1665" s="115"/>
      <c r="CP1665" s="115"/>
      <c r="CQ1665" s="115"/>
      <c r="CR1665" s="115"/>
      <c r="CS1665" s="115"/>
      <c r="CT1665" s="115"/>
      <c r="CU1665" s="115"/>
      <c r="CV1665" s="115"/>
      <c r="CW1665" s="115"/>
      <c r="CX1665" s="115"/>
      <c r="CY1665" s="115"/>
      <c r="CZ1665" s="115"/>
      <c r="DA1665" s="115"/>
      <c r="DB1665" s="115"/>
      <c r="DC1665" s="115"/>
      <c r="DD1665" s="115"/>
      <c r="DE1665" s="115"/>
      <c r="DF1665" s="115"/>
      <c r="DG1665" s="115"/>
    </row>
    <row r="1666" spans="55:111" hidden="1">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c r="BY1666" s="115"/>
      <c r="BZ1666" s="115"/>
      <c r="CA1666" s="115"/>
      <c r="CB1666" s="115"/>
      <c r="CC1666" s="115"/>
      <c r="CD1666" s="115"/>
      <c r="CE1666" s="115"/>
      <c r="CF1666" s="115"/>
      <c r="CG1666" s="115"/>
      <c r="CH1666" s="115"/>
      <c r="CI1666" s="115"/>
      <c r="CJ1666" s="115"/>
      <c r="CK1666" s="115"/>
      <c r="CL1666" s="115"/>
      <c r="CM1666" s="115"/>
      <c r="CN1666" s="115"/>
      <c r="CO1666" s="115"/>
      <c r="CP1666" s="115"/>
      <c r="CQ1666" s="115"/>
      <c r="CR1666" s="115"/>
      <c r="CS1666" s="115"/>
      <c r="CT1666" s="115"/>
      <c r="CU1666" s="115"/>
      <c r="CV1666" s="115"/>
      <c r="CW1666" s="115"/>
      <c r="CX1666" s="115"/>
      <c r="CY1666" s="115"/>
      <c r="CZ1666" s="115"/>
      <c r="DA1666" s="115"/>
      <c r="DB1666" s="115"/>
      <c r="DC1666" s="115"/>
      <c r="DD1666" s="115"/>
      <c r="DE1666" s="115"/>
      <c r="DF1666" s="115"/>
      <c r="DG1666" s="115"/>
    </row>
    <row r="1667" spans="55:111" hidden="1">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c r="BY1667" s="115"/>
      <c r="BZ1667" s="115"/>
      <c r="CA1667" s="115"/>
      <c r="CB1667" s="115"/>
      <c r="CC1667" s="115"/>
      <c r="CD1667" s="115"/>
      <c r="CE1667" s="115"/>
      <c r="CF1667" s="115"/>
      <c r="CG1667" s="115"/>
      <c r="CH1667" s="115"/>
      <c r="CI1667" s="115"/>
      <c r="CJ1667" s="115"/>
      <c r="CK1667" s="115"/>
      <c r="CL1667" s="115"/>
      <c r="CM1667" s="115"/>
      <c r="CN1667" s="115"/>
      <c r="CO1667" s="115"/>
      <c r="CP1667" s="115"/>
      <c r="CQ1667" s="115"/>
      <c r="CR1667" s="115"/>
      <c r="CS1667" s="115"/>
      <c r="CT1667" s="115"/>
      <c r="CU1667" s="115"/>
      <c r="CV1667" s="115"/>
      <c r="CW1667" s="115"/>
      <c r="CX1667" s="115"/>
      <c r="CY1667" s="115"/>
      <c r="CZ1667" s="115"/>
      <c r="DA1667" s="115"/>
      <c r="DB1667" s="115"/>
      <c r="DC1667" s="115"/>
      <c r="DD1667" s="115"/>
      <c r="DE1667" s="115"/>
      <c r="DF1667" s="115"/>
      <c r="DG1667" s="115"/>
    </row>
    <row r="1668" spans="55:111" hidden="1">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c r="BY1668" s="115"/>
      <c r="BZ1668" s="115"/>
      <c r="CA1668" s="115"/>
      <c r="CB1668" s="115"/>
      <c r="CC1668" s="115"/>
      <c r="CD1668" s="115"/>
      <c r="CE1668" s="115"/>
      <c r="CF1668" s="115"/>
      <c r="CG1668" s="115"/>
      <c r="CH1668" s="115"/>
      <c r="CI1668" s="115"/>
      <c r="CJ1668" s="115"/>
      <c r="CK1668" s="115"/>
      <c r="CL1668" s="115"/>
      <c r="CM1668" s="115"/>
      <c r="CN1668" s="115"/>
      <c r="CO1668" s="115"/>
      <c r="CP1668" s="115"/>
      <c r="CQ1668" s="115"/>
      <c r="CR1668" s="115"/>
      <c r="CS1668" s="115"/>
      <c r="CT1668" s="115"/>
      <c r="CU1668" s="115"/>
      <c r="CV1668" s="115"/>
      <c r="CW1668" s="115"/>
      <c r="CX1668" s="115"/>
      <c r="CY1668" s="115"/>
      <c r="CZ1668" s="115"/>
      <c r="DA1668" s="115"/>
      <c r="DB1668" s="115"/>
      <c r="DC1668" s="115"/>
      <c r="DD1668" s="115"/>
      <c r="DE1668" s="115"/>
      <c r="DF1668" s="115"/>
      <c r="DG1668" s="115"/>
    </row>
    <row r="1669" spans="55:111" hidden="1">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c r="BY1669" s="115"/>
      <c r="BZ1669" s="115"/>
      <c r="CA1669" s="115"/>
      <c r="CB1669" s="115"/>
      <c r="CC1669" s="115"/>
      <c r="CD1669" s="115"/>
      <c r="CE1669" s="115"/>
      <c r="CF1669" s="115"/>
      <c r="CG1669" s="115"/>
      <c r="CH1669" s="115"/>
      <c r="CI1669" s="115"/>
      <c r="CJ1669" s="115"/>
      <c r="CK1669" s="115"/>
      <c r="CL1669" s="115"/>
      <c r="CM1669" s="115"/>
      <c r="CN1669" s="115"/>
      <c r="CO1669" s="115"/>
      <c r="CP1669" s="115"/>
      <c r="CQ1669" s="115"/>
      <c r="CR1669" s="115"/>
      <c r="CS1669" s="115"/>
      <c r="CT1669" s="115"/>
      <c r="CU1669" s="115"/>
      <c r="CV1669" s="115"/>
      <c r="CW1669" s="115"/>
      <c r="CX1669" s="115"/>
      <c r="CY1669" s="115"/>
      <c r="CZ1669" s="115"/>
      <c r="DA1669" s="115"/>
      <c r="DB1669" s="115"/>
      <c r="DC1669" s="115"/>
      <c r="DD1669" s="115"/>
      <c r="DE1669" s="115"/>
      <c r="DF1669" s="115"/>
      <c r="DG1669" s="115"/>
    </row>
    <row r="1670" spans="55:111" hidden="1">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c r="BY1670" s="115"/>
      <c r="BZ1670" s="115"/>
      <c r="CA1670" s="115"/>
      <c r="CB1670" s="115"/>
      <c r="CC1670" s="115"/>
      <c r="CD1670" s="115"/>
      <c r="CE1670" s="115"/>
      <c r="CF1670" s="115"/>
      <c r="CG1670" s="115"/>
      <c r="CH1670" s="115"/>
      <c r="CI1670" s="115"/>
      <c r="CJ1670" s="115"/>
      <c r="CK1670" s="115"/>
      <c r="CL1670" s="115"/>
      <c r="CM1670" s="115"/>
      <c r="CN1670" s="115"/>
      <c r="CO1670" s="115"/>
      <c r="CP1670" s="115"/>
      <c r="CQ1670" s="115"/>
      <c r="CR1670" s="115"/>
      <c r="CS1670" s="115"/>
      <c r="CT1670" s="115"/>
      <c r="CU1670" s="115"/>
      <c r="CV1670" s="115"/>
      <c r="CW1670" s="115"/>
      <c r="CX1670" s="115"/>
      <c r="CY1670" s="115"/>
      <c r="CZ1670" s="115"/>
      <c r="DA1670" s="115"/>
      <c r="DB1670" s="115"/>
      <c r="DC1670" s="115"/>
      <c r="DD1670" s="115"/>
      <c r="DE1670" s="115"/>
      <c r="DF1670" s="115"/>
      <c r="DG1670" s="115"/>
    </row>
    <row r="1671" spans="55:111" hidden="1">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c r="BY1671" s="115"/>
      <c r="BZ1671" s="115"/>
      <c r="CA1671" s="115"/>
      <c r="CB1671" s="115"/>
      <c r="CC1671" s="115"/>
      <c r="CD1671" s="115"/>
      <c r="CE1671" s="115"/>
      <c r="CF1671" s="115"/>
      <c r="CG1671" s="115"/>
      <c r="CH1671" s="115"/>
      <c r="CI1671" s="115"/>
      <c r="CJ1671" s="115"/>
      <c r="CK1671" s="115"/>
      <c r="CL1671" s="115"/>
      <c r="CM1671" s="115"/>
      <c r="CN1671" s="115"/>
      <c r="CO1671" s="115"/>
      <c r="CP1671" s="115"/>
      <c r="CQ1671" s="115"/>
      <c r="CR1671" s="115"/>
      <c r="CS1671" s="115"/>
      <c r="CT1671" s="115"/>
      <c r="CU1671" s="115"/>
      <c r="CV1671" s="115"/>
      <c r="CW1671" s="115"/>
      <c r="CX1671" s="115"/>
      <c r="CY1671" s="115"/>
      <c r="CZ1671" s="115"/>
      <c r="DA1671" s="115"/>
      <c r="DB1671" s="115"/>
      <c r="DC1671" s="115"/>
      <c r="DD1671" s="115"/>
      <c r="DE1671" s="115"/>
      <c r="DF1671" s="115"/>
      <c r="DG1671" s="115"/>
    </row>
    <row r="1672" spans="55:111" hidden="1">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c r="BY1672" s="115"/>
      <c r="BZ1672" s="115"/>
      <c r="CA1672" s="115"/>
      <c r="CB1672" s="115"/>
      <c r="CC1672" s="115"/>
      <c r="CD1672" s="115"/>
      <c r="CE1672" s="115"/>
      <c r="CF1672" s="115"/>
      <c r="CG1672" s="115"/>
      <c r="CH1672" s="115"/>
      <c r="CI1672" s="115"/>
      <c r="CJ1672" s="115"/>
      <c r="CK1672" s="115"/>
      <c r="CL1672" s="115"/>
      <c r="CM1672" s="115"/>
      <c r="CN1672" s="115"/>
      <c r="CO1672" s="115"/>
      <c r="CP1672" s="115"/>
      <c r="CQ1672" s="115"/>
      <c r="CR1672" s="115"/>
      <c r="CS1672" s="115"/>
      <c r="CT1672" s="115"/>
      <c r="CU1672" s="115"/>
      <c r="CV1672" s="115"/>
      <c r="CW1672" s="115"/>
      <c r="CX1672" s="115"/>
      <c r="CY1672" s="115"/>
      <c r="CZ1672" s="115"/>
      <c r="DA1672" s="115"/>
      <c r="DB1672" s="115"/>
      <c r="DC1672" s="115"/>
      <c r="DD1672" s="115"/>
      <c r="DE1672" s="115"/>
      <c r="DF1672" s="115"/>
      <c r="DG1672" s="115"/>
    </row>
    <row r="1673" spans="55:111" hidden="1">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c r="BY1673" s="115"/>
      <c r="BZ1673" s="115"/>
      <c r="CA1673" s="115"/>
      <c r="CB1673" s="115"/>
      <c r="CC1673" s="115"/>
      <c r="CD1673" s="115"/>
      <c r="CE1673" s="115"/>
      <c r="CF1673" s="115"/>
      <c r="CG1673" s="115"/>
      <c r="CH1673" s="115"/>
      <c r="CI1673" s="115"/>
      <c r="CJ1673" s="115"/>
      <c r="CK1673" s="115"/>
      <c r="CL1673" s="115"/>
      <c r="CM1673" s="115"/>
      <c r="CN1673" s="115"/>
      <c r="CO1673" s="115"/>
      <c r="CP1673" s="115"/>
      <c r="CQ1673" s="115"/>
      <c r="CR1673" s="115"/>
      <c r="CS1673" s="115"/>
      <c r="CT1673" s="115"/>
      <c r="CU1673" s="115"/>
      <c r="CV1673" s="115"/>
      <c r="CW1673" s="115"/>
      <c r="CX1673" s="115"/>
      <c r="CY1673" s="115"/>
      <c r="CZ1673" s="115"/>
      <c r="DA1673" s="115"/>
      <c r="DB1673" s="115"/>
      <c r="DC1673" s="115"/>
      <c r="DD1673" s="115"/>
      <c r="DE1673" s="115"/>
      <c r="DF1673" s="115"/>
      <c r="DG1673" s="115"/>
    </row>
    <row r="1674" spans="55:111" hidden="1">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c r="BY1674" s="115"/>
      <c r="BZ1674" s="115"/>
      <c r="CA1674" s="115"/>
      <c r="CB1674" s="115"/>
      <c r="CC1674" s="115"/>
      <c r="CD1674" s="115"/>
      <c r="CE1674" s="115"/>
      <c r="CF1674" s="115"/>
      <c r="CG1674" s="115"/>
      <c r="CH1674" s="115"/>
      <c r="CI1674" s="115"/>
      <c r="CJ1674" s="115"/>
      <c r="CK1674" s="115"/>
      <c r="CL1674" s="115"/>
      <c r="CM1674" s="115"/>
      <c r="CN1674" s="115"/>
      <c r="CO1674" s="115"/>
      <c r="CP1674" s="115"/>
      <c r="CQ1674" s="115"/>
      <c r="CR1674" s="115"/>
      <c r="CS1674" s="115"/>
      <c r="CT1674" s="115"/>
      <c r="CU1674" s="115"/>
      <c r="CV1674" s="115"/>
      <c r="CW1674" s="115"/>
      <c r="CX1674" s="115"/>
      <c r="CY1674" s="115"/>
      <c r="CZ1674" s="115"/>
      <c r="DA1674" s="115"/>
      <c r="DB1674" s="115"/>
      <c r="DC1674" s="115"/>
      <c r="DD1674" s="115"/>
      <c r="DE1674" s="115"/>
      <c r="DF1674" s="115"/>
      <c r="DG1674" s="115"/>
    </row>
    <row r="1675" spans="55:111" hidden="1">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c r="BY1675" s="115"/>
      <c r="BZ1675" s="115"/>
      <c r="CA1675" s="115"/>
      <c r="CB1675" s="115"/>
      <c r="CC1675" s="115"/>
      <c r="CD1675" s="115"/>
      <c r="CE1675" s="115"/>
      <c r="CF1675" s="115"/>
      <c r="CG1675" s="115"/>
      <c r="CH1675" s="115"/>
      <c r="CI1675" s="115"/>
      <c r="CJ1675" s="115"/>
      <c r="CK1675" s="115"/>
      <c r="CL1675" s="115"/>
      <c r="CM1675" s="115"/>
      <c r="CN1675" s="115"/>
      <c r="CO1675" s="115"/>
      <c r="CP1675" s="115"/>
      <c r="CQ1675" s="115"/>
      <c r="CR1675" s="115"/>
      <c r="CS1675" s="115"/>
      <c r="CT1675" s="115"/>
      <c r="CU1675" s="115"/>
      <c r="CV1675" s="115"/>
      <c r="CW1675" s="115"/>
      <c r="CX1675" s="115"/>
      <c r="CY1675" s="115"/>
      <c r="CZ1675" s="115"/>
      <c r="DA1675" s="115"/>
      <c r="DB1675" s="115"/>
      <c r="DC1675" s="115"/>
      <c r="DD1675" s="115"/>
      <c r="DE1675" s="115"/>
      <c r="DF1675" s="115"/>
      <c r="DG1675" s="115"/>
    </row>
    <row r="1676" spans="55:111" hidden="1">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c r="BY1676" s="115"/>
      <c r="BZ1676" s="115"/>
      <c r="CA1676" s="115"/>
      <c r="CB1676" s="115"/>
      <c r="CC1676" s="115"/>
      <c r="CD1676" s="115"/>
      <c r="CE1676" s="115"/>
      <c r="CF1676" s="115"/>
      <c r="CG1676" s="115"/>
      <c r="CH1676" s="115"/>
      <c r="CI1676" s="115"/>
      <c r="CJ1676" s="115"/>
      <c r="CK1676" s="115"/>
      <c r="CL1676" s="115"/>
      <c r="CM1676" s="115"/>
      <c r="CN1676" s="115"/>
      <c r="CO1676" s="115"/>
      <c r="CP1676" s="115"/>
      <c r="CQ1676" s="115"/>
      <c r="CR1676" s="115"/>
      <c r="CS1676" s="115"/>
      <c r="CT1676" s="115"/>
      <c r="CU1676" s="115"/>
      <c r="CV1676" s="115"/>
      <c r="CW1676" s="115"/>
      <c r="CX1676" s="115"/>
      <c r="CY1676" s="115"/>
      <c r="CZ1676" s="115"/>
      <c r="DA1676" s="115"/>
      <c r="DB1676" s="115"/>
      <c r="DC1676" s="115"/>
      <c r="DD1676" s="115"/>
      <c r="DE1676" s="115"/>
      <c r="DF1676" s="115"/>
      <c r="DG1676" s="115"/>
    </row>
    <row r="1677" spans="55:111" hidden="1">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c r="BY1677" s="115"/>
      <c r="BZ1677" s="115"/>
      <c r="CA1677" s="115"/>
      <c r="CB1677" s="115"/>
      <c r="CC1677" s="115"/>
      <c r="CD1677" s="115"/>
      <c r="CE1677" s="115"/>
      <c r="CF1677" s="115"/>
      <c r="CG1677" s="115"/>
      <c r="CH1677" s="115"/>
      <c r="CI1677" s="115"/>
      <c r="CJ1677" s="115"/>
      <c r="CK1677" s="115"/>
      <c r="CL1677" s="115"/>
      <c r="CM1677" s="115"/>
      <c r="CN1677" s="115"/>
      <c r="CO1677" s="115"/>
      <c r="CP1677" s="115"/>
      <c r="CQ1677" s="115"/>
      <c r="CR1677" s="115"/>
      <c r="CS1677" s="115"/>
      <c r="CT1677" s="115"/>
      <c r="CU1677" s="115"/>
      <c r="CV1677" s="115"/>
      <c r="CW1677" s="115"/>
      <c r="CX1677" s="115"/>
      <c r="CY1677" s="115"/>
      <c r="CZ1677" s="115"/>
      <c r="DA1677" s="115"/>
      <c r="DB1677" s="115"/>
      <c r="DC1677" s="115"/>
      <c r="DD1677" s="115"/>
      <c r="DE1677" s="115"/>
      <c r="DF1677" s="115"/>
      <c r="DG1677" s="115"/>
    </row>
    <row r="1678" spans="55:111" hidden="1">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c r="BY1678" s="115"/>
      <c r="BZ1678" s="115"/>
      <c r="CA1678" s="115"/>
      <c r="CB1678" s="115"/>
      <c r="CC1678" s="115"/>
      <c r="CD1678" s="115"/>
      <c r="CE1678" s="115"/>
      <c r="CF1678" s="115"/>
      <c r="CG1678" s="115"/>
      <c r="CH1678" s="115"/>
      <c r="CI1678" s="115"/>
      <c r="CJ1678" s="115"/>
      <c r="CK1678" s="115"/>
      <c r="CL1678" s="115"/>
      <c r="CM1678" s="115"/>
      <c r="CN1678" s="115"/>
      <c r="CO1678" s="115"/>
      <c r="CP1678" s="115"/>
      <c r="CQ1678" s="115"/>
      <c r="CR1678" s="115"/>
      <c r="CS1678" s="115"/>
      <c r="CT1678" s="115"/>
      <c r="CU1678" s="115"/>
      <c r="CV1678" s="115"/>
      <c r="CW1678" s="115"/>
      <c r="CX1678" s="115"/>
      <c r="CY1678" s="115"/>
      <c r="CZ1678" s="115"/>
      <c r="DA1678" s="115"/>
      <c r="DB1678" s="115"/>
      <c r="DC1678" s="115"/>
      <c r="DD1678" s="115"/>
      <c r="DE1678" s="115"/>
      <c r="DF1678" s="115"/>
      <c r="DG1678" s="115"/>
    </row>
    <row r="1679" spans="55:111" hidden="1">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c r="BY1679" s="115"/>
      <c r="BZ1679" s="115"/>
      <c r="CA1679" s="115"/>
      <c r="CB1679" s="115"/>
      <c r="CC1679" s="115"/>
      <c r="CD1679" s="115"/>
      <c r="CE1679" s="115"/>
      <c r="CF1679" s="115"/>
      <c r="CG1679" s="115"/>
      <c r="CH1679" s="115"/>
      <c r="CI1679" s="115"/>
      <c r="CJ1679" s="115"/>
      <c r="CK1679" s="115"/>
      <c r="CL1679" s="115"/>
      <c r="CM1679" s="115"/>
      <c r="CN1679" s="115"/>
      <c r="CO1679" s="115"/>
      <c r="CP1679" s="115"/>
      <c r="CQ1679" s="115"/>
      <c r="CR1679" s="115"/>
      <c r="CS1679" s="115"/>
      <c r="CT1679" s="115"/>
      <c r="CU1679" s="115"/>
      <c r="CV1679" s="115"/>
      <c r="CW1679" s="115"/>
      <c r="CX1679" s="115"/>
      <c r="CY1679" s="115"/>
      <c r="CZ1679" s="115"/>
      <c r="DA1679" s="115"/>
      <c r="DB1679" s="115"/>
      <c r="DC1679" s="115"/>
      <c r="DD1679" s="115"/>
      <c r="DE1679" s="115"/>
      <c r="DF1679" s="115"/>
      <c r="DG1679" s="115"/>
    </row>
    <row r="1680" spans="55:111" hidden="1">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c r="BY1680" s="115"/>
      <c r="BZ1680" s="115"/>
      <c r="CA1680" s="115"/>
      <c r="CB1680" s="115"/>
      <c r="CC1680" s="115"/>
      <c r="CD1680" s="115"/>
      <c r="CE1680" s="115"/>
      <c r="CF1680" s="115"/>
      <c r="CG1680" s="115"/>
      <c r="CH1680" s="115"/>
      <c r="CI1680" s="115"/>
      <c r="CJ1680" s="115"/>
      <c r="CK1680" s="115"/>
      <c r="CL1680" s="115"/>
      <c r="CM1680" s="115"/>
      <c r="CN1680" s="115"/>
      <c r="CO1680" s="115"/>
      <c r="CP1680" s="115"/>
      <c r="CQ1680" s="115"/>
      <c r="CR1680" s="115"/>
      <c r="CS1680" s="115"/>
      <c r="CT1680" s="115"/>
      <c r="CU1680" s="115"/>
      <c r="CV1680" s="115"/>
      <c r="CW1680" s="115"/>
      <c r="CX1680" s="115"/>
      <c r="CY1680" s="115"/>
      <c r="CZ1680" s="115"/>
      <c r="DA1680" s="115"/>
      <c r="DB1680" s="115"/>
      <c r="DC1680" s="115"/>
      <c r="DD1680" s="115"/>
      <c r="DE1680" s="115"/>
      <c r="DF1680" s="115"/>
      <c r="DG1680" s="115"/>
    </row>
    <row r="1681" spans="55:111" hidden="1">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c r="BY1681" s="115"/>
      <c r="BZ1681" s="115"/>
      <c r="CA1681" s="115"/>
      <c r="CB1681" s="115"/>
      <c r="CC1681" s="115"/>
      <c r="CD1681" s="115"/>
      <c r="CE1681" s="115"/>
      <c r="CF1681" s="115"/>
      <c r="CG1681" s="115"/>
      <c r="CH1681" s="115"/>
      <c r="CI1681" s="115"/>
      <c r="CJ1681" s="115"/>
      <c r="CK1681" s="115"/>
      <c r="CL1681" s="115"/>
      <c r="CM1681" s="115"/>
      <c r="CN1681" s="115"/>
      <c r="CO1681" s="115"/>
      <c r="CP1681" s="115"/>
      <c r="CQ1681" s="115"/>
      <c r="CR1681" s="115"/>
      <c r="CS1681" s="115"/>
      <c r="CT1681" s="115"/>
      <c r="CU1681" s="115"/>
      <c r="CV1681" s="115"/>
      <c r="CW1681" s="115"/>
      <c r="CX1681" s="115"/>
      <c r="CY1681" s="115"/>
      <c r="CZ1681" s="115"/>
      <c r="DA1681" s="115"/>
      <c r="DB1681" s="115"/>
      <c r="DC1681" s="115"/>
      <c r="DD1681" s="115"/>
      <c r="DE1681" s="115"/>
      <c r="DF1681" s="115"/>
      <c r="DG1681" s="115"/>
    </row>
    <row r="1682" spans="55:111" hidden="1">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c r="BY1682" s="115"/>
      <c r="BZ1682" s="115"/>
      <c r="CA1682" s="115"/>
      <c r="CB1682" s="115"/>
      <c r="CC1682" s="115"/>
      <c r="CD1682" s="115"/>
      <c r="CE1682" s="115"/>
      <c r="CF1682" s="115"/>
      <c r="CG1682" s="115"/>
      <c r="CH1682" s="115"/>
      <c r="CI1682" s="115"/>
      <c r="CJ1682" s="115"/>
      <c r="CK1682" s="115"/>
      <c r="CL1682" s="115"/>
      <c r="CM1682" s="115"/>
      <c r="CN1682" s="115"/>
      <c r="CO1682" s="115"/>
      <c r="CP1682" s="115"/>
      <c r="CQ1682" s="115"/>
      <c r="CR1682" s="115"/>
      <c r="CS1682" s="115"/>
      <c r="CT1682" s="115"/>
      <c r="CU1682" s="115"/>
      <c r="CV1682" s="115"/>
      <c r="CW1682" s="115"/>
      <c r="CX1682" s="115"/>
      <c r="CY1682" s="115"/>
      <c r="CZ1682" s="115"/>
      <c r="DA1682" s="115"/>
      <c r="DB1682" s="115"/>
      <c r="DC1682" s="115"/>
      <c r="DD1682" s="115"/>
      <c r="DE1682" s="115"/>
      <c r="DF1682" s="115"/>
      <c r="DG1682" s="115"/>
    </row>
    <row r="1683" spans="55:111" hidden="1">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c r="BY1683" s="115"/>
      <c r="BZ1683" s="115"/>
      <c r="CA1683" s="115"/>
      <c r="CB1683" s="115"/>
      <c r="CC1683" s="115"/>
      <c r="CD1683" s="115"/>
      <c r="CE1683" s="115"/>
      <c r="CF1683" s="115"/>
      <c r="CG1683" s="115"/>
      <c r="CH1683" s="115"/>
      <c r="CI1683" s="115"/>
      <c r="CJ1683" s="115"/>
      <c r="CK1683" s="115"/>
      <c r="CL1683" s="115"/>
      <c r="CM1683" s="115"/>
      <c r="CN1683" s="115"/>
      <c r="CO1683" s="115"/>
      <c r="CP1683" s="115"/>
      <c r="CQ1683" s="115"/>
      <c r="CR1683" s="115"/>
      <c r="CS1683" s="115"/>
      <c r="CT1683" s="115"/>
      <c r="CU1683" s="115"/>
      <c r="CV1683" s="115"/>
      <c r="CW1683" s="115"/>
      <c r="CX1683" s="115"/>
      <c r="CY1683" s="115"/>
      <c r="CZ1683" s="115"/>
      <c r="DA1683" s="115"/>
      <c r="DB1683" s="115"/>
      <c r="DC1683" s="115"/>
      <c r="DD1683" s="115"/>
      <c r="DE1683" s="115"/>
      <c r="DF1683" s="115"/>
      <c r="DG1683" s="115"/>
    </row>
    <row r="1684" spans="55:111" hidden="1">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c r="BY1684" s="115"/>
      <c r="BZ1684" s="115"/>
      <c r="CA1684" s="115"/>
      <c r="CB1684" s="115"/>
      <c r="CC1684" s="115"/>
      <c r="CD1684" s="115"/>
      <c r="CE1684" s="115"/>
      <c r="CF1684" s="115"/>
      <c r="CG1684" s="115"/>
      <c r="CH1684" s="115"/>
      <c r="CI1684" s="115"/>
      <c r="CJ1684" s="115"/>
      <c r="CK1684" s="115"/>
      <c r="CL1684" s="115"/>
      <c r="CM1684" s="115"/>
      <c r="CN1684" s="115"/>
      <c r="CO1684" s="115"/>
      <c r="CP1684" s="115"/>
      <c r="CQ1684" s="115"/>
      <c r="CR1684" s="115"/>
      <c r="CS1684" s="115"/>
      <c r="CT1684" s="115"/>
      <c r="CU1684" s="115"/>
      <c r="CV1684" s="115"/>
      <c r="CW1684" s="115"/>
      <c r="CX1684" s="115"/>
      <c r="CY1684" s="115"/>
      <c r="CZ1684" s="115"/>
      <c r="DA1684" s="115"/>
      <c r="DB1684" s="115"/>
      <c r="DC1684" s="115"/>
      <c r="DD1684" s="115"/>
      <c r="DE1684" s="115"/>
      <c r="DF1684" s="115"/>
      <c r="DG1684" s="115"/>
    </row>
    <row r="1685" spans="55:111" hidden="1">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c r="BY1685" s="115"/>
      <c r="BZ1685" s="115"/>
      <c r="CA1685" s="115"/>
      <c r="CB1685" s="115"/>
      <c r="CC1685" s="115"/>
      <c r="CD1685" s="115"/>
      <c r="CE1685" s="115"/>
      <c r="CF1685" s="115"/>
      <c r="CG1685" s="115"/>
      <c r="CH1685" s="115"/>
      <c r="CI1685" s="115"/>
      <c r="CJ1685" s="115"/>
      <c r="CK1685" s="115"/>
      <c r="CL1685" s="115"/>
      <c r="CM1685" s="115"/>
      <c r="CN1685" s="115"/>
      <c r="CO1685" s="115"/>
      <c r="CP1685" s="115"/>
      <c r="CQ1685" s="115"/>
      <c r="CR1685" s="115"/>
      <c r="CS1685" s="115"/>
      <c r="CT1685" s="115"/>
      <c r="CU1685" s="115"/>
      <c r="CV1685" s="115"/>
      <c r="CW1685" s="115"/>
      <c r="CX1685" s="115"/>
      <c r="CY1685" s="115"/>
      <c r="CZ1685" s="115"/>
      <c r="DA1685" s="115"/>
      <c r="DB1685" s="115"/>
      <c r="DC1685" s="115"/>
      <c r="DD1685" s="115"/>
      <c r="DE1685" s="115"/>
      <c r="DF1685" s="115"/>
      <c r="DG1685" s="115"/>
    </row>
    <row r="1686" spans="55:111" hidden="1">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c r="BY1686" s="115"/>
      <c r="BZ1686" s="115"/>
      <c r="CA1686" s="115"/>
      <c r="CB1686" s="115"/>
      <c r="CC1686" s="115"/>
      <c r="CD1686" s="115"/>
      <c r="CE1686" s="115"/>
      <c r="CF1686" s="115"/>
      <c r="CG1686" s="115"/>
      <c r="CH1686" s="115"/>
      <c r="CI1686" s="115"/>
      <c r="CJ1686" s="115"/>
      <c r="CK1686" s="115"/>
      <c r="CL1686" s="115"/>
      <c r="CM1686" s="115"/>
      <c r="CN1686" s="115"/>
      <c r="CO1686" s="115"/>
      <c r="CP1686" s="115"/>
      <c r="CQ1686" s="115"/>
      <c r="CR1686" s="115"/>
      <c r="CS1686" s="115"/>
      <c r="CT1686" s="115"/>
      <c r="CU1686" s="115"/>
      <c r="CV1686" s="115"/>
      <c r="CW1686" s="115"/>
      <c r="CX1686" s="115"/>
      <c r="CY1686" s="115"/>
      <c r="CZ1686" s="115"/>
      <c r="DA1686" s="115"/>
      <c r="DB1686" s="115"/>
      <c r="DC1686" s="115"/>
      <c r="DD1686" s="115"/>
      <c r="DE1686" s="115"/>
      <c r="DF1686" s="115"/>
      <c r="DG1686" s="115"/>
    </row>
    <row r="1687" spans="55:111" hidden="1">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c r="BY1687" s="115"/>
      <c r="BZ1687" s="115"/>
      <c r="CA1687" s="115"/>
      <c r="CB1687" s="115"/>
      <c r="CC1687" s="115"/>
      <c r="CD1687" s="115"/>
      <c r="CE1687" s="115"/>
      <c r="CF1687" s="115"/>
      <c r="CG1687" s="115"/>
      <c r="CH1687" s="115"/>
      <c r="CI1687" s="115"/>
      <c r="CJ1687" s="115"/>
      <c r="CK1687" s="115"/>
      <c r="CL1687" s="115"/>
      <c r="CM1687" s="115"/>
      <c r="CN1687" s="115"/>
      <c r="CO1687" s="115"/>
      <c r="CP1687" s="115"/>
      <c r="CQ1687" s="115"/>
      <c r="CR1687" s="115"/>
      <c r="CS1687" s="115"/>
      <c r="CT1687" s="115"/>
      <c r="CU1687" s="115"/>
      <c r="CV1687" s="115"/>
      <c r="CW1687" s="115"/>
      <c r="CX1687" s="115"/>
      <c r="CY1687" s="115"/>
      <c r="CZ1687" s="115"/>
      <c r="DA1687" s="115"/>
      <c r="DB1687" s="115"/>
      <c r="DC1687" s="115"/>
      <c r="DD1687" s="115"/>
      <c r="DE1687" s="115"/>
      <c r="DF1687" s="115"/>
      <c r="DG1687" s="115"/>
    </row>
    <row r="1688" spans="55:111" hidden="1">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c r="BY1688" s="115"/>
      <c r="BZ1688" s="115"/>
      <c r="CA1688" s="115"/>
      <c r="CB1688" s="115"/>
      <c r="CC1688" s="115"/>
      <c r="CD1688" s="115"/>
      <c r="CE1688" s="115"/>
      <c r="CF1688" s="115"/>
      <c r="CG1688" s="115"/>
      <c r="CH1688" s="115"/>
      <c r="CI1688" s="115"/>
      <c r="CJ1688" s="115"/>
      <c r="CK1688" s="115"/>
      <c r="CL1688" s="115"/>
      <c r="CM1688" s="115"/>
      <c r="CN1688" s="115"/>
      <c r="CO1688" s="115"/>
      <c r="CP1688" s="115"/>
      <c r="CQ1688" s="115"/>
      <c r="CR1688" s="115"/>
      <c r="CS1688" s="115"/>
      <c r="CT1688" s="115"/>
      <c r="CU1688" s="115"/>
      <c r="CV1688" s="115"/>
      <c r="CW1688" s="115"/>
      <c r="CX1688" s="115"/>
      <c r="CY1688" s="115"/>
      <c r="CZ1688" s="115"/>
      <c r="DA1688" s="115"/>
      <c r="DB1688" s="115"/>
      <c r="DC1688" s="115"/>
      <c r="DD1688" s="115"/>
      <c r="DE1688" s="115"/>
      <c r="DF1688" s="115"/>
      <c r="DG1688" s="115"/>
    </row>
    <row r="1689" spans="55:111" hidden="1">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c r="BY1689" s="115"/>
      <c r="BZ1689" s="115"/>
      <c r="CA1689" s="115"/>
      <c r="CB1689" s="115"/>
      <c r="CC1689" s="115"/>
      <c r="CD1689" s="115"/>
      <c r="CE1689" s="115"/>
      <c r="CF1689" s="115"/>
      <c r="CG1689" s="115"/>
      <c r="CH1689" s="115"/>
      <c r="CI1689" s="115"/>
      <c r="CJ1689" s="115"/>
      <c r="CK1689" s="115"/>
      <c r="CL1689" s="115"/>
      <c r="CM1689" s="115"/>
      <c r="CN1689" s="115"/>
      <c r="CO1689" s="115"/>
      <c r="CP1689" s="115"/>
      <c r="CQ1689" s="115"/>
      <c r="CR1689" s="115"/>
      <c r="CS1689" s="115"/>
      <c r="CT1689" s="115"/>
      <c r="CU1689" s="115"/>
      <c r="CV1689" s="115"/>
      <c r="CW1689" s="115"/>
      <c r="CX1689" s="115"/>
      <c r="CY1689" s="115"/>
      <c r="CZ1689" s="115"/>
      <c r="DA1689" s="115"/>
      <c r="DB1689" s="115"/>
      <c r="DC1689" s="115"/>
      <c r="DD1689" s="115"/>
      <c r="DE1689" s="115"/>
      <c r="DF1689" s="115"/>
      <c r="DG1689" s="115"/>
    </row>
    <row r="1690" spans="55:111" hidden="1">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c r="BY1690" s="115"/>
      <c r="BZ1690" s="115"/>
      <c r="CA1690" s="115"/>
      <c r="CB1690" s="115"/>
      <c r="CC1690" s="115"/>
      <c r="CD1690" s="115"/>
      <c r="CE1690" s="115"/>
      <c r="CF1690" s="115"/>
      <c r="CG1690" s="115"/>
      <c r="CH1690" s="115"/>
      <c r="CI1690" s="115"/>
      <c r="CJ1690" s="115"/>
      <c r="CK1690" s="115"/>
      <c r="CL1690" s="115"/>
      <c r="CM1690" s="115"/>
      <c r="CN1690" s="115"/>
      <c r="CO1690" s="115"/>
      <c r="CP1690" s="115"/>
      <c r="CQ1690" s="115"/>
      <c r="CR1690" s="115"/>
      <c r="CS1690" s="115"/>
      <c r="CT1690" s="115"/>
      <c r="CU1690" s="115"/>
      <c r="CV1690" s="115"/>
      <c r="CW1690" s="115"/>
      <c r="CX1690" s="115"/>
      <c r="CY1690" s="115"/>
      <c r="CZ1690" s="115"/>
      <c r="DA1690" s="115"/>
      <c r="DB1690" s="115"/>
      <c r="DC1690" s="115"/>
      <c r="DD1690" s="115"/>
      <c r="DE1690" s="115"/>
      <c r="DF1690" s="115"/>
      <c r="DG1690" s="115"/>
    </row>
    <row r="1691" spans="55:111" hidden="1">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c r="BY1691" s="115"/>
      <c r="BZ1691" s="115"/>
      <c r="CA1691" s="115"/>
      <c r="CB1691" s="115"/>
      <c r="CC1691" s="115"/>
      <c r="CD1691" s="115"/>
      <c r="CE1691" s="115"/>
      <c r="CF1691" s="115"/>
      <c r="CG1691" s="115"/>
      <c r="CH1691" s="115"/>
      <c r="CI1691" s="115"/>
      <c r="CJ1691" s="115"/>
      <c r="CK1691" s="115"/>
      <c r="CL1691" s="115"/>
      <c r="CM1691" s="115"/>
      <c r="CN1691" s="115"/>
      <c r="CO1691" s="115"/>
      <c r="CP1691" s="115"/>
      <c r="CQ1691" s="115"/>
      <c r="CR1691" s="115"/>
      <c r="CS1691" s="115"/>
      <c r="CT1691" s="115"/>
      <c r="CU1691" s="115"/>
      <c r="CV1691" s="115"/>
      <c r="CW1691" s="115"/>
      <c r="CX1691" s="115"/>
      <c r="CY1691" s="115"/>
      <c r="CZ1691" s="115"/>
      <c r="DA1691" s="115"/>
      <c r="DB1691" s="115"/>
      <c r="DC1691" s="115"/>
      <c r="DD1691" s="115"/>
      <c r="DE1691" s="115"/>
      <c r="DF1691" s="115"/>
      <c r="DG1691" s="115"/>
    </row>
    <row r="1692" spans="55:111" hidden="1">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c r="BY1692" s="115"/>
      <c r="BZ1692" s="115"/>
      <c r="CA1692" s="115"/>
      <c r="CB1692" s="115"/>
      <c r="CC1692" s="115"/>
      <c r="CD1692" s="115"/>
      <c r="CE1692" s="115"/>
      <c r="CF1692" s="115"/>
      <c r="CG1692" s="115"/>
      <c r="CH1692" s="115"/>
      <c r="CI1692" s="115"/>
      <c r="CJ1692" s="115"/>
      <c r="CK1692" s="115"/>
      <c r="CL1692" s="115"/>
      <c r="CM1692" s="115"/>
      <c r="CN1692" s="115"/>
      <c r="CO1692" s="115"/>
      <c r="CP1692" s="115"/>
      <c r="CQ1692" s="115"/>
      <c r="CR1692" s="115"/>
      <c r="CS1692" s="115"/>
      <c r="CT1692" s="115"/>
      <c r="CU1692" s="115"/>
      <c r="CV1692" s="115"/>
      <c r="CW1692" s="115"/>
      <c r="CX1692" s="115"/>
      <c r="CY1692" s="115"/>
      <c r="CZ1692" s="115"/>
      <c r="DA1692" s="115"/>
      <c r="DB1692" s="115"/>
      <c r="DC1692" s="115"/>
      <c r="DD1692" s="115"/>
      <c r="DE1692" s="115"/>
      <c r="DF1692" s="115"/>
      <c r="DG1692" s="115"/>
    </row>
    <row r="1693" spans="55:111" hidden="1">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c r="BY1693" s="115"/>
      <c r="BZ1693" s="115"/>
      <c r="CA1693" s="115"/>
      <c r="CB1693" s="115"/>
      <c r="CC1693" s="115"/>
      <c r="CD1693" s="115"/>
      <c r="CE1693" s="115"/>
      <c r="CF1693" s="115"/>
      <c r="CG1693" s="115"/>
      <c r="CH1693" s="115"/>
      <c r="CI1693" s="115"/>
      <c r="CJ1693" s="115"/>
      <c r="CK1693" s="115"/>
      <c r="CL1693" s="115"/>
      <c r="CM1693" s="115"/>
      <c r="CN1693" s="115"/>
      <c r="CO1693" s="115"/>
      <c r="CP1693" s="115"/>
      <c r="CQ1693" s="115"/>
      <c r="CR1693" s="115"/>
      <c r="CS1693" s="115"/>
      <c r="CT1693" s="115"/>
      <c r="CU1693" s="115"/>
      <c r="CV1693" s="115"/>
      <c r="CW1693" s="115"/>
      <c r="CX1693" s="115"/>
      <c r="CY1693" s="115"/>
      <c r="CZ1693" s="115"/>
      <c r="DA1693" s="115"/>
      <c r="DB1693" s="115"/>
      <c r="DC1693" s="115"/>
      <c r="DD1693" s="115"/>
      <c r="DE1693" s="115"/>
      <c r="DF1693" s="115"/>
      <c r="DG1693" s="115"/>
    </row>
    <row r="1694" spans="55:111" hidden="1">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c r="BY1694" s="115"/>
      <c r="BZ1694" s="115"/>
      <c r="CA1694" s="115"/>
      <c r="CB1694" s="115"/>
      <c r="CC1694" s="115"/>
      <c r="CD1694" s="115"/>
      <c r="CE1694" s="115"/>
      <c r="CF1694" s="115"/>
      <c r="CG1694" s="115"/>
      <c r="CH1694" s="115"/>
      <c r="CI1694" s="115"/>
      <c r="CJ1694" s="115"/>
      <c r="CK1694" s="115"/>
      <c r="CL1694" s="115"/>
      <c r="CM1694" s="115"/>
      <c r="CN1694" s="115"/>
      <c r="CO1694" s="115"/>
      <c r="CP1694" s="115"/>
      <c r="CQ1694" s="115"/>
      <c r="CR1694" s="115"/>
      <c r="CS1694" s="115"/>
      <c r="CT1694" s="115"/>
      <c r="CU1694" s="115"/>
      <c r="CV1694" s="115"/>
      <c r="CW1694" s="115"/>
      <c r="CX1694" s="115"/>
      <c r="CY1694" s="115"/>
      <c r="CZ1694" s="115"/>
      <c r="DA1694" s="115"/>
      <c r="DB1694" s="115"/>
      <c r="DC1694" s="115"/>
      <c r="DD1694" s="115"/>
      <c r="DE1694" s="115"/>
      <c r="DF1694" s="115"/>
      <c r="DG1694" s="115"/>
    </row>
    <row r="1695" spans="55:111" hidden="1">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c r="BY1695" s="115"/>
      <c r="BZ1695" s="115"/>
      <c r="CA1695" s="115"/>
      <c r="CB1695" s="115"/>
      <c r="CC1695" s="115"/>
      <c r="CD1695" s="115"/>
      <c r="CE1695" s="115"/>
      <c r="CF1695" s="115"/>
      <c r="CG1695" s="115"/>
      <c r="CH1695" s="115"/>
      <c r="CI1695" s="115"/>
      <c r="CJ1695" s="115"/>
      <c r="CK1695" s="115"/>
      <c r="CL1695" s="115"/>
      <c r="CM1695" s="115"/>
      <c r="CN1695" s="115"/>
      <c r="CO1695" s="115"/>
      <c r="CP1695" s="115"/>
      <c r="CQ1695" s="115"/>
      <c r="CR1695" s="115"/>
      <c r="CS1695" s="115"/>
      <c r="CT1695" s="115"/>
      <c r="CU1695" s="115"/>
      <c r="CV1695" s="115"/>
      <c r="CW1695" s="115"/>
      <c r="CX1695" s="115"/>
      <c r="CY1695" s="115"/>
      <c r="CZ1695" s="115"/>
      <c r="DA1695" s="115"/>
      <c r="DB1695" s="115"/>
      <c r="DC1695" s="115"/>
      <c r="DD1695" s="115"/>
      <c r="DE1695" s="115"/>
      <c r="DF1695" s="115"/>
      <c r="DG1695" s="115"/>
    </row>
    <row r="1696" spans="55:111" hidden="1">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c r="BY1696" s="115"/>
      <c r="BZ1696" s="115"/>
      <c r="CA1696" s="115"/>
      <c r="CB1696" s="115"/>
      <c r="CC1696" s="115"/>
      <c r="CD1696" s="115"/>
      <c r="CE1696" s="115"/>
      <c r="CF1696" s="115"/>
      <c r="CG1696" s="115"/>
      <c r="CH1696" s="115"/>
      <c r="CI1696" s="115"/>
      <c r="CJ1696" s="115"/>
      <c r="CK1696" s="115"/>
      <c r="CL1696" s="115"/>
      <c r="CM1696" s="115"/>
      <c r="CN1696" s="115"/>
      <c r="CO1696" s="115"/>
      <c r="CP1696" s="115"/>
      <c r="CQ1696" s="115"/>
      <c r="CR1696" s="115"/>
      <c r="CS1696" s="115"/>
      <c r="CT1696" s="115"/>
      <c r="CU1696" s="115"/>
      <c r="CV1696" s="115"/>
      <c r="CW1696" s="115"/>
      <c r="CX1696" s="115"/>
      <c r="CY1696" s="115"/>
      <c r="CZ1696" s="115"/>
      <c r="DA1696" s="115"/>
      <c r="DB1696" s="115"/>
      <c r="DC1696" s="115"/>
      <c r="DD1696" s="115"/>
      <c r="DE1696" s="115"/>
      <c r="DF1696" s="115"/>
      <c r="DG1696" s="115"/>
    </row>
    <row r="1697" spans="55:111" hidden="1">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c r="BY1697" s="115"/>
      <c r="BZ1697" s="115"/>
      <c r="CA1697" s="115"/>
      <c r="CB1697" s="115"/>
      <c r="CC1697" s="115"/>
      <c r="CD1697" s="115"/>
      <c r="CE1697" s="115"/>
      <c r="CF1697" s="115"/>
      <c r="CG1697" s="115"/>
      <c r="CH1697" s="115"/>
      <c r="CI1697" s="115"/>
      <c r="CJ1697" s="115"/>
      <c r="CK1697" s="115"/>
      <c r="CL1697" s="115"/>
      <c r="CM1697" s="115"/>
      <c r="CN1697" s="115"/>
      <c r="CO1697" s="115"/>
      <c r="CP1697" s="115"/>
      <c r="CQ1697" s="115"/>
      <c r="CR1697" s="115"/>
      <c r="CS1697" s="115"/>
      <c r="CT1697" s="115"/>
      <c r="CU1697" s="115"/>
      <c r="CV1697" s="115"/>
      <c r="CW1697" s="115"/>
      <c r="CX1697" s="115"/>
      <c r="CY1697" s="115"/>
      <c r="CZ1697" s="115"/>
      <c r="DA1697" s="115"/>
      <c r="DB1697" s="115"/>
      <c r="DC1697" s="115"/>
      <c r="DD1697" s="115"/>
      <c r="DE1697" s="115"/>
      <c r="DF1697" s="115"/>
      <c r="DG1697" s="115"/>
    </row>
    <row r="1698" spans="55:111" hidden="1">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c r="BY1698" s="115"/>
      <c r="BZ1698" s="115"/>
      <c r="CA1698" s="115"/>
      <c r="CB1698" s="115"/>
      <c r="CC1698" s="115"/>
      <c r="CD1698" s="115"/>
      <c r="CE1698" s="115"/>
      <c r="CF1698" s="115"/>
      <c r="CG1698" s="115"/>
      <c r="CH1698" s="115"/>
      <c r="CI1698" s="115"/>
      <c r="CJ1698" s="115"/>
      <c r="CK1698" s="115"/>
      <c r="CL1698" s="115"/>
      <c r="CM1698" s="115"/>
      <c r="CN1698" s="115"/>
      <c r="CO1698" s="115"/>
      <c r="CP1698" s="115"/>
      <c r="CQ1698" s="115"/>
      <c r="CR1698" s="115"/>
      <c r="CS1698" s="115"/>
      <c r="CT1698" s="115"/>
      <c r="CU1698" s="115"/>
      <c r="CV1698" s="115"/>
      <c r="CW1698" s="115"/>
      <c r="CX1698" s="115"/>
      <c r="CY1698" s="115"/>
      <c r="CZ1698" s="115"/>
      <c r="DA1698" s="115"/>
      <c r="DB1698" s="115"/>
      <c r="DC1698" s="115"/>
      <c r="DD1698" s="115"/>
      <c r="DE1698" s="115"/>
      <c r="DF1698" s="115"/>
      <c r="DG1698" s="115"/>
    </row>
    <row r="1699" spans="55:111" hidden="1">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c r="BY1699" s="115"/>
      <c r="BZ1699" s="115"/>
      <c r="CA1699" s="115"/>
      <c r="CB1699" s="115"/>
      <c r="CC1699" s="115"/>
      <c r="CD1699" s="115"/>
      <c r="CE1699" s="115"/>
      <c r="CF1699" s="115"/>
      <c r="CG1699" s="115"/>
      <c r="CH1699" s="115"/>
      <c r="CI1699" s="115"/>
      <c r="CJ1699" s="115"/>
      <c r="CK1699" s="115"/>
      <c r="CL1699" s="115"/>
      <c r="CM1699" s="115"/>
      <c r="CN1699" s="115"/>
      <c r="CO1699" s="115"/>
      <c r="CP1699" s="115"/>
      <c r="CQ1699" s="115"/>
      <c r="CR1699" s="115"/>
      <c r="CS1699" s="115"/>
      <c r="CT1699" s="115"/>
      <c r="CU1699" s="115"/>
      <c r="CV1699" s="115"/>
      <c r="CW1699" s="115"/>
      <c r="CX1699" s="115"/>
      <c r="CY1699" s="115"/>
      <c r="CZ1699" s="115"/>
      <c r="DA1699" s="115"/>
      <c r="DB1699" s="115"/>
      <c r="DC1699" s="115"/>
      <c r="DD1699" s="115"/>
      <c r="DE1699" s="115"/>
      <c r="DF1699" s="115"/>
      <c r="DG1699" s="115"/>
    </row>
    <row r="1700" spans="55:111" hidden="1">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c r="BY1700" s="115"/>
      <c r="BZ1700" s="115"/>
      <c r="CA1700" s="115"/>
      <c r="CB1700" s="115"/>
      <c r="CC1700" s="115"/>
      <c r="CD1700" s="115"/>
      <c r="CE1700" s="115"/>
      <c r="CF1700" s="115"/>
      <c r="CG1700" s="115"/>
      <c r="CH1700" s="115"/>
      <c r="CI1700" s="115"/>
      <c r="CJ1700" s="115"/>
      <c r="CK1700" s="115"/>
      <c r="CL1700" s="115"/>
      <c r="CM1700" s="115"/>
      <c r="CN1700" s="115"/>
      <c r="CO1700" s="115"/>
      <c r="CP1700" s="115"/>
      <c r="CQ1700" s="115"/>
      <c r="CR1700" s="115"/>
      <c r="CS1700" s="115"/>
      <c r="CT1700" s="115"/>
      <c r="CU1700" s="115"/>
      <c r="CV1700" s="115"/>
      <c r="CW1700" s="115"/>
      <c r="CX1700" s="115"/>
      <c r="CY1700" s="115"/>
      <c r="CZ1700" s="115"/>
      <c r="DA1700" s="115"/>
      <c r="DB1700" s="115"/>
      <c r="DC1700" s="115"/>
      <c r="DD1700" s="115"/>
      <c r="DE1700" s="115"/>
      <c r="DF1700" s="115"/>
      <c r="DG1700" s="115"/>
    </row>
    <row r="1701" spans="55:111" hidden="1">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c r="BY1701" s="115"/>
      <c r="BZ1701" s="115"/>
      <c r="CA1701" s="115"/>
      <c r="CB1701" s="115"/>
      <c r="CC1701" s="115"/>
      <c r="CD1701" s="115"/>
      <c r="CE1701" s="115"/>
      <c r="CF1701" s="115"/>
      <c r="CG1701" s="115"/>
      <c r="CH1701" s="115"/>
      <c r="CI1701" s="115"/>
      <c r="CJ1701" s="115"/>
      <c r="CK1701" s="115"/>
      <c r="CL1701" s="115"/>
      <c r="CM1701" s="115"/>
      <c r="CN1701" s="115"/>
      <c r="CO1701" s="115"/>
      <c r="CP1701" s="115"/>
      <c r="CQ1701" s="115"/>
      <c r="CR1701" s="115"/>
      <c r="CS1701" s="115"/>
      <c r="CT1701" s="115"/>
      <c r="CU1701" s="115"/>
      <c r="CV1701" s="115"/>
      <c r="CW1701" s="115"/>
      <c r="CX1701" s="115"/>
      <c r="CY1701" s="115"/>
      <c r="CZ1701" s="115"/>
      <c r="DA1701" s="115"/>
      <c r="DB1701" s="115"/>
      <c r="DC1701" s="115"/>
      <c r="DD1701" s="115"/>
      <c r="DE1701" s="115"/>
      <c r="DF1701" s="115"/>
      <c r="DG1701" s="115"/>
    </row>
    <row r="1702" spans="55:111" hidden="1">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c r="BY1702" s="115"/>
      <c r="BZ1702" s="115"/>
      <c r="CA1702" s="115"/>
      <c r="CB1702" s="115"/>
      <c r="CC1702" s="115"/>
      <c r="CD1702" s="115"/>
      <c r="CE1702" s="115"/>
      <c r="CF1702" s="115"/>
      <c r="CG1702" s="115"/>
      <c r="CH1702" s="115"/>
      <c r="CI1702" s="115"/>
      <c r="CJ1702" s="115"/>
      <c r="CK1702" s="115"/>
      <c r="CL1702" s="115"/>
      <c r="CM1702" s="115"/>
      <c r="CN1702" s="115"/>
      <c r="CO1702" s="115"/>
      <c r="CP1702" s="115"/>
      <c r="CQ1702" s="115"/>
      <c r="CR1702" s="115"/>
      <c r="CS1702" s="115"/>
      <c r="CT1702" s="115"/>
      <c r="CU1702" s="115"/>
      <c r="CV1702" s="115"/>
      <c r="CW1702" s="115"/>
      <c r="CX1702" s="115"/>
      <c r="CY1702" s="115"/>
      <c r="CZ1702" s="115"/>
      <c r="DA1702" s="115"/>
      <c r="DB1702" s="115"/>
      <c r="DC1702" s="115"/>
      <c r="DD1702" s="115"/>
      <c r="DE1702" s="115"/>
      <c r="DF1702" s="115"/>
      <c r="DG1702" s="115"/>
    </row>
    <row r="1703" spans="55:111" hidden="1">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c r="BY1703" s="115"/>
      <c r="BZ1703" s="115"/>
      <c r="CA1703" s="115"/>
      <c r="CB1703" s="115"/>
      <c r="CC1703" s="115"/>
      <c r="CD1703" s="115"/>
      <c r="CE1703" s="115"/>
      <c r="CF1703" s="115"/>
      <c r="CG1703" s="115"/>
      <c r="CH1703" s="115"/>
      <c r="CI1703" s="115"/>
      <c r="CJ1703" s="115"/>
      <c r="CK1703" s="115"/>
      <c r="CL1703" s="115"/>
      <c r="CM1703" s="115"/>
      <c r="CN1703" s="115"/>
      <c r="CO1703" s="115"/>
      <c r="CP1703" s="115"/>
      <c r="CQ1703" s="115"/>
      <c r="CR1703" s="115"/>
      <c r="CS1703" s="115"/>
      <c r="CT1703" s="115"/>
      <c r="CU1703" s="115"/>
      <c r="CV1703" s="115"/>
      <c r="CW1703" s="115"/>
      <c r="CX1703" s="115"/>
      <c r="CY1703" s="115"/>
      <c r="CZ1703" s="115"/>
      <c r="DA1703" s="115"/>
      <c r="DB1703" s="115"/>
      <c r="DC1703" s="115"/>
      <c r="DD1703" s="115"/>
      <c r="DE1703" s="115"/>
      <c r="DF1703" s="115"/>
      <c r="DG1703" s="115"/>
    </row>
    <row r="1704" spans="55:111" hidden="1">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c r="BY1704" s="115"/>
      <c r="BZ1704" s="115"/>
      <c r="CA1704" s="115"/>
      <c r="CB1704" s="115"/>
      <c r="CC1704" s="115"/>
      <c r="CD1704" s="115"/>
      <c r="CE1704" s="115"/>
      <c r="CF1704" s="115"/>
      <c r="CG1704" s="115"/>
      <c r="CH1704" s="115"/>
      <c r="CI1704" s="115"/>
      <c r="CJ1704" s="115"/>
      <c r="CK1704" s="115"/>
      <c r="CL1704" s="115"/>
      <c r="CM1704" s="115"/>
      <c r="CN1704" s="115"/>
      <c r="CO1704" s="115"/>
      <c r="CP1704" s="115"/>
      <c r="CQ1704" s="115"/>
      <c r="CR1704" s="115"/>
      <c r="CS1704" s="115"/>
      <c r="CT1704" s="115"/>
      <c r="CU1704" s="115"/>
      <c r="CV1704" s="115"/>
      <c r="CW1704" s="115"/>
      <c r="CX1704" s="115"/>
      <c r="CY1704" s="115"/>
      <c r="CZ1704" s="115"/>
      <c r="DA1704" s="115"/>
      <c r="DB1704" s="115"/>
      <c r="DC1704" s="115"/>
      <c r="DD1704" s="115"/>
      <c r="DE1704" s="115"/>
      <c r="DF1704" s="115"/>
      <c r="DG1704" s="115"/>
    </row>
    <row r="1705" spans="55:111" hidden="1">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c r="BY1705" s="115"/>
      <c r="BZ1705" s="115"/>
      <c r="CA1705" s="115"/>
      <c r="CB1705" s="115"/>
      <c r="CC1705" s="115"/>
      <c r="CD1705" s="115"/>
      <c r="CE1705" s="115"/>
      <c r="CF1705" s="115"/>
      <c r="CG1705" s="115"/>
      <c r="CH1705" s="115"/>
      <c r="CI1705" s="115"/>
      <c r="CJ1705" s="115"/>
      <c r="CK1705" s="115"/>
      <c r="CL1705" s="115"/>
      <c r="CM1705" s="115"/>
      <c r="CN1705" s="115"/>
      <c r="CO1705" s="115"/>
      <c r="CP1705" s="115"/>
      <c r="CQ1705" s="115"/>
      <c r="CR1705" s="115"/>
      <c r="CS1705" s="115"/>
      <c r="CT1705" s="115"/>
      <c r="CU1705" s="115"/>
      <c r="CV1705" s="115"/>
      <c r="CW1705" s="115"/>
      <c r="CX1705" s="115"/>
      <c r="CY1705" s="115"/>
      <c r="CZ1705" s="115"/>
      <c r="DA1705" s="115"/>
      <c r="DB1705" s="115"/>
      <c r="DC1705" s="115"/>
      <c r="DD1705" s="115"/>
      <c r="DE1705" s="115"/>
      <c r="DF1705" s="115"/>
      <c r="DG1705" s="115"/>
    </row>
    <row r="1706" spans="55:111" hidden="1">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c r="BY1706" s="115"/>
      <c r="BZ1706" s="115"/>
      <c r="CA1706" s="115"/>
      <c r="CB1706" s="115"/>
      <c r="CC1706" s="115"/>
      <c r="CD1706" s="115"/>
      <c r="CE1706" s="115"/>
      <c r="CF1706" s="115"/>
      <c r="CG1706" s="115"/>
      <c r="CH1706" s="115"/>
      <c r="CI1706" s="115"/>
      <c r="CJ1706" s="115"/>
      <c r="CK1706" s="115"/>
      <c r="CL1706" s="115"/>
      <c r="CM1706" s="115"/>
      <c r="CN1706" s="115"/>
      <c r="CO1706" s="115"/>
      <c r="CP1706" s="115"/>
      <c r="CQ1706" s="115"/>
      <c r="CR1706" s="115"/>
      <c r="CS1706" s="115"/>
      <c r="CT1706" s="115"/>
      <c r="CU1706" s="115"/>
      <c r="CV1706" s="115"/>
      <c r="CW1706" s="115"/>
      <c r="CX1706" s="115"/>
      <c r="CY1706" s="115"/>
      <c r="CZ1706" s="115"/>
      <c r="DA1706" s="115"/>
      <c r="DB1706" s="115"/>
      <c r="DC1706" s="115"/>
      <c r="DD1706" s="115"/>
      <c r="DE1706" s="115"/>
      <c r="DF1706" s="115"/>
      <c r="DG1706" s="115"/>
    </row>
    <row r="1707" spans="55:111" hidden="1">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c r="BY1707" s="115"/>
      <c r="BZ1707" s="115"/>
      <c r="CA1707" s="115"/>
      <c r="CB1707" s="115"/>
      <c r="CC1707" s="115"/>
      <c r="CD1707" s="115"/>
      <c r="CE1707" s="115"/>
      <c r="CF1707" s="115"/>
      <c r="CG1707" s="115"/>
      <c r="CH1707" s="115"/>
      <c r="CI1707" s="115"/>
      <c r="CJ1707" s="115"/>
      <c r="CK1707" s="115"/>
      <c r="CL1707" s="115"/>
      <c r="CM1707" s="115"/>
      <c r="CN1707" s="115"/>
      <c r="CO1707" s="115"/>
      <c r="CP1707" s="115"/>
      <c r="CQ1707" s="115"/>
      <c r="CR1707" s="115"/>
      <c r="CS1707" s="115"/>
      <c r="CT1707" s="115"/>
      <c r="CU1707" s="115"/>
      <c r="CV1707" s="115"/>
      <c r="CW1707" s="115"/>
      <c r="CX1707" s="115"/>
      <c r="CY1707" s="115"/>
      <c r="CZ1707" s="115"/>
      <c r="DA1707" s="115"/>
      <c r="DB1707" s="115"/>
      <c r="DC1707" s="115"/>
      <c r="DD1707" s="115"/>
      <c r="DE1707" s="115"/>
      <c r="DF1707" s="115"/>
      <c r="DG1707" s="115"/>
    </row>
    <row r="1708" spans="55:111" hidden="1">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c r="BY1708" s="115"/>
      <c r="BZ1708" s="115"/>
      <c r="CA1708" s="115"/>
      <c r="CB1708" s="115"/>
      <c r="CC1708" s="115"/>
      <c r="CD1708" s="115"/>
      <c r="CE1708" s="115"/>
      <c r="CF1708" s="115"/>
      <c r="CG1708" s="115"/>
      <c r="CH1708" s="115"/>
      <c r="CI1708" s="115"/>
      <c r="CJ1708" s="115"/>
      <c r="CK1708" s="115"/>
      <c r="CL1708" s="115"/>
      <c r="CM1708" s="115"/>
      <c r="CN1708" s="115"/>
      <c r="CO1708" s="115"/>
      <c r="CP1708" s="115"/>
      <c r="CQ1708" s="115"/>
      <c r="CR1708" s="115"/>
      <c r="CS1708" s="115"/>
      <c r="CT1708" s="115"/>
      <c r="CU1708" s="115"/>
      <c r="CV1708" s="115"/>
      <c r="CW1708" s="115"/>
      <c r="CX1708" s="115"/>
      <c r="CY1708" s="115"/>
      <c r="CZ1708" s="115"/>
      <c r="DA1708" s="115"/>
      <c r="DB1708" s="115"/>
      <c r="DC1708" s="115"/>
      <c r="DD1708" s="115"/>
      <c r="DE1708" s="115"/>
      <c r="DF1708" s="115"/>
      <c r="DG1708" s="115"/>
    </row>
    <row r="1709" spans="55:111" hidden="1">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c r="BY1709" s="115"/>
      <c r="BZ1709" s="115"/>
      <c r="CA1709" s="115"/>
      <c r="CB1709" s="115"/>
      <c r="CC1709" s="115"/>
      <c r="CD1709" s="115"/>
      <c r="CE1709" s="115"/>
      <c r="CF1709" s="115"/>
      <c r="CG1709" s="115"/>
      <c r="CH1709" s="115"/>
      <c r="CI1709" s="115"/>
      <c r="CJ1709" s="115"/>
      <c r="CK1709" s="115"/>
      <c r="CL1709" s="115"/>
      <c r="CM1709" s="115"/>
      <c r="CN1709" s="115"/>
      <c r="CO1709" s="115"/>
      <c r="CP1709" s="115"/>
      <c r="CQ1709" s="115"/>
      <c r="CR1709" s="115"/>
      <c r="CS1709" s="115"/>
      <c r="CT1709" s="115"/>
      <c r="CU1709" s="115"/>
      <c r="CV1709" s="115"/>
      <c r="CW1709" s="115"/>
      <c r="CX1709" s="115"/>
      <c r="CY1709" s="115"/>
      <c r="CZ1709" s="115"/>
      <c r="DA1709" s="115"/>
      <c r="DB1709" s="115"/>
      <c r="DC1709" s="115"/>
      <c r="DD1709" s="115"/>
      <c r="DE1709" s="115"/>
      <c r="DF1709" s="115"/>
      <c r="DG1709" s="115"/>
    </row>
    <row r="1710" spans="55:111" hidden="1">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c r="BY1710" s="115"/>
      <c r="BZ1710" s="115"/>
      <c r="CA1710" s="115"/>
      <c r="CB1710" s="115"/>
      <c r="CC1710" s="115"/>
      <c r="CD1710" s="115"/>
      <c r="CE1710" s="115"/>
      <c r="CF1710" s="115"/>
      <c r="CG1710" s="115"/>
      <c r="CH1710" s="115"/>
      <c r="CI1710" s="115"/>
      <c r="CJ1710" s="115"/>
      <c r="CK1710" s="115"/>
      <c r="CL1710" s="115"/>
      <c r="CM1710" s="115"/>
      <c r="CN1710" s="115"/>
      <c r="CO1710" s="115"/>
      <c r="CP1710" s="115"/>
      <c r="CQ1710" s="115"/>
      <c r="CR1710" s="115"/>
      <c r="CS1710" s="115"/>
      <c r="CT1710" s="115"/>
      <c r="CU1710" s="115"/>
      <c r="CV1710" s="115"/>
      <c r="CW1710" s="115"/>
      <c r="CX1710" s="115"/>
      <c r="CY1710" s="115"/>
      <c r="CZ1710" s="115"/>
      <c r="DA1710" s="115"/>
      <c r="DB1710" s="115"/>
      <c r="DC1710" s="115"/>
      <c r="DD1710" s="115"/>
      <c r="DE1710" s="115"/>
      <c r="DF1710" s="115"/>
      <c r="DG1710" s="115"/>
    </row>
    <row r="1711" spans="55:111" hidden="1">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c r="BY1711" s="115"/>
      <c r="BZ1711" s="115"/>
      <c r="CA1711" s="115"/>
      <c r="CB1711" s="115"/>
      <c r="CC1711" s="115"/>
      <c r="CD1711" s="115"/>
      <c r="CE1711" s="115"/>
      <c r="CF1711" s="115"/>
      <c r="CG1711" s="115"/>
      <c r="CH1711" s="115"/>
      <c r="CI1711" s="115"/>
      <c r="CJ1711" s="115"/>
      <c r="CK1711" s="115"/>
      <c r="CL1711" s="115"/>
      <c r="CM1711" s="115"/>
      <c r="CN1711" s="115"/>
      <c r="CO1711" s="115"/>
      <c r="CP1711" s="115"/>
      <c r="CQ1711" s="115"/>
      <c r="CR1711" s="115"/>
      <c r="CS1711" s="115"/>
      <c r="CT1711" s="115"/>
      <c r="CU1711" s="115"/>
      <c r="CV1711" s="115"/>
      <c r="CW1711" s="115"/>
      <c r="CX1711" s="115"/>
      <c r="CY1711" s="115"/>
      <c r="CZ1711" s="115"/>
      <c r="DA1711" s="115"/>
      <c r="DB1711" s="115"/>
      <c r="DC1711" s="115"/>
      <c r="DD1711" s="115"/>
      <c r="DE1711" s="115"/>
      <c r="DF1711" s="115"/>
      <c r="DG1711" s="115"/>
    </row>
    <row r="1712" spans="55:111" hidden="1">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c r="BY1712" s="115"/>
      <c r="BZ1712" s="115"/>
      <c r="CA1712" s="115"/>
      <c r="CB1712" s="115"/>
      <c r="CC1712" s="115"/>
      <c r="CD1712" s="115"/>
      <c r="CE1712" s="115"/>
      <c r="CF1712" s="115"/>
      <c r="CG1712" s="115"/>
      <c r="CH1712" s="115"/>
      <c r="CI1712" s="115"/>
      <c r="CJ1712" s="115"/>
      <c r="CK1712" s="115"/>
      <c r="CL1712" s="115"/>
      <c r="CM1712" s="115"/>
      <c r="CN1712" s="115"/>
      <c r="CO1712" s="115"/>
      <c r="CP1712" s="115"/>
      <c r="CQ1712" s="115"/>
      <c r="CR1712" s="115"/>
      <c r="CS1712" s="115"/>
      <c r="CT1712" s="115"/>
      <c r="CU1712" s="115"/>
      <c r="CV1712" s="115"/>
      <c r="CW1712" s="115"/>
      <c r="CX1712" s="115"/>
      <c r="CY1712" s="115"/>
      <c r="CZ1712" s="115"/>
      <c r="DA1712" s="115"/>
      <c r="DB1712" s="115"/>
      <c r="DC1712" s="115"/>
      <c r="DD1712" s="115"/>
      <c r="DE1712" s="115"/>
      <c r="DF1712" s="115"/>
      <c r="DG1712" s="115"/>
    </row>
    <row r="1713" spans="55:111" hidden="1">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c r="BY1713" s="115"/>
      <c r="BZ1713" s="115"/>
      <c r="CA1713" s="115"/>
      <c r="CB1713" s="115"/>
      <c r="CC1713" s="115"/>
      <c r="CD1713" s="115"/>
      <c r="CE1713" s="115"/>
      <c r="CF1713" s="115"/>
      <c r="CG1713" s="115"/>
      <c r="CH1713" s="115"/>
      <c r="CI1713" s="115"/>
      <c r="CJ1713" s="115"/>
      <c r="CK1713" s="115"/>
      <c r="CL1713" s="115"/>
      <c r="CM1713" s="115"/>
      <c r="CN1713" s="115"/>
      <c r="CO1713" s="115"/>
      <c r="CP1713" s="115"/>
      <c r="CQ1713" s="115"/>
      <c r="CR1713" s="115"/>
      <c r="CS1713" s="115"/>
      <c r="CT1713" s="115"/>
      <c r="CU1713" s="115"/>
      <c r="CV1713" s="115"/>
      <c r="CW1713" s="115"/>
      <c r="CX1713" s="115"/>
      <c r="CY1713" s="115"/>
      <c r="CZ1713" s="115"/>
      <c r="DA1713" s="115"/>
      <c r="DB1713" s="115"/>
      <c r="DC1713" s="115"/>
      <c r="DD1713" s="115"/>
      <c r="DE1713" s="115"/>
      <c r="DF1713" s="115"/>
      <c r="DG1713" s="115"/>
    </row>
    <row r="1714" spans="55:111" hidden="1">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c r="BY1714" s="115"/>
      <c r="BZ1714" s="115"/>
      <c r="CA1714" s="115"/>
      <c r="CB1714" s="115"/>
      <c r="CC1714" s="115"/>
      <c r="CD1714" s="115"/>
      <c r="CE1714" s="115"/>
      <c r="CF1714" s="115"/>
      <c r="CG1714" s="115"/>
      <c r="CH1714" s="115"/>
      <c r="CI1714" s="115"/>
      <c r="CJ1714" s="115"/>
      <c r="CK1714" s="115"/>
      <c r="CL1714" s="115"/>
      <c r="CM1714" s="115"/>
      <c r="CN1714" s="115"/>
      <c r="CO1714" s="115"/>
      <c r="CP1714" s="115"/>
      <c r="CQ1714" s="115"/>
      <c r="CR1714" s="115"/>
      <c r="CS1714" s="115"/>
      <c r="CT1714" s="115"/>
      <c r="CU1714" s="115"/>
      <c r="CV1714" s="115"/>
      <c r="CW1714" s="115"/>
      <c r="CX1714" s="115"/>
      <c r="CY1714" s="115"/>
      <c r="CZ1714" s="115"/>
      <c r="DA1714" s="115"/>
      <c r="DB1714" s="115"/>
      <c r="DC1714" s="115"/>
      <c r="DD1714" s="115"/>
      <c r="DE1714" s="115"/>
      <c r="DF1714" s="115"/>
      <c r="DG1714" s="115"/>
    </row>
    <row r="1715" spans="55:111" hidden="1">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c r="BY1715" s="115"/>
      <c r="BZ1715" s="115"/>
      <c r="CA1715" s="115"/>
      <c r="CB1715" s="115"/>
      <c r="CC1715" s="115"/>
      <c r="CD1715" s="115"/>
      <c r="CE1715" s="115"/>
      <c r="CF1715" s="115"/>
      <c r="CG1715" s="115"/>
      <c r="CH1715" s="115"/>
      <c r="CI1715" s="115"/>
      <c r="CJ1715" s="115"/>
      <c r="CK1715" s="115"/>
      <c r="CL1715" s="115"/>
      <c r="CM1715" s="115"/>
      <c r="CN1715" s="115"/>
      <c r="CO1715" s="115"/>
      <c r="CP1715" s="115"/>
      <c r="CQ1715" s="115"/>
      <c r="CR1715" s="115"/>
      <c r="CS1715" s="115"/>
      <c r="CT1715" s="115"/>
      <c r="CU1715" s="115"/>
      <c r="CV1715" s="115"/>
      <c r="CW1715" s="115"/>
      <c r="CX1715" s="115"/>
      <c r="CY1715" s="115"/>
      <c r="CZ1715" s="115"/>
      <c r="DA1715" s="115"/>
      <c r="DB1715" s="115"/>
      <c r="DC1715" s="115"/>
      <c r="DD1715" s="115"/>
      <c r="DE1715" s="115"/>
      <c r="DF1715" s="115"/>
      <c r="DG1715" s="115"/>
    </row>
    <row r="1716" spans="55:111" hidden="1">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c r="BY1716" s="115"/>
      <c r="BZ1716" s="115"/>
      <c r="CA1716" s="115"/>
      <c r="CB1716" s="115"/>
      <c r="CC1716" s="115"/>
      <c r="CD1716" s="115"/>
      <c r="CE1716" s="115"/>
      <c r="CF1716" s="115"/>
      <c r="CG1716" s="115"/>
      <c r="CH1716" s="115"/>
      <c r="CI1716" s="115"/>
      <c r="CJ1716" s="115"/>
      <c r="CK1716" s="115"/>
      <c r="CL1716" s="115"/>
      <c r="CM1716" s="115"/>
      <c r="CN1716" s="115"/>
      <c r="CO1716" s="115"/>
      <c r="CP1716" s="115"/>
      <c r="CQ1716" s="115"/>
      <c r="CR1716" s="115"/>
      <c r="CS1716" s="115"/>
      <c r="CT1716" s="115"/>
      <c r="CU1716" s="115"/>
      <c r="CV1716" s="115"/>
      <c r="CW1716" s="115"/>
      <c r="CX1716" s="115"/>
      <c r="CY1716" s="115"/>
      <c r="CZ1716" s="115"/>
      <c r="DA1716" s="115"/>
      <c r="DB1716" s="115"/>
      <c r="DC1716" s="115"/>
      <c r="DD1716" s="115"/>
      <c r="DE1716" s="115"/>
      <c r="DF1716" s="115"/>
      <c r="DG1716" s="115"/>
    </row>
    <row r="1717" spans="55:111" hidden="1">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c r="BY1717" s="115"/>
      <c r="BZ1717" s="115"/>
      <c r="CA1717" s="115"/>
      <c r="CB1717" s="115"/>
      <c r="CC1717" s="115"/>
      <c r="CD1717" s="115"/>
      <c r="CE1717" s="115"/>
      <c r="CF1717" s="115"/>
      <c r="CG1717" s="115"/>
      <c r="CH1717" s="115"/>
      <c r="CI1717" s="115"/>
      <c r="CJ1717" s="115"/>
      <c r="CK1717" s="115"/>
      <c r="CL1717" s="115"/>
      <c r="CM1717" s="115"/>
      <c r="CN1717" s="115"/>
      <c r="CO1717" s="115"/>
      <c r="CP1717" s="115"/>
      <c r="CQ1717" s="115"/>
      <c r="CR1717" s="115"/>
      <c r="CS1717" s="115"/>
      <c r="CT1717" s="115"/>
      <c r="CU1717" s="115"/>
      <c r="CV1717" s="115"/>
      <c r="CW1717" s="115"/>
      <c r="CX1717" s="115"/>
      <c r="CY1717" s="115"/>
      <c r="CZ1717" s="115"/>
      <c r="DA1717" s="115"/>
      <c r="DB1717" s="115"/>
      <c r="DC1717" s="115"/>
      <c r="DD1717" s="115"/>
      <c r="DE1717" s="115"/>
      <c r="DF1717" s="115"/>
      <c r="DG1717" s="115"/>
    </row>
    <row r="1718" spans="55:111" hidden="1">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c r="BY1718" s="115"/>
      <c r="BZ1718" s="115"/>
      <c r="CA1718" s="115"/>
      <c r="CB1718" s="115"/>
      <c r="CC1718" s="115"/>
      <c r="CD1718" s="115"/>
      <c r="CE1718" s="115"/>
      <c r="CF1718" s="115"/>
      <c r="CG1718" s="115"/>
      <c r="CH1718" s="115"/>
      <c r="CI1718" s="115"/>
      <c r="CJ1718" s="115"/>
      <c r="CK1718" s="115"/>
      <c r="CL1718" s="115"/>
      <c r="CM1718" s="115"/>
      <c r="CN1718" s="115"/>
      <c r="CO1718" s="115"/>
      <c r="CP1718" s="115"/>
      <c r="CQ1718" s="115"/>
      <c r="CR1718" s="115"/>
      <c r="CS1718" s="115"/>
      <c r="CT1718" s="115"/>
      <c r="CU1718" s="115"/>
      <c r="CV1718" s="115"/>
      <c r="CW1718" s="115"/>
      <c r="CX1718" s="115"/>
      <c r="CY1718" s="115"/>
      <c r="CZ1718" s="115"/>
      <c r="DA1718" s="115"/>
      <c r="DB1718" s="115"/>
      <c r="DC1718" s="115"/>
      <c r="DD1718" s="115"/>
      <c r="DE1718" s="115"/>
      <c r="DF1718" s="115"/>
      <c r="DG1718" s="115"/>
    </row>
    <row r="1719" spans="55:111" hidden="1">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c r="BY1719" s="115"/>
      <c r="BZ1719" s="115"/>
      <c r="CA1719" s="115"/>
      <c r="CB1719" s="115"/>
      <c r="CC1719" s="115"/>
      <c r="CD1719" s="115"/>
      <c r="CE1719" s="115"/>
      <c r="CF1719" s="115"/>
      <c r="CG1719" s="115"/>
      <c r="CH1719" s="115"/>
      <c r="CI1719" s="115"/>
      <c r="CJ1719" s="115"/>
      <c r="CK1719" s="115"/>
      <c r="CL1719" s="115"/>
      <c r="CM1719" s="115"/>
      <c r="CN1719" s="115"/>
      <c r="CO1719" s="115"/>
      <c r="CP1719" s="115"/>
      <c r="CQ1719" s="115"/>
      <c r="CR1719" s="115"/>
      <c r="CS1719" s="115"/>
      <c r="CT1719" s="115"/>
      <c r="CU1719" s="115"/>
      <c r="CV1719" s="115"/>
      <c r="CW1719" s="115"/>
      <c r="CX1719" s="115"/>
      <c r="CY1719" s="115"/>
      <c r="CZ1719" s="115"/>
      <c r="DA1719" s="115"/>
      <c r="DB1719" s="115"/>
      <c r="DC1719" s="115"/>
      <c r="DD1719" s="115"/>
      <c r="DE1719" s="115"/>
      <c r="DF1719" s="115"/>
      <c r="DG1719" s="115"/>
    </row>
    <row r="1720" spans="55:111" hidden="1">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c r="BY1720" s="115"/>
      <c r="BZ1720" s="115"/>
      <c r="CA1720" s="115"/>
      <c r="CB1720" s="115"/>
      <c r="CC1720" s="115"/>
      <c r="CD1720" s="115"/>
      <c r="CE1720" s="115"/>
      <c r="CF1720" s="115"/>
      <c r="CG1720" s="115"/>
      <c r="CH1720" s="115"/>
      <c r="CI1720" s="115"/>
      <c r="CJ1720" s="115"/>
      <c r="CK1720" s="115"/>
      <c r="CL1720" s="115"/>
      <c r="CM1720" s="115"/>
      <c r="CN1720" s="115"/>
      <c r="CO1720" s="115"/>
      <c r="CP1720" s="115"/>
      <c r="CQ1720" s="115"/>
      <c r="CR1720" s="115"/>
      <c r="CS1720" s="115"/>
      <c r="CT1720" s="115"/>
      <c r="CU1720" s="115"/>
      <c r="CV1720" s="115"/>
      <c r="CW1720" s="115"/>
      <c r="CX1720" s="115"/>
      <c r="CY1720" s="115"/>
      <c r="CZ1720" s="115"/>
      <c r="DA1720" s="115"/>
      <c r="DB1720" s="115"/>
      <c r="DC1720" s="115"/>
      <c r="DD1720" s="115"/>
      <c r="DE1720" s="115"/>
      <c r="DF1720" s="115"/>
      <c r="DG1720" s="115"/>
    </row>
    <row r="1721" spans="55:111" hidden="1">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c r="BY1721" s="115"/>
      <c r="BZ1721" s="115"/>
      <c r="CA1721" s="115"/>
      <c r="CB1721" s="115"/>
      <c r="CC1721" s="115"/>
      <c r="CD1721" s="115"/>
      <c r="CE1721" s="115"/>
      <c r="CF1721" s="115"/>
      <c r="CG1721" s="115"/>
      <c r="CH1721" s="115"/>
      <c r="CI1721" s="115"/>
      <c r="CJ1721" s="115"/>
      <c r="CK1721" s="115"/>
      <c r="CL1721" s="115"/>
      <c r="CM1721" s="115"/>
      <c r="CN1721" s="115"/>
      <c r="CO1721" s="115"/>
      <c r="CP1721" s="115"/>
      <c r="CQ1721" s="115"/>
      <c r="CR1721" s="115"/>
      <c r="CS1721" s="115"/>
      <c r="CT1721" s="115"/>
      <c r="CU1721" s="115"/>
      <c r="CV1721" s="115"/>
      <c r="CW1721" s="115"/>
      <c r="CX1721" s="115"/>
      <c r="CY1721" s="115"/>
      <c r="CZ1721" s="115"/>
      <c r="DA1721" s="115"/>
      <c r="DB1721" s="115"/>
      <c r="DC1721" s="115"/>
      <c r="DD1721" s="115"/>
      <c r="DE1721" s="115"/>
      <c r="DF1721" s="115"/>
      <c r="DG1721" s="115"/>
    </row>
    <row r="1722" spans="55:111" hidden="1">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c r="BY1722" s="115"/>
      <c r="BZ1722" s="115"/>
      <c r="CA1722" s="115"/>
      <c r="CB1722" s="115"/>
      <c r="CC1722" s="115"/>
      <c r="CD1722" s="115"/>
      <c r="CE1722" s="115"/>
      <c r="CF1722" s="115"/>
      <c r="CG1722" s="115"/>
      <c r="CH1722" s="115"/>
      <c r="CI1722" s="115"/>
      <c r="CJ1722" s="115"/>
      <c r="CK1722" s="115"/>
      <c r="CL1722" s="115"/>
      <c r="CM1722" s="115"/>
      <c r="CN1722" s="115"/>
      <c r="CO1722" s="115"/>
      <c r="CP1722" s="115"/>
      <c r="CQ1722" s="115"/>
      <c r="CR1722" s="115"/>
      <c r="CS1722" s="115"/>
      <c r="CT1722" s="115"/>
      <c r="CU1722" s="115"/>
      <c r="CV1722" s="115"/>
      <c r="CW1722" s="115"/>
      <c r="CX1722" s="115"/>
      <c r="CY1722" s="115"/>
      <c r="CZ1722" s="115"/>
      <c r="DA1722" s="115"/>
      <c r="DB1722" s="115"/>
      <c r="DC1722" s="115"/>
      <c r="DD1722" s="115"/>
      <c r="DE1722" s="115"/>
      <c r="DF1722" s="115"/>
      <c r="DG1722" s="115"/>
    </row>
    <row r="1723" spans="55:111" hidden="1">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c r="BY1723" s="115"/>
      <c r="BZ1723" s="115"/>
      <c r="CA1723" s="115"/>
      <c r="CB1723" s="115"/>
      <c r="CC1723" s="115"/>
      <c r="CD1723" s="115"/>
      <c r="CE1723" s="115"/>
      <c r="CF1723" s="115"/>
      <c r="CG1723" s="115"/>
      <c r="CH1723" s="115"/>
      <c r="CI1723" s="115"/>
      <c r="CJ1723" s="115"/>
      <c r="CK1723" s="115"/>
      <c r="CL1723" s="115"/>
      <c r="CM1723" s="115"/>
      <c r="CN1723" s="115"/>
      <c r="CO1723" s="115"/>
      <c r="CP1723" s="115"/>
      <c r="CQ1723" s="115"/>
      <c r="CR1723" s="115"/>
      <c r="CS1723" s="115"/>
      <c r="CT1723" s="115"/>
      <c r="CU1723" s="115"/>
      <c r="CV1723" s="115"/>
      <c r="CW1723" s="115"/>
      <c r="CX1723" s="115"/>
      <c r="CY1723" s="115"/>
      <c r="CZ1723" s="115"/>
      <c r="DA1723" s="115"/>
      <c r="DB1723" s="115"/>
      <c r="DC1723" s="115"/>
      <c r="DD1723" s="115"/>
      <c r="DE1723" s="115"/>
      <c r="DF1723" s="115"/>
      <c r="DG1723" s="115"/>
    </row>
    <row r="1724" spans="55:111" hidden="1">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c r="BY1724" s="115"/>
      <c r="BZ1724" s="115"/>
      <c r="CA1724" s="115"/>
      <c r="CB1724" s="115"/>
      <c r="CC1724" s="115"/>
      <c r="CD1724" s="115"/>
      <c r="CE1724" s="115"/>
      <c r="CF1724" s="115"/>
      <c r="CG1724" s="115"/>
      <c r="CH1724" s="115"/>
      <c r="CI1724" s="115"/>
      <c r="CJ1724" s="115"/>
      <c r="CK1724" s="115"/>
      <c r="CL1724" s="115"/>
      <c r="CM1724" s="115"/>
      <c r="CN1724" s="115"/>
      <c r="CO1724" s="115"/>
      <c r="CP1724" s="115"/>
      <c r="CQ1724" s="115"/>
      <c r="CR1724" s="115"/>
      <c r="CS1724" s="115"/>
      <c r="CT1724" s="115"/>
      <c r="CU1724" s="115"/>
      <c r="CV1724" s="115"/>
      <c r="CW1724" s="115"/>
      <c r="CX1724" s="115"/>
      <c r="CY1724" s="115"/>
      <c r="CZ1724" s="115"/>
      <c r="DA1724" s="115"/>
      <c r="DB1724" s="115"/>
      <c r="DC1724" s="115"/>
      <c r="DD1724" s="115"/>
      <c r="DE1724" s="115"/>
      <c r="DF1724" s="115"/>
      <c r="DG1724" s="115"/>
    </row>
    <row r="1725" spans="55:111" hidden="1">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c r="BY1725" s="115"/>
      <c r="BZ1725" s="115"/>
      <c r="CA1725" s="115"/>
      <c r="CB1725" s="115"/>
      <c r="CC1725" s="115"/>
      <c r="CD1725" s="115"/>
      <c r="CE1725" s="115"/>
      <c r="CF1725" s="115"/>
      <c r="CG1725" s="115"/>
      <c r="CH1725" s="115"/>
      <c r="CI1725" s="115"/>
      <c r="CJ1725" s="115"/>
      <c r="CK1725" s="115"/>
      <c r="CL1725" s="115"/>
      <c r="CM1725" s="115"/>
      <c r="CN1725" s="115"/>
      <c r="CO1725" s="115"/>
      <c r="CP1725" s="115"/>
      <c r="CQ1725" s="115"/>
      <c r="CR1725" s="115"/>
      <c r="CS1725" s="115"/>
      <c r="CT1725" s="115"/>
      <c r="CU1725" s="115"/>
      <c r="CV1725" s="115"/>
      <c r="CW1725" s="115"/>
      <c r="CX1725" s="115"/>
      <c r="CY1725" s="115"/>
      <c r="CZ1725" s="115"/>
      <c r="DA1725" s="115"/>
      <c r="DB1725" s="115"/>
      <c r="DC1725" s="115"/>
      <c r="DD1725" s="115"/>
      <c r="DE1725" s="115"/>
      <c r="DF1725" s="115"/>
      <c r="DG1725" s="115"/>
    </row>
    <row r="1726" spans="55:111" hidden="1">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c r="BY1726" s="115"/>
      <c r="BZ1726" s="115"/>
      <c r="CA1726" s="115"/>
      <c r="CB1726" s="115"/>
      <c r="CC1726" s="115"/>
      <c r="CD1726" s="115"/>
      <c r="CE1726" s="115"/>
      <c r="CF1726" s="115"/>
      <c r="CG1726" s="115"/>
      <c r="CH1726" s="115"/>
      <c r="CI1726" s="115"/>
      <c r="CJ1726" s="115"/>
      <c r="CK1726" s="115"/>
      <c r="CL1726" s="115"/>
      <c r="CM1726" s="115"/>
      <c r="CN1726" s="115"/>
      <c r="CO1726" s="115"/>
      <c r="CP1726" s="115"/>
      <c r="CQ1726" s="115"/>
      <c r="CR1726" s="115"/>
      <c r="CS1726" s="115"/>
      <c r="CT1726" s="115"/>
      <c r="CU1726" s="115"/>
      <c r="CV1726" s="115"/>
      <c r="CW1726" s="115"/>
      <c r="CX1726" s="115"/>
      <c r="CY1726" s="115"/>
      <c r="CZ1726" s="115"/>
      <c r="DA1726" s="115"/>
      <c r="DB1726" s="115"/>
      <c r="DC1726" s="115"/>
      <c r="DD1726" s="115"/>
      <c r="DE1726" s="115"/>
      <c r="DF1726" s="115"/>
      <c r="DG1726" s="115"/>
    </row>
    <row r="1727" spans="55:111" hidden="1">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c r="BY1727" s="115"/>
      <c r="BZ1727" s="115"/>
      <c r="CA1727" s="115"/>
      <c r="CB1727" s="115"/>
      <c r="CC1727" s="115"/>
      <c r="CD1727" s="115"/>
      <c r="CE1727" s="115"/>
      <c r="CF1727" s="115"/>
      <c r="CG1727" s="115"/>
      <c r="CH1727" s="115"/>
      <c r="CI1727" s="115"/>
      <c r="CJ1727" s="115"/>
      <c r="CK1727" s="115"/>
      <c r="CL1727" s="115"/>
      <c r="CM1727" s="115"/>
      <c r="CN1727" s="115"/>
      <c r="CO1727" s="115"/>
      <c r="CP1727" s="115"/>
      <c r="CQ1727" s="115"/>
      <c r="CR1727" s="115"/>
      <c r="CS1727" s="115"/>
      <c r="CT1727" s="115"/>
      <c r="CU1727" s="115"/>
      <c r="CV1727" s="115"/>
      <c r="CW1727" s="115"/>
      <c r="CX1727" s="115"/>
      <c r="CY1727" s="115"/>
      <c r="CZ1727" s="115"/>
      <c r="DA1727" s="115"/>
      <c r="DB1727" s="115"/>
      <c r="DC1727" s="115"/>
      <c r="DD1727" s="115"/>
      <c r="DE1727" s="115"/>
      <c r="DF1727" s="115"/>
      <c r="DG1727" s="115"/>
    </row>
    <row r="1728" spans="55:111" hidden="1">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c r="BY1728" s="115"/>
      <c r="BZ1728" s="115"/>
      <c r="CA1728" s="115"/>
      <c r="CB1728" s="115"/>
      <c r="CC1728" s="115"/>
      <c r="CD1728" s="115"/>
      <c r="CE1728" s="115"/>
      <c r="CF1728" s="115"/>
      <c r="CG1728" s="115"/>
      <c r="CH1728" s="115"/>
      <c r="CI1728" s="115"/>
      <c r="CJ1728" s="115"/>
      <c r="CK1728" s="115"/>
      <c r="CL1728" s="115"/>
      <c r="CM1728" s="115"/>
      <c r="CN1728" s="115"/>
      <c r="CO1728" s="115"/>
      <c r="CP1728" s="115"/>
      <c r="CQ1728" s="115"/>
      <c r="CR1728" s="115"/>
      <c r="CS1728" s="115"/>
      <c r="CT1728" s="115"/>
      <c r="CU1728" s="115"/>
      <c r="CV1728" s="115"/>
      <c r="CW1728" s="115"/>
      <c r="CX1728" s="115"/>
      <c r="CY1728" s="115"/>
      <c r="CZ1728" s="115"/>
      <c r="DA1728" s="115"/>
      <c r="DB1728" s="115"/>
      <c r="DC1728" s="115"/>
      <c r="DD1728" s="115"/>
      <c r="DE1728" s="115"/>
      <c r="DF1728" s="115"/>
      <c r="DG1728" s="115"/>
    </row>
    <row r="1729" spans="55:111" hidden="1">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c r="BY1729" s="115"/>
      <c r="BZ1729" s="115"/>
      <c r="CA1729" s="115"/>
      <c r="CB1729" s="115"/>
      <c r="CC1729" s="115"/>
      <c r="CD1729" s="115"/>
      <c r="CE1729" s="115"/>
      <c r="CF1729" s="115"/>
      <c r="CG1729" s="115"/>
      <c r="CH1729" s="115"/>
      <c r="CI1729" s="115"/>
      <c r="CJ1729" s="115"/>
      <c r="CK1729" s="115"/>
      <c r="CL1729" s="115"/>
      <c r="CM1729" s="115"/>
      <c r="CN1729" s="115"/>
      <c r="CO1729" s="115"/>
      <c r="CP1729" s="115"/>
      <c r="CQ1729" s="115"/>
      <c r="CR1729" s="115"/>
      <c r="CS1729" s="115"/>
      <c r="CT1729" s="115"/>
      <c r="CU1729" s="115"/>
      <c r="CV1729" s="115"/>
      <c r="CW1729" s="115"/>
      <c r="CX1729" s="115"/>
      <c r="CY1729" s="115"/>
      <c r="CZ1729" s="115"/>
      <c r="DA1729" s="115"/>
      <c r="DB1729" s="115"/>
      <c r="DC1729" s="115"/>
      <c r="DD1729" s="115"/>
      <c r="DE1729" s="115"/>
      <c r="DF1729" s="115"/>
      <c r="DG1729" s="115"/>
    </row>
    <row r="1730" spans="55:111" hidden="1">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c r="BY1730" s="115"/>
      <c r="BZ1730" s="115"/>
      <c r="CA1730" s="115"/>
      <c r="CB1730" s="115"/>
      <c r="CC1730" s="115"/>
      <c r="CD1730" s="115"/>
      <c r="CE1730" s="115"/>
      <c r="CF1730" s="115"/>
      <c r="CG1730" s="115"/>
      <c r="CH1730" s="115"/>
      <c r="CI1730" s="115"/>
      <c r="CJ1730" s="115"/>
      <c r="CK1730" s="115"/>
      <c r="CL1730" s="115"/>
      <c r="CM1730" s="115"/>
      <c r="CN1730" s="115"/>
      <c r="CO1730" s="115"/>
      <c r="CP1730" s="115"/>
      <c r="CQ1730" s="115"/>
      <c r="CR1730" s="115"/>
      <c r="CS1730" s="115"/>
      <c r="CT1730" s="115"/>
      <c r="CU1730" s="115"/>
      <c r="CV1730" s="115"/>
      <c r="CW1730" s="115"/>
      <c r="CX1730" s="115"/>
      <c r="CY1730" s="115"/>
      <c r="CZ1730" s="115"/>
      <c r="DA1730" s="115"/>
      <c r="DB1730" s="115"/>
      <c r="DC1730" s="115"/>
      <c r="DD1730" s="115"/>
      <c r="DE1730" s="115"/>
      <c r="DF1730" s="115"/>
      <c r="DG1730" s="115"/>
    </row>
    <row r="1731" spans="55:111" hidden="1">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c r="BY1731" s="115"/>
      <c r="BZ1731" s="115"/>
      <c r="CA1731" s="115"/>
      <c r="CB1731" s="115"/>
      <c r="CC1731" s="115"/>
      <c r="CD1731" s="115"/>
      <c r="CE1731" s="115"/>
      <c r="CF1731" s="115"/>
      <c r="CG1731" s="115"/>
      <c r="CH1731" s="115"/>
      <c r="CI1731" s="115"/>
      <c r="CJ1731" s="115"/>
      <c r="CK1731" s="115"/>
      <c r="CL1731" s="115"/>
      <c r="CM1731" s="115"/>
      <c r="CN1731" s="115"/>
      <c r="CO1731" s="115"/>
      <c r="CP1731" s="115"/>
      <c r="CQ1731" s="115"/>
      <c r="CR1731" s="115"/>
      <c r="CS1731" s="115"/>
      <c r="CT1731" s="115"/>
      <c r="CU1731" s="115"/>
      <c r="CV1731" s="115"/>
      <c r="CW1731" s="115"/>
      <c r="CX1731" s="115"/>
      <c r="CY1731" s="115"/>
      <c r="CZ1731" s="115"/>
      <c r="DA1731" s="115"/>
      <c r="DB1731" s="115"/>
      <c r="DC1731" s="115"/>
      <c r="DD1731" s="115"/>
      <c r="DE1731" s="115"/>
      <c r="DF1731" s="115"/>
      <c r="DG1731" s="115"/>
    </row>
    <row r="1732" spans="55:111" hidden="1">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c r="BY1732" s="115"/>
      <c r="BZ1732" s="115"/>
      <c r="CA1732" s="115"/>
      <c r="CB1732" s="115"/>
      <c r="CC1732" s="115"/>
      <c r="CD1732" s="115"/>
      <c r="CE1732" s="115"/>
      <c r="CF1732" s="115"/>
      <c r="CG1732" s="115"/>
      <c r="CH1732" s="115"/>
      <c r="CI1732" s="115"/>
      <c r="CJ1732" s="115"/>
      <c r="CK1732" s="115"/>
      <c r="CL1732" s="115"/>
      <c r="CM1732" s="115"/>
      <c r="CN1732" s="115"/>
      <c r="CO1732" s="115"/>
      <c r="CP1732" s="115"/>
      <c r="CQ1732" s="115"/>
      <c r="CR1732" s="115"/>
      <c r="CS1732" s="115"/>
      <c r="CT1732" s="115"/>
      <c r="CU1732" s="115"/>
      <c r="CV1732" s="115"/>
      <c r="CW1732" s="115"/>
      <c r="CX1732" s="115"/>
      <c r="CY1732" s="115"/>
      <c r="CZ1732" s="115"/>
      <c r="DA1732" s="115"/>
      <c r="DB1732" s="115"/>
      <c r="DC1732" s="115"/>
      <c r="DD1732" s="115"/>
      <c r="DE1732" s="115"/>
      <c r="DF1732" s="115"/>
      <c r="DG1732" s="115"/>
    </row>
    <row r="1733" spans="55:111" hidden="1">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c r="BY1733" s="115"/>
      <c r="BZ1733" s="115"/>
      <c r="CA1733" s="115"/>
      <c r="CB1733" s="115"/>
      <c r="CC1733" s="115"/>
      <c r="CD1733" s="115"/>
      <c r="CE1733" s="115"/>
      <c r="CF1733" s="115"/>
      <c r="CG1733" s="115"/>
      <c r="CH1733" s="115"/>
      <c r="CI1733" s="115"/>
      <c r="CJ1733" s="115"/>
      <c r="CK1733" s="115"/>
      <c r="CL1733" s="115"/>
      <c r="CM1733" s="115"/>
      <c r="CN1733" s="115"/>
      <c r="CO1733" s="115"/>
      <c r="CP1733" s="115"/>
      <c r="CQ1733" s="115"/>
      <c r="CR1733" s="115"/>
      <c r="CS1733" s="115"/>
      <c r="CT1733" s="115"/>
      <c r="CU1733" s="115"/>
      <c r="CV1733" s="115"/>
      <c r="CW1733" s="115"/>
      <c r="CX1733" s="115"/>
      <c r="CY1733" s="115"/>
      <c r="CZ1733" s="115"/>
      <c r="DA1733" s="115"/>
      <c r="DB1733" s="115"/>
      <c r="DC1733" s="115"/>
      <c r="DD1733" s="115"/>
      <c r="DE1733" s="115"/>
      <c r="DF1733" s="115"/>
      <c r="DG1733" s="115"/>
    </row>
    <row r="1734" spans="55:111" hidden="1">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c r="BY1734" s="115"/>
      <c r="BZ1734" s="115"/>
      <c r="CA1734" s="115"/>
      <c r="CB1734" s="115"/>
      <c r="CC1734" s="115"/>
      <c r="CD1734" s="115"/>
      <c r="CE1734" s="115"/>
      <c r="CF1734" s="115"/>
      <c r="CG1734" s="115"/>
      <c r="CH1734" s="115"/>
      <c r="CI1734" s="115"/>
      <c r="CJ1734" s="115"/>
      <c r="CK1734" s="115"/>
      <c r="CL1734" s="115"/>
      <c r="CM1734" s="115"/>
      <c r="CN1734" s="115"/>
      <c r="CO1734" s="115"/>
      <c r="CP1734" s="115"/>
      <c r="CQ1734" s="115"/>
      <c r="CR1734" s="115"/>
      <c r="CS1734" s="115"/>
      <c r="CT1734" s="115"/>
      <c r="CU1734" s="115"/>
      <c r="CV1734" s="115"/>
      <c r="CW1734" s="115"/>
      <c r="CX1734" s="115"/>
      <c r="CY1734" s="115"/>
      <c r="CZ1734" s="115"/>
      <c r="DA1734" s="115"/>
      <c r="DB1734" s="115"/>
      <c r="DC1734" s="115"/>
      <c r="DD1734" s="115"/>
      <c r="DE1734" s="115"/>
      <c r="DF1734" s="115"/>
      <c r="DG1734" s="115"/>
    </row>
    <row r="1735" spans="55:111" hidden="1">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c r="BY1735" s="115"/>
      <c r="BZ1735" s="115"/>
      <c r="CA1735" s="115"/>
      <c r="CB1735" s="115"/>
      <c r="CC1735" s="115"/>
      <c r="CD1735" s="115"/>
      <c r="CE1735" s="115"/>
      <c r="CF1735" s="115"/>
      <c r="CG1735" s="115"/>
      <c r="CH1735" s="115"/>
      <c r="CI1735" s="115"/>
      <c r="CJ1735" s="115"/>
      <c r="CK1735" s="115"/>
      <c r="CL1735" s="115"/>
      <c r="CM1735" s="115"/>
      <c r="CN1735" s="115"/>
      <c r="CO1735" s="115"/>
      <c r="CP1735" s="115"/>
      <c r="CQ1735" s="115"/>
      <c r="CR1735" s="115"/>
      <c r="CS1735" s="115"/>
      <c r="CT1735" s="115"/>
      <c r="CU1735" s="115"/>
      <c r="CV1735" s="115"/>
      <c r="CW1735" s="115"/>
      <c r="CX1735" s="115"/>
      <c r="CY1735" s="115"/>
      <c r="CZ1735" s="115"/>
      <c r="DA1735" s="115"/>
      <c r="DB1735" s="115"/>
      <c r="DC1735" s="115"/>
      <c r="DD1735" s="115"/>
      <c r="DE1735" s="115"/>
      <c r="DF1735" s="115"/>
      <c r="DG1735" s="115"/>
    </row>
    <row r="1736" spans="55:111" hidden="1">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c r="BY1736" s="115"/>
      <c r="BZ1736" s="115"/>
      <c r="CA1736" s="115"/>
      <c r="CB1736" s="115"/>
      <c r="CC1736" s="115"/>
      <c r="CD1736" s="115"/>
      <c r="CE1736" s="115"/>
      <c r="CF1736" s="115"/>
      <c r="CG1736" s="115"/>
      <c r="CH1736" s="115"/>
      <c r="CI1736" s="115"/>
      <c r="CJ1736" s="115"/>
      <c r="CK1736" s="115"/>
      <c r="CL1736" s="115"/>
      <c r="CM1736" s="115"/>
      <c r="CN1736" s="115"/>
      <c r="CO1736" s="115"/>
      <c r="CP1736" s="115"/>
      <c r="CQ1736" s="115"/>
      <c r="CR1736" s="115"/>
      <c r="CS1736" s="115"/>
      <c r="CT1736" s="115"/>
      <c r="CU1736" s="115"/>
      <c r="CV1736" s="115"/>
      <c r="CW1736" s="115"/>
      <c r="CX1736" s="115"/>
      <c r="CY1736" s="115"/>
      <c r="CZ1736" s="115"/>
      <c r="DA1736" s="115"/>
      <c r="DB1736" s="115"/>
      <c r="DC1736" s="115"/>
      <c r="DD1736" s="115"/>
      <c r="DE1736" s="115"/>
      <c r="DF1736" s="115"/>
      <c r="DG1736" s="115"/>
    </row>
    <row r="1737" spans="55:111" hidden="1">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c r="BY1737" s="115"/>
      <c r="BZ1737" s="115"/>
      <c r="CA1737" s="115"/>
      <c r="CB1737" s="115"/>
      <c r="CC1737" s="115"/>
      <c r="CD1737" s="115"/>
      <c r="CE1737" s="115"/>
      <c r="CF1737" s="115"/>
      <c r="CG1737" s="115"/>
      <c r="CH1737" s="115"/>
      <c r="CI1737" s="115"/>
      <c r="CJ1737" s="115"/>
      <c r="CK1737" s="115"/>
      <c r="CL1737" s="115"/>
      <c r="CM1737" s="115"/>
      <c r="CN1737" s="115"/>
      <c r="CO1737" s="115"/>
      <c r="CP1737" s="115"/>
      <c r="CQ1737" s="115"/>
      <c r="CR1737" s="115"/>
      <c r="CS1737" s="115"/>
      <c r="CT1737" s="115"/>
      <c r="CU1737" s="115"/>
      <c r="CV1737" s="115"/>
      <c r="CW1737" s="115"/>
      <c r="CX1737" s="115"/>
      <c r="CY1737" s="115"/>
      <c r="CZ1737" s="115"/>
      <c r="DA1737" s="115"/>
      <c r="DB1737" s="115"/>
      <c r="DC1737" s="115"/>
      <c r="DD1737" s="115"/>
      <c r="DE1737" s="115"/>
      <c r="DF1737" s="115"/>
      <c r="DG1737" s="115"/>
    </row>
    <row r="1738" spans="55:111" hidden="1">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c r="BY1738" s="115"/>
      <c r="BZ1738" s="115"/>
      <c r="CA1738" s="115"/>
      <c r="CB1738" s="115"/>
      <c r="CC1738" s="115"/>
      <c r="CD1738" s="115"/>
      <c r="CE1738" s="115"/>
      <c r="CF1738" s="115"/>
      <c r="CG1738" s="115"/>
      <c r="CH1738" s="115"/>
      <c r="CI1738" s="115"/>
      <c r="CJ1738" s="115"/>
      <c r="CK1738" s="115"/>
      <c r="CL1738" s="115"/>
      <c r="CM1738" s="115"/>
      <c r="CN1738" s="115"/>
      <c r="CO1738" s="115"/>
      <c r="CP1738" s="115"/>
      <c r="CQ1738" s="115"/>
      <c r="CR1738" s="115"/>
      <c r="CS1738" s="115"/>
      <c r="CT1738" s="115"/>
      <c r="CU1738" s="115"/>
      <c r="CV1738" s="115"/>
      <c r="CW1738" s="115"/>
      <c r="CX1738" s="115"/>
      <c r="CY1738" s="115"/>
      <c r="CZ1738" s="115"/>
      <c r="DA1738" s="115"/>
      <c r="DB1738" s="115"/>
      <c r="DC1738" s="115"/>
      <c r="DD1738" s="115"/>
      <c r="DE1738" s="115"/>
      <c r="DF1738" s="115"/>
      <c r="DG1738" s="115"/>
    </row>
    <row r="1739" spans="55:111" hidden="1">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c r="BY1739" s="115"/>
      <c r="BZ1739" s="115"/>
      <c r="CA1739" s="115"/>
      <c r="CB1739" s="115"/>
      <c r="CC1739" s="115"/>
      <c r="CD1739" s="115"/>
      <c r="CE1739" s="115"/>
      <c r="CF1739" s="115"/>
      <c r="CG1739" s="115"/>
      <c r="CH1739" s="115"/>
      <c r="CI1739" s="115"/>
      <c r="CJ1739" s="115"/>
      <c r="CK1739" s="115"/>
      <c r="CL1739" s="115"/>
      <c r="CM1739" s="115"/>
      <c r="CN1739" s="115"/>
      <c r="CO1739" s="115"/>
      <c r="CP1739" s="115"/>
      <c r="CQ1739" s="115"/>
      <c r="CR1739" s="115"/>
      <c r="CS1739" s="115"/>
      <c r="CT1739" s="115"/>
      <c r="CU1739" s="115"/>
      <c r="CV1739" s="115"/>
      <c r="CW1739" s="115"/>
      <c r="CX1739" s="115"/>
      <c r="CY1739" s="115"/>
      <c r="CZ1739" s="115"/>
      <c r="DA1739" s="115"/>
      <c r="DB1739" s="115"/>
      <c r="DC1739" s="115"/>
      <c r="DD1739" s="115"/>
      <c r="DE1739" s="115"/>
      <c r="DF1739" s="115"/>
      <c r="DG1739" s="115"/>
    </row>
    <row r="1740" spans="55:111" hidden="1">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c r="BY1740" s="115"/>
      <c r="BZ1740" s="115"/>
      <c r="CA1740" s="115"/>
      <c r="CB1740" s="115"/>
      <c r="CC1740" s="115"/>
      <c r="CD1740" s="115"/>
      <c r="CE1740" s="115"/>
      <c r="CF1740" s="115"/>
      <c r="CG1740" s="115"/>
      <c r="CH1740" s="115"/>
      <c r="CI1740" s="115"/>
      <c r="CJ1740" s="115"/>
      <c r="CK1740" s="115"/>
      <c r="CL1740" s="115"/>
      <c r="CM1740" s="115"/>
      <c r="CN1740" s="115"/>
      <c r="CO1740" s="115"/>
      <c r="CP1740" s="115"/>
      <c r="CQ1740" s="115"/>
      <c r="CR1740" s="115"/>
      <c r="CS1740" s="115"/>
      <c r="CT1740" s="115"/>
      <c r="CU1740" s="115"/>
      <c r="CV1740" s="115"/>
      <c r="CW1740" s="115"/>
      <c r="CX1740" s="115"/>
      <c r="CY1740" s="115"/>
      <c r="CZ1740" s="115"/>
      <c r="DA1740" s="115"/>
      <c r="DB1740" s="115"/>
      <c r="DC1740" s="115"/>
      <c r="DD1740" s="115"/>
      <c r="DE1740" s="115"/>
      <c r="DF1740" s="115"/>
      <c r="DG1740" s="115"/>
    </row>
    <row r="1741" spans="55:111" hidden="1">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c r="BY1741" s="115"/>
      <c r="BZ1741" s="115"/>
      <c r="CA1741" s="115"/>
      <c r="CB1741" s="115"/>
      <c r="CC1741" s="115"/>
      <c r="CD1741" s="115"/>
      <c r="CE1741" s="115"/>
      <c r="CF1741" s="115"/>
      <c r="CG1741" s="115"/>
      <c r="CH1741" s="115"/>
      <c r="CI1741" s="115"/>
      <c r="CJ1741" s="115"/>
      <c r="CK1741" s="115"/>
      <c r="CL1741" s="115"/>
      <c r="CM1741" s="115"/>
      <c r="CN1741" s="115"/>
      <c r="CO1741" s="115"/>
      <c r="CP1741" s="115"/>
      <c r="CQ1741" s="115"/>
      <c r="CR1741" s="115"/>
      <c r="CS1741" s="115"/>
      <c r="CT1741" s="115"/>
      <c r="CU1741" s="115"/>
      <c r="CV1741" s="115"/>
      <c r="CW1741" s="115"/>
      <c r="CX1741" s="115"/>
      <c r="CY1741" s="115"/>
      <c r="CZ1741" s="115"/>
      <c r="DA1741" s="115"/>
      <c r="DB1741" s="115"/>
      <c r="DC1741" s="115"/>
      <c r="DD1741" s="115"/>
      <c r="DE1741" s="115"/>
      <c r="DF1741" s="115"/>
      <c r="DG1741" s="115"/>
    </row>
    <row r="1742" spans="55:111" hidden="1">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c r="BY1742" s="115"/>
      <c r="BZ1742" s="115"/>
      <c r="CA1742" s="115"/>
      <c r="CB1742" s="115"/>
      <c r="CC1742" s="115"/>
      <c r="CD1742" s="115"/>
      <c r="CE1742" s="115"/>
      <c r="CF1742" s="115"/>
      <c r="CG1742" s="115"/>
      <c r="CH1742" s="115"/>
      <c r="CI1742" s="115"/>
      <c r="CJ1742" s="115"/>
      <c r="CK1742" s="115"/>
      <c r="CL1742" s="115"/>
      <c r="CM1742" s="115"/>
      <c r="CN1742" s="115"/>
      <c r="CO1742" s="115"/>
      <c r="CP1742" s="115"/>
      <c r="CQ1742" s="115"/>
      <c r="CR1742" s="115"/>
      <c r="CS1742" s="115"/>
      <c r="CT1742" s="115"/>
      <c r="CU1742" s="115"/>
      <c r="CV1742" s="115"/>
      <c r="CW1742" s="115"/>
      <c r="CX1742" s="115"/>
      <c r="CY1742" s="115"/>
      <c r="CZ1742" s="115"/>
      <c r="DA1742" s="115"/>
      <c r="DB1742" s="115"/>
      <c r="DC1742" s="115"/>
      <c r="DD1742" s="115"/>
      <c r="DE1742" s="115"/>
      <c r="DF1742" s="115"/>
      <c r="DG1742" s="115"/>
    </row>
    <row r="1743" spans="55:111" hidden="1">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c r="BY1743" s="115"/>
      <c r="BZ1743" s="115"/>
      <c r="CA1743" s="115"/>
      <c r="CB1743" s="115"/>
      <c r="CC1743" s="115"/>
      <c r="CD1743" s="115"/>
      <c r="CE1743" s="115"/>
      <c r="CF1743" s="115"/>
      <c r="CG1743" s="115"/>
      <c r="CH1743" s="115"/>
      <c r="CI1743" s="115"/>
      <c r="CJ1743" s="115"/>
      <c r="CK1743" s="115"/>
      <c r="CL1743" s="115"/>
      <c r="CM1743" s="115"/>
      <c r="CN1743" s="115"/>
      <c r="CO1743" s="115"/>
      <c r="CP1743" s="115"/>
      <c r="CQ1743" s="115"/>
      <c r="CR1743" s="115"/>
      <c r="CS1743" s="115"/>
      <c r="CT1743" s="115"/>
      <c r="CU1743" s="115"/>
      <c r="CV1743" s="115"/>
      <c r="CW1743" s="115"/>
      <c r="CX1743" s="115"/>
      <c r="CY1743" s="115"/>
      <c r="CZ1743" s="115"/>
      <c r="DA1743" s="115"/>
      <c r="DB1743" s="115"/>
      <c r="DC1743" s="115"/>
      <c r="DD1743" s="115"/>
      <c r="DE1743" s="115"/>
      <c r="DF1743" s="115"/>
      <c r="DG1743" s="115"/>
    </row>
    <row r="1744" spans="55:111" hidden="1">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c r="BY1744" s="115"/>
      <c r="BZ1744" s="115"/>
      <c r="CA1744" s="115"/>
      <c r="CB1744" s="115"/>
      <c r="CC1744" s="115"/>
      <c r="CD1744" s="115"/>
      <c r="CE1744" s="115"/>
      <c r="CF1744" s="115"/>
      <c r="CG1744" s="115"/>
      <c r="CH1744" s="115"/>
      <c r="CI1744" s="115"/>
      <c r="CJ1744" s="115"/>
      <c r="CK1744" s="115"/>
      <c r="CL1744" s="115"/>
      <c r="CM1744" s="115"/>
      <c r="CN1744" s="115"/>
      <c r="CO1744" s="115"/>
      <c r="CP1744" s="115"/>
      <c r="CQ1744" s="115"/>
      <c r="CR1744" s="115"/>
      <c r="CS1744" s="115"/>
      <c r="CT1744" s="115"/>
      <c r="CU1744" s="115"/>
      <c r="CV1744" s="115"/>
      <c r="CW1744" s="115"/>
      <c r="CX1744" s="115"/>
      <c r="CY1744" s="115"/>
      <c r="CZ1744" s="115"/>
      <c r="DA1744" s="115"/>
      <c r="DB1744" s="115"/>
      <c r="DC1744" s="115"/>
      <c r="DD1744" s="115"/>
      <c r="DE1744" s="115"/>
      <c r="DF1744" s="115"/>
      <c r="DG1744" s="115"/>
    </row>
    <row r="1745" spans="55:111" hidden="1">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c r="BY1745" s="115"/>
      <c r="BZ1745" s="115"/>
      <c r="CA1745" s="115"/>
      <c r="CB1745" s="115"/>
      <c r="CC1745" s="115"/>
      <c r="CD1745" s="115"/>
      <c r="CE1745" s="115"/>
      <c r="CF1745" s="115"/>
      <c r="CG1745" s="115"/>
      <c r="CH1745" s="115"/>
      <c r="CI1745" s="115"/>
      <c r="CJ1745" s="115"/>
      <c r="CK1745" s="115"/>
      <c r="CL1745" s="115"/>
      <c r="CM1745" s="115"/>
      <c r="CN1745" s="115"/>
      <c r="CO1745" s="115"/>
      <c r="CP1745" s="115"/>
      <c r="CQ1745" s="115"/>
      <c r="CR1745" s="115"/>
      <c r="CS1745" s="115"/>
      <c r="CT1745" s="115"/>
      <c r="CU1745" s="115"/>
      <c r="CV1745" s="115"/>
      <c r="CW1745" s="115"/>
      <c r="CX1745" s="115"/>
      <c r="CY1745" s="115"/>
      <c r="CZ1745" s="115"/>
      <c r="DA1745" s="115"/>
      <c r="DB1745" s="115"/>
      <c r="DC1745" s="115"/>
      <c r="DD1745" s="115"/>
      <c r="DE1745" s="115"/>
      <c r="DF1745" s="115"/>
      <c r="DG1745" s="115"/>
    </row>
    <row r="1746" spans="55:111" hidden="1">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c r="BY1746" s="115"/>
      <c r="BZ1746" s="115"/>
      <c r="CA1746" s="115"/>
      <c r="CB1746" s="115"/>
      <c r="CC1746" s="115"/>
      <c r="CD1746" s="115"/>
      <c r="CE1746" s="115"/>
      <c r="CF1746" s="115"/>
      <c r="CG1746" s="115"/>
      <c r="CH1746" s="115"/>
      <c r="CI1746" s="115"/>
      <c r="CJ1746" s="115"/>
      <c r="CK1746" s="115"/>
      <c r="CL1746" s="115"/>
      <c r="CM1746" s="115"/>
      <c r="CN1746" s="115"/>
      <c r="CO1746" s="115"/>
      <c r="CP1746" s="115"/>
      <c r="CQ1746" s="115"/>
      <c r="CR1746" s="115"/>
      <c r="CS1746" s="115"/>
      <c r="CT1746" s="115"/>
      <c r="CU1746" s="115"/>
      <c r="CV1746" s="115"/>
      <c r="CW1746" s="115"/>
      <c r="CX1746" s="115"/>
      <c r="CY1746" s="115"/>
      <c r="CZ1746" s="115"/>
      <c r="DA1746" s="115"/>
      <c r="DB1746" s="115"/>
      <c r="DC1746" s="115"/>
      <c r="DD1746" s="115"/>
      <c r="DE1746" s="115"/>
      <c r="DF1746" s="115"/>
      <c r="DG1746" s="115"/>
    </row>
    <row r="1747" spans="55:111" hidden="1">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c r="BY1747" s="115"/>
      <c r="BZ1747" s="115"/>
      <c r="CA1747" s="115"/>
      <c r="CB1747" s="115"/>
      <c r="CC1747" s="115"/>
      <c r="CD1747" s="115"/>
      <c r="CE1747" s="115"/>
      <c r="CF1747" s="115"/>
      <c r="CG1747" s="115"/>
      <c r="CH1747" s="115"/>
      <c r="CI1747" s="115"/>
      <c r="CJ1747" s="115"/>
      <c r="CK1747" s="115"/>
      <c r="CL1747" s="115"/>
      <c r="CM1747" s="115"/>
      <c r="CN1747" s="115"/>
      <c r="CO1747" s="115"/>
      <c r="CP1747" s="115"/>
      <c r="CQ1747" s="115"/>
      <c r="CR1747" s="115"/>
      <c r="CS1747" s="115"/>
      <c r="CT1747" s="115"/>
      <c r="CU1747" s="115"/>
      <c r="CV1747" s="115"/>
      <c r="CW1747" s="115"/>
      <c r="CX1747" s="115"/>
      <c r="CY1747" s="115"/>
      <c r="CZ1747" s="115"/>
      <c r="DA1747" s="115"/>
      <c r="DB1747" s="115"/>
      <c r="DC1747" s="115"/>
      <c r="DD1747" s="115"/>
      <c r="DE1747" s="115"/>
      <c r="DF1747" s="115"/>
      <c r="DG1747" s="115"/>
    </row>
    <row r="1748" spans="55:111" hidden="1">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c r="BY1748" s="115"/>
      <c r="BZ1748" s="115"/>
      <c r="CA1748" s="115"/>
      <c r="CB1748" s="115"/>
      <c r="CC1748" s="115"/>
      <c r="CD1748" s="115"/>
      <c r="CE1748" s="115"/>
      <c r="CF1748" s="115"/>
      <c r="CG1748" s="115"/>
      <c r="CH1748" s="115"/>
      <c r="CI1748" s="115"/>
      <c r="CJ1748" s="115"/>
      <c r="CK1748" s="115"/>
      <c r="CL1748" s="115"/>
      <c r="CM1748" s="115"/>
      <c r="CN1748" s="115"/>
      <c r="CO1748" s="115"/>
      <c r="CP1748" s="115"/>
      <c r="CQ1748" s="115"/>
      <c r="CR1748" s="115"/>
      <c r="CS1748" s="115"/>
      <c r="CT1748" s="115"/>
      <c r="CU1748" s="115"/>
      <c r="CV1748" s="115"/>
      <c r="CW1748" s="115"/>
      <c r="CX1748" s="115"/>
      <c r="CY1748" s="115"/>
      <c r="CZ1748" s="115"/>
      <c r="DA1748" s="115"/>
      <c r="DB1748" s="115"/>
      <c r="DC1748" s="115"/>
      <c r="DD1748" s="115"/>
      <c r="DE1748" s="115"/>
      <c r="DF1748" s="115"/>
      <c r="DG1748" s="115"/>
    </row>
    <row r="1749" spans="55:111" hidden="1">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c r="BY1749" s="115"/>
      <c r="BZ1749" s="115"/>
      <c r="CA1749" s="115"/>
      <c r="CB1749" s="115"/>
      <c r="CC1749" s="115"/>
      <c r="CD1749" s="115"/>
      <c r="CE1749" s="115"/>
      <c r="CF1749" s="115"/>
      <c r="CG1749" s="115"/>
      <c r="CH1749" s="115"/>
      <c r="CI1749" s="115"/>
      <c r="CJ1749" s="115"/>
      <c r="CK1749" s="115"/>
      <c r="CL1749" s="115"/>
      <c r="CM1749" s="115"/>
      <c r="CN1749" s="115"/>
      <c r="CO1749" s="115"/>
      <c r="CP1749" s="115"/>
      <c r="CQ1749" s="115"/>
      <c r="CR1749" s="115"/>
      <c r="CS1749" s="115"/>
      <c r="CT1749" s="115"/>
      <c r="CU1749" s="115"/>
      <c r="CV1749" s="115"/>
      <c r="CW1749" s="115"/>
      <c r="CX1749" s="115"/>
      <c r="CY1749" s="115"/>
      <c r="CZ1749" s="115"/>
      <c r="DA1749" s="115"/>
      <c r="DB1749" s="115"/>
      <c r="DC1749" s="115"/>
      <c r="DD1749" s="115"/>
      <c r="DE1749" s="115"/>
      <c r="DF1749" s="115"/>
      <c r="DG1749" s="115"/>
    </row>
    <row r="1750" spans="55:111" hidden="1">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c r="BY1750" s="115"/>
      <c r="BZ1750" s="115"/>
      <c r="CA1750" s="115"/>
      <c r="CB1750" s="115"/>
      <c r="CC1750" s="115"/>
      <c r="CD1750" s="115"/>
      <c r="CE1750" s="115"/>
      <c r="CF1750" s="115"/>
      <c r="CG1750" s="115"/>
      <c r="CH1750" s="115"/>
      <c r="CI1750" s="115"/>
      <c r="CJ1750" s="115"/>
      <c r="CK1750" s="115"/>
      <c r="CL1750" s="115"/>
      <c r="CM1750" s="115"/>
      <c r="CN1750" s="115"/>
      <c r="CO1750" s="115"/>
      <c r="CP1750" s="115"/>
      <c r="CQ1750" s="115"/>
      <c r="CR1750" s="115"/>
      <c r="CS1750" s="115"/>
      <c r="CT1750" s="115"/>
      <c r="CU1750" s="115"/>
      <c r="CV1750" s="115"/>
      <c r="CW1750" s="115"/>
      <c r="CX1750" s="115"/>
      <c r="CY1750" s="115"/>
      <c r="CZ1750" s="115"/>
      <c r="DA1750" s="115"/>
      <c r="DB1750" s="115"/>
      <c r="DC1750" s="115"/>
      <c r="DD1750" s="115"/>
      <c r="DE1750" s="115"/>
      <c r="DF1750" s="115"/>
      <c r="DG1750" s="115"/>
    </row>
    <row r="1751" spans="55:111" hidden="1">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c r="BY1751" s="115"/>
      <c r="BZ1751" s="115"/>
      <c r="CA1751" s="115"/>
      <c r="CB1751" s="115"/>
      <c r="CC1751" s="115"/>
      <c r="CD1751" s="115"/>
      <c r="CE1751" s="115"/>
      <c r="CF1751" s="115"/>
      <c r="CG1751" s="115"/>
      <c r="CH1751" s="115"/>
      <c r="CI1751" s="115"/>
      <c r="CJ1751" s="115"/>
      <c r="CK1751" s="115"/>
      <c r="CL1751" s="115"/>
      <c r="CM1751" s="115"/>
      <c r="CN1751" s="115"/>
      <c r="CO1751" s="115"/>
      <c r="CP1751" s="115"/>
      <c r="CQ1751" s="115"/>
      <c r="CR1751" s="115"/>
      <c r="CS1751" s="115"/>
      <c r="CT1751" s="115"/>
      <c r="CU1751" s="115"/>
      <c r="CV1751" s="115"/>
      <c r="CW1751" s="115"/>
      <c r="CX1751" s="115"/>
      <c r="CY1751" s="115"/>
      <c r="CZ1751" s="115"/>
      <c r="DA1751" s="115"/>
      <c r="DB1751" s="115"/>
      <c r="DC1751" s="115"/>
      <c r="DD1751" s="115"/>
      <c r="DE1751" s="115"/>
      <c r="DF1751" s="115"/>
      <c r="DG1751" s="115"/>
    </row>
    <row r="1752" spans="55:111" hidden="1">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c r="BY1752" s="115"/>
      <c r="BZ1752" s="115"/>
      <c r="CA1752" s="115"/>
      <c r="CB1752" s="115"/>
      <c r="CC1752" s="115"/>
      <c r="CD1752" s="115"/>
      <c r="CE1752" s="115"/>
      <c r="CF1752" s="115"/>
      <c r="CG1752" s="115"/>
      <c r="CH1752" s="115"/>
      <c r="CI1752" s="115"/>
      <c r="CJ1752" s="115"/>
      <c r="CK1752" s="115"/>
      <c r="CL1752" s="115"/>
      <c r="CM1752" s="115"/>
      <c r="CN1752" s="115"/>
      <c r="CO1752" s="115"/>
      <c r="CP1752" s="115"/>
      <c r="CQ1752" s="115"/>
      <c r="CR1752" s="115"/>
      <c r="CS1752" s="115"/>
      <c r="CT1752" s="115"/>
      <c r="CU1752" s="115"/>
      <c r="CV1752" s="115"/>
      <c r="CW1752" s="115"/>
      <c r="CX1752" s="115"/>
      <c r="CY1752" s="115"/>
      <c r="CZ1752" s="115"/>
      <c r="DA1752" s="115"/>
      <c r="DB1752" s="115"/>
      <c r="DC1752" s="115"/>
      <c r="DD1752" s="115"/>
      <c r="DE1752" s="115"/>
      <c r="DF1752" s="115"/>
      <c r="DG1752" s="115"/>
    </row>
    <row r="1753" spans="55:111" hidden="1">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c r="BY1753" s="115"/>
      <c r="BZ1753" s="115"/>
      <c r="CA1753" s="115"/>
      <c r="CB1753" s="115"/>
      <c r="CC1753" s="115"/>
      <c r="CD1753" s="115"/>
      <c r="CE1753" s="115"/>
      <c r="CF1753" s="115"/>
      <c r="CG1753" s="115"/>
      <c r="CH1753" s="115"/>
      <c r="CI1753" s="115"/>
      <c r="CJ1753" s="115"/>
      <c r="CK1753" s="115"/>
      <c r="CL1753" s="115"/>
      <c r="CM1753" s="115"/>
      <c r="CN1753" s="115"/>
      <c r="CO1753" s="115"/>
      <c r="CP1753" s="115"/>
      <c r="CQ1753" s="115"/>
      <c r="CR1753" s="115"/>
      <c r="CS1753" s="115"/>
      <c r="CT1753" s="115"/>
      <c r="CU1753" s="115"/>
      <c r="CV1753" s="115"/>
      <c r="CW1753" s="115"/>
      <c r="CX1753" s="115"/>
      <c r="CY1753" s="115"/>
      <c r="CZ1753" s="115"/>
      <c r="DA1753" s="115"/>
      <c r="DB1753" s="115"/>
      <c r="DC1753" s="115"/>
      <c r="DD1753" s="115"/>
      <c r="DE1753" s="115"/>
      <c r="DF1753" s="115"/>
      <c r="DG1753" s="115"/>
    </row>
    <row r="1754" spans="55:111" hidden="1">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c r="BY1754" s="115"/>
      <c r="BZ1754" s="115"/>
      <c r="CA1754" s="115"/>
      <c r="CB1754" s="115"/>
      <c r="CC1754" s="115"/>
      <c r="CD1754" s="115"/>
      <c r="CE1754" s="115"/>
      <c r="CF1754" s="115"/>
      <c r="CG1754" s="115"/>
      <c r="CH1754" s="115"/>
      <c r="CI1754" s="115"/>
      <c r="CJ1754" s="115"/>
      <c r="CK1754" s="115"/>
      <c r="CL1754" s="115"/>
      <c r="CM1754" s="115"/>
      <c r="CN1754" s="115"/>
      <c r="CO1754" s="115"/>
      <c r="CP1754" s="115"/>
      <c r="CQ1754" s="115"/>
      <c r="CR1754" s="115"/>
      <c r="CS1754" s="115"/>
      <c r="CT1754" s="115"/>
      <c r="CU1754" s="115"/>
      <c r="CV1754" s="115"/>
      <c r="CW1754" s="115"/>
      <c r="CX1754" s="115"/>
      <c r="CY1754" s="115"/>
      <c r="CZ1754" s="115"/>
      <c r="DA1754" s="115"/>
      <c r="DB1754" s="115"/>
      <c r="DC1754" s="115"/>
      <c r="DD1754" s="115"/>
      <c r="DE1754" s="115"/>
      <c r="DF1754" s="115"/>
      <c r="DG1754" s="115"/>
    </row>
    <row r="1755" spans="55:111" hidden="1">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c r="BY1755" s="115"/>
      <c r="BZ1755" s="115"/>
      <c r="CA1755" s="115"/>
      <c r="CB1755" s="115"/>
      <c r="CC1755" s="115"/>
      <c r="CD1755" s="115"/>
      <c r="CE1755" s="115"/>
      <c r="CF1755" s="115"/>
      <c r="CG1755" s="115"/>
      <c r="CH1755" s="115"/>
      <c r="CI1755" s="115"/>
      <c r="CJ1755" s="115"/>
      <c r="CK1755" s="115"/>
      <c r="CL1755" s="115"/>
      <c r="CM1755" s="115"/>
      <c r="CN1755" s="115"/>
      <c r="CO1755" s="115"/>
      <c r="CP1755" s="115"/>
      <c r="CQ1755" s="115"/>
      <c r="CR1755" s="115"/>
      <c r="CS1755" s="115"/>
      <c r="CT1755" s="115"/>
      <c r="CU1755" s="115"/>
      <c r="CV1755" s="115"/>
      <c r="CW1755" s="115"/>
      <c r="CX1755" s="115"/>
      <c r="CY1755" s="115"/>
      <c r="CZ1755" s="115"/>
      <c r="DA1755" s="115"/>
      <c r="DB1755" s="115"/>
      <c r="DC1755" s="115"/>
      <c r="DD1755" s="115"/>
      <c r="DE1755" s="115"/>
      <c r="DF1755" s="115"/>
      <c r="DG1755" s="115"/>
    </row>
    <row r="1756" spans="55:111" hidden="1">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c r="BY1756" s="115"/>
      <c r="BZ1756" s="115"/>
      <c r="CA1756" s="115"/>
      <c r="CB1756" s="115"/>
      <c r="CC1756" s="115"/>
      <c r="CD1756" s="115"/>
      <c r="CE1756" s="115"/>
      <c r="CF1756" s="115"/>
      <c r="CG1756" s="115"/>
      <c r="CH1756" s="115"/>
      <c r="CI1756" s="115"/>
      <c r="CJ1756" s="115"/>
      <c r="CK1756" s="115"/>
      <c r="CL1756" s="115"/>
      <c r="CM1756" s="115"/>
      <c r="CN1756" s="115"/>
      <c r="CO1756" s="115"/>
      <c r="CP1756" s="115"/>
      <c r="CQ1756" s="115"/>
      <c r="CR1756" s="115"/>
      <c r="CS1756" s="115"/>
      <c r="CT1756" s="115"/>
      <c r="CU1756" s="115"/>
      <c r="CV1756" s="115"/>
      <c r="CW1756" s="115"/>
      <c r="CX1756" s="115"/>
      <c r="CY1756" s="115"/>
      <c r="CZ1756" s="115"/>
      <c r="DA1756" s="115"/>
      <c r="DB1756" s="115"/>
      <c r="DC1756" s="115"/>
      <c r="DD1756" s="115"/>
      <c r="DE1756" s="115"/>
      <c r="DF1756" s="115"/>
      <c r="DG1756" s="115"/>
    </row>
    <row r="1757" spans="55:111" hidden="1">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c r="BY1757" s="115"/>
      <c r="BZ1757" s="115"/>
      <c r="CA1757" s="115"/>
      <c r="CB1757" s="115"/>
      <c r="CC1757" s="115"/>
      <c r="CD1757" s="115"/>
      <c r="CE1757" s="115"/>
      <c r="CF1757" s="115"/>
      <c r="CG1757" s="115"/>
      <c r="CH1757" s="115"/>
      <c r="CI1757" s="115"/>
      <c r="CJ1757" s="115"/>
      <c r="CK1757" s="115"/>
      <c r="CL1757" s="115"/>
      <c r="CM1757" s="115"/>
      <c r="CN1757" s="115"/>
      <c r="CO1757" s="115"/>
      <c r="CP1757" s="115"/>
      <c r="CQ1757" s="115"/>
      <c r="CR1757" s="115"/>
      <c r="CS1757" s="115"/>
      <c r="CT1757" s="115"/>
      <c r="CU1757" s="115"/>
      <c r="CV1757" s="115"/>
      <c r="CW1757" s="115"/>
      <c r="CX1757" s="115"/>
      <c r="CY1757" s="115"/>
      <c r="CZ1757" s="115"/>
      <c r="DA1757" s="115"/>
      <c r="DB1757" s="115"/>
      <c r="DC1757" s="115"/>
      <c r="DD1757" s="115"/>
      <c r="DE1757" s="115"/>
      <c r="DF1757" s="115"/>
      <c r="DG1757" s="115"/>
    </row>
    <row r="1758" spans="55:111" hidden="1">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c r="BY1758" s="115"/>
      <c r="BZ1758" s="115"/>
      <c r="CA1758" s="115"/>
      <c r="CB1758" s="115"/>
      <c r="CC1758" s="115"/>
      <c r="CD1758" s="115"/>
      <c r="CE1758" s="115"/>
      <c r="CF1758" s="115"/>
      <c r="CG1758" s="115"/>
      <c r="CH1758" s="115"/>
      <c r="CI1758" s="115"/>
      <c r="CJ1758" s="115"/>
      <c r="CK1758" s="115"/>
      <c r="CL1758" s="115"/>
      <c r="CM1758" s="115"/>
      <c r="CN1758" s="115"/>
      <c r="CO1758" s="115"/>
      <c r="CP1758" s="115"/>
      <c r="CQ1758" s="115"/>
      <c r="CR1758" s="115"/>
      <c r="CS1758" s="115"/>
      <c r="CT1758" s="115"/>
      <c r="CU1758" s="115"/>
      <c r="CV1758" s="115"/>
      <c r="CW1758" s="115"/>
      <c r="CX1758" s="115"/>
      <c r="CY1758" s="115"/>
      <c r="CZ1758" s="115"/>
      <c r="DA1758" s="115"/>
      <c r="DB1758" s="115"/>
      <c r="DC1758" s="115"/>
      <c r="DD1758" s="115"/>
      <c r="DE1758" s="115"/>
      <c r="DF1758" s="115"/>
      <c r="DG1758" s="115"/>
    </row>
    <row r="1759" spans="55:111" hidden="1">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c r="BY1759" s="115"/>
      <c r="BZ1759" s="115"/>
      <c r="CA1759" s="115"/>
      <c r="CB1759" s="115"/>
      <c r="CC1759" s="115"/>
      <c r="CD1759" s="115"/>
      <c r="CE1759" s="115"/>
      <c r="CF1759" s="115"/>
      <c r="CG1759" s="115"/>
      <c r="CH1759" s="115"/>
      <c r="CI1759" s="115"/>
      <c r="CJ1759" s="115"/>
      <c r="CK1759" s="115"/>
      <c r="CL1759" s="115"/>
      <c r="CM1759" s="115"/>
      <c r="CN1759" s="115"/>
      <c r="CO1759" s="115"/>
      <c r="CP1759" s="115"/>
      <c r="CQ1759" s="115"/>
      <c r="CR1759" s="115"/>
      <c r="CS1759" s="115"/>
      <c r="CT1759" s="115"/>
      <c r="CU1759" s="115"/>
      <c r="CV1759" s="115"/>
      <c r="CW1759" s="115"/>
      <c r="CX1759" s="115"/>
      <c r="CY1759" s="115"/>
      <c r="CZ1759" s="115"/>
      <c r="DA1759" s="115"/>
      <c r="DB1759" s="115"/>
      <c r="DC1759" s="115"/>
      <c r="DD1759" s="115"/>
      <c r="DE1759" s="115"/>
      <c r="DF1759" s="115"/>
      <c r="DG1759" s="115"/>
    </row>
    <row r="1760" spans="55:111" hidden="1">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c r="BY1760" s="115"/>
      <c r="BZ1760" s="115"/>
      <c r="CA1760" s="115"/>
      <c r="CB1760" s="115"/>
      <c r="CC1760" s="115"/>
      <c r="CD1760" s="115"/>
      <c r="CE1760" s="115"/>
      <c r="CF1760" s="115"/>
      <c r="CG1760" s="115"/>
      <c r="CH1760" s="115"/>
      <c r="CI1760" s="115"/>
      <c r="CJ1760" s="115"/>
      <c r="CK1760" s="115"/>
      <c r="CL1760" s="115"/>
      <c r="CM1760" s="115"/>
      <c r="CN1760" s="115"/>
      <c r="CO1760" s="115"/>
      <c r="CP1760" s="115"/>
      <c r="CQ1760" s="115"/>
      <c r="CR1760" s="115"/>
      <c r="CS1760" s="115"/>
      <c r="CT1760" s="115"/>
      <c r="CU1760" s="115"/>
      <c r="CV1760" s="115"/>
      <c r="CW1760" s="115"/>
      <c r="CX1760" s="115"/>
      <c r="CY1760" s="115"/>
      <c r="CZ1760" s="115"/>
      <c r="DA1760" s="115"/>
      <c r="DB1760" s="115"/>
      <c r="DC1760" s="115"/>
      <c r="DD1760" s="115"/>
      <c r="DE1760" s="115"/>
      <c r="DF1760" s="115"/>
      <c r="DG1760" s="115"/>
    </row>
    <row r="1761" spans="55:111" hidden="1">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c r="BY1761" s="115"/>
      <c r="BZ1761" s="115"/>
      <c r="CA1761" s="115"/>
      <c r="CB1761" s="115"/>
      <c r="CC1761" s="115"/>
      <c r="CD1761" s="115"/>
      <c r="CE1761" s="115"/>
      <c r="CF1761" s="115"/>
      <c r="CG1761" s="115"/>
      <c r="CH1761" s="115"/>
      <c r="CI1761" s="115"/>
      <c r="CJ1761" s="115"/>
      <c r="CK1761" s="115"/>
      <c r="CL1761" s="115"/>
      <c r="CM1761" s="115"/>
      <c r="CN1761" s="115"/>
      <c r="CO1761" s="115"/>
      <c r="CP1761" s="115"/>
      <c r="CQ1761" s="115"/>
      <c r="CR1761" s="115"/>
      <c r="CS1761" s="115"/>
      <c r="CT1761" s="115"/>
      <c r="CU1761" s="115"/>
      <c r="CV1761" s="115"/>
      <c r="CW1761" s="115"/>
      <c r="CX1761" s="115"/>
      <c r="CY1761" s="115"/>
      <c r="CZ1761" s="115"/>
      <c r="DA1761" s="115"/>
      <c r="DB1761" s="115"/>
      <c r="DC1761" s="115"/>
      <c r="DD1761" s="115"/>
      <c r="DE1761" s="115"/>
      <c r="DF1761" s="115"/>
      <c r="DG1761" s="115"/>
    </row>
    <row r="1762" spans="55:111" hidden="1">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c r="BY1762" s="115"/>
      <c r="BZ1762" s="115"/>
      <c r="CA1762" s="115"/>
      <c r="CB1762" s="115"/>
      <c r="CC1762" s="115"/>
      <c r="CD1762" s="115"/>
      <c r="CE1762" s="115"/>
      <c r="CF1762" s="115"/>
      <c r="CG1762" s="115"/>
      <c r="CH1762" s="115"/>
      <c r="CI1762" s="115"/>
      <c r="CJ1762" s="115"/>
      <c r="CK1762" s="115"/>
      <c r="CL1762" s="115"/>
      <c r="CM1762" s="115"/>
      <c r="CN1762" s="115"/>
      <c r="CO1762" s="115"/>
      <c r="CP1762" s="115"/>
      <c r="CQ1762" s="115"/>
      <c r="CR1762" s="115"/>
      <c r="CS1762" s="115"/>
      <c r="CT1762" s="115"/>
      <c r="CU1762" s="115"/>
      <c r="CV1762" s="115"/>
      <c r="CW1762" s="115"/>
      <c r="CX1762" s="115"/>
      <c r="CY1762" s="115"/>
      <c r="CZ1762" s="115"/>
      <c r="DA1762" s="115"/>
      <c r="DB1762" s="115"/>
      <c r="DC1762" s="115"/>
      <c r="DD1762" s="115"/>
      <c r="DE1762" s="115"/>
      <c r="DF1762" s="115"/>
      <c r="DG1762" s="115"/>
    </row>
    <row r="1763" spans="55:111" hidden="1">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c r="BY1763" s="115"/>
      <c r="BZ1763" s="115"/>
      <c r="CA1763" s="115"/>
      <c r="CB1763" s="115"/>
      <c r="CC1763" s="115"/>
      <c r="CD1763" s="115"/>
      <c r="CE1763" s="115"/>
      <c r="CF1763" s="115"/>
      <c r="CG1763" s="115"/>
      <c r="CH1763" s="115"/>
      <c r="CI1763" s="115"/>
      <c r="CJ1763" s="115"/>
      <c r="CK1763" s="115"/>
      <c r="CL1763" s="115"/>
      <c r="CM1763" s="115"/>
      <c r="CN1763" s="115"/>
      <c r="CO1763" s="115"/>
      <c r="CP1763" s="115"/>
      <c r="CQ1763" s="115"/>
      <c r="CR1763" s="115"/>
      <c r="CS1763" s="115"/>
      <c r="CT1763" s="115"/>
      <c r="CU1763" s="115"/>
      <c r="CV1763" s="115"/>
      <c r="CW1763" s="115"/>
      <c r="CX1763" s="115"/>
      <c r="CY1763" s="115"/>
      <c r="CZ1763" s="115"/>
      <c r="DA1763" s="115"/>
      <c r="DB1763" s="115"/>
      <c r="DC1763" s="115"/>
      <c r="DD1763" s="115"/>
      <c r="DE1763" s="115"/>
      <c r="DF1763" s="115"/>
      <c r="DG1763" s="115"/>
    </row>
    <row r="1764" spans="55:111" hidden="1">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c r="BY1764" s="115"/>
      <c r="BZ1764" s="115"/>
      <c r="CA1764" s="115"/>
      <c r="CB1764" s="115"/>
      <c r="CC1764" s="115"/>
      <c r="CD1764" s="115"/>
      <c r="CE1764" s="115"/>
      <c r="CF1764" s="115"/>
      <c r="CG1764" s="115"/>
      <c r="CH1764" s="115"/>
      <c r="CI1764" s="115"/>
      <c r="CJ1764" s="115"/>
      <c r="CK1764" s="115"/>
      <c r="CL1764" s="115"/>
      <c r="CM1764" s="115"/>
      <c r="CN1764" s="115"/>
      <c r="CO1764" s="115"/>
      <c r="CP1764" s="115"/>
      <c r="CQ1764" s="115"/>
      <c r="CR1764" s="115"/>
      <c r="CS1764" s="115"/>
      <c r="CT1764" s="115"/>
      <c r="CU1764" s="115"/>
      <c r="CV1764" s="115"/>
      <c r="CW1764" s="115"/>
      <c r="CX1764" s="115"/>
      <c r="CY1764" s="115"/>
      <c r="CZ1764" s="115"/>
      <c r="DA1764" s="115"/>
      <c r="DB1764" s="115"/>
      <c r="DC1764" s="115"/>
      <c r="DD1764" s="115"/>
      <c r="DE1764" s="115"/>
      <c r="DF1764" s="115"/>
      <c r="DG1764" s="115"/>
    </row>
    <row r="1765" spans="55:111" hidden="1">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c r="BY1765" s="115"/>
      <c r="BZ1765" s="115"/>
      <c r="CA1765" s="115"/>
      <c r="CB1765" s="115"/>
      <c r="CC1765" s="115"/>
      <c r="CD1765" s="115"/>
      <c r="CE1765" s="115"/>
      <c r="CF1765" s="115"/>
      <c r="CG1765" s="115"/>
      <c r="CH1765" s="115"/>
      <c r="CI1765" s="115"/>
      <c r="CJ1765" s="115"/>
      <c r="CK1765" s="115"/>
      <c r="CL1765" s="115"/>
      <c r="CM1765" s="115"/>
      <c r="CN1765" s="115"/>
      <c r="CO1765" s="115"/>
      <c r="CP1765" s="115"/>
      <c r="CQ1765" s="115"/>
      <c r="CR1765" s="115"/>
      <c r="CS1765" s="115"/>
      <c r="CT1765" s="115"/>
      <c r="CU1765" s="115"/>
      <c r="CV1765" s="115"/>
      <c r="CW1765" s="115"/>
      <c r="CX1765" s="115"/>
      <c r="CY1765" s="115"/>
      <c r="CZ1765" s="115"/>
      <c r="DA1765" s="115"/>
      <c r="DB1765" s="115"/>
      <c r="DC1765" s="115"/>
      <c r="DD1765" s="115"/>
      <c r="DE1765" s="115"/>
      <c r="DF1765" s="115"/>
      <c r="DG1765" s="115"/>
    </row>
    <row r="1766" spans="55:111" hidden="1">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c r="BY1766" s="115"/>
      <c r="BZ1766" s="115"/>
      <c r="CA1766" s="115"/>
      <c r="CB1766" s="115"/>
      <c r="CC1766" s="115"/>
      <c r="CD1766" s="115"/>
      <c r="CE1766" s="115"/>
      <c r="CF1766" s="115"/>
      <c r="CG1766" s="115"/>
      <c r="CH1766" s="115"/>
      <c r="CI1766" s="115"/>
      <c r="CJ1766" s="115"/>
      <c r="CK1766" s="115"/>
      <c r="CL1766" s="115"/>
      <c r="CM1766" s="115"/>
      <c r="CN1766" s="115"/>
      <c r="CO1766" s="115"/>
      <c r="CP1766" s="115"/>
      <c r="CQ1766" s="115"/>
      <c r="CR1766" s="115"/>
      <c r="CS1766" s="115"/>
      <c r="CT1766" s="115"/>
      <c r="CU1766" s="115"/>
      <c r="CV1766" s="115"/>
      <c r="CW1766" s="115"/>
      <c r="CX1766" s="115"/>
      <c r="CY1766" s="115"/>
      <c r="CZ1766" s="115"/>
      <c r="DA1766" s="115"/>
      <c r="DB1766" s="115"/>
      <c r="DC1766" s="115"/>
      <c r="DD1766" s="115"/>
      <c r="DE1766" s="115"/>
      <c r="DF1766" s="115"/>
      <c r="DG1766" s="115"/>
    </row>
    <row r="1767" spans="55:111" hidden="1">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c r="BY1767" s="115"/>
      <c r="BZ1767" s="115"/>
      <c r="CA1767" s="115"/>
      <c r="CB1767" s="115"/>
      <c r="CC1767" s="115"/>
      <c r="CD1767" s="115"/>
      <c r="CE1767" s="115"/>
      <c r="CF1767" s="115"/>
      <c r="CG1767" s="115"/>
      <c r="CH1767" s="115"/>
      <c r="CI1767" s="115"/>
      <c r="CJ1767" s="115"/>
      <c r="CK1767" s="115"/>
      <c r="CL1767" s="115"/>
      <c r="CM1767" s="115"/>
      <c r="CN1767" s="115"/>
      <c r="CO1767" s="115"/>
      <c r="CP1767" s="115"/>
      <c r="CQ1767" s="115"/>
      <c r="CR1767" s="115"/>
      <c r="CS1767" s="115"/>
      <c r="CT1767" s="115"/>
      <c r="CU1767" s="115"/>
      <c r="CV1767" s="115"/>
      <c r="CW1767" s="115"/>
      <c r="CX1767" s="115"/>
      <c r="CY1767" s="115"/>
      <c r="CZ1767" s="115"/>
      <c r="DA1767" s="115"/>
      <c r="DB1767" s="115"/>
      <c r="DC1767" s="115"/>
      <c r="DD1767" s="115"/>
      <c r="DE1767" s="115"/>
      <c r="DF1767" s="115"/>
      <c r="DG1767" s="115"/>
    </row>
    <row r="1768" spans="55:111" hidden="1">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c r="BY1768" s="115"/>
      <c r="BZ1768" s="115"/>
      <c r="CA1768" s="115"/>
      <c r="CB1768" s="115"/>
      <c r="CC1768" s="115"/>
      <c r="CD1768" s="115"/>
      <c r="CE1768" s="115"/>
      <c r="CF1768" s="115"/>
      <c r="CG1768" s="115"/>
      <c r="CH1768" s="115"/>
      <c r="CI1768" s="115"/>
      <c r="CJ1768" s="115"/>
      <c r="CK1768" s="115"/>
      <c r="CL1768" s="115"/>
      <c r="CM1768" s="115"/>
      <c r="CN1768" s="115"/>
      <c r="CO1768" s="115"/>
      <c r="CP1768" s="115"/>
      <c r="CQ1768" s="115"/>
      <c r="CR1768" s="115"/>
      <c r="CS1768" s="115"/>
      <c r="CT1768" s="115"/>
      <c r="CU1768" s="115"/>
      <c r="CV1768" s="115"/>
      <c r="CW1768" s="115"/>
      <c r="CX1768" s="115"/>
      <c r="CY1768" s="115"/>
      <c r="CZ1768" s="115"/>
      <c r="DA1768" s="115"/>
      <c r="DB1768" s="115"/>
      <c r="DC1768" s="115"/>
      <c r="DD1768" s="115"/>
      <c r="DE1768" s="115"/>
      <c r="DF1768" s="115"/>
      <c r="DG1768" s="115"/>
    </row>
    <row r="1769" spans="55:111" hidden="1">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c r="BY1769" s="115"/>
      <c r="BZ1769" s="115"/>
      <c r="CA1769" s="115"/>
      <c r="CB1769" s="115"/>
      <c r="CC1769" s="115"/>
      <c r="CD1769" s="115"/>
      <c r="CE1769" s="115"/>
      <c r="CF1769" s="115"/>
      <c r="CG1769" s="115"/>
      <c r="CH1769" s="115"/>
      <c r="CI1769" s="115"/>
      <c r="CJ1769" s="115"/>
      <c r="CK1769" s="115"/>
      <c r="CL1769" s="115"/>
      <c r="CM1769" s="115"/>
      <c r="CN1769" s="115"/>
      <c r="CO1769" s="115"/>
      <c r="CP1769" s="115"/>
      <c r="CQ1769" s="115"/>
      <c r="CR1769" s="115"/>
      <c r="CS1769" s="115"/>
      <c r="CT1769" s="115"/>
      <c r="CU1769" s="115"/>
      <c r="CV1769" s="115"/>
      <c r="CW1769" s="115"/>
      <c r="CX1769" s="115"/>
      <c r="CY1769" s="115"/>
      <c r="CZ1769" s="115"/>
      <c r="DA1769" s="115"/>
      <c r="DB1769" s="115"/>
      <c r="DC1769" s="115"/>
      <c r="DD1769" s="115"/>
      <c r="DE1769" s="115"/>
      <c r="DF1769" s="115"/>
      <c r="DG1769" s="115"/>
    </row>
    <row r="1770" spans="55:111" hidden="1">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c r="BY1770" s="115"/>
      <c r="BZ1770" s="115"/>
      <c r="CA1770" s="115"/>
      <c r="CB1770" s="115"/>
      <c r="CC1770" s="115"/>
      <c r="CD1770" s="115"/>
      <c r="CE1770" s="115"/>
      <c r="CF1770" s="115"/>
      <c r="CG1770" s="115"/>
      <c r="CH1770" s="115"/>
      <c r="CI1770" s="115"/>
      <c r="CJ1770" s="115"/>
      <c r="CK1770" s="115"/>
      <c r="CL1770" s="115"/>
      <c r="CM1770" s="115"/>
      <c r="CN1770" s="115"/>
      <c r="CO1770" s="115"/>
      <c r="CP1770" s="115"/>
      <c r="CQ1770" s="115"/>
      <c r="CR1770" s="115"/>
      <c r="CS1770" s="115"/>
      <c r="CT1770" s="115"/>
      <c r="CU1770" s="115"/>
      <c r="CV1770" s="115"/>
      <c r="CW1770" s="115"/>
      <c r="CX1770" s="115"/>
      <c r="CY1770" s="115"/>
      <c r="CZ1770" s="115"/>
      <c r="DA1770" s="115"/>
      <c r="DB1770" s="115"/>
      <c r="DC1770" s="115"/>
      <c r="DD1770" s="115"/>
      <c r="DE1770" s="115"/>
      <c r="DF1770" s="115"/>
      <c r="DG1770" s="115"/>
    </row>
    <row r="1771" spans="55:111" hidden="1">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c r="BY1771" s="115"/>
      <c r="BZ1771" s="115"/>
      <c r="CA1771" s="115"/>
      <c r="CB1771" s="115"/>
      <c r="CC1771" s="115"/>
      <c r="CD1771" s="115"/>
      <c r="CE1771" s="115"/>
      <c r="CF1771" s="115"/>
      <c r="CG1771" s="115"/>
      <c r="CH1771" s="115"/>
      <c r="CI1771" s="115"/>
      <c r="CJ1771" s="115"/>
      <c r="CK1771" s="115"/>
      <c r="CL1771" s="115"/>
      <c r="CM1771" s="115"/>
      <c r="CN1771" s="115"/>
      <c r="CO1771" s="115"/>
      <c r="CP1771" s="115"/>
      <c r="CQ1771" s="115"/>
      <c r="CR1771" s="115"/>
      <c r="CS1771" s="115"/>
      <c r="CT1771" s="115"/>
      <c r="CU1771" s="115"/>
      <c r="CV1771" s="115"/>
      <c r="CW1771" s="115"/>
      <c r="CX1771" s="115"/>
      <c r="CY1771" s="115"/>
      <c r="CZ1771" s="115"/>
      <c r="DA1771" s="115"/>
      <c r="DB1771" s="115"/>
      <c r="DC1771" s="115"/>
      <c r="DD1771" s="115"/>
      <c r="DE1771" s="115"/>
      <c r="DF1771" s="115"/>
      <c r="DG1771" s="115"/>
    </row>
    <row r="1772" spans="55:111" hidden="1">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c r="BY1772" s="115"/>
      <c r="BZ1772" s="115"/>
      <c r="CA1772" s="115"/>
      <c r="CB1772" s="115"/>
      <c r="CC1772" s="115"/>
      <c r="CD1772" s="115"/>
      <c r="CE1772" s="115"/>
      <c r="CF1772" s="115"/>
      <c r="CG1772" s="115"/>
      <c r="CH1772" s="115"/>
      <c r="CI1772" s="115"/>
      <c r="CJ1772" s="115"/>
      <c r="CK1772" s="115"/>
      <c r="CL1772" s="115"/>
      <c r="CM1772" s="115"/>
      <c r="CN1772" s="115"/>
      <c r="CO1772" s="115"/>
      <c r="CP1772" s="115"/>
      <c r="CQ1772" s="115"/>
      <c r="CR1772" s="115"/>
      <c r="CS1772" s="115"/>
      <c r="CT1772" s="115"/>
      <c r="CU1772" s="115"/>
      <c r="CV1772" s="115"/>
      <c r="CW1772" s="115"/>
      <c r="CX1772" s="115"/>
      <c r="CY1772" s="115"/>
      <c r="CZ1772" s="115"/>
      <c r="DA1772" s="115"/>
      <c r="DB1772" s="115"/>
      <c r="DC1772" s="115"/>
      <c r="DD1772" s="115"/>
      <c r="DE1772" s="115"/>
      <c r="DF1772" s="115"/>
      <c r="DG1772" s="115"/>
    </row>
    <row r="1773" spans="55:111" hidden="1">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c r="BY1773" s="115"/>
      <c r="BZ1773" s="115"/>
      <c r="CA1773" s="115"/>
      <c r="CB1773" s="115"/>
      <c r="CC1773" s="115"/>
      <c r="CD1773" s="115"/>
      <c r="CE1773" s="115"/>
      <c r="CF1773" s="115"/>
      <c r="CG1773" s="115"/>
      <c r="CH1773" s="115"/>
      <c r="CI1773" s="115"/>
      <c r="CJ1773" s="115"/>
      <c r="CK1773" s="115"/>
      <c r="CL1773" s="115"/>
      <c r="CM1773" s="115"/>
      <c r="CN1773" s="115"/>
      <c r="CO1773" s="115"/>
      <c r="CP1773" s="115"/>
      <c r="CQ1773" s="115"/>
      <c r="CR1773" s="115"/>
      <c r="CS1773" s="115"/>
      <c r="CT1773" s="115"/>
      <c r="CU1773" s="115"/>
      <c r="CV1773" s="115"/>
      <c r="CW1773" s="115"/>
      <c r="CX1773" s="115"/>
      <c r="CY1773" s="115"/>
      <c r="CZ1773" s="115"/>
      <c r="DA1773" s="115"/>
      <c r="DB1773" s="115"/>
      <c r="DC1773" s="115"/>
      <c r="DD1773" s="115"/>
      <c r="DE1773" s="115"/>
      <c r="DF1773" s="115"/>
      <c r="DG1773" s="115"/>
    </row>
    <row r="1774" spans="55:111" hidden="1">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c r="BY1774" s="115"/>
      <c r="BZ1774" s="115"/>
      <c r="CA1774" s="115"/>
      <c r="CB1774" s="115"/>
      <c r="CC1774" s="115"/>
      <c r="CD1774" s="115"/>
      <c r="CE1774" s="115"/>
      <c r="CF1774" s="115"/>
      <c r="CG1774" s="115"/>
      <c r="CH1774" s="115"/>
      <c r="CI1774" s="115"/>
      <c r="CJ1774" s="115"/>
      <c r="CK1774" s="115"/>
      <c r="CL1774" s="115"/>
      <c r="CM1774" s="115"/>
      <c r="CN1774" s="115"/>
      <c r="CO1774" s="115"/>
      <c r="CP1774" s="115"/>
      <c r="CQ1774" s="115"/>
      <c r="CR1774" s="115"/>
      <c r="CS1774" s="115"/>
      <c r="CT1774" s="115"/>
      <c r="CU1774" s="115"/>
      <c r="CV1774" s="115"/>
      <c r="CW1774" s="115"/>
      <c r="CX1774" s="115"/>
      <c r="CY1774" s="115"/>
      <c r="CZ1774" s="115"/>
      <c r="DA1774" s="115"/>
      <c r="DB1774" s="115"/>
      <c r="DC1774" s="115"/>
      <c r="DD1774" s="115"/>
      <c r="DE1774" s="115"/>
      <c r="DF1774" s="115"/>
      <c r="DG1774" s="115"/>
    </row>
    <row r="1775" spans="55:111" hidden="1">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c r="BY1775" s="115"/>
      <c r="BZ1775" s="115"/>
      <c r="CA1775" s="115"/>
      <c r="CB1775" s="115"/>
      <c r="CC1775" s="115"/>
      <c r="CD1775" s="115"/>
      <c r="CE1775" s="115"/>
      <c r="CF1775" s="115"/>
      <c r="CG1775" s="115"/>
      <c r="CH1775" s="115"/>
      <c r="CI1775" s="115"/>
      <c r="CJ1775" s="115"/>
      <c r="CK1775" s="115"/>
      <c r="CL1775" s="115"/>
      <c r="CM1775" s="115"/>
      <c r="CN1775" s="115"/>
      <c r="CO1775" s="115"/>
      <c r="CP1775" s="115"/>
      <c r="CQ1775" s="115"/>
      <c r="CR1775" s="115"/>
      <c r="CS1775" s="115"/>
      <c r="CT1775" s="115"/>
      <c r="CU1775" s="115"/>
      <c r="CV1775" s="115"/>
      <c r="CW1775" s="115"/>
      <c r="CX1775" s="115"/>
      <c r="CY1775" s="115"/>
      <c r="CZ1775" s="115"/>
      <c r="DA1775" s="115"/>
      <c r="DB1775" s="115"/>
      <c r="DC1775" s="115"/>
      <c r="DD1775" s="115"/>
      <c r="DE1775" s="115"/>
      <c r="DF1775" s="115"/>
      <c r="DG1775" s="115"/>
    </row>
    <row r="1776" spans="55:111" hidden="1">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c r="BY1776" s="115"/>
      <c r="BZ1776" s="115"/>
      <c r="CA1776" s="115"/>
      <c r="CB1776" s="115"/>
      <c r="CC1776" s="115"/>
      <c r="CD1776" s="115"/>
      <c r="CE1776" s="115"/>
      <c r="CF1776" s="115"/>
      <c r="CG1776" s="115"/>
      <c r="CH1776" s="115"/>
      <c r="CI1776" s="115"/>
      <c r="CJ1776" s="115"/>
      <c r="CK1776" s="115"/>
      <c r="CL1776" s="115"/>
      <c r="CM1776" s="115"/>
      <c r="CN1776" s="115"/>
      <c r="CO1776" s="115"/>
      <c r="CP1776" s="115"/>
      <c r="CQ1776" s="115"/>
      <c r="CR1776" s="115"/>
      <c r="CS1776" s="115"/>
      <c r="CT1776" s="115"/>
      <c r="CU1776" s="115"/>
      <c r="CV1776" s="115"/>
      <c r="CW1776" s="115"/>
      <c r="CX1776" s="115"/>
      <c r="CY1776" s="115"/>
      <c r="CZ1776" s="115"/>
      <c r="DA1776" s="115"/>
      <c r="DB1776" s="115"/>
      <c r="DC1776" s="115"/>
      <c r="DD1776" s="115"/>
      <c r="DE1776" s="115"/>
      <c r="DF1776" s="115"/>
      <c r="DG1776" s="115"/>
    </row>
    <row r="1777" spans="55:111" hidden="1">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c r="BY1777" s="115"/>
      <c r="BZ1777" s="115"/>
      <c r="CA1777" s="115"/>
      <c r="CB1777" s="115"/>
      <c r="CC1777" s="115"/>
      <c r="CD1777" s="115"/>
      <c r="CE1777" s="115"/>
      <c r="CF1777" s="115"/>
      <c r="CG1777" s="115"/>
      <c r="CH1777" s="115"/>
      <c r="CI1777" s="115"/>
      <c r="CJ1777" s="115"/>
      <c r="CK1777" s="115"/>
      <c r="CL1777" s="115"/>
      <c r="CM1777" s="115"/>
      <c r="CN1777" s="115"/>
      <c r="CO1777" s="115"/>
      <c r="CP1777" s="115"/>
      <c r="CQ1777" s="115"/>
      <c r="CR1777" s="115"/>
      <c r="CS1777" s="115"/>
      <c r="CT1777" s="115"/>
      <c r="CU1777" s="115"/>
      <c r="CV1777" s="115"/>
      <c r="CW1777" s="115"/>
      <c r="CX1777" s="115"/>
      <c r="CY1777" s="115"/>
      <c r="CZ1777" s="115"/>
      <c r="DA1777" s="115"/>
      <c r="DB1777" s="115"/>
      <c r="DC1777" s="115"/>
      <c r="DD1777" s="115"/>
      <c r="DE1777" s="115"/>
      <c r="DF1777" s="115"/>
      <c r="DG1777" s="115"/>
    </row>
    <row r="1778" spans="55:111" hidden="1">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c r="BY1778" s="115"/>
      <c r="BZ1778" s="115"/>
      <c r="CA1778" s="115"/>
      <c r="CB1778" s="115"/>
      <c r="CC1778" s="115"/>
      <c r="CD1778" s="115"/>
      <c r="CE1778" s="115"/>
      <c r="CF1778" s="115"/>
      <c r="CG1778" s="115"/>
      <c r="CH1778" s="115"/>
      <c r="CI1778" s="115"/>
      <c r="CJ1778" s="115"/>
      <c r="CK1778" s="115"/>
      <c r="CL1778" s="115"/>
      <c r="CM1778" s="115"/>
      <c r="CN1778" s="115"/>
      <c r="CO1778" s="115"/>
      <c r="CP1778" s="115"/>
      <c r="CQ1778" s="115"/>
      <c r="CR1778" s="115"/>
      <c r="CS1778" s="115"/>
      <c r="CT1778" s="115"/>
      <c r="CU1778" s="115"/>
      <c r="CV1778" s="115"/>
      <c r="CW1778" s="115"/>
      <c r="CX1778" s="115"/>
      <c r="CY1778" s="115"/>
      <c r="CZ1778" s="115"/>
      <c r="DA1778" s="115"/>
      <c r="DB1778" s="115"/>
      <c r="DC1778" s="115"/>
      <c r="DD1778" s="115"/>
      <c r="DE1778" s="115"/>
      <c r="DF1778" s="115"/>
      <c r="DG1778" s="115"/>
    </row>
    <row r="1779" spans="55:111" hidden="1">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c r="BY1779" s="115"/>
      <c r="BZ1779" s="115"/>
      <c r="CA1779" s="115"/>
      <c r="CB1779" s="115"/>
      <c r="CC1779" s="115"/>
      <c r="CD1779" s="115"/>
      <c r="CE1779" s="115"/>
      <c r="CF1779" s="115"/>
      <c r="CG1779" s="115"/>
      <c r="CH1779" s="115"/>
      <c r="CI1779" s="115"/>
      <c r="CJ1779" s="115"/>
      <c r="CK1779" s="115"/>
      <c r="CL1779" s="115"/>
      <c r="CM1779" s="115"/>
      <c r="CN1779" s="115"/>
      <c r="CO1779" s="115"/>
      <c r="CP1779" s="115"/>
      <c r="CQ1779" s="115"/>
      <c r="CR1779" s="115"/>
      <c r="CS1779" s="115"/>
      <c r="CT1779" s="115"/>
      <c r="CU1779" s="115"/>
      <c r="CV1779" s="115"/>
      <c r="CW1779" s="115"/>
      <c r="CX1779" s="115"/>
      <c r="CY1779" s="115"/>
      <c r="CZ1779" s="115"/>
      <c r="DA1779" s="115"/>
      <c r="DB1779" s="115"/>
      <c r="DC1779" s="115"/>
      <c r="DD1779" s="115"/>
      <c r="DE1779" s="115"/>
      <c r="DF1779" s="115"/>
      <c r="DG1779" s="115"/>
    </row>
    <row r="1780" spans="55:111" hidden="1">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c r="BY1780" s="115"/>
      <c r="BZ1780" s="115"/>
      <c r="CA1780" s="115"/>
      <c r="CB1780" s="115"/>
      <c r="CC1780" s="115"/>
      <c r="CD1780" s="115"/>
      <c r="CE1780" s="115"/>
      <c r="CF1780" s="115"/>
      <c r="CG1780" s="115"/>
      <c r="CH1780" s="115"/>
      <c r="CI1780" s="115"/>
      <c r="CJ1780" s="115"/>
      <c r="CK1780" s="115"/>
      <c r="CL1780" s="115"/>
      <c r="CM1780" s="115"/>
      <c r="CN1780" s="115"/>
      <c r="CO1780" s="115"/>
      <c r="CP1780" s="115"/>
      <c r="CQ1780" s="115"/>
      <c r="CR1780" s="115"/>
      <c r="CS1780" s="115"/>
      <c r="CT1780" s="115"/>
      <c r="CU1780" s="115"/>
      <c r="CV1780" s="115"/>
      <c r="CW1780" s="115"/>
      <c r="CX1780" s="115"/>
      <c r="CY1780" s="115"/>
      <c r="CZ1780" s="115"/>
      <c r="DA1780" s="115"/>
      <c r="DB1780" s="115"/>
      <c r="DC1780" s="115"/>
      <c r="DD1780" s="115"/>
      <c r="DE1780" s="115"/>
      <c r="DF1780" s="115"/>
      <c r="DG1780" s="115"/>
    </row>
    <row r="1781" spans="55:111" hidden="1">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c r="BY1781" s="115"/>
      <c r="BZ1781" s="115"/>
      <c r="CA1781" s="115"/>
      <c r="CB1781" s="115"/>
      <c r="CC1781" s="115"/>
      <c r="CD1781" s="115"/>
      <c r="CE1781" s="115"/>
      <c r="CF1781" s="115"/>
      <c r="CG1781" s="115"/>
      <c r="CH1781" s="115"/>
      <c r="CI1781" s="115"/>
      <c r="CJ1781" s="115"/>
      <c r="CK1781" s="115"/>
      <c r="CL1781" s="115"/>
      <c r="CM1781" s="115"/>
      <c r="CN1781" s="115"/>
      <c r="CO1781" s="115"/>
      <c r="CP1781" s="115"/>
      <c r="CQ1781" s="115"/>
      <c r="CR1781" s="115"/>
      <c r="CS1781" s="115"/>
      <c r="CT1781" s="115"/>
      <c r="CU1781" s="115"/>
      <c r="CV1781" s="115"/>
      <c r="CW1781" s="115"/>
      <c r="CX1781" s="115"/>
      <c r="CY1781" s="115"/>
      <c r="CZ1781" s="115"/>
      <c r="DA1781" s="115"/>
      <c r="DB1781" s="115"/>
      <c r="DC1781" s="115"/>
      <c r="DD1781" s="115"/>
      <c r="DE1781" s="115"/>
      <c r="DF1781" s="115"/>
      <c r="DG1781" s="115"/>
    </row>
    <row r="1782" spans="55:111" hidden="1">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c r="BY1782" s="115"/>
      <c r="BZ1782" s="115"/>
      <c r="CA1782" s="115"/>
      <c r="CB1782" s="115"/>
      <c r="CC1782" s="115"/>
      <c r="CD1782" s="115"/>
      <c r="CE1782" s="115"/>
      <c r="CF1782" s="115"/>
      <c r="CG1782" s="115"/>
      <c r="CH1782" s="115"/>
      <c r="CI1782" s="115"/>
      <c r="CJ1782" s="115"/>
      <c r="CK1782" s="115"/>
      <c r="CL1782" s="115"/>
      <c r="CM1782" s="115"/>
      <c r="CN1782" s="115"/>
      <c r="CO1782" s="115"/>
      <c r="CP1782" s="115"/>
      <c r="CQ1782" s="115"/>
      <c r="CR1782" s="115"/>
      <c r="CS1782" s="115"/>
      <c r="CT1782" s="115"/>
      <c r="CU1782" s="115"/>
      <c r="CV1782" s="115"/>
      <c r="CW1782" s="115"/>
      <c r="CX1782" s="115"/>
      <c r="CY1782" s="115"/>
      <c r="CZ1782" s="115"/>
      <c r="DA1782" s="115"/>
      <c r="DB1782" s="115"/>
      <c r="DC1782" s="115"/>
      <c r="DD1782" s="115"/>
      <c r="DE1782" s="115"/>
      <c r="DF1782" s="115"/>
      <c r="DG1782" s="115"/>
    </row>
    <row r="1783" spans="55:111" hidden="1">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c r="BY1783" s="115"/>
      <c r="BZ1783" s="115"/>
      <c r="CA1783" s="115"/>
      <c r="CB1783" s="115"/>
      <c r="CC1783" s="115"/>
      <c r="CD1783" s="115"/>
      <c r="CE1783" s="115"/>
      <c r="CF1783" s="115"/>
      <c r="CG1783" s="115"/>
      <c r="CH1783" s="115"/>
      <c r="CI1783" s="115"/>
      <c r="CJ1783" s="115"/>
      <c r="CK1783" s="115"/>
      <c r="CL1783" s="115"/>
      <c r="CM1783" s="115"/>
      <c r="CN1783" s="115"/>
      <c r="CO1783" s="115"/>
      <c r="CP1783" s="115"/>
      <c r="CQ1783" s="115"/>
      <c r="CR1783" s="115"/>
      <c r="CS1783" s="115"/>
      <c r="CT1783" s="115"/>
      <c r="CU1783" s="115"/>
      <c r="CV1783" s="115"/>
      <c r="CW1783" s="115"/>
      <c r="CX1783" s="115"/>
      <c r="CY1783" s="115"/>
      <c r="CZ1783" s="115"/>
      <c r="DA1783" s="115"/>
      <c r="DB1783" s="115"/>
      <c r="DC1783" s="115"/>
      <c r="DD1783" s="115"/>
      <c r="DE1783" s="115"/>
      <c r="DF1783" s="115"/>
      <c r="DG1783" s="115"/>
    </row>
    <row r="1784" spans="55:111" hidden="1">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c r="BY1784" s="115"/>
      <c r="BZ1784" s="115"/>
      <c r="CA1784" s="115"/>
      <c r="CB1784" s="115"/>
      <c r="CC1784" s="115"/>
      <c r="CD1784" s="115"/>
      <c r="CE1784" s="115"/>
      <c r="CF1784" s="115"/>
      <c r="CG1784" s="115"/>
      <c r="CH1784" s="115"/>
      <c r="CI1784" s="115"/>
      <c r="CJ1784" s="115"/>
      <c r="CK1784" s="115"/>
      <c r="CL1784" s="115"/>
      <c r="CM1784" s="115"/>
      <c r="CN1784" s="115"/>
      <c r="CO1784" s="115"/>
      <c r="CP1784" s="115"/>
      <c r="CQ1784" s="115"/>
      <c r="CR1784" s="115"/>
      <c r="CS1784" s="115"/>
      <c r="CT1784" s="115"/>
      <c r="CU1784" s="115"/>
      <c r="CV1784" s="115"/>
      <c r="CW1784" s="115"/>
      <c r="CX1784" s="115"/>
      <c r="CY1784" s="115"/>
      <c r="CZ1784" s="115"/>
      <c r="DA1784" s="115"/>
      <c r="DB1784" s="115"/>
      <c r="DC1784" s="115"/>
      <c r="DD1784" s="115"/>
      <c r="DE1784" s="115"/>
      <c r="DF1784" s="115"/>
      <c r="DG1784" s="115"/>
    </row>
    <row r="1785" spans="55:111" hidden="1">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c r="BY1785" s="115"/>
      <c r="BZ1785" s="115"/>
      <c r="CA1785" s="115"/>
      <c r="CB1785" s="115"/>
      <c r="CC1785" s="115"/>
      <c r="CD1785" s="115"/>
      <c r="CE1785" s="115"/>
      <c r="CF1785" s="115"/>
      <c r="CG1785" s="115"/>
      <c r="CH1785" s="115"/>
      <c r="CI1785" s="115"/>
      <c r="CJ1785" s="115"/>
      <c r="CK1785" s="115"/>
      <c r="CL1785" s="115"/>
      <c r="CM1785" s="115"/>
      <c r="CN1785" s="115"/>
      <c r="CO1785" s="115"/>
      <c r="CP1785" s="115"/>
      <c r="CQ1785" s="115"/>
      <c r="CR1785" s="115"/>
      <c r="CS1785" s="115"/>
      <c r="CT1785" s="115"/>
      <c r="CU1785" s="115"/>
      <c r="CV1785" s="115"/>
      <c r="CW1785" s="115"/>
      <c r="CX1785" s="115"/>
      <c r="CY1785" s="115"/>
      <c r="CZ1785" s="115"/>
      <c r="DA1785" s="115"/>
      <c r="DB1785" s="115"/>
      <c r="DC1785" s="115"/>
      <c r="DD1785" s="115"/>
      <c r="DE1785" s="115"/>
      <c r="DF1785" s="115"/>
      <c r="DG1785" s="115"/>
    </row>
    <row r="1786" spans="55:111" hidden="1">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c r="BY1786" s="115"/>
      <c r="BZ1786" s="115"/>
      <c r="CA1786" s="115"/>
      <c r="CB1786" s="115"/>
      <c r="CC1786" s="115"/>
      <c r="CD1786" s="115"/>
      <c r="CE1786" s="115"/>
      <c r="CF1786" s="115"/>
      <c r="CG1786" s="115"/>
      <c r="CH1786" s="115"/>
      <c r="CI1786" s="115"/>
      <c r="CJ1786" s="115"/>
      <c r="CK1786" s="115"/>
      <c r="CL1786" s="115"/>
      <c r="CM1786" s="115"/>
      <c r="CN1786" s="115"/>
      <c r="CO1786" s="115"/>
      <c r="CP1786" s="115"/>
      <c r="CQ1786" s="115"/>
      <c r="CR1786" s="115"/>
      <c r="CS1786" s="115"/>
      <c r="CT1786" s="115"/>
      <c r="CU1786" s="115"/>
      <c r="CV1786" s="115"/>
      <c r="CW1786" s="115"/>
      <c r="CX1786" s="115"/>
      <c r="CY1786" s="115"/>
      <c r="CZ1786" s="115"/>
      <c r="DA1786" s="115"/>
      <c r="DB1786" s="115"/>
      <c r="DC1786" s="115"/>
      <c r="DD1786" s="115"/>
      <c r="DE1786" s="115"/>
      <c r="DF1786" s="115"/>
      <c r="DG1786" s="115"/>
    </row>
    <row r="1787" spans="55:111" hidden="1">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c r="BY1787" s="115"/>
      <c r="BZ1787" s="115"/>
      <c r="CA1787" s="115"/>
      <c r="CB1787" s="115"/>
      <c r="CC1787" s="115"/>
      <c r="CD1787" s="115"/>
      <c r="CE1787" s="115"/>
      <c r="CF1787" s="115"/>
      <c r="CG1787" s="115"/>
      <c r="CH1787" s="115"/>
      <c r="CI1787" s="115"/>
      <c r="CJ1787" s="115"/>
      <c r="CK1787" s="115"/>
      <c r="CL1787" s="115"/>
      <c r="CM1787" s="115"/>
      <c r="CN1787" s="115"/>
      <c r="CO1787" s="115"/>
      <c r="CP1787" s="115"/>
      <c r="CQ1787" s="115"/>
      <c r="CR1787" s="115"/>
      <c r="CS1787" s="115"/>
      <c r="CT1787" s="115"/>
      <c r="CU1787" s="115"/>
      <c r="CV1787" s="115"/>
      <c r="CW1787" s="115"/>
      <c r="CX1787" s="115"/>
      <c r="CY1787" s="115"/>
      <c r="CZ1787" s="115"/>
      <c r="DA1787" s="115"/>
      <c r="DB1787" s="115"/>
      <c r="DC1787" s="115"/>
      <c r="DD1787" s="115"/>
      <c r="DE1787" s="115"/>
      <c r="DF1787" s="115"/>
      <c r="DG1787" s="115"/>
    </row>
    <row r="1788" spans="55:111" hidden="1">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c r="BY1788" s="115"/>
      <c r="BZ1788" s="115"/>
      <c r="CA1788" s="115"/>
      <c r="CB1788" s="115"/>
      <c r="CC1788" s="115"/>
      <c r="CD1788" s="115"/>
      <c r="CE1788" s="115"/>
      <c r="CF1788" s="115"/>
      <c r="CG1788" s="115"/>
      <c r="CH1788" s="115"/>
      <c r="CI1788" s="115"/>
      <c r="CJ1788" s="115"/>
      <c r="CK1788" s="115"/>
      <c r="CL1788" s="115"/>
      <c r="CM1788" s="115"/>
      <c r="CN1788" s="115"/>
      <c r="CO1788" s="115"/>
      <c r="CP1788" s="115"/>
      <c r="CQ1788" s="115"/>
      <c r="CR1788" s="115"/>
      <c r="CS1788" s="115"/>
      <c r="CT1788" s="115"/>
      <c r="CU1788" s="115"/>
      <c r="CV1788" s="115"/>
      <c r="CW1788" s="115"/>
      <c r="CX1788" s="115"/>
      <c r="CY1788" s="115"/>
      <c r="CZ1788" s="115"/>
      <c r="DA1788" s="115"/>
      <c r="DB1788" s="115"/>
      <c r="DC1788" s="115"/>
      <c r="DD1788" s="115"/>
      <c r="DE1788" s="115"/>
      <c r="DF1788" s="115"/>
      <c r="DG1788" s="115"/>
    </row>
    <row r="1789" spans="55:111" hidden="1">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c r="BY1789" s="115"/>
      <c r="BZ1789" s="115"/>
      <c r="CA1789" s="115"/>
      <c r="CB1789" s="115"/>
      <c r="CC1789" s="115"/>
      <c r="CD1789" s="115"/>
      <c r="CE1789" s="115"/>
      <c r="CF1789" s="115"/>
      <c r="CG1789" s="115"/>
      <c r="CH1789" s="115"/>
      <c r="CI1789" s="115"/>
      <c r="CJ1789" s="115"/>
      <c r="CK1789" s="115"/>
      <c r="CL1789" s="115"/>
      <c r="CM1789" s="115"/>
      <c r="CN1789" s="115"/>
      <c r="CO1789" s="115"/>
      <c r="CP1789" s="115"/>
      <c r="CQ1789" s="115"/>
      <c r="CR1789" s="115"/>
      <c r="CS1789" s="115"/>
      <c r="CT1789" s="115"/>
      <c r="CU1789" s="115"/>
      <c r="CV1789" s="115"/>
      <c r="CW1789" s="115"/>
      <c r="CX1789" s="115"/>
      <c r="CY1789" s="115"/>
      <c r="CZ1789" s="115"/>
      <c r="DA1789" s="115"/>
      <c r="DB1789" s="115"/>
      <c r="DC1789" s="115"/>
      <c r="DD1789" s="115"/>
      <c r="DE1789" s="115"/>
      <c r="DF1789" s="115"/>
      <c r="DG1789" s="115"/>
    </row>
    <row r="1790" spans="55:111" hidden="1">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c r="BY1790" s="115"/>
      <c r="BZ1790" s="115"/>
      <c r="CA1790" s="115"/>
      <c r="CB1790" s="115"/>
      <c r="CC1790" s="115"/>
      <c r="CD1790" s="115"/>
      <c r="CE1790" s="115"/>
      <c r="CF1790" s="115"/>
      <c r="CG1790" s="115"/>
      <c r="CH1790" s="115"/>
      <c r="CI1790" s="115"/>
      <c r="CJ1790" s="115"/>
      <c r="CK1790" s="115"/>
      <c r="CL1790" s="115"/>
      <c r="CM1790" s="115"/>
      <c r="CN1790" s="115"/>
      <c r="CO1790" s="115"/>
      <c r="CP1790" s="115"/>
      <c r="CQ1790" s="115"/>
      <c r="CR1790" s="115"/>
      <c r="CS1790" s="115"/>
      <c r="CT1790" s="115"/>
      <c r="CU1790" s="115"/>
      <c r="CV1790" s="115"/>
      <c r="CW1790" s="115"/>
      <c r="CX1790" s="115"/>
      <c r="CY1790" s="115"/>
      <c r="CZ1790" s="115"/>
      <c r="DA1790" s="115"/>
      <c r="DB1790" s="115"/>
      <c r="DC1790" s="115"/>
      <c r="DD1790" s="115"/>
      <c r="DE1790" s="115"/>
      <c r="DF1790" s="115"/>
      <c r="DG1790" s="115"/>
    </row>
    <row r="1791" spans="55:111" hidden="1">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c r="BY1791" s="115"/>
      <c r="BZ1791" s="115"/>
      <c r="CA1791" s="115"/>
      <c r="CB1791" s="115"/>
      <c r="CC1791" s="115"/>
      <c r="CD1791" s="115"/>
      <c r="CE1791" s="115"/>
      <c r="CF1791" s="115"/>
      <c r="CG1791" s="115"/>
      <c r="CH1791" s="115"/>
      <c r="CI1791" s="115"/>
      <c r="CJ1791" s="115"/>
      <c r="CK1791" s="115"/>
      <c r="CL1791" s="115"/>
      <c r="CM1791" s="115"/>
      <c r="CN1791" s="115"/>
      <c r="CO1791" s="115"/>
      <c r="CP1791" s="115"/>
      <c r="CQ1791" s="115"/>
      <c r="CR1791" s="115"/>
      <c r="CS1791" s="115"/>
      <c r="CT1791" s="115"/>
      <c r="CU1791" s="115"/>
      <c r="CV1791" s="115"/>
      <c r="CW1791" s="115"/>
      <c r="CX1791" s="115"/>
      <c r="CY1791" s="115"/>
      <c r="CZ1791" s="115"/>
      <c r="DA1791" s="115"/>
      <c r="DB1791" s="115"/>
      <c r="DC1791" s="115"/>
      <c r="DD1791" s="115"/>
      <c r="DE1791" s="115"/>
      <c r="DF1791" s="115"/>
      <c r="DG1791" s="115"/>
    </row>
    <row r="1792" spans="55:111" hidden="1">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c r="BY1792" s="115"/>
      <c r="BZ1792" s="115"/>
      <c r="CA1792" s="115"/>
      <c r="CB1792" s="115"/>
      <c r="CC1792" s="115"/>
      <c r="CD1792" s="115"/>
      <c r="CE1792" s="115"/>
      <c r="CF1792" s="115"/>
      <c r="CG1792" s="115"/>
      <c r="CH1792" s="115"/>
      <c r="CI1792" s="115"/>
      <c r="CJ1792" s="115"/>
      <c r="CK1792" s="115"/>
      <c r="CL1792" s="115"/>
      <c r="CM1792" s="115"/>
      <c r="CN1792" s="115"/>
      <c r="CO1792" s="115"/>
      <c r="CP1792" s="115"/>
      <c r="CQ1792" s="115"/>
      <c r="CR1792" s="115"/>
      <c r="CS1792" s="115"/>
      <c r="CT1792" s="115"/>
      <c r="CU1792" s="115"/>
      <c r="CV1792" s="115"/>
      <c r="CW1792" s="115"/>
      <c r="CX1792" s="115"/>
      <c r="CY1792" s="115"/>
      <c r="CZ1792" s="115"/>
      <c r="DA1792" s="115"/>
      <c r="DB1792" s="115"/>
      <c r="DC1792" s="115"/>
      <c r="DD1792" s="115"/>
      <c r="DE1792" s="115"/>
      <c r="DF1792" s="115"/>
      <c r="DG1792" s="115"/>
    </row>
    <row r="1793" spans="55:111" hidden="1">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c r="BY1793" s="115"/>
      <c r="BZ1793" s="115"/>
      <c r="CA1793" s="115"/>
      <c r="CB1793" s="115"/>
      <c r="CC1793" s="115"/>
      <c r="CD1793" s="115"/>
      <c r="CE1793" s="115"/>
      <c r="CF1793" s="115"/>
      <c r="CG1793" s="115"/>
      <c r="CH1793" s="115"/>
      <c r="CI1793" s="115"/>
      <c r="CJ1793" s="115"/>
      <c r="CK1793" s="115"/>
      <c r="CL1793" s="115"/>
      <c r="CM1793" s="115"/>
      <c r="CN1793" s="115"/>
      <c r="CO1793" s="115"/>
      <c r="CP1793" s="115"/>
      <c r="CQ1793" s="115"/>
      <c r="CR1793" s="115"/>
      <c r="CS1793" s="115"/>
      <c r="CT1793" s="115"/>
      <c r="CU1793" s="115"/>
      <c r="CV1793" s="115"/>
      <c r="CW1793" s="115"/>
      <c r="CX1793" s="115"/>
      <c r="CY1793" s="115"/>
      <c r="CZ1793" s="115"/>
      <c r="DA1793" s="115"/>
      <c r="DB1793" s="115"/>
      <c r="DC1793" s="115"/>
      <c r="DD1793" s="115"/>
      <c r="DE1793" s="115"/>
      <c r="DF1793" s="115"/>
      <c r="DG1793" s="115"/>
    </row>
    <row r="1794" spans="55:111" hidden="1">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c r="BY1794" s="115"/>
      <c r="BZ1794" s="115"/>
      <c r="CA1794" s="115"/>
      <c r="CB1794" s="115"/>
      <c r="CC1794" s="115"/>
      <c r="CD1794" s="115"/>
      <c r="CE1794" s="115"/>
      <c r="CF1794" s="115"/>
      <c r="CG1794" s="115"/>
      <c r="CH1794" s="115"/>
      <c r="CI1794" s="115"/>
      <c r="CJ1794" s="115"/>
      <c r="CK1794" s="115"/>
      <c r="CL1794" s="115"/>
      <c r="CM1794" s="115"/>
      <c r="CN1794" s="115"/>
      <c r="CO1794" s="115"/>
      <c r="CP1794" s="115"/>
      <c r="CQ1794" s="115"/>
      <c r="CR1794" s="115"/>
      <c r="CS1794" s="115"/>
      <c r="CT1794" s="115"/>
      <c r="CU1794" s="115"/>
      <c r="CV1794" s="115"/>
      <c r="CW1794" s="115"/>
      <c r="CX1794" s="115"/>
      <c r="CY1794" s="115"/>
      <c r="CZ1794" s="115"/>
      <c r="DA1794" s="115"/>
      <c r="DB1794" s="115"/>
      <c r="DC1794" s="115"/>
      <c r="DD1794" s="115"/>
      <c r="DE1794" s="115"/>
      <c r="DF1794" s="115"/>
      <c r="DG1794" s="115"/>
    </row>
    <row r="1795" spans="55:111" hidden="1">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c r="BY1795" s="115"/>
      <c r="BZ1795" s="115"/>
      <c r="CA1795" s="115"/>
      <c r="CB1795" s="115"/>
      <c r="CC1795" s="115"/>
      <c r="CD1795" s="115"/>
      <c r="CE1795" s="115"/>
      <c r="CF1795" s="115"/>
      <c r="CG1795" s="115"/>
      <c r="CH1795" s="115"/>
      <c r="CI1795" s="115"/>
      <c r="CJ1795" s="115"/>
      <c r="CK1795" s="115"/>
      <c r="CL1795" s="115"/>
      <c r="CM1795" s="115"/>
      <c r="CN1795" s="115"/>
      <c r="CO1795" s="115"/>
      <c r="CP1795" s="115"/>
      <c r="CQ1795" s="115"/>
      <c r="CR1795" s="115"/>
      <c r="CS1795" s="115"/>
      <c r="CT1795" s="115"/>
      <c r="CU1795" s="115"/>
      <c r="CV1795" s="115"/>
      <c r="CW1795" s="115"/>
      <c r="CX1795" s="115"/>
      <c r="CY1795" s="115"/>
      <c r="CZ1795" s="115"/>
      <c r="DA1795" s="115"/>
      <c r="DB1795" s="115"/>
      <c r="DC1795" s="115"/>
      <c r="DD1795" s="115"/>
      <c r="DE1795" s="115"/>
      <c r="DF1795" s="115"/>
      <c r="DG1795" s="115"/>
    </row>
    <row r="1796" spans="55:111" hidden="1">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c r="BY1796" s="115"/>
      <c r="BZ1796" s="115"/>
      <c r="CA1796" s="115"/>
      <c r="CB1796" s="115"/>
      <c r="CC1796" s="115"/>
      <c r="CD1796" s="115"/>
      <c r="CE1796" s="115"/>
      <c r="CF1796" s="115"/>
      <c r="CG1796" s="115"/>
      <c r="CH1796" s="115"/>
      <c r="CI1796" s="115"/>
      <c r="CJ1796" s="115"/>
      <c r="CK1796" s="115"/>
      <c r="CL1796" s="115"/>
      <c r="CM1796" s="115"/>
      <c r="CN1796" s="115"/>
      <c r="CO1796" s="115"/>
      <c r="CP1796" s="115"/>
      <c r="CQ1796" s="115"/>
      <c r="CR1796" s="115"/>
      <c r="CS1796" s="115"/>
      <c r="CT1796" s="115"/>
      <c r="CU1796" s="115"/>
      <c r="CV1796" s="115"/>
      <c r="CW1796" s="115"/>
      <c r="CX1796" s="115"/>
      <c r="CY1796" s="115"/>
      <c r="CZ1796" s="115"/>
      <c r="DA1796" s="115"/>
      <c r="DB1796" s="115"/>
      <c r="DC1796" s="115"/>
      <c r="DD1796" s="115"/>
      <c r="DE1796" s="115"/>
      <c r="DF1796" s="115"/>
      <c r="DG1796" s="115"/>
    </row>
    <row r="1797" spans="55:111" hidden="1">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c r="BY1797" s="115"/>
      <c r="BZ1797" s="115"/>
      <c r="CA1797" s="115"/>
      <c r="CB1797" s="115"/>
      <c r="CC1797" s="115"/>
      <c r="CD1797" s="115"/>
      <c r="CE1797" s="115"/>
      <c r="CF1797" s="115"/>
      <c r="CG1797" s="115"/>
      <c r="CH1797" s="115"/>
      <c r="CI1797" s="115"/>
      <c r="CJ1797" s="115"/>
      <c r="CK1797" s="115"/>
      <c r="CL1797" s="115"/>
      <c r="CM1797" s="115"/>
      <c r="CN1797" s="115"/>
      <c r="CO1797" s="115"/>
      <c r="CP1797" s="115"/>
      <c r="CQ1797" s="115"/>
      <c r="CR1797" s="115"/>
      <c r="CS1797" s="115"/>
      <c r="CT1797" s="115"/>
      <c r="CU1797" s="115"/>
      <c r="CV1797" s="115"/>
      <c r="CW1797" s="115"/>
      <c r="CX1797" s="115"/>
      <c r="CY1797" s="115"/>
      <c r="CZ1797" s="115"/>
      <c r="DA1797" s="115"/>
      <c r="DB1797" s="115"/>
      <c r="DC1797" s="115"/>
      <c r="DD1797" s="115"/>
      <c r="DE1797" s="115"/>
      <c r="DF1797" s="115"/>
      <c r="DG1797" s="115"/>
    </row>
    <row r="1798" spans="55:111" hidden="1">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c r="BY1798" s="115"/>
      <c r="BZ1798" s="115"/>
      <c r="CA1798" s="115"/>
      <c r="CB1798" s="115"/>
      <c r="CC1798" s="115"/>
      <c r="CD1798" s="115"/>
      <c r="CE1798" s="115"/>
      <c r="CF1798" s="115"/>
      <c r="CG1798" s="115"/>
      <c r="CH1798" s="115"/>
      <c r="CI1798" s="115"/>
      <c r="CJ1798" s="115"/>
      <c r="CK1798" s="115"/>
      <c r="CL1798" s="115"/>
      <c r="CM1798" s="115"/>
      <c r="CN1798" s="115"/>
      <c r="CO1798" s="115"/>
      <c r="CP1798" s="115"/>
      <c r="CQ1798" s="115"/>
      <c r="CR1798" s="115"/>
      <c r="CS1798" s="115"/>
      <c r="CT1798" s="115"/>
      <c r="CU1798" s="115"/>
      <c r="CV1798" s="115"/>
      <c r="CW1798" s="115"/>
      <c r="CX1798" s="115"/>
      <c r="CY1798" s="115"/>
      <c r="CZ1798" s="115"/>
      <c r="DA1798" s="115"/>
      <c r="DB1798" s="115"/>
      <c r="DC1798" s="115"/>
      <c r="DD1798" s="115"/>
      <c r="DE1798" s="115"/>
      <c r="DF1798" s="115"/>
      <c r="DG1798" s="115"/>
    </row>
    <row r="1799" spans="55:111" hidden="1">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c r="BY1799" s="115"/>
      <c r="BZ1799" s="115"/>
      <c r="CA1799" s="115"/>
      <c r="CB1799" s="115"/>
      <c r="CC1799" s="115"/>
      <c r="CD1799" s="115"/>
      <c r="CE1799" s="115"/>
      <c r="CF1799" s="115"/>
      <c r="CG1799" s="115"/>
      <c r="CH1799" s="115"/>
      <c r="CI1799" s="115"/>
      <c r="CJ1799" s="115"/>
      <c r="CK1799" s="115"/>
      <c r="CL1799" s="115"/>
      <c r="CM1799" s="115"/>
      <c r="CN1799" s="115"/>
      <c r="CO1799" s="115"/>
      <c r="CP1799" s="115"/>
      <c r="CQ1799" s="115"/>
      <c r="CR1799" s="115"/>
      <c r="CS1799" s="115"/>
      <c r="CT1799" s="115"/>
      <c r="CU1799" s="115"/>
      <c r="CV1799" s="115"/>
      <c r="CW1799" s="115"/>
      <c r="CX1799" s="115"/>
      <c r="CY1799" s="115"/>
      <c r="CZ1799" s="115"/>
      <c r="DA1799" s="115"/>
      <c r="DB1799" s="115"/>
      <c r="DC1799" s="115"/>
      <c r="DD1799" s="115"/>
      <c r="DE1799" s="115"/>
      <c r="DF1799" s="115"/>
      <c r="DG1799" s="115"/>
    </row>
    <row r="1800" spans="55:111" hidden="1">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c r="BY1800" s="115"/>
      <c r="BZ1800" s="115"/>
      <c r="CA1800" s="115"/>
      <c r="CB1800" s="115"/>
      <c r="CC1800" s="115"/>
      <c r="CD1800" s="115"/>
      <c r="CE1800" s="115"/>
      <c r="CF1800" s="115"/>
      <c r="CG1800" s="115"/>
      <c r="CH1800" s="115"/>
      <c r="CI1800" s="115"/>
      <c r="CJ1800" s="115"/>
      <c r="CK1800" s="115"/>
      <c r="CL1800" s="115"/>
      <c r="CM1800" s="115"/>
      <c r="CN1800" s="115"/>
      <c r="CO1800" s="115"/>
      <c r="CP1800" s="115"/>
      <c r="CQ1800" s="115"/>
      <c r="CR1800" s="115"/>
      <c r="CS1800" s="115"/>
      <c r="CT1800" s="115"/>
      <c r="CU1800" s="115"/>
      <c r="CV1800" s="115"/>
      <c r="CW1800" s="115"/>
      <c r="CX1800" s="115"/>
      <c r="CY1800" s="115"/>
      <c r="CZ1800" s="115"/>
      <c r="DA1800" s="115"/>
      <c r="DB1800" s="115"/>
      <c r="DC1800" s="115"/>
      <c r="DD1800" s="115"/>
      <c r="DE1800" s="115"/>
      <c r="DF1800" s="115"/>
      <c r="DG1800" s="115"/>
    </row>
    <row r="1801" spans="55:111" hidden="1">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c r="BY1801" s="115"/>
      <c r="BZ1801" s="115"/>
      <c r="CA1801" s="115"/>
      <c r="CB1801" s="115"/>
      <c r="CC1801" s="115"/>
      <c r="CD1801" s="115"/>
      <c r="CE1801" s="115"/>
      <c r="CF1801" s="115"/>
      <c r="CG1801" s="115"/>
      <c r="CH1801" s="115"/>
      <c r="CI1801" s="115"/>
      <c r="CJ1801" s="115"/>
      <c r="CK1801" s="115"/>
      <c r="CL1801" s="115"/>
      <c r="CM1801" s="115"/>
      <c r="CN1801" s="115"/>
      <c r="CO1801" s="115"/>
      <c r="CP1801" s="115"/>
      <c r="CQ1801" s="115"/>
      <c r="CR1801" s="115"/>
      <c r="CS1801" s="115"/>
      <c r="CT1801" s="115"/>
      <c r="CU1801" s="115"/>
      <c r="CV1801" s="115"/>
      <c r="CW1801" s="115"/>
      <c r="CX1801" s="115"/>
      <c r="CY1801" s="115"/>
      <c r="CZ1801" s="115"/>
      <c r="DA1801" s="115"/>
      <c r="DB1801" s="115"/>
      <c r="DC1801" s="115"/>
      <c r="DD1801" s="115"/>
      <c r="DE1801" s="115"/>
      <c r="DF1801" s="115"/>
      <c r="DG1801" s="115"/>
    </row>
    <row r="1802" spans="55:111" hidden="1">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c r="BY1802" s="115"/>
      <c r="BZ1802" s="115"/>
      <c r="CA1802" s="115"/>
      <c r="CB1802" s="115"/>
      <c r="CC1802" s="115"/>
      <c r="CD1802" s="115"/>
      <c r="CE1802" s="115"/>
      <c r="CF1802" s="115"/>
      <c r="CG1802" s="115"/>
      <c r="CH1802" s="115"/>
      <c r="CI1802" s="115"/>
      <c r="CJ1802" s="115"/>
      <c r="CK1802" s="115"/>
      <c r="CL1802" s="115"/>
      <c r="CM1802" s="115"/>
      <c r="CN1802" s="115"/>
      <c r="CO1802" s="115"/>
      <c r="CP1802" s="115"/>
      <c r="CQ1802" s="115"/>
      <c r="CR1802" s="115"/>
      <c r="CS1802" s="115"/>
      <c r="CT1802" s="115"/>
      <c r="CU1802" s="115"/>
      <c r="CV1802" s="115"/>
      <c r="CW1802" s="115"/>
      <c r="CX1802" s="115"/>
      <c r="CY1802" s="115"/>
      <c r="CZ1802" s="115"/>
      <c r="DA1802" s="115"/>
      <c r="DB1802" s="115"/>
      <c r="DC1802" s="115"/>
      <c r="DD1802" s="115"/>
      <c r="DE1802" s="115"/>
      <c r="DF1802" s="115"/>
      <c r="DG1802" s="115"/>
    </row>
    <row r="1803" spans="55:111" hidden="1">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c r="BY1803" s="115"/>
      <c r="BZ1803" s="115"/>
      <c r="CA1803" s="115"/>
      <c r="CB1803" s="115"/>
      <c r="CC1803" s="115"/>
      <c r="CD1803" s="115"/>
      <c r="CE1803" s="115"/>
      <c r="CF1803" s="115"/>
      <c r="CG1803" s="115"/>
      <c r="CH1803" s="115"/>
      <c r="CI1803" s="115"/>
      <c r="CJ1803" s="115"/>
      <c r="CK1803" s="115"/>
      <c r="CL1803" s="115"/>
      <c r="CM1803" s="115"/>
      <c r="CN1803" s="115"/>
      <c r="CO1803" s="115"/>
      <c r="CP1803" s="115"/>
      <c r="CQ1803" s="115"/>
      <c r="CR1803" s="115"/>
      <c r="CS1803" s="115"/>
      <c r="CT1803" s="115"/>
      <c r="CU1803" s="115"/>
      <c r="CV1803" s="115"/>
      <c r="CW1803" s="115"/>
      <c r="CX1803" s="115"/>
      <c r="CY1803" s="115"/>
      <c r="CZ1803" s="115"/>
      <c r="DA1803" s="115"/>
      <c r="DB1803" s="115"/>
      <c r="DC1803" s="115"/>
      <c r="DD1803" s="115"/>
      <c r="DE1803" s="115"/>
      <c r="DF1803" s="115"/>
      <c r="DG1803" s="115"/>
    </row>
    <row r="1804" spans="55:111" hidden="1">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c r="BY1804" s="115"/>
      <c r="BZ1804" s="115"/>
      <c r="CA1804" s="115"/>
      <c r="CB1804" s="115"/>
      <c r="CC1804" s="115"/>
      <c r="CD1804" s="115"/>
      <c r="CE1804" s="115"/>
      <c r="CF1804" s="115"/>
      <c r="CG1804" s="115"/>
      <c r="CH1804" s="115"/>
      <c r="CI1804" s="115"/>
      <c r="CJ1804" s="115"/>
      <c r="CK1804" s="115"/>
      <c r="CL1804" s="115"/>
      <c r="CM1804" s="115"/>
      <c r="CN1804" s="115"/>
      <c r="CO1804" s="115"/>
      <c r="CP1804" s="115"/>
      <c r="CQ1804" s="115"/>
      <c r="CR1804" s="115"/>
      <c r="CS1804" s="115"/>
      <c r="CT1804" s="115"/>
      <c r="CU1804" s="115"/>
      <c r="CV1804" s="115"/>
      <c r="CW1804" s="115"/>
      <c r="CX1804" s="115"/>
      <c r="CY1804" s="115"/>
      <c r="CZ1804" s="115"/>
      <c r="DA1804" s="115"/>
      <c r="DB1804" s="115"/>
      <c r="DC1804" s="115"/>
      <c r="DD1804" s="115"/>
      <c r="DE1804" s="115"/>
      <c r="DF1804" s="115"/>
      <c r="DG1804" s="115"/>
    </row>
    <row r="1805" spans="55:111" hidden="1">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c r="BY1805" s="115"/>
      <c r="BZ1805" s="115"/>
      <c r="CA1805" s="115"/>
      <c r="CB1805" s="115"/>
      <c r="CC1805" s="115"/>
      <c r="CD1805" s="115"/>
      <c r="CE1805" s="115"/>
      <c r="CF1805" s="115"/>
      <c r="CG1805" s="115"/>
      <c r="CH1805" s="115"/>
      <c r="CI1805" s="115"/>
      <c r="CJ1805" s="115"/>
      <c r="CK1805" s="115"/>
      <c r="CL1805" s="115"/>
      <c r="CM1805" s="115"/>
      <c r="CN1805" s="115"/>
      <c r="CO1805" s="115"/>
      <c r="CP1805" s="115"/>
      <c r="CQ1805" s="115"/>
      <c r="CR1805" s="115"/>
      <c r="CS1805" s="115"/>
      <c r="CT1805" s="115"/>
      <c r="CU1805" s="115"/>
      <c r="CV1805" s="115"/>
      <c r="CW1805" s="115"/>
      <c r="CX1805" s="115"/>
      <c r="CY1805" s="115"/>
      <c r="CZ1805" s="115"/>
      <c r="DA1805" s="115"/>
      <c r="DB1805" s="115"/>
      <c r="DC1805" s="115"/>
      <c r="DD1805" s="115"/>
      <c r="DE1805" s="115"/>
      <c r="DF1805" s="115"/>
      <c r="DG1805" s="115"/>
    </row>
    <row r="1806" spans="55:111" hidden="1">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c r="BY1806" s="115"/>
      <c r="BZ1806" s="115"/>
      <c r="CA1806" s="115"/>
      <c r="CB1806" s="115"/>
      <c r="CC1806" s="115"/>
      <c r="CD1806" s="115"/>
      <c r="CE1806" s="115"/>
      <c r="CF1806" s="115"/>
      <c r="CG1806" s="115"/>
      <c r="CH1806" s="115"/>
      <c r="CI1806" s="115"/>
      <c r="CJ1806" s="115"/>
      <c r="CK1806" s="115"/>
      <c r="CL1806" s="115"/>
      <c r="CM1806" s="115"/>
      <c r="CN1806" s="115"/>
      <c r="CO1806" s="115"/>
      <c r="CP1806" s="115"/>
      <c r="CQ1806" s="115"/>
      <c r="CR1806" s="115"/>
      <c r="CS1806" s="115"/>
      <c r="CT1806" s="115"/>
      <c r="CU1806" s="115"/>
      <c r="CV1806" s="115"/>
      <c r="CW1806" s="115"/>
      <c r="CX1806" s="115"/>
      <c r="CY1806" s="115"/>
      <c r="CZ1806" s="115"/>
      <c r="DA1806" s="115"/>
      <c r="DB1806" s="115"/>
      <c r="DC1806" s="115"/>
      <c r="DD1806" s="115"/>
      <c r="DE1806" s="115"/>
      <c r="DF1806" s="115"/>
      <c r="DG1806" s="115"/>
    </row>
    <row r="1807" spans="55:111" hidden="1">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c r="BY1807" s="115"/>
      <c r="BZ1807" s="115"/>
      <c r="CA1807" s="115"/>
      <c r="CB1807" s="115"/>
      <c r="CC1807" s="115"/>
      <c r="CD1807" s="115"/>
      <c r="CE1807" s="115"/>
      <c r="CF1807" s="115"/>
      <c r="CG1807" s="115"/>
      <c r="CH1807" s="115"/>
      <c r="CI1807" s="115"/>
      <c r="CJ1807" s="115"/>
      <c r="CK1807" s="115"/>
      <c r="CL1807" s="115"/>
      <c r="CM1807" s="115"/>
      <c r="CN1807" s="115"/>
      <c r="CO1807" s="115"/>
      <c r="CP1807" s="115"/>
      <c r="CQ1807" s="115"/>
      <c r="CR1807" s="115"/>
      <c r="CS1807" s="115"/>
      <c r="CT1807" s="115"/>
      <c r="CU1807" s="115"/>
      <c r="CV1807" s="115"/>
      <c r="CW1807" s="115"/>
      <c r="CX1807" s="115"/>
      <c r="CY1807" s="115"/>
      <c r="CZ1807" s="115"/>
      <c r="DA1807" s="115"/>
      <c r="DB1807" s="115"/>
      <c r="DC1807" s="115"/>
      <c r="DD1807" s="115"/>
      <c r="DE1807" s="115"/>
      <c r="DF1807" s="115"/>
      <c r="DG1807" s="115"/>
    </row>
    <row r="1808" spans="55:111" hidden="1">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c r="BY1808" s="115"/>
      <c r="BZ1808" s="115"/>
      <c r="CA1808" s="115"/>
      <c r="CB1808" s="115"/>
      <c r="CC1808" s="115"/>
      <c r="CD1808" s="115"/>
      <c r="CE1808" s="115"/>
      <c r="CF1808" s="115"/>
      <c r="CG1808" s="115"/>
      <c r="CH1808" s="115"/>
      <c r="CI1808" s="115"/>
      <c r="CJ1808" s="115"/>
      <c r="CK1808" s="115"/>
      <c r="CL1808" s="115"/>
      <c r="CM1808" s="115"/>
      <c r="CN1808" s="115"/>
      <c r="CO1808" s="115"/>
      <c r="CP1808" s="115"/>
      <c r="CQ1808" s="115"/>
      <c r="CR1808" s="115"/>
      <c r="CS1808" s="115"/>
      <c r="CT1808" s="115"/>
      <c r="CU1808" s="115"/>
      <c r="CV1808" s="115"/>
      <c r="CW1808" s="115"/>
      <c r="CX1808" s="115"/>
      <c r="CY1808" s="115"/>
      <c r="CZ1808" s="115"/>
      <c r="DA1808" s="115"/>
      <c r="DB1808" s="115"/>
      <c r="DC1808" s="115"/>
      <c r="DD1808" s="115"/>
      <c r="DE1808" s="115"/>
      <c r="DF1808" s="115"/>
      <c r="DG1808" s="115"/>
    </row>
    <row r="1809" spans="55:111" hidden="1">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c r="BY1809" s="115"/>
      <c r="BZ1809" s="115"/>
      <c r="CA1809" s="115"/>
      <c r="CB1809" s="115"/>
      <c r="CC1809" s="115"/>
      <c r="CD1809" s="115"/>
      <c r="CE1809" s="115"/>
      <c r="CF1809" s="115"/>
      <c r="CG1809" s="115"/>
      <c r="CH1809" s="115"/>
      <c r="CI1809" s="115"/>
      <c r="CJ1809" s="115"/>
      <c r="CK1809" s="115"/>
      <c r="CL1809" s="115"/>
      <c r="CM1809" s="115"/>
      <c r="CN1809" s="115"/>
      <c r="CO1809" s="115"/>
      <c r="CP1809" s="115"/>
      <c r="CQ1809" s="115"/>
      <c r="CR1809" s="115"/>
      <c r="CS1809" s="115"/>
      <c r="CT1809" s="115"/>
      <c r="CU1809" s="115"/>
      <c r="CV1809" s="115"/>
      <c r="CW1809" s="115"/>
      <c r="CX1809" s="115"/>
      <c r="CY1809" s="115"/>
      <c r="CZ1809" s="115"/>
      <c r="DA1809" s="115"/>
      <c r="DB1809" s="115"/>
      <c r="DC1809" s="115"/>
      <c r="DD1809" s="115"/>
      <c r="DE1809" s="115"/>
      <c r="DF1809" s="115"/>
      <c r="DG1809" s="115"/>
    </row>
    <row r="1810" spans="55:111" hidden="1">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c r="BY1810" s="115"/>
      <c r="BZ1810" s="115"/>
      <c r="CA1810" s="115"/>
      <c r="CB1810" s="115"/>
      <c r="CC1810" s="115"/>
      <c r="CD1810" s="115"/>
      <c r="CE1810" s="115"/>
      <c r="CF1810" s="115"/>
      <c r="CG1810" s="115"/>
      <c r="CH1810" s="115"/>
      <c r="CI1810" s="115"/>
      <c r="CJ1810" s="115"/>
      <c r="CK1810" s="115"/>
      <c r="CL1810" s="115"/>
      <c r="CM1810" s="115"/>
      <c r="CN1810" s="115"/>
      <c r="CO1810" s="115"/>
      <c r="CP1810" s="115"/>
      <c r="CQ1810" s="115"/>
      <c r="CR1810" s="115"/>
      <c r="CS1810" s="115"/>
      <c r="CT1810" s="115"/>
      <c r="CU1810" s="115"/>
      <c r="CV1810" s="115"/>
      <c r="CW1810" s="115"/>
      <c r="CX1810" s="115"/>
      <c r="CY1810" s="115"/>
      <c r="CZ1810" s="115"/>
      <c r="DA1810" s="115"/>
      <c r="DB1810" s="115"/>
      <c r="DC1810" s="115"/>
      <c r="DD1810" s="115"/>
      <c r="DE1810" s="115"/>
      <c r="DF1810" s="115"/>
      <c r="DG1810" s="115"/>
    </row>
    <row r="1811" spans="55:111" hidden="1">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c r="BY1811" s="115"/>
      <c r="BZ1811" s="115"/>
      <c r="CA1811" s="115"/>
      <c r="CB1811" s="115"/>
      <c r="CC1811" s="115"/>
      <c r="CD1811" s="115"/>
      <c r="CE1811" s="115"/>
      <c r="CF1811" s="115"/>
      <c r="CG1811" s="115"/>
      <c r="CH1811" s="115"/>
      <c r="CI1811" s="115"/>
      <c r="CJ1811" s="115"/>
      <c r="CK1811" s="115"/>
      <c r="CL1811" s="115"/>
      <c r="CM1811" s="115"/>
      <c r="CN1811" s="115"/>
      <c r="CO1811" s="115"/>
      <c r="CP1811" s="115"/>
      <c r="CQ1811" s="115"/>
      <c r="CR1811" s="115"/>
      <c r="CS1811" s="115"/>
      <c r="CT1811" s="115"/>
      <c r="CU1811" s="115"/>
      <c r="CV1811" s="115"/>
      <c r="CW1811" s="115"/>
      <c r="CX1811" s="115"/>
      <c r="CY1811" s="115"/>
      <c r="CZ1811" s="115"/>
      <c r="DA1811" s="115"/>
      <c r="DB1811" s="115"/>
      <c r="DC1811" s="115"/>
      <c r="DD1811" s="115"/>
      <c r="DE1811" s="115"/>
      <c r="DF1811" s="115"/>
      <c r="DG1811" s="115"/>
    </row>
    <row r="1812" spans="55:111" hidden="1">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c r="BY1812" s="115"/>
      <c r="BZ1812" s="115"/>
      <c r="CA1812" s="115"/>
      <c r="CB1812" s="115"/>
      <c r="CC1812" s="115"/>
      <c r="CD1812" s="115"/>
      <c r="CE1812" s="115"/>
      <c r="CF1812" s="115"/>
      <c r="CG1812" s="115"/>
      <c r="CH1812" s="115"/>
      <c r="CI1812" s="115"/>
      <c r="CJ1812" s="115"/>
      <c r="CK1812" s="115"/>
      <c r="CL1812" s="115"/>
      <c r="CM1812" s="115"/>
      <c r="CN1812" s="115"/>
      <c r="CO1812" s="115"/>
      <c r="CP1812" s="115"/>
      <c r="CQ1812" s="115"/>
      <c r="CR1812" s="115"/>
      <c r="CS1812" s="115"/>
      <c r="CT1812" s="115"/>
      <c r="CU1812" s="115"/>
      <c r="CV1812" s="115"/>
      <c r="CW1812" s="115"/>
      <c r="CX1812" s="115"/>
      <c r="CY1812" s="115"/>
      <c r="CZ1812" s="115"/>
      <c r="DA1812" s="115"/>
      <c r="DB1812" s="115"/>
      <c r="DC1812" s="115"/>
      <c r="DD1812" s="115"/>
      <c r="DE1812" s="115"/>
      <c r="DF1812" s="115"/>
      <c r="DG1812" s="115"/>
    </row>
    <row r="1813" spans="55:111" hidden="1">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c r="BY1813" s="115"/>
      <c r="BZ1813" s="115"/>
      <c r="CA1813" s="115"/>
      <c r="CB1813" s="115"/>
      <c r="CC1813" s="115"/>
      <c r="CD1813" s="115"/>
      <c r="CE1813" s="115"/>
      <c r="CF1813" s="115"/>
      <c r="CG1813" s="115"/>
      <c r="CH1813" s="115"/>
      <c r="CI1813" s="115"/>
      <c r="CJ1813" s="115"/>
      <c r="CK1813" s="115"/>
      <c r="CL1813" s="115"/>
      <c r="CM1813" s="115"/>
      <c r="CN1813" s="115"/>
      <c r="CO1813" s="115"/>
      <c r="CP1813" s="115"/>
      <c r="CQ1813" s="115"/>
      <c r="CR1813" s="115"/>
      <c r="CS1813" s="115"/>
      <c r="CT1813" s="115"/>
      <c r="CU1813" s="115"/>
      <c r="CV1813" s="115"/>
      <c r="CW1813" s="115"/>
      <c r="CX1813" s="115"/>
      <c r="CY1813" s="115"/>
      <c r="CZ1813" s="115"/>
      <c r="DA1813" s="115"/>
      <c r="DB1813" s="115"/>
      <c r="DC1813" s="115"/>
      <c r="DD1813" s="115"/>
      <c r="DE1813" s="115"/>
      <c r="DF1813" s="115"/>
      <c r="DG1813" s="115"/>
    </row>
    <row r="1814" spans="55:111" hidden="1">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c r="BY1814" s="115"/>
      <c r="BZ1814" s="115"/>
      <c r="CA1814" s="115"/>
      <c r="CB1814" s="115"/>
      <c r="CC1814" s="115"/>
      <c r="CD1814" s="115"/>
      <c r="CE1814" s="115"/>
      <c r="CF1814" s="115"/>
      <c r="CG1814" s="115"/>
      <c r="CH1814" s="115"/>
      <c r="CI1814" s="115"/>
      <c r="CJ1814" s="115"/>
      <c r="CK1814" s="115"/>
      <c r="CL1814" s="115"/>
      <c r="CM1814" s="115"/>
      <c r="CN1814" s="115"/>
      <c r="CO1814" s="115"/>
      <c r="CP1814" s="115"/>
      <c r="CQ1814" s="115"/>
      <c r="CR1814" s="115"/>
      <c r="CS1814" s="115"/>
      <c r="CT1814" s="115"/>
      <c r="CU1814" s="115"/>
      <c r="CV1814" s="115"/>
      <c r="CW1814" s="115"/>
      <c r="CX1814" s="115"/>
      <c r="CY1814" s="115"/>
      <c r="CZ1814" s="115"/>
      <c r="DA1814" s="115"/>
      <c r="DB1814" s="115"/>
      <c r="DC1814" s="115"/>
      <c r="DD1814" s="115"/>
      <c r="DE1814" s="115"/>
      <c r="DF1814" s="115"/>
      <c r="DG1814" s="115"/>
    </row>
    <row r="1815" spans="55:111" hidden="1">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c r="BY1815" s="115"/>
      <c r="BZ1815" s="115"/>
      <c r="CA1815" s="115"/>
      <c r="CB1815" s="115"/>
      <c r="CC1815" s="115"/>
      <c r="CD1815" s="115"/>
      <c r="CE1815" s="115"/>
      <c r="CF1815" s="115"/>
      <c r="CG1815" s="115"/>
      <c r="CH1815" s="115"/>
      <c r="CI1815" s="115"/>
      <c r="CJ1815" s="115"/>
      <c r="CK1815" s="115"/>
      <c r="CL1815" s="115"/>
      <c r="CM1815" s="115"/>
      <c r="CN1815" s="115"/>
      <c r="CO1815" s="115"/>
      <c r="CP1815" s="115"/>
      <c r="CQ1815" s="115"/>
      <c r="CR1815" s="115"/>
      <c r="CS1815" s="115"/>
      <c r="CT1815" s="115"/>
      <c r="CU1815" s="115"/>
      <c r="CV1815" s="115"/>
      <c r="CW1815" s="115"/>
      <c r="CX1815" s="115"/>
      <c r="CY1815" s="115"/>
      <c r="CZ1815" s="115"/>
      <c r="DA1815" s="115"/>
      <c r="DB1815" s="115"/>
      <c r="DC1815" s="115"/>
      <c r="DD1815" s="115"/>
      <c r="DE1815" s="115"/>
      <c r="DF1815" s="115"/>
      <c r="DG1815" s="115"/>
    </row>
    <row r="1816" spans="55:111" hidden="1">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c r="BY1816" s="115"/>
      <c r="BZ1816" s="115"/>
      <c r="CA1816" s="115"/>
      <c r="CB1816" s="115"/>
      <c r="CC1816" s="115"/>
      <c r="CD1816" s="115"/>
      <c r="CE1816" s="115"/>
      <c r="CF1816" s="115"/>
      <c r="CG1816" s="115"/>
      <c r="CH1816" s="115"/>
      <c r="CI1816" s="115"/>
      <c r="CJ1816" s="115"/>
      <c r="CK1816" s="115"/>
      <c r="CL1816" s="115"/>
      <c r="CM1816" s="115"/>
      <c r="CN1816" s="115"/>
      <c r="CO1816" s="115"/>
      <c r="CP1816" s="115"/>
      <c r="CQ1816" s="115"/>
      <c r="CR1816" s="115"/>
      <c r="CS1816" s="115"/>
      <c r="CT1816" s="115"/>
      <c r="CU1816" s="115"/>
      <c r="CV1816" s="115"/>
      <c r="CW1816" s="115"/>
      <c r="CX1816" s="115"/>
      <c r="CY1816" s="115"/>
      <c r="CZ1816" s="115"/>
      <c r="DA1816" s="115"/>
      <c r="DB1816" s="115"/>
      <c r="DC1816" s="115"/>
      <c r="DD1816" s="115"/>
      <c r="DE1816" s="115"/>
      <c r="DF1816" s="115"/>
      <c r="DG1816" s="115"/>
    </row>
    <row r="1817" spans="55:111" hidden="1">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c r="BY1817" s="115"/>
      <c r="BZ1817" s="115"/>
      <c r="CA1817" s="115"/>
      <c r="CB1817" s="115"/>
      <c r="CC1817" s="115"/>
      <c r="CD1817" s="115"/>
      <c r="CE1817" s="115"/>
      <c r="CF1817" s="115"/>
      <c r="CG1817" s="115"/>
      <c r="CH1817" s="115"/>
      <c r="CI1817" s="115"/>
      <c r="CJ1817" s="115"/>
      <c r="CK1817" s="115"/>
      <c r="CL1817" s="115"/>
      <c r="CM1817" s="115"/>
      <c r="CN1817" s="115"/>
      <c r="CO1817" s="115"/>
      <c r="CP1817" s="115"/>
      <c r="CQ1817" s="115"/>
      <c r="CR1817" s="115"/>
      <c r="CS1817" s="115"/>
      <c r="CT1817" s="115"/>
      <c r="CU1817" s="115"/>
      <c r="CV1817" s="115"/>
      <c r="CW1817" s="115"/>
      <c r="CX1817" s="115"/>
      <c r="CY1817" s="115"/>
      <c r="CZ1817" s="115"/>
      <c r="DA1817" s="115"/>
      <c r="DB1817" s="115"/>
      <c r="DC1817" s="115"/>
      <c r="DD1817" s="115"/>
      <c r="DE1817" s="115"/>
      <c r="DF1817" s="115"/>
      <c r="DG1817" s="115"/>
    </row>
    <row r="1818" spans="55:111" hidden="1">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c r="BY1818" s="115"/>
      <c r="BZ1818" s="115"/>
      <c r="CA1818" s="115"/>
      <c r="CB1818" s="115"/>
      <c r="CC1818" s="115"/>
      <c r="CD1818" s="115"/>
      <c r="CE1818" s="115"/>
      <c r="CF1818" s="115"/>
      <c r="CG1818" s="115"/>
      <c r="CH1818" s="115"/>
      <c r="CI1818" s="115"/>
      <c r="CJ1818" s="115"/>
      <c r="CK1818" s="115"/>
      <c r="CL1818" s="115"/>
      <c r="CM1818" s="115"/>
      <c r="CN1818" s="115"/>
      <c r="CO1818" s="115"/>
      <c r="CP1818" s="115"/>
      <c r="CQ1818" s="115"/>
      <c r="CR1818" s="115"/>
      <c r="CS1818" s="115"/>
      <c r="CT1818" s="115"/>
      <c r="CU1818" s="115"/>
      <c r="CV1818" s="115"/>
      <c r="CW1818" s="115"/>
      <c r="CX1818" s="115"/>
      <c r="CY1818" s="115"/>
      <c r="CZ1818" s="115"/>
      <c r="DA1818" s="115"/>
      <c r="DB1818" s="115"/>
      <c r="DC1818" s="115"/>
      <c r="DD1818" s="115"/>
      <c r="DE1818" s="115"/>
      <c r="DF1818" s="115"/>
      <c r="DG1818" s="115"/>
    </row>
    <row r="1819" spans="55:111" hidden="1">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c r="BY1819" s="115"/>
      <c r="BZ1819" s="115"/>
      <c r="CA1819" s="115"/>
      <c r="CB1819" s="115"/>
      <c r="CC1819" s="115"/>
      <c r="CD1819" s="115"/>
      <c r="CE1819" s="115"/>
      <c r="CF1819" s="115"/>
      <c r="CG1819" s="115"/>
      <c r="CH1819" s="115"/>
      <c r="CI1819" s="115"/>
      <c r="CJ1819" s="115"/>
      <c r="CK1819" s="115"/>
      <c r="CL1819" s="115"/>
      <c r="CM1819" s="115"/>
      <c r="CN1819" s="115"/>
      <c r="CO1819" s="115"/>
      <c r="CP1819" s="115"/>
      <c r="CQ1819" s="115"/>
      <c r="CR1819" s="115"/>
      <c r="CS1819" s="115"/>
      <c r="CT1819" s="115"/>
      <c r="CU1819" s="115"/>
      <c r="CV1819" s="115"/>
      <c r="CW1819" s="115"/>
      <c r="CX1819" s="115"/>
      <c r="CY1819" s="115"/>
      <c r="CZ1819" s="115"/>
      <c r="DA1819" s="115"/>
      <c r="DB1819" s="115"/>
      <c r="DC1819" s="115"/>
      <c r="DD1819" s="115"/>
      <c r="DE1819" s="115"/>
      <c r="DF1819" s="115"/>
      <c r="DG1819" s="115"/>
    </row>
    <row r="1820" spans="55:111" hidden="1">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c r="BY1820" s="115"/>
      <c r="BZ1820" s="115"/>
      <c r="CA1820" s="115"/>
      <c r="CB1820" s="115"/>
      <c r="CC1820" s="115"/>
      <c r="CD1820" s="115"/>
      <c r="CE1820" s="115"/>
      <c r="CF1820" s="115"/>
      <c r="CG1820" s="115"/>
      <c r="CH1820" s="115"/>
      <c r="CI1820" s="115"/>
      <c r="CJ1820" s="115"/>
      <c r="CK1820" s="115"/>
      <c r="CL1820" s="115"/>
      <c r="CM1820" s="115"/>
      <c r="CN1820" s="115"/>
      <c r="CO1820" s="115"/>
      <c r="CP1820" s="115"/>
      <c r="CQ1820" s="115"/>
      <c r="CR1820" s="115"/>
      <c r="CS1820" s="115"/>
      <c r="CT1820" s="115"/>
      <c r="CU1820" s="115"/>
      <c r="CV1820" s="115"/>
      <c r="CW1820" s="115"/>
      <c r="CX1820" s="115"/>
      <c r="CY1820" s="115"/>
      <c r="CZ1820" s="115"/>
      <c r="DA1820" s="115"/>
      <c r="DB1820" s="115"/>
      <c r="DC1820" s="115"/>
      <c r="DD1820" s="115"/>
      <c r="DE1820" s="115"/>
      <c r="DF1820" s="115"/>
      <c r="DG1820" s="115"/>
    </row>
    <row r="1821" spans="55:111" hidden="1">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c r="BY1821" s="115"/>
      <c r="BZ1821" s="115"/>
      <c r="CA1821" s="115"/>
      <c r="CB1821" s="115"/>
      <c r="CC1821" s="115"/>
      <c r="CD1821" s="115"/>
      <c r="CE1821" s="115"/>
      <c r="CF1821" s="115"/>
      <c r="CG1821" s="115"/>
      <c r="CH1821" s="115"/>
      <c r="CI1821" s="115"/>
      <c r="CJ1821" s="115"/>
      <c r="CK1821" s="115"/>
      <c r="CL1821" s="115"/>
      <c r="CM1821" s="115"/>
      <c r="CN1821" s="115"/>
      <c r="CO1821" s="115"/>
      <c r="CP1821" s="115"/>
      <c r="CQ1821" s="115"/>
      <c r="CR1821" s="115"/>
      <c r="CS1821" s="115"/>
      <c r="CT1821" s="115"/>
      <c r="CU1821" s="115"/>
      <c r="CV1821" s="115"/>
      <c r="CW1821" s="115"/>
      <c r="CX1821" s="115"/>
      <c r="CY1821" s="115"/>
      <c r="CZ1821" s="115"/>
      <c r="DA1821" s="115"/>
      <c r="DB1821" s="115"/>
      <c r="DC1821" s="115"/>
      <c r="DD1821" s="115"/>
      <c r="DE1821" s="115"/>
      <c r="DF1821" s="115"/>
      <c r="DG1821" s="115"/>
    </row>
    <row r="1822" spans="55:111" hidden="1">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c r="BY1822" s="115"/>
      <c r="BZ1822" s="115"/>
      <c r="CA1822" s="115"/>
      <c r="CB1822" s="115"/>
      <c r="CC1822" s="115"/>
      <c r="CD1822" s="115"/>
      <c r="CE1822" s="115"/>
      <c r="CF1822" s="115"/>
      <c r="CG1822" s="115"/>
      <c r="CH1822" s="115"/>
      <c r="CI1822" s="115"/>
      <c r="CJ1822" s="115"/>
      <c r="CK1822" s="115"/>
      <c r="CL1822" s="115"/>
      <c r="CM1822" s="115"/>
      <c r="CN1822" s="115"/>
      <c r="CO1822" s="115"/>
      <c r="CP1822" s="115"/>
      <c r="CQ1822" s="115"/>
      <c r="CR1822" s="115"/>
      <c r="CS1822" s="115"/>
      <c r="CT1822" s="115"/>
      <c r="CU1822" s="115"/>
      <c r="CV1822" s="115"/>
      <c r="CW1822" s="115"/>
      <c r="CX1822" s="115"/>
      <c r="CY1822" s="115"/>
      <c r="CZ1822" s="115"/>
      <c r="DA1822" s="115"/>
      <c r="DB1822" s="115"/>
      <c r="DC1822" s="115"/>
      <c r="DD1822" s="115"/>
      <c r="DE1822" s="115"/>
      <c r="DF1822" s="115"/>
      <c r="DG1822" s="115"/>
    </row>
    <row r="1823" spans="55:111" hidden="1">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c r="BY1823" s="115"/>
      <c r="BZ1823" s="115"/>
      <c r="CA1823" s="115"/>
      <c r="CB1823" s="115"/>
      <c r="CC1823" s="115"/>
      <c r="CD1823" s="115"/>
      <c r="CE1823" s="115"/>
      <c r="CF1823" s="115"/>
      <c r="CG1823" s="115"/>
      <c r="CH1823" s="115"/>
      <c r="CI1823" s="115"/>
      <c r="CJ1823" s="115"/>
      <c r="CK1823" s="115"/>
      <c r="CL1823" s="115"/>
      <c r="CM1823" s="115"/>
      <c r="CN1823" s="115"/>
      <c r="CO1823" s="115"/>
      <c r="CP1823" s="115"/>
      <c r="CQ1823" s="115"/>
      <c r="CR1823" s="115"/>
      <c r="CS1823" s="115"/>
      <c r="CT1823" s="115"/>
      <c r="CU1823" s="115"/>
      <c r="CV1823" s="115"/>
      <c r="CW1823" s="115"/>
      <c r="CX1823" s="115"/>
      <c r="CY1823" s="115"/>
      <c r="CZ1823" s="115"/>
      <c r="DA1823" s="115"/>
      <c r="DB1823" s="115"/>
      <c r="DC1823" s="115"/>
      <c r="DD1823" s="115"/>
      <c r="DE1823" s="115"/>
      <c r="DF1823" s="115"/>
      <c r="DG1823" s="115"/>
    </row>
    <row r="1824" spans="55:111" hidden="1">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c r="BY1824" s="115"/>
      <c r="BZ1824" s="115"/>
      <c r="CA1824" s="115"/>
      <c r="CB1824" s="115"/>
      <c r="CC1824" s="115"/>
      <c r="CD1824" s="115"/>
      <c r="CE1824" s="115"/>
      <c r="CF1824" s="115"/>
      <c r="CG1824" s="115"/>
      <c r="CH1824" s="115"/>
      <c r="CI1824" s="115"/>
      <c r="CJ1824" s="115"/>
      <c r="CK1824" s="115"/>
      <c r="CL1824" s="115"/>
      <c r="CM1824" s="115"/>
      <c r="CN1824" s="115"/>
      <c r="CO1824" s="115"/>
      <c r="CP1824" s="115"/>
      <c r="CQ1824" s="115"/>
      <c r="CR1824" s="115"/>
      <c r="CS1824" s="115"/>
      <c r="CT1824" s="115"/>
      <c r="CU1824" s="115"/>
      <c r="CV1824" s="115"/>
      <c r="CW1824" s="115"/>
      <c r="CX1824" s="115"/>
      <c r="CY1824" s="115"/>
      <c r="CZ1824" s="115"/>
      <c r="DA1824" s="115"/>
      <c r="DB1824" s="115"/>
      <c r="DC1824" s="115"/>
      <c r="DD1824" s="115"/>
      <c r="DE1824" s="115"/>
      <c r="DF1824" s="115"/>
      <c r="DG1824" s="115"/>
    </row>
    <row r="1825" spans="55:111" hidden="1">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c r="BY1825" s="115"/>
      <c r="BZ1825" s="115"/>
      <c r="CA1825" s="115"/>
      <c r="CB1825" s="115"/>
      <c r="CC1825" s="115"/>
      <c r="CD1825" s="115"/>
      <c r="CE1825" s="115"/>
      <c r="CF1825" s="115"/>
      <c r="CG1825" s="115"/>
      <c r="CH1825" s="115"/>
      <c r="CI1825" s="115"/>
      <c r="CJ1825" s="115"/>
      <c r="CK1825" s="115"/>
      <c r="CL1825" s="115"/>
      <c r="CM1825" s="115"/>
      <c r="CN1825" s="115"/>
      <c r="CO1825" s="115"/>
      <c r="CP1825" s="115"/>
      <c r="CQ1825" s="115"/>
      <c r="CR1825" s="115"/>
      <c r="CS1825" s="115"/>
      <c r="CT1825" s="115"/>
      <c r="CU1825" s="115"/>
      <c r="CV1825" s="115"/>
      <c r="CW1825" s="115"/>
      <c r="CX1825" s="115"/>
      <c r="CY1825" s="115"/>
      <c r="CZ1825" s="115"/>
      <c r="DA1825" s="115"/>
      <c r="DB1825" s="115"/>
      <c r="DC1825" s="115"/>
      <c r="DD1825" s="115"/>
      <c r="DE1825" s="115"/>
      <c r="DF1825" s="115"/>
      <c r="DG1825" s="115"/>
    </row>
    <row r="1826" spans="55:111" hidden="1">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c r="BY1826" s="115"/>
      <c r="BZ1826" s="115"/>
      <c r="CA1826" s="115"/>
      <c r="CB1826" s="115"/>
      <c r="CC1826" s="115"/>
      <c r="CD1826" s="115"/>
      <c r="CE1826" s="115"/>
      <c r="CF1826" s="115"/>
      <c r="CG1826" s="115"/>
      <c r="CH1826" s="115"/>
      <c r="CI1826" s="115"/>
      <c r="CJ1826" s="115"/>
      <c r="CK1826" s="115"/>
      <c r="CL1826" s="115"/>
      <c r="CM1826" s="115"/>
      <c r="CN1826" s="115"/>
      <c r="CO1826" s="115"/>
      <c r="CP1826" s="115"/>
      <c r="CQ1826" s="115"/>
      <c r="CR1826" s="115"/>
      <c r="CS1826" s="115"/>
      <c r="CT1826" s="115"/>
      <c r="CU1826" s="115"/>
      <c r="CV1826" s="115"/>
      <c r="CW1826" s="115"/>
      <c r="CX1826" s="115"/>
      <c r="CY1826" s="115"/>
      <c r="CZ1826" s="115"/>
      <c r="DA1826" s="115"/>
      <c r="DB1826" s="115"/>
      <c r="DC1826" s="115"/>
      <c r="DD1826" s="115"/>
      <c r="DE1826" s="115"/>
      <c r="DF1826" s="115"/>
      <c r="DG1826" s="115"/>
    </row>
    <row r="1827" spans="55:111" hidden="1">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c r="BY1827" s="115"/>
      <c r="BZ1827" s="115"/>
      <c r="CA1827" s="115"/>
      <c r="CB1827" s="115"/>
      <c r="CC1827" s="115"/>
      <c r="CD1827" s="115"/>
      <c r="CE1827" s="115"/>
      <c r="CF1827" s="115"/>
      <c r="CG1827" s="115"/>
      <c r="CH1827" s="115"/>
      <c r="CI1827" s="115"/>
      <c r="CJ1827" s="115"/>
      <c r="CK1827" s="115"/>
      <c r="CL1827" s="115"/>
      <c r="CM1827" s="115"/>
      <c r="CN1827" s="115"/>
      <c r="CO1827" s="115"/>
      <c r="CP1827" s="115"/>
      <c r="CQ1827" s="115"/>
      <c r="CR1827" s="115"/>
      <c r="CS1827" s="115"/>
      <c r="CT1827" s="115"/>
      <c r="CU1827" s="115"/>
      <c r="CV1827" s="115"/>
      <c r="CW1827" s="115"/>
      <c r="CX1827" s="115"/>
      <c r="CY1827" s="115"/>
      <c r="CZ1827" s="115"/>
      <c r="DA1827" s="115"/>
      <c r="DB1827" s="115"/>
      <c r="DC1827" s="115"/>
      <c r="DD1827" s="115"/>
      <c r="DE1827" s="115"/>
      <c r="DF1827" s="115"/>
      <c r="DG1827" s="115"/>
    </row>
    <row r="1828" spans="55:111" hidden="1">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c r="BY1828" s="115"/>
      <c r="BZ1828" s="115"/>
      <c r="CA1828" s="115"/>
      <c r="CB1828" s="115"/>
      <c r="CC1828" s="115"/>
      <c r="CD1828" s="115"/>
      <c r="CE1828" s="115"/>
      <c r="CF1828" s="115"/>
      <c r="CG1828" s="115"/>
      <c r="CH1828" s="115"/>
      <c r="CI1828" s="115"/>
      <c r="CJ1828" s="115"/>
      <c r="CK1828" s="115"/>
      <c r="CL1828" s="115"/>
      <c r="CM1828" s="115"/>
      <c r="CN1828" s="115"/>
      <c r="CO1828" s="115"/>
      <c r="CP1828" s="115"/>
      <c r="CQ1828" s="115"/>
      <c r="CR1828" s="115"/>
      <c r="CS1828" s="115"/>
      <c r="CT1828" s="115"/>
      <c r="CU1828" s="115"/>
      <c r="CV1828" s="115"/>
      <c r="CW1828" s="115"/>
      <c r="CX1828" s="115"/>
      <c r="CY1828" s="115"/>
      <c r="CZ1828" s="115"/>
      <c r="DA1828" s="115"/>
      <c r="DB1828" s="115"/>
      <c r="DC1828" s="115"/>
      <c r="DD1828" s="115"/>
      <c r="DE1828" s="115"/>
      <c r="DF1828" s="115"/>
      <c r="DG1828" s="115"/>
    </row>
    <row r="1829" spans="55:111" hidden="1">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c r="BY1829" s="115"/>
      <c r="BZ1829" s="115"/>
      <c r="CA1829" s="115"/>
      <c r="CB1829" s="115"/>
      <c r="CC1829" s="115"/>
      <c r="CD1829" s="115"/>
      <c r="CE1829" s="115"/>
      <c r="CF1829" s="115"/>
      <c r="CG1829" s="115"/>
      <c r="CH1829" s="115"/>
      <c r="CI1829" s="115"/>
      <c r="CJ1829" s="115"/>
      <c r="CK1829" s="115"/>
      <c r="CL1829" s="115"/>
      <c r="CM1829" s="115"/>
      <c r="CN1829" s="115"/>
      <c r="CO1829" s="115"/>
      <c r="CP1829" s="115"/>
      <c r="CQ1829" s="115"/>
      <c r="CR1829" s="115"/>
      <c r="CS1829" s="115"/>
      <c r="CT1829" s="115"/>
      <c r="CU1829" s="115"/>
      <c r="CV1829" s="115"/>
      <c r="CW1829" s="115"/>
      <c r="CX1829" s="115"/>
      <c r="CY1829" s="115"/>
      <c r="CZ1829" s="115"/>
      <c r="DA1829" s="115"/>
      <c r="DB1829" s="115"/>
      <c r="DC1829" s="115"/>
      <c r="DD1829" s="115"/>
      <c r="DE1829" s="115"/>
      <c r="DF1829" s="115"/>
      <c r="DG1829" s="115"/>
    </row>
    <row r="1830" spans="55:111" hidden="1">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c r="BY1830" s="115"/>
      <c r="BZ1830" s="115"/>
      <c r="CA1830" s="115"/>
      <c r="CB1830" s="115"/>
      <c r="CC1830" s="115"/>
      <c r="CD1830" s="115"/>
      <c r="CE1830" s="115"/>
      <c r="CF1830" s="115"/>
      <c r="CG1830" s="115"/>
      <c r="CH1830" s="115"/>
      <c r="CI1830" s="115"/>
      <c r="CJ1830" s="115"/>
      <c r="CK1830" s="115"/>
      <c r="CL1830" s="115"/>
      <c r="CM1830" s="115"/>
      <c r="CN1830" s="115"/>
      <c r="CO1830" s="115"/>
      <c r="CP1830" s="115"/>
      <c r="CQ1830" s="115"/>
      <c r="CR1830" s="115"/>
      <c r="CS1830" s="115"/>
      <c r="CT1830" s="115"/>
      <c r="CU1830" s="115"/>
      <c r="CV1830" s="115"/>
      <c r="CW1830" s="115"/>
      <c r="CX1830" s="115"/>
      <c r="CY1830" s="115"/>
      <c r="CZ1830" s="115"/>
      <c r="DA1830" s="115"/>
      <c r="DB1830" s="115"/>
      <c r="DC1830" s="115"/>
      <c r="DD1830" s="115"/>
      <c r="DE1830" s="115"/>
      <c r="DF1830" s="115"/>
      <c r="DG1830" s="115"/>
    </row>
    <row r="1831" spans="55:111" hidden="1">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c r="BY1831" s="115"/>
      <c r="BZ1831" s="115"/>
      <c r="CA1831" s="115"/>
      <c r="CB1831" s="115"/>
      <c r="CC1831" s="115"/>
      <c r="CD1831" s="115"/>
      <c r="CE1831" s="115"/>
      <c r="CF1831" s="115"/>
      <c r="CG1831" s="115"/>
      <c r="CH1831" s="115"/>
      <c r="CI1831" s="115"/>
      <c r="CJ1831" s="115"/>
      <c r="CK1831" s="115"/>
      <c r="CL1831" s="115"/>
      <c r="CM1831" s="115"/>
      <c r="CN1831" s="115"/>
      <c r="CO1831" s="115"/>
      <c r="CP1831" s="115"/>
      <c r="CQ1831" s="115"/>
      <c r="CR1831" s="115"/>
      <c r="CS1831" s="115"/>
      <c r="CT1831" s="115"/>
      <c r="CU1831" s="115"/>
      <c r="CV1831" s="115"/>
      <c r="CW1831" s="115"/>
      <c r="CX1831" s="115"/>
      <c r="CY1831" s="115"/>
      <c r="CZ1831" s="115"/>
      <c r="DA1831" s="115"/>
      <c r="DB1831" s="115"/>
      <c r="DC1831" s="115"/>
      <c r="DD1831" s="115"/>
      <c r="DE1831" s="115"/>
      <c r="DF1831" s="115"/>
      <c r="DG1831" s="115"/>
    </row>
    <row r="1832" spans="55:111" hidden="1">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c r="BY1832" s="115"/>
      <c r="BZ1832" s="115"/>
      <c r="CA1832" s="115"/>
      <c r="CB1832" s="115"/>
      <c r="CC1832" s="115"/>
      <c r="CD1832" s="115"/>
      <c r="CE1832" s="115"/>
      <c r="CF1832" s="115"/>
      <c r="CG1832" s="115"/>
      <c r="CH1832" s="115"/>
      <c r="CI1832" s="115"/>
      <c r="CJ1832" s="115"/>
      <c r="CK1832" s="115"/>
      <c r="CL1832" s="115"/>
      <c r="CM1832" s="115"/>
      <c r="CN1832" s="115"/>
      <c r="CO1832" s="115"/>
      <c r="CP1832" s="115"/>
      <c r="CQ1832" s="115"/>
      <c r="CR1832" s="115"/>
      <c r="CS1832" s="115"/>
      <c r="CT1832" s="115"/>
      <c r="CU1832" s="115"/>
      <c r="CV1832" s="115"/>
      <c r="CW1832" s="115"/>
      <c r="CX1832" s="115"/>
      <c r="CY1832" s="115"/>
      <c r="CZ1832" s="115"/>
      <c r="DA1832" s="115"/>
      <c r="DB1832" s="115"/>
      <c r="DC1832" s="115"/>
      <c r="DD1832" s="115"/>
      <c r="DE1832" s="115"/>
      <c r="DF1832" s="115"/>
      <c r="DG1832" s="115"/>
    </row>
    <row r="1833" spans="55:111" hidden="1">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c r="BY1833" s="115"/>
      <c r="BZ1833" s="115"/>
      <c r="CA1833" s="115"/>
      <c r="CB1833" s="115"/>
      <c r="CC1833" s="115"/>
      <c r="CD1833" s="115"/>
      <c r="CE1833" s="115"/>
      <c r="CF1833" s="115"/>
      <c r="CG1833" s="115"/>
      <c r="CH1833" s="115"/>
      <c r="CI1833" s="115"/>
      <c r="CJ1833" s="115"/>
      <c r="CK1833" s="115"/>
      <c r="CL1833" s="115"/>
      <c r="CM1833" s="115"/>
      <c r="CN1833" s="115"/>
      <c r="CO1833" s="115"/>
      <c r="CP1833" s="115"/>
      <c r="CQ1833" s="115"/>
      <c r="CR1833" s="115"/>
      <c r="CS1833" s="115"/>
      <c r="CT1833" s="115"/>
      <c r="CU1833" s="115"/>
      <c r="CV1833" s="115"/>
      <c r="CW1833" s="115"/>
      <c r="CX1833" s="115"/>
      <c r="CY1833" s="115"/>
      <c r="CZ1833" s="115"/>
      <c r="DA1833" s="115"/>
      <c r="DB1833" s="115"/>
      <c r="DC1833" s="115"/>
      <c r="DD1833" s="115"/>
      <c r="DE1833" s="115"/>
      <c r="DF1833" s="115"/>
      <c r="DG1833" s="115"/>
    </row>
    <row r="1834" spans="55:111" hidden="1">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c r="BY1834" s="115"/>
      <c r="BZ1834" s="115"/>
      <c r="CA1834" s="115"/>
      <c r="CB1834" s="115"/>
      <c r="CC1834" s="115"/>
      <c r="CD1834" s="115"/>
      <c r="CE1834" s="115"/>
      <c r="CF1834" s="115"/>
      <c r="CG1834" s="115"/>
      <c r="CH1834" s="115"/>
      <c r="CI1834" s="115"/>
      <c r="CJ1834" s="115"/>
      <c r="CK1834" s="115"/>
      <c r="CL1834" s="115"/>
      <c r="CM1834" s="115"/>
      <c r="CN1834" s="115"/>
      <c r="CO1834" s="115"/>
      <c r="CP1834" s="115"/>
      <c r="CQ1834" s="115"/>
      <c r="CR1834" s="115"/>
      <c r="CS1834" s="115"/>
      <c r="CT1834" s="115"/>
      <c r="CU1834" s="115"/>
      <c r="CV1834" s="115"/>
      <c r="CW1834" s="115"/>
      <c r="CX1834" s="115"/>
      <c r="CY1834" s="115"/>
      <c r="CZ1834" s="115"/>
      <c r="DA1834" s="115"/>
      <c r="DB1834" s="115"/>
      <c r="DC1834" s="115"/>
      <c r="DD1834" s="115"/>
      <c r="DE1834" s="115"/>
      <c r="DF1834" s="115"/>
      <c r="DG1834" s="115"/>
    </row>
    <row r="1835" spans="55:111" hidden="1">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c r="BY1835" s="115"/>
      <c r="BZ1835" s="115"/>
      <c r="CA1835" s="115"/>
      <c r="CB1835" s="115"/>
      <c r="CC1835" s="115"/>
      <c r="CD1835" s="115"/>
      <c r="CE1835" s="115"/>
      <c r="CF1835" s="115"/>
      <c r="CG1835" s="115"/>
      <c r="CH1835" s="115"/>
      <c r="CI1835" s="115"/>
      <c r="CJ1835" s="115"/>
      <c r="CK1835" s="115"/>
      <c r="CL1835" s="115"/>
      <c r="CM1835" s="115"/>
      <c r="CN1835" s="115"/>
      <c r="CO1835" s="115"/>
      <c r="CP1835" s="115"/>
      <c r="CQ1835" s="115"/>
      <c r="CR1835" s="115"/>
      <c r="CS1835" s="115"/>
      <c r="CT1835" s="115"/>
      <c r="CU1835" s="115"/>
      <c r="CV1835" s="115"/>
      <c r="CW1835" s="115"/>
      <c r="CX1835" s="115"/>
      <c r="CY1835" s="115"/>
      <c r="CZ1835" s="115"/>
      <c r="DA1835" s="115"/>
      <c r="DB1835" s="115"/>
      <c r="DC1835" s="115"/>
      <c r="DD1835" s="115"/>
      <c r="DE1835" s="115"/>
      <c r="DF1835" s="115"/>
      <c r="DG1835" s="115"/>
    </row>
    <row r="1836" spans="55:111" hidden="1">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c r="BY1836" s="115"/>
      <c r="BZ1836" s="115"/>
      <c r="CA1836" s="115"/>
      <c r="CB1836" s="115"/>
      <c r="CC1836" s="115"/>
      <c r="CD1836" s="115"/>
      <c r="CE1836" s="115"/>
      <c r="CF1836" s="115"/>
      <c r="CG1836" s="115"/>
      <c r="CH1836" s="115"/>
      <c r="CI1836" s="115"/>
      <c r="CJ1836" s="115"/>
      <c r="CK1836" s="115"/>
      <c r="CL1836" s="115"/>
      <c r="CM1836" s="115"/>
      <c r="CN1836" s="115"/>
      <c r="CO1836" s="115"/>
      <c r="CP1836" s="115"/>
      <c r="CQ1836" s="115"/>
      <c r="CR1836" s="115"/>
      <c r="CS1836" s="115"/>
      <c r="CT1836" s="115"/>
      <c r="CU1836" s="115"/>
      <c r="CV1836" s="115"/>
      <c r="CW1836" s="115"/>
      <c r="CX1836" s="115"/>
      <c r="CY1836" s="115"/>
      <c r="CZ1836" s="115"/>
      <c r="DA1836" s="115"/>
      <c r="DB1836" s="115"/>
      <c r="DC1836" s="115"/>
      <c r="DD1836" s="115"/>
      <c r="DE1836" s="115"/>
      <c r="DF1836" s="115"/>
      <c r="DG1836" s="115"/>
    </row>
    <row r="1837" spans="55:111" hidden="1">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c r="BY1837" s="115"/>
      <c r="BZ1837" s="115"/>
      <c r="CA1837" s="115"/>
      <c r="CB1837" s="115"/>
      <c r="CC1837" s="115"/>
      <c r="CD1837" s="115"/>
      <c r="CE1837" s="115"/>
      <c r="CF1837" s="115"/>
      <c r="CG1837" s="115"/>
      <c r="CH1837" s="115"/>
      <c r="CI1837" s="115"/>
      <c r="CJ1837" s="115"/>
      <c r="CK1837" s="115"/>
      <c r="CL1837" s="115"/>
      <c r="CM1837" s="115"/>
      <c r="CN1837" s="115"/>
      <c r="CO1837" s="115"/>
      <c r="CP1837" s="115"/>
      <c r="CQ1837" s="115"/>
      <c r="CR1837" s="115"/>
      <c r="CS1837" s="115"/>
      <c r="CT1837" s="115"/>
      <c r="CU1837" s="115"/>
      <c r="CV1837" s="115"/>
      <c r="CW1837" s="115"/>
      <c r="CX1837" s="115"/>
      <c r="CY1837" s="115"/>
      <c r="CZ1837" s="115"/>
      <c r="DA1837" s="115"/>
      <c r="DB1837" s="115"/>
      <c r="DC1837" s="115"/>
      <c r="DD1837" s="115"/>
      <c r="DE1837" s="115"/>
      <c r="DF1837" s="115"/>
      <c r="DG1837" s="115"/>
    </row>
    <row r="1838" spans="55:111" hidden="1">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c r="BY1838" s="115"/>
      <c r="BZ1838" s="115"/>
      <c r="CA1838" s="115"/>
      <c r="CB1838" s="115"/>
      <c r="CC1838" s="115"/>
      <c r="CD1838" s="115"/>
      <c r="CE1838" s="115"/>
      <c r="CF1838" s="115"/>
      <c r="CG1838" s="115"/>
      <c r="CH1838" s="115"/>
      <c r="CI1838" s="115"/>
      <c r="CJ1838" s="115"/>
      <c r="CK1838" s="115"/>
      <c r="CL1838" s="115"/>
      <c r="CM1838" s="115"/>
      <c r="CN1838" s="115"/>
      <c r="CO1838" s="115"/>
      <c r="CP1838" s="115"/>
      <c r="CQ1838" s="115"/>
      <c r="CR1838" s="115"/>
      <c r="CS1838" s="115"/>
      <c r="CT1838" s="115"/>
      <c r="CU1838" s="115"/>
      <c r="CV1838" s="115"/>
      <c r="CW1838" s="115"/>
      <c r="CX1838" s="115"/>
      <c r="CY1838" s="115"/>
      <c r="CZ1838" s="115"/>
      <c r="DA1838" s="115"/>
      <c r="DB1838" s="115"/>
      <c r="DC1838" s="115"/>
      <c r="DD1838" s="115"/>
      <c r="DE1838" s="115"/>
      <c r="DF1838" s="115"/>
      <c r="DG1838" s="115"/>
    </row>
    <row r="1839" spans="55:111" hidden="1">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c r="BY1839" s="115"/>
      <c r="BZ1839" s="115"/>
      <c r="CA1839" s="115"/>
      <c r="CB1839" s="115"/>
      <c r="CC1839" s="115"/>
      <c r="CD1839" s="115"/>
      <c r="CE1839" s="115"/>
      <c r="CF1839" s="115"/>
      <c r="CG1839" s="115"/>
      <c r="CH1839" s="115"/>
      <c r="CI1839" s="115"/>
      <c r="CJ1839" s="115"/>
      <c r="CK1839" s="115"/>
      <c r="CL1839" s="115"/>
      <c r="CM1839" s="115"/>
      <c r="CN1839" s="115"/>
      <c r="CO1839" s="115"/>
      <c r="CP1839" s="115"/>
      <c r="CQ1839" s="115"/>
      <c r="CR1839" s="115"/>
      <c r="CS1839" s="115"/>
      <c r="CT1839" s="115"/>
      <c r="CU1839" s="115"/>
      <c r="CV1839" s="115"/>
      <c r="CW1839" s="115"/>
      <c r="CX1839" s="115"/>
      <c r="CY1839" s="115"/>
      <c r="CZ1839" s="115"/>
      <c r="DA1839" s="115"/>
      <c r="DB1839" s="115"/>
      <c r="DC1839" s="115"/>
      <c r="DD1839" s="115"/>
      <c r="DE1839" s="115"/>
      <c r="DF1839" s="115"/>
      <c r="DG1839" s="115"/>
    </row>
    <row r="1840" spans="55:111" hidden="1">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c r="BY1840" s="115"/>
      <c r="BZ1840" s="115"/>
      <c r="CA1840" s="115"/>
      <c r="CB1840" s="115"/>
      <c r="CC1840" s="115"/>
      <c r="CD1840" s="115"/>
      <c r="CE1840" s="115"/>
      <c r="CF1840" s="115"/>
      <c r="CG1840" s="115"/>
      <c r="CH1840" s="115"/>
      <c r="CI1840" s="115"/>
      <c r="CJ1840" s="115"/>
      <c r="CK1840" s="115"/>
      <c r="CL1840" s="115"/>
      <c r="CM1840" s="115"/>
      <c r="CN1840" s="115"/>
      <c r="CO1840" s="115"/>
      <c r="CP1840" s="115"/>
      <c r="CQ1840" s="115"/>
      <c r="CR1840" s="115"/>
      <c r="CS1840" s="115"/>
      <c r="CT1840" s="115"/>
      <c r="CU1840" s="115"/>
      <c r="CV1840" s="115"/>
      <c r="CW1840" s="115"/>
      <c r="CX1840" s="115"/>
      <c r="CY1840" s="115"/>
      <c r="CZ1840" s="115"/>
      <c r="DA1840" s="115"/>
      <c r="DB1840" s="115"/>
      <c r="DC1840" s="115"/>
      <c r="DD1840" s="115"/>
      <c r="DE1840" s="115"/>
      <c r="DF1840" s="115"/>
      <c r="DG1840" s="115"/>
    </row>
    <row r="1841" spans="55:111" hidden="1">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c r="BY1841" s="115"/>
      <c r="BZ1841" s="115"/>
      <c r="CA1841" s="115"/>
      <c r="CB1841" s="115"/>
      <c r="CC1841" s="115"/>
      <c r="CD1841" s="115"/>
      <c r="CE1841" s="115"/>
      <c r="CF1841" s="115"/>
      <c r="CG1841" s="115"/>
      <c r="CH1841" s="115"/>
      <c r="CI1841" s="115"/>
      <c r="CJ1841" s="115"/>
      <c r="CK1841" s="115"/>
      <c r="CL1841" s="115"/>
      <c r="CM1841" s="115"/>
      <c r="CN1841" s="115"/>
      <c r="CO1841" s="115"/>
      <c r="CP1841" s="115"/>
      <c r="CQ1841" s="115"/>
      <c r="CR1841" s="115"/>
      <c r="CS1841" s="115"/>
      <c r="CT1841" s="115"/>
      <c r="CU1841" s="115"/>
      <c r="CV1841" s="115"/>
      <c r="CW1841" s="115"/>
      <c r="CX1841" s="115"/>
      <c r="CY1841" s="115"/>
      <c r="CZ1841" s="115"/>
      <c r="DA1841" s="115"/>
      <c r="DB1841" s="115"/>
      <c r="DC1841" s="115"/>
      <c r="DD1841" s="115"/>
      <c r="DE1841" s="115"/>
      <c r="DF1841" s="115"/>
      <c r="DG1841" s="115"/>
    </row>
    <row r="1842" spans="55:111" hidden="1">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c r="BY1842" s="115"/>
      <c r="BZ1842" s="115"/>
      <c r="CA1842" s="115"/>
      <c r="CB1842" s="115"/>
      <c r="CC1842" s="115"/>
      <c r="CD1842" s="115"/>
      <c r="CE1842" s="115"/>
      <c r="CF1842" s="115"/>
      <c r="CG1842" s="115"/>
      <c r="CH1842" s="115"/>
      <c r="CI1842" s="115"/>
      <c r="CJ1842" s="115"/>
      <c r="CK1842" s="115"/>
      <c r="CL1842" s="115"/>
      <c r="CM1842" s="115"/>
      <c r="CN1842" s="115"/>
      <c r="CO1842" s="115"/>
      <c r="CP1842" s="115"/>
      <c r="CQ1842" s="115"/>
      <c r="CR1842" s="115"/>
      <c r="CS1842" s="115"/>
      <c r="CT1842" s="115"/>
      <c r="CU1842" s="115"/>
      <c r="CV1842" s="115"/>
      <c r="CW1842" s="115"/>
      <c r="CX1842" s="115"/>
      <c r="CY1842" s="115"/>
      <c r="CZ1842" s="115"/>
      <c r="DA1842" s="115"/>
      <c r="DB1842" s="115"/>
      <c r="DC1842" s="115"/>
      <c r="DD1842" s="115"/>
      <c r="DE1842" s="115"/>
      <c r="DF1842" s="115"/>
      <c r="DG1842" s="115"/>
    </row>
    <row r="1843" spans="55:111" hidden="1">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c r="BY1843" s="115"/>
      <c r="BZ1843" s="115"/>
      <c r="CA1843" s="115"/>
      <c r="CB1843" s="115"/>
      <c r="CC1843" s="115"/>
      <c r="CD1843" s="115"/>
      <c r="CE1843" s="115"/>
      <c r="CF1843" s="115"/>
      <c r="CG1843" s="115"/>
      <c r="CH1843" s="115"/>
      <c r="CI1843" s="115"/>
      <c r="CJ1843" s="115"/>
      <c r="CK1843" s="115"/>
      <c r="CL1843" s="115"/>
      <c r="CM1843" s="115"/>
      <c r="CN1843" s="115"/>
      <c r="CO1843" s="115"/>
      <c r="CP1843" s="115"/>
      <c r="CQ1843" s="115"/>
      <c r="CR1843" s="115"/>
      <c r="CS1843" s="115"/>
      <c r="CT1843" s="115"/>
      <c r="CU1843" s="115"/>
      <c r="CV1843" s="115"/>
      <c r="CW1843" s="115"/>
      <c r="CX1843" s="115"/>
      <c r="CY1843" s="115"/>
      <c r="CZ1843" s="115"/>
      <c r="DA1843" s="115"/>
      <c r="DB1843" s="115"/>
      <c r="DC1843" s="115"/>
      <c r="DD1843" s="115"/>
      <c r="DE1843" s="115"/>
      <c r="DF1843" s="115"/>
      <c r="DG1843" s="115"/>
    </row>
    <row r="1844" spans="55:111" hidden="1">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c r="BY1844" s="115"/>
      <c r="BZ1844" s="115"/>
      <c r="CA1844" s="115"/>
      <c r="CB1844" s="115"/>
      <c r="CC1844" s="115"/>
      <c r="CD1844" s="115"/>
      <c r="CE1844" s="115"/>
      <c r="CF1844" s="115"/>
      <c r="CG1844" s="115"/>
      <c r="CH1844" s="115"/>
      <c r="CI1844" s="115"/>
      <c r="CJ1844" s="115"/>
      <c r="CK1844" s="115"/>
      <c r="CL1844" s="115"/>
      <c r="CM1844" s="115"/>
      <c r="CN1844" s="115"/>
      <c r="CO1844" s="115"/>
      <c r="CP1844" s="115"/>
      <c r="CQ1844" s="115"/>
      <c r="CR1844" s="115"/>
      <c r="CS1844" s="115"/>
      <c r="CT1844" s="115"/>
      <c r="CU1844" s="115"/>
      <c r="CV1844" s="115"/>
      <c r="CW1844" s="115"/>
      <c r="CX1844" s="115"/>
      <c r="CY1844" s="115"/>
      <c r="CZ1844" s="115"/>
      <c r="DA1844" s="115"/>
      <c r="DB1844" s="115"/>
      <c r="DC1844" s="115"/>
      <c r="DD1844" s="115"/>
      <c r="DE1844" s="115"/>
      <c r="DF1844" s="115"/>
      <c r="DG1844" s="115"/>
    </row>
    <row r="1845" spans="55:111" hidden="1">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c r="BY1845" s="115"/>
      <c r="BZ1845" s="115"/>
      <c r="CA1845" s="115"/>
      <c r="CB1845" s="115"/>
      <c r="CC1845" s="115"/>
      <c r="CD1845" s="115"/>
      <c r="CE1845" s="115"/>
      <c r="CF1845" s="115"/>
      <c r="CG1845" s="115"/>
      <c r="CH1845" s="115"/>
      <c r="CI1845" s="115"/>
      <c r="CJ1845" s="115"/>
      <c r="CK1845" s="115"/>
      <c r="CL1845" s="115"/>
      <c r="CM1845" s="115"/>
      <c r="CN1845" s="115"/>
      <c r="CO1845" s="115"/>
      <c r="CP1845" s="115"/>
      <c r="CQ1845" s="115"/>
      <c r="CR1845" s="115"/>
      <c r="CS1845" s="115"/>
      <c r="CT1845" s="115"/>
      <c r="CU1845" s="115"/>
      <c r="CV1845" s="115"/>
      <c r="CW1845" s="115"/>
      <c r="CX1845" s="115"/>
      <c r="CY1845" s="115"/>
      <c r="CZ1845" s="115"/>
      <c r="DA1845" s="115"/>
      <c r="DB1845" s="115"/>
      <c r="DC1845" s="115"/>
      <c r="DD1845" s="115"/>
      <c r="DE1845" s="115"/>
      <c r="DF1845" s="115"/>
      <c r="DG1845" s="115"/>
    </row>
    <row r="1846" spans="55:111" hidden="1">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c r="BY1846" s="115"/>
      <c r="BZ1846" s="115"/>
      <c r="CA1846" s="115"/>
      <c r="CB1846" s="115"/>
      <c r="CC1846" s="115"/>
      <c r="CD1846" s="115"/>
      <c r="CE1846" s="115"/>
      <c r="CF1846" s="115"/>
      <c r="CG1846" s="115"/>
      <c r="CH1846" s="115"/>
      <c r="CI1846" s="115"/>
      <c r="CJ1846" s="115"/>
      <c r="CK1846" s="115"/>
      <c r="CL1846" s="115"/>
      <c r="CM1846" s="115"/>
      <c r="CN1846" s="115"/>
      <c r="CO1846" s="115"/>
      <c r="CP1846" s="115"/>
      <c r="CQ1846" s="115"/>
      <c r="CR1846" s="115"/>
      <c r="CS1846" s="115"/>
      <c r="CT1846" s="115"/>
      <c r="CU1846" s="115"/>
      <c r="CV1846" s="115"/>
      <c r="CW1846" s="115"/>
      <c r="CX1846" s="115"/>
      <c r="CY1846" s="115"/>
      <c r="CZ1846" s="115"/>
      <c r="DA1846" s="115"/>
      <c r="DB1846" s="115"/>
      <c r="DC1846" s="115"/>
      <c r="DD1846" s="115"/>
      <c r="DE1846" s="115"/>
      <c r="DF1846" s="115"/>
      <c r="DG1846" s="115"/>
    </row>
    <row r="1847" spans="55:111" hidden="1">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c r="BY1847" s="115"/>
      <c r="BZ1847" s="115"/>
      <c r="CA1847" s="115"/>
      <c r="CB1847" s="115"/>
      <c r="CC1847" s="115"/>
      <c r="CD1847" s="115"/>
      <c r="CE1847" s="115"/>
      <c r="CF1847" s="115"/>
      <c r="CG1847" s="115"/>
      <c r="CH1847" s="115"/>
      <c r="CI1847" s="115"/>
      <c r="CJ1847" s="115"/>
      <c r="CK1847" s="115"/>
      <c r="CL1847" s="115"/>
      <c r="CM1847" s="115"/>
      <c r="CN1847" s="115"/>
      <c r="CO1847" s="115"/>
      <c r="CP1847" s="115"/>
      <c r="CQ1847" s="115"/>
      <c r="CR1847" s="115"/>
      <c r="CS1847" s="115"/>
      <c r="CT1847" s="115"/>
      <c r="CU1847" s="115"/>
      <c r="CV1847" s="115"/>
      <c r="CW1847" s="115"/>
      <c r="CX1847" s="115"/>
      <c r="CY1847" s="115"/>
      <c r="CZ1847" s="115"/>
      <c r="DA1847" s="115"/>
      <c r="DB1847" s="115"/>
      <c r="DC1847" s="115"/>
      <c r="DD1847" s="115"/>
      <c r="DE1847" s="115"/>
      <c r="DF1847" s="115"/>
      <c r="DG1847" s="115"/>
    </row>
    <row r="1848" spans="55:111" hidden="1">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c r="BY1848" s="115"/>
      <c r="BZ1848" s="115"/>
      <c r="CA1848" s="115"/>
      <c r="CB1848" s="115"/>
      <c r="CC1848" s="115"/>
      <c r="CD1848" s="115"/>
      <c r="CE1848" s="115"/>
      <c r="CF1848" s="115"/>
      <c r="CG1848" s="115"/>
      <c r="CH1848" s="115"/>
      <c r="CI1848" s="115"/>
      <c r="CJ1848" s="115"/>
      <c r="CK1848" s="115"/>
      <c r="CL1848" s="115"/>
      <c r="CM1848" s="115"/>
      <c r="CN1848" s="115"/>
      <c r="CO1848" s="115"/>
      <c r="CP1848" s="115"/>
      <c r="CQ1848" s="115"/>
      <c r="CR1848" s="115"/>
      <c r="CS1848" s="115"/>
      <c r="CT1848" s="115"/>
      <c r="CU1848" s="115"/>
      <c r="CV1848" s="115"/>
      <c r="CW1848" s="115"/>
      <c r="CX1848" s="115"/>
      <c r="CY1848" s="115"/>
      <c r="CZ1848" s="115"/>
      <c r="DA1848" s="115"/>
      <c r="DB1848" s="115"/>
      <c r="DC1848" s="115"/>
      <c r="DD1848" s="115"/>
      <c r="DE1848" s="115"/>
      <c r="DF1848" s="115"/>
      <c r="DG1848" s="115"/>
    </row>
    <row r="1849" spans="55:111" hidden="1">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c r="BY1849" s="115"/>
      <c r="BZ1849" s="115"/>
      <c r="CA1849" s="115"/>
      <c r="CB1849" s="115"/>
      <c r="CC1849" s="115"/>
      <c r="CD1849" s="115"/>
      <c r="CE1849" s="115"/>
      <c r="CF1849" s="115"/>
      <c r="CG1849" s="115"/>
      <c r="CH1849" s="115"/>
      <c r="CI1849" s="115"/>
      <c r="CJ1849" s="115"/>
      <c r="CK1849" s="115"/>
      <c r="CL1849" s="115"/>
      <c r="CM1849" s="115"/>
      <c r="CN1849" s="115"/>
      <c r="CO1849" s="115"/>
      <c r="CP1849" s="115"/>
      <c r="CQ1849" s="115"/>
      <c r="CR1849" s="115"/>
      <c r="CS1849" s="115"/>
      <c r="CT1849" s="115"/>
      <c r="CU1849" s="115"/>
      <c r="CV1849" s="115"/>
      <c r="CW1849" s="115"/>
      <c r="CX1849" s="115"/>
      <c r="CY1849" s="115"/>
      <c r="CZ1849" s="115"/>
      <c r="DA1849" s="115"/>
      <c r="DB1849" s="115"/>
      <c r="DC1849" s="115"/>
      <c r="DD1849" s="115"/>
      <c r="DE1849" s="115"/>
      <c r="DF1849" s="115"/>
      <c r="DG1849" s="115"/>
    </row>
    <row r="1850" spans="55:111" hidden="1">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c r="BY1850" s="115"/>
      <c r="BZ1850" s="115"/>
      <c r="CA1850" s="115"/>
      <c r="CB1850" s="115"/>
      <c r="CC1850" s="115"/>
      <c r="CD1850" s="115"/>
      <c r="CE1850" s="115"/>
      <c r="CF1850" s="115"/>
      <c r="CG1850" s="115"/>
      <c r="CH1850" s="115"/>
      <c r="CI1850" s="115"/>
      <c r="CJ1850" s="115"/>
      <c r="CK1850" s="115"/>
      <c r="CL1850" s="115"/>
      <c r="CM1850" s="115"/>
      <c r="CN1850" s="115"/>
      <c r="CO1850" s="115"/>
      <c r="CP1850" s="115"/>
      <c r="CQ1850" s="115"/>
      <c r="CR1850" s="115"/>
      <c r="CS1850" s="115"/>
      <c r="CT1850" s="115"/>
      <c r="CU1850" s="115"/>
      <c r="CV1850" s="115"/>
      <c r="CW1850" s="115"/>
      <c r="CX1850" s="115"/>
      <c r="CY1850" s="115"/>
      <c r="CZ1850" s="115"/>
      <c r="DA1850" s="115"/>
      <c r="DB1850" s="115"/>
      <c r="DC1850" s="115"/>
      <c r="DD1850" s="115"/>
      <c r="DE1850" s="115"/>
      <c r="DF1850" s="115"/>
      <c r="DG1850" s="115"/>
    </row>
    <row r="1851" spans="55:111" hidden="1">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c r="BY1851" s="115"/>
      <c r="BZ1851" s="115"/>
      <c r="CA1851" s="115"/>
      <c r="CB1851" s="115"/>
      <c r="CC1851" s="115"/>
      <c r="CD1851" s="115"/>
      <c r="CE1851" s="115"/>
      <c r="CF1851" s="115"/>
      <c r="CG1851" s="115"/>
      <c r="CH1851" s="115"/>
      <c r="CI1851" s="115"/>
      <c r="CJ1851" s="115"/>
      <c r="CK1851" s="115"/>
      <c r="CL1851" s="115"/>
      <c r="CM1851" s="115"/>
      <c r="CN1851" s="115"/>
      <c r="CO1851" s="115"/>
      <c r="CP1851" s="115"/>
      <c r="CQ1851" s="115"/>
      <c r="CR1851" s="115"/>
      <c r="CS1851" s="115"/>
      <c r="CT1851" s="115"/>
      <c r="CU1851" s="115"/>
      <c r="CV1851" s="115"/>
      <c r="CW1851" s="115"/>
      <c r="CX1851" s="115"/>
      <c r="CY1851" s="115"/>
      <c r="CZ1851" s="115"/>
      <c r="DA1851" s="115"/>
      <c r="DB1851" s="115"/>
      <c r="DC1851" s="115"/>
      <c r="DD1851" s="115"/>
      <c r="DE1851" s="115"/>
      <c r="DF1851" s="115"/>
      <c r="DG1851" s="115"/>
    </row>
    <row r="1852" spans="55:111" hidden="1">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c r="BY1852" s="115"/>
      <c r="BZ1852" s="115"/>
      <c r="CA1852" s="115"/>
      <c r="CB1852" s="115"/>
      <c r="CC1852" s="115"/>
      <c r="CD1852" s="115"/>
      <c r="CE1852" s="115"/>
      <c r="CF1852" s="115"/>
      <c r="CG1852" s="115"/>
      <c r="CH1852" s="115"/>
      <c r="CI1852" s="115"/>
      <c r="CJ1852" s="115"/>
      <c r="CK1852" s="115"/>
      <c r="CL1852" s="115"/>
      <c r="CM1852" s="115"/>
      <c r="CN1852" s="115"/>
      <c r="CO1852" s="115"/>
      <c r="CP1852" s="115"/>
      <c r="CQ1852" s="115"/>
      <c r="CR1852" s="115"/>
      <c r="CS1852" s="115"/>
      <c r="CT1852" s="115"/>
      <c r="CU1852" s="115"/>
      <c r="CV1852" s="115"/>
      <c r="CW1852" s="115"/>
      <c r="CX1852" s="115"/>
      <c r="CY1852" s="115"/>
      <c r="CZ1852" s="115"/>
      <c r="DA1852" s="115"/>
      <c r="DB1852" s="115"/>
      <c r="DC1852" s="115"/>
      <c r="DD1852" s="115"/>
      <c r="DE1852" s="115"/>
      <c r="DF1852" s="115"/>
      <c r="DG1852" s="115"/>
    </row>
    <row r="1853" spans="55:111" hidden="1">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c r="BY1853" s="115"/>
      <c r="BZ1853" s="115"/>
      <c r="CA1853" s="115"/>
      <c r="CB1853" s="115"/>
      <c r="CC1853" s="115"/>
      <c r="CD1853" s="115"/>
      <c r="CE1853" s="115"/>
      <c r="CF1853" s="115"/>
      <c r="CG1853" s="115"/>
      <c r="CH1853" s="115"/>
      <c r="CI1853" s="115"/>
      <c r="CJ1853" s="115"/>
      <c r="CK1853" s="115"/>
      <c r="CL1853" s="115"/>
      <c r="CM1853" s="115"/>
      <c r="CN1853" s="115"/>
      <c r="CO1853" s="115"/>
      <c r="CP1853" s="115"/>
      <c r="CQ1853" s="115"/>
      <c r="CR1853" s="115"/>
      <c r="CS1853" s="115"/>
      <c r="CT1853" s="115"/>
      <c r="CU1853" s="115"/>
      <c r="CV1853" s="115"/>
      <c r="CW1853" s="115"/>
      <c r="CX1853" s="115"/>
      <c r="CY1853" s="115"/>
      <c r="CZ1853" s="115"/>
      <c r="DA1853" s="115"/>
      <c r="DB1853" s="115"/>
      <c r="DC1853" s="115"/>
      <c r="DD1853" s="115"/>
      <c r="DE1853" s="115"/>
      <c r="DF1853" s="115"/>
      <c r="DG1853" s="115"/>
    </row>
    <row r="1854" spans="55:111" hidden="1">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c r="BY1854" s="115"/>
      <c r="BZ1854" s="115"/>
      <c r="CA1854" s="115"/>
      <c r="CB1854" s="115"/>
      <c r="CC1854" s="115"/>
      <c r="CD1854" s="115"/>
      <c r="CE1854" s="115"/>
      <c r="CF1854" s="115"/>
      <c r="CG1854" s="115"/>
      <c r="CH1854" s="115"/>
      <c r="CI1854" s="115"/>
      <c r="CJ1854" s="115"/>
      <c r="CK1854" s="115"/>
      <c r="CL1854" s="115"/>
      <c r="CM1854" s="115"/>
      <c r="CN1854" s="115"/>
      <c r="CO1854" s="115"/>
      <c r="CP1854" s="115"/>
      <c r="CQ1854" s="115"/>
      <c r="CR1854" s="115"/>
      <c r="CS1854" s="115"/>
      <c r="CT1854" s="115"/>
      <c r="CU1854" s="115"/>
      <c r="CV1854" s="115"/>
      <c r="CW1854" s="115"/>
      <c r="CX1854" s="115"/>
      <c r="CY1854" s="115"/>
      <c r="CZ1854" s="115"/>
      <c r="DA1854" s="115"/>
      <c r="DB1854" s="115"/>
      <c r="DC1854" s="115"/>
      <c r="DD1854" s="115"/>
      <c r="DE1854" s="115"/>
      <c r="DF1854" s="115"/>
      <c r="DG1854" s="115"/>
    </row>
    <row r="1855" spans="55:111" hidden="1">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c r="BY1855" s="115"/>
      <c r="BZ1855" s="115"/>
      <c r="CA1855" s="115"/>
      <c r="CB1855" s="115"/>
      <c r="CC1855" s="115"/>
      <c r="CD1855" s="115"/>
      <c r="CE1855" s="115"/>
      <c r="CF1855" s="115"/>
      <c r="CG1855" s="115"/>
      <c r="CH1855" s="115"/>
      <c r="CI1855" s="115"/>
      <c r="CJ1855" s="115"/>
      <c r="CK1855" s="115"/>
      <c r="CL1855" s="115"/>
      <c r="CM1855" s="115"/>
      <c r="CN1855" s="115"/>
      <c r="CO1855" s="115"/>
      <c r="CP1855" s="115"/>
      <c r="CQ1855" s="115"/>
      <c r="CR1855" s="115"/>
      <c r="CS1855" s="115"/>
      <c r="CT1855" s="115"/>
      <c r="CU1855" s="115"/>
      <c r="CV1855" s="115"/>
      <c r="CW1855" s="115"/>
      <c r="CX1855" s="115"/>
      <c r="CY1855" s="115"/>
      <c r="CZ1855" s="115"/>
      <c r="DA1855" s="115"/>
      <c r="DB1855" s="115"/>
      <c r="DC1855" s="115"/>
      <c r="DD1855" s="115"/>
      <c r="DE1855" s="115"/>
      <c r="DF1855" s="115"/>
      <c r="DG1855" s="115"/>
    </row>
    <row r="1856" spans="55:111" hidden="1">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c r="BY1856" s="115"/>
      <c r="BZ1856" s="115"/>
      <c r="CA1856" s="115"/>
      <c r="CB1856" s="115"/>
      <c r="CC1856" s="115"/>
      <c r="CD1856" s="115"/>
      <c r="CE1856" s="115"/>
      <c r="CF1856" s="115"/>
      <c r="CG1856" s="115"/>
      <c r="CH1856" s="115"/>
      <c r="CI1856" s="115"/>
      <c r="CJ1856" s="115"/>
      <c r="CK1856" s="115"/>
      <c r="CL1856" s="115"/>
      <c r="CM1856" s="115"/>
      <c r="CN1856" s="115"/>
      <c r="CO1856" s="115"/>
      <c r="CP1856" s="115"/>
      <c r="CQ1856" s="115"/>
      <c r="CR1856" s="115"/>
      <c r="CS1856" s="115"/>
      <c r="CT1856" s="115"/>
      <c r="CU1856" s="115"/>
      <c r="CV1856" s="115"/>
      <c r="CW1856" s="115"/>
      <c r="CX1856" s="115"/>
      <c r="CY1856" s="115"/>
      <c r="CZ1856" s="115"/>
      <c r="DA1856" s="115"/>
      <c r="DB1856" s="115"/>
      <c r="DC1856" s="115"/>
      <c r="DD1856" s="115"/>
      <c r="DE1856" s="115"/>
      <c r="DF1856" s="115"/>
      <c r="DG1856" s="115"/>
    </row>
    <row r="1857" spans="55:111" hidden="1">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c r="BY1857" s="115"/>
      <c r="BZ1857" s="115"/>
      <c r="CA1857" s="115"/>
      <c r="CB1857" s="115"/>
      <c r="CC1857" s="115"/>
      <c r="CD1857" s="115"/>
      <c r="CE1857" s="115"/>
      <c r="CF1857" s="115"/>
      <c r="CG1857" s="115"/>
      <c r="CH1857" s="115"/>
      <c r="CI1857" s="115"/>
      <c r="CJ1857" s="115"/>
      <c r="CK1857" s="115"/>
      <c r="CL1857" s="115"/>
      <c r="CM1857" s="115"/>
      <c r="CN1857" s="115"/>
      <c r="CO1857" s="115"/>
      <c r="CP1857" s="115"/>
      <c r="CQ1857" s="115"/>
      <c r="CR1857" s="115"/>
      <c r="CS1857" s="115"/>
      <c r="CT1857" s="115"/>
      <c r="CU1857" s="115"/>
      <c r="CV1857" s="115"/>
      <c r="CW1857" s="115"/>
      <c r="CX1857" s="115"/>
      <c r="CY1857" s="115"/>
      <c r="CZ1857" s="115"/>
      <c r="DA1857" s="115"/>
      <c r="DB1857" s="115"/>
      <c r="DC1857" s="115"/>
      <c r="DD1857" s="115"/>
      <c r="DE1857" s="115"/>
      <c r="DF1857" s="115"/>
      <c r="DG1857" s="115"/>
    </row>
    <row r="1858" spans="55:111" hidden="1">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c r="BY1858" s="115"/>
      <c r="BZ1858" s="115"/>
      <c r="CA1858" s="115"/>
      <c r="CB1858" s="115"/>
      <c r="CC1858" s="115"/>
      <c r="CD1858" s="115"/>
      <c r="CE1858" s="115"/>
      <c r="CF1858" s="115"/>
      <c r="CG1858" s="115"/>
      <c r="CH1858" s="115"/>
      <c r="CI1858" s="115"/>
      <c r="CJ1858" s="115"/>
      <c r="CK1858" s="115"/>
      <c r="CL1858" s="115"/>
      <c r="CM1858" s="115"/>
      <c r="CN1858" s="115"/>
      <c r="CO1858" s="115"/>
      <c r="CP1858" s="115"/>
      <c r="CQ1858" s="115"/>
      <c r="CR1858" s="115"/>
      <c r="CS1858" s="115"/>
      <c r="CT1858" s="115"/>
      <c r="CU1858" s="115"/>
      <c r="CV1858" s="115"/>
      <c r="CW1858" s="115"/>
      <c r="CX1858" s="115"/>
      <c r="CY1858" s="115"/>
      <c r="CZ1858" s="115"/>
      <c r="DA1858" s="115"/>
      <c r="DB1858" s="115"/>
      <c r="DC1858" s="115"/>
      <c r="DD1858" s="115"/>
      <c r="DE1858" s="115"/>
      <c r="DF1858" s="115"/>
      <c r="DG1858" s="115"/>
    </row>
    <row r="1859" spans="55:111" hidden="1">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c r="BY1859" s="115"/>
      <c r="BZ1859" s="115"/>
      <c r="CA1859" s="115"/>
      <c r="CB1859" s="115"/>
      <c r="CC1859" s="115"/>
      <c r="CD1859" s="115"/>
      <c r="CE1859" s="115"/>
      <c r="CF1859" s="115"/>
      <c r="CG1859" s="115"/>
      <c r="CH1859" s="115"/>
      <c r="CI1859" s="115"/>
      <c r="CJ1859" s="115"/>
      <c r="CK1859" s="115"/>
      <c r="CL1859" s="115"/>
      <c r="CM1859" s="115"/>
      <c r="CN1859" s="115"/>
      <c r="CO1859" s="115"/>
      <c r="CP1859" s="115"/>
      <c r="CQ1859" s="115"/>
      <c r="CR1859" s="115"/>
      <c r="CS1859" s="115"/>
      <c r="CT1859" s="115"/>
      <c r="CU1859" s="115"/>
      <c r="CV1859" s="115"/>
      <c r="CW1859" s="115"/>
      <c r="CX1859" s="115"/>
      <c r="CY1859" s="115"/>
      <c r="CZ1859" s="115"/>
      <c r="DA1859" s="115"/>
      <c r="DB1859" s="115"/>
      <c r="DC1859" s="115"/>
      <c r="DD1859" s="115"/>
      <c r="DE1859" s="115"/>
      <c r="DF1859" s="115"/>
      <c r="DG1859" s="115"/>
    </row>
    <row r="1860" spans="55:111" hidden="1">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c r="BY1860" s="115"/>
      <c r="BZ1860" s="115"/>
      <c r="CA1860" s="115"/>
      <c r="CB1860" s="115"/>
      <c r="CC1860" s="115"/>
      <c r="CD1860" s="115"/>
      <c r="CE1860" s="115"/>
      <c r="CF1860" s="115"/>
      <c r="CG1860" s="115"/>
      <c r="CH1860" s="115"/>
      <c r="CI1860" s="115"/>
      <c r="CJ1860" s="115"/>
      <c r="CK1860" s="115"/>
      <c r="CL1860" s="115"/>
      <c r="CM1860" s="115"/>
      <c r="CN1860" s="115"/>
      <c r="CO1860" s="115"/>
      <c r="CP1860" s="115"/>
      <c r="CQ1860" s="115"/>
      <c r="CR1860" s="115"/>
      <c r="CS1860" s="115"/>
      <c r="CT1860" s="115"/>
      <c r="CU1860" s="115"/>
      <c r="CV1860" s="115"/>
      <c r="CW1860" s="115"/>
      <c r="CX1860" s="115"/>
      <c r="CY1860" s="115"/>
      <c r="CZ1860" s="115"/>
      <c r="DA1860" s="115"/>
      <c r="DB1860" s="115"/>
      <c r="DC1860" s="115"/>
      <c r="DD1860" s="115"/>
      <c r="DE1860" s="115"/>
      <c r="DF1860" s="115"/>
      <c r="DG1860" s="115"/>
    </row>
    <row r="1861" spans="55:111" hidden="1">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c r="BY1861" s="115"/>
      <c r="BZ1861" s="115"/>
      <c r="CA1861" s="115"/>
      <c r="CB1861" s="115"/>
      <c r="CC1861" s="115"/>
      <c r="CD1861" s="115"/>
      <c r="CE1861" s="115"/>
      <c r="CF1861" s="115"/>
      <c r="CG1861" s="115"/>
      <c r="CH1861" s="115"/>
      <c r="CI1861" s="115"/>
      <c r="CJ1861" s="115"/>
      <c r="CK1861" s="115"/>
      <c r="CL1861" s="115"/>
      <c r="CM1861" s="115"/>
      <c r="CN1861" s="115"/>
      <c r="CO1861" s="115"/>
      <c r="CP1861" s="115"/>
      <c r="CQ1861" s="115"/>
      <c r="CR1861" s="115"/>
      <c r="CS1861" s="115"/>
      <c r="CT1861" s="115"/>
      <c r="CU1861" s="115"/>
      <c r="CV1861" s="115"/>
      <c r="CW1861" s="115"/>
      <c r="CX1861" s="115"/>
      <c r="CY1861" s="115"/>
      <c r="CZ1861" s="115"/>
      <c r="DA1861" s="115"/>
      <c r="DB1861" s="115"/>
      <c r="DC1861" s="115"/>
      <c r="DD1861" s="115"/>
      <c r="DE1861" s="115"/>
      <c r="DF1861" s="115"/>
      <c r="DG1861" s="115"/>
    </row>
    <row r="1862" spans="55:111" hidden="1">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c r="BY1862" s="115"/>
      <c r="BZ1862" s="115"/>
      <c r="CA1862" s="115"/>
      <c r="CB1862" s="115"/>
      <c r="CC1862" s="115"/>
      <c r="CD1862" s="115"/>
      <c r="CE1862" s="115"/>
      <c r="CF1862" s="115"/>
      <c r="CG1862" s="115"/>
      <c r="CH1862" s="115"/>
      <c r="CI1862" s="115"/>
      <c r="CJ1862" s="115"/>
      <c r="CK1862" s="115"/>
      <c r="CL1862" s="115"/>
      <c r="CM1862" s="115"/>
      <c r="CN1862" s="115"/>
      <c r="CO1862" s="115"/>
      <c r="CP1862" s="115"/>
      <c r="CQ1862" s="115"/>
      <c r="CR1862" s="115"/>
      <c r="CS1862" s="115"/>
      <c r="CT1862" s="115"/>
      <c r="CU1862" s="115"/>
      <c r="CV1862" s="115"/>
      <c r="CW1862" s="115"/>
      <c r="CX1862" s="115"/>
      <c r="CY1862" s="115"/>
      <c r="CZ1862" s="115"/>
      <c r="DA1862" s="115"/>
      <c r="DB1862" s="115"/>
      <c r="DC1862" s="115"/>
      <c r="DD1862" s="115"/>
      <c r="DE1862" s="115"/>
      <c r="DF1862" s="115"/>
      <c r="DG1862" s="115"/>
    </row>
    <row r="1863" spans="55:111" hidden="1">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c r="BY1863" s="115"/>
      <c r="BZ1863" s="115"/>
      <c r="CA1863" s="115"/>
      <c r="CB1863" s="115"/>
      <c r="CC1863" s="115"/>
      <c r="CD1863" s="115"/>
      <c r="CE1863" s="115"/>
      <c r="CF1863" s="115"/>
      <c r="CG1863" s="115"/>
      <c r="CH1863" s="115"/>
      <c r="CI1863" s="115"/>
      <c r="CJ1863" s="115"/>
      <c r="CK1863" s="115"/>
      <c r="CL1863" s="115"/>
      <c r="CM1863" s="115"/>
      <c r="CN1863" s="115"/>
      <c r="CO1863" s="115"/>
      <c r="CP1863" s="115"/>
      <c r="CQ1863" s="115"/>
      <c r="CR1863" s="115"/>
      <c r="CS1863" s="115"/>
      <c r="CT1863" s="115"/>
      <c r="CU1863" s="115"/>
      <c r="CV1863" s="115"/>
      <c r="CW1863" s="115"/>
      <c r="CX1863" s="115"/>
      <c r="CY1863" s="115"/>
      <c r="CZ1863" s="115"/>
      <c r="DA1863" s="115"/>
      <c r="DB1863" s="115"/>
      <c r="DC1863" s="115"/>
      <c r="DD1863" s="115"/>
      <c r="DE1863" s="115"/>
      <c r="DF1863" s="115"/>
      <c r="DG1863" s="115"/>
    </row>
    <row r="1864" spans="55:111" hidden="1">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c r="BY1864" s="115"/>
      <c r="BZ1864" s="115"/>
      <c r="CA1864" s="115"/>
      <c r="CB1864" s="115"/>
      <c r="CC1864" s="115"/>
      <c r="CD1864" s="115"/>
      <c r="CE1864" s="115"/>
      <c r="CF1864" s="115"/>
      <c r="CG1864" s="115"/>
      <c r="CH1864" s="115"/>
      <c r="CI1864" s="115"/>
      <c r="CJ1864" s="115"/>
      <c r="CK1864" s="115"/>
      <c r="CL1864" s="115"/>
      <c r="CM1864" s="115"/>
      <c r="CN1864" s="115"/>
      <c r="CO1864" s="115"/>
      <c r="CP1864" s="115"/>
      <c r="CQ1864" s="115"/>
      <c r="CR1864" s="115"/>
      <c r="CS1864" s="115"/>
      <c r="CT1864" s="115"/>
      <c r="CU1864" s="115"/>
      <c r="CV1864" s="115"/>
      <c r="CW1864" s="115"/>
      <c r="CX1864" s="115"/>
      <c r="CY1864" s="115"/>
      <c r="CZ1864" s="115"/>
      <c r="DA1864" s="115"/>
      <c r="DB1864" s="115"/>
      <c r="DC1864" s="115"/>
      <c r="DD1864" s="115"/>
      <c r="DE1864" s="115"/>
      <c r="DF1864" s="115"/>
      <c r="DG1864" s="115"/>
    </row>
    <row r="1865" spans="55:111" hidden="1">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c r="BY1865" s="115"/>
      <c r="BZ1865" s="115"/>
      <c r="CA1865" s="115"/>
      <c r="CB1865" s="115"/>
      <c r="CC1865" s="115"/>
      <c r="CD1865" s="115"/>
      <c r="CE1865" s="115"/>
      <c r="CF1865" s="115"/>
      <c r="CG1865" s="115"/>
      <c r="CH1865" s="115"/>
      <c r="CI1865" s="115"/>
      <c r="CJ1865" s="115"/>
      <c r="CK1865" s="115"/>
      <c r="CL1865" s="115"/>
      <c r="CM1865" s="115"/>
      <c r="CN1865" s="115"/>
      <c r="CO1865" s="115"/>
      <c r="CP1865" s="115"/>
      <c r="CQ1865" s="115"/>
      <c r="CR1865" s="115"/>
      <c r="CS1865" s="115"/>
      <c r="CT1865" s="115"/>
      <c r="CU1865" s="115"/>
      <c r="CV1865" s="115"/>
      <c r="CW1865" s="115"/>
      <c r="CX1865" s="115"/>
      <c r="CY1865" s="115"/>
      <c r="CZ1865" s="115"/>
      <c r="DA1865" s="115"/>
      <c r="DB1865" s="115"/>
      <c r="DC1865" s="115"/>
      <c r="DD1865" s="115"/>
      <c r="DE1865" s="115"/>
      <c r="DF1865" s="115"/>
      <c r="DG1865" s="115"/>
    </row>
    <row r="1866" spans="55:111" hidden="1">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c r="BY1866" s="115"/>
      <c r="BZ1866" s="115"/>
      <c r="CA1866" s="115"/>
      <c r="CB1866" s="115"/>
      <c r="CC1866" s="115"/>
      <c r="CD1866" s="115"/>
      <c r="CE1866" s="115"/>
      <c r="CF1866" s="115"/>
      <c r="CG1866" s="115"/>
      <c r="CH1866" s="115"/>
      <c r="CI1866" s="115"/>
      <c r="CJ1866" s="115"/>
      <c r="CK1866" s="115"/>
      <c r="CL1866" s="115"/>
      <c r="CM1866" s="115"/>
      <c r="CN1866" s="115"/>
      <c r="CO1866" s="115"/>
      <c r="CP1866" s="115"/>
      <c r="CQ1866" s="115"/>
      <c r="CR1866" s="115"/>
      <c r="CS1866" s="115"/>
      <c r="CT1866" s="115"/>
      <c r="CU1866" s="115"/>
      <c r="CV1866" s="115"/>
      <c r="CW1866" s="115"/>
      <c r="CX1866" s="115"/>
      <c r="CY1866" s="115"/>
      <c r="CZ1866" s="115"/>
      <c r="DA1866" s="115"/>
      <c r="DB1866" s="115"/>
      <c r="DC1866" s="115"/>
      <c r="DD1866" s="115"/>
      <c r="DE1866" s="115"/>
      <c r="DF1866" s="115"/>
      <c r="DG1866" s="115"/>
    </row>
    <row r="1867" spans="55:111" hidden="1">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c r="BY1867" s="115"/>
      <c r="BZ1867" s="115"/>
      <c r="CA1867" s="115"/>
      <c r="CB1867" s="115"/>
      <c r="CC1867" s="115"/>
      <c r="CD1867" s="115"/>
      <c r="CE1867" s="115"/>
      <c r="CF1867" s="115"/>
      <c r="CG1867" s="115"/>
      <c r="CH1867" s="115"/>
      <c r="CI1867" s="115"/>
      <c r="CJ1867" s="115"/>
      <c r="CK1867" s="115"/>
      <c r="CL1867" s="115"/>
      <c r="CM1867" s="115"/>
      <c r="CN1867" s="115"/>
      <c r="CO1867" s="115"/>
      <c r="CP1867" s="115"/>
      <c r="CQ1867" s="115"/>
      <c r="CR1867" s="115"/>
      <c r="CS1867" s="115"/>
      <c r="CT1867" s="115"/>
      <c r="CU1867" s="115"/>
      <c r="CV1867" s="115"/>
      <c r="CW1867" s="115"/>
      <c r="CX1867" s="115"/>
      <c r="CY1867" s="115"/>
      <c r="CZ1867" s="115"/>
      <c r="DA1867" s="115"/>
      <c r="DB1867" s="115"/>
      <c r="DC1867" s="115"/>
      <c r="DD1867" s="115"/>
      <c r="DE1867" s="115"/>
      <c r="DF1867" s="115"/>
      <c r="DG1867" s="115"/>
    </row>
    <row r="1868" spans="55:111" hidden="1">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c r="BY1868" s="115"/>
      <c r="BZ1868" s="115"/>
      <c r="CA1868" s="115"/>
      <c r="CB1868" s="115"/>
      <c r="CC1868" s="115"/>
      <c r="CD1868" s="115"/>
      <c r="CE1868" s="115"/>
      <c r="CF1868" s="115"/>
      <c r="CG1868" s="115"/>
      <c r="CH1868" s="115"/>
      <c r="CI1868" s="115"/>
      <c r="CJ1868" s="115"/>
      <c r="CK1868" s="115"/>
      <c r="CL1868" s="115"/>
      <c r="CM1868" s="115"/>
      <c r="CN1868" s="115"/>
      <c r="CO1868" s="115"/>
      <c r="CP1868" s="115"/>
      <c r="CQ1868" s="115"/>
      <c r="CR1868" s="115"/>
      <c r="CS1868" s="115"/>
      <c r="CT1868" s="115"/>
      <c r="CU1868" s="115"/>
      <c r="CV1868" s="115"/>
      <c r="CW1868" s="115"/>
      <c r="CX1868" s="115"/>
      <c r="CY1868" s="115"/>
      <c r="CZ1868" s="115"/>
      <c r="DA1868" s="115"/>
      <c r="DB1868" s="115"/>
      <c r="DC1868" s="115"/>
      <c r="DD1868" s="115"/>
      <c r="DE1868" s="115"/>
      <c r="DF1868" s="115"/>
      <c r="DG1868" s="115"/>
    </row>
    <row r="1869" spans="55:111" hidden="1">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c r="BY1869" s="115"/>
      <c r="BZ1869" s="115"/>
      <c r="CA1869" s="115"/>
      <c r="CB1869" s="115"/>
      <c r="CC1869" s="115"/>
      <c r="CD1869" s="115"/>
      <c r="CE1869" s="115"/>
      <c r="CF1869" s="115"/>
      <c r="CG1869" s="115"/>
      <c r="CH1869" s="115"/>
      <c r="CI1869" s="115"/>
      <c r="CJ1869" s="115"/>
      <c r="CK1869" s="115"/>
      <c r="CL1869" s="115"/>
      <c r="CM1869" s="115"/>
      <c r="CN1869" s="115"/>
      <c r="CO1869" s="115"/>
      <c r="CP1869" s="115"/>
      <c r="CQ1869" s="115"/>
      <c r="CR1869" s="115"/>
      <c r="CS1869" s="115"/>
      <c r="CT1869" s="115"/>
      <c r="CU1869" s="115"/>
      <c r="CV1869" s="115"/>
      <c r="CW1869" s="115"/>
      <c r="CX1869" s="115"/>
      <c r="CY1869" s="115"/>
      <c r="CZ1869" s="115"/>
      <c r="DA1869" s="115"/>
      <c r="DB1869" s="115"/>
      <c r="DC1869" s="115"/>
      <c r="DD1869" s="115"/>
      <c r="DE1869" s="115"/>
      <c r="DF1869" s="115"/>
      <c r="DG1869" s="115"/>
    </row>
    <row r="1870" spans="55:111" hidden="1">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c r="BY1870" s="115"/>
      <c r="BZ1870" s="115"/>
      <c r="CA1870" s="115"/>
      <c r="CB1870" s="115"/>
      <c r="CC1870" s="115"/>
      <c r="CD1870" s="115"/>
      <c r="CE1870" s="115"/>
      <c r="CF1870" s="115"/>
      <c r="CG1870" s="115"/>
      <c r="CH1870" s="115"/>
      <c r="CI1870" s="115"/>
      <c r="CJ1870" s="115"/>
      <c r="CK1870" s="115"/>
      <c r="CL1870" s="115"/>
      <c r="CM1870" s="115"/>
      <c r="CN1870" s="115"/>
      <c r="CO1870" s="115"/>
      <c r="CP1870" s="115"/>
      <c r="CQ1870" s="115"/>
      <c r="CR1870" s="115"/>
      <c r="CS1870" s="115"/>
      <c r="CT1870" s="115"/>
      <c r="CU1870" s="115"/>
      <c r="CV1870" s="115"/>
      <c r="CW1870" s="115"/>
      <c r="CX1870" s="115"/>
      <c r="CY1870" s="115"/>
      <c r="CZ1870" s="115"/>
      <c r="DA1870" s="115"/>
      <c r="DB1870" s="115"/>
      <c r="DC1870" s="115"/>
      <c r="DD1870" s="115"/>
      <c r="DE1870" s="115"/>
      <c r="DF1870" s="115"/>
      <c r="DG1870" s="115"/>
    </row>
    <row r="1871" spans="55:111" hidden="1">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c r="BY1871" s="115"/>
      <c r="BZ1871" s="115"/>
      <c r="CA1871" s="115"/>
      <c r="CB1871" s="115"/>
      <c r="CC1871" s="115"/>
      <c r="CD1871" s="115"/>
      <c r="CE1871" s="115"/>
      <c r="CF1871" s="115"/>
      <c r="CG1871" s="115"/>
      <c r="CH1871" s="115"/>
      <c r="CI1871" s="115"/>
      <c r="CJ1871" s="115"/>
      <c r="CK1871" s="115"/>
      <c r="CL1871" s="115"/>
      <c r="CM1871" s="115"/>
      <c r="CN1871" s="115"/>
      <c r="CO1871" s="115"/>
      <c r="CP1871" s="115"/>
      <c r="CQ1871" s="115"/>
      <c r="CR1871" s="115"/>
      <c r="CS1871" s="115"/>
      <c r="CT1871" s="115"/>
      <c r="CU1871" s="115"/>
      <c r="CV1871" s="115"/>
      <c r="CW1871" s="115"/>
      <c r="CX1871" s="115"/>
      <c r="CY1871" s="115"/>
      <c r="CZ1871" s="115"/>
      <c r="DA1871" s="115"/>
      <c r="DB1871" s="115"/>
      <c r="DC1871" s="115"/>
      <c r="DD1871" s="115"/>
      <c r="DE1871" s="115"/>
      <c r="DF1871" s="115"/>
      <c r="DG1871" s="115"/>
    </row>
    <row r="1872" spans="55:111" hidden="1">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c r="BY1872" s="115"/>
      <c r="BZ1872" s="115"/>
      <c r="CA1872" s="115"/>
      <c r="CB1872" s="115"/>
      <c r="CC1872" s="115"/>
      <c r="CD1872" s="115"/>
      <c r="CE1872" s="115"/>
      <c r="CF1872" s="115"/>
      <c r="CG1872" s="115"/>
      <c r="CH1872" s="115"/>
      <c r="CI1872" s="115"/>
      <c r="CJ1872" s="115"/>
      <c r="CK1872" s="115"/>
      <c r="CL1872" s="115"/>
      <c r="CM1872" s="115"/>
      <c r="CN1872" s="115"/>
      <c r="CO1872" s="115"/>
      <c r="CP1872" s="115"/>
      <c r="CQ1872" s="115"/>
      <c r="CR1872" s="115"/>
      <c r="CS1872" s="115"/>
      <c r="CT1872" s="115"/>
      <c r="CU1872" s="115"/>
      <c r="CV1872" s="115"/>
      <c r="CW1872" s="115"/>
      <c r="CX1872" s="115"/>
      <c r="CY1872" s="115"/>
      <c r="CZ1872" s="115"/>
      <c r="DA1872" s="115"/>
      <c r="DB1872" s="115"/>
      <c r="DC1872" s="115"/>
      <c r="DD1872" s="115"/>
      <c r="DE1872" s="115"/>
      <c r="DF1872" s="115"/>
      <c r="DG1872" s="115"/>
    </row>
    <row r="1873" spans="55:111" hidden="1">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c r="BY1873" s="115"/>
      <c r="BZ1873" s="115"/>
      <c r="CA1873" s="115"/>
      <c r="CB1873" s="115"/>
      <c r="CC1873" s="115"/>
      <c r="CD1873" s="115"/>
      <c r="CE1873" s="115"/>
      <c r="CF1873" s="115"/>
      <c r="CG1873" s="115"/>
      <c r="CH1873" s="115"/>
      <c r="CI1873" s="115"/>
      <c r="CJ1873" s="115"/>
      <c r="CK1873" s="115"/>
      <c r="CL1873" s="115"/>
      <c r="CM1873" s="115"/>
      <c r="CN1873" s="115"/>
      <c r="CO1873" s="115"/>
      <c r="CP1873" s="115"/>
      <c r="CQ1873" s="115"/>
      <c r="CR1873" s="115"/>
      <c r="CS1873" s="115"/>
      <c r="CT1873" s="115"/>
      <c r="CU1873" s="115"/>
      <c r="CV1873" s="115"/>
      <c r="CW1873" s="115"/>
      <c r="CX1873" s="115"/>
      <c r="CY1873" s="115"/>
      <c r="CZ1873" s="115"/>
      <c r="DA1873" s="115"/>
      <c r="DB1873" s="115"/>
      <c r="DC1873" s="115"/>
      <c r="DD1873" s="115"/>
      <c r="DE1873" s="115"/>
      <c r="DF1873" s="115"/>
      <c r="DG1873" s="115"/>
    </row>
    <row r="1874" spans="55:111" hidden="1">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c r="BY1874" s="115"/>
      <c r="BZ1874" s="115"/>
      <c r="CA1874" s="115"/>
      <c r="CB1874" s="115"/>
      <c r="CC1874" s="115"/>
      <c r="CD1874" s="115"/>
      <c r="CE1874" s="115"/>
      <c r="CF1874" s="115"/>
      <c r="CG1874" s="115"/>
      <c r="CH1874" s="115"/>
      <c r="CI1874" s="115"/>
      <c r="CJ1874" s="115"/>
      <c r="CK1874" s="115"/>
      <c r="CL1874" s="115"/>
      <c r="CM1874" s="115"/>
      <c r="CN1874" s="115"/>
      <c r="CO1874" s="115"/>
      <c r="CP1874" s="115"/>
      <c r="CQ1874" s="115"/>
      <c r="CR1874" s="115"/>
      <c r="CS1874" s="115"/>
      <c r="CT1874" s="115"/>
      <c r="CU1874" s="115"/>
      <c r="CV1874" s="115"/>
      <c r="CW1874" s="115"/>
      <c r="CX1874" s="115"/>
      <c r="CY1874" s="115"/>
      <c r="CZ1874" s="115"/>
      <c r="DA1874" s="115"/>
      <c r="DB1874" s="115"/>
      <c r="DC1874" s="115"/>
      <c r="DD1874" s="115"/>
      <c r="DE1874" s="115"/>
      <c r="DF1874" s="115"/>
      <c r="DG1874" s="115"/>
    </row>
    <row r="1875" spans="55:111" hidden="1">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c r="BY1875" s="115"/>
      <c r="BZ1875" s="115"/>
      <c r="CA1875" s="115"/>
      <c r="CB1875" s="115"/>
      <c r="CC1875" s="115"/>
      <c r="CD1875" s="115"/>
      <c r="CE1875" s="115"/>
      <c r="CF1875" s="115"/>
      <c r="CG1875" s="115"/>
      <c r="CH1875" s="115"/>
      <c r="CI1875" s="115"/>
      <c r="CJ1875" s="115"/>
      <c r="CK1875" s="115"/>
      <c r="CL1875" s="115"/>
      <c r="CM1875" s="115"/>
      <c r="CN1875" s="115"/>
      <c r="CO1875" s="115"/>
      <c r="CP1875" s="115"/>
      <c r="CQ1875" s="115"/>
      <c r="CR1875" s="115"/>
      <c r="CS1875" s="115"/>
      <c r="CT1875" s="115"/>
      <c r="CU1875" s="115"/>
      <c r="CV1875" s="115"/>
      <c r="CW1875" s="115"/>
      <c r="CX1875" s="115"/>
      <c r="CY1875" s="115"/>
      <c r="CZ1875" s="115"/>
      <c r="DA1875" s="115"/>
      <c r="DB1875" s="115"/>
      <c r="DC1875" s="115"/>
      <c r="DD1875" s="115"/>
      <c r="DE1875" s="115"/>
      <c r="DF1875" s="115"/>
      <c r="DG1875" s="115"/>
    </row>
    <row r="1876" spans="55:111" hidden="1">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c r="BY1876" s="115"/>
      <c r="BZ1876" s="115"/>
      <c r="CA1876" s="115"/>
      <c r="CB1876" s="115"/>
      <c r="CC1876" s="115"/>
      <c r="CD1876" s="115"/>
      <c r="CE1876" s="115"/>
      <c r="CF1876" s="115"/>
      <c r="CG1876" s="115"/>
      <c r="CH1876" s="115"/>
      <c r="CI1876" s="115"/>
      <c r="CJ1876" s="115"/>
      <c r="CK1876" s="115"/>
      <c r="CL1876" s="115"/>
      <c r="CM1876" s="115"/>
      <c r="CN1876" s="115"/>
      <c r="CO1876" s="115"/>
      <c r="CP1876" s="115"/>
      <c r="CQ1876" s="115"/>
      <c r="CR1876" s="115"/>
      <c r="CS1876" s="115"/>
      <c r="CT1876" s="115"/>
      <c r="CU1876" s="115"/>
      <c r="CV1876" s="115"/>
      <c r="CW1876" s="115"/>
      <c r="CX1876" s="115"/>
      <c r="CY1876" s="115"/>
      <c r="CZ1876" s="115"/>
      <c r="DA1876" s="115"/>
      <c r="DB1876" s="115"/>
      <c r="DC1876" s="115"/>
      <c r="DD1876" s="115"/>
      <c r="DE1876" s="115"/>
      <c r="DF1876" s="115"/>
      <c r="DG1876" s="115"/>
    </row>
    <row r="1877" spans="55:111" hidden="1">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c r="BY1877" s="115"/>
      <c r="BZ1877" s="115"/>
      <c r="CA1877" s="115"/>
      <c r="CB1877" s="115"/>
      <c r="CC1877" s="115"/>
      <c r="CD1877" s="115"/>
      <c r="CE1877" s="115"/>
      <c r="CF1877" s="115"/>
      <c r="CG1877" s="115"/>
      <c r="CH1877" s="115"/>
      <c r="CI1877" s="115"/>
      <c r="CJ1877" s="115"/>
      <c r="CK1877" s="115"/>
      <c r="CL1877" s="115"/>
      <c r="CM1877" s="115"/>
      <c r="CN1877" s="115"/>
      <c r="CO1877" s="115"/>
      <c r="CP1877" s="115"/>
      <c r="CQ1877" s="115"/>
      <c r="CR1877" s="115"/>
      <c r="CS1877" s="115"/>
      <c r="CT1877" s="115"/>
      <c r="CU1877" s="115"/>
      <c r="CV1877" s="115"/>
      <c r="CW1877" s="115"/>
      <c r="CX1877" s="115"/>
      <c r="CY1877" s="115"/>
      <c r="CZ1877" s="115"/>
      <c r="DA1877" s="115"/>
      <c r="DB1877" s="115"/>
      <c r="DC1877" s="115"/>
      <c r="DD1877" s="115"/>
      <c r="DE1877" s="115"/>
      <c r="DF1877" s="115"/>
      <c r="DG1877" s="115"/>
    </row>
    <row r="1878" spans="55:111" hidden="1">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c r="BY1878" s="115"/>
      <c r="BZ1878" s="115"/>
      <c r="CA1878" s="115"/>
      <c r="CB1878" s="115"/>
      <c r="CC1878" s="115"/>
      <c r="CD1878" s="115"/>
      <c r="CE1878" s="115"/>
      <c r="CF1878" s="115"/>
      <c r="CG1878" s="115"/>
      <c r="CH1878" s="115"/>
      <c r="CI1878" s="115"/>
      <c r="CJ1878" s="115"/>
      <c r="CK1878" s="115"/>
      <c r="CL1878" s="115"/>
      <c r="CM1878" s="115"/>
      <c r="CN1878" s="115"/>
      <c r="CO1878" s="115"/>
      <c r="CP1878" s="115"/>
      <c r="CQ1878" s="115"/>
      <c r="CR1878" s="115"/>
      <c r="CS1878" s="115"/>
      <c r="CT1878" s="115"/>
      <c r="CU1878" s="115"/>
      <c r="CV1878" s="115"/>
      <c r="CW1878" s="115"/>
      <c r="CX1878" s="115"/>
      <c r="CY1878" s="115"/>
      <c r="CZ1878" s="115"/>
      <c r="DA1878" s="115"/>
      <c r="DB1878" s="115"/>
      <c r="DC1878" s="115"/>
      <c r="DD1878" s="115"/>
      <c r="DE1878" s="115"/>
      <c r="DF1878" s="115"/>
      <c r="DG1878" s="115"/>
    </row>
    <row r="1879" spans="55:111" hidden="1">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c r="BY1879" s="115"/>
      <c r="BZ1879" s="115"/>
      <c r="CA1879" s="115"/>
      <c r="CB1879" s="115"/>
      <c r="CC1879" s="115"/>
      <c r="CD1879" s="115"/>
      <c r="CE1879" s="115"/>
      <c r="CF1879" s="115"/>
      <c r="CG1879" s="115"/>
      <c r="CH1879" s="115"/>
      <c r="CI1879" s="115"/>
      <c r="CJ1879" s="115"/>
      <c r="CK1879" s="115"/>
      <c r="CL1879" s="115"/>
      <c r="CM1879" s="115"/>
      <c r="CN1879" s="115"/>
      <c r="CO1879" s="115"/>
      <c r="CP1879" s="115"/>
      <c r="CQ1879" s="115"/>
      <c r="CR1879" s="115"/>
      <c r="CS1879" s="115"/>
      <c r="CT1879" s="115"/>
      <c r="CU1879" s="115"/>
      <c r="CV1879" s="115"/>
      <c r="CW1879" s="115"/>
      <c r="CX1879" s="115"/>
      <c r="CY1879" s="115"/>
      <c r="CZ1879" s="115"/>
      <c r="DA1879" s="115"/>
      <c r="DB1879" s="115"/>
      <c r="DC1879" s="115"/>
      <c r="DD1879" s="115"/>
      <c r="DE1879" s="115"/>
      <c r="DF1879" s="115"/>
      <c r="DG1879" s="115"/>
    </row>
    <row r="1880" spans="55:111" hidden="1">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c r="BY1880" s="115"/>
      <c r="BZ1880" s="115"/>
      <c r="CA1880" s="115"/>
      <c r="CB1880" s="115"/>
      <c r="CC1880" s="115"/>
      <c r="CD1880" s="115"/>
      <c r="CE1880" s="115"/>
      <c r="CF1880" s="115"/>
      <c r="CG1880" s="115"/>
      <c r="CH1880" s="115"/>
      <c r="CI1880" s="115"/>
      <c r="CJ1880" s="115"/>
      <c r="CK1880" s="115"/>
      <c r="CL1880" s="115"/>
      <c r="CM1880" s="115"/>
      <c r="CN1880" s="115"/>
      <c r="CO1880" s="115"/>
      <c r="CP1880" s="115"/>
      <c r="CQ1880" s="115"/>
      <c r="CR1880" s="115"/>
      <c r="CS1880" s="115"/>
      <c r="CT1880" s="115"/>
      <c r="CU1880" s="115"/>
      <c r="CV1880" s="115"/>
      <c r="CW1880" s="115"/>
      <c r="CX1880" s="115"/>
      <c r="CY1880" s="115"/>
      <c r="CZ1880" s="115"/>
      <c r="DA1880" s="115"/>
      <c r="DB1880" s="115"/>
      <c r="DC1880" s="115"/>
      <c r="DD1880" s="115"/>
      <c r="DE1880" s="115"/>
      <c r="DF1880" s="115"/>
      <c r="DG1880" s="115"/>
    </row>
    <row r="1881" spans="55:111" hidden="1">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c r="BY1881" s="115"/>
      <c r="BZ1881" s="115"/>
      <c r="CA1881" s="115"/>
      <c r="CB1881" s="115"/>
      <c r="CC1881" s="115"/>
      <c r="CD1881" s="115"/>
      <c r="CE1881" s="115"/>
      <c r="CF1881" s="115"/>
      <c r="CG1881" s="115"/>
      <c r="CH1881" s="115"/>
      <c r="CI1881" s="115"/>
      <c r="CJ1881" s="115"/>
      <c r="CK1881" s="115"/>
      <c r="CL1881" s="115"/>
      <c r="CM1881" s="115"/>
      <c r="CN1881" s="115"/>
      <c r="CO1881" s="115"/>
      <c r="CP1881" s="115"/>
      <c r="CQ1881" s="115"/>
      <c r="CR1881" s="115"/>
      <c r="CS1881" s="115"/>
      <c r="CT1881" s="115"/>
      <c r="CU1881" s="115"/>
      <c r="CV1881" s="115"/>
      <c r="CW1881" s="115"/>
      <c r="CX1881" s="115"/>
      <c r="CY1881" s="115"/>
      <c r="CZ1881" s="115"/>
      <c r="DA1881" s="115"/>
      <c r="DB1881" s="115"/>
      <c r="DC1881" s="115"/>
      <c r="DD1881" s="115"/>
      <c r="DE1881" s="115"/>
      <c r="DF1881" s="115"/>
      <c r="DG1881" s="115"/>
    </row>
    <row r="1882" spans="55:111" hidden="1">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c r="BY1882" s="115"/>
      <c r="BZ1882" s="115"/>
      <c r="CA1882" s="115"/>
      <c r="CB1882" s="115"/>
      <c r="CC1882" s="115"/>
      <c r="CD1882" s="115"/>
      <c r="CE1882" s="115"/>
      <c r="CF1882" s="115"/>
      <c r="CG1882" s="115"/>
      <c r="CH1882" s="115"/>
      <c r="CI1882" s="115"/>
      <c r="CJ1882" s="115"/>
      <c r="CK1882" s="115"/>
      <c r="CL1882" s="115"/>
      <c r="CM1882" s="115"/>
      <c r="CN1882" s="115"/>
      <c r="CO1882" s="115"/>
      <c r="CP1882" s="115"/>
      <c r="CQ1882" s="115"/>
      <c r="CR1882" s="115"/>
      <c r="CS1882" s="115"/>
      <c r="CT1882" s="115"/>
      <c r="CU1882" s="115"/>
      <c r="CV1882" s="115"/>
      <c r="CW1882" s="115"/>
      <c r="CX1882" s="115"/>
      <c r="CY1882" s="115"/>
      <c r="CZ1882" s="115"/>
      <c r="DA1882" s="115"/>
      <c r="DB1882" s="115"/>
      <c r="DC1882" s="115"/>
      <c r="DD1882" s="115"/>
      <c r="DE1882" s="115"/>
      <c r="DF1882" s="115"/>
      <c r="DG1882" s="115"/>
    </row>
    <row r="1883" spans="55:111" hidden="1">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c r="BY1883" s="115"/>
      <c r="BZ1883" s="115"/>
      <c r="CA1883" s="115"/>
      <c r="CB1883" s="115"/>
      <c r="CC1883" s="115"/>
      <c r="CD1883" s="115"/>
      <c r="CE1883" s="115"/>
      <c r="CF1883" s="115"/>
      <c r="CG1883" s="115"/>
      <c r="CH1883" s="115"/>
      <c r="CI1883" s="115"/>
      <c r="CJ1883" s="115"/>
      <c r="CK1883" s="115"/>
      <c r="CL1883" s="115"/>
      <c r="CM1883" s="115"/>
      <c r="CN1883" s="115"/>
      <c r="CO1883" s="115"/>
      <c r="CP1883" s="115"/>
      <c r="CQ1883" s="115"/>
      <c r="CR1883" s="115"/>
      <c r="CS1883" s="115"/>
      <c r="CT1883" s="115"/>
      <c r="CU1883" s="115"/>
      <c r="CV1883" s="115"/>
      <c r="CW1883" s="115"/>
      <c r="CX1883" s="115"/>
      <c r="CY1883" s="115"/>
      <c r="CZ1883" s="115"/>
      <c r="DA1883" s="115"/>
      <c r="DB1883" s="115"/>
      <c r="DC1883" s="115"/>
      <c r="DD1883" s="115"/>
      <c r="DE1883" s="115"/>
      <c r="DF1883" s="115"/>
      <c r="DG1883" s="115"/>
    </row>
    <row r="1884" spans="55:111" hidden="1">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c r="BY1884" s="115"/>
      <c r="BZ1884" s="115"/>
      <c r="CA1884" s="115"/>
      <c r="CB1884" s="115"/>
      <c r="CC1884" s="115"/>
      <c r="CD1884" s="115"/>
      <c r="CE1884" s="115"/>
      <c r="CF1884" s="115"/>
      <c r="CG1884" s="115"/>
      <c r="CH1884" s="115"/>
      <c r="CI1884" s="115"/>
      <c r="CJ1884" s="115"/>
      <c r="CK1884" s="115"/>
      <c r="CL1884" s="115"/>
      <c r="CM1884" s="115"/>
      <c r="CN1884" s="115"/>
      <c r="CO1884" s="115"/>
      <c r="CP1884" s="115"/>
      <c r="CQ1884" s="115"/>
      <c r="CR1884" s="115"/>
      <c r="CS1884" s="115"/>
      <c r="CT1884" s="115"/>
      <c r="CU1884" s="115"/>
      <c r="CV1884" s="115"/>
      <c r="CW1884" s="115"/>
      <c r="CX1884" s="115"/>
      <c r="CY1884" s="115"/>
      <c r="CZ1884" s="115"/>
      <c r="DA1884" s="115"/>
      <c r="DB1884" s="115"/>
      <c r="DC1884" s="115"/>
      <c r="DD1884" s="115"/>
      <c r="DE1884" s="115"/>
      <c r="DF1884" s="115"/>
      <c r="DG1884" s="115"/>
    </row>
    <row r="1885" spans="55:111" hidden="1">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c r="BY1885" s="115"/>
      <c r="BZ1885" s="115"/>
      <c r="CA1885" s="115"/>
      <c r="CB1885" s="115"/>
      <c r="CC1885" s="115"/>
      <c r="CD1885" s="115"/>
      <c r="CE1885" s="115"/>
      <c r="CF1885" s="115"/>
      <c r="CG1885" s="115"/>
      <c r="CH1885" s="115"/>
      <c r="CI1885" s="115"/>
      <c r="CJ1885" s="115"/>
      <c r="CK1885" s="115"/>
      <c r="CL1885" s="115"/>
      <c r="CM1885" s="115"/>
      <c r="CN1885" s="115"/>
      <c r="CO1885" s="115"/>
      <c r="CP1885" s="115"/>
      <c r="CQ1885" s="115"/>
      <c r="CR1885" s="115"/>
      <c r="CS1885" s="115"/>
      <c r="CT1885" s="115"/>
      <c r="CU1885" s="115"/>
      <c r="CV1885" s="115"/>
      <c r="CW1885" s="115"/>
      <c r="CX1885" s="115"/>
      <c r="CY1885" s="115"/>
      <c r="CZ1885" s="115"/>
      <c r="DA1885" s="115"/>
      <c r="DB1885" s="115"/>
      <c r="DC1885" s="115"/>
      <c r="DD1885" s="115"/>
      <c r="DE1885" s="115"/>
      <c r="DF1885" s="115"/>
      <c r="DG1885" s="115"/>
    </row>
    <row r="1886" spans="55:111" hidden="1">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c r="BY1886" s="115"/>
      <c r="BZ1886" s="115"/>
      <c r="CA1886" s="115"/>
      <c r="CB1886" s="115"/>
      <c r="CC1886" s="115"/>
      <c r="CD1886" s="115"/>
      <c r="CE1886" s="115"/>
      <c r="CF1886" s="115"/>
      <c r="CG1886" s="115"/>
      <c r="CH1886" s="115"/>
      <c r="CI1886" s="115"/>
      <c r="CJ1886" s="115"/>
      <c r="CK1886" s="115"/>
      <c r="CL1886" s="115"/>
      <c r="CM1886" s="115"/>
      <c r="CN1886" s="115"/>
      <c r="CO1886" s="115"/>
      <c r="CP1886" s="115"/>
      <c r="CQ1886" s="115"/>
      <c r="CR1886" s="115"/>
      <c r="CS1886" s="115"/>
      <c r="CT1886" s="115"/>
      <c r="CU1886" s="115"/>
      <c r="CV1886" s="115"/>
      <c r="CW1886" s="115"/>
      <c r="CX1886" s="115"/>
      <c r="CY1886" s="115"/>
      <c r="CZ1886" s="115"/>
      <c r="DA1886" s="115"/>
      <c r="DB1886" s="115"/>
      <c r="DC1886" s="115"/>
      <c r="DD1886" s="115"/>
      <c r="DE1886" s="115"/>
      <c r="DF1886" s="115"/>
      <c r="DG1886" s="115"/>
    </row>
    <row r="1887" spans="55:111" hidden="1">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c r="BY1887" s="115"/>
      <c r="BZ1887" s="115"/>
      <c r="CA1887" s="115"/>
      <c r="CB1887" s="115"/>
      <c r="CC1887" s="115"/>
      <c r="CD1887" s="115"/>
      <c r="CE1887" s="115"/>
      <c r="CF1887" s="115"/>
      <c r="CG1887" s="115"/>
      <c r="CH1887" s="115"/>
      <c r="CI1887" s="115"/>
      <c r="CJ1887" s="115"/>
      <c r="CK1887" s="115"/>
      <c r="CL1887" s="115"/>
      <c r="CM1887" s="115"/>
      <c r="CN1887" s="115"/>
      <c r="CO1887" s="115"/>
      <c r="CP1887" s="115"/>
      <c r="CQ1887" s="115"/>
      <c r="CR1887" s="115"/>
      <c r="CS1887" s="115"/>
      <c r="CT1887" s="115"/>
      <c r="CU1887" s="115"/>
      <c r="CV1887" s="115"/>
      <c r="CW1887" s="115"/>
      <c r="CX1887" s="115"/>
      <c r="CY1887" s="115"/>
      <c r="CZ1887" s="115"/>
      <c r="DA1887" s="115"/>
      <c r="DB1887" s="115"/>
      <c r="DC1887" s="115"/>
      <c r="DD1887" s="115"/>
      <c r="DE1887" s="115"/>
      <c r="DF1887" s="115"/>
      <c r="DG1887" s="115"/>
    </row>
    <row r="1888" spans="55:111" hidden="1">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c r="BY1888" s="115"/>
      <c r="BZ1888" s="115"/>
      <c r="CA1888" s="115"/>
      <c r="CB1888" s="115"/>
      <c r="CC1888" s="115"/>
      <c r="CD1888" s="115"/>
      <c r="CE1888" s="115"/>
      <c r="CF1888" s="115"/>
      <c r="CG1888" s="115"/>
      <c r="CH1888" s="115"/>
      <c r="CI1888" s="115"/>
      <c r="CJ1888" s="115"/>
      <c r="CK1888" s="115"/>
      <c r="CL1888" s="115"/>
      <c r="CM1888" s="115"/>
      <c r="CN1888" s="115"/>
      <c r="CO1888" s="115"/>
      <c r="CP1888" s="115"/>
      <c r="CQ1888" s="115"/>
      <c r="CR1888" s="115"/>
      <c r="CS1888" s="115"/>
      <c r="CT1888" s="115"/>
      <c r="CU1888" s="115"/>
      <c r="CV1888" s="115"/>
      <c r="CW1888" s="115"/>
      <c r="CX1888" s="115"/>
      <c r="CY1888" s="115"/>
      <c r="CZ1888" s="115"/>
      <c r="DA1888" s="115"/>
      <c r="DB1888" s="115"/>
      <c r="DC1888" s="115"/>
      <c r="DD1888" s="115"/>
      <c r="DE1888" s="115"/>
      <c r="DF1888" s="115"/>
      <c r="DG1888" s="115"/>
    </row>
    <row r="1889" spans="55:111" hidden="1">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c r="BY1889" s="115"/>
      <c r="BZ1889" s="115"/>
      <c r="CA1889" s="115"/>
      <c r="CB1889" s="115"/>
      <c r="CC1889" s="115"/>
      <c r="CD1889" s="115"/>
      <c r="CE1889" s="115"/>
      <c r="CF1889" s="115"/>
      <c r="CG1889" s="115"/>
      <c r="CH1889" s="115"/>
      <c r="CI1889" s="115"/>
      <c r="CJ1889" s="115"/>
      <c r="CK1889" s="115"/>
      <c r="CL1889" s="115"/>
      <c r="CM1889" s="115"/>
      <c r="CN1889" s="115"/>
      <c r="CO1889" s="115"/>
      <c r="CP1889" s="115"/>
      <c r="CQ1889" s="115"/>
      <c r="CR1889" s="115"/>
      <c r="CS1889" s="115"/>
      <c r="CT1889" s="115"/>
      <c r="CU1889" s="115"/>
      <c r="CV1889" s="115"/>
      <c r="CW1889" s="115"/>
      <c r="CX1889" s="115"/>
      <c r="CY1889" s="115"/>
      <c r="CZ1889" s="115"/>
      <c r="DA1889" s="115"/>
      <c r="DB1889" s="115"/>
      <c r="DC1889" s="115"/>
      <c r="DD1889" s="115"/>
      <c r="DE1889" s="115"/>
      <c r="DF1889" s="115"/>
      <c r="DG1889" s="115"/>
    </row>
    <row r="1890" spans="55:111" hidden="1">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c r="BY1890" s="115"/>
      <c r="BZ1890" s="115"/>
      <c r="CA1890" s="115"/>
      <c r="CB1890" s="115"/>
      <c r="CC1890" s="115"/>
      <c r="CD1890" s="115"/>
      <c r="CE1890" s="115"/>
      <c r="CF1890" s="115"/>
      <c r="CG1890" s="115"/>
      <c r="CH1890" s="115"/>
      <c r="CI1890" s="115"/>
      <c r="CJ1890" s="115"/>
      <c r="CK1890" s="115"/>
      <c r="CL1890" s="115"/>
      <c r="CM1890" s="115"/>
      <c r="CN1890" s="115"/>
      <c r="CO1890" s="115"/>
      <c r="CP1890" s="115"/>
      <c r="CQ1890" s="115"/>
      <c r="CR1890" s="115"/>
      <c r="CS1890" s="115"/>
      <c r="CT1890" s="115"/>
      <c r="CU1890" s="115"/>
      <c r="CV1890" s="115"/>
      <c r="CW1890" s="115"/>
      <c r="CX1890" s="115"/>
      <c r="CY1890" s="115"/>
      <c r="CZ1890" s="115"/>
      <c r="DA1890" s="115"/>
      <c r="DB1890" s="115"/>
      <c r="DC1890" s="115"/>
      <c r="DD1890" s="115"/>
      <c r="DE1890" s="115"/>
      <c r="DF1890" s="115"/>
      <c r="DG1890" s="115"/>
    </row>
    <row r="1891" spans="55:111" hidden="1">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c r="BY1891" s="115"/>
      <c r="BZ1891" s="115"/>
      <c r="CA1891" s="115"/>
      <c r="CB1891" s="115"/>
      <c r="CC1891" s="115"/>
      <c r="CD1891" s="115"/>
      <c r="CE1891" s="115"/>
      <c r="CF1891" s="115"/>
      <c r="CG1891" s="115"/>
      <c r="CH1891" s="115"/>
      <c r="CI1891" s="115"/>
      <c r="CJ1891" s="115"/>
      <c r="CK1891" s="115"/>
      <c r="CL1891" s="115"/>
      <c r="CM1891" s="115"/>
      <c r="CN1891" s="115"/>
      <c r="CO1891" s="115"/>
      <c r="CP1891" s="115"/>
      <c r="CQ1891" s="115"/>
      <c r="CR1891" s="115"/>
      <c r="CS1891" s="115"/>
      <c r="CT1891" s="115"/>
      <c r="CU1891" s="115"/>
      <c r="CV1891" s="115"/>
      <c r="CW1891" s="115"/>
      <c r="CX1891" s="115"/>
      <c r="CY1891" s="115"/>
      <c r="CZ1891" s="115"/>
      <c r="DA1891" s="115"/>
      <c r="DB1891" s="115"/>
      <c r="DC1891" s="115"/>
      <c r="DD1891" s="115"/>
      <c r="DE1891" s="115"/>
      <c r="DF1891" s="115"/>
      <c r="DG1891" s="115"/>
    </row>
    <row r="1892" spans="55:111" hidden="1">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c r="BY1892" s="115"/>
      <c r="BZ1892" s="115"/>
      <c r="CA1892" s="115"/>
      <c r="CB1892" s="115"/>
      <c r="CC1892" s="115"/>
      <c r="CD1892" s="115"/>
      <c r="CE1892" s="115"/>
      <c r="CF1892" s="115"/>
      <c r="CG1892" s="115"/>
      <c r="CH1892" s="115"/>
      <c r="CI1892" s="115"/>
      <c r="CJ1892" s="115"/>
      <c r="CK1892" s="115"/>
      <c r="CL1892" s="115"/>
      <c r="CM1892" s="115"/>
      <c r="CN1892" s="115"/>
      <c r="CO1892" s="115"/>
      <c r="CP1892" s="115"/>
      <c r="CQ1892" s="115"/>
      <c r="CR1892" s="115"/>
      <c r="CS1892" s="115"/>
      <c r="CT1892" s="115"/>
      <c r="CU1892" s="115"/>
      <c r="CV1892" s="115"/>
      <c r="CW1892" s="115"/>
      <c r="CX1892" s="115"/>
      <c r="CY1892" s="115"/>
      <c r="CZ1892" s="115"/>
      <c r="DA1892" s="115"/>
      <c r="DB1892" s="115"/>
      <c r="DC1892" s="115"/>
      <c r="DD1892" s="115"/>
      <c r="DE1892" s="115"/>
      <c r="DF1892" s="115"/>
      <c r="DG1892" s="115"/>
    </row>
    <row r="1893" spans="55:111" hidden="1">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c r="BY1893" s="115"/>
      <c r="BZ1893" s="115"/>
      <c r="CA1893" s="115"/>
      <c r="CB1893" s="115"/>
      <c r="CC1893" s="115"/>
      <c r="CD1893" s="115"/>
      <c r="CE1893" s="115"/>
      <c r="CF1893" s="115"/>
      <c r="CG1893" s="115"/>
      <c r="CH1893" s="115"/>
      <c r="CI1893" s="115"/>
      <c r="CJ1893" s="115"/>
      <c r="CK1893" s="115"/>
      <c r="CL1893" s="115"/>
      <c r="CM1893" s="115"/>
      <c r="CN1893" s="115"/>
      <c r="CO1893" s="115"/>
      <c r="CP1893" s="115"/>
      <c r="CQ1893" s="115"/>
      <c r="CR1893" s="115"/>
      <c r="CS1893" s="115"/>
      <c r="CT1893" s="115"/>
      <c r="CU1893" s="115"/>
      <c r="CV1893" s="115"/>
      <c r="CW1893" s="115"/>
      <c r="CX1893" s="115"/>
      <c r="CY1893" s="115"/>
      <c r="CZ1893" s="115"/>
      <c r="DA1893" s="115"/>
      <c r="DB1893" s="115"/>
      <c r="DC1893" s="115"/>
      <c r="DD1893" s="115"/>
      <c r="DE1893" s="115"/>
      <c r="DF1893" s="115"/>
      <c r="DG1893" s="115"/>
    </row>
    <row r="1894" spans="55:111" hidden="1">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c r="BY1894" s="115"/>
      <c r="BZ1894" s="115"/>
      <c r="CA1894" s="115"/>
      <c r="CB1894" s="115"/>
      <c r="CC1894" s="115"/>
      <c r="CD1894" s="115"/>
      <c r="CE1894" s="115"/>
      <c r="CF1894" s="115"/>
      <c r="CG1894" s="115"/>
      <c r="CH1894" s="115"/>
      <c r="CI1894" s="115"/>
      <c r="CJ1894" s="115"/>
      <c r="CK1894" s="115"/>
      <c r="CL1894" s="115"/>
      <c r="CM1894" s="115"/>
      <c r="CN1894" s="115"/>
      <c r="CO1894" s="115"/>
      <c r="CP1894" s="115"/>
      <c r="CQ1894" s="115"/>
      <c r="CR1894" s="115"/>
      <c r="CS1894" s="115"/>
      <c r="CT1894" s="115"/>
      <c r="CU1894" s="115"/>
      <c r="CV1894" s="115"/>
      <c r="CW1894" s="115"/>
      <c r="CX1894" s="115"/>
      <c r="CY1894" s="115"/>
      <c r="CZ1894" s="115"/>
      <c r="DA1894" s="115"/>
      <c r="DB1894" s="115"/>
      <c r="DC1894" s="115"/>
      <c r="DD1894" s="115"/>
      <c r="DE1894" s="115"/>
      <c r="DF1894" s="115"/>
      <c r="DG1894" s="115"/>
    </row>
    <row r="1895" spans="55:111" hidden="1">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c r="BY1895" s="115"/>
      <c r="BZ1895" s="115"/>
      <c r="CA1895" s="115"/>
      <c r="CB1895" s="115"/>
      <c r="CC1895" s="115"/>
      <c r="CD1895" s="115"/>
      <c r="CE1895" s="115"/>
      <c r="CF1895" s="115"/>
      <c r="CG1895" s="115"/>
      <c r="CH1895" s="115"/>
      <c r="CI1895" s="115"/>
      <c r="CJ1895" s="115"/>
      <c r="CK1895" s="115"/>
      <c r="CL1895" s="115"/>
      <c r="CM1895" s="115"/>
      <c r="CN1895" s="115"/>
      <c r="CO1895" s="115"/>
      <c r="CP1895" s="115"/>
      <c r="CQ1895" s="115"/>
      <c r="CR1895" s="115"/>
      <c r="CS1895" s="115"/>
      <c r="CT1895" s="115"/>
      <c r="CU1895" s="115"/>
      <c r="CV1895" s="115"/>
      <c r="CW1895" s="115"/>
      <c r="CX1895" s="115"/>
      <c r="CY1895" s="115"/>
      <c r="CZ1895" s="115"/>
      <c r="DA1895" s="115"/>
      <c r="DB1895" s="115"/>
      <c r="DC1895" s="115"/>
      <c r="DD1895" s="115"/>
      <c r="DE1895" s="115"/>
      <c r="DF1895" s="115"/>
      <c r="DG1895" s="115"/>
    </row>
    <row r="1896" spans="55:111" hidden="1">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c r="BY1896" s="115"/>
      <c r="BZ1896" s="115"/>
      <c r="CA1896" s="115"/>
      <c r="CB1896" s="115"/>
      <c r="CC1896" s="115"/>
      <c r="CD1896" s="115"/>
      <c r="CE1896" s="115"/>
      <c r="CF1896" s="115"/>
      <c r="CG1896" s="115"/>
      <c r="CH1896" s="115"/>
      <c r="CI1896" s="115"/>
      <c r="CJ1896" s="115"/>
      <c r="CK1896" s="115"/>
      <c r="CL1896" s="115"/>
      <c r="CM1896" s="115"/>
      <c r="CN1896" s="115"/>
      <c r="CO1896" s="115"/>
      <c r="CP1896" s="115"/>
      <c r="CQ1896" s="115"/>
      <c r="CR1896" s="115"/>
      <c r="CS1896" s="115"/>
      <c r="CT1896" s="115"/>
      <c r="CU1896" s="115"/>
      <c r="CV1896" s="115"/>
      <c r="CW1896" s="115"/>
      <c r="CX1896" s="115"/>
      <c r="CY1896" s="115"/>
      <c r="CZ1896" s="115"/>
      <c r="DA1896" s="115"/>
      <c r="DB1896" s="115"/>
      <c r="DC1896" s="115"/>
      <c r="DD1896" s="115"/>
      <c r="DE1896" s="115"/>
      <c r="DF1896" s="115"/>
      <c r="DG1896" s="115"/>
    </row>
    <row r="1897" spans="55:111" hidden="1">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c r="BY1897" s="115"/>
      <c r="BZ1897" s="115"/>
      <c r="CA1897" s="115"/>
      <c r="CB1897" s="115"/>
      <c r="CC1897" s="115"/>
      <c r="CD1897" s="115"/>
      <c r="CE1897" s="115"/>
      <c r="CF1897" s="115"/>
      <c r="CG1897" s="115"/>
      <c r="CH1897" s="115"/>
      <c r="CI1897" s="115"/>
      <c r="CJ1897" s="115"/>
      <c r="CK1897" s="115"/>
      <c r="CL1897" s="115"/>
      <c r="CM1897" s="115"/>
      <c r="CN1897" s="115"/>
      <c r="CO1897" s="115"/>
      <c r="CP1897" s="115"/>
      <c r="CQ1897" s="115"/>
      <c r="CR1897" s="115"/>
      <c r="CS1897" s="115"/>
      <c r="CT1897" s="115"/>
      <c r="CU1897" s="115"/>
      <c r="CV1897" s="115"/>
      <c r="CW1897" s="115"/>
      <c r="CX1897" s="115"/>
      <c r="CY1897" s="115"/>
      <c r="CZ1897" s="115"/>
      <c r="DA1897" s="115"/>
      <c r="DB1897" s="115"/>
      <c r="DC1897" s="115"/>
      <c r="DD1897" s="115"/>
      <c r="DE1897" s="115"/>
      <c r="DF1897" s="115"/>
      <c r="DG1897" s="115"/>
    </row>
    <row r="1898" spans="55:111" hidden="1">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c r="BY1898" s="115"/>
      <c r="BZ1898" s="115"/>
      <c r="CA1898" s="115"/>
      <c r="CB1898" s="115"/>
      <c r="CC1898" s="115"/>
      <c r="CD1898" s="115"/>
      <c r="CE1898" s="115"/>
      <c r="CF1898" s="115"/>
      <c r="CG1898" s="115"/>
      <c r="CH1898" s="115"/>
      <c r="CI1898" s="115"/>
      <c r="CJ1898" s="115"/>
      <c r="CK1898" s="115"/>
      <c r="CL1898" s="115"/>
      <c r="CM1898" s="115"/>
      <c r="CN1898" s="115"/>
      <c r="CO1898" s="115"/>
      <c r="CP1898" s="115"/>
      <c r="CQ1898" s="115"/>
      <c r="CR1898" s="115"/>
      <c r="CS1898" s="115"/>
      <c r="CT1898" s="115"/>
      <c r="CU1898" s="115"/>
      <c r="CV1898" s="115"/>
      <c r="CW1898" s="115"/>
      <c r="CX1898" s="115"/>
      <c r="CY1898" s="115"/>
      <c r="CZ1898" s="115"/>
      <c r="DA1898" s="115"/>
      <c r="DB1898" s="115"/>
      <c r="DC1898" s="115"/>
      <c r="DD1898" s="115"/>
      <c r="DE1898" s="115"/>
      <c r="DF1898" s="115"/>
      <c r="DG1898" s="115"/>
    </row>
    <row r="1899" spans="55:111" hidden="1">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c r="BY1899" s="115"/>
      <c r="BZ1899" s="115"/>
      <c r="CA1899" s="115"/>
      <c r="CB1899" s="115"/>
      <c r="CC1899" s="115"/>
      <c r="CD1899" s="115"/>
      <c r="CE1899" s="115"/>
      <c r="CF1899" s="115"/>
      <c r="CG1899" s="115"/>
      <c r="CH1899" s="115"/>
      <c r="CI1899" s="115"/>
      <c r="CJ1899" s="115"/>
      <c r="CK1899" s="115"/>
      <c r="CL1899" s="115"/>
      <c r="CM1899" s="115"/>
      <c r="CN1899" s="115"/>
      <c r="CO1899" s="115"/>
      <c r="CP1899" s="115"/>
      <c r="CQ1899" s="115"/>
      <c r="CR1899" s="115"/>
      <c r="CS1899" s="115"/>
      <c r="CT1899" s="115"/>
      <c r="CU1899" s="115"/>
      <c r="CV1899" s="115"/>
      <c r="CW1899" s="115"/>
      <c r="CX1899" s="115"/>
      <c r="CY1899" s="115"/>
      <c r="CZ1899" s="115"/>
      <c r="DA1899" s="115"/>
      <c r="DB1899" s="115"/>
      <c r="DC1899" s="115"/>
      <c r="DD1899" s="115"/>
      <c r="DE1899" s="115"/>
      <c r="DF1899" s="115"/>
      <c r="DG1899" s="115"/>
    </row>
    <row r="1900" spans="55:111" hidden="1">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c r="BY1900" s="115"/>
      <c r="BZ1900" s="115"/>
      <c r="CA1900" s="115"/>
      <c r="CB1900" s="115"/>
      <c r="CC1900" s="115"/>
      <c r="CD1900" s="115"/>
      <c r="CE1900" s="115"/>
      <c r="CF1900" s="115"/>
      <c r="CG1900" s="115"/>
      <c r="CH1900" s="115"/>
      <c r="CI1900" s="115"/>
      <c r="CJ1900" s="115"/>
      <c r="CK1900" s="115"/>
      <c r="CL1900" s="115"/>
      <c r="CM1900" s="115"/>
      <c r="CN1900" s="115"/>
      <c r="CO1900" s="115"/>
      <c r="CP1900" s="115"/>
      <c r="CQ1900" s="115"/>
      <c r="CR1900" s="115"/>
      <c r="CS1900" s="115"/>
      <c r="CT1900" s="115"/>
      <c r="CU1900" s="115"/>
      <c r="CV1900" s="115"/>
      <c r="CW1900" s="115"/>
      <c r="CX1900" s="115"/>
      <c r="CY1900" s="115"/>
      <c r="CZ1900" s="115"/>
      <c r="DA1900" s="115"/>
      <c r="DB1900" s="115"/>
      <c r="DC1900" s="115"/>
      <c r="DD1900" s="115"/>
      <c r="DE1900" s="115"/>
      <c r="DF1900" s="115"/>
      <c r="DG1900" s="115"/>
    </row>
    <row r="1901" spans="55:111" hidden="1">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c r="BY1901" s="115"/>
      <c r="BZ1901" s="115"/>
      <c r="CA1901" s="115"/>
      <c r="CB1901" s="115"/>
      <c r="CC1901" s="115"/>
      <c r="CD1901" s="115"/>
      <c r="CE1901" s="115"/>
      <c r="CF1901" s="115"/>
      <c r="CG1901" s="115"/>
      <c r="CH1901" s="115"/>
      <c r="CI1901" s="115"/>
      <c r="CJ1901" s="115"/>
      <c r="CK1901" s="115"/>
      <c r="CL1901" s="115"/>
      <c r="CM1901" s="115"/>
      <c r="CN1901" s="115"/>
      <c r="CO1901" s="115"/>
      <c r="CP1901" s="115"/>
      <c r="CQ1901" s="115"/>
      <c r="CR1901" s="115"/>
      <c r="CS1901" s="115"/>
      <c r="CT1901" s="115"/>
      <c r="CU1901" s="115"/>
      <c r="CV1901" s="115"/>
      <c r="CW1901" s="115"/>
      <c r="CX1901" s="115"/>
      <c r="CY1901" s="115"/>
      <c r="CZ1901" s="115"/>
      <c r="DA1901" s="115"/>
      <c r="DB1901" s="115"/>
      <c r="DC1901" s="115"/>
      <c r="DD1901" s="115"/>
      <c r="DE1901" s="115"/>
      <c r="DF1901" s="115"/>
      <c r="DG1901" s="115"/>
    </row>
    <row r="1902" spans="55:111" hidden="1">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c r="BY1902" s="115"/>
      <c r="BZ1902" s="115"/>
      <c r="CA1902" s="115"/>
      <c r="CB1902" s="115"/>
      <c r="CC1902" s="115"/>
      <c r="CD1902" s="115"/>
      <c r="CE1902" s="115"/>
      <c r="CF1902" s="115"/>
      <c r="CG1902" s="115"/>
      <c r="CH1902" s="115"/>
      <c r="CI1902" s="115"/>
      <c r="CJ1902" s="115"/>
      <c r="CK1902" s="115"/>
      <c r="CL1902" s="115"/>
      <c r="CM1902" s="115"/>
      <c r="CN1902" s="115"/>
      <c r="CO1902" s="115"/>
      <c r="CP1902" s="115"/>
      <c r="CQ1902" s="115"/>
      <c r="CR1902" s="115"/>
      <c r="CS1902" s="115"/>
      <c r="CT1902" s="115"/>
      <c r="CU1902" s="115"/>
      <c r="CV1902" s="115"/>
      <c r="CW1902" s="115"/>
      <c r="CX1902" s="115"/>
      <c r="CY1902" s="115"/>
      <c r="CZ1902" s="115"/>
      <c r="DA1902" s="115"/>
      <c r="DB1902" s="115"/>
      <c r="DC1902" s="115"/>
      <c r="DD1902" s="115"/>
      <c r="DE1902" s="115"/>
      <c r="DF1902" s="115"/>
      <c r="DG1902" s="115"/>
    </row>
    <row r="1903" spans="55:111" hidden="1">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c r="BY1903" s="115"/>
      <c r="BZ1903" s="115"/>
      <c r="CA1903" s="115"/>
      <c r="CB1903" s="115"/>
      <c r="CC1903" s="115"/>
      <c r="CD1903" s="115"/>
      <c r="CE1903" s="115"/>
      <c r="CF1903" s="115"/>
      <c r="CG1903" s="115"/>
      <c r="CH1903" s="115"/>
      <c r="CI1903" s="115"/>
      <c r="CJ1903" s="115"/>
      <c r="CK1903" s="115"/>
      <c r="CL1903" s="115"/>
      <c r="CM1903" s="115"/>
      <c r="CN1903" s="115"/>
      <c r="CO1903" s="115"/>
      <c r="CP1903" s="115"/>
      <c r="CQ1903" s="115"/>
      <c r="CR1903" s="115"/>
      <c r="CS1903" s="115"/>
      <c r="CT1903" s="115"/>
      <c r="CU1903" s="115"/>
      <c r="CV1903" s="115"/>
      <c r="CW1903" s="115"/>
      <c r="CX1903" s="115"/>
      <c r="CY1903" s="115"/>
      <c r="CZ1903" s="115"/>
      <c r="DA1903" s="115"/>
      <c r="DB1903" s="115"/>
      <c r="DC1903" s="115"/>
      <c r="DD1903" s="115"/>
      <c r="DE1903" s="115"/>
      <c r="DF1903" s="115"/>
      <c r="DG1903" s="115"/>
    </row>
    <row r="1904" spans="55:111" hidden="1">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c r="BY1904" s="115"/>
      <c r="BZ1904" s="115"/>
      <c r="CA1904" s="115"/>
      <c r="CB1904" s="115"/>
      <c r="CC1904" s="115"/>
      <c r="CD1904" s="115"/>
      <c r="CE1904" s="115"/>
      <c r="CF1904" s="115"/>
      <c r="CG1904" s="115"/>
      <c r="CH1904" s="115"/>
      <c r="CI1904" s="115"/>
      <c r="CJ1904" s="115"/>
      <c r="CK1904" s="115"/>
      <c r="CL1904" s="115"/>
      <c r="CM1904" s="115"/>
      <c r="CN1904" s="115"/>
      <c r="CO1904" s="115"/>
      <c r="CP1904" s="115"/>
      <c r="CQ1904" s="115"/>
      <c r="CR1904" s="115"/>
      <c r="CS1904" s="115"/>
      <c r="CT1904" s="115"/>
      <c r="CU1904" s="115"/>
      <c r="CV1904" s="115"/>
      <c r="CW1904" s="115"/>
      <c r="CX1904" s="115"/>
      <c r="CY1904" s="115"/>
      <c r="CZ1904" s="115"/>
      <c r="DA1904" s="115"/>
      <c r="DB1904" s="115"/>
      <c r="DC1904" s="115"/>
      <c r="DD1904" s="115"/>
      <c r="DE1904" s="115"/>
      <c r="DF1904" s="115"/>
      <c r="DG1904" s="115"/>
    </row>
    <row r="1905" spans="55:111" hidden="1">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c r="BY1905" s="115"/>
      <c r="BZ1905" s="115"/>
      <c r="CA1905" s="115"/>
      <c r="CB1905" s="115"/>
      <c r="CC1905" s="115"/>
      <c r="CD1905" s="115"/>
      <c r="CE1905" s="115"/>
      <c r="CF1905" s="115"/>
      <c r="CG1905" s="115"/>
      <c r="CH1905" s="115"/>
      <c r="CI1905" s="115"/>
      <c r="CJ1905" s="115"/>
      <c r="CK1905" s="115"/>
      <c r="CL1905" s="115"/>
      <c r="CM1905" s="115"/>
      <c r="CN1905" s="115"/>
      <c r="CO1905" s="115"/>
      <c r="CP1905" s="115"/>
      <c r="CQ1905" s="115"/>
      <c r="CR1905" s="115"/>
      <c r="CS1905" s="115"/>
      <c r="CT1905" s="115"/>
      <c r="CU1905" s="115"/>
      <c r="CV1905" s="115"/>
      <c r="CW1905" s="115"/>
      <c r="CX1905" s="115"/>
      <c r="CY1905" s="115"/>
      <c r="CZ1905" s="115"/>
      <c r="DA1905" s="115"/>
      <c r="DB1905" s="115"/>
      <c r="DC1905" s="115"/>
      <c r="DD1905" s="115"/>
      <c r="DE1905" s="115"/>
      <c r="DF1905" s="115"/>
      <c r="DG1905" s="115"/>
    </row>
    <row r="1906" spans="55:111" hidden="1">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c r="BY1906" s="115"/>
      <c r="BZ1906" s="115"/>
      <c r="CA1906" s="115"/>
      <c r="CB1906" s="115"/>
      <c r="CC1906" s="115"/>
      <c r="CD1906" s="115"/>
      <c r="CE1906" s="115"/>
      <c r="CF1906" s="115"/>
      <c r="CG1906" s="115"/>
      <c r="CH1906" s="115"/>
      <c r="CI1906" s="115"/>
      <c r="CJ1906" s="115"/>
      <c r="CK1906" s="115"/>
      <c r="CL1906" s="115"/>
      <c r="CM1906" s="115"/>
      <c r="CN1906" s="115"/>
      <c r="CO1906" s="115"/>
      <c r="CP1906" s="115"/>
      <c r="CQ1906" s="115"/>
      <c r="CR1906" s="115"/>
      <c r="CS1906" s="115"/>
      <c r="CT1906" s="115"/>
      <c r="CU1906" s="115"/>
      <c r="CV1906" s="115"/>
      <c r="CW1906" s="115"/>
      <c r="CX1906" s="115"/>
      <c r="CY1906" s="115"/>
      <c r="CZ1906" s="115"/>
      <c r="DA1906" s="115"/>
      <c r="DB1906" s="115"/>
      <c r="DC1906" s="115"/>
      <c r="DD1906" s="115"/>
      <c r="DE1906" s="115"/>
      <c r="DF1906" s="115"/>
      <c r="DG1906" s="115"/>
    </row>
    <row r="1907" spans="55:111" hidden="1">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c r="BY1907" s="115"/>
      <c r="BZ1907" s="115"/>
      <c r="CA1907" s="115"/>
      <c r="CB1907" s="115"/>
      <c r="CC1907" s="115"/>
      <c r="CD1907" s="115"/>
      <c r="CE1907" s="115"/>
      <c r="CF1907" s="115"/>
      <c r="CG1907" s="115"/>
      <c r="CH1907" s="115"/>
      <c r="CI1907" s="115"/>
      <c r="CJ1907" s="115"/>
      <c r="CK1907" s="115"/>
      <c r="CL1907" s="115"/>
      <c r="CM1907" s="115"/>
      <c r="CN1907" s="115"/>
      <c r="CO1907" s="115"/>
      <c r="CP1907" s="115"/>
      <c r="CQ1907" s="115"/>
      <c r="CR1907" s="115"/>
      <c r="CS1907" s="115"/>
      <c r="CT1907" s="115"/>
      <c r="CU1907" s="115"/>
      <c r="CV1907" s="115"/>
      <c r="CW1907" s="115"/>
      <c r="CX1907" s="115"/>
      <c r="CY1907" s="115"/>
      <c r="CZ1907" s="115"/>
      <c r="DA1907" s="115"/>
      <c r="DB1907" s="115"/>
      <c r="DC1907" s="115"/>
      <c r="DD1907" s="115"/>
      <c r="DE1907" s="115"/>
      <c r="DF1907" s="115"/>
      <c r="DG1907" s="115"/>
    </row>
    <row r="1908" spans="55:111" hidden="1">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c r="BY1908" s="115"/>
      <c r="BZ1908" s="115"/>
      <c r="CA1908" s="115"/>
      <c r="CB1908" s="115"/>
      <c r="CC1908" s="115"/>
      <c r="CD1908" s="115"/>
      <c r="CE1908" s="115"/>
      <c r="CF1908" s="115"/>
      <c r="CG1908" s="115"/>
      <c r="CH1908" s="115"/>
      <c r="CI1908" s="115"/>
      <c r="CJ1908" s="115"/>
      <c r="CK1908" s="115"/>
      <c r="CL1908" s="115"/>
      <c r="CM1908" s="115"/>
      <c r="CN1908" s="115"/>
      <c r="CO1908" s="115"/>
      <c r="CP1908" s="115"/>
      <c r="CQ1908" s="115"/>
      <c r="CR1908" s="115"/>
      <c r="CS1908" s="115"/>
      <c r="CT1908" s="115"/>
      <c r="CU1908" s="115"/>
      <c r="CV1908" s="115"/>
      <c r="CW1908" s="115"/>
      <c r="CX1908" s="115"/>
      <c r="CY1908" s="115"/>
      <c r="CZ1908" s="115"/>
      <c r="DA1908" s="115"/>
      <c r="DB1908" s="115"/>
      <c r="DC1908" s="115"/>
      <c r="DD1908" s="115"/>
      <c r="DE1908" s="115"/>
      <c r="DF1908" s="115"/>
      <c r="DG1908" s="115"/>
    </row>
    <row r="1909" spans="55:111" hidden="1">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c r="BY1909" s="115"/>
      <c r="BZ1909" s="115"/>
      <c r="CA1909" s="115"/>
      <c r="CB1909" s="115"/>
      <c r="CC1909" s="115"/>
      <c r="CD1909" s="115"/>
      <c r="CE1909" s="115"/>
      <c r="CF1909" s="115"/>
      <c r="CG1909" s="115"/>
      <c r="CH1909" s="115"/>
      <c r="CI1909" s="115"/>
      <c r="CJ1909" s="115"/>
      <c r="CK1909" s="115"/>
      <c r="CL1909" s="115"/>
      <c r="CM1909" s="115"/>
      <c r="CN1909" s="115"/>
      <c r="CO1909" s="115"/>
      <c r="CP1909" s="115"/>
      <c r="CQ1909" s="115"/>
      <c r="CR1909" s="115"/>
      <c r="CS1909" s="115"/>
      <c r="CT1909" s="115"/>
      <c r="CU1909" s="115"/>
      <c r="CV1909" s="115"/>
      <c r="CW1909" s="115"/>
      <c r="CX1909" s="115"/>
      <c r="CY1909" s="115"/>
      <c r="CZ1909" s="115"/>
      <c r="DA1909" s="115"/>
      <c r="DB1909" s="115"/>
      <c r="DC1909" s="115"/>
      <c r="DD1909" s="115"/>
      <c r="DE1909" s="115"/>
      <c r="DF1909" s="115"/>
      <c r="DG1909" s="115"/>
    </row>
    <row r="1910" spans="55:111" hidden="1">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c r="BY1910" s="115"/>
      <c r="BZ1910" s="115"/>
      <c r="CA1910" s="115"/>
      <c r="CB1910" s="115"/>
      <c r="CC1910" s="115"/>
      <c r="CD1910" s="115"/>
      <c r="CE1910" s="115"/>
      <c r="CF1910" s="115"/>
      <c r="CG1910" s="115"/>
      <c r="CH1910" s="115"/>
      <c r="CI1910" s="115"/>
      <c r="CJ1910" s="115"/>
      <c r="CK1910" s="115"/>
      <c r="CL1910" s="115"/>
      <c r="CM1910" s="115"/>
      <c r="CN1910" s="115"/>
      <c r="CO1910" s="115"/>
      <c r="CP1910" s="115"/>
      <c r="CQ1910" s="115"/>
      <c r="CR1910" s="115"/>
      <c r="CS1910" s="115"/>
      <c r="CT1910" s="115"/>
      <c r="CU1910" s="115"/>
      <c r="CV1910" s="115"/>
      <c r="CW1910" s="115"/>
      <c r="CX1910" s="115"/>
      <c r="CY1910" s="115"/>
      <c r="CZ1910" s="115"/>
      <c r="DA1910" s="115"/>
      <c r="DB1910" s="115"/>
      <c r="DC1910" s="115"/>
      <c r="DD1910" s="115"/>
      <c r="DE1910" s="115"/>
      <c r="DF1910" s="115"/>
      <c r="DG1910" s="115"/>
    </row>
    <row r="1911" spans="55:111" hidden="1">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c r="BY1911" s="115"/>
      <c r="BZ1911" s="115"/>
      <c r="CA1911" s="115"/>
      <c r="CB1911" s="115"/>
      <c r="CC1911" s="115"/>
      <c r="CD1911" s="115"/>
      <c r="CE1911" s="115"/>
      <c r="CF1911" s="115"/>
      <c r="CG1911" s="115"/>
      <c r="CH1911" s="115"/>
      <c r="CI1911" s="115"/>
      <c r="CJ1911" s="115"/>
      <c r="CK1911" s="115"/>
      <c r="CL1911" s="115"/>
      <c r="CM1911" s="115"/>
      <c r="CN1911" s="115"/>
      <c r="CO1911" s="115"/>
      <c r="CP1911" s="115"/>
      <c r="CQ1911" s="115"/>
      <c r="CR1911" s="115"/>
      <c r="CS1911" s="115"/>
      <c r="CT1911" s="115"/>
      <c r="CU1911" s="115"/>
      <c r="CV1911" s="115"/>
      <c r="CW1911" s="115"/>
      <c r="CX1911" s="115"/>
      <c r="CY1911" s="115"/>
      <c r="CZ1911" s="115"/>
      <c r="DA1911" s="115"/>
      <c r="DB1911" s="115"/>
      <c r="DC1911" s="115"/>
      <c r="DD1911" s="115"/>
      <c r="DE1911" s="115"/>
      <c r="DF1911" s="115"/>
      <c r="DG1911" s="115"/>
    </row>
    <row r="1912" spans="55:111" hidden="1">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c r="BY1912" s="115"/>
      <c r="BZ1912" s="115"/>
      <c r="CA1912" s="115"/>
      <c r="CB1912" s="115"/>
      <c r="CC1912" s="115"/>
      <c r="CD1912" s="115"/>
      <c r="CE1912" s="115"/>
      <c r="CF1912" s="115"/>
      <c r="CG1912" s="115"/>
      <c r="CH1912" s="115"/>
      <c r="CI1912" s="115"/>
      <c r="CJ1912" s="115"/>
      <c r="CK1912" s="115"/>
      <c r="CL1912" s="115"/>
      <c r="CM1912" s="115"/>
      <c r="CN1912" s="115"/>
      <c r="CO1912" s="115"/>
      <c r="CP1912" s="115"/>
      <c r="CQ1912" s="115"/>
      <c r="CR1912" s="115"/>
      <c r="CS1912" s="115"/>
      <c r="CT1912" s="115"/>
      <c r="CU1912" s="115"/>
      <c r="CV1912" s="115"/>
      <c r="CW1912" s="115"/>
      <c r="CX1912" s="115"/>
      <c r="CY1912" s="115"/>
      <c r="CZ1912" s="115"/>
      <c r="DA1912" s="115"/>
      <c r="DB1912" s="115"/>
      <c r="DC1912" s="115"/>
      <c r="DD1912" s="115"/>
      <c r="DE1912" s="115"/>
      <c r="DF1912" s="115"/>
      <c r="DG1912" s="115"/>
    </row>
    <row r="1913" spans="55:111" hidden="1">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c r="BY1913" s="115"/>
      <c r="BZ1913" s="115"/>
      <c r="CA1913" s="115"/>
      <c r="CB1913" s="115"/>
      <c r="CC1913" s="115"/>
      <c r="CD1913" s="115"/>
      <c r="CE1913" s="115"/>
      <c r="CF1913" s="115"/>
      <c r="CG1913" s="115"/>
      <c r="CH1913" s="115"/>
      <c r="CI1913" s="115"/>
      <c r="CJ1913" s="115"/>
      <c r="CK1913" s="115"/>
      <c r="CL1913" s="115"/>
      <c r="CM1913" s="115"/>
      <c r="CN1913" s="115"/>
      <c r="CO1913" s="115"/>
      <c r="CP1913" s="115"/>
      <c r="CQ1913" s="115"/>
      <c r="CR1913" s="115"/>
      <c r="CS1913" s="115"/>
      <c r="CT1913" s="115"/>
      <c r="CU1913" s="115"/>
      <c r="CV1913" s="115"/>
      <c r="CW1913" s="115"/>
      <c r="CX1913" s="115"/>
      <c r="CY1913" s="115"/>
      <c r="CZ1913" s="115"/>
      <c r="DA1913" s="115"/>
      <c r="DB1913" s="115"/>
      <c r="DC1913" s="115"/>
      <c r="DD1913" s="115"/>
      <c r="DE1913" s="115"/>
      <c r="DF1913" s="115"/>
      <c r="DG1913" s="115"/>
    </row>
    <row r="1914" spans="55:111" hidden="1">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c r="BY1914" s="115"/>
      <c r="BZ1914" s="115"/>
      <c r="CA1914" s="115"/>
      <c r="CB1914" s="115"/>
      <c r="CC1914" s="115"/>
      <c r="CD1914" s="115"/>
      <c r="CE1914" s="115"/>
      <c r="CF1914" s="115"/>
      <c r="CG1914" s="115"/>
      <c r="CH1914" s="115"/>
      <c r="CI1914" s="115"/>
      <c r="CJ1914" s="115"/>
      <c r="CK1914" s="115"/>
      <c r="CL1914" s="115"/>
      <c r="CM1914" s="115"/>
      <c r="CN1914" s="115"/>
      <c r="CO1914" s="115"/>
      <c r="CP1914" s="115"/>
      <c r="CQ1914" s="115"/>
      <c r="CR1914" s="115"/>
      <c r="CS1914" s="115"/>
      <c r="CT1914" s="115"/>
      <c r="CU1914" s="115"/>
      <c r="CV1914" s="115"/>
      <c r="CW1914" s="115"/>
      <c r="CX1914" s="115"/>
      <c r="CY1914" s="115"/>
      <c r="CZ1914" s="115"/>
      <c r="DA1914" s="115"/>
      <c r="DB1914" s="115"/>
      <c r="DC1914" s="115"/>
      <c r="DD1914" s="115"/>
      <c r="DE1914" s="115"/>
      <c r="DF1914" s="115"/>
      <c r="DG1914" s="115"/>
    </row>
    <row r="1915" spans="55:111" hidden="1">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c r="BY1915" s="115"/>
      <c r="BZ1915" s="115"/>
      <c r="CA1915" s="115"/>
      <c r="CB1915" s="115"/>
      <c r="CC1915" s="115"/>
      <c r="CD1915" s="115"/>
      <c r="CE1915" s="115"/>
      <c r="CF1915" s="115"/>
      <c r="CG1915" s="115"/>
      <c r="CH1915" s="115"/>
      <c r="CI1915" s="115"/>
      <c r="CJ1915" s="115"/>
      <c r="CK1915" s="115"/>
      <c r="CL1915" s="115"/>
      <c r="CM1915" s="115"/>
      <c r="CN1915" s="115"/>
      <c r="CO1915" s="115"/>
      <c r="CP1915" s="115"/>
      <c r="CQ1915" s="115"/>
      <c r="CR1915" s="115"/>
      <c r="CS1915" s="115"/>
      <c r="CT1915" s="115"/>
      <c r="CU1915" s="115"/>
      <c r="CV1915" s="115"/>
      <c r="CW1915" s="115"/>
      <c r="CX1915" s="115"/>
      <c r="CY1915" s="115"/>
      <c r="CZ1915" s="115"/>
      <c r="DA1915" s="115"/>
      <c r="DB1915" s="115"/>
      <c r="DC1915" s="115"/>
      <c r="DD1915" s="115"/>
      <c r="DE1915" s="115"/>
      <c r="DF1915" s="115"/>
      <c r="DG1915" s="115"/>
    </row>
    <row r="1916" spans="55:111" hidden="1">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c r="BY1916" s="115"/>
      <c r="BZ1916" s="115"/>
      <c r="CA1916" s="115"/>
      <c r="CB1916" s="115"/>
      <c r="CC1916" s="115"/>
      <c r="CD1916" s="115"/>
      <c r="CE1916" s="115"/>
      <c r="CF1916" s="115"/>
      <c r="CG1916" s="115"/>
      <c r="CH1916" s="115"/>
      <c r="CI1916" s="115"/>
      <c r="CJ1916" s="115"/>
      <c r="CK1916" s="115"/>
      <c r="CL1916" s="115"/>
      <c r="CM1916" s="115"/>
      <c r="CN1916" s="115"/>
      <c r="CO1916" s="115"/>
      <c r="CP1916" s="115"/>
      <c r="CQ1916" s="115"/>
      <c r="CR1916" s="115"/>
      <c r="CS1916" s="115"/>
      <c r="CT1916" s="115"/>
      <c r="CU1916" s="115"/>
      <c r="CV1916" s="115"/>
      <c r="CW1916" s="115"/>
      <c r="CX1916" s="115"/>
      <c r="CY1916" s="115"/>
      <c r="CZ1916" s="115"/>
      <c r="DA1916" s="115"/>
      <c r="DB1916" s="115"/>
      <c r="DC1916" s="115"/>
      <c r="DD1916" s="115"/>
      <c r="DE1916" s="115"/>
      <c r="DF1916" s="115"/>
      <c r="DG1916" s="115"/>
    </row>
    <row r="1917" spans="55:111" hidden="1">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c r="BY1917" s="115"/>
      <c r="BZ1917" s="115"/>
      <c r="CA1917" s="115"/>
      <c r="CB1917" s="115"/>
      <c r="CC1917" s="115"/>
      <c r="CD1917" s="115"/>
      <c r="CE1917" s="115"/>
      <c r="CF1917" s="115"/>
      <c r="CG1917" s="115"/>
      <c r="CH1917" s="115"/>
      <c r="CI1917" s="115"/>
      <c r="CJ1917" s="115"/>
      <c r="CK1917" s="115"/>
      <c r="CL1917" s="115"/>
      <c r="CM1917" s="115"/>
      <c r="CN1917" s="115"/>
      <c r="CO1917" s="115"/>
      <c r="CP1917" s="115"/>
      <c r="CQ1917" s="115"/>
      <c r="CR1917" s="115"/>
      <c r="CS1917" s="115"/>
      <c r="CT1917" s="115"/>
      <c r="CU1917" s="115"/>
      <c r="CV1917" s="115"/>
      <c r="CW1917" s="115"/>
      <c r="CX1917" s="115"/>
      <c r="CY1917" s="115"/>
      <c r="CZ1917" s="115"/>
      <c r="DA1917" s="115"/>
      <c r="DB1917" s="115"/>
      <c r="DC1917" s="115"/>
      <c r="DD1917" s="115"/>
      <c r="DE1917" s="115"/>
      <c r="DF1917" s="115"/>
      <c r="DG1917" s="115"/>
    </row>
    <row r="1918" spans="55:111" hidden="1">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c r="BY1918" s="115"/>
      <c r="BZ1918" s="115"/>
      <c r="CA1918" s="115"/>
      <c r="CB1918" s="115"/>
      <c r="CC1918" s="115"/>
      <c r="CD1918" s="115"/>
      <c r="CE1918" s="115"/>
      <c r="CF1918" s="115"/>
      <c r="CG1918" s="115"/>
      <c r="CH1918" s="115"/>
      <c r="CI1918" s="115"/>
      <c r="CJ1918" s="115"/>
      <c r="CK1918" s="115"/>
      <c r="CL1918" s="115"/>
      <c r="CM1918" s="115"/>
      <c r="CN1918" s="115"/>
      <c r="CO1918" s="115"/>
      <c r="CP1918" s="115"/>
      <c r="CQ1918" s="115"/>
      <c r="CR1918" s="115"/>
      <c r="CS1918" s="115"/>
      <c r="CT1918" s="115"/>
      <c r="CU1918" s="115"/>
      <c r="CV1918" s="115"/>
      <c r="CW1918" s="115"/>
      <c r="CX1918" s="115"/>
      <c r="CY1918" s="115"/>
      <c r="CZ1918" s="115"/>
      <c r="DA1918" s="115"/>
      <c r="DB1918" s="115"/>
      <c r="DC1918" s="115"/>
      <c r="DD1918" s="115"/>
      <c r="DE1918" s="115"/>
      <c r="DF1918" s="115"/>
      <c r="DG1918" s="115"/>
    </row>
    <row r="1919" spans="55:111" hidden="1">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c r="BY1919" s="115"/>
      <c r="BZ1919" s="115"/>
      <c r="CA1919" s="115"/>
      <c r="CB1919" s="115"/>
      <c r="CC1919" s="115"/>
      <c r="CD1919" s="115"/>
      <c r="CE1919" s="115"/>
      <c r="CF1919" s="115"/>
      <c r="CG1919" s="115"/>
      <c r="CH1919" s="115"/>
      <c r="CI1919" s="115"/>
      <c r="CJ1919" s="115"/>
      <c r="CK1919" s="115"/>
      <c r="CL1919" s="115"/>
      <c r="CM1919" s="115"/>
      <c r="CN1919" s="115"/>
      <c r="CO1919" s="115"/>
      <c r="CP1919" s="115"/>
      <c r="CQ1919" s="115"/>
      <c r="CR1919" s="115"/>
      <c r="CS1919" s="115"/>
      <c r="CT1919" s="115"/>
      <c r="CU1919" s="115"/>
      <c r="CV1919" s="115"/>
      <c r="CW1919" s="115"/>
      <c r="CX1919" s="115"/>
      <c r="CY1919" s="115"/>
      <c r="CZ1919" s="115"/>
      <c r="DA1919" s="115"/>
      <c r="DB1919" s="115"/>
      <c r="DC1919" s="115"/>
      <c r="DD1919" s="115"/>
      <c r="DE1919" s="115"/>
      <c r="DF1919" s="115"/>
      <c r="DG1919" s="115"/>
    </row>
    <row r="1920" spans="55:111" hidden="1">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c r="BY1920" s="115"/>
      <c r="BZ1920" s="115"/>
      <c r="CA1920" s="115"/>
      <c r="CB1920" s="115"/>
      <c r="CC1920" s="115"/>
      <c r="CD1920" s="115"/>
      <c r="CE1920" s="115"/>
      <c r="CF1920" s="115"/>
      <c r="CG1920" s="115"/>
      <c r="CH1920" s="115"/>
      <c r="CI1920" s="115"/>
      <c r="CJ1920" s="115"/>
      <c r="CK1920" s="115"/>
      <c r="CL1920" s="115"/>
      <c r="CM1920" s="115"/>
      <c r="CN1920" s="115"/>
      <c r="CO1920" s="115"/>
      <c r="CP1920" s="115"/>
      <c r="CQ1920" s="115"/>
      <c r="CR1920" s="115"/>
      <c r="CS1920" s="115"/>
      <c r="CT1920" s="115"/>
      <c r="CU1920" s="115"/>
      <c r="CV1920" s="115"/>
      <c r="CW1920" s="115"/>
      <c r="CX1920" s="115"/>
      <c r="CY1920" s="115"/>
      <c r="CZ1920" s="115"/>
      <c r="DA1920" s="115"/>
      <c r="DB1920" s="115"/>
      <c r="DC1920" s="115"/>
      <c r="DD1920" s="115"/>
      <c r="DE1920" s="115"/>
      <c r="DF1920" s="115"/>
      <c r="DG1920" s="115"/>
    </row>
    <row r="1921" spans="55:111" hidden="1">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c r="BY1921" s="115"/>
      <c r="BZ1921" s="115"/>
      <c r="CA1921" s="115"/>
      <c r="CB1921" s="115"/>
      <c r="CC1921" s="115"/>
      <c r="CD1921" s="115"/>
      <c r="CE1921" s="115"/>
      <c r="CF1921" s="115"/>
      <c r="CG1921" s="115"/>
      <c r="CH1921" s="115"/>
      <c r="CI1921" s="115"/>
      <c r="CJ1921" s="115"/>
      <c r="CK1921" s="115"/>
      <c r="CL1921" s="115"/>
      <c r="CM1921" s="115"/>
      <c r="CN1921" s="115"/>
      <c r="CO1921" s="115"/>
      <c r="CP1921" s="115"/>
      <c r="CQ1921" s="115"/>
      <c r="CR1921" s="115"/>
      <c r="CS1921" s="115"/>
      <c r="CT1921" s="115"/>
      <c r="CU1921" s="115"/>
      <c r="CV1921" s="115"/>
      <c r="CW1921" s="115"/>
      <c r="CX1921" s="115"/>
      <c r="CY1921" s="115"/>
      <c r="CZ1921" s="115"/>
      <c r="DA1921" s="115"/>
      <c r="DB1921" s="115"/>
      <c r="DC1921" s="115"/>
      <c r="DD1921" s="115"/>
      <c r="DE1921" s="115"/>
      <c r="DF1921" s="115"/>
      <c r="DG1921" s="115"/>
    </row>
    <row r="1922" spans="55:111" hidden="1">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c r="BY1922" s="115"/>
      <c r="BZ1922" s="115"/>
      <c r="CA1922" s="115"/>
      <c r="CB1922" s="115"/>
      <c r="CC1922" s="115"/>
      <c r="CD1922" s="115"/>
      <c r="CE1922" s="115"/>
      <c r="CF1922" s="115"/>
      <c r="CG1922" s="115"/>
      <c r="CH1922" s="115"/>
      <c r="CI1922" s="115"/>
      <c r="CJ1922" s="115"/>
      <c r="CK1922" s="115"/>
      <c r="CL1922" s="115"/>
      <c r="CM1922" s="115"/>
      <c r="CN1922" s="115"/>
      <c r="CO1922" s="115"/>
      <c r="CP1922" s="115"/>
      <c r="CQ1922" s="115"/>
      <c r="CR1922" s="115"/>
      <c r="CS1922" s="115"/>
      <c r="CT1922" s="115"/>
      <c r="CU1922" s="115"/>
      <c r="CV1922" s="115"/>
      <c r="CW1922" s="115"/>
      <c r="CX1922" s="115"/>
      <c r="CY1922" s="115"/>
      <c r="CZ1922" s="115"/>
      <c r="DA1922" s="115"/>
      <c r="DB1922" s="115"/>
      <c r="DC1922" s="115"/>
      <c r="DD1922" s="115"/>
      <c r="DE1922" s="115"/>
      <c r="DF1922" s="115"/>
      <c r="DG1922" s="115"/>
    </row>
    <row r="1923" spans="55:111" hidden="1">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c r="BY1923" s="115"/>
      <c r="BZ1923" s="115"/>
      <c r="CA1923" s="115"/>
      <c r="CB1923" s="115"/>
      <c r="CC1923" s="115"/>
      <c r="CD1923" s="115"/>
      <c r="CE1923" s="115"/>
      <c r="CF1923" s="115"/>
      <c r="CG1923" s="115"/>
      <c r="CH1923" s="115"/>
      <c r="CI1923" s="115"/>
      <c r="CJ1923" s="115"/>
      <c r="CK1923" s="115"/>
      <c r="CL1923" s="115"/>
      <c r="CM1923" s="115"/>
      <c r="CN1923" s="115"/>
      <c r="CO1923" s="115"/>
      <c r="CP1923" s="115"/>
      <c r="CQ1923" s="115"/>
      <c r="CR1923" s="115"/>
      <c r="CS1923" s="115"/>
      <c r="CT1923" s="115"/>
      <c r="CU1923" s="115"/>
      <c r="CV1923" s="115"/>
      <c r="CW1923" s="115"/>
      <c r="CX1923" s="115"/>
      <c r="CY1923" s="115"/>
      <c r="CZ1923" s="115"/>
      <c r="DA1923" s="115"/>
      <c r="DB1923" s="115"/>
      <c r="DC1923" s="115"/>
      <c r="DD1923" s="115"/>
      <c r="DE1923" s="115"/>
      <c r="DF1923" s="115"/>
      <c r="DG1923" s="115"/>
    </row>
    <row r="1924" spans="55:111" hidden="1">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c r="BY1924" s="115"/>
      <c r="BZ1924" s="115"/>
      <c r="CA1924" s="115"/>
      <c r="CB1924" s="115"/>
      <c r="CC1924" s="115"/>
      <c r="CD1924" s="115"/>
      <c r="CE1924" s="115"/>
      <c r="CF1924" s="115"/>
      <c r="CG1924" s="115"/>
      <c r="CH1924" s="115"/>
      <c r="CI1924" s="115"/>
      <c r="CJ1924" s="115"/>
      <c r="CK1924" s="115"/>
      <c r="CL1924" s="115"/>
      <c r="CM1924" s="115"/>
      <c r="CN1924" s="115"/>
      <c r="CO1924" s="115"/>
      <c r="CP1924" s="115"/>
      <c r="CQ1924" s="115"/>
      <c r="CR1924" s="115"/>
      <c r="CS1924" s="115"/>
      <c r="CT1924" s="115"/>
      <c r="CU1924" s="115"/>
      <c r="CV1924" s="115"/>
      <c r="CW1924" s="115"/>
      <c r="CX1924" s="115"/>
      <c r="CY1924" s="115"/>
      <c r="CZ1924" s="115"/>
      <c r="DA1924" s="115"/>
      <c r="DB1924" s="115"/>
      <c r="DC1924" s="115"/>
      <c r="DD1924" s="115"/>
      <c r="DE1924" s="115"/>
      <c r="DF1924" s="115"/>
      <c r="DG1924" s="115"/>
    </row>
    <row r="1925" spans="55:111" hidden="1">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c r="BY1925" s="115"/>
      <c r="BZ1925" s="115"/>
      <c r="CA1925" s="115"/>
      <c r="CB1925" s="115"/>
      <c r="CC1925" s="115"/>
      <c r="CD1925" s="115"/>
      <c r="CE1925" s="115"/>
      <c r="CF1925" s="115"/>
      <c r="CG1925" s="115"/>
      <c r="CH1925" s="115"/>
      <c r="CI1925" s="115"/>
      <c r="CJ1925" s="115"/>
      <c r="CK1925" s="115"/>
      <c r="CL1925" s="115"/>
      <c r="CM1925" s="115"/>
      <c r="CN1925" s="115"/>
      <c r="CO1925" s="115"/>
      <c r="CP1925" s="115"/>
      <c r="CQ1925" s="115"/>
      <c r="CR1925" s="115"/>
      <c r="CS1925" s="115"/>
      <c r="CT1925" s="115"/>
      <c r="CU1925" s="115"/>
      <c r="CV1925" s="115"/>
      <c r="CW1925" s="115"/>
      <c r="CX1925" s="115"/>
      <c r="CY1925" s="115"/>
      <c r="CZ1925" s="115"/>
      <c r="DA1925" s="115"/>
      <c r="DB1925" s="115"/>
      <c r="DC1925" s="115"/>
      <c r="DD1925" s="115"/>
      <c r="DE1925" s="115"/>
      <c r="DF1925" s="115"/>
      <c r="DG1925" s="115"/>
    </row>
    <row r="1926" spans="55:111" hidden="1">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c r="BY1926" s="115"/>
      <c r="BZ1926" s="115"/>
      <c r="CA1926" s="115"/>
      <c r="CB1926" s="115"/>
      <c r="CC1926" s="115"/>
      <c r="CD1926" s="115"/>
      <c r="CE1926" s="115"/>
      <c r="CF1926" s="115"/>
      <c r="CG1926" s="115"/>
      <c r="CH1926" s="115"/>
      <c r="CI1926" s="115"/>
      <c r="CJ1926" s="115"/>
      <c r="CK1926" s="115"/>
      <c r="CL1926" s="115"/>
      <c r="CM1926" s="115"/>
      <c r="CN1926" s="115"/>
      <c r="CO1926" s="115"/>
      <c r="CP1926" s="115"/>
      <c r="CQ1926" s="115"/>
      <c r="CR1926" s="115"/>
      <c r="CS1926" s="115"/>
      <c r="CT1926" s="115"/>
      <c r="CU1926" s="115"/>
      <c r="CV1926" s="115"/>
      <c r="CW1926" s="115"/>
      <c r="CX1926" s="115"/>
      <c r="CY1926" s="115"/>
      <c r="CZ1926" s="115"/>
      <c r="DA1926" s="115"/>
      <c r="DB1926" s="115"/>
      <c r="DC1926" s="115"/>
      <c r="DD1926" s="115"/>
      <c r="DE1926" s="115"/>
      <c r="DF1926" s="115"/>
      <c r="DG1926" s="115"/>
    </row>
    <row r="1927" spans="55:111" hidden="1">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c r="BY1927" s="115"/>
      <c r="BZ1927" s="115"/>
      <c r="CA1927" s="115"/>
      <c r="CB1927" s="115"/>
      <c r="CC1927" s="115"/>
      <c r="CD1927" s="115"/>
      <c r="CE1927" s="115"/>
      <c r="CF1927" s="115"/>
      <c r="CG1927" s="115"/>
      <c r="CH1927" s="115"/>
      <c r="CI1927" s="115"/>
      <c r="CJ1927" s="115"/>
      <c r="CK1927" s="115"/>
      <c r="CL1927" s="115"/>
      <c r="CM1927" s="115"/>
      <c r="CN1927" s="115"/>
      <c r="CO1927" s="115"/>
      <c r="CP1927" s="115"/>
      <c r="CQ1927" s="115"/>
      <c r="CR1927" s="115"/>
      <c r="CS1927" s="115"/>
      <c r="CT1927" s="115"/>
      <c r="CU1927" s="115"/>
      <c r="CV1927" s="115"/>
      <c r="CW1927" s="115"/>
      <c r="CX1927" s="115"/>
      <c r="CY1927" s="115"/>
      <c r="CZ1927" s="115"/>
      <c r="DA1927" s="115"/>
      <c r="DB1927" s="115"/>
      <c r="DC1927" s="115"/>
      <c r="DD1927" s="115"/>
      <c r="DE1927" s="115"/>
      <c r="DF1927" s="115"/>
      <c r="DG1927" s="115"/>
    </row>
    <row r="1928" spans="55:111" hidden="1">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c r="BY1928" s="115"/>
      <c r="BZ1928" s="115"/>
      <c r="CA1928" s="115"/>
      <c r="CB1928" s="115"/>
      <c r="CC1928" s="115"/>
      <c r="CD1928" s="115"/>
      <c r="CE1928" s="115"/>
      <c r="CF1928" s="115"/>
      <c r="CG1928" s="115"/>
      <c r="CH1928" s="115"/>
      <c r="CI1928" s="115"/>
      <c r="CJ1928" s="115"/>
      <c r="CK1928" s="115"/>
      <c r="CL1928" s="115"/>
      <c r="CM1928" s="115"/>
      <c r="CN1928" s="115"/>
      <c r="CO1928" s="115"/>
      <c r="CP1928" s="115"/>
      <c r="CQ1928" s="115"/>
      <c r="CR1928" s="115"/>
      <c r="CS1928" s="115"/>
      <c r="CT1928" s="115"/>
      <c r="CU1928" s="115"/>
      <c r="CV1928" s="115"/>
      <c r="CW1928" s="115"/>
      <c r="CX1928" s="115"/>
      <c r="CY1928" s="115"/>
      <c r="CZ1928" s="115"/>
      <c r="DA1928" s="115"/>
      <c r="DB1928" s="115"/>
      <c r="DC1928" s="115"/>
      <c r="DD1928" s="115"/>
      <c r="DE1928" s="115"/>
      <c r="DF1928" s="115"/>
      <c r="DG1928" s="115"/>
    </row>
    <row r="1929" spans="55:111" hidden="1">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c r="BY1929" s="115"/>
      <c r="BZ1929" s="115"/>
      <c r="CA1929" s="115"/>
      <c r="CB1929" s="115"/>
      <c r="CC1929" s="115"/>
      <c r="CD1929" s="115"/>
      <c r="CE1929" s="115"/>
      <c r="CF1929" s="115"/>
      <c r="CG1929" s="115"/>
      <c r="CH1929" s="115"/>
      <c r="CI1929" s="115"/>
      <c r="CJ1929" s="115"/>
      <c r="CK1929" s="115"/>
      <c r="CL1929" s="115"/>
      <c r="CM1929" s="115"/>
      <c r="CN1929" s="115"/>
      <c r="CO1929" s="115"/>
      <c r="CP1929" s="115"/>
      <c r="CQ1929" s="115"/>
      <c r="CR1929" s="115"/>
      <c r="CS1929" s="115"/>
      <c r="CT1929" s="115"/>
      <c r="CU1929" s="115"/>
      <c r="CV1929" s="115"/>
      <c r="CW1929" s="115"/>
      <c r="CX1929" s="115"/>
      <c r="CY1929" s="115"/>
      <c r="CZ1929" s="115"/>
      <c r="DA1929" s="115"/>
      <c r="DB1929" s="115"/>
      <c r="DC1929" s="115"/>
      <c r="DD1929" s="115"/>
      <c r="DE1929" s="115"/>
      <c r="DF1929" s="115"/>
      <c r="DG1929" s="115"/>
    </row>
    <row r="1930" spans="55:111" hidden="1">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c r="BY1930" s="115"/>
      <c r="BZ1930" s="115"/>
      <c r="CA1930" s="115"/>
      <c r="CB1930" s="115"/>
      <c r="CC1930" s="115"/>
      <c r="CD1930" s="115"/>
      <c r="CE1930" s="115"/>
      <c r="CF1930" s="115"/>
      <c r="CG1930" s="115"/>
      <c r="CH1930" s="115"/>
      <c r="CI1930" s="115"/>
      <c r="CJ1930" s="115"/>
      <c r="CK1930" s="115"/>
      <c r="CL1930" s="115"/>
      <c r="CM1930" s="115"/>
      <c r="CN1930" s="115"/>
      <c r="CO1930" s="115"/>
      <c r="CP1930" s="115"/>
      <c r="CQ1930" s="115"/>
      <c r="CR1930" s="115"/>
      <c r="CS1930" s="115"/>
      <c r="CT1930" s="115"/>
      <c r="CU1930" s="115"/>
      <c r="CV1930" s="115"/>
      <c r="CW1930" s="115"/>
      <c r="CX1930" s="115"/>
      <c r="CY1930" s="115"/>
      <c r="CZ1930" s="115"/>
      <c r="DA1930" s="115"/>
      <c r="DB1930" s="115"/>
      <c r="DC1930" s="115"/>
      <c r="DD1930" s="115"/>
      <c r="DE1930" s="115"/>
      <c r="DF1930" s="115"/>
      <c r="DG1930" s="115"/>
    </row>
    <row r="1931" spans="55:111" hidden="1">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c r="BY1931" s="115"/>
      <c r="BZ1931" s="115"/>
      <c r="CA1931" s="115"/>
      <c r="CB1931" s="115"/>
      <c r="CC1931" s="115"/>
      <c r="CD1931" s="115"/>
      <c r="CE1931" s="115"/>
      <c r="CF1931" s="115"/>
      <c r="CG1931" s="115"/>
      <c r="CH1931" s="115"/>
      <c r="CI1931" s="115"/>
      <c r="CJ1931" s="115"/>
      <c r="CK1931" s="115"/>
      <c r="CL1931" s="115"/>
      <c r="CM1931" s="115"/>
      <c r="CN1931" s="115"/>
      <c r="CO1931" s="115"/>
      <c r="CP1931" s="115"/>
      <c r="CQ1931" s="115"/>
      <c r="CR1931" s="115"/>
      <c r="CS1931" s="115"/>
      <c r="CT1931" s="115"/>
      <c r="CU1931" s="115"/>
      <c r="CV1931" s="115"/>
      <c r="CW1931" s="115"/>
      <c r="CX1931" s="115"/>
      <c r="CY1931" s="115"/>
      <c r="CZ1931" s="115"/>
      <c r="DA1931" s="115"/>
      <c r="DB1931" s="115"/>
      <c r="DC1931" s="115"/>
      <c r="DD1931" s="115"/>
      <c r="DE1931" s="115"/>
      <c r="DF1931" s="115"/>
      <c r="DG1931" s="115"/>
    </row>
    <row r="1932" spans="55:111" hidden="1">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c r="BY1932" s="115"/>
      <c r="BZ1932" s="115"/>
      <c r="CA1932" s="115"/>
      <c r="CB1932" s="115"/>
      <c r="CC1932" s="115"/>
      <c r="CD1932" s="115"/>
      <c r="CE1932" s="115"/>
      <c r="CF1932" s="115"/>
      <c r="CG1932" s="115"/>
      <c r="CH1932" s="115"/>
      <c r="CI1932" s="115"/>
      <c r="CJ1932" s="115"/>
      <c r="CK1932" s="115"/>
      <c r="CL1932" s="115"/>
      <c r="CM1932" s="115"/>
      <c r="CN1932" s="115"/>
      <c r="CO1932" s="115"/>
      <c r="CP1932" s="115"/>
      <c r="CQ1932" s="115"/>
      <c r="CR1932" s="115"/>
      <c r="CS1932" s="115"/>
      <c r="CT1932" s="115"/>
      <c r="CU1932" s="115"/>
      <c r="CV1932" s="115"/>
      <c r="CW1932" s="115"/>
      <c r="CX1932" s="115"/>
      <c r="CY1932" s="115"/>
      <c r="CZ1932" s="115"/>
      <c r="DA1932" s="115"/>
      <c r="DB1932" s="115"/>
      <c r="DC1932" s="115"/>
      <c r="DD1932" s="115"/>
      <c r="DE1932" s="115"/>
      <c r="DF1932" s="115"/>
      <c r="DG1932" s="115"/>
    </row>
    <row r="1933" spans="55:111" hidden="1">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c r="BY1933" s="115"/>
      <c r="BZ1933" s="115"/>
      <c r="CA1933" s="115"/>
      <c r="CB1933" s="115"/>
      <c r="CC1933" s="115"/>
      <c r="CD1933" s="115"/>
      <c r="CE1933" s="115"/>
      <c r="CF1933" s="115"/>
      <c r="CG1933" s="115"/>
      <c r="CH1933" s="115"/>
      <c r="CI1933" s="115"/>
      <c r="CJ1933" s="115"/>
      <c r="CK1933" s="115"/>
      <c r="CL1933" s="115"/>
      <c r="CM1933" s="115"/>
      <c r="CN1933" s="115"/>
      <c r="CO1933" s="115"/>
      <c r="CP1933" s="115"/>
      <c r="CQ1933" s="115"/>
      <c r="CR1933" s="115"/>
      <c r="CS1933" s="115"/>
      <c r="CT1933" s="115"/>
      <c r="CU1933" s="115"/>
      <c r="CV1933" s="115"/>
      <c r="CW1933" s="115"/>
      <c r="CX1933" s="115"/>
      <c r="CY1933" s="115"/>
      <c r="CZ1933" s="115"/>
      <c r="DA1933" s="115"/>
      <c r="DB1933" s="115"/>
      <c r="DC1933" s="115"/>
      <c r="DD1933" s="115"/>
      <c r="DE1933" s="115"/>
      <c r="DF1933" s="115"/>
      <c r="DG1933" s="115"/>
    </row>
    <row r="1934" spans="55:111" hidden="1">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c r="BY1934" s="115"/>
      <c r="BZ1934" s="115"/>
      <c r="CA1934" s="115"/>
      <c r="CB1934" s="115"/>
      <c r="CC1934" s="115"/>
      <c r="CD1934" s="115"/>
      <c r="CE1934" s="115"/>
      <c r="CF1934" s="115"/>
      <c r="CG1934" s="115"/>
      <c r="CH1934" s="115"/>
      <c r="CI1934" s="115"/>
      <c r="CJ1934" s="115"/>
      <c r="CK1934" s="115"/>
      <c r="CL1934" s="115"/>
      <c r="CM1934" s="115"/>
      <c r="CN1934" s="115"/>
      <c r="CO1934" s="115"/>
      <c r="CP1934" s="115"/>
      <c r="CQ1934" s="115"/>
      <c r="CR1934" s="115"/>
      <c r="CS1934" s="115"/>
      <c r="CT1934" s="115"/>
      <c r="CU1934" s="115"/>
      <c r="CV1934" s="115"/>
      <c r="CW1934" s="115"/>
      <c r="CX1934" s="115"/>
      <c r="CY1934" s="115"/>
      <c r="CZ1934" s="115"/>
      <c r="DA1934" s="115"/>
      <c r="DB1934" s="115"/>
      <c r="DC1934" s="115"/>
      <c r="DD1934" s="115"/>
      <c r="DE1934" s="115"/>
      <c r="DF1934" s="115"/>
      <c r="DG1934" s="115"/>
    </row>
    <row r="1935" spans="55:111" hidden="1">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c r="BY1935" s="115"/>
      <c r="BZ1935" s="115"/>
      <c r="CA1935" s="115"/>
      <c r="CB1935" s="115"/>
      <c r="CC1935" s="115"/>
      <c r="CD1935" s="115"/>
      <c r="CE1935" s="115"/>
      <c r="CF1935" s="115"/>
      <c r="CG1935" s="115"/>
      <c r="CH1935" s="115"/>
      <c r="CI1935" s="115"/>
      <c r="CJ1935" s="115"/>
      <c r="CK1935" s="115"/>
      <c r="CL1935" s="115"/>
      <c r="CM1935" s="115"/>
      <c r="CN1935" s="115"/>
      <c r="CO1935" s="115"/>
      <c r="CP1935" s="115"/>
      <c r="CQ1935" s="115"/>
      <c r="CR1935" s="115"/>
      <c r="CS1935" s="115"/>
      <c r="CT1935" s="115"/>
      <c r="CU1935" s="115"/>
      <c r="CV1935" s="115"/>
      <c r="CW1935" s="115"/>
      <c r="CX1935" s="115"/>
      <c r="CY1935" s="115"/>
      <c r="CZ1935" s="115"/>
      <c r="DA1935" s="115"/>
      <c r="DB1935" s="115"/>
      <c r="DC1935" s="115"/>
      <c r="DD1935" s="115"/>
      <c r="DE1935" s="115"/>
      <c r="DF1935" s="115"/>
      <c r="DG1935" s="115"/>
    </row>
    <row r="1936" spans="55:111" hidden="1">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c r="BY1936" s="115"/>
      <c r="BZ1936" s="115"/>
      <c r="CA1936" s="115"/>
      <c r="CB1936" s="115"/>
      <c r="CC1936" s="115"/>
      <c r="CD1936" s="115"/>
      <c r="CE1936" s="115"/>
      <c r="CF1936" s="115"/>
      <c r="CG1936" s="115"/>
      <c r="CH1936" s="115"/>
      <c r="CI1936" s="115"/>
      <c r="CJ1936" s="115"/>
      <c r="CK1936" s="115"/>
      <c r="CL1936" s="115"/>
      <c r="CM1936" s="115"/>
      <c r="CN1936" s="115"/>
      <c r="CO1936" s="115"/>
      <c r="CP1936" s="115"/>
      <c r="CQ1936" s="115"/>
      <c r="CR1936" s="115"/>
      <c r="CS1936" s="115"/>
      <c r="CT1936" s="115"/>
      <c r="CU1936" s="115"/>
      <c r="CV1936" s="115"/>
      <c r="CW1936" s="115"/>
      <c r="CX1936" s="115"/>
      <c r="CY1936" s="115"/>
      <c r="CZ1936" s="115"/>
      <c r="DA1936" s="115"/>
      <c r="DB1936" s="115"/>
      <c r="DC1936" s="115"/>
      <c r="DD1936" s="115"/>
      <c r="DE1936" s="115"/>
      <c r="DF1936" s="115"/>
      <c r="DG1936" s="115"/>
    </row>
    <row r="1937" spans="55:111" hidden="1">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c r="BY1937" s="115"/>
      <c r="BZ1937" s="115"/>
      <c r="CA1937" s="115"/>
      <c r="CB1937" s="115"/>
      <c r="CC1937" s="115"/>
      <c r="CD1937" s="115"/>
      <c r="CE1937" s="115"/>
      <c r="CF1937" s="115"/>
      <c r="CG1937" s="115"/>
      <c r="CH1937" s="115"/>
      <c r="CI1937" s="115"/>
      <c r="CJ1937" s="115"/>
      <c r="CK1937" s="115"/>
      <c r="CL1937" s="115"/>
      <c r="CM1937" s="115"/>
      <c r="CN1937" s="115"/>
      <c r="CO1937" s="115"/>
      <c r="CP1937" s="115"/>
      <c r="CQ1937" s="115"/>
      <c r="CR1937" s="115"/>
      <c r="CS1937" s="115"/>
      <c r="CT1937" s="115"/>
      <c r="CU1937" s="115"/>
      <c r="CV1937" s="115"/>
      <c r="CW1937" s="115"/>
      <c r="CX1937" s="115"/>
      <c r="CY1937" s="115"/>
      <c r="CZ1937" s="115"/>
      <c r="DA1937" s="115"/>
      <c r="DB1937" s="115"/>
      <c r="DC1937" s="115"/>
      <c r="DD1937" s="115"/>
      <c r="DE1937" s="115"/>
      <c r="DF1937" s="115"/>
      <c r="DG1937" s="115"/>
    </row>
    <row r="1938" spans="55:111" hidden="1">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c r="BY1938" s="115"/>
      <c r="BZ1938" s="115"/>
      <c r="CA1938" s="115"/>
      <c r="CB1938" s="115"/>
      <c r="CC1938" s="115"/>
      <c r="CD1938" s="115"/>
      <c r="CE1938" s="115"/>
      <c r="CF1938" s="115"/>
      <c r="CG1938" s="115"/>
      <c r="CH1938" s="115"/>
      <c r="CI1938" s="115"/>
      <c r="CJ1938" s="115"/>
      <c r="CK1938" s="115"/>
      <c r="CL1938" s="115"/>
      <c r="CM1938" s="115"/>
      <c r="CN1938" s="115"/>
      <c r="CO1938" s="115"/>
      <c r="CP1938" s="115"/>
      <c r="CQ1938" s="115"/>
      <c r="CR1938" s="115"/>
      <c r="CS1938" s="115"/>
      <c r="CT1938" s="115"/>
      <c r="CU1938" s="115"/>
      <c r="CV1938" s="115"/>
      <c r="CW1938" s="115"/>
      <c r="CX1938" s="115"/>
      <c r="CY1938" s="115"/>
      <c r="CZ1938" s="115"/>
      <c r="DA1938" s="115"/>
      <c r="DB1938" s="115"/>
      <c r="DC1938" s="115"/>
      <c r="DD1938" s="115"/>
      <c r="DE1938" s="115"/>
      <c r="DF1938" s="115"/>
      <c r="DG1938" s="115"/>
    </row>
    <row r="1939" spans="55:111" hidden="1">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c r="BY1939" s="115"/>
      <c r="BZ1939" s="115"/>
      <c r="CA1939" s="115"/>
      <c r="CB1939" s="115"/>
      <c r="CC1939" s="115"/>
      <c r="CD1939" s="115"/>
      <c r="CE1939" s="115"/>
      <c r="CF1939" s="115"/>
      <c r="CG1939" s="115"/>
      <c r="CH1939" s="115"/>
      <c r="CI1939" s="115"/>
      <c r="CJ1939" s="115"/>
      <c r="CK1939" s="115"/>
      <c r="CL1939" s="115"/>
      <c r="CM1939" s="115"/>
      <c r="CN1939" s="115"/>
      <c r="CO1939" s="115"/>
      <c r="CP1939" s="115"/>
      <c r="CQ1939" s="115"/>
      <c r="CR1939" s="115"/>
      <c r="CS1939" s="115"/>
      <c r="CT1939" s="115"/>
      <c r="CU1939" s="115"/>
      <c r="CV1939" s="115"/>
      <c r="CW1939" s="115"/>
      <c r="CX1939" s="115"/>
      <c r="CY1939" s="115"/>
      <c r="CZ1939" s="115"/>
      <c r="DA1939" s="115"/>
      <c r="DB1939" s="115"/>
      <c r="DC1939" s="115"/>
      <c r="DD1939" s="115"/>
      <c r="DE1939" s="115"/>
      <c r="DF1939" s="115"/>
      <c r="DG1939" s="115"/>
    </row>
    <row r="1940" spans="55:111" hidden="1">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c r="BY1940" s="115"/>
      <c r="BZ1940" s="115"/>
      <c r="CA1940" s="115"/>
      <c r="CB1940" s="115"/>
      <c r="CC1940" s="115"/>
      <c r="CD1940" s="115"/>
      <c r="CE1940" s="115"/>
      <c r="CF1940" s="115"/>
      <c r="CG1940" s="115"/>
      <c r="CH1940" s="115"/>
      <c r="CI1940" s="115"/>
      <c r="CJ1940" s="115"/>
      <c r="CK1940" s="115"/>
      <c r="CL1940" s="115"/>
      <c r="CM1940" s="115"/>
      <c r="CN1940" s="115"/>
      <c r="CO1940" s="115"/>
      <c r="CP1940" s="115"/>
      <c r="CQ1940" s="115"/>
      <c r="CR1940" s="115"/>
      <c r="CS1940" s="115"/>
      <c r="CT1940" s="115"/>
      <c r="CU1940" s="115"/>
      <c r="CV1940" s="115"/>
      <c r="CW1940" s="115"/>
      <c r="CX1940" s="115"/>
      <c r="CY1940" s="115"/>
      <c r="CZ1940" s="115"/>
      <c r="DA1940" s="115"/>
      <c r="DB1940" s="115"/>
      <c r="DC1940" s="115"/>
      <c r="DD1940" s="115"/>
      <c r="DE1940" s="115"/>
      <c r="DF1940" s="115"/>
      <c r="DG1940" s="115"/>
    </row>
    <row r="1941" spans="55:111" hidden="1">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c r="BY1941" s="115"/>
      <c r="BZ1941" s="115"/>
      <c r="CA1941" s="115"/>
      <c r="CB1941" s="115"/>
      <c r="CC1941" s="115"/>
      <c r="CD1941" s="115"/>
      <c r="CE1941" s="115"/>
      <c r="CF1941" s="115"/>
      <c r="CG1941" s="115"/>
      <c r="CH1941" s="115"/>
      <c r="CI1941" s="115"/>
      <c r="CJ1941" s="115"/>
      <c r="CK1941" s="115"/>
      <c r="CL1941" s="115"/>
      <c r="CM1941" s="115"/>
      <c r="CN1941" s="115"/>
      <c r="CO1941" s="115"/>
      <c r="CP1941" s="115"/>
      <c r="CQ1941" s="115"/>
      <c r="CR1941" s="115"/>
      <c r="CS1941" s="115"/>
      <c r="CT1941" s="115"/>
      <c r="CU1941" s="115"/>
      <c r="CV1941" s="115"/>
      <c r="CW1941" s="115"/>
      <c r="CX1941" s="115"/>
      <c r="CY1941" s="115"/>
      <c r="CZ1941" s="115"/>
      <c r="DA1941" s="115"/>
      <c r="DB1941" s="115"/>
      <c r="DC1941" s="115"/>
      <c r="DD1941" s="115"/>
      <c r="DE1941" s="115"/>
      <c r="DF1941" s="115"/>
      <c r="DG1941" s="115"/>
    </row>
    <row r="1942" spans="55:111" hidden="1">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c r="BY1942" s="115"/>
      <c r="BZ1942" s="115"/>
      <c r="CA1942" s="115"/>
      <c r="CB1942" s="115"/>
      <c r="CC1942" s="115"/>
      <c r="CD1942" s="115"/>
      <c r="CE1942" s="115"/>
      <c r="CF1942" s="115"/>
      <c r="CG1942" s="115"/>
      <c r="CH1942" s="115"/>
      <c r="CI1942" s="115"/>
      <c r="CJ1942" s="115"/>
      <c r="CK1942" s="115"/>
      <c r="CL1942" s="115"/>
      <c r="CM1942" s="115"/>
      <c r="CN1942" s="115"/>
      <c r="CO1942" s="115"/>
      <c r="CP1942" s="115"/>
      <c r="CQ1942" s="115"/>
      <c r="CR1942" s="115"/>
      <c r="CS1942" s="115"/>
      <c r="CT1942" s="115"/>
      <c r="CU1942" s="115"/>
      <c r="CV1942" s="115"/>
      <c r="CW1942" s="115"/>
      <c r="CX1942" s="115"/>
      <c r="CY1942" s="115"/>
      <c r="CZ1942" s="115"/>
      <c r="DA1942" s="115"/>
      <c r="DB1942" s="115"/>
      <c r="DC1942" s="115"/>
      <c r="DD1942" s="115"/>
      <c r="DE1942" s="115"/>
      <c r="DF1942" s="115"/>
      <c r="DG1942" s="115"/>
    </row>
    <row r="1943" spans="55:111" hidden="1">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c r="BY1943" s="115"/>
      <c r="BZ1943" s="115"/>
      <c r="CA1943" s="115"/>
      <c r="CB1943" s="115"/>
      <c r="CC1943" s="115"/>
      <c r="CD1943" s="115"/>
      <c r="CE1943" s="115"/>
      <c r="CF1943" s="115"/>
      <c r="CG1943" s="115"/>
      <c r="CH1943" s="115"/>
      <c r="CI1943" s="115"/>
      <c r="CJ1943" s="115"/>
      <c r="CK1943" s="115"/>
      <c r="CL1943" s="115"/>
      <c r="CM1943" s="115"/>
      <c r="CN1943" s="115"/>
      <c r="CO1943" s="115"/>
      <c r="CP1943" s="115"/>
      <c r="CQ1943" s="115"/>
      <c r="CR1943" s="115"/>
      <c r="CS1943" s="115"/>
      <c r="CT1943" s="115"/>
      <c r="CU1943" s="115"/>
      <c r="CV1943" s="115"/>
      <c r="CW1943" s="115"/>
      <c r="CX1943" s="115"/>
      <c r="CY1943" s="115"/>
      <c r="CZ1943" s="115"/>
      <c r="DA1943" s="115"/>
      <c r="DB1943" s="115"/>
      <c r="DC1943" s="115"/>
      <c r="DD1943" s="115"/>
      <c r="DE1943" s="115"/>
      <c r="DF1943" s="115"/>
      <c r="DG1943" s="115"/>
    </row>
    <row r="1944" spans="55:111" hidden="1">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c r="BY1944" s="115"/>
      <c r="BZ1944" s="115"/>
      <c r="CA1944" s="115"/>
      <c r="CB1944" s="115"/>
      <c r="CC1944" s="115"/>
      <c r="CD1944" s="115"/>
      <c r="CE1944" s="115"/>
      <c r="CF1944" s="115"/>
      <c r="CG1944" s="115"/>
      <c r="CH1944" s="115"/>
      <c r="CI1944" s="115"/>
      <c r="CJ1944" s="115"/>
      <c r="CK1944" s="115"/>
      <c r="CL1944" s="115"/>
      <c r="CM1944" s="115"/>
      <c r="CN1944" s="115"/>
      <c r="CO1944" s="115"/>
      <c r="CP1944" s="115"/>
      <c r="CQ1944" s="115"/>
      <c r="CR1944" s="115"/>
      <c r="CS1944" s="115"/>
      <c r="CT1944" s="115"/>
      <c r="CU1944" s="115"/>
      <c r="CV1944" s="115"/>
      <c r="CW1944" s="115"/>
      <c r="CX1944" s="115"/>
      <c r="CY1944" s="115"/>
      <c r="CZ1944" s="115"/>
      <c r="DA1944" s="115"/>
      <c r="DB1944" s="115"/>
      <c r="DC1944" s="115"/>
      <c r="DD1944" s="115"/>
      <c r="DE1944" s="115"/>
      <c r="DF1944" s="115"/>
      <c r="DG1944" s="115"/>
    </row>
    <row r="1945" spans="55:111" hidden="1">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c r="BY1945" s="115"/>
      <c r="BZ1945" s="115"/>
      <c r="CA1945" s="115"/>
      <c r="CB1945" s="115"/>
      <c r="CC1945" s="115"/>
      <c r="CD1945" s="115"/>
      <c r="CE1945" s="115"/>
      <c r="CF1945" s="115"/>
      <c r="CG1945" s="115"/>
      <c r="CH1945" s="115"/>
      <c r="CI1945" s="115"/>
      <c r="CJ1945" s="115"/>
      <c r="CK1945" s="115"/>
      <c r="CL1945" s="115"/>
      <c r="CM1945" s="115"/>
      <c r="CN1945" s="115"/>
      <c r="CO1945" s="115"/>
      <c r="CP1945" s="115"/>
      <c r="CQ1945" s="115"/>
      <c r="CR1945" s="115"/>
      <c r="CS1945" s="115"/>
      <c r="CT1945" s="115"/>
      <c r="CU1945" s="115"/>
      <c r="CV1945" s="115"/>
      <c r="CW1945" s="115"/>
      <c r="CX1945" s="115"/>
      <c r="CY1945" s="115"/>
      <c r="CZ1945" s="115"/>
      <c r="DA1945" s="115"/>
      <c r="DB1945" s="115"/>
      <c r="DC1945" s="115"/>
      <c r="DD1945" s="115"/>
      <c r="DE1945" s="115"/>
      <c r="DF1945" s="115"/>
      <c r="DG1945" s="115"/>
    </row>
    <row r="1946" spans="55:111" hidden="1">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c r="BY1946" s="115"/>
      <c r="BZ1946" s="115"/>
      <c r="CA1946" s="115"/>
      <c r="CB1946" s="115"/>
      <c r="CC1946" s="115"/>
      <c r="CD1946" s="115"/>
      <c r="CE1946" s="115"/>
      <c r="CF1946" s="115"/>
      <c r="CG1946" s="115"/>
      <c r="CH1946" s="115"/>
      <c r="CI1946" s="115"/>
      <c r="CJ1946" s="115"/>
      <c r="CK1946" s="115"/>
      <c r="CL1946" s="115"/>
      <c r="CM1946" s="115"/>
      <c r="CN1946" s="115"/>
      <c r="CO1946" s="115"/>
      <c r="CP1946" s="115"/>
      <c r="CQ1946" s="115"/>
      <c r="CR1946" s="115"/>
      <c r="CS1946" s="115"/>
      <c r="CT1946" s="115"/>
      <c r="CU1946" s="115"/>
      <c r="CV1946" s="115"/>
      <c r="CW1946" s="115"/>
      <c r="CX1946" s="115"/>
      <c r="CY1946" s="115"/>
      <c r="CZ1946" s="115"/>
      <c r="DA1946" s="115"/>
      <c r="DB1946" s="115"/>
      <c r="DC1946" s="115"/>
      <c r="DD1946" s="115"/>
      <c r="DE1946" s="115"/>
      <c r="DF1946" s="115"/>
      <c r="DG1946" s="115"/>
    </row>
    <row r="1947" spans="55:111" hidden="1">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c r="BY1947" s="115"/>
      <c r="BZ1947" s="115"/>
      <c r="CA1947" s="115"/>
      <c r="CB1947" s="115"/>
      <c r="CC1947" s="115"/>
      <c r="CD1947" s="115"/>
      <c r="CE1947" s="115"/>
      <c r="CF1947" s="115"/>
      <c r="CG1947" s="115"/>
      <c r="CH1947" s="115"/>
      <c r="CI1947" s="115"/>
      <c r="CJ1947" s="115"/>
      <c r="CK1947" s="115"/>
      <c r="CL1947" s="115"/>
      <c r="CM1947" s="115"/>
      <c r="CN1947" s="115"/>
      <c r="CO1947" s="115"/>
      <c r="CP1947" s="115"/>
      <c r="CQ1947" s="115"/>
      <c r="CR1947" s="115"/>
      <c r="CS1947" s="115"/>
      <c r="CT1947" s="115"/>
      <c r="CU1947" s="115"/>
      <c r="CV1947" s="115"/>
      <c r="CW1947" s="115"/>
      <c r="CX1947" s="115"/>
      <c r="CY1947" s="115"/>
      <c r="CZ1947" s="115"/>
      <c r="DA1947" s="115"/>
      <c r="DB1947" s="115"/>
      <c r="DC1947" s="115"/>
      <c r="DD1947" s="115"/>
      <c r="DE1947" s="115"/>
      <c r="DF1947" s="115"/>
      <c r="DG1947" s="115"/>
    </row>
    <row r="1948" spans="55:111" hidden="1">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c r="BY1948" s="115"/>
      <c r="BZ1948" s="115"/>
      <c r="CA1948" s="115"/>
      <c r="CB1948" s="115"/>
      <c r="CC1948" s="115"/>
      <c r="CD1948" s="115"/>
      <c r="CE1948" s="115"/>
      <c r="CF1948" s="115"/>
      <c r="CG1948" s="115"/>
      <c r="CH1948" s="115"/>
      <c r="CI1948" s="115"/>
      <c r="CJ1948" s="115"/>
      <c r="CK1948" s="115"/>
      <c r="CL1948" s="115"/>
      <c r="CM1948" s="115"/>
      <c r="CN1948" s="115"/>
      <c r="CO1948" s="115"/>
      <c r="CP1948" s="115"/>
      <c r="CQ1948" s="115"/>
      <c r="CR1948" s="115"/>
      <c r="CS1948" s="115"/>
      <c r="CT1948" s="115"/>
      <c r="CU1948" s="115"/>
      <c r="CV1948" s="115"/>
      <c r="CW1948" s="115"/>
      <c r="CX1948" s="115"/>
      <c r="CY1948" s="115"/>
      <c r="CZ1948" s="115"/>
      <c r="DA1948" s="115"/>
      <c r="DB1948" s="115"/>
      <c r="DC1948" s="115"/>
      <c r="DD1948" s="115"/>
      <c r="DE1948" s="115"/>
      <c r="DF1948" s="115"/>
      <c r="DG1948" s="115"/>
    </row>
    <row r="1949" spans="55:111" hidden="1">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c r="BY1949" s="115"/>
      <c r="BZ1949" s="115"/>
      <c r="CA1949" s="115"/>
      <c r="CB1949" s="115"/>
      <c r="CC1949" s="115"/>
      <c r="CD1949" s="115"/>
      <c r="CE1949" s="115"/>
      <c r="CF1949" s="115"/>
      <c r="CG1949" s="115"/>
      <c r="CH1949" s="115"/>
      <c r="CI1949" s="115"/>
      <c r="CJ1949" s="115"/>
      <c r="CK1949" s="115"/>
      <c r="CL1949" s="115"/>
      <c r="CM1949" s="115"/>
      <c r="CN1949" s="115"/>
      <c r="CO1949" s="115"/>
      <c r="CP1949" s="115"/>
      <c r="CQ1949" s="115"/>
      <c r="CR1949" s="115"/>
      <c r="CS1949" s="115"/>
      <c r="CT1949" s="115"/>
      <c r="CU1949" s="115"/>
      <c r="CV1949" s="115"/>
      <c r="CW1949" s="115"/>
      <c r="CX1949" s="115"/>
      <c r="CY1949" s="115"/>
      <c r="CZ1949" s="115"/>
      <c r="DA1949" s="115"/>
      <c r="DB1949" s="115"/>
      <c r="DC1949" s="115"/>
      <c r="DD1949" s="115"/>
      <c r="DE1949" s="115"/>
      <c r="DF1949" s="115"/>
      <c r="DG1949" s="115"/>
    </row>
    <row r="1950" spans="55:111" hidden="1">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c r="BY1950" s="115"/>
      <c r="BZ1950" s="115"/>
      <c r="CA1950" s="115"/>
      <c r="CB1950" s="115"/>
      <c r="CC1950" s="115"/>
      <c r="CD1950" s="115"/>
      <c r="CE1950" s="115"/>
      <c r="CF1950" s="115"/>
      <c r="CG1950" s="115"/>
      <c r="CH1950" s="115"/>
      <c r="CI1950" s="115"/>
      <c r="CJ1950" s="115"/>
      <c r="CK1950" s="115"/>
      <c r="CL1950" s="115"/>
      <c r="CM1950" s="115"/>
      <c r="CN1950" s="115"/>
      <c r="CO1950" s="115"/>
      <c r="CP1950" s="115"/>
      <c r="CQ1950" s="115"/>
      <c r="CR1950" s="115"/>
      <c r="CS1950" s="115"/>
      <c r="CT1950" s="115"/>
      <c r="CU1950" s="115"/>
      <c r="CV1950" s="115"/>
      <c r="CW1950" s="115"/>
      <c r="CX1950" s="115"/>
      <c r="CY1950" s="115"/>
      <c r="CZ1950" s="115"/>
      <c r="DA1950" s="115"/>
      <c r="DB1950" s="115"/>
      <c r="DC1950" s="115"/>
      <c r="DD1950" s="115"/>
      <c r="DE1950" s="115"/>
      <c r="DF1950" s="115"/>
      <c r="DG1950" s="115"/>
    </row>
    <row r="1951" spans="55:111" hidden="1">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c r="BY1951" s="115"/>
      <c r="BZ1951" s="115"/>
      <c r="CA1951" s="115"/>
      <c r="CB1951" s="115"/>
      <c r="CC1951" s="115"/>
      <c r="CD1951" s="115"/>
      <c r="CE1951" s="115"/>
      <c r="CF1951" s="115"/>
      <c r="CG1951" s="115"/>
      <c r="CH1951" s="115"/>
      <c r="CI1951" s="115"/>
      <c r="CJ1951" s="115"/>
      <c r="CK1951" s="115"/>
      <c r="CL1951" s="115"/>
      <c r="CM1951" s="115"/>
      <c r="CN1951" s="115"/>
      <c r="CO1951" s="115"/>
      <c r="CP1951" s="115"/>
      <c r="CQ1951" s="115"/>
      <c r="CR1951" s="115"/>
      <c r="CS1951" s="115"/>
      <c r="CT1951" s="115"/>
      <c r="CU1951" s="115"/>
      <c r="CV1951" s="115"/>
      <c r="CW1951" s="115"/>
      <c r="CX1951" s="115"/>
      <c r="CY1951" s="115"/>
      <c r="CZ1951" s="115"/>
      <c r="DA1951" s="115"/>
      <c r="DB1951" s="115"/>
      <c r="DC1951" s="115"/>
      <c r="DD1951" s="115"/>
      <c r="DE1951" s="115"/>
      <c r="DF1951" s="115"/>
      <c r="DG1951" s="115"/>
    </row>
    <row r="1952" spans="55:111" hidden="1">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c r="BY1952" s="115"/>
      <c r="BZ1952" s="115"/>
      <c r="CA1952" s="115"/>
      <c r="CB1952" s="115"/>
      <c r="CC1952" s="115"/>
      <c r="CD1952" s="115"/>
      <c r="CE1952" s="115"/>
      <c r="CF1952" s="115"/>
      <c r="CG1952" s="115"/>
      <c r="CH1952" s="115"/>
      <c r="CI1952" s="115"/>
      <c r="CJ1952" s="115"/>
      <c r="CK1952" s="115"/>
      <c r="CL1952" s="115"/>
      <c r="CM1952" s="115"/>
      <c r="CN1952" s="115"/>
      <c r="CO1952" s="115"/>
      <c r="CP1952" s="115"/>
      <c r="CQ1952" s="115"/>
      <c r="CR1952" s="115"/>
      <c r="CS1952" s="115"/>
      <c r="CT1952" s="115"/>
      <c r="CU1952" s="115"/>
      <c r="CV1952" s="115"/>
      <c r="CW1952" s="115"/>
      <c r="CX1952" s="115"/>
      <c r="CY1952" s="115"/>
      <c r="CZ1952" s="115"/>
      <c r="DA1952" s="115"/>
      <c r="DB1952" s="115"/>
      <c r="DC1952" s="115"/>
      <c r="DD1952" s="115"/>
      <c r="DE1952" s="115"/>
      <c r="DF1952" s="115"/>
      <c r="DG1952" s="115"/>
    </row>
    <row r="1953" spans="55:111" hidden="1">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c r="BY1953" s="115"/>
      <c r="BZ1953" s="115"/>
      <c r="CA1953" s="115"/>
      <c r="CB1953" s="115"/>
      <c r="CC1953" s="115"/>
      <c r="CD1953" s="115"/>
      <c r="CE1953" s="115"/>
      <c r="CF1953" s="115"/>
      <c r="CG1953" s="115"/>
      <c r="CH1953" s="115"/>
      <c r="CI1953" s="115"/>
      <c r="CJ1953" s="115"/>
      <c r="CK1953" s="115"/>
      <c r="CL1953" s="115"/>
      <c r="CM1953" s="115"/>
      <c r="CN1953" s="115"/>
      <c r="CO1953" s="115"/>
      <c r="CP1953" s="115"/>
      <c r="CQ1953" s="115"/>
      <c r="CR1953" s="115"/>
      <c r="CS1953" s="115"/>
      <c r="CT1953" s="115"/>
      <c r="CU1953" s="115"/>
      <c r="CV1953" s="115"/>
      <c r="CW1953" s="115"/>
      <c r="CX1953" s="115"/>
      <c r="CY1953" s="115"/>
      <c r="CZ1953" s="115"/>
      <c r="DA1953" s="115"/>
      <c r="DB1953" s="115"/>
      <c r="DC1953" s="115"/>
      <c r="DD1953" s="115"/>
      <c r="DE1953" s="115"/>
      <c r="DF1953" s="115"/>
      <c r="DG1953" s="115"/>
    </row>
    <row r="1954" spans="55:111" hidden="1">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c r="BY1954" s="115"/>
      <c r="BZ1954" s="115"/>
      <c r="CA1954" s="115"/>
      <c r="CB1954" s="115"/>
      <c r="CC1954" s="115"/>
      <c r="CD1954" s="115"/>
      <c r="CE1954" s="115"/>
      <c r="CF1954" s="115"/>
      <c r="CG1954" s="115"/>
      <c r="CH1954" s="115"/>
      <c r="CI1954" s="115"/>
      <c r="CJ1954" s="115"/>
      <c r="CK1954" s="115"/>
      <c r="CL1954" s="115"/>
      <c r="CM1954" s="115"/>
      <c r="CN1954" s="115"/>
      <c r="CO1954" s="115"/>
      <c r="CP1954" s="115"/>
      <c r="CQ1954" s="115"/>
      <c r="CR1954" s="115"/>
      <c r="CS1954" s="115"/>
      <c r="CT1954" s="115"/>
      <c r="CU1954" s="115"/>
      <c r="CV1954" s="115"/>
      <c r="CW1954" s="115"/>
      <c r="CX1954" s="115"/>
      <c r="CY1954" s="115"/>
      <c r="CZ1954" s="115"/>
      <c r="DA1954" s="115"/>
      <c r="DB1954" s="115"/>
      <c r="DC1954" s="115"/>
      <c r="DD1954" s="115"/>
      <c r="DE1954" s="115"/>
      <c r="DF1954" s="115"/>
      <c r="DG1954" s="115"/>
    </row>
    <row r="1955" spans="55:111" hidden="1">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c r="BY1955" s="115"/>
      <c r="BZ1955" s="115"/>
      <c r="CA1955" s="115"/>
      <c r="CB1955" s="115"/>
      <c r="CC1955" s="115"/>
      <c r="CD1955" s="115"/>
      <c r="CE1955" s="115"/>
      <c r="CF1955" s="115"/>
      <c r="CG1955" s="115"/>
      <c r="CH1955" s="115"/>
      <c r="CI1955" s="115"/>
      <c r="CJ1955" s="115"/>
      <c r="CK1955" s="115"/>
      <c r="CL1955" s="115"/>
      <c r="CM1955" s="115"/>
      <c r="CN1955" s="115"/>
      <c r="CO1955" s="115"/>
      <c r="CP1955" s="115"/>
      <c r="CQ1955" s="115"/>
      <c r="CR1955" s="115"/>
      <c r="CS1955" s="115"/>
      <c r="CT1955" s="115"/>
      <c r="CU1955" s="115"/>
      <c r="CV1955" s="115"/>
      <c r="CW1955" s="115"/>
      <c r="CX1955" s="115"/>
      <c r="CY1955" s="115"/>
      <c r="CZ1955" s="115"/>
      <c r="DA1955" s="115"/>
      <c r="DB1955" s="115"/>
      <c r="DC1955" s="115"/>
      <c r="DD1955" s="115"/>
      <c r="DE1955" s="115"/>
      <c r="DF1955" s="115"/>
      <c r="DG1955" s="115"/>
    </row>
    <row r="1956" spans="55:111" hidden="1">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c r="BY1956" s="115"/>
      <c r="BZ1956" s="115"/>
      <c r="CA1956" s="115"/>
      <c r="CB1956" s="115"/>
      <c r="CC1956" s="115"/>
      <c r="CD1956" s="115"/>
      <c r="CE1956" s="115"/>
      <c r="CF1956" s="115"/>
      <c r="CG1956" s="115"/>
      <c r="CH1956" s="115"/>
      <c r="CI1956" s="115"/>
      <c r="CJ1956" s="115"/>
      <c r="CK1956" s="115"/>
      <c r="CL1956" s="115"/>
      <c r="CM1956" s="115"/>
      <c r="CN1956" s="115"/>
      <c r="CO1956" s="115"/>
      <c r="CP1956" s="115"/>
      <c r="CQ1956" s="115"/>
      <c r="CR1956" s="115"/>
      <c r="CS1956" s="115"/>
      <c r="CT1956" s="115"/>
      <c r="CU1956" s="115"/>
      <c r="CV1956" s="115"/>
      <c r="CW1956" s="115"/>
      <c r="CX1956" s="115"/>
      <c r="CY1956" s="115"/>
      <c r="CZ1956" s="115"/>
      <c r="DA1956" s="115"/>
      <c r="DB1956" s="115"/>
      <c r="DC1956" s="115"/>
      <c r="DD1956" s="115"/>
      <c r="DE1956" s="115"/>
      <c r="DF1956" s="115"/>
      <c r="DG1956" s="115"/>
    </row>
    <row r="1957" spans="55:111" hidden="1">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c r="BY1957" s="115"/>
      <c r="BZ1957" s="115"/>
      <c r="CA1957" s="115"/>
      <c r="CB1957" s="115"/>
      <c r="CC1957" s="115"/>
      <c r="CD1957" s="115"/>
      <c r="CE1957" s="115"/>
      <c r="CF1957" s="115"/>
      <c r="CG1957" s="115"/>
      <c r="CH1957" s="115"/>
      <c r="CI1957" s="115"/>
      <c r="CJ1957" s="115"/>
      <c r="CK1957" s="115"/>
      <c r="CL1957" s="115"/>
      <c r="CM1957" s="115"/>
      <c r="CN1957" s="115"/>
      <c r="CO1957" s="115"/>
      <c r="CP1957" s="115"/>
      <c r="CQ1957" s="115"/>
      <c r="CR1957" s="115"/>
      <c r="CS1957" s="115"/>
      <c r="CT1957" s="115"/>
      <c r="CU1957" s="115"/>
      <c r="CV1957" s="115"/>
      <c r="CW1957" s="115"/>
      <c r="CX1957" s="115"/>
      <c r="CY1957" s="115"/>
      <c r="CZ1957" s="115"/>
      <c r="DA1957" s="115"/>
      <c r="DB1957" s="115"/>
      <c r="DC1957" s="115"/>
      <c r="DD1957" s="115"/>
      <c r="DE1957" s="115"/>
      <c r="DF1957" s="115"/>
      <c r="DG1957" s="115"/>
    </row>
    <row r="1958" spans="55:111" hidden="1">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c r="BY1958" s="115"/>
      <c r="BZ1958" s="115"/>
      <c r="CA1958" s="115"/>
      <c r="CB1958" s="115"/>
      <c r="CC1958" s="115"/>
      <c r="CD1958" s="115"/>
      <c r="CE1958" s="115"/>
      <c r="CF1958" s="115"/>
      <c r="CG1958" s="115"/>
      <c r="CH1958" s="115"/>
      <c r="CI1958" s="115"/>
      <c r="CJ1958" s="115"/>
      <c r="CK1958" s="115"/>
      <c r="CL1958" s="115"/>
      <c r="CM1958" s="115"/>
      <c r="CN1958" s="115"/>
      <c r="CO1958" s="115"/>
      <c r="CP1958" s="115"/>
      <c r="CQ1958" s="115"/>
      <c r="CR1958" s="115"/>
      <c r="CS1958" s="115"/>
      <c r="CT1958" s="115"/>
      <c r="CU1958" s="115"/>
      <c r="CV1958" s="115"/>
      <c r="CW1958" s="115"/>
      <c r="CX1958" s="115"/>
      <c r="CY1958" s="115"/>
      <c r="CZ1958" s="115"/>
      <c r="DA1958" s="115"/>
      <c r="DB1958" s="115"/>
      <c r="DC1958" s="115"/>
      <c r="DD1958" s="115"/>
      <c r="DE1958" s="115"/>
      <c r="DF1958" s="115"/>
      <c r="DG1958" s="115"/>
    </row>
    <row r="1959" spans="55:111" hidden="1">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c r="BY1959" s="115"/>
      <c r="BZ1959" s="115"/>
      <c r="CA1959" s="115"/>
      <c r="CB1959" s="115"/>
      <c r="CC1959" s="115"/>
      <c r="CD1959" s="115"/>
      <c r="CE1959" s="115"/>
      <c r="CF1959" s="115"/>
      <c r="CG1959" s="115"/>
      <c r="CH1959" s="115"/>
      <c r="CI1959" s="115"/>
      <c r="CJ1959" s="115"/>
      <c r="CK1959" s="115"/>
      <c r="CL1959" s="115"/>
      <c r="CM1959" s="115"/>
      <c r="CN1959" s="115"/>
      <c r="CO1959" s="115"/>
      <c r="CP1959" s="115"/>
      <c r="CQ1959" s="115"/>
      <c r="CR1959" s="115"/>
      <c r="CS1959" s="115"/>
      <c r="CT1959" s="115"/>
      <c r="CU1959" s="115"/>
      <c r="CV1959" s="115"/>
      <c r="CW1959" s="115"/>
      <c r="CX1959" s="115"/>
      <c r="CY1959" s="115"/>
      <c r="CZ1959" s="115"/>
      <c r="DA1959" s="115"/>
      <c r="DB1959" s="115"/>
      <c r="DC1959" s="115"/>
      <c r="DD1959" s="115"/>
      <c r="DE1959" s="115"/>
      <c r="DF1959" s="115"/>
      <c r="DG1959" s="115"/>
    </row>
    <row r="1960" spans="55:111" hidden="1">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c r="BY1960" s="115"/>
      <c r="BZ1960" s="115"/>
      <c r="CA1960" s="115"/>
      <c r="CB1960" s="115"/>
      <c r="CC1960" s="115"/>
      <c r="CD1960" s="115"/>
      <c r="CE1960" s="115"/>
      <c r="CF1960" s="115"/>
      <c r="CG1960" s="115"/>
      <c r="CH1960" s="115"/>
      <c r="CI1960" s="115"/>
      <c r="CJ1960" s="115"/>
      <c r="CK1960" s="115"/>
      <c r="CL1960" s="115"/>
      <c r="CM1960" s="115"/>
      <c r="CN1960" s="115"/>
      <c r="CO1960" s="115"/>
      <c r="CP1960" s="115"/>
      <c r="CQ1960" s="115"/>
      <c r="CR1960" s="115"/>
      <c r="CS1960" s="115"/>
      <c r="CT1960" s="115"/>
      <c r="CU1960" s="115"/>
      <c r="CV1960" s="115"/>
      <c r="CW1960" s="115"/>
      <c r="CX1960" s="115"/>
      <c r="CY1960" s="115"/>
      <c r="CZ1960" s="115"/>
      <c r="DA1960" s="115"/>
      <c r="DB1960" s="115"/>
      <c r="DC1960" s="115"/>
      <c r="DD1960" s="115"/>
      <c r="DE1960" s="115"/>
      <c r="DF1960" s="115"/>
      <c r="DG1960" s="115"/>
    </row>
    <row r="1961" spans="55:111" hidden="1">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c r="BY1961" s="115"/>
      <c r="BZ1961" s="115"/>
      <c r="CA1961" s="115"/>
      <c r="CB1961" s="115"/>
      <c r="CC1961" s="115"/>
      <c r="CD1961" s="115"/>
      <c r="CE1961" s="115"/>
      <c r="CF1961" s="115"/>
      <c r="CG1961" s="115"/>
      <c r="CH1961" s="115"/>
      <c r="CI1961" s="115"/>
      <c r="CJ1961" s="115"/>
      <c r="CK1961" s="115"/>
      <c r="CL1961" s="115"/>
      <c r="CM1961" s="115"/>
      <c r="CN1961" s="115"/>
      <c r="CO1961" s="115"/>
      <c r="CP1961" s="115"/>
      <c r="CQ1961" s="115"/>
      <c r="CR1961" s="115"/>
      <c r="CS1961" s="115"/>
      <c r="CT1961" s="115"/>
      <c r="CU1961" s="115"/>
      <c r="CV1961" s="115"/>
      <c r="CW1961" s="115"/>
      <c r="CX1961" s="115"/>
      <c r="CY1961" s="115"/>
      <c r="CZ1961" s="115"/>
      <c r="DA1961" s="115"/>
      <c r="DB1961" s="115"/>
      <c r="DC1961" s="115"/>
      <c r="DD1961" s="115"/>
      <c r="DE1961" s="115"/>
      <c r="DF1961" s="115"/>
      <c r="DG1961" s="115"/>
    </row>
    <row r="1962" spans="55:111" hidden="1">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c r="BY1962" s="115"/>
      <c r="BZ1962" s="115"/>
      <c r="CA1962" s="115"/>
      <c r="CB1962" s="115"/>
      <c r="CC1962" s="115"/>
      <c r="CD1962" s="115"/>
      <c r="CE1962" s="115"/>
      <c r="CF1962" s="115"/>
      <c r="CG1962" s="115"/>
      <c r="CH1962" s="115"/>
      <c r="CI1962" s="115"/>
      <c r="CJ1962" s="115"/>
      <c r="CK1962" s="115"/>
      <c r="CL1962" s="115"/>
      <c r="CM1962" s="115"/>
      <c r="CN1962" s="115"/>
      <c r="CO1962" s="115"/>
      <c r="CP1962" s="115"/>
      <c r="CQ1962" s="115"/>
      <c r="CR1962" s="115"/>
      <c r="CS1962" s="115"/>
      <c r="CT1962" s="115"/>
      <c r="CU1962" s="115"/>
      <c r="CV1962" s="115"/>
      <c r="CW1962" s="115"/>
      <c r="CX1962" s="115"/>
      <c r="CY1962" s="115"/>
      <c r="CZ1962" s="115"/>
      <c r="DA1962" s="115"/>
      <c r="DB1962" s="115"/>
      <c r="DC1962" s="115"/>
      <c r="DD1962" s="115"/>
      <c r="DE1962" s="115"/>
      <c r="DF1962" s="115"/>
      <c r="DG1962" s="115"/>
    </row>
    <row r="1963" spans="55:111" hidden="1">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c r="BY1963" s="115"/>
      <c r="BZ1963" s="115"/>
      <c r="CA1963" s="115"/>
      <c r="CB1963" s="115"/>
      <c r="CC1963" s="115"/>
      <c r="CD1963" s="115"/>
      <c r="CE1963" s="115"/>
      <c r="CF1963" s="115"/>
      <c r="CG1963" s="115"/>
      <c r="CH1963" s="115"/>
      <c r="CI1963" s="115"/>
      <c r="CJ1963" s="115"/>
      <c r="CK1963" s="115"/>
      <c r="CL1963" s="115"/>
      <c r="CM1963" s="115"/>
      <c r="CN1963" s="115"/>
      <c r="CO1963" s="115"/>
      <c r="CP1963" s="115"/>
      <c r="CQ1963" s="115"/>
      <c r="CR1963" s="115"/>
      <c r="CS1963" s="115"/>
      <c r="CT1963" s="115"/>
      <c r="CU1963" s="115"/>
      <c r="CV1963" s="115"/>
      <c r="CW1963" s="115"/>
      <c r="CX1963" s="115"/>
      <c r="CY1963" s="115"/>
      <c r="CZ1963" s="115"/>
      <c r="DA1963" s="115"/>
      <c r="DB1963" s="115"/>
      <c r="DC1963" s="115"/>
      <c r="DD1963" s="115"/>
      <c r="DE1963" s="115"/>
      <c r="DF1963" s="115"/>
      <c r="DG1963" s="115"/>
    </row>
    <row r="1964" spans="55:111" hidden="1">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c r="BY1964" s="115"/>
      <c r="BZ1964" s="115"/>
      <c r="CA1964" s="115"/>
      <c r="CB1964" s="115"/>
      <c r="CC1964" s="115"/>
      <c r="CD1964" s="115"/>
      <c r="CE1964" s="115"/>
      <c r="CF1964" s="115"/>
      <c r="CG1964" s="115"/>
      <c r="CH1964" s="115"/>
      <c r="CI1964" s="115"/>
      <c r="CJ1964" s="115"/>
      <c r="CK1964" s="115"/>
      <c r="CL1964" s="115"/>
      <c r="CM1964" s="115"/>
      <c r="CN1964" s="115"/>
      <c r="CO1964" s="115"/>
      <c r="CP1964" s="115"/>
      <c r="CQ1964" s="115"/>
      <c r="CR1964" s="115"/>
      <c r="CS1964" s="115"/>
      <c r="CT1964" s="115"/>
      <c r="CU1964" s="115"/>
      <c r="CV1964" s="115"/>
      <c r="CW1964" s="115"/>
      <c r="CX1964" s="115"/>
      <c r="CY1964" s="115"/>
      <c r="CZ1964" s="115"/>
      <c r="DA1964" s="115"/>
      <c r="DB1964" s="115"/>
      <c r="DC1964" s="115"/>
      <c r="DD1964" s="115"/>
      <c r="DE1964" s="115"/>
      <c r="DF1964" s="115"/>
      <c r="DG1964" s="115"/>
    </row>
    <row r="1965" spans="55:111" hidden="1">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c r="BY1965" s="115"/>
      <c r="BZ1965" s="115"/>
      <c r="CA1965" s="115"/>
      <c r="CB1965" s="115"/>
      <c r="CC1965" s="115"/>
      <c r="CD1965" s="115"/>
      <c r="CE1965" s="115"/>
      <c r="CF1965" s="115"/>
      <c r="CG1965" s="115"/>
      <c r="CH1965" s="115"/>
      <c r="CI1965" s="115"/>
      <c r="CJ1965" s="115"/>
      <c r="CK1965" s="115"/>
      <c r="CL1965" s="115"/>
      <c r="CM1965" s="115"/>
      <c r="CN1965" s="115"/>
      <c r="CO1965" s="115"/>
      <c r="CP1965" s="115"/>
      <c r="CQ1965" s="115"/>
      <c r="CR1965" s="115"/>
      <c r="CS1965" s="115"/>
      <c r="CT1965" s="115"/>
      <c r="CU1965" s="115"/>
      <c r="CV1965" s="115"/>
      <c r="CW1965" s="115"/>
      <c r="CX1965" s="115"/>
      <c r="CY1965" s="115"/>
      <c r="CZ1965" s="115"/>
      <c r="DA1965" s="115"/>
      <c r="DB1965" s="115"/>
      <c r="DC1965" s="115"/>
      <c r="DD1965" s="115"/>
      <c r="DE1965" s="115"/>
      <c r="DF1965" s="115"/>
      <c r="DG1965" s="115"/>
    </row>
    <row r="1966" spans="55:111" hidden="1">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c r="BY1966" s="115"/>
      <c r="BZ1966" s="115"/>
      <c r="CA1966" s="115"/>
      <c r="CB1966" s="115"/>
      <c r="CC1966" s="115"/>
      <c r="CD1966" s="115"/>
      <c r="CE1966" s="115"/>
      <c r="CF1966" s="115"/>
      <c r="CG1966" s="115"/>
      <c r="CH1966" s="115"/>
      <c r="CI1966" s="115"/>
      <c r="CJ1966" s="115"/>
      <c r="CK1966" s="115"/>
      <c r="CL1966" s="115"/>
      <c r="CM1966" s="115"/>
      <c r="CN1966" s="115"/>
      <c r="CO1966" s="115"/>
      <c r="CP1966" s="115"/>
      <c r="CQ1966" s="115"/>
      <c r="CR1966" s="115"/>
      <c r="CS1966" s="115"/>
      <c r="CT1966" s="115"/>
      <c r="CU1966" s="115"/>
      <c r="CV1966" s="115"/>
      <c r="CW1966" s="115"/>
      <c r="CX1966" s="115"/>
      <c r="CY1966" s="115"/>
      <c r="CZ1966" s="115"/>
      <c r="DA1966" s="115"/>
      <c r="DB1966" s="115"/>
      <c r="DC1966" s="115"/>
      <c r="DD1966" s="115"/>
      <c r="DE1966" s="115"/>
      <c r="DF1966" s="115"/>
      <c r="DG1966" s="115"/>
    </row>
    <row r="1967" spans="55:111" hidden="1">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c r="BY1967" s="115"/>
      <c r="BZ1967" s="115"/>
      <c r="CA1967" s="115"/>
      <c r="CB1967" s="115"/>
      <c r="CC1967" s="115"/>
      <c r="CD1967" s="115"/>
      <c r="CE1967" s="115"/>
      <c r="CF1967" s="115"/>
      <c r="CG1967" s="115"/>
      <c r="CH1967" s="115"/>
      <c r="CI1967" s="115"/>
      <c r="CJ1967" s="115"/>
      <c r="CK1967" s="115"/>
      <c r="CL1967" s="115"/>
      <c r="CM1967" s="115"/>
      <c r="CN1967" s="115"/>
      <c r="CO1967" s="115"/>
      <c r="CP1967" s="115"/>
      <c r="CQ1967" s="115"/>
      <c r="CR1967" s="115"/>
      <c r="CS1967" s="115"/>
      <c r="CT1967" s="115"/>
      <c r="CU1967" s="115"/>
      <c r="CV1967" s="115"/>
      <c r="CW1967" s="115"/>
      <c r="CX1967" s="115"/>
      <c r="CY1967" s="115"/>
      <c r="CZ1967" s="115"/>
      <c r="DA1967" s="115"/>
      <c r="DB1967" s="115"/>
      <c r="DC1967" s="115"/>
      <c r="DD1967" s="115"/>
      <c r="DE1967" s="115"/>
      <c r="DF1967" s="115"/>
      <c r="DG1967" s="115"/>
    </row>
    <row r="1968" spans="55:111" hidden="1">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c r="BY1968" s="115"/>
      <c r="BZ1968" s="115"/>
      <c r="CA1968" s="115"/>
      <c r="CB1968" s="115"/>
      <c r="CC1968" s="115"/>
      <c r="CD1968" s="115"/>
      <c r="CE1968" s="115"/>
      <c r="CF1968" s="115"/>
      <c r="CG1968" s="115"/>
      <c r="CH1968" s="115"/>
      <c r="CI1968" s="115"/>
      <c r="CJ1968" s="115"/>
      <c r="CK1968" s="115"/>
      <c r="CL1968" s="115"/>
      <c r="CM1968" s="115"/>
      <c r="CN1968" s="115"/>
      <c r="CO1968" s="115"/>
      <c r="CP1968" s="115"/>
      <c r="CQ1968" s="115"/>
      <c r="CR1968" s="115"/>
      <c r="CS1968" s="115"/>
      <c r="CT1968" s="115"/>
      <c r="CU1968" s="115"/>
      <c r="CV1968" s="115"/>
      <c r="CW1968" s="115"/>
      <c r="CX1968" s="115"/>
      <c r="CY1968" s="115"/>
      <c r="CZ1968" s="115"/>
      <c r="DA1968" s="115"/>
      <c r="DB1968" s="115"/>
      <c r="DC1968" s="115"/>
      <c r="DD1968" s="115"/>
      <c r="DE1968" s="115"/>
      <c r="DF1968" s="115"/>
      <c r="DG1968" s="115"/>
    </row>
    <row r="1969" spans="55:111" hidden="1">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c r="BY1969" s="115"/>
      <c r="BZ1969" s="115"/>
      <c r="CA1969" s="115"/>
      <c r="CB1969" s="115"/>
      <c r="CC1969" s="115"/>
      <c r="CD1969" s="115"/>
      <c r="CE1969" s="115"/>
      <c r="CF1969" s="115"/>
      <c r="CG1969" s="115"/>
      <c r="CH1969" s="115"/>
      <c r="CI1969" s="115"/>
      <c r="CJ1969" s="115"/>
      <c r="CK1969" s="115"/>
      <c r="CL1969" s="115"/>
      <c r="CM1969" s="115"/>
      <c r="CN1969" s="115"/>
      <c r="CO1969" s="115"/>
      <c r="CP1969" s="115"/>
      <c r="CQ1969" s="115"/>
      <c r="CR1969" s="115"/>
      <c r="CS1969" s="115"/>
      <c r="CT1969" s="115"/>
      <c r="CU1969" s="115"/>
      <c r="CV1969" s="115"/>
      <c r="CW1969" s="115"/>
      <c r="CX1969" s="115"/>
      <c r="CY1969" s="115"/>
      <c r="CZ1969" s="115"/>
      <c r="DA1969" s="115"/>
      <c r="DB1969" s="115"/>
      <c r="DC1969" s="115"/>
      <c r="DD1969" s="115"/>
      <c r="DE1969" s="115"/>
      <c r="DF1969" s="115"/>
      <c r="DG1969" s="115"/>
    </row>
    <row r="1970" spans="55:111" hidden="1">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c r="BY1970" s="115"/>
      <c r="BZ1970" s="115"/>
      <c r="CA1970" s="115"/>
      <c r="CB1970" s="115"/>
      <c r="CC1970" s="115"/>
      <c r="CD1970" s="115"/>
      <c r="CE1970" s="115"/>
      <c r="CF1970" s="115"/>
      <c r="CG1970" s="115"/>
      <c r="CH1970" s="115"/>
      <c r="CI1970" s="115"/>
      <c r="CJ1970" s="115"/>
      <c r="CK1970" s="115"/>
      <c r="CL1970" s="115"/>
      <c r="CM1970" s="115"/>
      <c r="CN1970" s="115"/>
      <c r="CO1970" s="115"/>
      <c r="CP1970" s="115"/>
      <c r="CQ1970" s="115"/>
      <c r="CR1970" s="115"/>
      <c r="CS1970" s="115"/>
      <c r="CT1970" s="115"/>
      <c r="CU1970" s="115"/>
      <c r="CV1970" s="115"/>
      <c r="CW1970" s="115"/>
      <c r="CX1970" s="115"/>
      <c r="CY1970" s="115"/>
      <c r="CZ1970" s="115"/>
      <c r="DA1970" s="115"/>
      <c r="DB1970" s="115"/>
      <c r="DC1970" s="115"/>
      <c r="DD1970" s="115"/>
      <c r="DE1970" s="115"/>
      <c r="DF1970" s="115"/>
      <c r="DG1970" s="115"/>
    </row>
    <row r="1971" spans="55:111" hidden="1">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c r="BY1971" s="115"/>
      <c r="BZ1971" s="115"/>
      <c r="CA1971" s="115"/>
      <c r="CB1971" s="115"/>
      <c r="CC1971" s="115"/>
      <c r="CD1971" s="115"/>
      <c r="CE1971" s="115"/>
      <c r="CF1971" s="115"/>
      <c r="CG1971" s="115"/>
      <c r="CH1971" s="115"/>
      <c r="CI1971" s="115"/>
      <c r="CJ1971" s="115"/>
      <c r="CK1971" s="115"/>
      <c r="CL1971" s="115"/>
      <c r="CM1971" s="115"/>
      <c r="CN1971" s="115"/>
      <c r="CO1971" s="115"/>
      <c r="CP1971" s="115"/>
      <c r="CQ1971" s="115"/>
      <c r="CR1971" s="115"/>
      <c r="CS1971" s="115"/>
      <c r="CT1971" s="115"/>
      <c r="CU1971" s="115"/>
      <c r="CV1971" s="115"/>
      <c r="CW1971" s="115"/>
      <c r="CX1971" s="115"/>
      <c r="CY1971" s="115"/>
      <c r="CZ1971" s="115"/>
      <c r="DA1971" s="115"/>
      <c r="DB1971" s="115"/>
      <c r="DC1971" s="115"/>
      <c r="DD1971" s="115"/>
      <c r="DE1971" s="115"/>
      <c r="DF1971" s="115"/>
      <c r="DG1971" s="115"/>
    </row>
    <row r="1972" spans="55:111" hidden="1">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c r="BY1972" s="115"/>
      <c r="BZ1972" s="115"/>
      <c r="CA1972" s="115"/>
      <c r="CB1972" s="115"/>
      <c r="CC1972" s="115"/>
      <c r="CD1972" s="115"/>
      <c r="CE1972" s="115"/>
      <c r="CF1972" s="115"/>
      <c r="CG1972" s="115"/>
      <c r="CH1972" s="115"/>
      <c r="CI1972" s="115"/>
      <c r="CJ1972" s="115"/>
      <c r="CK1972" s="115"/>
      <c r="CL1972" s="115"/>
      <c r="CM1972" s="115"/>
      <c r="CN1972" s="115"/>
      <c r="CO1972" s="115"/>
      <c r="CP1972" s="115"/>
      <c r="CQ1972" s="115"/>
      <c r="CR1972" s="115"/>
      <c r="CS1972" s="115"/>
      <c r="CT1972" s="115"/>
      <c r="CU1972" s="115"/>
      <c r="CV1972" s="115"/>
      <c r="CW1972" s="115"/>
      <c r="CX1972" s="115"/>
      <c r="CY1972" s="115"/>
      <c r="CZ1972" s="115"/>
      <c r="DA1972" s="115"/>
      <c r="DB1972" s="115"/>
      <c r="DC1972" s="115"/>
      <c r="DD1972" s="115"/>
      <c r="DE1972" s="115"/>
      <c r="DF1972" s="115"/>
      <c r="DG1972" s="115"/>
    </row>
    <row r="1973" spans="55:111" hidden="1">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c r="BY1973" s="115"/>
      <c r="BZ1973" s="115"/>
      <c r="CA1973" s="115"/>
      <c r="CB1973" s="115"/>
      <c r="CC1973" s="115"/>
      <c r="CD1973" s="115"/>
      <c r="CE1973" s="115"/>
      <c r="CF1973" s="115"/>
      <c r="CG1973" s="115"/>
      <c r="CH1973" s="115"/>
      <c r="CI1973" s="115"/>
      <c r="CJ1973" s="115"/>
      <c r="CK1973" s="115"/>
      <c r="CL1973" s="115"/>
      <c r="CM1973" s="115"/>
      <c r="CN1973" s="115"/>
      <c r="CO1973" s="115"/>
      <c r="CP1973" s="115"/>
      <c r="CQ1973" s="115"/>
      <c r="CR1973" s="115"/>
      <c r="CS1973" s="115"/>
      <c r="CT1973" s="115"/>
      <c r="CU1973" s="115"/>
      <c r="CV1973" s="115"/>
      <c r="CW1973" s="115"/>
      <c r="CX1973" s="115"/>
      <c r="CY1973" s="115"/>
      <c r="CZ1973" s="115"/>
      <c r="DA1973" s="115"/>
      <c r="DB1973" s="115"/>
      <c r="DC1973" s="115"/>
      <c r="DD1973" s="115"/>
      <c r="DE1973" s="115"/>
      <c r="DF1973" s="115"/>
      <c r="DG1973" s="115"/>
    </row>
    <row r="1974" spans="55:111" hidden="1">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c r="BY1974" s="115"/>
      <c r="BZ1974" s="115"/>
      <c r="CA1974" s="115"/>
      <c r="CB1974" s="115"/>
      <c r="CC1974" s="115"/>
      <c r="CD1974" s="115"/>
      <c r="CE1974" s="115"/>
      <c r="CF1974" s="115"/>
      <c r="CG1974" s="115"/>
      <c r="CH1974" s="115"/>
      <c r="CI1974" s="115"/>
      <c r="CJ1974" s="115"/>
      <c r="CK1974" s="115"/>
      <c r="CL1974" s="115"/>
      <c r="CM1974" s="115"/>
      <c r="CN1974" s="115"/>
      <c r="CO1974" s="115"/>
      <c r="CP1974" s="115"/>
      <c r="CQ1974" s="115"/>
      <c r="CR1974" s="115"/>
      <c r="CS1974" s="115"/>
      <c r="CT1974" s="115"/>
      <c r="CU1974" s="115"/>
      <c r="CV1974" s="115"/>
      <c r="CW1974" s="115"/>
      <c r="CX1974" s="115"/>
      <c r="CY1974" s="115"/>
      <c r="CZ1974" s="115"/>
      <c r="DA1974" s="115"/>
      <c r="DB1974" s="115"/>
      <c r="DC1974" s="115"/>
      <c r="DD1974" s="115"/>
      <c r="DE1974" s="115"/>
      <c r="DF1974" s="115"/>
      <c r="DG1974" s="115"/>
    </row>
    <row r="1975" spans="55:111" hidden="1">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c r="BY1975" s="115"/>
      <c r="BZ1975" s="115"/>
      <c r="CA1975" s="115"/>
      <c r="CB1975" s="115"/>
      <c r="CC1975" s="115"/>
      <c r="CD1975" s="115"/>
      <c r="CE1975" s="115"/>
      <c r="CF1975" s="115"/>
      <c r="CG1975" s="115"/>
      <c r="CH1975" s="115"/>
      <c r="CI1975" s="115"/>
      <c r="CJ1975" s="115"/>
      <c r="CK1975" s="115"/>
      <c r="CL1975" s="115"/>
      <c r="CM1975" s="115"/>
      <c r="CN1975" s="115"/>
      <c r="CO1975" s="115"/>
      <c r="CP1975" s="115"/>
      <c r="CQ1975" s="115"/>
      <c r="CR1975" s="115"/>
      <c r="CS1975" s="115"/>
      <c r="CT1975" s="115"/>
      <c r="CU1975" s="115"/>
      <c r="CV1975" s="115"/>
      <c r="CW1975" s="115"/>
      <c r="CX1975" s="115"/>
      <c r="CY1975" s="115"/>
      <c r="CZ1975" s="115"/>
      <c r="DA1975" s="115"/>
      <c r="DB1975" s="115"/>
      <c r="DC1975" s="115"/>
      <c r="DD1975" s="115"/>
      <c r="DE1975" s="115"/>
      <c r="DF1975" s="115"/>
      <c r="DG1975" s="115"/>
    </row>
    <row r="1976" spans="55:111" hidden="1">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c r="BY1976" s="115"/>
      <c r="BZ1976" s="115"/>
      <c r="CA1976" s="115"/>
      <c r="CB1976" s="115"/>
      <c r="CC1976" s="115"/>
      <c r="CD1976" s="115"/>
      <c r="CE1976" s="115"/>
      <c r="CF1976" s="115"/>
      <c r="CG1976" s="115"/>
      <c r="CH1976" s="115"/>
      <c r="CI1976" s="115"/>
      <c r="CJ1976" s="115"/>
      <c r="CK1976" s="115"/>
      <c r="CL1976" s="115"/>
      <c r="CM1976" s="115"/>
      <c r="CN1976" s="115"/>
      <c r="CO1976" s="115"/>
      <c r="CP1976" s="115"/>
      <c r="CQ1976" s="115"/>
      <c r="CR1976" s="115"/>
      <c r="CS1976" s="115"/>
      <c r="CT1976" s="115"/>
      <c r="CU1976" s="115"/>
      <c r="CV1976" s="115"/>
      <c r="CW1976" s="115"/>
      <c r="CX1976" s="115"/>
      <c r="CY1976" s="115"/>
      <c r="CZ1976" s="115"/>
      <c r="DA1976" s="115"/>
      <c r="DB1976" s="115"/>
      <c r="DC1976" s="115"/>
      <c r="DD1976" s="115"/>
      <c r="DE1976" s="115"/>
      <c r="DF1976" s="115"/>
      <c r="DG1976" s="115"/>
    </row>
    <row r="1977" spans="55:111" hidden="1">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c r="BY1977" s="115"/>
      <c r="BZ1977" s="115"/>
      <c r="CA1977" s="115"/>
      <c r="CB1977" s="115"/>
      <c r="CC1977" s="115"/>
      <c r="CD1977" s="115"/>
      <c r="CE1977" s="115"/>
      <c r="CF1977" s="115"/>
      <c r="CG1977" s="115"/>
      <c r="CH1977" s="115"/>
      <c r="CI1977" s="115"/>
      <c r="CJ1977" s="115"/>
      <c r="CK1977" s="115"/>
      <c r="CL1977" s="115"/>
      <c r="CM1977" s="115"/>
      <c r="CN1977" s="115"/>
      <c r="CO1977" s="115"/>
      <c r="CP1977" s="115"/>
      <c r="CQ1977" s="115"/>
      <c r="CR1977" s="115"/>
      <c r="CS1977" s="115"/>
      <c r="CT1977" s="115"/>
      <c r="CU1977" s="115"/>
      <c r="CV1977" s="115"/>
      <c r="CW1977" s="115"/>
      <c r="CX1977" s="115"/>
      <c r="CY1977" s="115"/>
      <c r="CZ1977" s="115"/>
      <c r="DA1977" s="115"/>
      <c r="DB1977" s="115"/>
      <c r="DC1977" s="115"/>
      <c r="DD1977" s="115"/>
      <c r="DE1977" s="115"/>
      <c r="DF1977" s="115"/>
      <c r="DG1977" s="115"/>
    </row>
    <row r="1978" spans="55:111" hidden="1">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c r="BY1978" s="115"/>
      <c r="BZ1978" s="115"/>
      <c r="CA1978" s="115"/>
      <c r="CB1978" s="115"/>
      <c r="CC1978" s="115"/>
      <c r="CD1978" s="115"/>
      <c r="CE1978" s="115"/>
      <c r="CF1978" s="115"/>
      <c r="CG1978" s="115"/>
      <c r="CH1978" s="115"/>
      <c r="CI1978" s="115"/>
      <c r="CJ1978" s="115"/>
      <c r="CK1978" s="115"/>
      <c r="CL1978" s="115"/>
      <c r="CM1978" s="115"/>
      <c r="CN1978" s="115"/>
      <c r="CO1978" s="115"/>
      <c r="CP1978" s="115"/>
      <c r="CQ1978" s="115"/>
      <c r="CR1978" s="115"/>
      <c r="CS1978" s="115"/>
      <c r="CT1978" s="115"/>
      <c r="CU1978" s="115"/>
      <c r="CV1978" s="115"/>
      <c r="CW1978" s="115"/>
      <c r="CX1978" s="115"/>
      <c r="CY1978" s="115"/>
      <c r="CZ1978" s="115"/>
      <c r="DA1978" s="115"/>
      <c r="DB1978" s="115"/>
      <c r="DC1978" s="115"/>
      <c r="DD1978" s="115"/>
      <c r="DE1978" s="115"/>
      <c r="DF1978" s="115"/>
      <c r="DG1978" s="115"/>
    </row>
    <row r="1979" spans="55:111" hidden="1">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c r="BY1979" s="115"/>
      <c r="BZ1979" s="115"/>
      <c r="CA1979" s="115"/>
      <c r="CB1979" s="115"/>
      <c r="CC1979" s="115"/>
      <c r="CD1979" s="115"/>
      <c r="CE1979" s="115"/>
      <c r="CF1979" s="115"/>
      <c r="CG1979" s="115"/>
      <c r="CH1979" s="115"/>
      <c r="CI1979" s="115"/>
      <c r="CJ1979" s="115"/>
      <c r="CK1979" s="115"/>
      <c r="CL1979" s="115"/>
      <c r="CM1979" s="115"/>
      <c r="CN1979" s="115"/>
      <c r="CO1979" s="115"/>
      <c r="CP1979" s="115"/>
      <c r="CQ1979" s="115"/>
      <c r="CR1979" s="115"/>
      <c r="CS1979" s="115"/>
      <c r="CT1979" s="115"/>
      <c r="CU1979" s="115"/>
      <c r="CV1979" s="115"/>
      <c r="CW1979" s="115"/>
      <c r="CX1979" s="115"/>
      <c r="CY1979" s="115"/>
      <c r="CZ1979" s="115"/>
      <c r="DA1979" s="115"/>
      <c r="DB1979" s="115"/>
      <c r="DC1979" s="115"/>
      <c r="DD1979" s="115"/>
      <c r="DE1979" s="115"/>
      <c r="DF1979" s="115"/>
      <c r="DG1979" s="115"/>
    </row>
    <row r="1980" spans="55:111" hidden="1">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c r="BY1980" s="115"/>
      <c r="BZ1980" s="115"/>
      <c r="CA1980" s="115"/>
      <c r="CB1980" s="115"/>
      <c r="CC1980" s="115"/>
      <c r="CD1980" s="115"/>
      <c r="CE1980" s="115"/>
      <c r="CF1980" s="115"/>
      <c r="CG1980" s="115"/>
      <c r="CH1980" s="115"/>
      <c r="CI1980" s="115"/>
      <c r="CJ1980" s="115"/>
      <c r="CK1980" s="115"/>
      <c r="CL1980" s="115"/>
      <c r="CM1980" s="115"/>
      <c r="CN1980" s="115"/>
      <c r="CO1980" s="115"/>
      <c r="CP1980" s="115"/>
      <c r="CQ1980" s="115"/>
      <c r="CR1980" s="115"/>
      <c r="CS1980" s="115"/>
      <c r="CT1980" s="115"/>
      <c r="CU1980" s="115"/>
      <c r="CV1980" s="115"/>
      <c r="CW1980" s="115"/>
      <c r="CX1980" s="115"/>
      <c r="CY1980" s="115"/>
      <c r="CZ1980" s="115"/>
      <c r="DA1980" s="115"/>
      <c r="DB1980" s="115"/>
      <c r="DC1980" s="115"/>
      <c r="DD1980" s="115"/>
      <c r="DE1980" s="115"/>
      <c r="DF1980" s="115"/>
      <c r="DG1980" s="115"/>
    </row>
    <row r="1981" spans="55:111" hidden="1">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c r="BY1981" s="115"/>
      <c r="BZ1981" s="115"/>
      <c r="CA1981" s="115"/>
      <c r="CB1981" s="115"/>
      <c r="CC1981" s="115"/>
      <c r="CD1981" s="115"/>
      <c r="CE1981" s="115"/>
      <c r="CF1981" s="115"/>
      <c r="CG1981" s="115"/>
      <c r="CH1981" s="115"/>
      <c r="CI1981" s="115"/>
      <c r="CJ1981" s="115"/>
      <c r="CK1981" s="115"/>
      <c r="CL1981" s="115"/>
      <c r="CM1981" s="115"/>
      <c r="CN1981" s="115"/>
      <c r="CO1981" s="115"/>
      <c r="CP1981" s="115"/>
      <c r="CQ1981" s="115"/>
      <c r="CR1981" s="115"/>
      <c r="CS1981" s="115"/>
      <c r="CT1981" s="115"/>
      <c r="CU1981" s="115"/>
      <c r="CV1981" s="115"/>
      <c r="CW1981" s="115"/>
      <c r="CX1981" s="115"/>
      <c r="CY1981" s="115"/>
      <c r="CZ1981" s="115"/>
      <c r="DA1981" s="115"/>
      <c r="DB1981" s="115"/>
      <c r="DC1981" s="115"/>
      <c r="DD1981" s="115"/>
      <c r="DE1981" s="115"/>
      <c r="DF1981" s="115"/>
      <c r="DG1981" s="115"/>
    </row>
    <row r="1982" spans="55:111" hidden="1">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c r="BY1982" s="115"/>
      <c r="BZ1982" s="115"/>
      <c r="CA1982" s="115"/>
      <c r="CB1982" s="115"/>
      <c r="CC1982" s="115"/>
      <c r="CD1982" s="115"/>
      <c r="CE1982" s="115"/>
      <c r="CF1982" s="115"/>
      <c r="CG1982" s="115"/>
      <c r="CH1982" s="115"/>
      <c r="CI1982" s="115"/>
      <c r="CJ1982" s="115"/>
      <c r="CK1982" s="115"/>
      <c r="CL1982" s="115"/>
      <c r="CM1982" s="115"/>
      <c r="CN1982" s="115"/>
      <c r="CO1982" s="115"/>
      <c r="CP1982" s="115"/>
      <c r="CQ1982" s="115"/>
      <c r="CR1982" s="115"/>
      <c r="CS1982" s="115"/>
      <c r="CT1982" s="115"/>
      <c r="CU1982" s="115"/>
      <c r="CV1982" s="115"/>
      <c r="CW1982" s="115"/>
      <c r="CX1982" s="115"/>
      <c r="CY1982" s="115"/>
      <c r="CZ1982" s="115"/>
      <c r="DA1982" s="115"/>
      <c r="DB1982" s="115"/>
      <c r="DC1982" s="115"/>
      <c r="DD1982" s="115"/>
      <c r="DE1982" s="115"/>
      <c r="DF1982" s="115"/>
      <c r="DG1982" s="115"/>
    </row>
    <row r="1983" spans="55:111" hidden="1">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c r="BY1983" s="115"/>
      <c r="BZ1983" s="115"/>
      <c r="CA1983" s="115"/>
      <c r="CB1983" s="115"/>
      <c r="CC1983" s="115"/>
      <c r="CD1983" s="115"/>
      <c r="CE1983" s="115"/>
      <c r="CF1983" s="115"/>
      <c r="CG1983" s="115"/>
      <c r="CH1983" s="115"/>
      <c r="CI1983" s="115"/>
      <c r="CJ1983" s="115"/>
      <c r="CK1983" s="115"/>
      <c r="CL1983" s="115"/>
      <c r="CM1983" s="115"/>
      <c r="CN1983" s="115"/>
      <c r="CO1983" s="115"/>
      <c r="CP1983" s="115"/>
      <c r="CQ1983" s="115"/>
      <c r="CR1983" s="115"/>
      <c r="CS1983" s="115"/>
      <c r="CT1983" s="115"/>
      <c r="CU1983" s="115"/>
      <c r="CV1983" s="115"/>
      <c r="CW1983" s="115"/>
      <c r="CX1983" s="115"/>
      <c r="CY1983" s="115"/>
      <c r="CZ1983" s="115"/>
      <c r="DA1983" s="115"/>
      <c r="DB1983" s="115"/>
      <c r="DC1983" s="115"/>
      <c r="DD1983" s="115"/>
      <c r="DE1983" s="115"/>
      <c r="DF1983" s="115"/>
      <c r="DG1983" s="115"/>
    </row>
    <row r="1984" spans="55:111" hidden="1">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c r="BY1984" s="115"/>
      <c r="BZ1984" s="115"/>
      <c r="CA1984" s="115"/>
      <c r="CB1984" s="115"/>
      <c r="CC1984" s="115"/>
      <c r="CD1984" s="115"/>
      <c r="CE1984" s="115"/>
      <c r="CF1984" s="115"/>
      <c r="CG1984" s="115"/>
      <c r="CH1984" s="115"/>
      <c r="CI1984" s="115"/>
      <c r="CJ1984" s="115"/>
      <c r="CK1984" s="115"/>
      <c r="CL1984" s="115"/>
      <c r="CM1984" s="115"/>
      <c r="CN1984" s="115"/>
      <c r="CO1984" s="115"/>
      <c r="CP1984" s="115"/>
      <c r="CQ1984" s="115"/>
      <c r="CR1984" s="115"/>
      <c r="CS1984" s="115"/>
      <c r="CT1984" s="115"/>
      <c r="CU1984" s="115"/>
      <c r="CV1984" s="115"/>
      <c r="CW1984" s="115"/>
      <c r="CX1984" s="115"/>
      <c r="CY1984" s="115"/>
      <c r="CZ1984" s="115"/>
      <c r="DA1984" s="115"/>
      <c r="DB1984" s="115"/>
      <c r="DC1984" s="115"/>
      <c r="DD1984" s="115"/>
      <c r="DE1984" s="115"/>
      <c r="DF1984" s="115"/>
      <c r="DG1984" s="115"/>
    </row>
    <row r="1985" spans="55:111" hidden="1">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c r="BY1985" s="115"/>
      <c r="BZ1985" s="115"/>
      <c r="CA1985" s="115"/>
      <c r="CB1985" s="115"/>
      <c r="CC1985" s="115"/>
      <c r="CD1985" s="115"/>
      <c r="CE1985" s="115"/>
      <c r="CF1985" s="115"/>
      <c r="CG1985" s="115"/>
      <c r="CH1985" s="115"/>
      <c r="CI1985" s="115"/>
      <c r="CJ1985" s="115"/>
      <c r="CK1985" s="115"/>
      <c r="CL1985" s="115"/>
      <c r="CM1985" s="115"/>
      <c r="CN1985" s="115"/>
      <c r="CO1985" s="115"/>
      <c r="CP1985" s="115"/>
      <c r="CQ1985" s="115"/>
      <c r="CR1985" s="115"/>
      <c r="CS1985" s="115"/>
      <c r="CT1985" s="115"/>
      <c r="CU1985" s="115"/>
      <c r="CV1985" s="115"/>
      <c r="CW1985" s="115"/>
      <c r="CX1985" s="115"/>
      <c r="CY1985" s="115"/>
      <c r="CZ1985" s="115"/>
      <c r="DA1985" s="115"/>
      <c r="DB1985" s="115"/>
      <c r="DC1985" s="115"/>
      <c r="DD1985" s="115"/>
      <c r="DE1985" s="115"/>
      <c r="DF1985" s="115"/>
      <c r="DG1985" s="115"/>
    </row>
    <row r="1986" spans="55:111" hidden="1">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c r="BY1986" s="115"/>
      <c r="BZ1986" s="115"/>
      <c r="CA1986" s="115"/>
      <c r="CB1986" s="115"/>
      <c r="CC1986" s="115"/>
      <c r="CD1986" s="115"/>
      <c r="CE1986" s="115"/>
      <c r="CF1986" s="115"/>
      <c r="CG1986" s="115"/>
      <c r="CH1986" s="115"/>
      <c r="CI1986" s="115"/>
      <c r="CJ1986" s="115"/>
      <c r="CK1986" s="115"/>
      <c r="CL1986" s="115"/>
      <c r="CM1986" s="115"/>
      <c r="CN1986" s="115"/>
      <c r="CO1986" s="115"/>
      <c r="CP1986" s="115"/>
      <c r="CQ1986" s="115"/>
      <c r="CR1986" s="115"/>
      <c r="CS1986" s="115"/>
      <c r="CT1986" s="115"/>
      <c r="CU1986" s="115"/>
      <c r="CV1986" s="115"/>
      <c r="CW1986" s="115"/>
      <c r="CX1986" s="115"/>
      <c r="CY1986" s="115"/>
      <c r="CZ1986" s="115"/>
      <c r="DA1986" s="115"/>
      <c r="DB1986" s="115"/>
      <c r="DC1986" s="115"/>
      <c r="DD1986" s="115"/>
      <c r="DE1986" s="115"/>
      <c r="DF1986" s="115"/>
      <c r="DG1986" s="115"/>
    </row>
    <row r="1987" spans="55:111" hidden="1">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c r="BY1987" s="115"/>
      <c r="BZ1987" s="115"/>
      <c r="CA1987" s="115"/>
      <c r="CB1987" s="115"/>
      <c r="CC1987" s="115"/>
      <c r="CD1987" s="115"/>
      <c r="CE1987" s="115"/>
      <c r="CF1987" s="115"/>
      <c r="CG1987" s="115"/>
      <c r="CH1987" s="115"/>
      <c r="CI1987" s="115"/>
      <c r="CJ1987" s="115"/>
      <c r="CK1987" s="115"/>
      <c r="CL1987" s="115"/>
      <c r="CM1987" s="115"/>
      <c r="CN1987" s="115"/>
      <c r="CO1987" s="115"/>
      <c r="CP1987" s="115"/>
      <c r="CQ1987" s="115"/>
      <c r="CR1987" s="115"/>
      <c r="CS1987" s="115"/>
      <c r="CT1987" s="115"/>
      <c r="CU1987" s="115"/>
      <c r="CV1987" s="115"/>
      <c r="CW1987" s="115"/>
      <c r="CX1987" s="115"/>
      <c r="CY1987" s="115"/>
      <c r="CZ1987" s="115"/>
      <c r="DA1987" s="115"/>
      <c r="DB1987" s="115"/>
      <c r="DC1987" s="115"/>
      <c r="DD1987" s="115"/>
      <c r="DE1987" s="115"/>
      <c r="DF1987" s="115"/>
      <c r="DG1987" s="115"/>
    </row>
    <row r="1988" spans="55:111" hidden="1">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c r="BY1988" s="115"/>
      <c r="BZ1988" s="115"/>
      <c r="CA1988" s="115"/>
      <c r="CB1988" s="115"/>
      <c r="CC1988" s="115"/>
      <c r="CD1988" s="115"/>
      <c r="CE1988" s="115"/>
      <c r="CF1988" s="115"/>
      <c r="CG1988" s="115"/>
      <c r="CH1988" s="115"/>
      <c r="CI1988" s="115"/>
      <c r="CJ1988" s="115"/>
      <c r="CK1988" s="115"/>
      <c r="CL1988" s="115"/>
      <c r="CM1988" s="115"/>
      <c r="CN1988" s="115"/>
      <c r="CO1988" s="115"/>
      <c r="CP1988" s="115"/>
      <c r="CQ1988" s="115"/>
      <c r="CR1988" s="115"/>
      <c r="CS1988" s="115"/>
      <c r="CT1988" s="115"/>
      <c r="CU1988" s="115"/>
      <c r="CV1988" s="115"/>
      <c r="CW1988" s="115"/>
      <c r="CX1988" s="115"/>
      <c r="CY1988" s="115"/>
      <c r="CZ1988" s="115"/>
      <c r="DA1988" s="115"/>
      <c r="DB1988" s="115"/>
      <c r="DC1988" s="115"/>
      <c r="DD1988" s="115"/>
      <c r="DE1988" s="115"/>
      <c r="DF1988" s="115"/>
      <c r="DG1988" s="115"/>
    </row>
    <row r="1989" spans="55:111" hidden="1">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c r="BY1989" s="115"/>
      <c r="BZ1989" s="115"/>
      <c r="CA1989" s="115"/>
      <c r="CB1989" s="115"/>
      <c r="CC1989" s="115"/>
      <c r="CD1989" s="115"/>
      <c r="CE1989" s="115"/>
      <c r="CF1989" s="115"/>
      <c r="CG1989" s="115"/>
      <c r="CH1989" s="115"/>
      <c r="CI1989" s="115"/>
      <c r="CJ1989" s="115"/>
      <c r="CK1989" s="115"/>
      <c r="CL1989" s="115"/>
      <c r="CM1989" s="115"/>
      <c r="CN1989" s="115"/>
      <c r="CO1989" s="115"/>
      <c r="CP1989" s="115"/>
      <c r="CQ1989" s="115"/>
      <c r="CR1989" s="115"/>
      <c r="CS1989" s="115"/>
      <c r="CT1989" s="115"/>
      <c r="CU1989" s="115"/>
      <c r="CV1989" s="115"/>
      <c r="CW1989" s="115"/>
      <c r="CX1989" s="115"/>
      <c r="CY1989" s="115"/>
      <c r="CZ1989" s="115"/>
      <c r="DA1989" s="115"/>
      <c r="DB1989" s="115"/>
      <c r="DC1989" s="115"/>
      <c r="DD1989" s="115"/>
      <c r="DE1989" s="115"/>
      <c r="DF1989" s="115"/>
      <c r="DG1989" s="115"/>
    </row>
    <row r="1990" spans="55:111" hidden="1">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c r="BY1990" s="115"/>
      <c r="BZ1990" s="115"/>
      <c r="CA1990" s="115"/>
      <c r="CB1990" s="115"/>
      <c r="CC1990" s="115"/>
      <c r="CD1990" s="115"/>
      <c r="CE1990" s="115"/>
      <c r="CF1990" s="115"/>
      <c r="CG1990" s="115"/>
      <c r="CH1990" s="115"/>
      <c r="CI1990" s="115"/>
      <c r="CJ1990" s="115"/>
      <c r="CK1990" s="115"/>
      <c r="CL1990" s="115"/>
      <c r="CM1990" s="115"/>
      <c r="CN1990" s="115"/>
      <c r="CO1990" s="115"/>
      <c r="CP1990" s="115"/>
      <c r="CQ1990" s="115"/>
      <c r="CR1990" s="115"/>
      <c r="CS1990" s="115"/>
      <c r="CT1990" s="115"/>
      <c r="CU1990" s="115"/>
      <c r="CV1990" s="115"/>
      <c r="CW1990" s="115"/>
      <c r="CX1990" s="115"/>
      <c r="CY1990" s="115"/>
      <c r="CZ1990" s="115"/>
      <c r="DA1990" s="115"/>
      <c r="DB1990" s="115"/>
      <c r="DC1990" s="115"/>
      <c r="DD1990" s="115"/>
      <c r="DE1990" s="115"/>
      <c r="DF1990" s="115"/>
      <c r="DG1990" s="115"/>
    </row>
    <row r="1991" spans="55:111" hidden="1">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c r="BY1991" s="115"/>
      <c r="BZ1991" s="115"/>
      <c r="CA1991" s="115"/>
      <c r="CB1991" s="115"/>
      <c r="CC1991" s="115"/>
      <c r="CD1991" s="115"/>
      <c r="CE1991" s="115"/>
      <c r="CF1991" s="115"/>
      <c r="CG1991" s="115"/>
      <c r="CH1991" s="115"/>
      <c r="CI1991" s="115"/>
      <c r="CJ1991" s="115"/>
      <c r="CK1991" s="115"/>
      <c r="CL1991" s="115"/>
      <c r="CM1991" s="115"/>
      <c r="CN1991" s="115"/>
      <c r="CO1991" s="115"/>
      <c r="CP1991" s="115"/>
      <c r="CQ1991" s="115"/>
      <c r="CR1991" s="115"/>
      <c r="CS1991" s="115"/>
      <c r="CT1991" s="115"/>
      <c r="CU1991" s="115"/>
      <c r="CV1991" s="115"/>
      <c r="CW1991" s="115"/>
      <c r="CX1991" s="115"/>
      <c r="CY1991" s="115"/>
      <c r="CZ1991" s="115"/>
      <c r="DA1991" s="115"/>
      <c r="DB1991" s="115"/>
      <c r="DC1991" s="115"/>
      <c r="DD1991" s="115"/>
      <c r="DE1991" s="115"/>
      <c r="DF1991" s="115"/>
      <c r="DG1991" s="115"/>
    </row>
    <row r="1992" spans="55:111" hidden="1">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c r="BY1992" s="115"/>
      <c r="BZ1992" s="115"/>
      <c r="CA1992" s="115"/>
      <c r="CB1992" s="115"/>
      <c r="CC1992" s="115"/>
      <c r="CD1992" s="115"/>
      <c r="CE1992" s="115"/>
      <c r="CF1992" s="115"/>
      <c r="CG1992" s="115"/>
      <c r="CH1992" s="115"/>
      <c r="CI1992" s="115"/>
      <c r="CJ1992" s="115"/>
      <c r="CK1992" s="115"/>
      <c r="CL1992" s="115"/>
      <c r="CM1992" s="115"/>
      <c r="CN1992" s="115"/>
      <c r="CO1992" s="115"/>
      <c r="CP1992" s="115"/>
      <c r="CQ1992" s="115"/>
      <c r="CR1992" s="115"/>
      <c r="CS1992" s="115"/>
      <c r="CT1992" s="115"/>
      <c r="CU1992" s="115"/>
      <c r="CV1992" s="115"/>
      <c r="CW1992" s="115"/>
      <c r="CX1992" s="115"/>
      <c r="CY1992" s="115"/>
      <c r="CZ1992" s="115"/>
      <c r="DA1992" s="115"/>
      <c r="DB1992" s="115"/>
      <c r="DC1992" s="115"/>
      <c r="DD1992" s="115"/>
      <c r="DE1992" s="115"/>
      <c r="DF1992" s="115"/>
      <c r="DG1992" s="115"/>
    </row>
    <row r="1993" spans="55:111" hidden="1">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c r="BY1993" s="115"/>
      <c r="BZ1993" s="115"/>
      <c r="CA1993" s="115"/>
      <c r="CB1993" s="115"/>
      <c r="CC1993" s="115"/>
      <c r="CD1993" s="115"/>
      <c r="CE1993" s="115"/>
      <c r="CF1993" s="115"/>
      <c r="CG1993" s="115"/>
      <c r="CH1993" s="115"/>
      <c r="CI1993" s="115"/>
      <c r="CJ1993" s="115"/>
      <c r="CK1993" s="115"/>
      <c r="CL1993" s="115"/>
      <c r="CM1993" s="115"/>
      <c r="CN1993" s="115"/>
      <c r="CO1993" s="115"/>
      <c r="CP1993" s="115"/>
      <c r="CQ1993" s="115"/>
      <c r="CR1993" s="115"/>
      <c r="CS1993" s="115"/>
      <c r="CT1993" s="115"/>
      <c r="CU1993" s="115"/>
      <c r="CV1993" s="115"/>
      <c r="CW1993" s="115"/>
      <c r="CX1993" s="115"/>
      <c r="CY1993" s="115"/>
      <c r="CZ1993" s="115"/>
      <c r="DA1993" s="115"/>
      <c r="DB1993" s="115"/>
      <c r="DC1993" s="115"/>
      <c r="DD1993" s="115"/>
      <c r="DE1993" s="115"/>
      <c r="DF1993" s="115"/>
      <c r="DG1993" s="115"/>
    </row>
    <row r="1994" spans="55:111" hidden="1">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c r="BY1994" s="115"/>
      <c r="BZ1994" s="115"/>
      <c r="CA1994" s="115"/>
      <c r="CB1994" s="115"/>
      <c r="CC1994" s="115"/>
      <c r="CD1994" s="115"/>
      <c r="CE1994" s="115"/>
      <c r="CF1994" s="115"/>
      <c r="CG1994" s="115"/>
      <c r="CH1994" s="115"/>
      <c r="CI1994" s="115"/>
      <c r="CJ1994" s="115"/>
      <c r="CK1994" s="115"/>
      <c r="CL1994" s="115"/>
      <c r="CM1994" s="115"/>
      <c r="CN1994" s="115"/>
      <c r="CO1994" s="115"/>
      <c r="CP1994" s="115"/>
      <c r="CQ1994" s="115"/>
      <c r="CR1994" s="115"/>
      <c r="CS1994" s="115"/>
      <c r="CT1994" s="115"/>
      <c r="CU1994" s="115"/>
      <c r="CV1994" s="115"/>
      <c r="CW1994" s="115"/>
      <c r="CX1994" s="115"/>
      <c r="CY1994" s="115"/>
      <c r="CZ1994" s="115"/>
      <c r="DA1994" s="115"/>
      <c r="DB1994" s="115"/>
      <c r="DC1994" s="115"/>
      <c r="DD1994" s="115"/>
      <c r="DE1994" s="115"/>
      <c r="DF1994" s="115"/>
      <c r="DG1994" s="115"/>
    </row>
    <row r="1995" spans="55:111" hidden="1">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c r="BY1995" s="115"/>
      <c r="BZ1995" s="115"/>
      <c r="CA1995" s="115"/>
      <c r="CB1995" s="115"/>
      <c r="CC1995" s="115"/>
      <c r="CD1995" s="115"/>
      <c r="CE1995" s="115"/>
      <c r="CF1995" s="115"/>
      <c r="CG1995" s="115"/>
      <c r="CH1995" s="115"/>
      <c r="CI1995" s="115"/>
      <c r="CJ1995" s="115"/>
      <c r="CK1995" s="115"/>
      <c r="CL1995" s="115"/>
      <c r="CM1995" s="115"/>
      <c r="CN1995" s="115"/>
      <c r="CO1995" s="115"/>
      <c r="CP1995" s="115"/>
      <c r="CQ1995" s="115"/>
      <c r="CR1995" s="115"/>
      <c r="CS1995" s="115"/>
      <c r="CT1995" s="115"/>
      <c r="CU1995" s="115"/>
      <c r="CV1995" s="115"/>
      <c r="CW1995" s="115"/>
      <c r="CX1995" s="115"/>
      <c r="CY1995" s="115"/>
      <c r="CZ1995" s="115"/>
      <c r="DA1995" s="115"/>
      <c r="DB1995" s="115"/>
      <c r="DC1995" s="115"/>
      <c r="DD1995" s="115"/>
      <c r="DE1995" s="115"/>
      <c r="DF1995" s="115"/>
      <c r="DG1995" s="115"/>
    </row>
    <row r="1996" spans="55:111" hidden="1">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c r="BY1996" s="115"/>
      <c r="BZ1996" s="115"/>
      <c r="CA1996" s="115"/>
      <c r="CB1996" s="115"/>
      <c r="CC1996" s="115"/>
      <c r="CD1996" s="115"/>
      <c r="CE1996" s="115"/>
      <c r="CF1996" s="115"/>
      <c r="CG1996" s="115"/>
      <c r="CH1996" s="115"/>
      <c r="CI1996" s="115"/>
      <c r="CJ1996" s="115"/>
      <c r="CK1996" s="115"/>
      <c r="CL1996" s="115"/>
      <c r="CM1996" s="115"/>
      <c r="CN1996" s="115"/>
      <c r="CO1996" s="115"/>
      <c r="CP1996" s="115"/>
      <c r="CQ1996" s="115"/>
      <c r="CR1996" s="115"/>
      <c r="CS1996" s="115"/>
      <c r="CT1996" s="115"/>
      <c r="CU1996" s="115"/>
      <c r="CV1996" s="115"/>
      <c r="CW1996" s="115"/>
      <c r="CX1996" s="115"/>
      <c r="CY1996" s="115"/>
      <c r="CZ1996" s="115"/>
      <c r="DA1996" s="115"/>
      <c r="DB1996" s="115"/>
      <c r="DC1996" s="115"/>
      <c r="DD1996" s="115"/>
      <c r="DE1996" s="115"/>
      <c r="DF1996" s="115"/>
      <c r="DG1996" s="115"/>
    </row>
    <row r="1997" spans="55:111" hidden="1">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c r="BY1997" s="115"/>
      <c r="BZ1997" s="115"/>
      <c r="CA1997" s="115"/>
      <c r="CB1997" s="115"/>
      <c r="CC1997" s="115"/>
      <c r="CD1997" s="115"/>
      <c r="CE1997" s="115"/>
      <c r="CF1997" s="115"/>
      <c r="CG1997" s="115"/>
      <c r="CH1997" s="115"/>
      <c r="CI1997" s="115"/>
      <c r="CJ1997" s="115"/>
      <c r="CK1997" s="115"/>
      <c r="CL1997" s="115"/>
      <c r="CM1997" s="115"/>
      <c r="CN1997" s="115"/>
      <c r="CO1997" s="115"/>
      <c r="CP1997" s="115"/>
      <c r="CQ1997" s="115"/>
      <c r="CR1997" s="115"/>
      <c r="CS1997" s="115"/>
      <c r="CT1997" s="115"/>
      <c r="CU1997" s="115"/>
      <c r="CV1997" s="115"/>
      <c r="CW1997" s="115"/>
      <c r="CX1997" s="115"/>
      <c r="CY1997" s="115"/>
      <c r="CZ1997" s="115"/>
      <c r="DA1997" s="115"/>
      <c r="DB1997" s="115"/>
      <c r="DC1997" s="115"/>
      <c r="DD1997" s="115"/>
      <c r="DE1997" s="115"/>
      <c r="DF1997" s="115"/>
      <c r="DG1997" s="115"/>
    </row>
    <row r="1998" spans="55:111" hidden="1">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c r="BY1998" s="115"/>
      <c r="BZ1998" s="115"/>
      <c r="CA1998" s="115"/>
      <c r="CB1998" s="115"/>
      <c r="CC1998" s="115"/>
      <c r="CD1998" s="115"/>
      <c r="CE1998" s="115"/>
      <c r="CF1998" s="115"/>
      <c r="CG1998" s="115"/>
      <c r="CH1998" s="115"/>
      <c r="CI1998" s="115"/>
      <c r="CJ1998" s="115"/>
      <c r="CK1998" s="115"/>
      <c r="CL1998" s="115"/>
      <c r="CM1998" s="115"/>
      <c r="CN1998" s="115"/>
      <c r="CO1998" s="115"/>
      <c r="CP1998" s="115"/>
      <c r="CQ1998" s="115"/>
      <c r="CR1998" s="115"/>
      <c r="CS1998" s="115"/>
      <c r="CT1998" s="115"/>
      <c r="CU1998" s="115"/>
      <c r="CV1998" s="115"/>
      <c r="CW1998" s="115"/>
      <c r="CX1998" s="115"/>
      <c r="CY1998" s="115"/>
      <c r="CZ1998" s="115"/>
      <c r="DA1998" s="115"/>
      <c r="DB1998" s="115"/>
      <c r="DC1998" s="115"/>
      <c r="DD1998" s="115"/>
      <c r="DE1998" s="115"/>
      <c r="DF1998" s="115"/>
      <c r="DG1998" s="115"/>
    </row>
    <row r="1999" spans="55:111" hidden="1">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c r="BY1999" s="115"/>
      <c r="BZ1999" s="115"/>
      <c r="CA1999" s="115"/>
      <c r="CB1999" s="115"/>
      <c r="CC1999" s="115"/>
      <c r="CD1999" s="115"/>
      <c r="CE1999" s="115"/>
      <c r="CF1999" s="115"/>
      <c r="CG1999" s="115"/>
      <c r="CH1999" s="115"/>
      <c r="CI1999" s="115"/>
      <c r="CJ1999" s="115"/>
      <c r="CK1999" s="115"/>
      <c r="CL1999" s="115"/>
      <c r="CM1999" s="115"/>
      <c r="CN1999" s="115"/>
      <c r="CO1999" s="115"/>
      <c r="CP1999" s="115"/>
      <c r="CQ1999" s="115"/>
      <c r="CR1999" s="115"/>
      <c r="CS1999" s="115"/>
      <c r="CT1999" s="115"/>
      <c r="CU1999" s="115"/>
      <c r="CV1999" s="115"/>
      <c r="CW1999" s="115"/>
      <c r="CX1999" s="115"/>
      <c r="CY1999" s="115"/>
      <c r="CZ1999" s="115"/>
      <c r="DA1999" s="115"/>
      <c r="DB1999" s="115"/>
      <c r="DC1999" s="115"/>
      <c r="DD1999" s="115"/>
      <c r="DE1999" s="115"/>
      <c r="DF1999" s="115"/>
      <c r="DG1999" s="115"/>
    </row>
    <row r="2000" spans="55:111" hidden="1">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c r="BY2000" s="115"/>
      <c r="BZ2000" s="115"/>
      <c r="CA2000" s="115"/>
      <c r="CB2000" s="115"/>
      <c r="CC2000" s="115"/>
      <c r="CD2000" s="115"/>
      <c r="CE2000" s="115"/>
      <c r="CF2000" s="115"/>
      <c r="CG2000" s="115"/>
      <c r="CH2000" s="115"/>
      <c r="CI2000" s="115"/>
      <c r="CJ2000" s="115"/>
      <c r="CK2000" s="115"/>
      <c r="CL2000" s="115"/>
      <c r="CM2000" s="115"/>
      <c r="CN2000" s="115"/>
      <c r="CO2000" s="115"/>
      <c r="CP2000" s="115"/>
      <c r="CQ2000" s="115"/>
      <c r="CR2000" s="115"/>
      <c r="CS2000" s="115"/>
      <c r="CT2000" s="115"/>
      <c r="CU2000" s="115"/>
      <c r="CV2000" s="115"/>
      <c r="CW2000" s="115"/>
      <c r="CX2000" s="115"/>
      <c r="CY2000" s="115"/>
      <c r="CZ2000" s="115"/>
      <c r="DA2000" s="115"/>
      <c r="DB2000" s="115"/>
      <c r="DC2000" s="115"/>
      <c r="DD2000" s="115"/>
      <c r="DE2000" s="115"/>
      <c r="DF2000" s="115"/>
      <c r="DG2000" s="115"/>
    </row>
    <row r="2001" spans="55:111" hidden="1">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c r="BY2001" s="115"/>
      <c r="BZ2001" s="115"/>
      <c r="CA2001" s="115"/>
      <c r="CB2001" s="115"/>
      <c r="CC2001" s="115"/>
      <c r="CD2001" s="115"/>
      <c r="CE2001" s="115"/>
      <c r="CF2001" s="115"/>
      <c r="CG2001" s="115"/>
      <c r="CH2001" s="115"/>
      <c r="CI2001" s="115"/>
      <c r="CJ2001" s="115"/>
      <c r="CK2001" s="115"/>
      <c r="CL2001" s="115"/>
      <c r="CM2001" s="115"/>
      <c r="CN2001" s="115"/>
      <c r="CO2001" s="115"/>
      <c r="CP2001" s="115"/>
      <c r="CQ2001" s="115"/>
      <c r="CR2001" s="115"/>
      <c r="CS2001" s="115"/>
      <c r="CT2001" s="115"/>
      <c r="CU2001" s="115"/>
      <c r="CV2001" s="115"/>
      <c r="CW2001" s="115"/>
      <c r="CX2001" s="115"/>
      <c r="CY2001" s="115"/>
      <c r="CZ2001" s="115"/>
      <c r="DA2001" s="115"/>
      <c r="DB2001" s="115"/>
      <c r="DC2001" s="115"/>
      <c r="DD2001" s="115"/>
      <c r="DE2001" s="115"/>
      <c r="DF2001" s="115"/>
      <c r="DG2001" s="115"/>
    </row>
    <row r="2002" spans="55:111" hidden="1">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c r="BY2002" s="115"/>
      <c r="BZ2002" s="115"/>
      <c r="CA2002" s="115"/>
      <c r="CB2002" s="115"/>
      <c r="CC2002" s="115"/>
      <c r="CD2002" s="115"/>
      <c r="CE2002" s="115"/>
      <c r="CF2002" s="115"/>
      <c r="CG2002" s="115"/>
      <c r="CH2002" s="115"/>
      <c r="CI2002" s="115"/>
      <c r="CJ2002" s="115"/>
      <c r="CK2002" s="115"/>
      <c r="CL2002" s="115"/>
      <c r="CM2002" s="115"/>
      <c r="CN2002" s="115"/>
      <c r="CO2002" s="115"/>
      <c r="CP2002" s="115"/>
      <c r="CQ2002" s="115"/>
      <c r="CR2002" s="115"/>
      <c r="CS2002" s="115"/>
      <c r="CT2002" s="115"/>
      <c r="CU2002" s="115"/>
      <c r="CV2002" s="115"/>
      <c r="CW2002" s="115"/>
      <c r="CX2002" s="115"/>
      <c r="CY2002" s="115"/>
      <c r="CZ2002" s="115"/>
      <c r="DA2002" s="115"/>
      <c r="DB2002" s="115"/>
      <c r="DC2002" s="115"/>
      <c r="DD2002" s="115"/>
      <c r="DE2002" s="115"/>
      <c r="DF2002" s="115"/>
      <c r="DG2002" s="115"/>
    </row>
    <row r="2003" spans="55:111" hidden="1">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c r="BY2003" s="115"/>
      <c r="BZ2003" s="115"/>
      <c r="CA2003" s="115"/>
      <c r="CB2003" s="115"/>
      <c r="CC2003" s="115"/>
      <c r="CD2003" s="115"/>
      <c r="CE2003" s="115"/>
      <c r="CF2003" s="115"/>
      <c r="CG2003" s="115"/>
      <c r="CH2003" s="115"/>
      <c r="CI2003" s="115"/>
      <c r="CJ2003" s="115"/>
      <c r="CK2003" s="115"/>
      <c r="CL2003" s="115"/>
      <c r="CM2003" s="115"/>
      <c r="CN2003" s="115"/>
      <c r="CO2003" s="115"/>
      <c r="CP2003" s="115"/>
      <c r="CQ2003" s="115"/>
      <c r="CR2003" s="115"/>
      <c r="CS2003" s="115"/>
      <c r="CT2003" s="115"/>
      <c r="CU2003" s="115"/>
      <c r="CV2003" s="115"/>
      <c r="CW2003" s="115"/>
      <c r="CX2003" s="115"/>
      <c r="CY2003" s="115"/>
      <c r="CZ2003" s="115"/>
      <c r="DA2003" s="115"/>
      <c r="DB2003" s="115"/>
      <c r="DC2003" s="115"/>
      <c r="DD2003" s="115"/>
      <c r="DE2003" s="115"/>
      <c r="DF2003" s="115"/>
      <c r="DG2003" s="115"/>
    </row>
    <row r="2004" spans="55:111" hidden="1">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c r="BY2004" s="115"/>
      <c r="BZ2004" s="115"/>
      <c r="CA2004" s="115"/>
      <c r="CB2004" s="115"/>
      <c r="CC2004" s="115"/>
      <c r="CD2004" s="115"/>
      <c r="CE2004" s="115"/>
      <c r="CF2004" s="115"/>
      <c r="CG2004" s="115"/>
      <c r="CH2004" s="115"/>
      <c r="CI2004" s="115"/>
      <c r="CJ2004" s="115"/>
      <c r="CK2004" s="115"/>
      <c r="CL2004" s="115"/>
      <c r="CM2004" s="115"/>
      <c r="CN2004" s="115"/>
      <c r="CO2004" s="115"/>
      <c r="CP2004" s="115"/>
      <c r="CQ2004" s="115"/>
      <c r="CR2004" s="115"/>
      <c r="CS2004" s="115"/>
      <c r="CT2004" s="115"/>
      <c r="CU2004" s="115"/>
      <c r="CV2004" s="115"/>
      <c r="CW2004" s="115"/>
      <c r="CX2004" s="115"/>
      <c r="CY2004" s="115"/>
      <c r="CZ2004" s="115"/>
      <c r="DA2004" s="115"/>
      <c r="DB2004" s="115"/>
      <c r="DC2004" s="115"/>
      <c r="DD2004" s="115"/>
      <c r="DE2004" s="115"/>
      <c r="DF2004" s="115"/>
      <c r="DG2004" s="115"/>
    </row>
    <row r="2005" spans="55:111" hidden="1">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c r="BY2005" s="115"/>
      <c r="BZ2005" s="115"/>
      <c r="CA2005" s="115"/>
      <c r="CB2005" s="115"/>
      <c r="CC2005" s="115"/>
      <c r="CD2005" s="115"/>
      <c r="CE2005" s="115"/>
      <c r="CF2005" s="115"/>
      <c r="CG2005" s="115"/>
      <c r="CH2005" s="115"/>
      <c r="CI2005" s="115"/>
      <c r="CJ2005" s="115"/>
      <c r="CK2005" s="115"/>
      <c r="CL2005" s="115"/>
      <c r="CM2005" s="115"/>
      <c r="CN2005" s="115"/>
      <c r="CO2005" s="115"/>
      <c r="CP2005" s="115"/>
      <c r="CQ2005" s="115"/>
      <c r="CR2005" s="115"/>
      <c r="CS2005" s="115"/>
      <c r="CT2005" s="115"/>
      <c r="CU2005" s="115"/>
      <c r="CV2005" s="115"/>
      <c r="CW2005" s="115"/>
      <c r="CX2005" s="115"/>
      <c r="CY2005" s="115"/>
      <c r="CZ2005" s="115"/>
      <c r="DA2005" s="115"/>
      <c r="DB2005" s="115"/>
      <c r="DC2005" s="115"/>
      <c r="DD2005" s="115"/>
      <c r="DE2005" s="115"/>
      <c r="DF2005" s="115"/>
      <c r="DG2005" s="115"/>
    </row>
    <row r="2006" spans="55:111" hidden="1">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c r="BY2006" s="115"/>
      <c r="BZ2006" s="115"/>
      <c r="CA2006" s="115"/>
      <c r="CB2006" s="115"/>
      <c r="CC2006" s="115"/>
      <c r="CD2006" s="115"/>
      <c r="CE2006" s="115"/>
      <c r="CF2006" s="115"/>
      <c r="CG2006" s="115"/>
      <c r="CH2006" s="115"/>
      <c r="CI2006" s="115"/>
      <c r="CJ2006" s="115"/>
      <c r="CK2006" s="115"/>
      <c r="CL2006" s="115"/>
      <c r="CM2006" s="115"/>
      <c r="CN2006" s="115"/>
      <c r="CO2006" s="115"/>
      <c r="CP2006" s="115"/>
      <c r="CQ2006" s="115"/>
      <c r="CR2006" s="115"/>
      <c r="CS2006" s="115"/>
      <c r="CT2006" s="115"/>
      <c r="CU2006" s="115"/>
      <c r="CV2006" s="115"/>
      <c r="CW2006" s="115"/>
      <c r="CX2006" s="115"/>
      <c r="CY2006" s="115"/>
      <c r="CZ2006" s="115"/>
      <c r="DA2006" s="115"/>
      <c r="DB2006" s="115"/>
      <c r="DC2006" s="115"/>
      <c r="DD2006" s="115"/>
      <c r="DE2006" s="115"/>
      <c r="DF2006" s="115"/>
      <c r="DG2006" s="115"/>
    </row>
    <row r="2007" spans="55:111" hidden="1">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c r="BY2007" s="115"/>
      <c r="BZ2007" s="115"/>
      <c r="CA2007" s="115"/>
      <c r="CB2007" s="115"/>
      <c r="CC2007" s="115"/>
      <c r="CD2007" s="115"/>
      <c r="CE2007" s="115"/>
      <c r="CF2007" s="115"/>
      <c r="CG2007" s="115"/>
      <c r="CH2007" s="115"/>
      <c r="CI2007" s="115"/>
      <c r="CJ2007" s="115"/>
      <c r="CK2007" s="115"/>
      <c r="CL2007" s="115"/>
      <c r="CM2007" s="115"/>
      <c r="CN2007" s="115"/>
      <c r="CO2007" s="115"/>
      <c r="CP2007" s="115"/>
      <c r="CQ2007" s="115"/>
      <c r="CR2007" s="115"/>
      <c r="CS2007" s="115"/>
      <c r="CT2007" s="115"/>
      <c r="CU2007" s="115"/>
      <c r="CV2007" s="115"/>
      <c r="CW2007" s="115"/>
      <c r="CX2007" s="115"/>
      <c r="CY2007" s="115"/>
      <c r="CZ2007" s="115"/>
      <c r="DA2007" s="115"/>
      <c r="DB2007" s="115"/>
      <c r="DC2007" s="115"/>
      <c r="DD2007" s="115"/>
      <c r="DE2007" s="115"/>
      <c r="DF2007" s="115"/>
      <c r="DG2007" s="115"/>
    </row>
    <row r="2008" spans="55:111" hidden="1">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c r="BY2008" s="115"/>
      <c r="BZ2008" s="115"/>
      <c r="CA2008" s="115"/>
      <c r="CB2008" s="115"/>
      <c r="CC2008" s="115"/>
      <c r="CD2008" s="115"/>
      <c r="CE2008" s="115"/>
      <c r="CF2008" s="115"/>
      <c r="CG2008" s="115"/>
      <c r="CH2008" s="115"/>
      <c r="CI2008" s="115"/>
      <c r="CJ2008" s="115"/>
      <c r="CK2008" s="115"/>
      <c r="CL2008" s="115"/>
      <c r="CM2008" s="115"/>
      <c r="CN2008" s="115"/>
      <c r="CO2008" s="115"/>
      <c r="CP2008" s="115"/>
      <c r="CQ2008" s="115"/>
      <c r="CR2008" s="115"/>
      <c r="CS2008" s="115"/>
      <c r="CT2008" s="115"/>
      <c r="CU2008" s="115"/>
      <c r="CV2008" s="115"/>
      <c r="CW2008" s="115"/>
      <c r="CX2008" s="115"/>
      <c r="CY2008" s="115"/>
      <c r="CZ2008" s="115"/>
      <c r="DA2008" s="115"/>
      <c r="DB2008" s="115"/>
      <c r="DC2008" s="115"/>
      <c r="DD2008" s="115"/>
      <c r="DE2008" s="115"/>
      <c r="DF2008" s="115"/>
      <c r="DG2008" s="115"/>
    </row>
    <row r="2009" spans="55:111" hidden="1">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c r="BY2009" s="115"/>
      <c r="BZ2009" s="115"/>
      <c r="CA2009" s="115"/>
      <c r="CB2009" s="115"/>
      <c r="CC2009" s="115"/>
      <c r="CD2009" s="115"/>
      <c r="CE2009" s="115"/>
      <c r="CF2009" s="115"/>
      <c r="CG2009" s="115"/>
      <c r="CH2009" s="115"/>
      <c r="CI2009" s="115"/>
      <c r="CJ2009" s="115"/>
      <c r="CK2009" s="115"/>
      <c r="CL2009" s="115"/>
      <c r="CM2009" s="115"/>
      <c r="CN2009" s="115"/>
      <c r="CO2009" s="115"/>
      <c r="CP2009" s="115"/>
      <c r="CQ2009" s="115"/>
      <c r="CR2009" s="115"/>
      <c r="CS2009" s="115"/>
      <c r="CT2009" s="115"/>
      <c r="CU2009" s="115"/>
      <c r="CV2009" s="115"/>
      <c r="CW2009" s="115"/>
      <c r="CX2009" s="115"/>
      <c r="CY2009" s="115"/>
      <c r="CZ2009" s="115"/>
      <c r="DA2009" s="115"/>
      <c r="DB2009" s="115"/>
      <c r="DC2009" s="115"/>
      <c r="DD2009" s="115"/>
      <c r="DE2009" s="115"/>
      <c r="DF2009" s="115"/>
      <c r="DG2009" s="115"/>
    </row>
    <row r="2010" spans="55:111" hidden="1">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c r="BY2010" s="115"/>
      <c r="BZ2010" s="115"/>
      <c r="CA2010" s="115"/>
      <c r="CB2010" s="115"/>
      <c r="CC2010" s="115"/>
      <c r="CD2010" s="115"/>
      <c r="CE2010" s="115"/>
      <c r="CF2010" s="115"/>
      <c r="CG2010" s="115"/>
      <c r="CH2010" s="115"/>
      <c r="CI2010" s="115"/>
      <c r="CJ2010" s="115"/>
      <c r="CK2010" s="115"/>
      <c r="CL2010" s="115"/>
      <c r="CM2010" s="115"/>
      <c r="CN2010" s="115"/>
      <c r="CO2010" s="115"/>
      <c r="CP2010" s="115"/>
      <c r="CQ2010" s="115"/>
      <c r="CR2010" s="115"/>
      <c r="CS2010" s="115"/>
      <c r="CT2010" s="115"/>
      <c r="CU2010" s="115"/>
      <c r="CV2010" s="115"/>
      <c r="CW2010" s="115"/>
      <c r="CX2010" s="115"/>
      <c r="CY2010" s="115"/>
      <c r="CZ2010" s="115"/>
      <c r="DA2010" s="115"/>
      <c r="DB2010" s="115"/>
      <c r="DC2010" s="115"/>
      <c r="DD2010" s="115"/>
      <c r="DE2010" s="115"/>
      <c r="DF2010" s="115"/>
      <c r="DG2010" s="115"/>
    </row>
    <row r="2011" spans="55:111" hidden="1">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c r="BY2011" s="115"/>
      <c r="BZ2011" s="115"/>
      <c r="CA2011" s="115"/>
      <c r="CB2011" s="115"/>
      <c r="CC2011" s="115"/>
      <c r="CD2011" s="115"/>
      <c r="CE2011" s="115"/>
      <c r="CF2011" s="115"/>
      <c r="CG2011" s="115"/>
      <c r="CH2011" s="115"/>
      <c r="CI2011" s="115"/>
      <c r="CJ2011" s="115"/>
      <c r="CK2011" s="115"/>
      <c r="CL2011" s="115"/>
      <c r="CM2011" s="115"/>
      <c r="CN2011" s="115"/>
      <c r="CO2011" s="115"/>
      <c r="CP2011" s="115"/>
      <c r="CQ2011" s="115"/>
      <c r="CR2011" s="115"/>
      <c r="CS2011" s="115"/>
      <c r="CT2011" s="115"/>
      <c r="CU2011" s="115"/>
      <c r="CV2011" s="115"/>
      <c r="CW2011" s="115"/>
      <c r="CX2011" s="115"/>
      <c r="CY2011" s="115"/>
      <c r="CZ2011" s="115"/>
      <c r="DA2011" s="115"/>
      <c r="DB2011" s="115"/>
      <c r="DC2011" s="115"/>
      <c r="DD2011" s="115"/>
      <c r="DE2011" s="115"/>
      <c r="DF2011" s="115"/>
      <c r="DG2011" s="115"/>
    </row>
    <row r="2012" spans="55:111" hidden="1">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c r="BY2012" s="115"/>
      <c r="BZ2012" s="115"/>
      <c r="CA2012" s="115"/>
      <c r="CB2012" s="115"/>
      <c r="CC2012" s="115"/>
      <c r="CD2012" s="115"/>
      <c r="CE2012" s="115"/>
      <c r="CF2012" s="115"/>
      <c r="CG2012" s="115"/>
      <c r="CH2012" s="115"/>
      <c r="CI2012" s="115"/>
      <c r="CJ2012" s="115"/>
      <c r="CK2012" s="115"/>
      <c r="CL2012" s="115"/>
      <c r="CM2012" s="115"/>
      <c r="CN2012" s="115"/>
      <c r="CO2012" s="115"/>
      <c r="CP2012" s="115"/>
      <c r="CQ2012" s="115"/>
      <c r="CR2012" s="115"/>
      <c r="CS2012" s="115"/>
      <c r="CT2012" s="115"/>
      <c r="CU2012" s="115"/>
      <c r="CV2012" s="115"/>
      <c r="CW2012" s="115"/>
      <c r="CX2012" s="115"/>
      <c r="CY2012" s="115"/>
      <c r="CZ2012" s="115"/>
      <c r="DA2012" s="115"/>
      <c r="DB2012" s="115"/>
      <c r="DC2012" s="115"/>
      <c r="DD2012" s="115"/>
      <c r="DE2012" s="115"/>
      <c r="DF2012" s="115"/>
      <c r="DG2012" s="115"/>
    </row>
    <row r="2013" spans="55:111" hidden="1">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c r="BY2013" s="115"/>
      <c r="BZ2013" s="115"/>
      <c r="CA2013" s="115"/>
      <c r="CB2013" s="115"/>
      <c r="CC2013" s="115"/>
      <c r="CD2013" s="115"/>
      <c r="CE2013" s="115"/>
      <c r="CF2013" s="115"/>
      <c r="CG2013" s="115"/>
      <c r="CH2013" s="115"/>
      <c r="CI2013" s="115"/>
      <c r="CJ2013" s="115"/>
      <c r="CK2013" s="115"/>
      <c r="CL2013" s="115"/>
      <c r="CM2013" s="115"/>
      <c r="CN2013" s="115"/>
      <c r="CO2013" s="115"/>
      <c r="CP2013" s="115"/>
      <c r="CQ2013" s="115"/>
      <c r="CR2013" s="115"/>
      <c r="CS2013" s="115"/>
      <c r="CT2013" s="115"/>
      <c r="CU2013" s="115"/>
      <c r="CV2013" s="115"/>
      <c r="CW2013" s="115"/>
      <c r="CX2013" s="115"/>
      <c r="CY2013" s="115"/>
      <c r="CZ2013" s="115"/>
      <c r="DA2013" s="115"/>
      <c r="DB2013" s="115"/>
      <c r="DC2013" s="115"/>
      <c r="DD2013" s="115"/>
      <c r="DE2013" s="115"/>
      <c r="DF2013" s="115"/>
      <c r="DG2013" s="115"/>
    </row>
    <row r="2014" spans="55:111" hidden="1">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c r="BY2014" s="115"/>
      <c r="BZ2014" s="115"/>
      <c r="CA2014" s="115"/>
      <c r="CB2014" s="115"/>
      <c r="CC2014" s="115"/>
      <c r="CD2014" s="115"/>
      <c r="CE2014" s="115"/>
      <c r="CF2014" s="115"/>
      <c r="CG2014" s="115"/>
      <c r="CH2014" s="115"/>
      <c r="CI2014" s="115"/>
      <c r="CJ2014" s="115"/>
      <c r="CK2014" s="115"/>
      <c r="CL2014" s="115"/>
      <c r="CM2014" s="115"/>
      <c r="CN2014" s="115"/>
      <c r="CO2014" s="115"/>
      <c r="CP2014" s="115"/>
      <c r="CQ2014" s="115"/>
      <c r="CR2014" s="115"/>
      <c r="CS2014" s="115"/>
      <c r="CT2014" s="115"/>
      <c r="CU2014" s="115"/>
      <c r="CV2014" s="115"/>
      <c r="CW2014" s="115"/>
      <c r="CX2014" s="115"/>
      <c r="CY2014" s="115"/>
      <c r="CZ2014" s="115"/>
      <c r="DA2014" s="115"/>
      <c r="DB2014" s="115"/>
      <c r="DC2014" s="115"/>
      <c r="DD2014" s="115"/>
      <c r="DE2014" s="115"/>
      <c r="DF2014" s="115"/>
      <c r="DG2014" s="115"/>
    </row>
    <row r="2015" spans="55:111" hidden="1">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c r="BY2015" s="115"/>
      <c r="BZ2015" s="115"/>
      <c r="CA2015" s="115"/>
      <c r="CB2015" s="115"/>
      <c r="CC2015" s="115"/>
      <c r="CD2015" s="115"/>
      <c r="CE2015" s="115"/>
      <c r="CF2015" s="115"/>
      <c r="CG2015" s="115"/>
      <c r="CH2015" s="115"/>
      <c r="CI2015" s="115"/>
      <c r="CJ2015" s="115"/>
      <c r="CK2015" s="115"/>
      <c r="CL2015" s="115"/>
      <c r="CM2015" s="115"/>
      <c r="CN2015" s="115"/>
      <c r="CO2015" s="115"/>
      <c r="CP2015" s="115"/>
      <c r="CQ2015" s="115"/>
      <c r="CR2015" s="115"/>
      <c r="CS2015" s="115"/>
      <c r="CT2015" s="115"/>
      <c r="CU2015" s="115"/>
      <c r="CV2015" s="115"/>
      <c r="CW2015" s="115"/>
      <c r="CX2015" s="115"/>
      <c r="CY2015" s="115"/>
      <c r="CZ2015" s="115"/>
      <c r="DA2015" s="115"/>
      <c r="DB2015" s="115"/>
      <c r="DC2015" s="115"/>
      <c r="DD2015" s="115"/>
      <c r="DE2015" s="115"/>
      <c r="DF2015" s="115"/>
      <c r="DG2015" s="115"/>
    </row>
    <row r="2016" spans="55:111" hidden="1">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c r="BY2016" s="115"/>
      <c r="BZ2016" s="115"/>
      <c r="CA2016" s="115"/>
      <c r="CB2016" s="115"/>
      <c r="CC2016" s="115"/>
      <c r="CD2016" s="115"/>
      <c r="CE2016" s="115"/>
      <c r="CF2016" s="115"/>
      <c r="CG2016" s="115"/>
      <c r="CH2016" s="115"/>
      <c r="CI2016" s="115"/>
      <c r="CJ2016" s="115"/>
      <c r="CK2016" s="115"/>
      <c r="CL2016" s="115"/>
      <c r="CM2016" s="115"/>
      <c r="CN2016" s="115"/>
      <c r="CO2016" s="115"/>
      <c r="CP2016" s="115"/>
      <c r="CQ2016" s="115"/>
      <c r="CR2016" s="115"/>
      <c r="CS2016" s="115"/>
      <c r="CT2016" s="115"/>
      <c r="CU2016" s="115"/>
      <c r="CV2016" s="115"/>
      <c r="CW2016" s="115"/>
      <c r="CX2016" s="115"/>
      <c r="CY2016" s="115"/>
      <c r="CZ2016" s="115"/>
      <c r="DA2016" s="115"/>
      <c r="DB2016" s="115"/>
      <c r="DC2016" s="115"/>
      <c r="DD2016" s="115"/>
      <c r="DE2016" s="115"/>
      <c r="DF2016" s="115"/>
      <c r="DG2016" s="115"/>
    </row>
    <row r="2017" spans="55:111" hidden="1">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c r="BY2017" s="115"/>
      <c r="BZ2017" s="115"/>
      <c r="CA2017" s="115"/>
      <c r="CB2017" s="115"/>
      <c r="CC2017" s="115"/>
      <c r="CD2017" s="115"/>
      <c r="CE2017" s="115"/>
      <c r="CF2017" s="115"/>
      <c r="CG2017" s="115"/>
      <c r="CH2017" s="115"/>
      <c r="CI2017" s="115"/>
      <c r="CJ2017" s="115"/>
      <c r="CK2017" s="115"/>
      <c r="CL2017" s="115"/>
      <c r="CM2017" s="115"/>
      <c r="CN2017" s="115"/>
      <c r="CO2017" s="115"/>
      <c r="CP2017" s="115"/>
      <c r="CQ2017" s="115"/>
      <c r="CR2017" s="115"/>
      <c r="CS2017" s="115"/>
      <c r="CT2017" s="115"/>
      <c r="CU2017" s="115"/>
      <c r="CV2017" s="115"/>
      <c r="CW2017" s="115"/>
      <c r="CX2017" s="115"/>
      <c r="CY2017" s="115"/>
      <c r="CZ2017" s="115"/>
      <c r="DA2017" s="115"/>
      <c r="DB2017" s="115"/>
      <c r="DC2017" s="115"/>
      <c r="DD2017" s="115"/>
      <c r="DE2017" s="115"/>
      <c r="DF2017" s="115"/>
      <c r="DG2017" s="115"/>
    </row>
    <row r="2018" spans="55:111" hidden="1">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c r="BY2018" s="115"/>
      <c r="BZ2018" s="115"/>
      <c r="CA2018" s="115"/>
      <c r="CB2018" s="115"/>
      <c r="CC2018" s="115"/>
      <c r="CD2018" s="115"/>
      <c r="CE2018" s="115"/>
      <c r="CF2018" s="115"/>
      <c r="CG2018" s="115"/>
      <c r="CH2018" s="115"/>
      <c r="CI2018" s="115"/>
      <c r="CJ2018" s="115"/>
      <c r="CK2018" s="115"/>
      <c r="CL2018" s="115"/>
      <c r="CM2018" s="115"/>
      <c r="CN2018" s="115"/>
      <c r="CO2018" s="115"/>
      <c r="CP2018" s="115"/>
      <c r="CQ2018" s="115"/>
      <c r="CR2018" s="115"/>
      <c r="CS2018" s="115"/>
      <c r="CT2018" s="115"/>
      <c r="CU2018" s="115"/>
      <c r="CV2018" s="115"/>
      <c r="CW2018" s="115"/>
      <c r="CX2018" s="115"/>
      <c r="CY2018" s="115"/>
      <c r="CZ2018" s="115"/>
      <c r="DA2018" s="115"/>
      <c r="DB2018" s="115"/>
      <c r="DC2018" s="115"/>
      <c r="DD2018" s="115"/>
      <c r="DE2018" s="115"/>
      <c r="DF2018" s="115"/>
      <c r="DG2018" s="115"/>
    </row>
    <row r="2019" spans="55:111" hidden="1">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c r="BY2019" s="115"/>
      <c r="BZ2019" s="115"/>
      <c r="CA2019" s="115"/>
      <c r="CB2019" s="115"/>
      <c r="CC2019" s="115"/>
      <c r="CD2019" s="115"/>
      <c r="CE2019" s="115"/>
      <c r="CF2019" s="115"/>
      <c r="CG2019" s="115"/>
      <c r="CH2019" s="115"/>
      <c r="CI2019" s="115"/>
      <c r="CJ2019" s="115"/>
      <c r="CK2019" s="115"/>
      <c r="CL2019" s="115"/>
      <c r="CM2019" s="115"/>
      <c r="CN2019" s="115"/>
      <c r="CO2019" s="115"/>
      <c r="CP2019" s="115"/>
      <c r="CQ2019" s="115"/>
      <c r="CR2019" s="115"/>
      <c r="CS2019" s="115"/>
      <c r="CT2019" s="115"/>
      <c r="CU2019" s="115"/>
      <c r="CV2019" s="115"/>
      <c r="CW2019" s="115"/>
      <c r="CX2019" s="115"/>
      <c r="CY2019" s="115"/>
      <c r="CZ2019" s="115"/>
      <c r="DA2019" s="115"/>
      <c r="DB2019" s="115"/>
      <c r="DC2019" s="115"/>
      <c r="DD2019" s="115"/>
      <c r="DE2019" s="115"/>
      <c r="DF2019" s="115"/>
      <c r="DG2019" s="115"/>
    </row>
    <row r="2020" spans="55:111" hidden="1">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c r="BY2020" s="115"/>
      <c r="BZ2020" s="115"/>
      <c r="CA2020" s="115"/>
      <c r="CB2020" s="115"/>
      <c r="CC2020" s="115"/>
      <c r="CD2020" s="115"/>
      <c r="CE2020" s="115"/>
      <c r="CF2020" s="115"/>
      <c r="CG2020" s="115"/>
      <c r="CH2020" s="115"/>
      <c r="CI2020" s="115"/>
      <c r="CJ2020" s="115"/>
      <c r="CK2020" s="115"/>
      <c r="CL2020" s="115"/>
      <c r="CM2020" s="115"/>
      <c r="CN2020" s="115"/>
      <c r="CO2020" s="115"/>
      <c r="CP2020" s="115"/>
      <c r="CQ2020" s="115"/>
      <c r="CR2020" s="115"/>
      <c r="CS2020" s="115"/>
      <c r="CT2020" s="115"/>
      <c r="CU2020" s="115"/>
      <c r="CV2020" s="115"/>
      <c r="CW2020" s="115"/>
      <c r="CX2020" s="115"/>
      <c r="CY2020" s="115"/>
      <c r="CZ2020" s="115"/>
      <c r="DA2020" s="115"/>
      <c r="DB2020" s="115"/>
      <c r="DC2020" s="115"/>
      <c r="DD2020" s="115"/>
      <c r="DE2020" s="115"/>
      <c r="DF2020" s="115"/>
      <c r="DG2020" s="115"/>
    </row>
    <row r="2021" spans="55:111" hidden="1">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c r="BY2021" s="115"/>
      <c r="BZ2021" s="115"/>
      <c r="CA2021" s="115"/>
      <c r="CB2021" s="115"/>
      <c r="CC2021" s="115"/>
      <c r="CD2021" s="115"/>
      <c r="CE2021" s="115"/>
      <c r="CF2021" s="115"/>
      <c r="CG2021" s="115"/>
      <c r="CH2021" s="115"/>
      <c r="CI2021" s="115"/>
      <c r="CJ2021" s="115"/>
      <c r="CK2021" s="115"/>
      <c r="CL2021" s="115"/>
      <c r="CM2021" s="115"/>
      <c r="CN2021" s="115"/>
      <c r="CO2021" s="115"/>
      <c r="CP2021" s="115"/>
      <c r="CQ2021" s="115"/>
      <c r="CR2021" s="115"/>
      <c r="CS2021" s="115"/>
      <c r="CT2021" s="115"/>
      <c r="CU2021" s="115"/>
      <c r="CV2021" s="115"/>
      <c r="CW2021" s="115"/>
      <c r="CX2021" s="115"/>
      <c r="CY2021" s="115"/>
      <c r="CZ2021" s="115"/>
      <c r="DA2021" s="115"/>
      <c r="DB2021" s="115"/>
      <c r="DC2021" s="115"/>
      <c r="DD2021" s="115"/>
      <c r="DE2021" s="115"/>
      <c r="DF2021" s="115"/>
      <c r="DG2021" s="115"/>
    </row>
    <row r="2022" spans="55:111" hidden="1">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c r="BY2022" s="115"/>
      <c r="BZ2022" s="115"/>
      <c r="CA2022" s="115"/>
      <c r="CB2022" s="115"/>
      <c r="CC2022" s="115"/>
      <c r="CD2022" s="115"/>
      <c r="CE2022" s="115"/>
      <c r="CF2022" s="115"/>
      <c r="CG2022" s="115"/>
      <c r="CH2022" s="115"/>
      <c r="CI2022" s="115"/>
      <c r="CJ2022" s="115"/>
      <c r="CK2022" s="115"/>
      <c r="CL2022" s="115"/>
      <c r="CM2022" s="115"/>
      <c r="CN2022" s="115"/>
      <c r="CO2022" s="115"/>
      <c r="CP2022" s="115"/>
      <c r="CQ2022" s="115"/>
      <c r="CR2022" s="115"/>
      <c r="CS2022" s="115"/>
      <c r="CT2022" s="115"/>
      <c r="CU2022" s="115"/>
      <c r="CV2022" s="115"/>
      <c r="CW2022" s="115"/>
      <c r="CX2022" s="115"/>
      <c r="CY2022" s="115"/>
      <c r="CZ2022" s="115"/>
      <c r="DA2022" s="115"/>
      <c r="DB2022" s="115"/>
      <c r="DC2022" s="115"/>
      <c r="DD2022" s="115"/>
      <c r="DE2022" s="115"/>
      <c r="DF2022" s="115"/>
      <c r="DG2022" s="115"/>
    </row>
    <row r="2023" spans="55:111" hidden="1">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c r="BY2023" s="115"/>
      <c r="BZ2023" s="115"/>
      <c r="CA2023" s="115"/>
      <c r="CB2023" s="115"/>
      <c r="CC2023" s="115"/>
      <c r="CD2023" s="115"/>
      <c r="CE2023" s="115"/>
      <c r="CF2023" s="115"/>
      <c r="CG2023" s="115"/>
      <c r="CH2023" s="115"/>
      <c r="CI2023" s="115"/>
      <c r="CJ2023" s="115"/>
      <c r="CK2023" s="115"/>
      <c r="CL2023" s="115"/>
      <c r="CM2023" s="115"/>
      <c r="CN2023" s="115"/>
      <c r="CO2023" s="115"/>
      <c r="CP2023" s="115"/>
      <c r="CQ2023" s="115"/>
      <c r="CR2023" s="115"/>
      <c r="CS2023" s="115"/>
      <c r="CT2023" s="115"/>
      <c r="CU2023" s="115"/>
      <c r="CV2023" s="115"/>
      <c r="CW2023" s="115"/>
      <c r="CX2023" s="115"/>
      <c r="CY2023" s="115"/>
      <c r="CZ2023" s="115"/>
      <c r="DA2023" s="115"/>
      <c r="DB2023" s="115"/>
      <c r="DC2023" s="115"/>
      <c r="DD2023" s="115"/>
      <c r="DE2023" s="115"/>
      <c r="DF2023" s="115"/>
      <c r="DG2023" s="115"/>
    </row>
    <row r="2024" spans="55:111" hidden="1">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c r="BY2024" s="115"/>
      <c r="BZ2024" s="115"/>
      <c r="CA2024" s="115"/>
      <c r="CB2024" s="115"/>
      <c r="CC2024" s="115"/>
      <c r="CD2024" s="115"/>
      <c r="CE2024" s="115"/>
      <c r="CF2024" s="115"/>
      <c r="CG2024" s="115"/>
      <c r="CH2024" s="115"/>
      <c r="CI2024" s="115"/>
      <c r="CJ2024" s="115"/>
      <c r="CK2024" s="115"/>
      <c r="CL2024" s="115"/>
      <c r="CM2024" s="115"/>
      <c r="CN2024" s="115"/>
      <c r="CO2024" s="115"/>
      <c r="CP2024" s="115"/>
      <c r="CQ2024" s="115"/>
      <c r="CR2024" s="115"/>
      <c r="CS2024" s="115"/>
      <c r="CT2024" s="115"/>
      <c r="CU2024" s="115"/>
      <c r="CV2024" s="115"/>
      <c r="CW2024" s="115"/>
      <c r="CX2024" s="115"/>
      <c r="CY2024" s="115"/>
      <c r="CZ2024" s="115"/>
      <c r="DA2024" s="115"/>
      <c r="DB2024" s="115"/>
      <c r="DC2024" s="115"/>
      <c r="DD2024" s="115"/>
      <c r="DE2024" s="115"/>
      <c r="DF2024" s="115"/>
      <c r="DG2024" s="115"/>
    </row>
    <row r="2025" spans="55:111" hidden="1">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c r="BY2025" s="115"/>
      <c r="BZ2025" s="115"/>
      <c r="CA2025" s="115"/>
      <c r="CB2025" s="115"/>
      <c r="CC2025" s="115"/>
      <c r="CD2025" s="115"/>
      <c r="CE2025" s="115"/>
      <c r="CF2025" s="115"/>
      <c r="CG2025" s="115"/>
      <c r="CH2025" s="115"/>
      <c r="CI2025" s="115"/>
      <c r="CJ2025" s="115"/>
      <c r="CK2025" s="115"/>
      <c r="CL2025" s="115"/>
      <c r="CM2025" s="115"/>
      <c r="CN2025" s="115"/>
      <c r="CO2025" s="115"/>
      <c r="CP2025" s="115"/>
      <c r="CQ2025" s="115"/>
      <c r="CR2025" s="115"/>
      <c r="CS2025" s="115"/>
      <c r="CT2025" s="115"/>
      <c r="CU2025" s="115"/>
      <c r="CV2025" s="115"/>
      <c r="CW2025" s="115"/>
      <c r="CX2025" s="115"/>
      <c r="CY2025" s="115"/>
      <c r="CZ2025" s="115"/>
      <c r="DA2025" s="115"/>
      <c r="DB2025" s="115"/>
      <c r="DC2025" s="115"/>
      <c r="DD2025" s="115"/>
      <c r="DE2025" s="115"/>
      <c r="DF2025" s="115"/>
      <c r="DG2025" s="115"/>
    </row>
    <row r="2026" spans="55:111" hidden="1">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c r="BY2026" s="115"/>
      <c r="BZ2026" s="115"/>
      <c r="CA2026" s="115"/>
      <c r="CB2026" s="115"/>
      <c r="CC2026" s="115"/>
      <c r="CD2026" s="115"/>
      <c r="CE2026" s="115"/>
      <c r="CF2026" s="115"/>
      <c r="CG2026" s="115"/>
      <c r="CH2026" s="115"/>
      <c r="CI2026" s="115"/>
      <c r="CJ2026" s="115"/>
      <c r="CK2026" s="115"/>
      <c r="CL2026" s="115"/>
      <c r="CM2026" s="115"/>
      <c r="CN2026" s="115"/>
      <c r="CO2026" s="115"/>
      <c r="CP2026" s="115"/>
      <c r="CQ2026" s="115"/>
      <c r="CR2026" s="115"/>
      <c r="CS2026" s="115"/>
      <c r="CT2026" s="115"/>
      <c r="CU2026" s="115"/>
      <c r="CV2026" s="115"/>
      <c r="CW2026" s="115"/>
      <c r="CX2026" s="115"/>
      <c r="CY2026" s="115"/>
      <c r="CZ2026" s="115"/>
      <c r="DA2026" s="115"/>
      <c r="DB2026" s="115"/>
      <c r="DC2026" s="115"/>
      <c r="DD2026" s="115"/>
      <c r="DE2026" s="115"/>
      <c r="DF2026" s="115"/>
      <c r="DG2026" s="115"/>
    </row>
    <row r="2027" spans="55:111" hidden="1">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c r="BY2027" s="115"/>
      <c r="BZ2027" s="115"/>
      <c r="CA2027" s="115"/>
      <c r="CB2027" s="115"/>
      <c r="CC2027" s="115"/>
      <c r="CD2027" s="115"/>
      <c r="CE2027" s="115"/>
      <c r="CF2027" s="115"/>
      <c r="CG2027" s="115"/>
      <c r="CH2027" s="115"/>
      <c r="CI2027" s="115"/>
      <c r="CJ2027" s="115"/>
      <c r="CK2027" s="115"/>
      <c r="CL2027" s="115"/>
      <c r="CM2027" s="115"/>
      <c r="CN2027" s="115"/>
      <c r="CO2027" s="115"/>
      <c r="CP2027" s="115"/>
      <c r="CQ2027" s="115"/>
      <c r="CR2027" s="115"/>
      <c r="CS2027" s="115"/>
      <c r="CT2027" s="115"/>
      <c r="CU2027" s="115"/>
      <c r="CV2027" s="115"/>
      <c r="CW2027" s="115"/>
      <c r="CX2027" s="115"/>
      <c r="CY2027" s="115"/>
      <c r="CZ2027" s="115"/>
      <c r="DA2027" s="115"/>
      <c r="DB2027" s="115"/>
      <c r="DC2027" s="115"/>
      <c r="DD2027" s="115"/>
      <c r="DE2027" s="115"/>
      <c r="DF2027" s="115"/>
      <c r="DG2027" s="115"/>
    </row>
    <row r="2028" spans="55:111" hidden="1">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c r="BY2028" s="115"/>
      <c r="BZ2028" s="115"/>
      <c r="CA2028" s="115"/>
      <c r="CB2028" s="115"/>
      <c r="CC2028" s="115"/>
      <c r="CD2028" s="115"/>
      <c r="CE2028" s="115"/>
      <c r="CF2028" s="115"/>
      <c r="CG2028" s="115"/>
      <c r="CH2028" s="115"/>
      <c r="CI2028" s="115"/>
      <c r="CJ2028" s="115"/>
      <c r="CK2028" s="115"/>
      <c r="CL2028" s="115"/>
      <c r="CM2028" s="115"/>
      <c r="CN2028" s="115"/>
      <c r="CO2028" s="115"/>
      <c r="CP2028" s="115"/>
      <c r="CQ2028" s="115"/>
      <c r="CR2028" s="115"/>
      <c r="CS2028" s="115"/>
      <c r="CT2028" s="115"/>
      <c r="CU2028" s="115"/>
      <c r="CV2028" s="115"/>
      <c r="CW2028" s="115"/>
      <c r="CX2028" s="115"/>
      <c r="CY2028" s="115"/>
      <c r="CZ2028" s="115"/>
      <c r="DA2028" s="115"/>
      <c r="DB2028" s="115"/>
      <c r="DC2028" s="115"/>
      <c r="DD2028" s="115"/>
      <c r="DE2028" s="115"/>
      <c r="DF2028" s="115"/>
      <c r="DG2028" s="115"/>
    </row>
    <row r="2029" spans="55:111" hidden="1">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c r="BY2029" s="115"/>
      <c r="BZ2029" s="115"/>
      <c r="CA2029" s="115"/>
      <c r="CB2029" s="115"/>
      <c r="CC2029" s="115"/>
      <c r="CD2029" s="115"/>
      <c r="CE2029" s="115"/>
      <c r="CF2029" s="115"/>
      <c r="CG2029" s="115"/>
      <c r="CH2029" s="115"/>
      <c r="CI2029" s="115"/>
      <c r="CJ2029" s="115"/>
      <c r="CK2029" s="115"/>
      <c r="CL2029" s="115"/>
      <c r="CM2029" s="115"/>
      <c r="CN2029" s="115"/>
      <c r="CO2029" s="115"/>
      <c r="CP2029" s="115"/>
      <c r="CQ2029" s="115"/>
      <c r="CR2029" s="115"/>
      <c r="CS2029" s="115"/>
      <c r="CT2029" s="115"/>
      <c r="CU2029" s="115"/>
      <c r="CV2029" s="115"/>
      <c r="CW2029" s="115"/>
      <c r="CX2029" s="115"/>
      <c r="CY2029" s="115"/>
      <c r="CZ2029" s="115"/>
      <c r="DA2029" s="115"/>
      <c r="DB2029" s="115"/>
      <c r="DC2029" s="115"/>
      <c r="DD2029" s="115"/>
      <c r="DE2029" s="115"/>
      <c r="DF2029" s="115"/>
      <c r="DG2029" s="115"/>
    </row>
    <row r="2030" spans="55:111" hidden="1">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c r="BY2030" s="115"/>
      <c r="BZ2030" s="115"/>
      <c r="CA2030" s="115"/>
      <c r="CB2030" s="115"/>
      <c r="CC2030" s="115"/>
      <c r="CD2030" s="115"/>
      <c r="CE2030" s="115"/>
      <c r="CF2030" s="115"/>
      <c r="CG2030" s="115"/>
      <c r="CH2030" s="115"/>
      <c r="CI2030" s="115"/>
      <c r="CJ2030" s="115"/>
      <c r="CK2030" s="115"/>
      <c r="CL2030" s="115"/>
      <c r="CM2030" s="115"/>
      <c r="CN2030" s="115"/>
      <c r="CO2030" s="115"/>
      <c r="CP2030" s="115"/>
      <c r="CQ2030" s="115"/>
      <c r="CR2030" s="115"/>
      <c r="CS2030" s="115"/>
      <c r="CT2030" s="115"/>
      <c r="CU2030" s="115"/>
      <c r="CV2030" s="115"/>
      <c r="CW2030" s="115"/>
      <c r="CX2030" s="115"/>
      <c r="CY2030" s="115"/>
      <c r="CZ2030" s="115"/>
      <c r="DA2030" s="115"/>
      <c r="DB2030" s="115"/>
      <c r="DC2030" s="115"/>
      <c r="DD2030" s="115"/>
      <c r="DE2030" s="115"/>
      <c r="DF2030" s="115"/>
      <c r="DG2030" s="115"/>
    </row>
    <row r="2031" spans="55:111" hidden="1">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c r="BY2031" s="115"/>
      <c r="BZ2031" s="115"/>
      <c r="CA2031" s="115"/>
      <c r="CB2031" s="115"/>
      <c r="CC2031" s="115"/>
      <c r="CD2031" s="115"/>
      <c r="CE2031" s="115"/>
      <c r="CF2031" s="115"/>
      <c r="CG2031" s="115"/>
      <c r="CH2031" s="115"/>
      <c r="CI2031" s="115"/>
      <c r="CJ2031" s="115"/>
      <c r="CK2031" s="115"/>
      <c r="CL2031" s="115"/>
      <c r="CM2031" s="115"/>
      <c r="CN2031" s="115"/>
      <c r="CO2031" s="115"/>
      <c r="CP2031" s="115"/>
      <c r="CQ2031" s="115"/>
      <c r="CR2031" s="115"/>
      <c r="CS2031" s="115"/>
      <c r="CT2031" s="115"/>
      <c r="CU2031" s="115"/>
      <c r="CV2031" s="115"/>
      <c r="CW2031" s="115"/>
      <c r="CX2031" s="115"/>
      <c r="CY2031" s="115"/>
      <c r="CZ2031" s="115"/>
      <c r="DA2031" s="115"/>
      <c r="DB2031" s="115"/>
      <c r="DC2031" s="115"/>
      <c r="DD2031" s="115"/>
      <c r="DE2031" s="115"/>
      <c r="DF2031" s="115"/>
      <c r="DG2031" s="115"/>
    </row>
    <row r="2032" spans="55:111" hidden="1">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c r="BY2032" s="115"/>
      <c r="BZ2032" s="115"/>
      <c r="CA2032" s="115"/>
      <c r="CB2032" s="115"/>
      <c r="CC2032" s="115"/>
      <c r="CD2032" s="115"/>
      <c r="CE2032" s="115"/>
      <c r="CF2032" s="115"/>
      <c r="CG2032" s="115"/>
      <c r="CH2032" s="115"/>
      <c r="CI2032" s="115"/>
      <c r="CJ2032" s="115"/>
      <c r="CK2032" s="115"/>
      <c r="CL2032" s="115"/>
      <c r="CM2032" s="115"/>
      <c r="CN2032" s="115"/>
      <c r="CO2032" s="115"/>
      <c r="CP2032" s="115"/>
      <c r="CQ2032" s="115"/>
      <c r="CR2032" s="115"/>
      <c r="CS2032" s="115"/>
      <c r="CT2032" s="115"/>
      <c r="CU2032" s="115"/>
      <c r="CV2032" s="115"/>
      <c r="CW2032" s="115"/>
      <c r="CX2032" s="115"/>
      <c r="CY2032" s="115"/>
      <c r="CZ2032" s="115"/>
      <c r="DA2032" s="115"/>
      <c r="DB2032" s="115"/>
      <c r="DC2032" s="115"/>
      <c r="DD2032" s="115"/>
      <c r="DE2032" s="115"/>
      <c r="DF2032" s="115"/>
      <c r="DG2032" s="115"/>
    </row>
    <row r="2033" spans="55:111" hidden="1">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c r="BY2033" s="115"/>
      <c r="BZ2033" s="115"/>
      <c r="CA2033" s="115"/>
      <c r="CB2033" s="115"/>
      <c r="CC2033" s="115"/>
      <c r="CD2033" s="115"/>
      <c r="CE2033" s="115"/>
      <c r="CF2033" s="115"/>
      <c r="CG2033" s="115"/>
      <c r="CH2033" s="115"/>
      <c r="CI2033" s="115"/>
      <c r="CJ2033" s="115"/>
      <c r="CK2033" s="115"/>
      <c r="CL2033" s="115"/>
      <c r="CM2033" s="115"/>
      <c r="CN2033" s="115"/>
      <c r="CO2033" s="115"/>
      <c r="CP2033" s="115"/>
      <c r="CQ2033" s="115"/>
      <c r="CR2033" s="115"/>
      <c r="CS2033" s="115"/>
      <c r="CT2033" s="115"/>
      <c r="CU2033" s="115"/>
      <c r="CV2033" s="115"/>
      <c r="CW2033" s="115"/>
      <c r="CX2033" s="115"/>
      <c r="CY2033" s="115"/>
      <c r="CZ2033" s="115"/>
      <c r="DA2033" s="115"/>
      <c r="DB2033" s="115"/>
      <c r="DC2033" s="115"/>
      <c r="DD2033" s="115"/>
      <c r="DE2033" s="115"/>
      <c r="DF2033" s="115"/>
      <c r="DG2033" s="115"/>
    </row>
    <row r="2034" spans="55:111" hidden="1">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c r="BY2034" s="115"/>
      <c r="BZ2034" s="115"/>
      <c r="CA2034" s="115"/>
      <c r="CB2034" s="115"/>
      <c r="CC2034" s="115"/>
      <c r="CD2034" s="115"/>
      <c r="CE2034" s="115"/>
      <c r="CF2034" s="115"/>
      <c r="CG2034" s="115"/>
      <c r="CH2034" s="115"/>
      <c r="CI2034" s="115"/>
      <c r="CJ2034" s="115"/>
      <c r="CK2034" s="115"/>
      <c r="CL2034" s="115"/>
      <c r="CM2034" s="115"/>
      <c r="CN2034" s="115"/>
      <c r="CO2034" s="115"/>
      <c r="CP2034" s="115"/>
      <c r="CQ2034" s="115"/>
      <c r="CR2034" s="115"/>
      <c r="CS2034" s="115"/>
      <c r="CT2034" s="115"/>
      <c r="CU2034" s="115"/>
      <c r="CV2034" s="115"/>
      <c r="CW2034" s="115"/>
      <c r="CX2034" s="115"/>
      <c r="CY2034" s="115"/>
      <c r="CZ2034" s="115"/>
      <c r="DA2034" s="115"/>
      <c r="DB2034" s="115"/>
      <c r="DC2034" s="115"/>
      <c r="DD2034" s="115"/>
      <c r="DE2034" s="115"/>
      <c r="DF2034" s="115"/>
      <c r="DG2034" s="115"/>
    </row>
    <row r="2035" spans="55:111" hidden="1">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c r="BY2035" s="115"/>
      <c r="BZ2035" s="115"/>
      <c r="CA2035" s="115"/>
      <c r="CB2035" s="115"/>
      <c r="CC2035" s="115"/>
      <c r="CD2035" s="115"/>
      <c r="CE2035" s="115"/>
      <c r="CF2035" s="115"/>
      <c r="CG2035" s="115"/>
      <c r="CH2035" s="115"/>
      <c r="CI2035" s="115"/>
      <c r="CJ2035" s="115"/>
      <c r="CK2035" s="115"/>
      <c r="CL2035" s="115"/>
      <c r="CM2035" s="115"/>
      <c r="CN2035" s="115"/>
      <c r="CO2035" s="115"/>
      <c r="CP2035" s="115"/>
      <c r="CQ2035" s="115"/>
      <c r="CR2035" s="115"/>
      <c r="CS2035" s="115"/>
      <c r="CT2035" s="115"/>
      <c r="CU2035" s="115"/>
      <c r="CV2035" s="115"/>
      <c r="CW2035" s="115"/>
      <c r="CX2035" s="115"/>
      <c r="CY2035" s="115"/>
      <c r="CZ2035" s="115"/>
      <c r="DA2035" s="115"/>
      <c r="DB2035" s="115"/>
      <c r="DC2035" s="115"/>
      <c r="DD2035" s="115"/>
      <c r="DE2035" s="115"/>
      <c r="DF2035" s="115"/>
      <c r="DG2035" s="115"/>
    </row>
    <row r="2036" spans="55:111" hidden="1">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c r="BY2036" s="115"/>
      <c r="BZ2036" s="115"/>
      <c r="CA2036" s="115"/>
      <c r="CB2036" s="115"/>
      <c r="CC2036" s="115"/>
      <c r="CD2036" s="115"/>
      <c r="CE2036" s="115"/>
      <c r="CF2036" s="115"/>
      <c r="CG2036" s="115"/>
      <c r="CH2036" s="115"/>
      <c r="CI2036" s="115"/>
      <c r="CJ2036" s="115"/>
      <c r="CK2036" s="115"/>
      <c r="CL2036" s="115"/>
      <c r="CM2036" s="115"/>
      <c r="CN2036" s="115"/>
      <c r="CO2036" s="115"/>
      <c r="CP2036" s="115"/>
      <c r="CQ2036" s="115"/>
      <c r="CR2036" s="115"/>
      <c r="CS2036" s="115"/>
      <c r="CT2036" s="115"/>
      <c r="CU2036" s="115"/>
      <c r="CV2036" s="115"/>
      <c r="CW2036" s="115"/>
      <c r="CX2036" s="115"/>
      <c r="CY2036" s="115"/>
      <c r="CZ2036" s="115"/>
      <c r="DA2036" s="115"/>
      <c r="DB2036" s="115"/>
      <c r="DC2036" s="115"/>
      <c r="DD2036" s="115"/>
      <c r="DE2036" s="115"/>
      <c r="DF2036" s="115"/>
      <c r="DG2036" s="115"/>
    </row>
    <row r="2037" spans="55:111" hidden="1">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c r="BY2037" s="115"/>
      <c r="BZ2037" s="115"/>
      <c r="CA2037" s="115"/>
      <c r="CB2037" s="115"/>
      <c r="CC2037" s="115"/>
      <c r="CD2037" s="115"/>
      <c r="CE2037" s="115"/>
      <c r="CF2037" s="115"/>
      <c r="CG2037" s="115"/>
      <c r="CH2037" s="115"/>
      <c r="CI2037" s="115"/>
      <c r="CJ2037" s="115"/>
      <c r="CK2037" s="115"/>
      <c r="CL2037" s="115"/>
      <c r="CM2037" s="115"/>
      <c r="CN2037" s="115"/>
      <c r="CO2037" s="115"/>
      <c r="CP2037" s="115"/>
      <c r="CQ2037" s="115"/>
      <c r="CR2037" s="115"/>
      <c r="CS2037" s="115"/>
      <c r="CT2037" s="115"/>
      <c r="CU2037" s="115"/>
      <c r="CV2037" s="115"/>
      <c r="CW2037" s="115"/>
      <c r="CX2037" s="115"/>
      <c r="CY2037" s="115"/>
      <c r="CZ2037" s="115"/>
      <c r="DA2037" s="115"/>
      <c r="DB2037" s="115"/>
      <c r="DC2037" s="115"/>
      <c r="DD2037" s="115"/>
      <c r="DE2037" s="115"/>
      <c r="DF2037" s="115"/>
      <c r="DG2037" s="115"/>
    </row>
    <row r="2038" spans="55:111" hidden="1">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c r="BY2038" s="115"/>
      <c r="BZ2038" s="115"/>
      <c r="CA2038" s="115"/>
      <c r="CB2038" s="115"/>
      <c r="CC2038" s="115"/>
      <c r="CD2038" s="115"/>
      <c r="CE2038" s="115"/>
      <c r="CF2038" s="115"/>
      <c r="CG2038" s="115"/>
      <c r="CH2038" s="115"/>
      <c r="CI2038" s="115"/>
      <c r="CJ2038" s="115"/>
      <c r="CK2038" s="115"/>
      <c r="CL2038" s="115"/>
      <c r="CM2038" s="115"/>
      <c r="CN2038" s="115"/>
      <c r="CO2038" s="115"/>
      <c r="CP2038" s="115"/>
      <c r="CQ2038" s="115"/>
      <c r="CR2038" s="115"/>
      <c r="CS2038" s="115"/>
      <c r="CT2038" s="115"/>
      <c r="CU2038" s="115"/>
      <c r="CV2038" s="115"/>
      <c r="CW2038" s="115"/>
      <c r="CX2038" s="115"/>
      <c r="CY2038" s="115"/>
      <c r="CZ2038" s="115"/>
      <c r="DA2038" s="115"/>
      <c r="DB2038" s="115"/>
      <c r="DC2038" s="115"/>
      <c r="DD2038" s="115"/>
      <c r="DE2038" s="115"/>
      <c r="DF2038" s="115"/>
      <c r="DG2038" s="115"/>
    </row>
    <row r="2039" spans="55:111" hidden="1">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c r="BY2039" s="115"/>
      <c r="BZ2039" s="115"/>
      <c r="CA2039" s="115"/>
      <c r="CB2039" s="115"/>
      <c r="CC2039" s="115"/>
      <c r="CD2039" s="115"/>
      <c r="CE2039" s="115"/>
      <c r="CF2039" s="115"/>
      <c r="CG2039" s="115"/>
      <c r="CH2039" s="115"/>
      <c r="CI2039" s="115"/>
      <c r="CJ2039" s="115"/>
      <c r="CK2039" s="115"/>
      <c r="CL2039" s="115"/>
      <c r="CM2039" s="115"/>
      <c r="CN2039" s="115"/>
      <c r="CO2039" s="115"/>
      <c r="CP2039" s="115"/>
      <c r="CQ2039" s="115"/>
      <c r="CR2039" s="115"/>
      <c r="CS2039" s="115"/>
      <c r="CT2039" s="115"/>
      <c r="CU2039" s="115"/>
      <c r="CV2039" s="115"/>
      <c r="CW2039" s="115"/>
      <c r="CX2039" s="115"/>
      <c r="CY2039" s="115"/>
      <c r="CZ2039" s="115"/>
      <c r="DA2039" s="115"/>
      <c r="DB2039" s="115"/>
      <c r="DC2039" s="115"/>
      <c r="DD2039" s="115"/>
      <c r="DE2039" s="115"/>
      <c r="DF2039" s="115"/>
      <c r="DG2039" s="115"/>
    </row>
    <row r="2040" spans="55:111" hidden="1">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c r="BY2040" s="115"/>
      <c r="BZ2040" s="115"/>
      <c r="CA2040" s="115"/>
      <c r="CB2040" s="115"/>
      <c r="CC2040" s="115"/>
      <c r="CD2040" s="115"/>
      <c r="CE2040" s="115"/>
      <c r="CF2040" s="115"/>
      <c r="CG2040" s="115"/>
      <c r="CH2040" s="115"/>
      <c r="CI2040" s="115"/>
      <c r="CJ2040" s="115"/>
      <c r="CK2040" s="115"/>
      <c r="CL2040" s="115"/>
      <c r="CM2040" s="115"/>
      <c r="CN2040" s="115"/>
      <c r="CO2040" s="115"/>
      <c r="CP2040" s="115"/>
      <c r="CQ2040" s="115"/>
      <c r="CR2040" s="115"/>
      <c r="CS2040" s="115"/>
      <c r="CT2040" s="115"/>
      <c r="CU2040" s="115"/>
      <c r="CV2040" s="115"/>
      <c r="CW2040" s="115"/>
      <c r="CX2040" s="115"/>
      <c r="CY2040" s="115"/>
      <c r="CZ2040" s="115"/>
      <c r="DA2040" s="115"/>
      <c r="DB2040" s="115"/>
      <c r="DC2040" s="115"/>
      <c r="DD2040" s="115"/>
      <c r="DE2040" s="115"/>
      <c r="DF2040" s="115"/>
      <c r="DG2040" s="115"/>
    </row>
    <row r="2041" spans="55:111" hidden="1">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c r="BY2041" s="115"/>
      <c r="BZ2041" s="115"/>
      <c r="CA2041" s="115"/>
      <c r="CB2041" s="115"/>
      <c r="CC2041" s="115"/>
      <c r="CD2041" s="115"/>
      <c r="CE2041" s="115"/>
      <c r="CF2041" s="115"/>
      <c r="CG2041" s="115"/>
      <c r="CH2041" s="115"/>
      <c r="CI2041" s="115"/>
      <c r="CJ2041" s="115"/>
      <c r="CK2041" s="115"/>
      <c r="CL2041" s="115"/>
      <c r="CM2041" s="115"/>
      <c r="CN2041" s="115"/>
      <c r="CO2041" s="115"/>
      <c r="CP2041" s="115"/>
      <c r="CQ2041" s="115"/>
      <c r="CR2041" s="115"/>
      <c r="CS2041" s="115"/>
      <c r="CT2041" s="115"/>
      <c r="CU2041" s="115"/>
      <c r="CV2041" s="115"/>
      <c r="CW2041" s="115"/>
      <c r="CX2041" s="115"/>
      <c r="CY2041" s="115"/>
      <c r="CZ2041" s="115"/>
      <c r="DA2041" s="115"/>
      <c r="DB2041" s="115"/>
      <c r="DC2041" s="115"/>
      <c r="DD2041" s="115"/>
      <c r="DE2041" s="115"/>
      <c r="DF2041" s="115"/>
      <c r="DG2041" s="115"/>
    </row>
    <row r="2042" spans="55:111" hidden="1">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c r="BY2042" s="115"/>
      <c r="BZ2042" s="115"/>
      <c r="CA2042" s="115"/>
      <c r="CB2042" s="115"/>
      <c r="CC2042" s="115"/>
      <c r="CD2042" s="115"/>
      <c r="CE2042" s="115"/>
      <c r="CF2042" s="115"/>
      <c r="CG2042" s="115"/>
      <c r="CH2042" s="115"/>
      <c r="CI2042" s="115"/>
      <c r="CJ2042" s="115"/>
      <c r="CK2042" s="115"/>
      <c r="CL2042" s="115"/>
      <c r="CM2042" s="115"/>
      <c r="CN2042" s="115"/>
      <c r="CO2042" s="115"/>
      <c r="CP2042" s="115"/>
      <c r="CQ2042" s="115"/>
      <c r="CR2042" s="115"/>
      <c r="CS2042" s="115"/>
      <c r="CT2042" s="115"/>
      <c r="CU2042" s="115"/>
      <c r="CV2042" s="115"/>
      <c r="CW2042" s="115"/>
      <c r="CX2042" s="115"/>
      <c r="CY2042" s="115"/>
      <c r="CZ2042" s="115"/>
      <c r="DA2042" s="115"/>
      <c r="DB2042" s="115"/>
      <c r="DC2042" s="115"/>
      <c r="DD2042" s="115"/>
      <c r="DE2042" s="115"/>
      <c r="DF2042" s="115"/>
      <c r="DG2042" s="115"/>
    </row>
    <row r="2043" spans="55:111" hidden="1">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c r="BY2043" s="115"/>
      <c r="BZ2043" s="115"/>
      <c r="CA2043" s="115"/>
      <c r="CB2043" s="115"/>
      <c r="CC2043" s="115"/>
      <c r="CD2043" s="115"/>
      <c r="CE2043" s="115"/>
      <c r="CF2043" s="115"/>
      <c r="CG2043" s="115"/>
      <c r="CH2043" s="115"/>
      <c r="CI2043" s="115"/>
      <c r="CJ2043" s="115"/>
      <c r="CK2043" s="115"/>
      <c r="CL2043" s="115"/>
      <c r="CM2043" s="115"/>
      <c r="CN2043" s="115"/>
      <c r="CO2043" s="115"/>
      <c r="CP2043" s="115"/>
      <c r="CQ2043" s="115"/>
      <c r="CR2043" s="115"/>
      <c r="CS2043" s="115"/>
      <c r="CT2043" s="115"/>
      <c r="CU2043" s="115"/>
      <c r="CV2043" s="115"/>
      <c r="CW2043" s="115"/>
      <c r="CX2043" s="115"/>
      <c r="CY2043" s="115"/>
      <c r="CZ2043" s="115"/>
      <c r="DA2043" s="115"/>
      <c r="DB2043" s="115"/>
      <c r="DC2043" s="115"/>
      <c r="DD2043" s="115"/>
      <c r="DE2043" s="115"/>
      <c r="DF2043" s="115"/>
      <c r="DG2043" s="115"/>
    </row>
    <row r="2044" spans="55:111" hidden="1">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c r="BY2044" s="115"/>
      <c r="BZ2044" s="115"/>
      <c r="CA2044" s="115"/>
      <c r="CB2044" s="115"/>
      <c r="CC2044" s="115"/>
      <c r="CD2044" s="115"/>
      <c r="CE2044" s="115"/>
      <c r="CF2044" s="115"/>
      <c r="CG2044" s="115"/>
      <c r="CH2044" s="115"/>
      <c r="CI2044" s="115"/>
      <c r="CJ2044" s="115"/>
      <c r="CK2044" s="115"/>
      <c r="CL2044" s="115"/>
      <c r="CM2044" s="115"/>
      <c r="CN2044" s="115"/>
      <c r="CO2044" s="115"/>
      <c r="CP2044" s="115"/>
      <c r="CQ2044" s="115"/>
      <c r="CR2044" s="115"/>
      <c r="CS2044" s="115"/>
      <c r="CT2044" s="115"/>
      <c r="CU2044" s="115"/>
      <c r="CV2044" s="115"/>
      <c r="CW2044" s="115"/>
      <c r="CX2044" s="115"/>
      <c r="CY2044" s="115"/>
      <c r="CZ2044" s="115"/>
      <c r="DA2044" s="115"/>
      <c r="DB2044" s="115"/>
      <c r="DC2044" s="115"/>
      <c r="DD2044" s="115"/>
      <c r="DE2044" s="115"/>
      <c r="DF2044" s="115"/>
      <c r="DG2044" s="115"/>
    </row>
    <row r="2045" spans="55:111" hidden="1">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c r="BY2045" s="115"/>
      <c r="BZ2045" s="115"/>
      <c r="CA2045" s="115"/>
      <c r="CB2045" s="115"/>
      <c r="CC2045" s="115"/>
      <c r="CD2045" s="115"/>
      <c r="CE2045" s="115"/>
      <c r="CF2045" s="115"/>
      <c r="CG2045" s="115"/>
      <c r="CH2045" s="115"/>
      <c r="CI2045" s="115"/>
      <c r="CJ2045" s="115"/>
      <c r="CK2045" s="115"/>
      <c r="CL2045" s="115"/>
      <c r="CM2045" s="115"/>
      <c r="CN2045" s="115"/>
      <c r="CO2045" s="115"/>
      <c r="CP2045" s="115"/>
      <c r="CQ2045" s="115"/>
      <c r="CR2045" s="115"/>
      <c r="CS2045" s="115"/>
      <c r="CT2045" s="115"/>
      <c r="CU2045" s="115"/>
      <c r="CV2045" s="115"/>
      <c r="CW2045" s="115"/>
      <c r="CX2045" s="115"/>
      <c r="CY2045" s="115"/>
      <c r="CZ2045" s="115"/>
      <c r="DA2045" s="115"/>
      <c r="DB2045" s="115"/>
      <c r="DC2045" s="115"/>
      <c r="DD2045" s="115"/>
      <c r="DE2045" s="115"/>
      <c r="DF2045" s="115"/>
      <c r="DG2045" s="115"/>
    </row>
    <row r="2046" spans="55:111" hidden="1">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c r="BY2046" s="115"/>
      <c r="BZ2046" s="115"/>
      <c r="CA2046" s="115"/>
      <c r="CB2046" s="115"/>
      <c r="CC2046" s="115"/>
      <c r="CD2046" s="115"/>
      <c r="CE2046" s="115"/>
      <c r="CF2046" s="115"/>
      <c r="CG2046" s="115"/>
      <c r="CH2046" s="115"/>
      <c r="CI2046" s="115"/>
      <c r="CJ2046" s="115"/>
      <c r="CK2046" s="115"/>
      <c r="CL2046" s="115"/>
      <c r="CM2046" s="115"/>
      <c r="CN2046" s="115"/>
      <c r="CO2046" s="115"/>
      <c r="CP2046" s="115"/>
      <c r="CQ2046" s="115"/>
      <c r="CR2046" s="115"/>
      <c r="CS2046" s="115"/>
      <c r="CT2046" s="115"/>
      <c r="CU2046" s="115"/>
      <c r="CV2046" s="115"/>
      <c r="CW2046" s="115"/>
      <c r="CX2046" s="115"/>
      <c r="CY2046" s="115"/>
      <c r="CZ2046" s="115"/>
      <c r="DA2046" s="115"/>
      <c r="DB2046" s="115"/>
      <c r="DC2046" s="115"/>
      <c r="DD2046" s="115"/>
      <c r="DE2046" s="115"/>
      <c r="DF2046" s="115"/>
      <c r="DG2046" s="115"/>
    </row>
    <row r="2047" spans="55:111" hidden="1">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c r="BY2047" s="115"/>
      <c r="BZ2047" s="115"/>
      <c r="CA2047" s="115"/>
      <c r="CB2047" s="115"/>
      <c r="CC2047" s="115"/>
      <c r="CD2047" s="115"/>
      <c r="CE2047" s="115"/>
      <c r="CF2047" s="115"/>
      <c r="CG2047" s="115"/>
      <c r="CH2047" s="115"/>
      <c r="CI2047" s="115"/>
      <c r="CJ2047" s="115"/>
      <c r="CK2047" s="115"/>
      <c r="CL2047" s="115"/>
      <c r="CM2047" s="115"/>
      <c r="CN2047" s="115"/>
      <c r="CO2047" s="115"/>
      <c r="CP2047" s="115"/>
      <c r="CQ2047" s="115"/>
      <c r="CR2047" s="115"/>
      <c r="CS2047" s="115"/>
      <c r="CT2047" s="115"/>
      <c r="CU2047" s="115"/>
      <c r="CV2047" s="115"/>
      <c r="CW2047" s="115"/>
      <c r="CX2047" s="115"/>
      <c r="CY2047" s="115"/>
      <c r="CZ2047" s="115"/>
      <c r="DA2047" s="115"/>
      <c r="DB2047" s="115"/>
      <c r="DC2047" s="115"/>
      <c r="DD2047" s="115"/>
      <c r="DE2047" s="115"/>
      <c r="DF2047" s="115"/>
      <c r="DG2047" s="115"/>
    </row>
    <row r="2048" spans="55:111" hidden="1">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c r="BY2048" s="115"/>
      <c r="BZ2048" s="115"/>
      <c r="CA2048" s="115"/>
      <c r="CB2048" s="115"/>
      <c r="CC2048" s="115"/>
      <c r="CD2048" s="115"/>
      <c r="CE2048" s="115"/>
      <c r="CF2048" s="115"/>
      <c r="CG2048" s="115"/>
      <c r="CH2048" s="115"/>
      <c r="CI2048" s="115"/>
      <c r="CJ2048" s="115"/>
      <c r="CK2048" s="115"/>
      <c r="CL2048" s="115"/>
      <c r="CM2048" s="115"/>
      <c r="CN2048" s="115"/>
      <c r="CO2048" s="115"/>
      <c r="CP2048" s="115"/>
      <c r="CQ2048" s="115"/>
      <c r="CR2048" s="115"/>
      <c r="CS2048" s="115"/>
      <c r="CT2048" s="115"/>
      <c r="CU2048" s="115"/>
      <c r="CV2048" s="115"/>
      <c r="CW2048" s="115"/>
      <c r="CX2048" s="115"/>
      <c r="CY2048" s="115"/>
      <c r="CZ2048" s="115"/>
      <c r="DA2048" s="115"/>
      <c r="DB2048" s="115"/>
      <c r="DC2048" s="115"/>
      <c r="DD2048" s="115"/>
      <c r="DE2048" s="115"/>
      <c r="DF2048" s="115"/>
      <c r="DG2048" s="115"/>
    </row>
    <row r="2049" spans="55:111" hidden="1">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c r="BY2049" s="115"/>
      <c r="BZ2049" s="115"/>
      <c r="CA2049" s="115"/>
      <c r="CB2049" s="115"/>
      <c r="CC2049" s="115"/>
      <c r="CD2049" s="115"/>
      <c r="CE2049" s="115"/>
      <c r="CF2049" s="115"/>
      <c r="CG2049" s="115"/>
      <c r="CH2049" s="115"/>
      <c r="CI2049" s="115"/>
      <c r="CJ2049" s="115"/>
      <c r="CK2049" s="115"/>
      <c r="CL2049" s="115"/>
      <c r="CM2049" s="115"/>
      <c r="CN2049" s="115"/>
      <c r="CO2049" s="115"/>
      <c r="CP2049" s="115"/>
      <c r="CQ2049" s="115"/>
      <c r="CR2049" s="115"/>
      <c r="CS2049" s="115"/>
      <c r="CT2049" s="115"/>
      <c r="CU2049" s="115"/>
      <c r="CV2049" s="115"/>
      <c r="CW2049" s="115"/>
      <c r="CX2049" s="115"/>
      <c r="CY2049" s="115"/>
      <c r="CZ2049" s="115"/>
      <c r="DA2049" s="115"/>
      <c r="DB2049" s="115"/>
      <c r="DC2049" s="115"/>
      <c r="DD2049" s="115"/>
      <c r="DE2049" s="115"/>
      <c r="DF2049" s="115"/>
      <c r="DG2049" s="115"/>
    </row>
    <row r="2050" spans="55:111" hidden="1">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c r="BY2050" s="115"/>
      <c r="BZ2050" s="115"/>
      <c r="CA2050" s="115"/>
      <c r="CB2050" s="115"/>
      <c r="CC2050" s="115"/>
      <c r="CD2050" s="115"/>
      <c r="CE2050" s="115"/>
      <c r="CF2050" s="115"/>
      <c r="CG2050" s="115"/>
      <c r="CH2050" s="115"/>
      <c r="CI2050" s="115"/>
      <c r="CJ2050" s="115"/>
      <c r="CK2050" s="115"/>
      <c r="CL2050" s="115"/>
      <c r="CM2050" s="115"/>
      <c r="CN2050" s="115"/>
      <c r="CO2050" s="115"/>
      <c r="CP2050" s="115"/>
      <c r="CQ2050" s="115"/>
      <c r="CR2050" s="115"/>
      <c r="CS2050" s="115"/>
      <c r="CT2050" s="115"/>
      <c r="CU2050" s="115"/>
      <c r="CV2050" s="115"/>
      <c r="CW2050" s="115"/>
      <c r="CX2050" s="115"/>
      <c r="CY2050" s="115"/>
      <c r="CZ2050" s="115"/>
      <c r="DA2050" s="115"/>
      <c r="DB2050" s="115"/>
      <c r="DC2050" s="115"/>
      <c r="DD2050" s="115"/>
      <c r="DE2050" s="115"/>
      <c r="DF2050" s="115"/>
      <c r="DG2050" s="115"/>
    </row>
    <row r="2051" spans="55:111" hidden="1">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c r="BY2051" s="115"/>
      <c r="BZ2051" s="115"/>
      <c r="CA2051" s="115"/>
      <c r="CB2051" s="115"/>
      <c r="CC2051" s="115"/>
      <c r="CD2051" s="115"/>
      <c r="CE2051" s="115"/>
      <c r="CF2051" s="115"/>
      <c r="CG2051" s="115"/>
      <c r="CH2051" s="115"/>
      <c r="CI2051" s="115"/>
      <c r="CJ2051" s="115"/>
      <c r="CK2051" s="115"/>
      <c r="CL2051" s="115"/>
      <c r="CM2051" s="115"/>
      <c r="CN2051" s="115"/>
      <c r="CO2051" s="115"/>
      <c r="CP2051" s="115"/>
      <c r="CQ2051" s="115"/>
      <c r="CR2051" s="115"/>
      <c r="CS2051" s="115"/>
      <c r="CT2051" s="115"/>
      <c r="CU2051" s="115"/>
      <c r="CV2051" s="115"/>
      <c r="CW2051" s="115"/>
      <c r="CX2051" s="115"/>
      <c r="CY2051" s="115"/>
      <c r="CZ2051" s="115"/>
      <c r="DA2051" s="115"/>
      <c r="DB2051" s="115"/>
      <c r="DC2051" s="115"/>
      <c r="DD2051" s="115"/>
      <c r="DE2051" s="115"/>
      <c r="DF2051" s="115"/>
      <c r="DG2051" s="115"/>
    </row>
    <row r="2052" spans="55:111" hidden="1">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c r="BY2052" s="115"/>
      <c r="BZ2052" s="115"/>
      <c r="CA2052" s="115"/>
      <c r="CB2052" s="115"/>
      <c r="CC2052" s="115"/>
      <c r="CD2052" s="115"/>
      <c r="CE2052" s="115"/>
      <c r="CF2052" s="115"/>
      <c r="CG2052" s="115"/>
      <c r="CH2052" s="115"/>
      <c r="CI2052" s="115"/>
      <c r="CJ2052" s="115"/>
      <c r="CK2052" s="115"/>
      <c r="CL2052" s="115"/>
      <c r="CM2052" s="115"/>
      <c r="CN2052" s="115"/>
      <c r="CO2052" s="115"/>
      <c r="CP2052" s="115"/>
      <c r="CQ2052" s="115"/>
      <c r="CR2052" s="115"/>
      <c r="CS2052" s="115"/>
      <c r="CT2052" s="115"/>
      <c r="CU2052" s="115"/>
      <c r="CV2052" s="115"/>
      <c r="CW2052" s="115"/>
      <c r="CX2052" s="115"/>
      <c r="CY2052" s="115"/>
      <c r="CZ2052" s="115"/>
      <c r="DA2052" s="115"/>
      <c r="DB2052" s="115"/>
      <c r="DC2052" s="115"/>
      <c r="DD2052" s="115"/>
      <c r="DE2052" s="115"/>
      <c r="DF2052" s="115"/>
      <c r="DG2052" s="115"/>
    </row>
    <row r="2053" spans="55:111" hidden="1">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c r="BY2053" s="115"/>
      <c r="BZ2053" s="115"/>
      <c r="CA2053" s="115"/>
      <c r="CB2053" s="115"/>
      <c r="CC2053" s="115"/>
      <c r="CD2053" s="115"/>
      <c r="CE2053" s="115"/>
      <c r="CF2053" s="115"/>
      <c r="CG2053" s="115"/>
      <c r="CH2053" s="115"/>
      <c r="CI2053" s="115"/>
      <c r="CJ2053" s="115"/>
      <c r="CK2053" s="115"/>
      <c r="CL2053" s="115"/>
      <c r="CM2053" s="115"/>
      <c r="CN2053" s="115"/>
      <c r="CO2053" s="115"/>
      <c r="CP2053" s="115"/>
      <c r="CQ2053" s="115"/>
      <c r="CR2053" s="115"/>
      <c r="CS2053" s="115"/>
      <c r="CT2053" s="115"/>
      <c r="CU2053" s="115"/>
      <c r="CV2053" s="115"/>
      <c r="CW2053" s="115"/>
      <c r="CX2053" s="115"/>
      <c r="CY2053" s="115"/>
      <c r="CZ2053" s="115"/>
      <c r="DA2053" s="115"/>
      <c r="DB2053" s="115"/>
      <c r="DC2053" s="115"/>
      <c r="DD2053" s="115"/>
      <c r="DE2053" s="115"/>
      <c r="DF2053" s="115"/>
      <c r="DG2053" s="115"/>
    </row>
    <row r="2054" spans="55:111" hidden="1">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c r="BY2054" s="115"/>
      <c r="BZ2054" s="115"/>
      <c r="CA2054" s="115"/>
      <c r="CB2054" s="115"/>
      <c r="CC2054" s="115"/>
      <c r="CD2054" s="115"/>
      <c r="CE2054" s="115"/>
      <c r="CF2054" s="115"/>
      <c r="CG2054" s="115"/>
      <c r="CH2054" s="115"/>
      <c r="CI2054" s="115"/>
      <c r="CJ2054" s="115"/>
      <c r="CK2054" s="115"/>
      <c r="CL2054" s="115"/>
      <c r="CM2054" s="115"/>
      <c r="CN2054" s="115"/>
      <c r="CO2054" s="115"/>
      <c r="CP2054" s="115"/>
      <c r="CQ2054" s="115"/>
      <c r="CR2054" s="115"/>
      <c r="CS2054" s="115"/>
      <c r="CT2054" s="115"/>
      <c r="CU2054" s="115"/>
      <c r="CV2054" s="115"/>
      <c r="CW2054" s="115"/>
      <c r="CX2054" s="115"/>
      <c r="CY2054" s="115"/>
      <c r="CZ2054" s="115"/>
      <c r="DA2054" s="115"/>
      <c r="DB2054" s="115"/>
      <c r="DC2054" s="115"/>
      <c r="DD2054" s="115"/>
      <c r="DE2054" s="115"/>
      <c r="DF2054" s="115"/>
      <c r="DG2054" s="115"/>
    </row>
    <row r="2055" spans="55:111" hidden="1">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c r="BY2055" s="115"/>
      <c r="BZ2055" s="115"/>
      <c r="CA2055" s="115"/>
      <c r="CB2055" s="115"/>
      <c r="CC2055" s="115"/>
      <c r="CD2055" s="115"/>
      <c r="CE2055" s="115"/>
      <c r="CF2055" s="115"/>
      <c r="CG2055" s="115"/>
      <c r="CH2055" s="115"/>
      <c r="CI2055" s="115"/>
      <c r="CJ2055" s="115"/>
      <c r="CK2055" s="115"/>
      <c r="CL2055" s="115"/>
      <c r="CM2055" s="115"/>
      <c r="CN2055" s="115"/>
      <c r="CO2055" s="115"/>
      <c r="CP2055" s="115"/>
      <c r="CQ2055" s="115"/>
      <c r="CR2055" s="115"/>
      <c r="CS2055" s="115"/>
      <c r="CT2055" s="115"/>
      <c r="CU2055" s="115"/>
      <c r="CV2055" s="115"/>
      <c r="CW2055" s="115"/>
      <c r="CX2055" s="115"/>
      <c r="CY2055" s="115"/>
      <c r="CZ2055" s="115"/>
      <c r="DA2055" s="115"/>
      <c r="DB2055" s="115"/>
      <c r="DC2055" s="115"/>
      <c r="DD2055" s="115"/>
      <c r="DE2055" s="115"/>
      <c r="DF2055" s="115"/>
      <c r="DG2055" s="115"/>
    </row>
    <row r="2056" spans="55:111" hidden="1">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c r="BY2056" s="115"/>
      <c r="BZ2056" s="115"/>
      <c r="CA2056" s="115"/>
      <c r="CB2056" s="115"/>
      <c r="CC2056" s="115"/>
      <c r="CD2056" s="115"/>
      <c r="CE2056" s="115"/>
      <c r="CF2056" s="115"/>
      <c r="CG2056" s="115"/>
      <c r="CH2056" s="115"/>
      <c r="CI2056" s="115"/>
      <c r="CJ2056" s="115"/>
      <c r="CK2056" s="115"/>
      <c r="CL2056" s="115"/>
      <c r="CM2056" s="115"/>
      <c r="CN2056" s="115"/>
      <c r="CO2056" s="115"/>
      <c r="CP2056" s="115"/>
      <c r="CQ2056" s="115"/>
      <c r="CR2056" s="115"/>
      <c r="CS2056" s="115"/>
      <c r="CT2056" s="115"/>
      <c r="CU2056" s="115"/>
      <c r="CV2056" s="115"/>
      <c r="CW2056" s="115"/>
      <c r="CX2056" s="115"/>
      <c r="CY2056" s="115"/>
      <c r="CZ2056" s="115"/>
      <c r="DA2056" s="115"/>
      <c r="DB2056" s="115"/>
      <c r="DC2056" s="115"/>
      <c r="DD2056" s="115"/>
      <c r="DE2056" s="115"/>
      <c r="DF2056" s="115"/>
      <c r="DG2056" s="115"/>
    </row>
    <row r="2057" spans="55:111" hidden="1">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c r="BY2057" s="115"/>
      <c r="BZ2057" s="115"/>
      <c r="CA2057" s="115"/>
      <c r="CB2057" s="115"/>
      <c r="CC2057" s="115"/>
      <c r="CD2057" s="115"/>
      <c r="CE2057" s="115"/>
      <c r="CF2057" s="115"/>
      <c r="CG2057" s="115"/>
      <c r="CH2057" s="115"/>
      <c r="CI2057" s="115"/>
      <c r="CJ2057" s="115"/>
      <c r="CK2057" s="115"/>
      <c r="CL2057" s="115"/>
      <c r="CM2057" s="115"/>
      <c r="CN2057" s="115"/>
      <c r="CO2057" s="115"/>
      <c r="CP2057" s="115"/>
      <c r="CQ2057" s="115"/>
      <c r="CR2057" s="115"/>
      <c r="CS2057" s="115"/>
      <c r="CT2057" s="115"/>
      <c r="CU2057" s="115"/>
      <c r="CV2057" s="115"/>
      <c r="CW2057" s="115"/>
      <c r="CX2057" s="115"/>
      <c r="CY2057" s="115"/>
      <c r="CZ2057" s="115"/>
      <c r="DA2057" s="115"/>
      <c r="DB2057" s="115"/>
      <c r="DC2057" s="115"/>
      <c r="DD2057" s="115"/>
      <c r="DE2057" s="115"/>
      <c r="DF2057" s="115"/>
      <c r="DG2057" s="115"/>
    </row>
    <row r="2058" spans="55:111" hidden="1">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c r="BY2058" s="115"/>
      <c r="BZ2058" s="115"/>
      <c r="CA2058" s="115"/>
      <c r="CB2058" s="115"/>
      <c r="CC2058" s="115"/>
      <c r="CD2058" s="115"/>
      <c r="CE2058" s="115"/>
      <c r="CF2058" s="115"/>
      <c r="CG2058" s="115"/>
      <c r="CH2058" s="115"/>
      <c r="CI2058" s="115"/>
      <c r="CJ2058" s="115"/>
      <c r="CK2058" s="115"/>
      <c r="CL2058" s="115"/>
      <c r="CM2058" s="115"/>
      <c r="CN2058" s="115"/>
      <c r="CO2058" s="115"/>
      <c r="CP2058" s="115"/>
      <c r="CQ2058" s="115"/>
      <c r="CR2058" s="115"/>
      <c r="CS2058" s="115"/>
      <c r="CT2058" s="115"/>
      <c r="CU2058" s="115"/>
      <c r="CV2058" s="115"/>
      <c r="CW2058" s="115"/>
      <c r="CX2058" s="115"/>
      <c r="CY2058" s="115"/>
      <c r="CZ2058" s="115"/>
      <c r="DA2058" s="115"/>
      <c r="DB2058" s="115"/>
      <c r="DC2058" s="115"/>
      <c r="DD2058" s="115"/>
      <c r="DE2058" s="115"/>
      <c r="DF2058" s="115"/>
      <c r="DG2058" s="115"/>
    </row>
    <row r="2059" spans="55:111" hidden="1">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c r="BY2059" s="115"/>
      <c r="BZ2059" s="115"/>
      <c r="CA2059" s="115"/>
      <c r="CB2059" s="115"/>
      <c r="CC2059" s="115"/>
      <c r="CD2059" s="115"/>
      <c r="CE2059" s="115"/>
      <c r="CF2059" s="115"/>
      <c r="CG2059" s="115"/>
      <c r="CH2059" s="115"/>
      <c r="CI2059" s="115"/>
      <c r="CJ2059" s="115"/>
      <c r="CK2059" s="115"/>
      <c r="CL2059" s="115"/>
      <c r="CM2059" s="115"/>
      <c r="CN2059" s="115"/>
      <c r="CO2059" s="115"/>
      <c r="CP2059" s="115"/>
      <c r="CQ2059" s="115"/>
      <c r="CR2059" s="115"/>
      <c r="CS2059" s="115"/>
      <c r="CT2059" s="115"/>
      <c r="CU2059" s="115"/>
      <c r="CV2059" s="115"/>
      <c r="CW2059" s="115"/>
      <c r="CX2059" s="115"/>
      <c r="CY2059" s="115"/>
      <c r="CZ2059" s="115"/>
      <c r="DA2059" s="115"/>
      <c r="DB2059" s="115"/>
      <c r="DC2059" s="115"/>
      <c r="DD2059" s="115"/>
      <c r="DE2059" s="115"/>
      <c r="DF2059" s="115"/>
      <c r="DG2059" s="115"/>
    </row>
    <row r="2060" spans="55:111" hidden="1">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c r="BY2060" s="115"/>
      <c r="BZ2060" s="115"/>
      <c r="CA2060" s="115"/>
      <c r="CB2060" s="115"/>
      <c r="CC2060" s="115"/>
      <c r="CD2060" s="115"/>
      <c r="CE2060" s="115"/>
      <c r="CF2060" s="115"/>
      <c r="CG2060" s="115"/>
      <c r="CH2060" s="115"/>
      <c r="CI2060" s="115"/>
      <c r="CJ2060" s="115"/>
      <c r="CK2060" s="115"/>
      <c r="CL2060" s="115"/>
      <c r="CM2060" s="115"/>
      <c r="CN2060" s="115"/>
      <c r="CO2060" s="115"/>
      <c r="CP2060" s="115"/>
      <c r="CQ2060" s="115"/>
      <c r="CR2060" s="115"/>
      <c r="CS2060" s="115"/>
      <c r="CT2060" s="115"/>
      <c r="CU2060" s="115"/>
      <c r="CV2060" s="115"/>
      <c r="CW2060" s="115"/>
      <c r="CX2060" s="115"/>
      <c r="CY2060" s="115"/>
      <c r="CZ2060" s="115"/>
      <c r="DA2060" s="115"/>
      <c r="DB2060" s="115"/>
      <c r="DC2060" s="115"/>
      <c r="DD2060" s="115"/>
      <c r="DE2060" s="115"/>
      <c r="DF2060" s="115"/>
      <c r="DG2060" s="115"/>
    </row>
    <row r="2061" spans="55:111" hidden="1">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c r="BY2061" s="115"/>
      <c r="BZ2061" s="115"/>
      <c r="CA2061" s="115"/>
      <c r="CB2061" s="115"/>
      <c r="CC2061" s="115"/>
      <c r="CD2061" s="115"/>
      <c r="CE2061" s="115"/>
      <c r="CF2061" s="115"/>
      <c r="CG2061" s="115"/>
      <c r="CH2061" s="115"/>
      <c r="CI2061" s="115"/>
      <c r="CJ2061" s="115"/>
      <c r="CK2061" s="115"/>
      <c r="CL2061" s="115"/>
      <c r="CM2061" s="115"/>
      <c r="CN2061" s="115"/>
      <c r="CO2061" s="115"/>
      <c r="CP2061" s="115"/>
      <c r="CQ2061" s="115"/>
      <c r="CR2061" s="115"/>
      <c r="CS2061" s="115"/>
      <c r="CT2061" s="115"/>
      <c r="CU2061" s="115"/>
      <c r="CV2061" s="115"/>
      <c r="CW2061" s="115"/>
      <c r="CX2061" s="115"/>
      <c r="CY2061" s="115"/>
      <c r="CZ2061" s="115"/>
      <c r="DA2061" s="115"/>
      <c r="DB2061" s="115"/>
      <c r="DC2061" s="115"/>
      <c r="DD2061" s="115"/>
      <c r="DE2061" s="115"/>
      <c r="DF2061" s="115"/>
      <c r="DG2061" s="115"/>
    </row>
    <row r="2062" spans="55:111" hidden="1">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c r="BY2062" s="115"/>
      <c r="BZ2062" s="115"/>
      <c r="CA2062" s="115"/>
      <c r="CB2062" s="115"/>
      <c r="CC2062" s="115"/>
      <c r="CD2062" s="115"/>
      <c r="CE2062" s="115"/>
      <c r="CF2062" s="115"/>
      <c r="CG2062" s="115"/>
      <c r="CH2062" s="115"/>
      <c r="CI2062" s="115"/>
      <c r="CJ2062" s="115"/>
      <c r="CK2062" s="115"/>
      <c r="CL2062" s="115"/>
      <c r="CM2062" s="115"/>
      <c r="CN2062" s="115"/>
      <c r="CO2062" s="115"/>
      <c r="CP2062" s="115"/>
      <c r="CQ2062" s="115"/>
      <c r="CR2062" s="115"/>
      <c r="CS2062" s="115"/>
      <c r="CT2062" s="115"/>
      <c r="CU2062" s="115"/>
      <c r="CV2062" s="115"/>
      <c r="CW2062" s="115"/>
      <c r="CX2062" s="115"/>
      <c r="CY2062" s="115"/>
      <c r="CZ2062" s="115"/>
      <c r="DA2062" s="115"/>
      <c r="DB2062" s="115"/>
      <c r="DC2062" s="115"/>
      <c r="DD2062" s="115"/>
      <c r="DE2062" s="115"/>
      <c r="DF2062" s="115"/>
      <c r="DG2062" s="115"/>
    </row>
    <row r="2063" spans="55:111" hidden="1">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c r="BY2063" s="115"/>
      <c r="BZ2063" s="115"/>
      <c r="CA2063" s="115"/>
      <c r="CB2063" s="115"/>
      <c r="CC2063" s="115"/>
      <c r="CD2063" s="115"/>
      <c r="CE2063" s="115"/>
      <c r="CF2063" s="115"/>
      <c r="CG2063" s="115"/>
      <c r="CH2063" s="115"/>
      <c r="CI2063" s="115"/>
      <c r="CJ2063" s="115"/>
      <c r="CK2063" s="115"/>
      <c r="CL2063" s="115"/>
      <c r="CM2063" s="115"/>
      <c r="CN2063" s="115"/>
      <c r="CO2063" s="115"/>
      <c r="CP2063" s="115"/>
      <c r="CQ2063" s="115"/>
      <c r="CR2063" s="115"/>
      <c r="CS2063" s="115"/>
      <c r="CT2063" s="115"/>
      <c r="CU2063" s="115"/>
      <c r="CV2063" s="115"/>
      <c r="CW2063" s="115"/>
      <c r="CX2063" s="115"/>
      <c r="CY2063" s="115"/>
      <c r="CZ2063" s="115"/>
      <c r="DA2063" s="115"/>
      <c r="DB2063" s="115"/>
      <c r="DC2063" s="115"/>
      <c r="DD2063" s="115"/>
      <c r="DE2063" s="115"/>
      <c r="DF2063" s="115"/>
      <c r="DG2063" s="115"/>
    </row>
    <row r="2064" spans="55:111" hidden="1">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c r="BY2064" s="115"/>
      <c r="BZ2064" s="115"/>
      <c r="CA2064" s="115"/>
      <c r="CB2064" s="115"/>
      <c r="CC2064" s="115"/>
      <c r="CD2064" s="115"/>
      <c r="CE2064" s="115"/>
      <c r="CF2064" s="115"/>
      <c r="CG2064" s="115"/>
      <c r="CH2064" s="115"/>
      <c r="CI2064" s="115"/>
      <c r="CJ2064" s="115"/>
      <c r="CK2064" s="115"/>
      <c r="CL2064" s="115"/>
      <c r="CM2064" s="115"/>
      <c r="CN2064" s="115"/>
      <c r="CO2064" s="115"/>
      <c r="CP2064" s="115"/>
      <c r="CQ2064" s="115"/>
      <c r="CR2064" s="115"/>
      <c r="CS2064" s="115"/>
      <c r="CT2064" s="115"/>
      <c r="CU2064" s="115"/>
      <c r="CV2064" s="115"/>
      <c r="CW2064" s="115"/>
      <c r="CX2064" s="115"/>
      <c r="CY2064" s="115"/>
      <c r="CZ2064" s="115"/>
      <c r="DA2064" s="115"/>
      <c r="DB2064" s="115"/>
      <c r="DC2064" s="115"/>
      <c r="DD2064" s="115"/>
      <c r="DE2064" s="115"/>
      <c r="DF2064" s="115"/>
      <c r="DG2064" s="115"/>
    </row>
    <row r="2065" spans="55:111" hidden="1">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c r="BY2065" s="115"/>
      <c r="BZ2065" s="115"/>
      <c r="CA2065" s="115"/>
      <c r="CB2065" s="115"/>
      <c r="CC2065" s="115"/>
      <c r="CD2065" s="115"/>
      <c r="CE2065" s="115"/>
      <c r="CF2065" s="115"/>
      <c r="CG2065" s="115"/>
      <c r="CH2065" s="115"/>
      <c r="CI2065" s="115"/>
      <c r="CJ2065" s="115"/>
      <c r="CK2065" s="115"/>
      <c r="CL2065" s="115"/>
      <c r="CM2065" s="115"/>
      <c r="CN2065" s="115"/>
      <c r="CO2065" s="115"/>
      <c r="CP2065" s="115"/>
      <c r="CQ2065" s="115"/>
      <c r="CR2065" s="115"/>
      <c r="CS2065" s="115"/>
      <c r="CT2065" s="115"/>
      <c r="CU2065" s="115"/>
      <c r="CV2065" s="115"/>
      <c r="CW2065" s="115"/>
      <c r="CX2065" s="115"/>
      <c r="CY2065" s="115"/>
      <c r="CZ2065" s="115"/>
      <c r="DA2065" s="115"/>
      <c r="DB2065" s="115"/>
      <c r="DC2065" s="115"/>
      <c r="DD2065" s="115"/>
      <c r="DE2065" s="115"/>
      <c r="DF2065" s="115"/>
      <c r="DG2065" s="115"/>
    </row>
    <row r="2066" spans="55:111" hidden="1">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c r="BY2066" s="115"/>
      <c r="BZ2066" s="115"/>
      <c r="CA2066" s="115"/>
      <c r="CB2066" s="115"/>
      <c r="CC2066" s="115"/>
      <c r="CD2066" s="115"/>
      <c r="CE2066" s="115"/>
      <c r="CF2066" s="115"/>
      <c r="CG2066" s="115"/>
      <c r="CH2066" s="115"/>
      <c r="CI2066" s="115"/>
      <c r="CJ2066" s="115"/>
      <c r="CK2066" s="115"/>
      <c r="CL2066" s="115"/>
      <c r="CM2066" s="115"/>
      <c r="CN2066" s="115"/>
      <c r="CO2066" s="115"/>
      <c r="CP2066" s="115"/>
      <c r="CQ2066" s="115"/>
      <c r="CR2066" s="115"/>
      <c r="CS2066" s="115"/>
      <c r="CT2066" s="115"/>
      <c r="CU2066" s="115"/>
      <c r="CV2066" s="115"/>
      <c r="CW2066" s="115"/>
      <c r="CX2066" s="115"/>
      <c r="CY2066" s="115"/>
      <c r="CZ2066" s="115"/>
      <c r="DA2066" s="115"/>
      <c r="DB2066" s="115"/>
      <c r="DC2066" s="115"/>
      <c r="DD2066" s="115"/>
      <c r="DE2066" s="115"/>
      <c r="DF2066" s="115"/>
      <c r="DG2066" s="115"/>
    </row>
    <row r="2067" spans="55:111" hidden="1">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c r="BY2067" s="115"/>
      <c r="BZ2067" s="115"/>
      <c r="CA2067" s="115"/>
      <c r="CB2067" s="115"/>
      <c r="CC2067" s="115"/>
      <c r="CD2067" s="115"/>
      <c r="CE2067" s="115"/>
      <c r="CF2067" s="115"/>
      <c r="CG2067" s="115"/>
      <c r="CH2067" s="115"/>
      <c r="CI2067" s="115"/>
      <c r="CJ2067" s="115"/>
      <c r="CK2067" s="115"/>
      <c r="CL2067" s="115"/>
      <c r="CM2067" s="115"/>
      <c r="CN2067" s="115"/>
      <c r="CO2067" s="115"/>
      <c r="CP2067" s="115"/>
      <c r="CQ2067" s="115"/>
      <c r="CR2067" s="115"/>
      <c r="CS2067" s="115"/>
      <c r="CT2067" s="115"/>
      <c r="CU2067" s="115"/>
      <c r="CV2067" s="115"/>
      <c r="CW2067" s="115"/>
      <c r="CX2067" s="115"/>
      <c r="CY2067" s="115"/>
      <c r="CZ2067" s="115"/>
      <c r="DA2067" s="115"/>
      <c r="DB2067" s="115"/>
      <c r="DC2067" s="115"/>
      <c r="DD2067" s="115"/>
      <c r="DE2067" s="115"/>
      <c r="DF2067" s="115"/>
      <c r="DG2067" s="115"/>
    </row>
    <row r="2068" spans="55:111" hidden="1">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c r="BY2068" s="115"/>
      <c r="BZ2068" s="115"/>
      <c r="CA2068" s="115"/>
      <c r="CB2068" s="115"/>
      <c r="CC2068" s="115"/>
      <c r="CD2068" s="115"/>
      <c r="CE2068" s="115"/>
      <c r="CF2068" s="115"/>
      <c r="CG2068" s="115"/>
      <c r="CH2068" s="115"/>
      <c r="CI2068" s="115"/>
      <c r="CJ2068" s="115"/>
      <c r="CK2068" s="115"/>
      <c r="CL2068" s="115"/>
      <c r="CM2068" s="115"/>
      <c r="CN2068" s="115"/>
      <c r="CO2068" s="115"/>
      <c r="CP2068" s="115"/>
      <c r="CQ2068" s="115"/>
      <c r="CR2068" s="115"/>
      <c r="CS2068" s="115"/>
      <c r="CT2068" s="115"/>
      <c r="CU2068" s="115"/>
      <c r="CV2068" s="115"/>
      <c r="CW2068" s="115"/>
      <c r="CX2068" s="115"/>
      <c r="CY2068" s="115"/>
      <c r="CZ2068" s="115"/>
      <c r="DA2068" s="115"/>
      <c r="DB2068" s="115"/>
      <c r="DC2068" s="115"/>
      <c r="DD2068" s="115"/>
      <c r="DE2068" s="115"/>
      <c r="DF2068" s="115"/>
      <c r="DG2068" s="115"/>
    </row>
    <row r="2069" spans="55:111" hidden="1">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c r="BY2069" s="115"/>
      <c r="BZ2069" s="115"/>
      <c r="CA2069" s="115"/>
      <c r="CB2069" s="115"/>
      <c r="CC2069" s="115"/>
      <c r="CD2069" s="115"/>
      <c r="CE2069" s="115"/>
      <c r="CF2069" s="115"/>
      <c r="CG2069" s="115"/>
      <c r="CH2069" s="115"/>
      <c r="CI2069" s="115"/>
      <c r="CJ2069" s="115"/>
      <c r="CK2069" s="115"/>
      <c r="CL2069" s="115"/>
      <c r="CM2069" s="115"/>
      <c r="CN2069" s="115"/>
      <c r="CO2069" s="115"/>
      <c r="CP2069" s="115"/>
      <c r="CQ2069" s="115"/>
      <c r="CR2069" s="115"/>
      <c r="CS2069" s="115"/>
      <c r="CT2069" s="115"/>
      <c r="CU2069" s="115"/>
      <c r="CV2069" s="115"/>
      <c r="CW2069" s="115"/>
      <c r="CX2069" s="115"/>
      <c r="CY2069" s="115"/>
      <c r="CZ2069" s="115"/>
      <c r="DA2069" s="115"/>
      <c r="DB2069" s="115"/>
      <c r="DC2069" s="115"/>
      <c r="DD2069" s="115"/>
      <c r="DE2069" s="115"/>
      <c r="DF2069" s="115"/>
      <c r="DG2069" s="115"/>
    </row>
    <row r="2070" spans="55:111" hidden="1">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c r="BY2070" s="115"/>
      <c r="BZ2070" s="115"/>
      <c r="CA2070" s="115"/>
      <c r="CB2070" s="115"/>
      <c r="CC2070" s="115"/>
      <c r="CD2070" s="115"/>
      <c r="CE2070" s="115"/>
      <c r="CF2070" s="115"/>
      <c r="CG2070" s="115"/>
      <c r="CH2070" s="115"/>
      <c r="CI2070" s="115"/>
      <c r="CJ2070" s="115"/>
      <c r="CK2070" s="115"/>
      <c r="CL2070" s="115"/>
      <c r="CM2070" s="115"/>
      <c r="CN2070" s="115"/>
      <c r="CO2070" s="115"/>
      <c r="CP2070" s="115"/>
      <c r="CQ2070" s="115"/>
      <c r="CR2070" s="115"/>
      <c r="CS2070" s="115"/>
      <c r="CT2070" s="115"/>
      <c r="CU2070" s="115"/>
      <c r="CV2070" s="115"/>
      <c r="CW2070" s="115"/>
      <c r="CX2070" s="115"/>
      <c r="CY2070" s="115"/>
      <c r="CZ2070" s="115"/>
      <c r="DA2070" s="115"/>
      <c r="DB2070" s="115"/>
      <c r="DC2070" s="115"/>
      <c r="DD2070" s="115"/>
      <c r="DE2070" s="115"/>
      <c r="DF2070" s="115"/>
      <c r="DG2070" s="115"/>
    </row>
    <row r="2071" spans="55:111" hidden="1">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c r="BY2071" s="115"/>
      <c r="BZ2071" s="115"/>
      <c r="CA2071" s="115"/>
      <c r="CB2071" s="115"/>
      <c r="CC2071" s="115"/>
      <c r="CD2071" s="115"/>
      <c r="CE2071" s="115"/>
      <c r="CF2071" s="115"/>
      <c r="CG2071" s="115"/>
      <c r="CH2071" s="115"/>
      <c r="CI2071" s="115"/>
      <c r="CJ2071" s="115"/>
      <c r="CK2071" s="115"/>
      <c r="CL2071" s="115"/>
      <c r="CM2071" s="115"/>
      <c r="CN2071" s="115"/>
      <c r="CO2071" s="115"/>
      <c r="CP2071" s="115"/>
      <c r="CQ2071" s="115"/>
      <c r="CR2071" s="115"/>
      <c r="CS2071" s="115"/>
      <c r="CT2071" s="115"/>
      <c r="CU2071" s="115"/>
      <c r="CV2071" s="115"/>
      <c r="CW2071" s="115"/>
      <c r="CX2071" s="115"/>
      <c r="CY2071" s="115"/>
      <c r="CZ2071" s="115"/>
      <c r="DA2071" s="115"/>
      <c r="DB2071" s="115"/>
      <c r="DC2071" s="115"/>
      <c r="DD2071" s="115"/>
      <c r="DE2071" s="115"/>
      <c r="DF2071" s="115"/>
      <c r="DG2071" s="115"/>
    </row>
    <row r="2072" spans="55:111" hidden="1">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c r="BY2072" s="115"/>
      <c r="BZ2072" s="115"/>
      <c r="CA2072" s="115"/>
      <c r="CB2072" s="115"/>
      <c r="CC2072" s="115"/>
      <c r="CD2072" s="115"/>
      <c r="CE2072" s="115"/>
      <c r="CF2072" s="115"/>
      <c r="CG2072" s="115"/>
      <c r="CH2072" s="115"/>
      <c r="CI2072" s="115"/>
      <c r="CJ2072" s="115"/>
      <c r="CK2072" s="115"/>
      <c r="CL2072" s="115"/>
      <c r="CM2072" s="115"/>
      <c r="CN2072" s="115"/>
      <c r="CO2072" s="115"/>
      <c r="CP2072" s="115"/>
      <c r="CQ2072" s="115"/>
      <c r="CR2072" s="115"/>
      <c r="CS2072" s="115"/>
      <c r="CT2072" s="115"/>
      <c r="CU2072" s="115"/>
      <c r="CV2072" s="115"/>
      <c r="CW2072" s="115"/>
      <c r="CX2072" s="115"/>
      <c r="CY2072" s="115"/>
      <c r="CZ2072" s="115"/>
      <c r="DA2072" s="115"/>
      <c r="DB2072" s="115"/>
      <c r="DC2072" s="115"/>
      <c r="DD2072" s="115"/>
      <c r="DE2072" s="115"/>
      <c r="DF2072" s="115"/>
      <c r="DG2072" s="115"/>
    </row>
    <row r="2073" spans="55:111" hidden="1">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c r="BY2073" s="115"/>
      <c r="BZ2073" s="115"/>
      <c r="CA2073" s="115"/>
      <c r="CB2073" s="115"/>
      <c r="CC2073" s="115"/>
      <c r="CD2073" s="115"/>
      <c r="CE2073" s="115"/>
      <c r="CF2073" s="115"/>
      <c r="CG2073" s="115"/>
      <c r="CH2073" s="115"/>
      <c r="CI2073" s="115"/>
      <c r="CJ2073" s="115"/>
      <c r="CK2073" s="115"/>
      <c r="CL2073" s="115"/>
      <c r="CM2073" s="115"/>
      <c r="CN2073" s="115"/>
      <c r="CO2073" s="115"/>
      <c r="CP2073" s="115"/>
      <c r="CQ2073" s="115"/>
      <c r="CR2073" s="115"/>
      <c r="CS2073" s="115"/>
      <c r="CT2073" s="115"/>
      <c r="CU2073" s="115"/>
      <c r="CV2073" s="115"/>
      <c r="CW2073" s="115"/>
      <c r="CX2073" s="115"/>
      <c r="CY2073" s="115"/>
      <c r="CZ2073" s="115"/>
      <c r="DA2073" s="115"/>
      <c r="DB2073" s="115"/>
      <c r="DC2073" s="115"/>
      <c r="DD2073" s="115"/>
      <c r="DE2073" s="115"/>
      <c r="DF2073" s="115"/>
      <c r="DG2073" s="115"/>
    </row>
    <row r="2074" spans="55:111" hidden="1">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c r="BY2074" s="115"/>
      <c r="BZ2074" s="115"/>
      <c r="CA2074" s="115"/>
      <c r="CB2074" s="115"/>
      <c r="CC2074" s="115"/>
      <c r="CD2074" s="115"/>
      <c r="CE2074" s="115"/>
      <c r="CF2074" s="115"/>
      <c r="CG2074" s="115"/>
      <c r="CH2074" s="115"/>
      <c r="CI2074" s="115"/>
      <c r="CJ2074" s="115"/>
      <c r="CK2074" s="115"/>
      <c r="CL2074" s="115"/>
      <c r="CM2074" s="115"/>
      <c r="CN2074" s="115"/>
      <c r="CO2074" s="115"/>
      <c r="CP2074" s="115"/>
      <c r="CQ2074" s="115"/>
      <c r="CR2074" s="115"/>
      <c r="CS2074" s="115"/>
      <c r="CT2074" s="115"/>
      <c r="CU2074" s="115"/>
      <c r="CV2074" s="115"/>
      <c r="CW2074" s="115"/>
      <c r="CX2074" s="115"/>
      <c r="CY2074" s="115"/>
      <c r="CZ2074" s="115"/>
      <c r="DA2074" s="115"/>
      <c r="DB2074" s="115"/>
      <c r="DC2074" s="115"/>
      <c r="DD2074" s="115"/>
      <c r="DE2074" s="115"/>
      <c r="DF2074" s="115"/>
      <c r="DG2074" s="115"/>
    </row>
    <row r="2075" spans="55:111" hidden="1">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c r="BY2075" s="115"/>
      <c r="BZ2075" s="115"/>
      <c r="CA2075" s="115"/>
      <c r="CB2075" s="115"/>
      <c r="CC2075" s="115"/>
      <c r="CD2075" s="115"/>
      <c r="CE2075" s="115"/>
      <c r="CF2075" s="115"/>
      <c r="CG2075" s="115"/>
      <c r="CH2075" s="115"/>
      <c r="CI2075" s="115"/>
      <c r="CJ2075" s="115"/>
      <c r="CK2075" s="115"/>
      <c r="CL2075" s="115"/>
      <c r="CM2075" s="115"/>
      <c r="CN2075" s="115"/>
      <c r="CO2075" s="115"/>
      <c r="CP2075" s="115"/>
      <c r="CQ2075" s="115"/>
      <c r="CR2075" s="115"/>
      <c r="CS2075" s="115"/>
      <c r="CT2075" s="115"/>
      <c r="CU2075" s="115"/>
      <c r="CV2075" s="115"/>
      <c r="CW2075" s="115"/>
      <c r="CX2075" s="115"/>
      <c r="CY2075" s="115"/>
      <c r="CZ2075" s="115"/>
      <c r="DA2075" s="115"/>
      <c r="DB2075" s="115"/>
      <c r="DC2075" s="115"/>
      <c r="DD2075" s="115"/>
      <c r="DE2075" s="115"/>
      <c r="DF2075" s="115"/>
      <c r="DG2075" s="115"/>
    </row>
    <row r="2076" spans="55:111" hidden="1">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c r="BY2076" s="115"/>
      <c r="BZ2076" s="115"/>
      <c r="CA2076" s="115"/>
      <c r="CB2076" s="115"/>
      <c r="CC2076" s="115"/>
      <c r="CD2076" s="115"/>
      <c r="CE2076" s="115"/>
      <c r="CF2076" s="115"/>
      <c r="CG2076" s="115"/>
      <c r="CH2076" s="115"/>
      <c r="CI2076" s="115"/>
      <c r="CJ2076" s="115"/>
      <c r="CK2076" s="115"/>
      <c r="CL2076" s="115"/>
      <c r="CM2076" s="115"/>
      <c r="CN2076" s="115"/>
      <c r="CO2076" s="115"/>
      <c r="CP2076" s="115"/>
      <c r="CQ2076" s="115"/>
      <c r="CR2076" s="115"/>
      <c r="CS2076" s="115"/>
      <c r="CT2076" s="115"/>
      <c r="CU2076" s="115"/>
      <c r="CV2076" s="115"/>
      <c r="CW2076" s="115"/>
      <c r="CX2076" s="115"/>
      <c r="CY2076" s="115"/>
      <c r="CZ2076" s="115"/>
      <c r="DA2076" s="115"/>
      <c r="DB2076" s="115"/>
      <c r="DC2076" s="115"/>
      <c r="DD2076" s="115"/>
      <c r="DE2076" s="115"/>
      <c r="DF2076" s="115"/>
      <c r="DG2076" s="115"/>
    </row>
    <row r="2077" spans="55:111" hidden="1">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c r="BY2077" s="115"/>
      <c r="BZ2077" s="115"/>
      <c r="CA2077" s="115"/>
      <c r="CB2077" s="115"/>
      <c r="CC2077" s="115"/>
      <c r="CD2077" s="115"/>
      <c r="CE2077" s="115"/>
      <c r="CF2077" s="115"/>
      <c r="CG2077" s="115"/>
      <c r="CH2077" s="115"/>
      <c r="CI2077" s="115"/>
      <c r="CJ2077" s="115"/>
      <c r="CK2077" s="115"/>
      <c r="CL2077" s="115"/>
      <c r="CM2077" s="115"/>
      <c r="CN2077" s="115"/>
      <c r="CO2077" s="115"/>
      <c r="CP2077" s="115"/>
      <c r="CQ2077" s="115"/>
      <c r="CR2077" s="115"/>
      <c r="CS2077" s="115"/>
      <c r="CT2077" s="115"/>
      <c r="CU2077" s="115"/>
      <c r="CV2077" s="115"/>
      <c r="CW2077" s="115"/>
      <c r="CX2077" s="115"/>
      <c r="CY2077" s="115"/>
      <c r="CZ2077" s="115"/>
      <c r="DA2077" s="115"/>
      <c r="DB2077" s="115"/>
      <c r="DC2077" s="115"/>
      <c r="DD2077" s="115"/>
      <c r="DE2077" s="115"/>
      <c r="DF2077" s="115"/>
      <c r="DG2077" s="115"/>
    </row>
    <row r="2078" spans="55:111" hidden="1">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c r="BY2078" s="115"/>
      <c r="BZ2078" s="115"/>
      <c r="CA2078" s="115"/>
      <c r="CB2078" s="115"/>
      <c r="CC2078" s="115"/>
      <c r="CD2078" s="115"/>
      <c r="CE2078" s="115"/>
      <c r="CF2078" s="115"/>
      <c r="CG2078" s="115"/>
      <c r="CH2078" s="115"/>
      <c r="CI2078" s="115"/>
      <c r="CJ2078" s="115"/>
      <c r="CK2078" s="115"/>
      <c r="CL2078" s="115"/>
      <c r="CM2078" s="115"/>
      <c r="CN2078" s="115"/>
      <c r="CO2078" s="115"/>
      <c r="CP2078" s="115"/>
      <c r="CQ2078" s="115"/>
      <c r="CR2078" s="115"/>
      <c r="CS2078" s="115"/>
      <c r="CT2078" s="115"/>
      <c r="CU2078" s="115"/>
      <c r="CV2078" s="115"/>
      <c r="CW2078" s="115"/>
      <c r="CX2078" s="115"/>
      <c r="CY2078" s="115"/>
      <c r="CZ2078" s="115"/>
      <c r="DA2078" s="115"/>
      <c r="DB2078" s="115"/>
      <c r="DC2078" s="115"/>
      <c r="DD2078" s="115"/>
      <c r="DE2078" s="115"/>
      <c r="DF2078" s="115"/>
      <c r="DG2078" s="115"/>
    </row>
    <row r="2079" spans="55:111" hidden="1">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c r="BY2079" s="115"/>
      <c r="BZ2079" s="115"/>
      <c r="CA2079" s="115"/>
      <c r="CB2079" s="115"/>
      <c r="CC2079" s="115"/>
      <c r="CD2079" s="115"/>
      <c r="CE2079" s="115"/>
      <c r="CF2079" s="115"/>
      <c r="CG2079" s="115"/>
      <c r="CH2079" s="115"/>
      <c r="CI2079" s="115"/>
      <c r="CJ2079" s="115"/>
      <c r="CK2079" s="115"/>
      <c r="CL2079" s="115"/>
      <c r="CM2079" s="115"/>
      <c r="CN2079" s="115"/>
      <c r="CO2079" s="115"/>
      <c r="CP2079" s="115"/>
      <c r="CQ2079" s="115"/>
      <c r="CR2079" s="115"/>
      <c r="CS2079" s="115"/>
      <c r="CT2079" s="115"/>
      <c r="CU2079" s="115"/>
      <c r="CV2079" s="115"/>
      <c r="CW2079" s="115"/>
      <c r="CX2079" s="115"/>
      <c r="CY2079" s="115"/>
      <c r="CZ2079" s="115"/>
      <c r="DA2079" s="115"/>
      <c r="DB2079" s="115"/>
      <c r="DC2079" s="115"/>
      <c r="DD2079" s="115"/>
      <c r="DE2079" s="115"/>
      <c r="DF2079" s="115"/>
      <c r="DG2079" s="115"/>
    </row>
    <row r="2080" spans="55:111" hidden="1">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c r="BY2080" s="115"/>
      <c r="BZ2080" s="115"/>
      <c r="CA2080" s="115"/>
      <c r="CB2080" s="115"/>
      <c r="CC2080" s="115"/>
      <c r="CD2080" s="115"/>
      <c r="CE2080" s="115"/>
      <c r="CF2080" s="115"/>
      <c r="CG2080" s="115"/>
      <c r="CH2080" s="115"/>
      <c r="CI2080" s="115"/>
      <c r="CJ2080" s="115"/>
      <c r="CK2080" s="115"/>
      <c r="CL2080" s="115"/>
      <c r="CM2080" s="115"/>
      <c r="CN2080" s="115"/>
      <c r="CO2080" s="115"/>
      <c r="CP2080" s="115"/>
      <c r="CQ2080" s="115"/>
      <c r="CR2080" s="115"/>
      <c r="CS2080" s="115"/>
      <c r="CT2080" s="115"/>
      <c r="CU2080" s="115"/>
      <c r="CV2080" s="115"/>
      <c r="CW2080" s="115"/>
      <c r="CX2080" s="115"/>
      <c r="CY2080" s="115"/>
      <c r="CZ2080" s="115"/>
      <c r="DA2080" s="115"/>
      <c r="DB2080" s="115"/>
      <c r="DC2080" s="115"/>
      <c r="DD2080" s="115"/>
      <c r="DE2080" s="115"/>
      <c r="DF2080" s="115"/>
      <c r="DG2080" s="115"/>
    </row>
    <row r="2081" spans="55:111" hidden="1">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c r="BY2081" s="115"/>
      <c r="BZ2081" s="115"/>
      <c r="CA2081" s="115"/>
      <c r="CB2081" s="115"/>
      <c r="CC2081" s="115"/>
      <c r="CD2081" s="115"/>
      <c r="CE2081" s="115"/>
      <c r="CF2081" s="115"/>
      <c r="CG2081" s="115"/>
      <c r="CH2081" s="115"/>
      <c r="CI2081" s="115"/>
      <c r="CJ2081" s="115"/>
      <c r="CK2081" s="115"/>
      <c r="CL2081" s="115"/>
      <c r="CM2081" s="115"/>
      <c r="CN2081" s="115"/>
      <c r="CO2081" s="115"/>
      <c r="CP2081" s="115"/>
      <c r="CQ2081" s="115"/>
      <c r="CR2081" s="115"/>
      <c r="CS2081" s="115"/>
      <c r="CT2081" s="115"/>
      <c r="CU2081" s="115"/>
      <c r="CV2081" s="115"/>
      <c r="CW2081" s="115"/>
      <c r="CX2081" s="115"/>
      <c r="CY2081" s="115"/>
      <c r="CZ2081" s="115"/>
      <c r="DA2081" s="115"/>
      <c r="DB2081" s="115"/>
      <c r="DC2081" s="115"/>
      <c r="DD2081" s="115"/>
      <c r="DE2081" s="115"/>
      <c r="DF2081" s="115"/>
      <c r="DG2081" s="115"/>
    </row>
    <row r="2082" spans="55:111" hidden="1">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c r="BY2082" s="115"/>
      <c r="BZ2082" s="115"/>
      <c r="CA2082" s="115"/>
      <c r="CB2082" s="115"/>
      <c r="CC2082" s="115"/>
      <c r="CD2082" s="115"/>
      <c r="CE2082" s="115"/>
      <c r="CF2082" s="115"/>
      <c r="CG2082" s="115"/>
      <c r="CH2082" s="115"/>
      <c r="CI2082" s="115"/>
      <c r="CJ2082" s="115"/>
      <c r="CK2082" s="115"/>
      <c r="CL2082" s="115"/>
      <c r="CM2082" s="115"/>
      <c r="CN2082" s="115"/>
      <c r="CO2082" s="115"/>
      <c r="CP2082" s="115"/>
      <c r="CQ2082" s="115"/>
      <c r="CR2082" s="115"/>
      <c r="CS2082" s="115"/>
      <c r="CT2082" s="115"/>
      <c r="CU2082" s="115"/>
      <c r="CV2082" s="115"/>
      <c r="CW2082" s="115"/>
      <c r="CX2082" s="115"/>
      <c r="CY2082" s="115"/>
      <c r="CZ2082" s="115"/>
      <c r="DA2082" s="115"/>
      <c r="DB2082" s="115"/>
      <c r="DC2082" s="115"/>
      <c r="DD2082" s="115"/>
      <c r="DE2082" s="115"/>
      <c r="DF2082" s="115"/>
      <c r="DG2082" s="115"/>
    </row>
    <row r="2083" spans="55:111" hidden="1">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c r="BY2083" s="115"/>
      <c r="BZ2083" s="115"/>
      <c r="CA2083" s="115"/>
      <c r="CB2083" s="115"/>
      <c r="CC2083" s="115"/>
      <c r="CD2083" s="115"/>
      <c r="CE2083" s="115"/>
      <c r="CF2083" s="115"/>
      <c r="CG2083" s="115"/>
      <c r="CH2083" s="115"/>
      <c r="CI2083" s="115"/>
      <c r="CJ2083" s="115"/>
      <c r="CK2083" s="115"/>
      <c r="CL2083" s="115"/>
      <c r="CM2083" s="115"/>
      <c r="CN2083" s="115"/>
      <c r="CO2083" s="115"/>
      <c r="CP2083" s="115"/>
      <c r="CQ2083" s="115"/>
      <c r="CR2083" s="115"/>
      <c r="CS2083" s="115"/>
      <c r="CT2083" s="115"/>
      <c r="CU2083" s="115"/>
      <c r="CV2083" s="115"/>
      <c r="CW2083" s="115"/>
      <c r="CX2083" s="115"/>
      <c r="CY2083" s="115"/>
      <c r="CZ2083" s="115"/>
      <c r="DA2083" s="115"/>
      <c r="DB2083" s="115"/>
      <c r="DC2083" s="115"/>
      <c r="DD2083" s="115"/>
      <c r="DE2083" s="115"/>
      <c r="DF2083" s="115"/>
      <c r="DG2083" s="115"/>
    </row>
    <row r="2084" spans="55:111" hidden="1">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c r="BY2084" s="115"/>
      <c r="BZ2084" s="115"/>
      <c r="CA2084" s="115"/>
      <c r="CB2084" s="115"/>
      <c r="CC2084" s="115"/>
      <c r="CD2084" s="115"/>
      <c r="CE2084" s="115"/>
      <c r="CF2084" s="115"/>
      <c r="CG2084" s="115"/>
      <c r="CH2084" s="115"/>
      <c r="CI2084" s="115"/>
      <c r="CJ2084" s="115"/>
      <c r="CK2084" s="115"/>
      <c r="CL2084" s="115"/>
      <c r="CM2084" s="115"/>
      <c r="CN2084" s="115"/>
      <c r="CO2084" s="115"/>
      <c r="CP2084" s="115"/>
      <c r="CQ2084" s="115"/>
      <c r="CR2084" s="115"/>
      <c r="CS2084" s="115"/>
      <c r="CT2084" s="115"/>
      <c r="CU2084" s="115"/>
      <c r="CV2084" s="115"/>
      <c r="CW2084" s="115"/>
      <c r="CX2084" s="115"/>
      <c r="CY2084" s="115"/>
      <c r="CZ2084" s="115"/>
      <c r="DA2084" s="115"/>
      <c r="DB2084" s="115"/>
      <c r="DC2084" s="115"/>
      <c r="DD2084" s="115"/>
      <c r="DE2084" s="115"/>
      <c r="DF2084" s="115"/>
      <c r="DG2084" s="115"/>
    </row>
    <row r="2085" spans="55:111" hidden="1">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c r="BY2085" s="115"/>
      <c r="BZ2085" s="115"/>
      <c r="CA2085" s="115"/>
      <c r="CB2085" s="115"/>
      <c r="CC2085" s="115"/>
      <c r="CD2085" s="115"/>
      <c r="CE2085" s="115"/>
      <c r="CF2085" s="115"/>
      <c r="CG2085" s="115"/>
      <c r="CH2085" s="115"/>
      <c r="CI2085" s="115"/>
      <c r="CJ2085" s="115"/>
      <c r="CK2085" s="115"/>
      <c r="CL2085" s="115"/>
      <c r="CM2085" s="115"/>
      <c r="CN2085" s="115"/>
      <c r="CO2085" s="115"/>
      <c r="CP2085" s="115"/>
      <c r="CQ2085" s="115"/>
      <c r="CR2085" s="115"/>
      <c r="CS2085" s="115"/>
      <c r="CT2085" s="115"/>
      <c r="CU2085" s="115"/>
      <c r="CV2085" s="115"/>
      <c r="CW2085" s="115"/>
      <c r="CX2085" s="115"/>
      <c r="CY2085" s="115"/>
      <c r="CZ2085" s="115"/>
      <c r="DA2085" s="115"/>
      <c r="DB2085" s="115"/>
      <c r="DC2085" s="115"/>
      <c r="DD2085" s="115"/>
      <c r="DE2085" s="115"/>
      <c r="DF2085" s="115"/>
      <c r="DG2085" s="115"/>
    </row>
    <row r="2086" spans="55:111" hidden="1">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c r="BY2086" s="115"/>
      <c r="BZ2086" s="115"/>
      <c r="CA2086" s="115"/>
      <c r="CB2086" s="115"/>
      <c r="CC2086" s="115"/>
      <c r="CD2086" s="115"/>
      <c r="CE2086" s="115"/>
      <c r="CF2086" s="115"/>
      <c r="CG2086" s="115"/>
      <c r="CH2086" s="115"/>
      <c r="CI2086" s="115"/>
      <c r="CJ2086" s="115"/>
      <c r="CK2086" s="115"/>
      <c r="CL2086" s="115"/>
      <c r="CM2086" s="115"/>
      <c r="CN2086" s="115"/>
      <c r="CO2086" s="115"/>
      <c r="CP2086" s="115"/>
      <c r="CQ2086" s="115"/>
      <c r="CR2086" s="115"/>
      <c r="CS2086" s="115"/>
      <c r="CT2086" s="115"/>
      <c r="CU2086" s="115"/>
      <c r="CV2086" s="115"/>
      <c r="CW2086" s="115"/>
      <c r="CX2086" s="115"/>
      <c r="CY2086" s="115"/>
      <c r="CZ2086" s="115"/>
      <c r="DA2086" s="115"/>
      <c r="DB2086" s="115"/>
      <c r="DC2086" s="115"/>
      <c r="DD2086" s="115"/>
      <c r="DE2086" s="115"/>
      <c r="DF2086" s="115"/>
      <c r="DG2086" s="115"/>
    </row>
    <row r="2087" spans="55:111" hidden="1">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c r="BY2087" s="115"/>
      <c r="BZ2087" s="115"/>
      <c r="CA2087" s="115"/>
      <c r="CB2087" s="115"/>
      <c r="CC2087" s="115"/>
      <c r="CD2087" s="115"/>
      <c r="CE2087" s="115"/>
      <c r="CF2087" s="115"/>
      <c r="CG2087" s="115"/>
      <c r="CH2087" s="115"/>
      <c r="CI2087" s="115"/>
      <c r="CJ2087" s="115"/>
      <c r="CK2087" s="115"/>
      <c r="CL2087" s="115"/>
      <c r="CM2087" s="115"/>
      <c r="CN2087" s="115"/>
      <c r="CO2087" s="115"/>
      <c r="CP2087" s="115"/>
      <c r="CQ2087" s="115"/>
      <c r="CR2087" s="115"/>
      <c r="CS2087" s="115"/>
      <c r="CT2087" s="115"/>
      <c r="CU2087" s="115"/>
      <c r="CV2087" s="115"/>
      <c r="CW2087" s="115"/>
      <c r="CX2087" s="115"/>
      <c r="CY2087" s="115"/>
      <c r="CZ2087" s="115"/>
      <c r="DA2087" s="115"/>
      <c r="DB2087" s="115"/>
      <c r="DC2087" s="115"/>
      <c r="DD2087" s="115"/>
      <c r="DE2087" s="115"/>
      <c r="DF2087" s="115"/>
      <c r="DG2087" s="115"/>
    </row>
    <row r="2088" spans="55:111" hidden="1">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c r="BY2088" s="115"/>
      <c r="BZ2088" s="115"/>
      <c r="CA2088" s="115"/>
      <c r="CB2088" s="115"/>
      <c r="CC2088" s="115"/>
      <c r="CD2088" s="115"/>
      <c r="CE2088" s="115"/>
      <c r="CF2088" s="115"/>
      <c r="CG2088" s="115"/>
      <c r="CH2088" s="115"/>
      <c r="CI2088" s="115"/>
      <c r="CJ2088" s="115"/>
      <c r="CK2088" s="115"/>
      <c r="CL2088" s="115"/>
      <c r="CM2088" s="115"/>
      <c r="CN2088" s="115"/>
      <c r="CO2088" s="115"/>
      <c r="CP2088" s="115"/>
      <c r="CQ2088" s="115"/>
      <c r="CR2088" s="115"/>
      <c r="CS2088" s="115"/>
      <c r="CT2088" s="115"/>
      <c r="CU2088" s="115"/>
      <c r="CV2088" s="115"/>
      <c r="CW2088" s="115"/>
      <c r="CX2088" s="115"/>
      <c r="CY2088" s="115"/>
      <c r="CZ2088" s="115"/>
      <c r="DA2088" s="115"/>
      <c r="DB2088" s="115"/>
      <c r="DC2088" s="115"/>
      <c r="DD2088" s="115"/>
      <c r="DE2088" s="115"/>
      <c r="DF2088" s="115"/>
      <c r="DG2088" s="115"/>
    </row>
    <row r="2089" spans="55:111" hidden="1">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c r="BY2089" s="115"/>
      <c r="BZ2089" s="115"/>
      <c r="CA2089" s="115"/>
      <c r="CB2089" s="115"/>
      <c r="CC2089" s="115"/>
      <c r="CD2089" s="115"/>
      <c r="CE2089" s="115"/>
      <c r="CF2089" s="115"/>
      <c r="CG2089" s="115"/>
      <c r="CH2089" s="115"/>
      <c r="CI2089" s="115"/>
      <c r="CJ2089" s="115"/>
      <c r="CK2089" s="115"/>
      <c r="CL2089" s="115"/>
      <c r="CM2089" s="115"/>
      <c r="CN2089" s="115"/>
      <c r="CO2089" s="115"/>
      <c r="CP2089" s="115"/>
      <c r="CQ2089" s="115"/>
      <c r="CR2089" s="115"/>
      <c r="CS2089" s="115"/>
      <c r="CT2089" s="115"/>
      <c r="CU2089" s="115"/>
      <c r="CV2089" s="115"/>
      <c r="CW2089" s="115"/>
      <c r="CX2089" s="115"/>
      <c r="CY2089" s="115"/>
      <c r="CZ2089" s="115"/>
      <c r="DA2089" s="115"/>
      <c r="DB2089" s="115"/>
      <c r="DC2089" s="115"/>
      <c r="DD2089" s="115"/>
      <c r="DE2089" s="115"/>
      <c r="DF2089" s="115"/>
      <c r="DG2089" s="115"/>
    </row>
    <row r="2090" spans="55:111" hidden="1">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c r="BY2090" s="115"/>
      <c r="BZ2090" s="115"/>
      <c r="CA2090" s="115"/>
      <c r="CB2090" s="115"/>
      <c r="CC2090" s="115"/>
      <c r="CD2090" s="115"/>
      <c r="CE2090" s="115"/>
      <c r="CF2090" s="115"/>
      <c r="CG2090" s="115"/>
      <c r="CH2090" s="115"/>
      <c r="CI2090" s="115"/>
      <c r="CJ2090" s="115"/>
      <c r="CK2090" s="115"/>
      <c r="CL2090" s="115"/>
      <c r="CM2090" s="115"/>
      <c r="CN2090" s="115"/>
      <c r="CO2090" s="115"/>
      <c r="CP2090" s="115"/>
      <c r="CQ2090" s="115"/>
      <c r="CR2090" s="115"/>
      <c r="CS2090" s="115"/>
      <c r="CT2090" s="115"/>
      <c r="CU2090" s="115"/>
      <c r="CV2090" s="115"/>
      <c r="CW2090" s="115"/>
      <c r="CX2090" s="115"/>
      <c r="CY2090" s="115"/>
      <c r="CZ2090" s="115"/>
      <c r="DA2090" s="115"/>
      <c r="DB2090" s="115"/>
      <c r="DC2090" s="115"/>
      <c r="DD2090" s="115"/>
      <c r="DE2090" s="115"/>
      <c r="DF2090" s="115"/>
      <c r="DG2090" s="115"/>
    </row>
    <row r="2091" spans="55:111" hidden="1">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c r="BY2091" s="115"/>
      <c r="BZ2091" s="115"/>
      <c r="CA2091" s="115"/>
      <c r="CB2091" s="115"/>
      <c r="CC2091" s="115"/>
      <c r="CD2091" s="115"/>
      <c r="CE2091" s="115"/>
      <c r="CF2091" s="115"/>
      <c r="CG2091" s="115"/>
      <c r="CH2091" s="115"/>
      <c r="CI2091" s="115"/>
      <c r="CJ2091" s="115"/>
      <c r="CK2091" s="115"/>
      <c r="CL2091" s="115"/>
      <c r="CM2091" s="115"/>
      <c r="CN2091" s="115"/>
      <c r="CO2091" s="115"/>
      <c r="CP2091" s="115"/>
      <c r="CQ2091" s="115"/>
      <c r="CR2091" s="115"/>
      <c r="CS2091" s="115"/>
      <c r="CT2091" s="115"/>
      <c r="CU2091" s="115"/>
      <c r="CV2091" s="115"/>
      <c r="CW2091" s="115"/>
      <c r="CX2091" s="115"/>
      <c r="CY2091" s="115"/>
      <c r="CZ2091" s="115"/>
      <c r="DA2091" s="115"/>
      <c r="DB2091" s="115"/>
      <c r="DC2091" s="115"/>
      <c r="DD2091" s="115"/>
      <c r="DE2091" s="115"/>
      <c r="DF2091" s="115"/>
      <c r="DG2091" s="115"/>
    </row>
    <row r="2092" spans="55:111" hidden="1">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c r="BY2092" s="115"/>
      <c r="BZ2092" s="115"/>
      <c r="CA2092" s="115"/>
      <c r="CB2092" s="115"/>
      <c r="CC2092" s="115"/>
      <c r="CD2092" s="115"/>
      <c r="CE2092" s="115"/>
      <c r="CF2092" s="115"/>
      <c r="CG2092" s="115"/>
      <c r="CH2092" s="115"/>
      <c r="CI2092" s="115"/>
      <c r="CJ2092" s="115"/>
      <c r="CK2092" s="115"/>
      <c r="CL2092" s="115"/>
      <c r="CM2092" s="115"/>
      <c r="CN2092" s="115"/>
      <c r="CO2092" s="115"/>
      <c r="CP2092" s="115"/>
      <c r="CQ2092" s="115"/>
      <c r="CR2092" s="115"/>
      <c r="CS2092" s="115"/>
      <c r="CT2092" s="115"/>
      <c r="CU2092" s="115"/>
      <c r="CV2092" s="115"/>
      <c r="CW2092" s="115"/>
      <c r="CX2092" s="115"/>
      <c r="CY2092" s="115"/>
      <c r="CZ2092" s="115"/>
      <c r="DA2092" s="115"/>
      <c r="DB2092" s="115"/>
      <c r="DC2092" s="115"/>
      <c r="DD2092" s="115"/>
      <c r="DE2092" s="115"/>
      <c r="DF2092" s="115"/>
      <c r="DG2092" s="115"/>
    </row>
    <row r="2093" spans="55:111" hidden="1">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c r="BY2093" s="115"/>
      <c r="BZ2093" s="115"/>
      <c r="CA2093" s="115"/>
      <c r="CB2093" s="115"/>
      <c r="CC2093" s="115"/>
      <c r="CD2093" s="115"/>
      <c r="CE2093" s="115"/>
      <c r="CF2093" s="115"/>
      <c r="CG2093" s="115"/>
      <c r="CH2093" s="115"/>
      <c r="CI2093" s="115"/>
      <c r="CJ2093" s="115"/>
      <c r="CK2093" s="115"/>
      <c r="CL2093" s="115"/>
      <c r="CM2093" s="115"/>
      <c r="CN2093" s="115"/>
      <c r="CO2093" s="115"/>
      <c r="CP2093" s="115"/>
      <c r="CQ2093" s="115"/>
      <c r="CR2093" s="115"/>
      <c r="CS2093" s="115"/>
      <c r="CT2093" s="115"/>
      <c r="CU2093" s="115"/>
      <c r="CV2093" s="115"/>
      <c r="CW2093" s="115"/>
      <c r="CX2093" s="115"/>
      <c r="CY2093" s="115"/>
      <c r="CZ2093" s="115"/>
      <c r="DA2093" s="115"/>
      <c r="DB2093" s="115"/>
      <c r="DC2093" s="115"/>
      <c r="DD2093" s="115"/>
      <c r="DE2093" s="115"/>
      <c r="DF2093" s="115"/>
      <c r="DG2093" s="115"/>
    </row>
    <row r="2094" spans="55:111" hidden="1">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c r="BY2094" s="115"/>
      <c r="BZ2094" s="115"/>
      <c r="CA2094" s="115"/>
      <c r="CB2094" s="115"/>
      <c r="CC2094" s="115"/>
      <c r="CD2094" s="115"/>
      <c r="CE2094" s="115"/>
      <c r="CF2094" s="115"/>
      <c r="CG2094" s="115"/>
      <c r="CH2094" s="115"/>
      <c r="CI2094" s="115"/>
      <c r="CJ2094" s="115"/>
      <c r="CK2094" s="115"/>
      <c r="CL2094" s="115"/>
      <c r="CM2094" s="115"/>
      <c r="CN2094" s="115"/>
      <c r="CO2094" s="115"/>
      <c r="CP2094" s="115"/>
      <c r="CQ2094" s="115"/>
      <c r="CR2094" s="115"/>
      <c r="CS2094" s="115"/>
      <c r="CT2094" s="115"/>
      <c r="CU2094" s="115"/>
      <c r="CV2094" s="115"/>
      <c r="CW2094" s="115"/>
      <c r="CX2094" s="115"/>
      <c r="CY2094" s="115"/>
      <c r="CZ2094" s="115"/>
      <c r="DA2094" s="115"/>
      <c r="DB2094" s="115"/>
      <c r="DC2094" s="115"/>
      <c r="DD2094" s="115"/>
      <c r="DE2094" s="115"/>
      <c r="DF2094" s="115"/>
      <c r="DG2094" s="115"/>
    </row>
    <row r="2095" spans="55:111" hidden="1">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c r="BY2095" s="115"/>
      <c r="BZ2095" s="115"/>
      <c r="CA2095" s="115"/>
      <c r="CB2095" s="115"/>
      <c r="CC2095" s="115"/>
      <c r="CD2095" s="115"/>
      <c r="CE2095" s="115"/>
      <c r="CF2095" s="115"/>
      <c r="CG2095" s="115"/>
      <c r="CH2095" s="115"/>
      <c r="CI2095" s="115"/>
      <c r="CJ2095" s="115"/>
      <c r="CK2095" s="115"/>
      <c r="CL2095" s="115"/>
      <c r="CM2095" s="115"/>
      <c r="CN2095" s="115"/>
      <c r="CO2095" s="115"/>
      <c r="CP2095" s="115"/>
      <c r="CQ2095" s="115"/>
      <c r="CR2095" s="115"/>
      <c r="CS2095" s="115"/>
      <c r="CT2095" s="115"/>
      <c r="CU2095" s="115"/>
      <c r="CV2095" s="115"/>
      <c r="CW2095" s="115"/>
      <c r="CX2095" s="115"/>
      <c r="CY2095" s="115"/>
      <c r="CZ2095" s="115"/>
      <c r="DA2095" s="115"/>
      <c r="DB2095" s="115"/>
      <c r="DC2095" s="115"/>
      <c r="DD2095" s="115"/>
      <c r="DE2095" s="115"/>
      <c r="DF2095" s="115"/>
      <c r="DG2095" s="115"/>
    </row>
    <row r="2096" spans="55:111" hidden="1">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c r="BY2096" s="115"/>
      <c r="BZ2096" s="115"/>
      <c r="CA2096" s="115"/>
      <c r="CB2096" s="115"/>
      <c r="CC2096" s="115"/>
      <c r="CD2096" s="115"/>
      <c r="CE2096" s="115"/>
      <c r="CF2096" s="115"/>
      <c r="CG2096" s="115"/>
      <c r="CH2096" s="115"/>
      <c r="CI2096" s="115"/>
      <c r="CJ2096" s="115"/>
      <c r="CK2096" s="115"/>
      <c r="CL2096" s="115"/>
      <c r="CM2096" s="115"/>
      <c r="CN2096" s="115"/>
      <c r="CO2096" s="115"/>
      <c r="CP2096" s="115"/>
      <c r="CQ2096" s="115"/>
      <c r="CR2096" s="115"/>
      <c r="CS2096" s="115"/>
      <c r="CT2096" s="115"/>
      <c r="CU2096" s="115"/>
      <c r="CV2096" s="115"/>
      <c r="CW2096" s="115"/>
      <c r="CX2096" s="115"/>
      <c r="CY2096" s="115"/>
      <c r="CZ2096" s="115"/>
      <c r="DA2096" s="115"/>
      <c r="DB2096" s="115"/>
      <c r="DC2096" s="115"/>
      <c r="DD2096" s="115"/>
      <c r="DE2096" s="115"/>
      <c r="DF2096" s="115"/>
      <c r="DG2096" s="115"/>
    </row>
    <row r="2097" spans="55:111" hidden="1">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c r="BY2097" s="115"/>
      <c r="BZ2097" s="115"/>
      <c r="CA2097" s="115"/>
      <c r="CB2097" s="115"/>
      <c r="CC2097" s="115"/>
      <c r="CD2097" s="115"/>
      <c r="CE2097" s="115"/>
      <c r="CF2097" s="115"/>
      <c r="CG2097" s="115"/>
      <c r="CH2097" s="115"/>
      <c r="CI2097" s="115"/>
      <c r="CJ2097" s="115"/>
      <c r="CK2097" s="115"/>
      <c r="CL2097" s="115"/>
      <c r="CM2097" s="115"/>
      <c r="CN2097" s="115"/>
      <c r="CO2097" s="115"/>
      <c r="CP2097" s="115"/>
      <c r="CQ2097" s="115"/>
      <c r="CR2097" s="115"/>
      <c r="CS2097" s="115"/>
      <c r="CT2097" s="115"/>
      <c r="CU2097" s="115"/>
      <c r="CV2097" s="115"/>
      <c r="CW2097" s="115"/>
      <c r="CX2097" s="115"/>
      <c r="CY2097" s="115"/>
      <c r="CZ2097" s="115"/>
      <c r="DA2097" s="115"/>
      <c r="DB2097" s="115"/>
      <c r="DC2097" s="115"/>
      <c r="DD2097" s="115"/>
      <c r="DE2097" s="115"/>
      <c r="DF2097" s="115"/>
      <c r="DG2097" s="115"/>
    </row>
    <row r="2098" spans="55:111" hidden="1">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c r="BY2098" s="115"/>
      <c r="BZ2098" s="115"/>
      <c r="CA2098" s="115"/>
      <c r="CB2098" s="115"/>
      <c r="CC2098" s="115"/>
      <c r="CD2098" s="115"/>
      <c r="CE2098" s="115"/>
      <c r="CF2098" s="115"/>
      <c r="CG2098" s="115"/>
      <c r="CH2098" s="115"/>
      <c r="CI2098" s="115"/>
      <c r="CJ2098" s="115"/>
      <c r="CK2098" s="115"/>
      <c r="CL2098" s="115"/>
      <c r="CM2098" s="115"/>
      <c r="CN2098" s="115"/>
      <c r="CO2098" s="115"/>
      <c r="CP2098" s="115"/>
      <c r="CQ2098" s="115"/>
      <c r="CR2098" s="115"/>
      <c r="CS2098" s="115"/>
      <c r="CT2098" s="115"/>
      <c r="CU2098" s="115"/>
      <c r="CV2098" s="115"/>
      <c r="CW2098" s="115"/>
      <c r="CX2098" s="115"/>
      <c r="CY2098" s="115"/>
      <c r="CZ2098" s="115"/>
      <c r="DA2098" s="115"/>
      <c r="DB2098" s="115"/>
      <c r="DC2098" s="115"/>
      <c r="DD2098" s="115"/>
      <c r="DE2098" s="115"/>
      <c r="DF2098" s="115"/>
      <c r="DG2098" s="115"/>
    </row>
    <row r="2099" spans="55:111" hidden="1">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c r="BY2099" s="115"/>
      <c r="BZ2099" s="115"/>
      <c r="CA2099" s="115"/>
      <c r="CB2099" s="115"/>
      <c r="CC2099" s="115"/>
      <c r="CD2099" s="115"/>
      <c r="CE2099" s="115"/>
      <c r="CF2099" s="115"/>
      <c r="CG2099" s="115"/>
      <c r="CH2099" s="115"/>
      <c r="CI2099" s="115"/>
      <c r="CJ2099" s="115"/>
      <c r="CK2099" s="115"/>
      <c r="CL2099" s="115"/>
      <c r="CM2099" s="115"/>
      <c r="CN2099" s="115"/>
      <c r="CO2099" s="115"/>
      <c r="CP2099" s="115"/>
      <c r="CQ2099" s="115"/>
      <c r="CR2099" s="115"/>
      <c r="CS2099" s="115"/>
      <c r="CT2099" s="115"/>
      <c r="CU2099" s="115"/>
      <c r="CV2099" s="115"/>
      <c r="CW2099" s="115"/>
      <c r="CX2099" s="115"/>
      <c r="CY2099" s="115"/>
      <c r="CZ2099" s="115"/>
      <c r="DA2099" s="115"/>
      <c r="DB2099" s="115"/>
      <c r="DC2099" s="115"/>
      <c r="DD2099" s="115"/>
      <c r="DE2099" s="115"/>
      <c r="DF2099" s="115"/>
      <c r="DG2099" s="115"/>
    </row>
    <row r="2100" spans="55:111" hidden="1">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c r="BY2100" s="115"/>
      <c r="BZ2100" s="115"/>
      <c r="CA2100" s="115"/>
      <c r="CB2100" s="115"/>
      <c r="CC2100" s="115"/>
      <c r="CD2100" s="115"/>
      <c r="CE2100" s="115"/>
      <c r="CF2100" s="115"/>
      <c r="CG2100" s="115"/>
      <c r="CH2100" s="115"/>
      <c r="CI2100" s="115"/>
      <c r="CJ2100" s="115"/>
      <c r="CK2100" s="115"/>
      <c r="CL2100" s="115"/>
      <c r="CM2100" s="115"/>
      <c r="CN2100" s="115"/>
      <c r="CO2100" s="115"/>
      <c r="CP2100" s="115"/>
      <c r="CQ2100" s="115"/>
      <c r="CR2100" s="115"/>
      <c r="CS2100" s="115"/>
      <c r="CT2100" s="115"/>
      <c r="CU2100" s="115"/>
      <c r="CV2100" s="115"/>
      <c r="CW2100" s="115"/>
      <c r="CX2100" s="115"/>
      <c r="CY2100" s="115"/>
      <c r="CZ2100" s="115"/>
      <c r="DA2100" s="115"/>
      <c r="DB2100" s="115"/>
      <c r="DC2100" s="115"/>
      <c r="DD2100" s="115"/>
      <c r="DE2100" s="115"/>
      <c r="DF2100" s="115"/>
      <c r="DG2100" s="115"/>
    </row>
    <row r="2101" spans="55:111" hidden="1">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c r="BY2101" s="115"/>
      <c r="BZ2101" s="115"/>
      <c r="CA2101" s="115"/>
      <c r="CB2101" s="115"/>
      <c r="CC2101" s="115"/>
      <c r="CD2101" s="115"/>
      <c r="CE2101" s="115"/>
      <c r="CF2101" s="115"/>
      <c r="CG2101" s="115"/>
      <c r="CH2101" s="115"/>
      <c r="CI2101" s="115"/>
      <c r="CJ2101" s="115"/>
      <c r="CK2101" s="115"/>
      <c r="CL2101" s="115"/>
      <c r="CM2101" s="115"/>
      <c r="CN2101" s="115"/>
      <c r="CO2101" s="115"/>
      <c r="CP2101" s="115"/>
      <c r="CQ2101" s="115"/>
      <c r="CR2101" s="115"/>
      <c r="CS2101" s="115"/>
      <c r="CT2101" s="115"/>
      <c r="CU2101" s="115"/>
      <c r="CV2101" s="115"/>
      <c r="CW2101" s="115"/>
      <c r="CX2101" s="115"/>
      <c r="CY2101" s="115"/>
      <c r="CZ2101" s="115"/>
      <c r="DA2101" s="115"/>
      <c r="DB2101" s="115"/>
      <c r="DC2101" s="115"/>
      <c r="DD2101" s="115"/>
      <c r="DE2101" s="115"/>
      <c r="DF2101" s="115"/>
      <c r="DG2101" s="115"/>
    </row>
    <row r="2102" spans="55:111" hidden="1">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c r="BY2102" s="115"/>
      <c r="BZ2102" s="115"/>
      <c r="CA2102" s="115"/>
      <c r="CB2102" s="115"/>
      <c r="CC2102" s="115"/>
      <c r="CD2102" s="115"/>
      <c r="CE2102" s="115"/>
      <c r="CF2102" s="115"/>
      <c r="CG2102" s="115"/>
      <c r="CH2102" s="115"/>
      <c r="CI2102" s="115"/>
      <c r="CJ2102" s="115"/>
      <c r="CK2102" s="115"/>
      <c r="CL2102" s="115"/>
      <c r="CM2102" s="115"/>
      <c r="CN2102" s="115"/>
      <c r="CO2102" s="115"/>
      <c r="CP2102" s="115"/>
      <c r="CQ2102" s="115"/>
      <c r="CR2102" s="115"/>
      <c r="CS2102" s="115"/>
      <c r="CT2102" s="115"/>
      <c r="CU2102" s="115"/>
      <c r="CV2102" s="115"/>
      <c r="CW2102" s="115"/>
      <c r="CX2102" s="115"/>
      <c r="CY2102" s="115"/>
      <c r="CZ2102" s="115"/>
      <c r="DA2102" s="115"/>
      <c r="DB2102" s="115"/>
      <c r="DC2102" s="115"/>
      <c r="DD2102" s="115"/>
      <c r="DE2102" s="115"/>
      <c r="DF2102" s="115"/>
      <c r="DG2102" s="115"/>
    </row>
    <row r="2103" spans="55:111" hidden="1">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c r="BY2103" s="115"/>
      <c r="BZ2103" s="115"/>
      <c r="CA2103" s="115"/>
      <c r="CB2103" s="115"/>
      <c r="CC2103" s="115"/>
      <c r="CD2103" s="115"/>
      <c r="CE2103" s="115"/>
      <c r="CF2103" s="115"/>
      <c r="CG2103" s="115"/>
      <c r="CH2103" s="115"/>
      <c r="CI2103" s="115"/>
      <c r="CJ2103" s="115"/>
      <c r="CK2103" s="115"/>
      <c r="CL2103" s="115"/>
      <c r="CM2103" s="115"/>
      <c r="CN2103" s="115"/>
      <c r="CO2103" s="115"/>
      <c r="CP2103" s="115"/>
      <c r="CQ2103" s="115"/>
      <c r="CR2103" s="115"/>
      <c r="CS2103" s="115"/>
      <c r="CT2103" s="115"/>
      <c r="CU2103" s="115"/>
      <c r="CV2103" s="115"/>
      <c r="CW2103" s="115"/>
      <c r="CX2103" s="115"/>
      <c r="CY2103" s="115"/>
      <c r="CZ2103" s="115"/>
      <c r="DA2103" s="115"/>
      <c r="DB2103" s="115"/>
      <c r="DC2103" s="115"/>
      <c r="DD2103" s="115"/>
      <c r="DE2103" s="115"/>
      <c r="DF2103" s="115"/>
      <c r="DG2103" s="115"/>
    </row>
    <row r="2104" spans="55:111" hidden="1">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c r="BY2104" s="115"/>
      <c r="BZ2104" s="115"/>
      <c r="CA2104" s="115"/>
      <c r="CB2104" s="115"/>
      <c r="CC2104" s="115"/>
      <c r="CD2104" s="115"/>
      <c r="CE2104" s="115"/>
      <c r="CF2104" s="115"/>
      <c r="CG2104" s="115"/>
      <c r="CH2104" s="115"/>
      <c r="CI2104" s="115"/>
      <c r="CJ2104" s="115"/>
      <c r="CK2104" s="115"/>
      <c r="CL2104" s="115"/>
      <c r="CM2104" s="115"/>
      <c r="CN2104" s="115"/>
      <c r="CO2104" s="115"/>
      <c r="CP2104" s="115"/>
      <c r="CQ2104" s="115"/>
      <c r="CR2104" s="115"/>
      <c r="CS2104" s="115"/>
      <c r="CT2104" s="115"/>
      <c r="CU2104" s="115"/>
      <c r="CV2104" s="115"/>
      <c r="CW2104" s="115"/>
      <c r="CX2104" s="115"/>
      <c r="CY2104" s="115"/>
      <c r="CZ2104" s="115"/>
      <c r="DA2104" s="115"/>
      <c r="DB2104" s="115"/>
      <c r="DC2104" s="115"/>
      <c r="DD2104" s="115"/>
      <c r="DE2104" s="115"/>
      <c r="DF2104" s="115"/>
      <c r="DG2104" s="115"/>
    </row>
    <row r="2105" spans="55:111" hidden="1">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c r="BY2105" s="115"/>
      <c r="BZ2105" s="115"/>
      <c r="CA2105" s="115"/>
      <c r="CB2105" s="115"/>
      <c r="CC2105" s="115"/>
      <c r="CD2105" s="115"/>
      <c r="CE2105" s="115"/>
      <c r="CF2105" s="115"/>
      <c r="CG2105" s="115"/>
      <c r="CH2105" s="115"/>
      <c r="CI2105" s="115"/>
      <c r="CJ2105" s="115"/>
      <c r="CK2105" s="115"/>
      <c r="CL2105" s="115"/>
      <c r="CM2105" s="115"/>
      <c r="CN2105" s="115"/>
      <c r="CO2105" s="115"/>
      <c r="CP2105" s="115"/>
      <c r="CQ2105" s="115"/>
      <c r="CR2105" s="115"/>
      <c r="CS2105" s="115"/>
      <c r="CT2105" s="115"/>
      <c r="CU2105" s="115"/>
      <c r="CV2105" s="115"/>
      <c r="CW2105" s="115"/>
      <c r="CX2105" s="115"/>
      <c r="CY2105" s="115"/>
      <c r="CZ2105" s="115"/>
      <c r="DA2105" s="115"/>
      <c r="DB2105" s="115"/>
      <c r="DC2105" s="115"/>
      <c r="DD2105" s="115"/>
      <c r="DE2105" s="115"/>
      <c r="DF2105" s="115"/>
      <c r="DG2105" s="115"/>
    </row>
    <row r="2106" spans="55:111" hidden="1">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c r="BY2106" s="115"/>
      <c r="BZ2106" s="115"/>
      <c r="CA2106" s="115"/>
      <c r="CB2106" s="115"/>
      <c r="CC2106" s="115"/>
      <c r="CD2106" s="115"/>
      <c r="CE2106" s="115"/>
      <c r="CF2106" s="115"/>
      <c r="CG2106" s="115"/>
      <c r="CH2106" s="115"/>
      <c r="CI2106" s="115"/>
      <c r="CJ2106" s="115"/>
      <c r="CK2106" s="115"/>
      <c r="CL2106" s="115"/>
      <c r="CM2106" s="115"/>
      <c r="CN2106" s="115"/>
      <c r="CO2106" s="115"/>
      <c r="CP2106" s="115"/>
      <c r="CQ2106" s="115"/>
      <c r="CR2106" s="115"/>
      <c r="CS2106" s="115"/>
      <c r="CT2106" s="115"/>
      <c r="CU2106" s="115"/>
      <c r="CV2106" s="115"/>
      <c r="CW2106" s="115"/>
      <c r="CX2106" s="115"/>
      <c r="CY2106" s="115"/>
      <c r="CZ2106" s="115"/>
      <c r="DA2106" s="115"/>
      <c r="DB2106" s="115"/>
      <c r="DC2106" s="115"/>
      <c r="DD2106" s="115"/>
      <c r="DE2106" s="115"/>
      <c r="DF2106" s="115"/>
      <c r="DG2106" s="115"/>
    </row>
    <row r="2107" spans="55:111" hidden="1">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c r="BY2107" s="115"/>
      <c r="BZ2107" s="115"/>
      <c r="CA2107" s="115"/>
      <c r="CB2107" s="115"/>
      <c r="CC2107" s="115"/>
      <c r="CD2107" s="115"/>
      <c r="CE2107" s="115"/>
      <c r="CF2107" s="115"/>
      <c r="CG2107" s="115"/>
      <c r="CH2107" s="115"/>
      <c r="CI2107" s="115"/>
      <c r="CJ2107" s="115"/>
      <c r="CK2107" s="115"/>
      <c r="CL2107" s="115"/>
      <c r="CM2107" s="115"/>
      <c r="CN2107" s="115"/>
      <c r="CO2107" s="115"/>
      <c r="CP2107" s="115"/>
      <c r="CQ2107" s="115"/>
      <c r="CR2107" s="115"/>
      <c r="CS2107" s="115"/>
      <c r="CT2107" s="115"/>
      <c r="CU2107" s="115"/>
      <c r="CV2107" s="115"/>
      <c r="CW2107" s="115"/>
      <c r="CX2107" s="115"/>
      <c r="CY2107" s="115"/>
      <c r="CZ2107" s="115"/>
      <c r="DA2107" s="115"/>
      <c r="DB2107" s="115"/>
      <c r="DC2107" s="115"/>
      <c r="DD2107" s="115"/>
      <c r="DE2107" s="115"/>
      <c r="DF2107" s="115"/>
      <c r="DG2107" s="115"/>
    </row>
    <row r="2108" spans="55:111" hidden="1">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c r="BY2108" s="115"/>
      <c r="BZ2108" s="115"/>
      <c r="CA2108" s="115"/>
      <c r="CB2108" s="115"/>
      <c r="CC2108" s="115"/>
      <c r="CD2108" s="115"/>
      <c r="CE2108" s="115"/>
      <c r="CF2108" s="115"/>
      <c r="CG2108" s="115"/>
      <c r="CH2108" s="115"/>
      <c r="CI2108" s="115"/>
      <c r="CJ2108" s="115"/>
      <c r="CK2108" s="115"/>
      <c r="CL2108" s="115"/>
      <c r="CM2108" s="115"/>
      <c r="CN2108" s="115"/>
      <c r="CO2108" s="115"/>
      <c r="CP2108" s="115"/>
      <c r="CQ2108" s="115"/>
      <c r="CR2108" s="115"/>
      <c r="CS2108" s="115"/>
      <c r="CT2108" s="115"/>
      <c r="CU2108" s="115"/>
      <c r="CV2108" s="115"/>
      <c r="CW2108" s="115"/>
      <c r="CX2108" s="115"/>
      <c r="CY2108" s="115"/>
      <c r="CZ2108" s="115"/>
      <c r="DA2108" s="115"/>
      <c r="DB2108" s="115"/>
      <c r="DC2108" s="115"/>
      <c r="DD2108" s="115"/>
      <c r="DE2108" s="115"/>
      <c r="DF2108" s="115"/>
      <c r="DG2108" s="115"/>
    </row>
    <row r="2109" spans="55:111" hidden="1">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c r="BY2109" s="115"/>
      <c r="BZ2109" s="115"/>
      <c r="CA2109" s="115"/>
      <c r="CB2109" s="115"/>
      <c r="CC2109" s="115"/>
      <c r="CD2109" s="115"/>
      <c r="CE2109" s="115"/>
      <c r="CF2109" s="115"/>
      <c r="CG2109" s="115"/>
      <c r="CH2109" s="115"/>
      <c r="CI2109" s="115"/>
      <c r="CJ2109" s="115"/>
      <c r="CK2109" s="115"/>
      <c r="CL2109" s="115"/>
      <c r="CM2109" s="115"/>
      <c r="CN2109" s="115"/>
      <c r="CO2109" s="115"/>
      <c r="CP2109" s="115"/>
      <c r="CQ2109" s="115"/>
      <c r="CR2109" s="115"/>
      <c r="CS2109" s="115"/>
      <c r="CT2109" s="115"/>
      <c r="CU2109" s="115"/>
      <c r="CV2109" s="115"/>
      <c r="CW2109" s="115"/>
      <c r="CX2109" s="115"/>
      <c r="CY2109" s="115"/>
      <c r="CZ2109" s="115"/>
      <c r="DA2109" s="115"/>
      <c r="DB2109" s="115"/>
      <c r="DC2109" s="115"/>
      <c r="DD2109" s="115"/>
      <c r="DE2109" s="115"/>
      <c r="DF2109" s="115"/>
      <c r="DG2109" s="115"/>
    </row>
    <row r="2110" spans="55:111" hidden="1">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c r="BY2110" s="115"/>
      <c r="BZ2110" s="115"/>
      <c r="CA2110" s="115"/>
      <c r="CB2110" s="115"/>
      <c r="CC2110" s="115"/>
      <c r="CD2110" s="115"/>
      <c r="CE2110" s="115"/>
      <c r="CF2110" s="115"/>
      <c r="CG2110" s="115"/>
      <c r="CH2110" s="115"/>
      <c r="CI2110" s="115"/>
      <c r="CJ2110" s="115"/>
      <c r="CK2110" s="115"/>
      <c r="CL2110" s="115"/>
      <c r="CM2110" s="115"/>
      <c r="CN2110" s="115"/>
      <c r="CO2110" s="115"/>
      <c r="CP2110" s="115"/>
      <c r="CQ2110" s="115"/>
      <c r="CR2110" s="115"/>
      <c r="CS2110" s="115"/>
      <c r="CT2110" s="115"/>
      <c r="CU2110" s="115"/>
      <c r="CV2110" s="115"/>
      <c r="CW2110" s="115"/>
      <c r="CX2110" s="115"/>
      <c r="CY2110" s="115"/>
      <c r="CZ2110" s="115"/>
      <c r="DA2110" s="115"/>
      <c r="DB2110" s="115"/>
      <c r="DC2110" s="115"/>
      <c r="DD2110" s="115"/>
      <c r="DE2110" s="115"/>
      <c r="DF2110" s="115"/>
      <c r="DG2110" s="115"/>
    </row>
    <row r="2111" spans="55:111" hidden="1">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c r="BY2111" s="115"/>
      <c r="BZ2111" s="115"/>
      <c r="CA2111" s="115"/>
      <c r="CB2111" s="115"/>
      <c r="CC2111" s="115"/>
      <c r="CD2111" s="115"/>
      <c r="CE2111" s="115"/>
      <c r="CF2111" s="115"/>
      <c r="CG2111" s="115"/>
      <c r="CH2111" s="115"/>
      <c r="CI2111" s="115"/>
      <c r="CJ2111" s="115"/>
      <c r="CK2111" s="115"/>
      <c r="CL2111" s="115"/>
      <c r="CM2111" s="115"/>
      <c r="CN2111" s="115"/>
      <c r="CO2111" s="115"/>
      <c r="CP2111" s="115"/>
      <c r="CQ2111" s="115"/>
      <c r="CR2111" s="115"/>
      <c r="CS2111" s="115"/>
      <c r="CT2111" s="115"/>
      <c r="CU2111" s="115"/>
      <c r="CV2111" s="115"/>
      <c r="CW2111" s="115"/>
      <c r="CX2111" s="115"/>
      <c r="CY2111" s="115"/>
      <c r="CZ2111" s="115"/>
      <c r="DA2111" s="115"/>
      <c r="DB2111" s="115"/>
      <c r="DC2111" s="115"/>
      <c r="DD2111" s="115"/>
      <c r="DE2111" s="115"/>
      <c r="DF2111" s="115"/>
      <c r="DG2111" s="115"/>
    </row>
    <row r="2112" spans="55:111" hidden="1">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c r="BY2112" s="115"/>
      <c r="BZ2112" s="115"/>
      <c r="CA2112" s="115"/>
      <c r="CB2112" s="115"/>
      <c r="CC2112" s="115"/>
      <c r="CD2112" s="115"/>
      <c r="CE2112" s="115"/>
      <c r="CF2112" s="115"/>
      <c r="CG2112" s="115"/>
      <c r="CH2112" s="115"/>
      <c r="CI2112" s="115"/>
      <c r="CJ2112" s="115"/>
      <c r="CK2112" s="115"/>
      <c r="CL2112" s="115"/>
      <c r="CM2112" s="115"/>
      <c r="CN2112" s="115"/>
      <c r="CO2112" s="115"/>
      <c r="CP2112" s="115"/>
      <c r="CQ2112" s="115"/>
      <c r="CR2112" s="115"/>
      <c r="CS2112" s="115"/>
      <c r="CT2112" s="115"/>
      <c r="CU2112" s="115"/>
      <c r="CV2112" s="115"/>
      <c r="CW2112" s="115"/>
      <c r="CX2112" s="115"/>
      <c r="CY2112" s="115"/>
      <c r="CZ2112" s="115"/>
      <c r="DA2112" s="115"/>
      <c r="DB2112" s="115"/>
      <c r="DC2112" s="115"/>
      <c r="DD2112" s="115"/>
      <c r="DE2112" s="115"/>
      <c r="DF2112" s="115"/>
      <c r="DG2112" s="115"/>
    </row>
    <row r="2113" spans="55:111" hidden="1">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c r="BY2113" s="115"/>
      <c r="BZ2113" s="115"/>
      <c r="CA2113" s="115"/>
      <c r="CB2113" s="115"/>
      <c r="CC2113" s="115"/>
      <c r="CD2113" s="115"/>
      <c r="CE2113" s="115"/>
      <c r="CF2113" s="115"/>
      <c r="CG2113" s="115"/>
      <c r="CH2113" s="115"/>
      <c r="CI2113" s="115"/>
      <c r="CJ2113" s="115"/>
      <c r="CK2113" s="115"/>
      <c r="CL2113" s="115"/>
      <c r="CM2113" s="115"/>
      <c r="CN2113" s="115"/>
      <c r="CO2113" s="115"/>
      <c r="CP2113" s="115"/>
      <c r="CQ2113" s="115"/>
      <c r="CR2113" s="115"/>
      <c r="CS2113" s="115"/>
      <c r="CT2113" s="115"/>
      <c r="CU2113" s="115"/>
      <c r="CV2113" s="115"/>
      <c r="CW2113" s="115"/>
      <c r="CX2113" s="115"/>
      <c r="CY2113" s="115"/>
      <c r="CZ2113" s="115"/>
      <c r="DA2113" s="115"/>
      <c r="DB2113" s="115"/>
      <c r="DC2113" s="115"/>
      <c r="DD2113" s="115"/>
      <c r="DE2113" s="115"/>
      <c r="DF2113" s="115"/>
      <c r="DG2113" s="115"/>
    </row>
    <row r="2114" spans="55:111" hidden="1">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c r="BY2114" s="115"/>
      <c r="BZ2114" s="115"/>
      <c r="CA2114" s="115"/>
      <c r="CB2114" s="115"/>
      <c r="CC2114" s="115"/>
      <c r="CD2114" s="115"/>
      <c r="CE2114" s="115"/>
      <c r="CF2114" s="115"/>
      <c r="CG2114" s="115"/>
      <c r="CH2114" s="115"/>
      <c r="CI2114" s="115"/>
      <c r="CJ2114" s="115"/>
      <c r="CK2114" s="115"/>
      <c r="CL2114" s="115"/>
      <c r="CM2114" s="115"/>
      <c r="CN2114" s="115"/>
      <c r="CO2114" s="115"/>
      <c r="CP2114" s="115"/>
      <c r="CQ2114" s="115"/>
      <c r="CR2114" s="115"/>
      <c r="CS2114" s="115"/>
      <c r="CT2114" s="115"/>
      <c r="CU2114" s="115"/>
      <c r="CV2114" s="115"/>
      <c r="CW2114" s="115"/>
      <c r="CX2114" s="115"/>
      <c r="CY2114" s="115"/>
      <c r="CZ2114" s="115"/>
      <c r="DA2114" s="115"/>
      <c r="DB2114" s="115"/>
      <c r="DC2114" s="115"/>
      <c r="DD2114" s="115"/>
      <c r="DE2114" s="115"/>
      <c r="DF2114" s="115"/>
      <c r="DG2114" s="115"/>
    </row>
    <row r="2115" spans="55:111" hidden="1">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c r="BY2115" s="115"/>
      <c r="BZ2115" s="115"/>
      <c r="CA2115" s="115"/>
      <c r="CB2115" s="115"/>
      <c r="CC2115" s="115"/>
      <c r="CD2115" s="115"/>
      <c r="CE2115" s="115"/>
      <c r="CF2115" s="115"/>
      <c r="CG2115" s="115"/>
      <c r="CH2115" s="115"/>
      <c r="CI2115" s="115"/>
      <c r="CJ2115" s="115"/>
      <c r="CK2115" s="115"/>
      <c r="CL2115" s="115"/>
      <c r="CM2115" s="115"/>
      <c r="CN2115" s="115"/>
      <c r="CO2115" s="115"/>
      <c r="CP2115" s="115"/>
      <c r="CQ2115" s="115"/>
      <c r="CR2115" s="115"/>
      <c r="CS2115" s="115"/>
      <c r="CT2115" s="115"/>
      <c r="CU2115" s="115"/>
      <c r="CV2115" s="115"/>
      <c r="CW2115" s="115"/>
      <c r="CX2115" s="115"/>
      <c r="CY2115" s="115"/>
      <c r="CZ2115" s="115"/>
      <c r="DA2115" s="115"/>
      <c r="DB2115" s="115"/>
      <c r="DC2115" s="115"/>
      <c r="DD2115" s="115"/>
      <c r="DE2115" s="115"/>
      <c r="DF2115" s="115"/>
      <c r="DG2115" s="115"/>
    </row>
    <row r="2116" spans="55:111" hidden="1">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c r="BY2116" s="115"/>
      <c r="BZ2116" s="115"/>
      <c r="CA2116" s="115"/>
      <c r="CB2116" s="115"/>
      <c r="CC2116" s="115"/>
      <c r="CD2116" s="115"/>
      <c r="CE2116" s="115"/>
      <c r="CF2116" s="115"/>
      <c r="CG2116" s="115"/>
      <c r="CH2116" s="115"/>
      <c r="CI2116" s="115"/>
      <c r="CJ2116" s="115"/>
      <c r="CK2116" s="115"/>
      <c r="CL2116" s="115"/>
      <c r="CM2116" s="115"/>
      <c r="CN2116" s="115"/>
      <c r="CO2116" s="115"/>
      <c r="CP2116" s="115"/>
      <c r="CQ2116" s="115"/>
      <c r="CR2116" s="115"/>
      <c r="CS2116" s="115"/>
      <c r="CT2116" s="115"/>
      <c r="CU2116" s="115"/>
      <c r="CV2116" s="115"/>
      <c r="CW2116" s="115"/>
      <c r="CX2116" s="115"/>
      <c r="CY2116" s="115"/>
      <c r="CZ2116" s="115"/>
      <c r="DA2116" s="115"/>
      <c r="DB2116" s="115"/>
      <c r="DC2116" s="115"/>
      <c r="DD2116" s="115"/>
      <c r="DE2116" s="115"/>
      <c r="DF2116" s="115"/>
      <c r="DG2116" s="115"/>
    </row>
    <row r="2117" spans="55:111" hidden="1">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c r="BY2117" s="115"/>
      <c r="BZ2117" s="115"/>
      <c r="CA2117" s="115"/>
      <c r="CB2117" s="115"/>
      <c r="CC2117" s="115"/>
      <c r="CD2117" s="115"/>
      <c r="CE2117" s="115"/>
      <c r="CF2117" s="115"/>
      <c r="CG2117" s="115"/>
      <c r="CH2117" s="115"/>
      <c r="CI2117" s="115"/>
      <c r="CJ2117" s="115"/>
      <c r="CK2117" s="115"/>
      <c r="CL2117" s="115"/>
      <c r="CM2117" s="115"/>
      <c r="CN2117" s="115"/>
      <c r="CO2117" s="115"/>
      <c r="CP2117" s="115"/>
      <c r="CQ2117" s="115"/>
      <c r="CR2117" s="115"/>
      <c r="CS2117" s="115"/>
      <c r="CT2117" s="115"/>
      <c r="CU2117" s="115"/>
      <c r="CV2117" s="115"/>
      <c r="CW2117" s="115"/>
      <c r="CX2117" s="115"/>
      <c r="CY2117" s="115"/>
      <c r="CZ2117" s="115"/>
      <c r="DA2117" s="115"/>
      <c r="DB2117" s="115"/>
      <c r="DC2117" s="115"/>
      <c r="DD2117" s="115"/>
      <c r="DE2117" s="115"/>
      <c r="DF2117" s="115"/>
      <c r="DG2117" s="115"/>
    </row>
    <row r="2118" spans="55:111" hidden="1">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c r="BY2118" s="115"/>
      <c r="BZ2118" s="115"/>
      <c r="CA2118" s="115"/>
      <c r="CB2118" s="115"/>
      <c r="CC2118" s="115"/>
      <c r="CD2118" s="115"/>
      <c r="CE2118" s="115"/>
      <c r="CF2118" s="115"/>
      <c r="CG2118" s="115"/>
      <c r="CH2118" s="115"/>
      <c r="CI2118" s="115"/>
      <c r="CJ2118" s="115"/>
      <c r="CK2118" s="115"/>
      <c r="CL2118" s="115"/>
      <c r="CM2118" s="115"/>
      <c r="CN2118" s="115"/>
      <c r="CO2118" s="115"/>
      <c r="CP2118" s="115"/>
      <c r="CQ2118" s="115"/>
      <c r="CR2118" s="115"/>
      <c r="CS2118" s="115"/>
      <c r="CT2118" s="115"/>
      <c r="CU2118" s="115"/>
      <c r="CV2118" s="115"/>
      <c r="CW2118" s="115"/>
      <c r="CX2118" s="115"/>
      <c r="CY2118" s="115"/>
      <c r="CZ2118" s="115"/>
      <c r="DA2118" s="115"/>
      <c r="DB2118" s="115"/>
      <c r="DC2118" s="115"/>
      <c r="DD2118" s="115"/>
      <c r="DE2118" s="115"/>
      <c r="DF2118" s="115"/>
      <c r="DG2118" s="115"/>
    </row>
    <row r="2119" spans="55:111" hidden="1">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c r="BY2119" s="115"/>
      <c r="BZ2119" s="115"/>
      <c r="CA2119" s="115"/>
      <c r="CB2119" s="115"/>
      <c r="CC2119" s="115"/>
      <c r="CD2119" s="115"/>
      <c r="CE2119" s="115"/>
      <c r="CF2119" s="115"/>
      <c r="CG2119" s="115"/>
      <c r="CH2119" s="115"/>
      <c r="CI2119" s="115"/>
      <c r="CJ2119" s="115"/>
      <c r="CK2119" s="115"/>
      <c r="CL2119" s="115"/>
      <c r="CM2119" s="115"/>
      <c r="CN2119" s="115"/>
      <c r="CO2119" s="115"/>
      <c r="CP2119" s="115"/>
      <c r="CQ2119" s="115"/>
      <c r="CR2119" s="115"/>
      <c r="CS2119" s="115"/>
      <c r="CT2119" s="115"/>
      <c r="CU2119" s="115"/>
      <c r="CV2119" s="115"/>
      <c r="CW2119" s="115"/>
      <c r="CX2119" s="115"/>
      <c r="CY2119" s="115"/>
      <c r="CZ2119" s="115"/>
      <c r="DA2119" s="115"/>
      <c r="DB2119" s="115"/>
      <c r="DC2119" s="115"/>
      <c r="DD2119" s="115"/>
      <c r="DE2119" s="115"/>
      <c r="DF2119" s="115"/>
      <c r="DG2119" s="115"/>
    </row>
    <row r="2120" spans="55:111" hidden="1">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c r="BY2120" s="115"/>
      <c r="BZ2120" s="115"/>
      <c r="CA2120" s="115"/>
      <c r="CB2120" s="115"/>
      <c r="CC2120" s="115"/>
      <c r="CD2120" s="115"/>
      <c r="CE2120" s="115"/>
      <c r="CF2120" s="115"/>
      <c r="CG2120" s="115"/>
      <c r="CH2120" s="115"/>
      <c r="CI2120" s="115"/>
      <c r="CJ2120" s="115"/>
      <c r="CK2120" s="115"/>
      <c r="CL2120" s="115"/>
      <c r="CM2120" s="115"/>
      <c r="CN2120" s="115"/>
      <c r="CO2120" s="115"/>
      <c r="CP2120" s="115"/>
      <c r="CQ2120" s="115"/>
      <c r="CR2120" s="115"/>
      <c r="CS2120" s="115"/>
      <c r="CT2120" s="115"/>
      <c r="CU2120" s="115"/>
      <c r="CV2120" s="115"/>
      <c r="CW2120" s="115"/>
      <c r="CX2120" s="115"/>
      <c r="CY2120" s="115"/>
      <c r="CZ2120" s="115"/>
      <c r="DA2120" s="115"/>
      <c r="DB2120" s="115"/>
      <c r="DC2120" s="115"/>
      <c r="DD2120" s="115"/>
      <c r="DE2120" s="115"/>
      <c r="DF2120" s="115"/>
      <c r="DG2120" s="115"/>
    </row>
    <row r="2121" spans="55:111" hidden="1">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c r="BY2121" s="115"/>
      <c r="BZ2121" s="115"/>
      <c r="CA2121" s="115"/>
      <c r="CB2121" s="115"/>
      <c r="CC2121" s="115"/>
      <c r="CD2121" s="115"/>
      <c r="CE2121" s="115"/>
      <c r="CF2121" s="115"/>
      <c r="CG2121" s="115"/>
      <c r="CH2121" s="115"/>
      <c r="CI2121" s="115"/>
      <c r="CJ2121" s="115"/>
      <c r="CK2121" s="115"/>
      <c r="CL2121" s="115"/>
      <c r="CM2121" s="115"/>
      <c r="CN2121" s="115"/>
      <c r="CO2121" s="115"/>
      <c r="CP2121" s="115"/>
      <c r="CQ2121" s="115"/>
      <c r="CR2121" s="115"/>
      <c r="CS2121" s="115"/>
      <c r="CT2121" s="115"/>
      <c r="CU2121" s="115"/>
      <c r="CV2121" s="115"/>
      <c r="CW2121" s="115"/>
      <c r="CX2121" s="115"/>
      <c r="CY2121" s="115"/>
      <c r="CZ2121" s="115"/>
      <c r="DA2121" s="115"/>
      <c r="DB2121" s="115"/>
      <c r="DC2121" s="115"/>
      <c r="DD2121" s="115"/>
      <c r="DE2121" s="115"/>
      <c r="DF2121" s="115"/>
      <c r="DG2121" s="115"/>
    </row>
    <row r="2122" spans="55:111" hidden="1">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c r="BY2122" s="115"/>
      <c r="BZ2122" s="115"/>
      <c r="CA2122" s="115"/>
      <c r="CB2122" s="115"/>
      <c r="CC2122" s="115"/>
      <c r="CD2122" s="115"/>
      <c r="CE2122" s="115"/>
      <c r="CF2122" s="115"/>
      <c r="CG2122" s="115"/>
      <c r="CH2122" s="115"/>
      <c r="CI2122" s="115"/>
      <c r="CJ2122" s="115"/>
      <c r="CK2122" s="115"/>
      <c r="CL2122" s="115"/>
      <c r="CM2122" s="115"/>
      <c r="CN2122" s="115"/>
      <c r="CO2122" s="115"/>
      <c r="CP2122" s="115"/>
      <c r="CQ2122" s="115"/>
      <c r="CR2122" s="115"/>
      <c r="CS2122" s="115"/>
      <c r="CT2122" s="115"/>
      <c r="CU2122" s="115"/>
      <c r="CV2122" s="115"/>
      <c r="CW2122" s="115"/>
      <c r="CX2122" s="115"/>
      <c r="CY2122" s="115"/>
      <c r="CZ2122" s="115"/>
      <c r="DA2122" s="115"/>
      <c r="DB2122" s="115"/>
      <c r="DC2122" s="115"/>
      <c r="DD2122" s="115"/>
      <c r="DE2122" s="115"/>
      <c r="DF2122" s="115"/>
      <c r="DG2122" s="115"/>
    </row>
    <row r="2123" spans="55:111" hidden="1">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c r="BY2123" s="115"/>
      <c r="BZ2123" s="115"/>
      <c r="CA2123" s="115"/>
      <c r="CB2123" s="115"/>
      <c r="CC2123" s="115"/>
      <c r="CD2123" s="115"/>
      <c r="CE2123" s="115"/>
      <c r="CF2123" s="115"/>
      <c r="CG2123" s="115"/>
      <c r="CH2123" s="115"/>
      <c r="CI2123" s="115"/>
      <c r="CJ2123" s="115"/>
      <c r="CK2123" s="115"/>
      <c r="CL2123" s="115"/>
      <c r="CM2123" s="115"/>
      <c r="CN2123" s="115"/>
      <c r="CO2123" s="115"/>
      <c r="CP2123" s="115"/>
      <c r="CQ2123" s="115"/>
      <c r="CR2123" s="115"/>
      <c r="CS2123" s="115"/>
      <c r="CT2123" s="115"/>
      <c r="CU2123" s="115"/>
      <c r="CV2123" s="115"/>
      <c r="CW2123" s="115"/>
      <c r="CX2123" s="115"/>
      <c r="CY2123" s="115"/>
      <c r="CZ2123" s="115"/>
      <c r="DA2123" s="115"/>
      <c r="DB2123" s="115"/>
      <c r="DC2123" s="115"/>
      <c r="DD2123" s="115"/>
      <c r="DE2123" s="115"/>
      <c r="DF2123" s="115"/>
      <c r="DG2123" s="115"/>
    </row>
    <row r="2124" spans="55:111" hidden="1">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c r="BY2124" s="115"/>
      <c r="BZ2124" s="115"/>
      <c r="CA2124" s="115"/>
      <c r="CB2124" s="115"/>
      <c r="CC2124" s="115"/>
      <c r="CD2124" s="115"/>
      <c r="CE2124" s="115"/>
      <c r="CF2124" s="115"/>
      <c r="CG2124" s="115"/>
      <c r="CH2124" s="115"/>
      <c r="CI2124" s="115"/>
      <c r="CJ2124" s="115"/>
      <c r="CK2124" s="115"/>
      <c r="CL2124" s="115"/>
      <c r="CM2124" s="115"/>
      <c r="CN2124" s="115"/>
      <c r="CO2124" s="115"/>
      <c r="CP2124" s="115"/>
      <c r="CQ2124" s="115"/>
      <c r="CR2124" s="115"/>
      <c r="CS2124" s="115"/>
      <c r="CT2124" s="115"/>
      <c r="CU2124" s="115"/>
      <c r="CV2124" s="115"/>
      <c r="CW2124" s="115"/>
      <c r="CX2124" s="115"/>
      <c r="CY2124" s="115"/>
      <c r="CZ2124" s="115"/>
      <c r="DA2124" s="115"/>
      <c r="DB2124" s="115"/>
      <c r="DC2124" s="115"/>
      <c r="DD2124" s="115"/>
      <c r="DE2124" s="115"/>
      <c r="DF2124" s="115"/>
      <c r="DG2124" s="115"/>
    </row>
    <row r="2125" spans="55:111" hidden="1">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c r="BY2125" s="115"/>
      <c r="BZ2125" s="115"/>
      <c r="CA2125" s="115"/>
      <c r="CB2125" s="115"/>
      <c r="CC2125" s="115"/>
      <c r="CD2125" s="115"/>
      <c r="CE2125" s="115"/>
      <c r="CF2125" s="115"/>
      <c r="CG2125" s="115"/>
      <c r="CH2125" s="115"/>
      <c r="CI2125" s="115"/>
      <c r="CJ2125" s="115"/>
      <c r="CK2125" s="115"/>
      <c r="CL2125" s="115"/>
      <c r="CM2125" s="115"/>
      <c r="CN2125" s="115"/>
      <c r="CO2125" s="115"/>
      <c r="CP2125" s="115"/>
      <c r="CQ2125" s="115"/>
      <c r="CR2125" s="115"/>
      <c r="CS2125" s="115"/>
      <c r="CT2125" s="115"/>
      <c r="CU2125" s="115"/>
      <c r="CV2125" s="115"/>
      <c r="CW2125" s="115"/>
      <c r="CX2125" s="115"/>
      <c r="CY2125" s="115"/>
      <c r="CZ2125" s="115"/>
      <c r="DA2125" s="115"/>
      <c r="DB2125" s="115"/>
      <c r="DC2125" s="115"/>
      <c r="DD2125" s="115"/>
      <c r="DE2125" s="115"/>
      <c r="DF2125" s="115"/>
      <c r="DG2125" s="115"/>
    </row>
    <row r="2126" spans="55:111" hidden="1">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c r="BY2126" s="115"/>
      <c r="BZ2126" s="115"/>
      <c r="CA2126" s="115"/>
      <c r="CB2126" s="115"/>
      <c r="CC2126" s="115"/>
      <c r="CD2126" s="115"/>
      <c r="CE2126" s="115"/>
      <c r="CF2126" s="115"/>
      <c r="CG2126" s="115"/>
      <c r="CH2126" s="115"/>
      <c r="CI2126" s="115"/>
      <c r="CJ2126" s="115"/>
      <c r="CK2126" s="115"/>
      <c r="CL2126" s="115"/>
      <c r="CM2126" s="115"/>
      <c r="CN2126" s="115"/>
      <c r="CO2126" s="115"/>
      <c r="CP2126" s="115"/>
      <c r="CQ2126" s="115"/>
      <c r="CR2126" s="115"/>
      <c r="CS2126" s="115"/>
      <c r="CT2126" s="115"/>
      <c r="CU2126" s="115"/>
      <c r="CV2126" s="115"/>
      <c r="CW2126" s="115"/>
      <c r="CX2126" s="115"/>
      <c r="CY2126" s="115"/>
      <c r="CZ2126" s="115"/>
      <c r="DA2126" s="115"/>
      <c r="DB2126" s="115"/>
      <c r="DC2126" s="115"/>
      <c r="DD2126" s="115"/>
      <c r="DE2126" s="115"/>
      <c r="DF2126" s="115"/>
      <c r="DG2126" s="115"/>
    </row>
    <row r="2127" spans="55:111" hidden="1">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c r="BY2127" s="115"/>
      <c r="BZ2127" s="115"/>
      <c r="CA2127" s="115"/>
      <c r="CB2127" s="115"/>
      <c r="CC2127" s="115"/>
      <c r="CD2127" s="115"/>
      <c r="CE2127" s="115"/>
      <c r="CF2127" s="115"/>
      <c r="CG2127" s="115"/>
      <c r="CH2127" s="115"/>
      <c r="CI2127" s="115"/>
      <c r="CJ2127" s="115"/>
      <c r="CK2127" s="115"/>
      <c r="CL2127" s="115"/>
      <c r="CM2127" s="115"/>
      <c r="CN2127" s="115"/>
      <c r="CO2127" s="115"/>
      <c r="CP2127" s="115"/>
      <c r="CQ2127" s="115"/>
      <c r="CR2127" s="115"/>
      <c r="CS2127" s="115"/>
      <c r="CT2127" s="115"/>
      <c r="CU2127" s="115"/>
      <c r="CV2127" s="115"/>
      <c r="CW2127" s="115"/>
      <c r="CX2127" s="115"/>
      <c r="CY2127" s="115"/>
      <c r="CZ2127" s="115"/>
      <c r="DA2127" s="115"/>
      <c r="DB2127" s="115"/>
      <c r="DC2127" s="115"/>
      <c r="DD2127" s="115"/>
      <c r="DE2127" s="115"/>
      <c r="DF2127" s="115"/>
      <c r="DG2127" s="115"/>
    </row>
    <row r="2128" spans="55:111" hidden="1">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c r="BY2128" s="115"/>
      <c r="BZ2128" s="115"/>
      <c r="CA2128" s="115"/>
      <c r="CB2128" s="115"/>
      <c r="CC2128" s="115"/>
      <c r="CD2128" s="115"/>
      <c r="CE2128" s="115"/>
      <c r="CF2128" s="115"/>
      <c r="CG2128" s="115"/>
      <c r="CH2128" s="115"/>
      <c r="CI2128" s="115"/>
      <c r="CJ2128" s="115"/>
      <c r="CK2128" s="115"/>
      <c r="CL2128" s="115"/>
      <c r="CM2128" s="115"/>
      <c r="CN2128" s="115"/>
      <c r="CO2128" s="115"/>
      <c r="CP2128" s="115"/>
      <c r="CQ2128" s="115"/>
      <c r="CR2128" s="115"/>
      <c r="CS2128" s="115"/>
      <c r="CT2128" s="115"/>
      <c r="CU2128" s="115"/>
      <c r="CV2128" s="115"/>
      <c r="CW2128" s="115"/>
      <c r="CX2128" s="115"/>
      <c r="CY2128" s="115"/>
      <c r="CZ2128" s="115"/>
      <c r="DA2128" s="115"/>
      <c r="DB2128" s="115"/>
      <c r="DC2128" s="115"/>
      <c r="DD2128" s="115"/>
      <c r="DE2128" s="115"/>
      <c r="DF2128" s="115"/>
      <c r="DG2128" s="115"/>
    </row>
    <row r="2129" spans="55:111" hidden="1">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c r="BY2129" s="115"/>
      <c r="BZ2129" s="115"/>
      <c r="CA2129" s="115"/>
      <c r="CB2129" s="115"/>
      <c r="CC2129" s="115"/>
      <c r="CD2129" s="115"/>
      <c r="CE2129" s="115"/>
      <c r="CF2129" s="115"/>
      <c r="CG2129" s="115"/>
      <c r="CH2129" s="115"/>
      <c r="CI2129" s="115"/>
      <c r="CJ2129" s="115"/>
      <c r="CK2129" s="115"/>
      <c r="CL2129" s="115"/>
      <c r="CM2129" s="115"/>
      <c r="CN2129" s="115"/>
      <c r="CO2129" s="115"/>
      <c r="CP2129" s="115"/>
      <c r="CQ2129" s="115"/>
      <c r="CR2129" s="115"/>
      <c r="CS2129" s="115"/>
      <c r="CT2129" s="115"/>
      <c r="CU2129" s="115"/>
      <c r="CV2129" s="115"/>
      <c r="CW2129" s="115"/>
      <c r="CX2129" s="115"/>
      <c r="CY2129" s="115"/>
      <c r="CZ2129" s="115"/>
      <c r="DA2129" s="115"/>
      <c r="DB2129" s="115"/>
      <c r="DC2129" s="115"/>
      <c r="DD2129" s="115"/>
      <c r="DE2129" s="115"/>
      <c r="DF2129" s="115"/>
      <c r="DG2129" s="115"/>
    </row>
    <row r="2130" spans="55:111" hidden="1">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c r="BY2130" s="115"/>
      <c r="BZ2130" s="115"/>
      <c r="CA2130" s="115"/>
      <c r="CB2130" s="115"/>
      <c r="CC2130" s="115"/>
      <c r="CD2130" s="115"/>
      <c r="CE2130" s="115"/>
      <c r="CF2130" s="115"/>
      <c r="CG2130" s="115"/>
      <c r="CH2130" s="115"/>
      <c r="CI2130" s="115"/>
      <c r="CJ2130" s="115"/>
      <c r="CK2130" s="115"/>
      <c r="CL2130" s="115"/>
      <c r="CM2130" s="115"/>
      <c r="CN2130" s="115"/>
      <c r="CO2130" s="115"/>
      <c r="CP2130" s="115"/>
      <c r="CQ2130" s="115"/>
      <c r="CR2130" s="115"/>
      <c r="CS2130" s="115"/>
      <c r="CT2130" s="115"/>
      <c r="CU2130" s="115"/>
      <c r="CV2130" s="115"/>
      <c r="CW2130" s="115"/>
      <c r="CX2130" s="115"/>
      <c r="CY2130" s="115"/>
      <c r="CZ2130" s="115"/>
      <c r="DA2130" s="115"/>
      <c r="DB2130" s="115"/>
      <c r="DC2130" s="115"/>
      <c r="DD2130" s="115"/>
      <c r="DE2130" s="115"/>
      <c r="DF2130" s="115"/>
      <c r="DG2130" s="115"/>
    </row>
    <row r="2131" spans="55:111" hidden="1">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c r="BY2131" s="115"/>
      <c r="BZ2131" s="115"/>
      <c r="CA2131" s="115"/>
      <c r="CB2131" s="115"/>
      <c r="CC2131" s="115"/>
      <c r="CD2131" s="115"/>
      <c r="CE2131" s="115"/>
      <c r="CF2131" s="115"/>
      <c r="CG2131" s="115"/>
      <c r="CH2131" s="115"/>
      <c r="CI2131" s="115"/>
      <c r="CJ2131" s="115"/>
      <c r="CK2131" s="115"/>
      <c r="CL2131" s="115"/>
      <c r="CM2131" s="115"/>
      <c r="CN2131" s="115"/>
      <c r="CO2131" s="115"/>
      <c r="CP2131" s="115"/>
      <c r="CQ2131" s="115"/>
      <c r="CR2131" s="115"/>
      <c r="CS2131" s="115"/>
      <c r="CT2131" s="115"/>
      <c r="CU2131" s="115"/>
      <c r="CV2131" s="115"/>
      <c r="CW2131" s="115"/>
      <c r="CX2131" s="115"/>
      <c r="CY2131" s="115"/>
      <c r="CZ2131" s="115"/>
      <c r="DA2131" s="115"/>
      <c r="DB2131" s="115"/>
      <c r="DC2131" s="115"/>
      <c r="DD2131" s="115"/>
      <c r="DE2131" s="115"/>
      <c r="DF2131" s="115"/>
      <c r="DG2131" s="115"/>
    </row>
    <row r="2132" spans="55:111" hidden="1">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c r="BY2132" s="115"/>
      <c r="BZ2132" s="115"/>
      <c r="CA2132" s="115"/>
      <c r="CB2132" s="115"/>
      <c r="CC2132" s="115"/>
      <c r="CD2132" s="115"/>
      <c r="CE2132" s="115"/>
      <c r="CF2132" s="115"/>
      <c r="CG2132" s="115"/>
      <c r="CH2132" s="115"/>
      <c r="CI2132" s="115"/>
      <c r="CJ2132" s="115"/>
      <c r="CK2132" s="115"/>
      <c r="CL2132" s="115"/>
      <c r="CM2132" s="115"/>
      <c r="CN2132" s="115"/>
      <c r="CO2132" s="115"/>
      <c r="CP2132" s="115"/>
      <c r="CQ2132" s="115"/>
      <c r="CR2132" s="115"/>
      <c r="CS2132" s="115"/>
      <c r="CT2132" s="115"/>
      <c r="CU2132" s="115"/>
      <c r="CV2132" s="115"/>
      <c r="CW2132" s="115"/>
      <c r="CX2132" s="115"/>
      <c r="CY2132" s="115"/>
      <c r="CZ2132" s="115"/>
      <c r="DA2132" s="115"/>
      <c r="DB2132" s="115"/>
      <c r="DC2132" s="115"/>
      <c r="DD2132" s="115"/>
      <c r="DE2132" s="115"/>
      <c r="DF2132" s="115"/>
      <c r="DG2132" s="115"/>
    </row>
    <row r="2133" spans="55:111" hidden="1">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c r="BY2133" s="115"/>
      <c r="BZ2133" s="115"/>
      <c r="CA2133" s="115"/>
      <c r="CB2133" s="115"/>
      <c r="CC2133" s="115"/>
      <c r="CD2133" s="115"/>
      <c r="CE2133" s="115"/>
      <c r="CF2133" s="115"/>
      <c r="CG2133" s="115"/>
      <c r="CH2133" s="115"/>
      <c r="CI2133" s="115"/>
      <c r="CJ2133" s="115"/>
      <c r="CK2133" s="115"/>
      <c r="CL2133" s="115"/>
      <c r="CM2133" s="115"/>
      <c r="CN2133" s="115"/>
      <c r="CO2133" s="115"/>
      <c r="CP2133" s="115"/>
      <c r="CQ2133" s="115"/>
      <c r="CR2133" s="115"/>
      <c r="CS2133" s="115"/>
      <c r="CT2133" s="115"/>
      <c r="CU2133" s="115"/>
      <c r="CV2133" s="115"/>
      <c r="CW2133" s="115"/>
      <c r="CX2133" s="115"/>
      <c r="CY2133" s="115"/>
      <c r="CZ2133" s="115"/>
      <c r="DA2133" s="115"/>
      <c r="DB2133" s="115"/>
      <c r="DC2133" s="115"/>
      <c r="DD2133" s="115"/>
      <c r="DE2133" s="115"/>
      <c r="DF2133" s="115"/>
      <c r="DG2133" s="115"/>
    </row>
    <row r="2134" spans="55:111" hidden="1">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c r="BY2134" s="115"/>
      <c r="BZ2134" s="115"/>
      <c r="CA2134" s="115"/>
      <c r="CB2134" s="115"/>
      <c r="CC2134" s="115"/>
      <c r="CD2134" s="115"/>
      <c r="CE2134" s="115"/>
      <c r="CF2134" s="115"/>
      <c r="CG2134" s="115"/>
      <c r="CH2134" s="115"/>
      <c r="CI2134" s="115"/>
      <c r="CJ2134" s="115"/>
      <c r="CK2134" s="115"/>
      <c r="CL2134" s="115"/>
      <c r="CM2134" s="115"/>
      <c r="CN2134" s="115"/>
      <c r="CO2134" s="115"/>
      <c r="CP2134" s="115"/>
      <c r="CQ2134" s="115"/>
      <c r="CR2134" s="115"/>
      <c r="CS2134" s="115"/>
      <c r="CT2134" s="115"/>
      <c r="CU2134" s="115"/>
      <c r="CV2134" s="115"/>
      <c r="CW2134" s="115"/>
      <c r="CX2134" s="115"/>
      <c r="CY2134" s="115"/>
      <c r="CZ2134" s="115"/>
      <c r="DA2134" s="115"/>
      <c r="DB2134" s="115"/>
      <c r="DC2134" s="115"/>
      <c r="DD2134" s="115"/>
      <c r="DE2134" s="115"/>
      <c r="DF2134" s="115"/>
      <c r="DG2134" s="115"/>
    </row>
    <row r="2135" spans="55:111" hidden="1">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c r="BY2135" s="115"/>
      <c r="BZ2135" s="115"/>
      <c r="CA2135" s="115"/>
      <c r="CB2135" s="115"/>
      <c r="CC2135" s="115"/>
      <c r="CD2135" s="115"/>
      <c r="CE2135" s="115"/>
      <c r="CF2135" s="115"/>
      <c r="CG2135" s="115"/>
      <c r="CH2135" s="115"/>
      <c r="CI2135" s="115"/>
      <c r="CJ2135" s="115"/>
      <c r="CK2135" s="115"/>
      <c r="CL2135" s="115"/>
      <c r="CM2135" s="115"/>
      <c r="CN2135" s="115"/>
      <c r="CO2135" s="115"/>
      <c r="CP2135" s="115"/>
      <c r="CQ2135" s="115"/>
      <c r="CR2135" s="115"/>
      <c r="CS2135" s="115"/>
      <c r="CT2135" s="115"/>
      <c r="CU2135" s="115"/>
      <c r="CV2135" s="115"/>
      <c r="CW2135" s="115"/>
      <c r="CX2135" s="115"/>
      <c r="CY2135" s="115"/>
      <c r="CZ2135" s="115"/>
      <c r="DA2135" s="115"/>
      <c r="DB2135" s="115"/>
      <c r="DC2135" s="115"/>
      <c r="DD2135" s="115"/>
      <c r="DE2135" s="115"/>
      <c r="DF2135" s="115"/>
      <c r="DG2135" s="115"/>
    </row>
    <row r="2136" spans="55:111" hidden="1">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c r="BY2136" s="115"/>
      <c r="BZ2136" s="115"/>
      <c r="CA2136" s="115"/>
      <c r="CB2136" s="115"/>
      <c r="CC2136" s="115"/>
      <c r="CD2136" s="115"/>
      <c r="CE2136" s="115"/>
      <c r="CF2136" s="115"/>
      <c r="CG2136" s="115"/>
      <c r="CH2136" s="115"/>
      <c r="CI2136" s="115"/>
      <c r="CJ2136" s="115"/>
      <c r="CK2136" s="115"/>
      <c r="CL2136" s="115"/>
      <c r="CM2136" s="115"/>
      <c r="CN2136" s="115"/>
      <c r="CO2136" s="115"/>
      <c r="CP2136" s="115"/>
      <c r="CQ2136" s="115"/>
      <c r="CR2136" s="115"/>
      <c r="CS2136" s="115"/>
      <c r="CT2136" s="115"/>
      <c r="CU2136" s="115"/>
      <c r="CV2136" s="115"/>
      <c r="CW2136" s="115"/>
      <c r="CX2136" s="115"/>
      <c r="CY2136" s="115"/>
      <c r="CZ2136" s="115"/>
      <c r="DA2136" s="115"/>
      <c r="DB2136" s="115"/>
      <c r="DC2136" s="115"/>
      <c r="DD2136" s="115"/>
      <c r="DE2136" s="115"/>
      <c r="DF2136" s="115"/>
      <c r="DG2136" s="115"/>
    </row>
    <row r="2137" spans="55:111" hidden="1">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c r="BY2137" s="115"/>
      <c r="BZ2137" s="115"/>
      <c r="CA2137" s="115"/>
      <c r="CB2137" s="115"/>
      <c r="CC2137" s="115"/>
      <c r="CD2137" s="115"/>
      <c r="CE2137" s="115"/>
      <c r="CF2137" s="115"/>
      <c r="CG2137" s="115"/>
      <c r="CH2137" s="115"/>
      <c r="CI2137" s="115"/>
      <c r="CJ2137" s="115"/>
      <c r="CK2137" s="115"/>
      <c r="CL2137" s="115"/>
      <c r="CM2137" s="115"/>
      <c r="CN2137" s="115"/>
      <c r="CO2137" s="115"/>
      <c r="CP2137" s="115"/>
      <c r="CQ2137" s="115"/>
      <c r="CR2137" s="115"/>
      <c r="CS2137" s="115"/>
      <c r="CT2137" s="115"/>
      <c r="CU2137" s="115"/>
      <c r="CV2137" s="115"/>
      <c r="CW2137" s="115"/>
      <c r="CX2137" s="115"/>
      <c r="CY2137" s="115"/>
      <c r="CZ2137" s="115"/>
      <c r="DA2137" s="115"/>
      <c r="DB2137" s="115"/>
      <c r="DC2137" s="115"/>
      <c r="DD2137" s="115"/>
      <c r="DE2137" s="115"/>
      <c r="DF2137" s="115"/>
      <c r="DG2137" s="115"/>
    </row>
    <row r="2138" spans="55:111" hidden="1">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c r="BY2138" s="115"/>
      <c r="BZ2138" s="115"/>
      <c r="CA2138" s="115"/>
      <c r="CB2138" s="115"/>
      <c r="CC2138" s="115"/>
      <c r="CD2138" s="115"/>
      <c r="CE2138" s="115"/>
      <c r="CF2138" s="115"/>
      <c r="CG2138" s="115"/>
      <c r="CH2138" s="115"/>
      <c r="CI2138" s="115"/>
      <c r="CJ2138" s="115"/>
      <c r="CK2138" s="115"/>
      <c r="CL2138" s="115"/>
      <c r="CM2138" s="115"/>
      <c r="CN2138" s="115"/>
      <c r="CO2138" s="115"/>
      <c r="CP2138" s="115"/>
      <c r="CQ2138" s="115"/>
      <c r="CR2138" s="115"/>
      <c r="CS2138" s="115"/>
      <c r="CT2138" s="115"/>
      <c r="CU2138" s="115"/>
      <c r="CV2138" s="115"/>
      <c r="CW2138" s="115"/>
      <c r="CX2138" s="115"/>
      <c r="CY2138" s="115"/>
      <c r="CZ2138" s="115"/>
      <c r="DA2138" s="115"/>
      <c r="DB2138" s="115"/>
      <c r="DC2138" s="115"/>
      <c r="DD2138" s="115"/>
      <c r="DE2138" s="115"/>
      <c r="DF2138" s="115"/>
      <c r="DG2138" s="115"/>
    </row>
    <row r="2139" spans="55:111" hidden="1">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c r="BY2139" s="115"/>
      <c r="BZ2139" s="115"/>
      <c r="CA2139" s="115"/>
      <c r="CB2139" s="115"/>
      <c r="CC2139" s="115"/>
      <c r="CD2139" s="115"/>
      <c r="CE2139" s="115"/>
      <c r="CF2139" s="115"/>
      <c r="CG2139" s="115"/>
      <c r="CH2139" s="115"/>
      <c r="CI2139" s="115"/>
      <c r="CJ2139" s="115"/>
      <c r="CK2139" s="115"/>
      <c r="CL2139" s="115"/>
      <c r="CM2139" s="115"/>
      <c r="CN2139" s="115"/>
      <c r="CO2139" s="115"/>
      <c r="CP2139" s="115"/>
      <c r="CQ2139" s="115"/>
      <c r="CR2139" s="115"/>
      <c r="CS2139" s="115"/>
      <c r="CT2139" s="115"/>
      <c r="CU2139" s="115"/>
      <c r="CV2139" s="115"/>
      <c r="CW2139" s="115"/>
      <c r="CX2139" s="115"/>
      <c r="CY2139" s="115"/>
      <c r="CZ2139" s="115"/>
      <c r="DA2139" s="115"/>
      <c r="DB2139" s="115"/>
      <c r="DC2139" s="115"/>
      <c r="DD2139" s="115"/>
      <c r="DE2139" s="115"/>
      <c r="DF2139" s="115"/>
      <c r="DG2139" s="115"/>
    </row>
    <row r="2140" spans="55:111" hidden="1">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c r="BY2140" s="115"/>
      <c r="BZ2140" s="115"/>
      <c r="CA2140" s="115"/>
      <c r="CB2140" s="115"/>
      <c r="CC2140" s="115"/>
      <c r="CD2140" s="115"/>
      <c r="CE2140" s="115"/>
      <c r="CF2140" s="115"/>
      <c r="CG2140" s="115"/>
      <c r="CH2140" s="115"/>
      <c r="CI2140" s="115"/>
      <c r="CJ2140" s="115"/>
      <c r="CK2140" s="115"/>
      <c r="CL2140" s="115"/>
      <c r="CM2140" s="115"/>
      <c r="CN2140" s="115"/>
      <c r="CO2140" s="115"/>
      <c r="CP2140" s="115"/>
      <c r="CQ2140" s="115"/>
      <c r="CR2140" s="115"/>
      <c r="CS2140" s="115"/>
      <c r="CT2140" s="115"/>
      <c r="CU2140" s="115"/>
      <c r="CV2140" s="115"/>
      <c r="CW2140" s="115"/>
      <c r="CX2140" s="115"/>
      <c r="CY2140" s="115"/>
      <c r="CZ2140" s="115"/>
      <c r="DA2140" s="115"/>
      <c r="DB2140" s="115"/>
      <c r="DC2140" s="115"/>
      <c r="DD2140" s="115"/>
      <c r="DE2140" s="115"/>
      <c r="DF2140" s="115"/>
      <c r="DG2140" s="115"/>
    </row>
    <row r="2141" spans="55:111" hidden="1">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c r="BY2141" s="115"/>
      <c r="BZ2141" s="115"/>
      <c r="CA2141" s="115"/>
      <c r="CB2141" s="115"/>
      <c r="CC2141" s="115"/>
      <c r="CD2141" s="115"/>
      <c r="CE2141" s="115"/>
      <c r="CF2141" s="115"/>
      <c r="CG2141" s="115"/>
      <c r="CH2141" s="115"/>
      <c r="CI2141" s="115"/>
      <c r="CJ2141" s="115"/>
      <c r="CK2141" s="115"/>
      <c r="CL2141" s="115"/>
      <c r="CM2141" s="115"/>
      <c r="CN2141" s="115"/>
      <c r="CO2141" s="115"/>
      <c r="CP2141" s="115"/>
      <c r="CQ2141" s="115"/>
      <c r="CR2141" s="115"/>
      <c r="CS2141" s="115"/>
      <c r="CT2141" s="115"/>
      <c r="CU2141" s="115"/>
      <c r="CV2141" s="115"/>
      <c r="CW2141" s="115"/>
      <c r="CX2141" s="115"/>
      <c r="CY2141" s="115"/>
      <c r="CZ2141" s="115"/>
      <c r="DA2141" s="115"/>
      <c r="DB2141" s="115"/>
      <c r="DC2141" s="115"/>
      <c r="DD2141" s="115"/>
      <c r="DE2141" s="115"/>
      <c r="DF2141" s="115"/>
      <c r="DG2141" s="115"/>
    </row>
    <row r="2142" spans="55:111" hidden="1">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c r="BY2142" s="115"/>
      <c r="BZ2142" s="115"/>
      <c r="CA2142" s="115"/>
      <c r="CB2142" s="115"/>
      <c r="CC2142" s="115"/>
      <c r="CD2142" s="115"/>
      <c r="CE2142" s="115"/>
      <c r="CF2142" s="115"/>
      <c r="CG2142" s="115"/>
      <c r="CH2142" s="115"/>
      <c r="CI2142" s="115"/>
      <c r="CJ2142" s="115"/>
      <c r="CK2142" s="115"/>
      <c r="CL2142" s="115"/>
      <c r="CM2142" s="115"/>
      <c r="CN2142" s="115"/>
      <c r="CO2142" s="115"/>
      <c r="CP2142" s="115"/>
      <c r="CQ2142" s="115"/>
      <c r="CR2142" s="115"/>
      <c r="CS2142" s="115"/>
      <c r="CT2142" s="115"/>
      <c r="CU2142" s="115"/>
      <c r="CV2142" s="115"/>
      <c r="CW2142" s="115"/>
      <c r="CX2142" s="115"/>
      <c r="CY2142" s="115"/>
      <c r="CZ2142" s="115"/>
      <c r="DA2142" s="115"/>
      <c r="DB2142" s="115"/>
      <c r="DC2142" s="115"/>
      <c r="DD2142" s="115"/>
      <c r="DE2142" s="115"/>
      <c r="DF2142" s="115"/>
      <c r="DG2142" s="115"/>
    </row>
    <row r="2143" spans="55:111" hidden="1">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c r="BY2143" s="115"/>
      <c r="BZ2143" s="115"/>
      <c r="CA2143" s="115"/>
      <c r="CB2143" s="115"/>
      <c r="CC2143" s="115"/>
      <c r="CD2143" s="115"/>
      <c r="CE2143" s="115"/>
      <c r="CF2143" s="115"/>
      <c r="CG2143" s="115"/>
      <c r="CH2143" s="115"/>
      <c r="CI2143" s="115"/>
      <c r="CJ2143" s="115"/>
      <c r="CK2143" s="115"/>
      <c r="CL2143" s="115"/>
      <c r="CM2143" s="115"/>
      <c r="CN2143" s="115"/>
      <c r="CO2143" s="115"/>
      <c r="CP2143" s="115"/>
      <c r="CQ2143" s="115"/>
      <c r="CR2143" s="115"/>
      <c r="CS2143" s="115"/>
      <c r="CT2143" s="115"/>
      <c r="CU2143" s="115"/>
      <c r="CV2143" s="115"/>
      <c r="CW2143" s="115"/>
      <c r="CX2143" s="115"/>
      <c r="CY2143" s="115"/>
      <c r="CZ2143" s="115"/>
      <c r="DA2143" s="115"/>
      <c r="DB2143" s="115"/>
      <c r="DC2143" s="115"/>
      <c r="DD2143" s="115"/>
      <c r="DE2143" s="115"/>
      <c r="DF2143" s="115"/>
      <c r="DG2143" s="115"/>
    </row>
    <row r="2144" spans="55:111" hidden="1">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c r="BY2144" s="115"/>
      <c r="BZ2144" s="115"/>
      <c r="CA2144" s="115"/>
      <c r="CB2144" s="115"/>
      <c r="CC2144" s="115"/>
      <c r="CD2144" s="115"/>
      <c r="CE2144" s="115"/>
      <c r="CF2144" s="115"/>
      <c r="CG2144" s="115"/>
      <c r="CH2144" s="115"/>
      <c r="CI2144" s="115"/>
      <c r="CJ2144" s="115"/>
      <c r="CK2144" s="115"/>
      <c r="CL2144" s="115"/>
      <c r="CM2144" s="115"/>
      <c r="CN2144" s="115"/>
      <c r="CO2144" s="115"/>
      <c r="CP2144" s="115"/>
      <c r="CQ2144" s="115"/>
      <c r="CR2144" s="115"/>
      <c r="CS2144" s="115"/>
      <c r="CT2144" s="115"/>
      <c r="CU2144" s="115"/>
      <c r="CV2144" s="115"/>
      <c r="CW2144" s="115"/>
      <c r="CX2144" s="115"/>
      <c r="CY2144" s="115"/>
      <c r="CZ2144" s="115"/>
      <c r="DA2144" s="115"/>
      <c r="DB2144" s="115"/>
      <c r="DC2144" s="115"/>
      <c r="DD2144" s="115"/>
      <c r="DE2144" s="115"/>
      <c r="DF2144" s="115"/>
      <c r="DG2144" s="115"/>
    </row>
    <row r="2145" spans="55:111" hidden="1">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c r="BY2145" s="115"/>
      <c r="BZ2145" s="115"/>
      <c r="CA2145" s="115"/>
      <c r="CB2145" s="115"/>
      <c r="CC2145" s="115"/>
      <c r="CD2145" s="115"/>
      <c r="CE2145" s="115"/>
      <c r="CF2145" s="115"/>
      <c r="CG2145" s="115"/>
      <c r="CH2145" s="115"/>
      <c r="CI2145" s="115"/>
      <c r="CJ2145" s="115"/>
      <c r="CK2145" s="115"/>
      <c r="CL2145" s="115"/>
      <c r="CM2145" s="115"/>
      <c r="CN2145" s="115"/>
      <c r="CO2145" s="115"/>
      <c r="CP2145" s="115"/>
      <c r="CQ2145" s="115"/>
      <c r="CR2145" s="115"/>
      <c r="CS2145" s="115"/>
      <c r="CT2145" s="115"/>
      <c r="CU2145" s="115"/>
      <c r="CV2145" s="115"/>
      <c r="CW2145" s="115"/>
      <c r="CX2145" s="115"/>
      <c r="CY2145" s="115"/>
      <c r="CZ2145" s="115"/>
      <c r="DA2145" s="115"/>
      <c r="DB2145" s="115"/>
      <c r="DC2145" s="115"/>
      <c r="DD2145" s="115"/>
      <c r="DE2145" s="115"/>
      <c r="DF2145" s="115"/>
      <c r="DG2145" s="115"/>
    </row>
    <row r="2146" spans="55:111" hidden="1">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c r="BY2146" s="115"/>
      <c r="BZ2146" s="115"/>
      <c r="CA2146" s="115"/>
      <c r="CB2146" s="115"/>
      <c r="CC2146" s="115"/>
      <c r="CD2146" s="115"/>
      <c r="CE2146" s="115"/>
      <c r="CF2146" s="115"/>
      <c r="CG2146" s="115"/>
      <c r="CH2146" s="115"/>
      <c r="CI2146" s="115"/>
      <c r="CJ2146" s="115"/>
      <c r="CK2146" s="115"/>
      <c r="CL2146" s="115"/>
      <c r="CM2146" s="115"/>
      <c r="CN2146" s="115"/>
      <c r="CO2146" s="115"/>
      <c r="CP2146" s="115"/>
      <c r="CQ2146" s="115"/>
      <c r="CR2146" s="115"/>
      <c r="CS2146" s="115"/>
      <c r="CT2146" s="115"/>
      <c r="CU2146" s="115"/>
      <c r="CV2146" s="115"/>
      <c r="CW2146" s="115"/>
      <c r="CX2146" s="115"/>
      <c r="CY2146" s="115"/>
      <c r="CZ2146" s="115"/>
      <c r="DA2146" s="115"/>
      <c r="DB2146" s="115"/>
      <c r="DC2146" s="115"/>
      <c r="DD2146" s="115"/>
      <c r="DE2146" s="115"/>
      <c r="DF2146" s="115"/>
      <c r="DG2146" s="115"/>
    </row>
    <row r="2147" spans="55:111" hidden="1">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c r="BY2147" s="115"/>
      <c r="BZ2147" s="115"/>
      <c r="CA2147" s="115"/>
      <c r="CB2147" s="115"/>
      <c r="CC2147" s="115"/>
      <c r="CD2147" s="115"/>
      <c r="CE2147" s="115"/>
      <c r="CF2147" s="115"/>
      <c r="CG2147" s="115"/>
      <c r="CH2147" s="115"/>
      <c r="CI2147" s="115"/>
      <c r="CJ2147" s="115"/>
      <c r="CK2147" s="115"/>
      <c r="CL2147" s="115"/>
      <c r="CM2147" s="115"/>
      <c r="CN2147" s="115"/>
      <c r="CO2147" s="115"/>
      <c r="CP2147" s="115"/>
      <c r="CQ2147" s="115"/>
      <c r="CR2147" s="115"/>
      <c r="CS2147" s="115"/>
      <c r="CT2147" s="115"/>
      <c r="CU2147" s="115"/>
      <c r="CV2147" s="115"/>
      <c r="CW2147" s="115"/>
      <c r="CX2147" s="115"/>
      <c r="CY2147" s="115"/>
      <c r="CZ2147" s="115"/>
      <c r="DA2147" s="115"/>
      <c r="DB2147" s="115"/>
      <c r="DC2147" s="115"/>
      <c r="DD2147" s="115"/>
      <c r="DE2147" s="115"/>
      <c r="DF2147" s="115"/>
      <c r="DG2147" s="115"/>
    </row>
    <row r="2148" spans="55:111" hidden="1">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c r="BY2148" s="115"/>
      <c r="BZ2148" s="115"/>
      <c r="CA2148" s="115"/>
      <c r="CB2148" s="115"/>
      <c r="CC2148" s="115"/>
      <c r="CD2148" s="115"/>
      <c r="CE2148" s="115"/>
      <c r="CF2148" s="115"/>
      <c r="CG2148" s="115"/>
      <c r="CH2148" s="115"/>
      <c r="CI2148" s="115"/>
      <c r="CJ2148" s="115"/>
      <c r="CK2148" s="115"/>
      <c r="CL2148" s="115"/>
      <c r="CM2148" s="115"/>
      <c r="CN2148" s="115"/>
      <c r="CO2148" s="115"/>
      <c r="CP2148" s="115"/>
      <c r="CQ2148" s="115"/>
      <c r="CR2148" s="115"/>
      <c r="CS2148" s="115"/>
      <c r="CT2148" s="115"/>
      <c r="CU2148" s="115"/>
      <c r="CV2148" s="115"/>
      <c r="CW2148" s="115"/>
      <c r="CX2148" s="115"/>
      <c r="CY2148" s="115"/>
      <c r="CZ2148" s="115"/>
      <c r="DA2148" s="115"/>
      <c r="DB2148" s="115"/>
      <c r="DC2148" s="115"/>
      <c r="DD2148" s="115"/>
      <c r="DE2148" s="115"/>
      <c r="DF2148" s="115"/>
      <c r="DG2148" s="115"/>
    </row>
    <row r="2149" spans="55:111" hidden="1">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c r="BY2149" s="115"/>
      <c r="BZ2149" s="115"/>
      <c r="CA2149" s="115"/>
      <c r="CB2149" s="115"/>
      <c r="CC2149" s="115"/>
      <c r="CD2149" s="115"/>
      <c r="CE2149" s="115"/>
      <c r="CF2149" s="115"/>
      <c r="CG2149" s="115"/>
      <c r="CH2149" s="115"/>
      <c r="CI2149" s="115"/>
      <c r="CJ2149" s="115"/>
      <c r="CK2149" s="115"/>
      <c r="CL2149" s="115"/>
      <c r="CM2149" s="115"/>
      <c r="CN2149" s="115"/>
      <c r="CO2149" s="115"/>
      <c r="CP2149" s="115"/>
      <c r="CQ2149" s="115"/>
      <c r="CR2149" s="115"/>
      <c r="CS2149" s="115"/>
      <c r="CT2149" s="115"/>
      <c r="CU2149" s="115"/>
      <c r="CV2149" s="115"/>
      <c r="CW2149" s="115"/>
      <c r="CX2149" s="115"/>
      <c r="CY2149" s="115"/>
      <c r="CZ2149" s="115"/>
      <c r="DA2149" s="115"/>
      <c r="DB2149" s="115"/>
      <c r="DC2149" s="115"/>
      <c r="DD2149" s="115"/>
      <c r="DE2149" s="115"/>
      <c r="DF2149" s="115"/>
      <c r="DG2149" s="115"/>
    </row>
    <row r="2150" spans="55:111" hidden="1">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c r="BY2150" s="115"/>
      <c r="BZ2150" s="115"/>
      <c r="CA2150" s="115"/>
      <c r="CB2150" s="115"/>
      <c r="CC2150" s="115"/>
      <c r="CD2150" s="115"/>
      <c r="CE2150" s="115"/>
      <c r="CF2150" s="115"/>
      <c r="CG2150" s="115"/>
      <c r="CH2150" s="115"/>
      <c r="CI2150" s="115"/>
      <c r="CJ2150" s="115"/>
      <c r="CK2150" s="115"/>
      <c r="CL2150" s="115"/>
      <c r="CM2150" s="115"/>
      <c r="CN2150" s="115"/>
      <c r="CO2150" s="115"/>
      <c r="CP2150" s="115"/>
      <c r="CQ2150" s="115"/>
      <c r="CR2150" s="115"/>
      <c r="CS2150" s="115"/>
      <c r="CT2150" s="115"/>
      <c r="CU2150" s="115"/>
      <c r="CV2150" s="115"/>
      <c r="CW2150" s="115"/>
      <c r="CX2150" s="115"/>
      <c r="CY2150" s="115"/>
      <c r="CZ2150" s="115"/>
      <c r="DA2150" s="115"/>
      <c r="DB2150" s="115"/>
      <c r="DC2150" s="115"/>
      <c r="DD2150" s="115"/>
      <c r="DE2150" s="115"/>
      <c r="DF2150" s="115"/>
      <c r="DG2150" s="115"/>
    </row>
    <row r="2151" spans="55:111" hidden="1">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c r="BY2151" s="115"/>
      <c r="BZ2151" s="115"/>
      <c r="CA2151" s="115"/>
      <c r="CB2151" s="115"/>
      <c r="CC2151" s="115"/>
      <c r="CD2151" s="115"/>
      <c r="CE2151" s="115"/>
      <c r="CF2151" s="115"/>
      <c r="CG2151" s="115"/>
      <c r="CH2151" s="115"/>
      <c r="CI2151" s="115"/>
      <c r="CJ2151" s="115"/>
      <c r="CK2151" s="115"/>
      <c r="CL2151" s="115"/>
      <c r="CM2151" s="115"/>
      <c r="CN2151" s="115"/>
      <c r="CO2151" s="115"/>
      <c r="CP2151" s="115"/>
      <c r="CQ2151" s="115"/>
      <c r="CR2151" s="115"/>
      <c r="CS2151" s="115"/>
      <c r="CT2151" s="115"/>
      <c r="CU2151" s="115"/>
      <c r="CV2151" s="115"/>
      <c r="CW2151" s="115"/>
      <c r="CX2151" s="115"/>
      <c r="CY2151" s="115"/>
      <c r="CZ2151" s="115"/>
      <c r="DA2151" s="115"/>
      <c r="DB2151" s="115"/>
      <c r="DC2151" s="115"/>
      <c r="DD2151" s="115"/>
      <c r="DE2151" s="115"/>
      <c r="DF2151" s="115"/>
      <c r="DG2151" s="115"/>
    </row>
    <row r="2152" spans="55:111" hidden="1">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c r="BY2152" s="115"/>
      <c r="BZ2152" s="115"/>
      <c r="CA2152" s="115"/>
      <c r="CB2152" s="115"/>
      <c r="CC2152" s="115"/>
      <c r="CD2152" s="115"/>
      <c r="CE2152" s="115"/>
      <c r="CF2152" s="115"/>
      <c r="CG2152" s="115"/>
      <c r="CH2152" s="115"/>
      <c r="CI2152" s="115"/>
      <c r="CJ2152" s="115"/>
      <c r="CK2152" s="115"/>
      <c r="CL2152" s="115"/>
      <c r="CM2152" s="115"/>
      <c r="CN2152" s="115"/>
      <c r="CO2152" s="115"/>
      <c r="CP2152" s="115"/>
      <c r="CQ2152" s="115"/>
      <c r="CR2152" s="115"/>
      <c r="CS2152" s="115"/>
      <c r="CT2152" s="115"/>
      <c r="CU2152" s="115"/>
      <c r="CV2152" s="115"/>
      <c r="CW2152" s="115"/>
      <c r="CX2152" s="115"/>
      <c r="CY2152" s="115"/>
      <c r="CZ2152" s="115"/>
      <c r="DA2152" s="115"/>
      <c r="DB2152" s="115"/>
      <c r="DC2152" s="115"/>
      <c r="DD2152" s="115"/>
      <c r="DE2152" s="115"/>
      <c r="DF2152" s="115"/>
      <c r="DG2152" s="115"/>
    </row>
    <row r="2153" spans="55:111" hidden="1">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c r="BY2153" s="115"/>
      <c r="BZ2153" s="115"/>
      <c r="CA2153" s="115"/>
      <c r="CB2153" s="115"/>
      <c r="CC2153" s="115"/>
      <c r="CD2153" s="115"/>
      <c r="CE2153" s="115"/>
      <c r="CF2153" s="115"/>
      <c r="CG2153" s="115"/>
      <c r="CH2153" s="115"/>
      <c r="CI2153" s="115"/>
      <c r="CJ2153" s="115"/>
      <c r="CK2153" s="115"/>
      <c r="CL2153" s="115"/>
      <c r="CM2153" s="115"/>
      <c r="CN2153" s="115"/>
      <c r="CO2153" s="115"/>
      <c r="CP2153" s="115"/>
      <c r="CQ2153" s="115"/>
      <c r="CR2153" s="115"/>
      <c r="CS2153" s="115"/>
      <c r="CT2153" s="115"/>
      <c r="CU2153" s="115"/>
      <c r="CV2153" s="115"/>
      <c r="CW2153" s="115"/>
      <c r="CX2153" s="115"/>
      <c r="CY2153" s="115"/>
      <c r="CZ2153" s="115"/>
      <c r="DA2153" s="115"/>
      <c r="DB2153" s="115"/>
      <c r="DC2153" s="115"/>
      <c r="DD2153" s="115"/>
      <c r="DE2153" s="115"/>
      <c r="DF2153" s="115"/>
      <c r="DG2153" s="115"/>
    </row>
    <row r="2154" spans="55:111" hidden="1">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c r="BY2154" s="115"/>
      <c r="BZ2154" s="115"/>
      <c r="CA2154" s="115"/>
      <c r="CB2154" s="115"/>
      <c r="CC2154" s="115"/>
      <c r="CD2154" s="115"/>
      <c r="CE2154" s="115"/>
      <c r="CF2154" s="115"/>
      <c r="CG2154" s="115"/>
      <c r="CH2154" s="115"/>
      <c r="CI2154" s="115"/>
      <c r="CJ2154" s="115"/>
      <c r="CK2154" s="115"/>
      <c r="CL2154" s="115"/>
      <c r="CM2154" s="115"/>
      <c r="CN2154" s="115"/>
      <c r="CO2154" s="115"/>
      <c r="CP2154" s="115"/>
      <c r="CQ2154" s="115"/>
      <c r="CR2154" s="115"/>
      <c r="CS2154" s="115"/>
      <c r="CT2154" s="115"/>
      <c r="CU2154" s="115"/>
      <c r="CV2154" s="115"/>
      <c r="CW2154" s="115"/>
      <c r="CX2154" s="115"/>
      <c r="CY2154" s="115"/>
      <c r="CZ2154" s="115"/>
      <c r="DA2154" s="115"/>
      <c r="DB2154" s="115"/>
      <c r="DC2154" s="115"/>
      <c r="DD2154" s="115"/>
      <c r="DE2154" s="115"/>
      <c r="DF2154" s="115"/>
      <c r="DG2154" s="115"/>
    </row>
    <row r="2155" spans="55:111" hidden="1">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c r="BY2155" s="115"/>
      <c r="BZ2155" s="115"/>
      <c r="CA2155" s="115"/>
      <c r="CB2155" s="115"/>
      <c r="CC2155" s="115"/>
      <c r="CD2155" s="115"/>
      <c r="CE2155" s="115"/>
      <c r="CF2155" s="115"/>
      <c r="CG2155" s="115"/>
      <c r="CH2155" s="115"/>
      <c r="CI2155" s="115"/>
      <c r="CJ2155" s="115"/>
      <c r="CK2155" s="115"/>
      <c r="CL2155" s="115"/>
      <c r="CM2155" s="115"/>
      <c r="CN2155" s="115"/>
      <c r="CO2155" s="115"/>
      <c r="CP2155" s="115"/>
      <c r="CQ2155" s="115"/>
      <c r="CR2155" s="115"/>
      <c r="CS2155" s="115"/>
      <c r="CT2155" s="115"/>
      <c r="CU2155" s="115"/>
      <c r="CV2155" s="115"/>
      <c r="CW2155" s="115"/>
      <c r="CX2155" s="115"/>
      <c r="CY2155" s="115"/>
      <c r="CZ2155" s="115"/>
      <c r="DA2155" s="115"/>
      <c r="DB2155" s="115"/>
      <c r="DC2155" s="115"/>
      <c r="DD2155" s="115"/>
      <c r="DE2155" s="115"/>
      <c r="DF2155" s="115"/>
      <c r="DG2155" s="115"/>
    </row>
    <row r="2156" spans="55:111" hidden="1">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c r="BY2156" s="115"/>
      <c r="BZ2156" s="115"/>
      <c r="CA2156" s="115"/>
      <c r="CB2156" s="115"/>
      <c r="CC2156" s="115"/>
      <c r="CD2156" s="115"/>
      <c r="CE2156" s="115"/>
      <c r="CF2156" s="115"/>
      <c r="CG2156" s="115"/>
      <c r="CH2156" s="115"/>
      <c r="CI2156" s="115"/>
      <c r="CJ2156" s="115"/>
      <c r="CK2156" s="115"/>
      <c r="CL2156" s="115"/>
      <c r="CM2156" s="115"/>
      <c r="CN2156" s="115"/>
      <c r="CO2156" s="115"/>
      <c r="CP2156" s="115"/>
      <c r="CQ2156" s="115"/>
      <c r="CR2156" s="115"/>
      <c r="CS2156" s="115"/>
      <c r="CT2156" s="115"/>
      <c r="CU2156" s="115"/>
      <c r="CV2156" s="115"/>
      <c r="CW2156" s="115"/>
      <c r="CX2156" s="115"/>
      <c r="CY2156" s="115"/>
      <c r="CZ2156" s="115"/>
      <c r="DA2156" s="115"/>
      <c r="DB2156" s="115"/>
      <c r="DC2156" s="115"/>
      <c r="DD2156" s="115"/>
      <c r="DE2156" s="115"/>
      <c r="DF2156" s="115"/>
      <c r="DG2156" s="115"/>
    </row>
    <row r="2157" spans="55:111" hidden="1">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c r="BY2157" s="115"/>
      <c r="BZ2157" s="115"/>
      <c r="CA2157" s="115"/>
      <c r="CB2157" s="115"/>
      <c r="CC2157" s="115"/>
      <c r="CD2157" s="115"/>
      <c r="CE2157" s="115"/>
      <c r="CF2157" s="115"/>
      <c r="CG2157" s="115"/>
      <c r="CH2157" s="115"/>
      <c r="CI2157" s="115"/>
      <c r="CJ2157" s="115"/>
      <c r="CK2157" s="115"/>
      <c r="CL2157" s="115"/>
      <c r="CM2157" s="115"/>
      <c r="CN2157" s="115"/>
      <c r="CO2157" s="115"/>
      <c r="CP2157" s="115"/>
      <c r="CQ2157" s="115"/>
      <c r="CR2157" s="115"/>
      <c r="CS2157" s="115"/>
      <c r="CT2157" s="115"/>
      <c r="CU2157" s="115"/>
      <c r="CV2157" s="115"/>
      <c r="CW2157" s="115"/>
      <c r="CX2157" s="115"/>
      <c r="CY2157" s="115"/>
      <c r="CZ2157" s="115"/>
      <c r="DA2157" s="115"/>
      <c r="DB2157" s="115"/>
      <c r="DC2157" s="115"/>
      <c r="DD2157" s="115"/>
      <c r="DE2157" s="115"/>
      <c r="DF2157" s="115"/>
      <c r="DG2157" s="115"/>
    </row>
    <row r="2158" spans="55:111" hidden="1">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c r="BY2158" s="115"/>
      <c r="BZ2158" s="115"/>
      <c r="CA2158" s="115"/>
      <c r="CB2158" s="115"/>
      <c r="CC2158" s="115"/>
      <c r="CD2158" s="115"/>
      <c r="CE2158" s="115"/>
      <c r="CF2158" s="115"/>
      <c r="CG2158" s="115"/>
      <c r="CH2158" s="115"/>
      <c r="CI2158" s="115"/>
      <c r="CJ2158" s="115"/>
      <c r="CK2158" s="115"/>
      <c r="CL2158" s="115"/>
      <c r="CM2158" s="115"/>
      <c r="CN2158" s="115"/>
      <c r="CO2158" s="115"/>
      <c r="CP2158" s="115"/>
      <c r="CQ2158" s="115"/>
      <c r="CR2158" s="115"/>
      <c r="CS2158" s="115"/>
      <c r="CT2158" s="115"/>
      <c r="CU2158" s="115"/>
      <c r="CV2158" s="115"/>
      <c r="CW2158" s="115"/>
      <c r="CX2158" s="115"/>
      <c r="CY2158" s="115"/>
      <c r="CZ2158" s="115"/>
      <c r="DA2158" s="115"/>
      <c r="DB2158" s="115"/>
      <c r="DC2158" s="115"/>
      <c r="DD2158" s="115"/>
      <c r="DE2158" s="115"/>
      <c r="DF2158" s="115"/>
      <c r="DG2158" s="115"/>
    </row>
    <row r="2159" spans="55:111" hidden="1">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c r="BY2159" s="115"/>
      <c r="BZ2159" s="115"/>
      <c r="CA2159" s="115"/>
      <c r="CB2159" s="115"/>
      <c r="CC2159" s="115"/>
      <c r="CD2159" s="115"/>
      <c r="CE2159" s="115"/>
      <c r="CF2159" s="115"/>
      <c r="CG2159" s="115"/>
      <c r="CH2159" s="115"/>
      <c r="CI2159" s="115"/>
      <c r="CJ2159" s="115"/>
      <c r="CK2159" s="115"/>
      <c r="CL2159" s="115"/>
      <c r="CM2159" s="115"/>
      <c r="CN2159" s="115"/>
      <c r="CO2159" s="115"/>
      <c r="CP2159" s="115"/>
      <c r="CQ2159" s="115"/>
      <c r="CR2159" s="115"/>
      <c r="CS2159" s="115"/>
      <c r="CT2159" s="115"/>
      <c r="CU2159" s="115"/>
      <c r="CV2159" s="115"/>
      <c r="CW2159" s="115"/>
      <c r="CX2159" s="115"/>
      <c r="CY2159" s="115"/>
      <c r="CZ2159" s="115"/>
      <c r="DA2159" s="115"/>
      <c r="DB2159" s="115"/>
      <c r="DC2159" s="115"/>
      <c r="DD2159" s="115"/>
      <c r="DE2159" s="115"/>
      <c r="DF2159" s="115"/>
      <c r="DG2159" s="115"/>
    </row>
    <row r="2160" spans="55:111" hidden="1">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c r="BY2160" s="115"/>
      <c r="BZ2160" s="115"/>
      <c r="CA2160" s="115"/>
      <c r="CB2160" s="115"/>
      <c r="CC2160" s="115"/>
      <c r="CD2160" s="115"/>
      <c r="CE2160" s="115"/>
      <c r="CF2160" s="115"/>
      <c r="CG2160" s="115"/>
      <c r="CH2160" s="115"/>
      <c r="CI2160" s="115"/>
      <c r="CJ2160" s="115"/>
      <c r="CK2160" s="115"/>
      <c r="CL2160" s="115"/>
      <c r="CM2160" s="115"/>
      <c r="CN2160" s="115"/>
      <c r="CO2160" s="115"/>
      <c r="CP2160" s="115"/>
      <c r="CQ2160" s="115"/>
      <c r="CR2160" s="115"/>
      <c r="CS2160" s="115"/>
      <c r="CT2160" s="115"/>
      <c r="CU2160" s="115"/>
      <c r="CV2160" s="115"/>
      <c r="CW2160" s="115"/>
      <c r="CX2160" s="115"/>
      <c r="CY2160" s="115"/>
      <c r="CZ2160" s="115"/>
      <c r="DA2160" s="115"/>
      <c r="DB2160" s="115"/>
      <c r="DC2160" s="115"/>
      <c r="DD2160" s="115"/>
      <c r="DE2160" s="115"/>
      <c r="DF2160" s="115"/>
      <c r="DG2160" s="115"/>
    </row>
    <row r="2161" spans="55:111" hidden="1">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c r="BY2161" s="115"/>
      <c r="BZ2161" s="115"/>
      <c r="CA2161" s="115"/>
      <c r="CB2161" s="115"/>
      <c r="CC2161" s="115"/>
      <c r="CD2161" s="115"/>
      <c r="CE2161" s="115"/>
      <c r="CF2161" s="115"/>
      <c r="CG2161" s="115"/>
      <c r="CH2161" s="115"/>
      <c r="CI2161" s="115"/>
      <c r="CJ2161" s="115"/>
      <c r="CK2161" s="115"/>
      <c r="CL2161" s="115"/>
      <c r="CM2161" s="115"/>
      <c r="CN2161" s="115"/>
      <c r="CO2161" s="115"/>
      <c r="CP2161" s="115"/>
      <c r="CQ2161" s="115"/>
      <c r="CR2161" s="115"/>
      <c r="CS2161" s="115"/>
      <c r="CT2161" s="115"/>
      <c r="CU2161" s="115"/>
      <c r="CV2161" s="115"/>
      <c r="CW2161" s="115"/>
      <c r="CX2161" s="115"/>
      <c r="CY2161" s="115"/>
      <c r="CZ2161" s="115"/>
      <c r="DA2161" s="115"/>
      <c r="DB2161" s="115"/>
      <c r="DC2161" s="115"/>
      <c r="DD2161" s="115"/>
      <c r="DE2161" s="115"/>
      <c r="DF2161" s="115"/>
      <c r="DG2161" s="115"/>
    </row>
    <row r="2162" spans="55:111" hidden="1">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c r="BY2162" s="115"/>
      <c r="BZ2162" s="115"/>
      <c r="CA2162" s="115"/>
      <c r="CB2162" s="115"/>
      <c r="CC2162" s="115"/>
      <c r="CD2162" s="115"/>
      <c r="CE2162" s="115"/>
      <c r="CF2162" s="115"/>
      <c r="CG2162" s="115"/>
      <c r="CH2162" s="115"/>
      <c r="CI2162" s="115"/>
      <c r="CJ2162" s="115"/>
      <c r="CK2162" s="115"/>
      <c r="CL2162" s="115"/>
      <c r="CM2162" s="115"/>
      <c r="CN2162" s="115"/>
      <c r="CO2162" s="115"/>
      <c r="CP2162" s="115"/>
      <c r="CQ2162" s="115"/>
      <c r="CR2162" s="115"/>
      <c r="CS2162" s="115"/>
      <c r="CT2162" s="115"/>
      <c r="CU2162" s="115"/>
      <c r="CV2162" s="115"/>
      <c r="CW2162" s="115"/>
      <c r="CX2162" s="115"/>
      <c r="CY2162" s="115"/>
      <c r="CZ2162" s="115"/>
      <c r="DA2162" s="115"/>
      <c r="DB2162" s="115"/>
      <c r="DC2162" s="115"/>
      <c r="DD2162" s="115"/>
      <c r="DE2162" s="115"/>
      <c r="DF2162" s="115"/>
      <c r="DG2162" s="115"/>
    </row>
    <row r="2163" spans="55:111" hidden="1">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c r="BY2163" s="115"/>
      <c r="BZ2163" s="115"/>
      <c r="CA2163" s="115"/>
      <c r="CB2163" s="115"/>
      <c r="CC2163" s="115"/>
      <c r="CD2163" s="115"/>
      <c r="CE2163" s="115"/>
      <c r="CF2163" s="115"/>
      <c r="CG2163" s="115"/>
      <c r="CH2163" s="115"/>
      <c r="CI2163" s="115"/>
      <c r="CJ2163" s="115"/>
      <c r="CK2163" s="115"/>
      <c r="CL2163" s="115"/>
      <c r="CM2163" s="115"/>
      <c r="CN2163" s="115"/>
      <c r="CO2163" s="115"/>
      <c r="CP2163" s="115"/>
      <c r="CQ2163" s="115"/>
      <c r="CR2163" s="115"/>
      <c r="CS2163" s="115"/>
      <c r="CT2163" s="115"/>
      <c r="CU2163" s="115"/>
      <c r="CV2163" s="115"/>
      <c r="CW2163" s="115"/>
      <c r="CX2163" s="115"/>
      <c r="CY2163" s="115"/>
      <c r="CZ2163" s="115"/>
      <c r="DA2163" s="115"/>
      <c r="DB2163" s="115"/>
      <c r="DC2163" s="115"/>
      <c r="DD2163" s="115"/>
      <c r="DE2163" s="115"/>
      <c r="DF2163" s="115"/>
      <c r="DG2163" s="115"/>
    </row>
    <row r="2164" spans="55:111" hidden="1">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c r="BY2164" s="115"/>
      <c r="BZ2164" s="115"/>
      <c r="CA2164" s="115"/>
      <c r="CB2164" s="115"/>
      <c r="CC2164" s="115"/>
      <c r="CD2164" s="115"/>
      <c r="CE2164" s="115"/>
      <c r="CF2164" s="115"/>
      <c r="CG2164" s="115"/>
      <c r="CH2164" s="115"/>
      <c r="CI2164" s="115"/>
      <c r="CJ2164" s="115"/>
      <c r="CK2164" s="115"/>
      <c r="CL2164" s="115"/>
      <c r="CM2164" s="115"/>
      <c r="CN2164" s="115"/>
      <c r="CO2164" s="115"/>
      <c r="CP2164" s="115"/>
      <c r="CQ2164" s="115"/>
      <c r="CR2164" s="115"/>
      <c r="CS2164" s="115"/>
      <c r="CT2164" s="115"/>
      <c r="CU2164" s="115"/>
      <c r="CV2164" s="115"/>
      <c r="CW2164" s="115"/>
      <c r="CX2164" s="115"/>
      <c r="CY2164" s="115"/>
      <c r="CZ2164" s="115"/>
      <c r="DA2164" s="115"/>
      <c r="DB2164" s="115"/>
      <c r="DC2164" s="115"/>
      <c r="DD2164" s="115"/>
      <c r="DE2164" s="115"/>
      <c r="DF2164" s="115"/>
      <c r="DG2164" s="115"/>
    </row>
    <row r="2165" spans="55:111" hidden="1">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c r="BY2165" s="115"/>
      <c r="BZ2165" s="115"/>
      <c r="CA2165" s="115"/>
      <c r="CB2165" s="115"/>
      <c r="CC2165" s="115"/>
      <c r="CD2165" s="115"/>
      <c r="CE2165" s="115"/>
      <c r="CF2165" s="115"/>
      <c r="CG2165" s="115"/>
      <c r="CH2165" s="115"/>
      <c r="CI2165" s="115"/>
      <c r="CJ2165" s="115"/>
      <c r="CK2165" s="115"/>
      <c r="CL2165" s="115"/>
      <c r="CM2165" s="115"/>
      <c r="CN2165" s="115"/>
      <c r="CO2165" s="115"/>
      <c r="CP2165" s="115"/>
      <c r="CQ2165" s="115"/>
      <c r="CR2165" s="115"/>
      <c r="CS2165" s="115"/>
      <c r="CT2165" s="115"/>
      <c r="CU2165" s="115"/>
      <c r="CV2165" s="115"/>
      <c r="CW2165" s="115"/>
      <c r="CX2165" s="115"/>
      <c r="CY2165" s="115"/>
      <c r="CZ2165" s="115"/>
      <c r="DA2165" s="115"/>
      <c r="DB2165" s="115"/>
      <c r="DC2165" s="115"/>
      <c r="DD2165" s="115"/>
      <c r="DE2165" s="115"/>
      <c r="DF2165" s="115"/>
      <c r="DG2165" s="115"/>
    </row>
    <row r="2166" spans="55:111" hidden="1">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c r="BY2166" s="115"/>
      <c r="BZ2166" s="115"/>
      <c r="CA2166" s="115"/>
      <c r="CB2166" s="115"/>
      <c r="CC2166" s="115"/>
      <c r="CD2166" s="115"/>
      <c r="CE2166" s="115"/>
      <c r="CF2166" s="115"/>
      <c r="CG2166" s="115"/>
      <c r="CH2166" s="115"/>
      <c r="CI2166" s="115"/>
      <c r="CJ2166" s="115"/>
      <c r="CK2166" s="115"/>
      <c r="CL2166" s="115"/>
      <c r="CM2166" s="115"/>
      <c r="CN2166" s="115"/>
      <c r="CO2166" s="115"/>
      <c r="CP2166" s="115"/>
      <c r="CQ2166" s="115"/>
      <c r="CR2166" s="115"/>
      <c r="CS2166" s="115"/>
      <c r="CT2166" s="115"/>
      <c r="CU2166" s="115"/>
      <c r="CV2166" s="115"/>
      <c r="CW2166" s="115"/>
      <c r="CX2166" s="115"/>
      <c r="CY2166" s="115"/>
      <c r="CZ2166" s="115"/>
      <c r="DA2166" s="115"/>
      <c r="DB2166" s="115"/>
      <c r="DC2166" s="115"/>
      <c r="DD2166" s="115"/>
      <c r="DE2166" s="115"/>
      <c r="DF2166" s="115"/>
      <c r="DG2166" s="115"/>
    </row>
    <row r="2167" spans="55:111" hidden="1">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c r="BY2167" s="115"/>
      <c r="BZ2167" s="115"/>
      <c r="CA2167" s="115"/>
      <c r="CB2167" s="115"/>
      <c r="CC2167" s="115"/>
      <c r="CD2167" s="115"/>
      <c r="CE2167" s="115"/>
      <c r="CF2167" s="115"/>
      <c r="CG2167" s="115"/>
      <c r="CH2167" s="115"/>
      <c r="CI2167" s="115"/>
      <c r="CJ2167" s="115"/>
      <c r="CK2167" s="115"/>
      <c r="CL2167" s="115"/>
      <c r="CM2167" s="115"/>
      <c r="CN2167" s="115"/>
      <c r="CO2167" s="115"/>
      <c r="CP2167" s="115"/>
      <c r="CQ2167" s="115"/>
      <c r="CR2167" s="115"/>
      <c r="CS2167" s="115"/>
      <c r="CT2167" s="115"/>
      <c r="CU2167" s="115"/>
      <c r="CV2167" s="115"/>
      <c r="CW2167" s="115"/>
      <c r="CX2167" s="115"/>
      <c r="CY2167" s="115"/>
      <c r="CZ2167" s="115"/>
      <c r="DA2167" s="115"/>
      <c r="DB2167" s="115"/>
      <c r="DC2167" s="115"/>
      <c r="DD2167" s="115"/>
      <c r="DE2167" s="115"/>
      <c r="DF2167" s="115"/>
      <c r="DG2167" s="115"/>
    </row>
    <row r="2168" spans="55:111" hidden="1">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c r="BY2168" s="115"/>
      <c r="BZ2168" s="115"/>
      <c r="CA2168" s="115"/>
      <c r="CB2168" s="115"/>
      <c r="CC2168" s="115"/>
      <c r="CD2168" s="115"/>
      <c r="CE2168" s="115"/>
      <c r="CF2168" s="115"/>
      <c r="CG2168" s="115"/>
      <c r="CH2168" s="115"/>
      <c r="CI2168" s="115"/>
      <c r="CJ2168" s="115"/>
      <c r="CK2168" s="115"/>
      <c r="CL2168" s="115"/>
      <c r="CM2168" s="115"/>
      <c r="CN2168" s="115"/>
      <c r="CO2168" s="115"/>
      <c r="CP2168" s="115"/>
      <c r="CQ2168" s="115"/>
      <c r="CR2168" s="115"/>
      <c r="CS2168" s="115"/>
      <c r="CT2168" s="115"/>
      <c r="CU2168" s="115"/>
      <c r="CV2168" s="115"/>
      <c r="CW2168" s="115"/>
      <c r="CX2168" s="115"/>
      <c r="CY2168" s="115"/>
      <c r="CZ2168" s="115"/>
      <c r="DA2168" s="115"/>
      <c r="DB2168" s="115"/>
      <c r="DC2168" s="115"/>
      <c r="DD2168" s="115"/>
      <c r="DE2168" s="115"/>
      <c r="DF2168" s="115"/>
      <c r="DG2168" s="115"/>
    </row>
    <row r="2169" spans="55:111" hidden="1">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c r="BY2169" s="115"/>
      <c r="BZ2169" s="115"/>
      <c r="CA2169" s="115"/>
      <c r="CB2169" s="115"/>
      <c r="CC2169" s="115"/>
      <c r="CD2169" s="115"/>
      <c r="CE2169" s="115"/>
      <c r="CF2169" s="115"/>
      <c r="CG2169" s="115"/>
      <c r="CH2169" s="115"/>
      <c r="CI2169" s="115"/>
      <c r="CJ2169" s="115"/>
      <c r="CK2169" s="115"/>
      <c r="CL2169" s="115"/>
      <c r="CM2169" s="115"/>
      <c r="CN2169" s="115"/>
      <c r="CO2169" s="115"/>
      <c r="CP2169" s="115"/>
      <c r="CQ2169" s="115"/>
      <c r="CR2169" s="115"/>
      <c r="CS2169" s="115"/>
      <c r="CT2169" s="115"/>
      <c r="CU2169" s="115"/>
      <c r="CV2169" s="115"/>
      <c r="CW2169" s="115"/>
      <c r="CX2169" s="115"/>
      <c r="CY2169" s="115"/>
      <c r="CZ2169" s="115"/>
      <c r="DA2169" s="115"/>
      <c r="DB2169" s="115"/>
      <c r="DC2169" s="115"/>
      <c r="DD2169" s="115"/>
      <c r="DE2169" s="115"/>
      <c r="DF2169" s="115"/>
      <c r="DG2169" s="115"/>
    </row>
    <row r="2170" spans="55:111" hidden="1">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c r="BY2170" s="115"/>
      <c r="BZ2170" s="115"/>
      <c r="CA2170" s="115"/>
      <c r="CB2170" s="115"/>
      <c r="CC2170" s="115"/>
      <c r="CD2170" s="115"/>
      <c r="CE2170" s="115"/>
      <c r="CF2170" s="115"/>
      <c r="CG2170" s="115"/>
      <c r="CH2170" s="115"/>
      <c r="CI2170" s="115"/>
      <c r="CJ2170" s="115"/>
      <c r="CK2170" s="115"/>
      <c r="CL2170" s="115"/>
      <c r="CM2170" s="115"/>
      <c r="CN2170" s="115"/>
      <c r="CO2170" s="115"/>
      <c r="CP2170" s="115"/>
      <c r="CQ2170" s="115"/>
      <c r="CR2170" s="115"/>
      <c r="CS2170" s="115"/>
      <c r="CT2170" s="115"/>
      <c r="CU2170" s="115"/>
      <c r="CV2170" s="115"/>
      <c r="CW2170" s="115"/>
      <c r="CX2170" s="115"/>
      <c r="CY2170" s="115"/>
      <c r="CZ2170" s="115"/>
      <c r="DA2170" s="115"/>
      <c r="DB2170" s="115"/>
      <c r="DC2170" s="115"/>
      <c r="DD2170" s="115"/>
      <c r="DE2170" s="115"/>
      <c r="DF2170" s="115"/>
      <c r="DG2170" s="115"/>
    </row>
    <row r="2171" spans="55:111" hidden="1">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c r="BY2171" s="115"/>
      <c r="BZ2171" s="115"/>
      <c r="CA2171" s="115"/>
      <c r="CB2171" s="115"/>
      <c r="CC2171" s="115"/>
      <c r="CD2171" s="115"/>
      <c r="CE2171" s="115"/>
      <c r="CF2171" s="115"/>
      <c r="CG2171" s="115"/>
      <c r="CH2171" s="115"/>
      <c r="CI2171" s="115"/>
      <c r="CJ2171" s="115"/>
      <c r="CK2171" s="115"/>
      <c r="CL2171" s="115"/>
      <c r="CM2171" s="115"/>
      <c r="CN2171" s="115"/>
      <c r="CO2171" s="115"/>
      <c r="CP2171" s="115"/>
      <c r="CQ2171" s="115"/>
      <c r="CR2171" s="115"/>
      <c r="CS2171" s="115"/>
      <c r="CT2171" s="115"/>
      <c r="CU2171" s="115"/>
      <c r="CV2171" s="115"/>
      <c r="CW2171" s="115"/>
      <c r="CX2171" s="115"/>
      <c r="CY2171" s="115"/>
      <c r="CZ2171" s="115"/>
      <c r="DA2171" s="115"/>
      <c r="DB2171" s="115"/>
      <c r="DC2171" s="115"/>
      <c r="DD2171" s="115"/>
      <c r="DE2171" s="115"/>
      <c r="DF2171" s="115"/>
      <c r="DG2171" s="115"/>
    </row>
    <row r="2172" spans="55:111" hidden="1">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c r="BY2172" s="115"/>
      <c r="BZ2172" s="115"/>
      <c r="CA2172" s="115"/>
      <c r="CB2172" s="115"/>
      <c r="CC2172" s="115"/>
      <c r="CD2172" s="115"/>
      <c r="CE2172" s="115"/>
      <c r="CF2172" s="115"/>
      <c r="CG2172" s="115"/>
      <c r="CH2172" s="115"/>
      <c r="CI2172" s="115"/>
      <c r="CJ2172" s="115"/>
      <c r="CK2172" s="115"/>
      <c r="CL2172" s="115"/>
      <c r="CM2172" s="115"/>
      <c r="CN2172" s="115"/>
      <c r="CO2172" s="115"/>
      <c r="CP2172" s="115"/>
      <c r="CQ2172" s="115"/>
      <c r="CR2172" s="115"/>
      <c r="CS2172" s="115"/>
      <c r="CT2172" s="115"/>
      <c r="CU2172" s="115"/>
      <c r="CV2172" s="115"/>
      <c r="CW2172" s="115"/>
      <c r="CX2172" s="115"/>
      <c r="CY2172" s="115"/>
      <c r="CZ2172" s="115"/>
      <c r="DA2172" s="115"/>
      <c r="DB2172" s="115"/>
      <c r="DC2172" s="115"/>
      <c r="DD2172" s="115"/>
      <c r="DE2172" s="115"/>
      <c r="DF2172" s="115"/>
      <c r="DG2172" s="115"/>
    </row>
    <row r="2173" spans="55:111" hidden="1">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c r="BY2173" s="115"/>
      <c r="BZ2173" s="115"/>
      <c r="CA2173" s="115"/>
      <c r="CB2173" s="115"/>
      <c r="CC2173" s="115"/>
      <c r="CD2173" s="115"/>
      <c r="CE2173" s="115"/>
      <c r="CF2173" s="115"/>
      <c r="CG2173" s="115"/>
      <c r="CH2173" s="115"/>
      <c r="CI2173" s="115"/>
      <c r="CJ2173" s="115"/>
      <c r="CK2173" s="115"/>
      <c r="CL2173" s="115"/>
      <c r="CM2173" s="115"/>
      <c r="CN2173" s="115"/>
      <c r="CO2173" s="115"/>
      <c r="CP2173" s="115"/>
      <c r="CQ2173" s="115"/>
      <c r="CR2173" s="115"/>
      <c r="CS2173" s="115"/>
      <c r="CT2173" s="115"/>
      <c r="CU2173" s="115"/>
      <c r="CV2173" s="115"/>
      <c r="CW2173" s="115"/>
      <c r="CX2173" s="115"/>
      <c r="CY2173" s="115"/>
      <c r="CZ2173" s="115"/>
      <c r="DA2173" s="115"/>
      <c r="DB2173" s="115"/>
      <c r="DC2173" s="115"/>
      <c r="DD2173" s="115"/>
      <c r="DE2173" s="115"/>
      <c r="DF2173" s="115"/>
      <c r="DG2173" s="115"/>
    </row>
    <row r="2174" spans="55:111" hidden="1">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c r="BY2174" s="115"/>
      <c r="BZ2174" s="115"/>
      <c r="CA2174" s="115"/>
      <c r="CB2174" s="115"/>
      <c r="CC2174" s="115"/>
      <c r="CD2174" s="115"/>
      <c r="CE2174" s="115"/>
      <c r="CF2174" s="115"/>
      <c r="CG2174" s="115"/>
      <c r="CH2174" s="115"/>
      <c r="CI2174" s="115"/>
      <c r="CJ2174" s="115"/>
      <c r="CK2174" s="115"/>
      <c r="CL2174" s="115"/>
      <c r="CM2174" s="115"/>
      <c r="CN2174" s="115"/>
      <c r="CO2174" s="115"/>
      <c r="CP2174" s="115"/>
      <c r="CQ2174" s="115"/>
      <c r="CR2174" s="115"/>
      <c r="CS2174" s="115"/>
      <c r="CT2174" s="115"/>
      <c r="CU2174" s="115"/>
      <c r="CV2174" s="115"/>
      <c r="CW2174" s="115"/>
      <c r="CX2174" s="115"/>
      <c r="CY2174" s="115"/>
      <c r="CZ2174" s="115"/>
      <c r="DA2174" s="115"/>
      <c r="DB2174" s="115"/>
      <c r="DC2174" s="115"/>
      <c r="DD2174" s="115"/>
      <c r="DE2174" s="115"/>
      <c r="DF2174" s="115"/>
      <c r="DG2174" s="115"/>
    </row>
    <row r="2175" spans="55:111" hidden="1">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c r="BY2175" s="115"/>
      <c r="BZ2175" s="115"/>
      <c r="CA2175" s="115"/>
      <c r="CB2175" s="115"/>
      <c r="CC2175" s="115"/>
      <c r="CD2175" s="115"/>
      <c r="CE2175" s="115"/>
      <c r="CF2175" s="115"/>
      <c r="CG2175" s="115"/>
      <c r="CH2175" s="115"/>
      <c r="CI2175" s="115"/>
      <c r="CJ2175" s="115"/>
      <c r="CK2175" s="115"/>
      <c r="CL2175" s="115"/>
      <c r="CM2175" s="115"/>
      <c r="CN2175" s="115"/>
      <c r="CO2175" s="115"/>
      <c r="CP2175" s="115"/>
      <c r="CQ2175" s="115"/>
      <c r="CR2175" s="115"/>
      <c r="CS2175" s="115"/>
      <c r="CT2175" s="115"/>
      <c r="CU2175" s="115"/>
      <c r="CV2175" s="115"/>
      <c r="CW2175" s="115"/>
      <c r="CX2175" s="115"/>
      <c r="CY2175" s="115"/>
      <c r="CZ2175" s="115"/>
      <c r="DA2175" s="115"/>
      <c r="DB2175" s="115"/>
      <c r="DC2175" s="115"/>
      <c r="DD2175" s="115"/>
      <c r="DE2175" s="115"/>
      <c r="DF2175" s="115"/>
      <c r="DG2175" s="115"/>
    </row>
    <row r="2176" spans="55:111" hidden="1">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c r="BY2176" s="115"/>
      <c r="BZ2176" s="115"/>
      <c r="CA2176" s="115"/>
      <c r="CB2176" s="115"/>
      <c r="CC2176" s="115"/>
      <c r="CD2176" s="115"/>
      <c r="CE2176" s="115"/>
      <c r="CF2176" s="115"/>
      <c r="CG2176" s="115"/>
      <c r="CH2176" s="115"/>
      <c r="CI2176" s="115"/>
      <c r="CJ2176" s="115"/>
      <c r="CK2176" s="115"/>
      <c r="CL2176" s="115"/>
      <c r="CM2176" s="115"/>
      <c r="CN2176" s="115"/>
      <c r="CO2176" s="115"/>
      <c r="CP2176" s="115"/>
      <c r="CQ2176" s="115"/>
      <c r="CR2176" s="115"/>
      <c r="CS2176" s="115"/>
      <c r="CT2176" s="115"/>
      <c r="CU2176" s="115"/>
      <c r="CV2176" s="115"/>
      <c r="CW2176" s="115"/>
      <c r="CX2176" s="115"/>
      <c r="CY2176" s="115"/>
      <c r="CZ2176" s="115"/>
      <c r="DA2176" s="115"/>
      <c r="DB2176" s="115"/>
      <c r="DC2176" s="115"/>
      <c r="DD2176" s="115"/>
      <c r="DE2176" s="115"/>
      <c r="DF2176" s="115"/>
      <c r="DG2176" s="115"/>
    </row>
    <row r="2177" spans="55:111" hidden="1">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c r="BY2177" s="115"/>
      <c r="BZ2177" s="115"/>
      <c r="CA2177" s="115"/>
      <c r="CB2177" s="115"/>
      <c r="CC2177" s="115"/>
      <c r="CD2177" s="115"/>
      <c r="CE2177" s="115"/>
      <c r="CF2177" s="115"/>
      <c r="CG2177" s="115"/>
      <c r="CH2177" s="115"/>
      <c r="CI2177" s="115"/>
      <c r="CJ2177" s="115"/>
      <c r="CK2177" s="115"/>
      <c r="CL2177" s="115"/>
      <c r="CM2177" s="115"/>
      <c r="CN2177" s="115"/>
      <c r="CO2177" s="115"/>
      <c r="CP2177" s="115"/>
      <c r="CQ2177" s="115"/>
      <c r="CR2177" s="115"/>
      <c r="CS2177" s="115"/>
      <c r="CT2177" s="115"/>
      <c r="CU2177" s="115"/>
      <c r="CV2177" s="115"/>
      <c r="CW2177" s="115"/>
      <c r="CX2177" s="115"/>
      <c r="CY2177" s="115"/>
      <c r="CZ2177" s="115"/>
      <c r="DA2177" s="115"/>
      <c r="DB2177" s="115"/>
      <c r="DC2177" s="115"/>
      <c r="DD2177" s="115"/>
      <c r="DE2177" s="115"/>
      <c r="DF2177" s="115"/>
      <c r="DG2177" s="115"/>
    </row>
    <row r="2178" spans="55:111" hidden="1">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c r="BY2178" s="115"/>
      <c r="BZ2178" s="115"/>
      <c r="CA2178" s="115"/>
      <c r="CB2178" s="115"/>
      <c r="CC2178" s="115"/>
      <c r="CD2178" s="115"/>
      <c r="CE2178" s="115"/>
      <c r="CF2178" s="115"/>
      <c r="CG2178" s="115"/>
      <c r="CH2178" s="115"/>
      <c r="CI2178" s="115"/>
      <c r="CJ2178" s="115"/>
      <c r="CK2178" s="115"/>
      <c r="CL2178" s="115"/>
      <c r="CM2178" s="115"/>
      <c r="CN2178" s="115"/>
      <c r="CO2178" s="115"/>
      <c r="CP2178" s="115"/>
      <c r="CQ2178" s="115"/>
      <c r="CR2178" s="115"/>
      <c r="CS2178" s="115"/>
      <c r="CT2178" s="115"/>
      <c r="CU2178" s="115"/>
      <c r="CV2178" s="115"/>
      <c r="CW2178" s="115"/>
      <c r="CX2178" s="115"/>
      <c r="CY2178" s="115"/>
      <c r="CZ2178" s="115"/>
      <c r="DA2178" s="115"/>
      <c r="DB2178" s="115"/>
      <c r="DC2178" s="115"/>
      <c r="DD2178" s="115"/>
      <c r="DE2178" s="115"/>
      <c r="DF2178" s="115"/>
      <c r="DG2178" s="115"/>
    </row>
    <row r="2179" spans="55:111" hidden="1">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c r="BY2179" s="115"/>
      <c r="BZ2179" s="115"/>
      <c r="CA2179" s="115"/>
      <c r="CB2179" s="115"/>
      <c r="CC2179" s="115"/>
      <c r="CD2179" s="115"/>
      <c r="CE2179" s="115"/>
      <c r="CF2179" s="115"/>
      <c r="CG2179" s="115"/>
      <c r="CH2179" s="115"/>
      <c r="CI2179" s="115"/>
      <c r="CJ2179" s="115"/>
      <c r="CK2179" s="115"/>
      <c r="CL2179" s="115"/>
      <c r="CM2179" s="115"/>
      <c r="CN2179" s="115"/>
      <c r="CO2179" s="115"/>
      <c r="CP2179" s="115"/>
      <c r="CQ2179" s="115"/>
      <c r="CR2179" s="115"/>
      <c r="CS2179" s="115"/>
      <c r="CT2179" s="115"/>
      <c r="CU2179" s="115"/>
      <c r="CV2179" s="115"/>
      <c r="CW2179" s="115"/>
      <c r="CX2179" s="115"/>
      <c r="CY2179" s="115"/>
      <c r="CZ2179" s="115"/>
      <c r="DA2179" s="115"/>
      <c r="DB2179" s="115"/>
      <c r="DC2179" s="115"/>
      <c r="DD2179" s="115"/>
      <c r="DE2179" s="115"/>
      <c r="DF2179" s="115"/>
      <c r="DG2179" s="115"/>
    </row>
    <row r="2180" spans="55:111" hidden="1">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c r="BY2180" s="115"/>
      <c r="BZ2180" s="115"/>
      <c r="CA2180" s="115"/>
      <c r="CB2180" s="115"/>
      <c r="CC2180" s="115"/>
      <c r="CD2180" s="115"/>
      <c r="CE2180" s="115"/>
      <c r="CF2180" s="115"/>
      <c r="CG2180" s="115"/>
      <c r="CH2180" s="115"/>
      <c r="CI2180" s="115"/>
      <c r="CJ2180" s="115"/>
      <c r="CK2180" s="115"/>
      <c r="CL2180" s="115"/>
      <c r="CM2180" s="115"/>
      <c r="CN2180" s="115"/>
      <c r="CO2180" s="115"/>
      <c r="CP2180" s="115"/>
      <c r="CQ2180" s="115"/>
      <c r="CR2180" s="115"/>
      <c r="CS2180" s="115"/>
      <c r="CT2180" s="115"/>
      <c r="CU2180" s="115"/>
      <c r="CV2180" s="115"/>
      <c r="CW2180" s="115"/>
      <c r="CX2180" s="115"/>
      <c r="CY2180" s="115"/>
      <c r="CZ2180" s="115"/>
      <c r="DA2180" s="115"/>
      <c r="DB2180" s="115"/>
      <c r="DC2180" s="115"/>
      <c r="DD2180" s="115"/>
      <c r="DE2180" s="115"/>
      <c r="DF2180" s="115"/>
      <c r="DG2180" s="115"/>
    </row>
    <row r="2181" spans="55:111" hidden="1">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c r="BY2181" s="115"/>
      <c r="BZ2181" s="115"/>
      <c r="CA2181" s="115"/>
      <c r="CB2181" s="115"/>
      <c r="CC2181" s="115"/>
      <c r="CD2181" s="115"/>
      <c r="CE2181" s="115"/>
      <c r="CF2181" s="115"/>
      <c r="CG2181" s="115"/>
      <c r="CH2181" s="115"/>
      <c r="CI2181" s="115"/>
      <c r="CJ2181" s="115"/>
      <c r="CK2181" s="115"/>
      <c r="CL2181" s="115"/>
      <c r="CM2181" s="115"/>
      <c r="CN2181" s="115"/>
      <c r="CO2181" s="115"/>
      <c r="CP2181" s="115"/>
      <c r="CQ2181" s="115"/>
      <c r="CR2181" s="115"/>
      <c r="CS2181" s="115"/>
      <c r="CT2181" s="115"/>
      <c r="CU2181" s="115"/>
      <c r="CV2181" s="115"/>
      <c r="CW2181" s="115"/>
      <c r="CX2181" s="115"/>
      <c r="CY2181" s="115"/>
      <c r="CZ2181" s="115"/>
      <c r="DA2181" s="115"/>
      <c r="DB2181" s="115"/>
      <c r="DC2181" s="115"/>
      <c r="DD2181" s="115"/>
      <c r="DE2181" s="115"/>
      <c r="DF2181" s="115"/>
      <c r="DG2181" s="115"/>
    </row>
    <row r="2182" spans="55:111" hidden="1">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c r="BY2182" s="115"/>
      <c r="BZ2182" s="115"/>
      <c r="CA2182" s="115"/>
      <c r="CB2182" s="115"/>
      <c r="CC2182" s="115"/>
      <c r="CD2182" s="115"/>
      <c r="CE2182" s="115"/>
      <c r="CF2182" s="115"/>
      <c r="CG2182" s="115"/>
      <c r="CH2182" s="115"/>
      <c r="CI2182" s="115"/>
      <c r="CJ2182" s="115"/>
      <c r="CK2182" s="115"/>
      <c r="CL2182" s="115"/>
      <c r="CM2182" s="115"/>
      <c r="CN2182" s="115"/>
      <c r="CO2182" s="115"/>
      <c r="CP2182" s="115"/>
      <c r="CQ2182" s="115"/>
      <c r="CR2182" s="115"/>
      <c r="CS2182" s="115"/>
      <c r="CT2182" s="115"/>
      <c r="CU2182" s="115"/>
      <c r="CV2182" s="115"/>
      <c r="CW2182" s="115"/>
      <c r="CX2182" s="115"/>
      <c r="CY2182" s="115"/>
      <c r="CZ2182" s="115"/>
      <c r="DA2182" s="115"/>
      <c r="DB2182" s="115"/>
      <c r="DC2182" s="115"/>
      <c r="DD2182" s="115"/>
      <c r="DE2182" s="115"/>
      <c r="DF2182" s="115"/>
      <c r="DG2182" s="115"/>
    </row>
    <row r="2183" spans="55:111" hidden="1">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c r="BY2183" s="115"/>
      <c r="BZ2183" s="115"/>
      <c r="CA2183" s="115"/>
      <c r="CB2183" s="115"/>
      <c r="CC2183" s="115"/>
      <c r="CD2183" s="115"/>
      <c r="CE2183" s="115"/>
      <c r="CF2183" s="115"/>
      <c r="CG2183" s="115"/>
      <c r="CH2183" s="115"/>
      <c r="CI2183" s="115"/>
      <c r="CJ2183" s="115"/>
      <c r="CK2183" s="115"/>
      <c r="CL2183" s="115"/>
      <c r="CM2183" s="115"/>
      <c r="CN2183" s="115"/>
      <c r="CO2183" s="115"/>
      <c r="CP2183" s="115"/>
      <c r="CQ2183" s="115"/>
      <c r="CR2183" s="115"/>
      <c r="CS2183" s="115"/>
      <c r="CT2183" s="115"/>
      <c r="CU2183" s="115"/>
      <c r="CV2183" s="115"/>
      <c r="CW2183" s="115"/>
      <c r="CX2183" s="115"/>
      <c r="CY2183" s="115"/>
      <c r="CZ2183" s="115"/>
      <c r="DA2183" s="115"/>
      <c r="DB2183" s="115"/>
      <c r="DC2183" s="115"/>
      <c r="DD2183" s="115"/>
      <c r="DE2183" s="115"/>
      <c r="DF2183" s="115"/>
      <c r="DG2183" s="115"/>
    </row>
    <row r="2184" spans="55:111" hidden="1">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c r="BY2184" s="115"/>
      <c r="BZ2184" s="115"/>
      <c r="CA2184" s="115"/>
      <c r="CB2184" s="115"/>
      <c r="CC2184" s="115"/>
      <c r="CD2184" s="115"/>
      <c r="CE2184" s="115"/>
      <c r="CF2184" s="115"/>
      <c r="CG2184" s="115"/>
      <c r="CH2184" s="115"/>
      <c r="CI2184" s="115"/>
      <c r="CJ2184" s="115"/>
      <c r="CK2184" s="115"/>
      <c r="CL2184" s="115"/>
      <c r="CM2184" s="115"/>
      <c r="CN2184" s="115"/>
      <c r="CO2184" s="115"/>
      <c r="CP2184" s="115"/>
      <c r="CQ2184" s="115"/>
      <c r="CR2184" s="115"/>
      <c r="CS2184" s="115"/>
      <c r="CT2184" s="115"/>
      <c r="CU2184" s="115"/>
      <c r="CV2184" s="115"/>
      <c r="CW2184" s="115"/>
      <c r="CX2184" s="115"/>
      <c r="CY2184" s="115"/>
      <c r="CZ2184" s="115"/>
      <c r="DA2184" s="115"/>
      <c r="DB2184" s="115"/>
      <c r="DC2184" s="115"/>
      <c r="DD2184" s="115"/>
      <c r="DE2184" s="115"/>
      <c r="DF2184" s="115"/>
      <c r="DG2184" s="115"/>
    </row>
    <row r="2185" spans="55:111" hidden="1">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c r="BY2185" s="115"/>
      <c r="BZ2185" s="115"/>
      <c r="CA2185" s="115"/>
      <c r="CB2185" s="115"/>
      <c r="CC2185" s="115"/>
      <c r="CD2185" s="115"/>
      <c r="CE2185" s="115"/>
      <c r="CF2185" s="115"/>
      <c r="CG2185" s="115"/>
      <c r="CH2185" s="115"/>
      <c r="CI2185" s="115"/>
      <c r="CJ2185" s="115"/>
      <c r="CK2185" s="115"/>
      <c r="CL2185" s="115"/>
      <c r="CM2185" s="115"/>
      <c r="CN2185" s="115"/>
      <c r="CO2185" s="115"/>
      <c r="CP2185" s="115"/>
      <c r="CQ2185" s="115"/>
      <c r="CR2185" s="115"/>
      <c r="CS2185" s="115"/>
      <c r="CT2185" s="115"/>
      <c r="CU2185" s="115"/>
      <c r="CV2185" s="115"/>
      <c r="CW2185" s="115"/>
      <c r="CX2185" s="115"/>
      <c r="CY2185" s="115"/>
      <c r="CZ2185" s="115"/>
      <c r="DA2185" s="115"/>
      <c r="DB2185" s="115"/>
      <c r="DC2185" s="115"/>
      <c r="DD2185" s="115"/>
      <c r="DE2185" s="115"/>
      <c r="DF2185" s="115"/>
      <c r="DG2185" s="115"/>
    </row>
    <row r="2186" spans="55:111" hidden="1">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c r="BY2186" s="115"/>
      <c r="BZ2186" s="115"/>
      <c r="CA2186" s="115"/>
      <c r="CB2186" s="115"/>
      <c r="CC2186" s="115"/>
      <c r="CD2186" s="115"/>
      <c r="CE2186" s="115"/>
      <c r="CF2186" s="115"/>
      <c r="CG2186" s="115"/>
      <c r="CH2186" s="115"/>
      <c r="CI2186" s="115"/>
      <c r="CJ2186" s="115"/>
      <c r="CK2186" s="115"/>
      <c r="CL2186" s="115"/>
      <c r="CM2186" s="115"/>
      <c r="CN2186" s="115"/>
      <c r="CO2186" s="115"/>
      <c r="CP2186" s="115"/>
      <c r="CQ2186" s="115"/>
      <c r="CR2186" s="115"/>
      <c r="CS2186" s="115"/>
      <c r="CT2186" s="115"/>
      <c r="CU2186" s="115"/>
      <c r="CV2186" s="115"/>
      <c r="CW2186" s="115"/>
      <c r="CX2186" s="115"/>
      <c r="CY2186" s="115"/>
      <c r="CZ2186" s="115"/>
      <c r="DA2186" s="115"/>
      <c r="DB2186" s="115"/>
      <c r="DC2186" s="115"/>
      <c r="DD2186" s="115"/>
      <c r="DE2186" s="115"/>
      <c r="DF2186" s="115"/>
      <c r="DG2186" s="115"/>
    </row>
    <row r="2187" spans="55:111" hidden="1">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c r="BY2187" s="115"/>
      <c r="BZ2187" s="115"/>
      <c r="CA2187" s="115"/>
      <c r="CB2187" s="115"/>
      <c r="CC2187" s="115"/>
      <c r="CD2187" s="115"/>
      <c r="CE2187" s="115"/>
      <c r="CF2187" s="115"/>
      <c r="CG2187" s="115"/>
      <c r="CH2187" s="115"/>
      <c r="CI2187" s="115"/>
      <c r="CJ2187" s="115"/>
      <c r="CK2187" s="115"/>
      <c r="CL2187" s="115"/>
      <c r="CM2187" s="115"/>
      <c r="CN2187" s="115"/>
      <c r="CO2187" s="115"/>
      <c r="CP2187" s="115"/>
      <c r="CQ2187" s="115"/>
      <c r="CR2187" s="115"/>
      <c r="CS2187" s="115"/>
      <c r="CT2187" s="115"/>
      <c r="CU2187" s="115"/>
      <c r="CV2187" s="115"/>
      <c r="CW2187" s="115"/>
      <c r="CX2187" s="115"/>
      <c r="CY2187" s="115"/>
      <c r="CZ2187" s="115"/>
      <c r="DA2187" s="115"/>
      <c r="DB2187" s="115"/>
      <c r="DC2187" s="115"/>
      <c r="DD2187" s="115"/>
      <c r="DE2187" s="115"/>
      <c r="DF2187" s="115"/>
      <c r="DG2187" s="115"/>
    </row>
    <row r="2188" spans="55:111" hidden="1">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c r="BY2188" s="115"/>
      <c r="BZ2188" s="115"/>
      <c r="CA2188" s="115"/>
      <c r="CB2188" s="115"/>
      <c r="CC2188" s="115"/>
      <c r="CD2188" s="115"/>
      <c r="CE2188" s="115"/>
      <c r="CF2188" s="115"/>
      <c r="CG2188" s="115"/>
      <c r="CH2188" s="115"/>
      <c r="CI2188" s="115"/>
      <c r="CJ2188" s="115"/>
      <c r="CK2188" s="115"/>
      <c r="CL2188" s="115"/>
      <c r="CM2188" s="115"/>
      <c r="CN2188" s="115"/>
      <c r="CO2188" s="115"/>
      <c r="CP2188" s="115"/>
      <c r="CQ2188" s="115"/>
      <c r="CR2188" s="115"/>
      <c r="CS2188" s="115"/>
      <c r="CT2188" s="115"/>
      <c r="CU2188" s="115"/>
      <c r="CV2188" s="115"/>
      <c r="CW2188" s="115"/>
      <c r="CX2188" s="115"/>
      <c r="CY2188" s="115"/>
      <c r="CZ2188" s="115"/>
      <c r="DA2188" s="115"/>
      <c r="DB2188" s="115"/>
      <c r="DC2188" s="115"/>
      <c r="DD2188" s="115"/>
      <c r="DE2188" s="115"/>
      <c r="DF2188" s="115"/>
      <c r="DG2188" s="115"/>
    </row>
    <row r="2189" spans="55:111" hidden="1">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c r="BY2189" s="115"/>
      <c r="BZ2189" s="115"/>
      <c r="CA2189" s="115"/>
      <c r="CB2189" s="115"/>
      <c r="CC2189" s="115"/>
      <c r="CD2189" s="115"/>
      <c r="CE2189" s="115"/>
      <c r="CF2189" s="115"/>
      <c r="CG2189" s="115"/>
      <c r="CH2189" s="115"/>
      <c r="CI2189" s="115"/>
      <c r="CJ2189" s="115"/>
      <c r="CK2189" s="115"/>
      <c r="CL2189" s="115"/>
      <c r="CM2189" s="115"/>
      <c r="CN2189" s="115"/>
      <c r="CO2189" s="115"/>
      <c r="CP2189" s="115"/>
      <c r="CQ2189" s="115"/>
      <c r="CR2189" s="115"/>
      <c r="CS2189" s="115"/>
      <c r="CT2189" s="115"/>
      <c r="CU2189" s="115"/>
      <c r="CV2189" s="115"/>
      <c r="CW2189" s="115"/>
      <c r="CX2189" s="115"/>
      <c r="CY2189" s="115"/>
      <c r="CZ2189" s="115"/>
      <c r="DA2189" s="115"/>
      <c r="DB2189" s="115"/>
      <c r="DC2189" s="115"/>
      <c r="DD2189" s="115"/>
      <c r="DE2189" s="115"/>
      <c r="DF2189" s="115"/>
      <c r="DG2189" s="115"/>
    </row>
    <row r="2190" spans="55:111" hidden="1">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c r="BY2190" s="115"/>
      <c r="BZ2190" s="115"/>
      <c r="CA2190" s="115"/>
      <c r="CB2190" s="115"/>
      <c r="CC2190" s="115"/>
      <c r="CD2190" s="115"/>
      <c r="CE2190" s="115"/>
      <c r="CF2190" s="115"/>
      <c r="CG2190" s="115"/>
      <c r="CH2190" s="115"/>
      <c r="CI2190" s="115"/>
      <c r="CJ2190" s="115"/>
      <c r="CK2190" s="115"/>
      <c r="CL2190" s="115"/>
      <c r="CM2190" s="115"/>
      <c r="CN2190" s="115"/>
      <c r="CO2190" s="115"/>
      <c r="CP2190" s="115"/>
      <c r="CQ2190" s="115"/>
      <c r="CR2190" s="115"/>
      <c r="CS2190" s="115"/>
      <c r="CT2190" s="115"/>
      <c r="CU2190" s="115"/>
      <c r="CV2190" s="115"/>
      <c r="CW2190" s="115"/>
      <c r="CX2190" s="115"/>
      <c r="CY2190" s="115"/>
      <c r="CZ2190" s="115"/>
      <c r="DA2190" s="115"/>
      <c r="DB2190" s="115"/>
      <c r="DC2190" s="115"/>
      <c r="DD2190" s="115"/>
      <c r="DE2190" s="115"/>
      <c r="DF2190" s="115"/>
      <c r="DG2190" s="115"/>
    </row>
    <row r="2191" spans="55:111" hidden="1">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c r="BY2191" s="115"/>
      <c r="BZ2191" s="115"/>
      <c r="CA2191" s="115"/>
      <c r="CB2191" s="115"/>
      <c r="CC2191" s="115"/>
      <c r="CD2191" s="115"/>
      <c r="CE2191" s="115"/>
      <c r="CF2191" s="115"/>
      <c r="CG2191" s="115"/>
      <c r="CH2191" s="115"/>
      <c r="CI2191" s="115"/>
      <c r="CJ2191" s="115"/>
      <c r="CK2191" s="115"/>
      <c r="CL2191" s="115"/>
      <c r="CM2191" s="115"/>
      <c r="CN2191" s="115"/>
      <c r="CO2191" s="115"/>
      <c r="CP2191" s="115"/>
      <c r="CQ2191" s="115"/>
      <c r="CR2191" s="115"/>
      <c r="CS2191" s="115"/>
      <c r="CT2191" s="115"/>
      <c r="CU2191" s="115"/>
      <c r="CV2191" s="115"/>
      <c r="CW2191" s="115"/>
      <c r="CX2191" s="115"/>
      <c r="CY2191" s="115"/>
      <c r="CZ2191" s="115"/>
      <c r="DA2191" s="115"/>
      <c r="DB2191" s="115"/>
      <c r="DC2191" s="115"/>
      <c r="DD2191" s="115"/>
      <c r="DE2191" s="115"/>
      <c r="DF2191" s="115"/>
      <c r="DG2191" s="115"/>
    </row>
    <row r="2192" spans="55:111" hidden="1">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c r="BY2192" s="115"/>
      <c r="BZ2192" s="115"/>
      <c r="CA2192" s="115"/>
      <c r="CB2192" s="115"/>
      <c r="CC2192" s="115"/>
      <c r="CD2192" s="115"/>
      <c r="CE2192" s="115"/>
      <c r="CF2192" s="115"/>
      <c r="CG2192" s="115"/>
      <c r="CH2192" s="115"/>
      <c r="CI2192" s="115"/>
      <c r="CJ2192" s="115"/>
      <c r="CK2192" s="115"/>
      <c r="CL2192" s="115"/>
      <c r="CM2192" s="115"/>
      <c r="CN2192" s="115"/>
      <c r="CO2192" s="115"/>
      <c r="CP2192" s="115"/>
      <c r="CQ2192" s="115"/>
      <c r="CR2192" s="115"/>
      <c r="CS2192" s="115"/>
      <c r="CT2192" s="115"/>
      <c r="CU2192" s="115"/>
      <c r="CV2192" s="115"/>
      <c r="CW2192" s="115"/>
      <c r="CX2192" s="115"/>
      <c r="CY2192" s="115"/>
      <c r="CZ2192" s="115"/>
      <c r="DA2192" s="115"/>
      <c r="DB2192" s="115"/>
      <c r="DC2192" s="115"/>
      <c r="DD2192" s="115"/>
      <c r="DE2192" s="115"/>
      <c r="DF2192" s="115"/>
      <c r="DG2192" s="115"/>
    </row>
    <row r="2193" spans="55:111" hidden="1">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c r="BY2193" s="115"/>
      <c r="BZ2193" s="115"/>
      <c r="CA2193" s="115"/>
      <c r="CB2193" s="115"/>
      <c r="CC2193" s="115"/>
      <c r="CD2193" s="115"/>
      <c r="CE2193" s="115"/>
      <c r="CF2193" s="115"/>
      <c r="CG2193" s="115"/>
      <c r="CH2193" s="115"/>
      <c r="CI2193" s="115"/>
      <c r="CJ2193" s="115"/>
      <c r="CK2193" s="115"/>
      <c r="CL2193" s="115"/>
      <c r="CM2193" s="115"/>
      <c r="CN2193" s="115"/>
      <c r="CO2193" s="115"/>
      <c r="CP2193" s="115"/>
      <c r="CQ2193" s="115"/>
      <c r="CR2193" s="115"/>
      <c r="CS2193" s="115"/>
      <c r="CT2193" s="115"/>
      <c r="CU2193" s="115"/>
      <c r="CV2193" s="115"/>
      <c r="CW2193" s="115"/>
      <c r="CX2193" s="115"/>
      <c r="CY2193" s="115"/>
      <c r="CZ2193" s="115"/>
      <c r="DA2193" s="115"/>
      <c r="DB2193" s="115"/>
      <c r="DC2193" s="115"/>
      <c r="DD2193" s="115"/>
      <c r="DE2193" s="115"/>
      <c r="DF2193" s="115"/>
      <c r="DG2193" s="115"/>
    </row>
    <row r="2194" spans="55:111" hidden="1">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c r="BY2194" s="115"/>
      <c r="BZ2194" s="115"/>
      <c r="CA2194" s="115"/>
      <c r="CB2194" s="115"/>
      <c r="CC2194" s="115"/>
      <c r="CD2194" s="115"/>
      <c r="CE2194" s="115"/>
      <c r="CF2194" s="115"/>
      <c r="CG2194" s="115"/>
      <c r="CH2194" s="115"/>
      <c r="CI2194" s="115"/>
      <c r="CJ2194" s="115"/>
      <c r="CK2194" s="115"/>
      <c r="CL2194" s="115"/>
      <c r="CM2194" s="115"/>
      <c r="CN2194" s="115"/>
      <c r="CO2194" s="115"/>
      <c r="CP2194" s="115"/>
      <c r="CQ2194" s="115"/>
      <c r="CR2194" s="115"/>
      <c r="CS2194" s="115"/>
      <c r="CT2194" s="115"/>
      <c r="CU2194" s="115"/>
      <c r="CV2194" s="115"/>
      <c r="CW2194" s="115"/>
      <c r="CX2194" s="115"/>
      <c r="CY2194" s="115"/>
      <c r="CZ2194" s="115"/>
      <c r="DA2194" s="115"/>
      <c r="DB2194" s="115"/>
      <c r="DC2194" s="115"/>
      <c r="DD2194" s="115"/>
      <c r="DE2194" s="115"/>
      <c r="DF2194" s="115"/>
      <c r="DG2194" s="115"/>
    </row>
    <row r="2195" spans="55:111" hidden="1">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c r="BY2195" s="115"/>
      <c r="BZ2195" s="115"/>
      <c r="CA2195" s="115"/>
      <c r="CB2195" s="115"/>
      <c r="CC2195" s="115"/>
      <c r="CD2195" s="115"/>
      <c r="CE2195" s="115"/>
      <c r="CF2195" s="115"/>
      <c r="CG2195" s="115"/>
      <c r="CH2195" s="115"/>
      <c r="CI2195" s="115"/>
      <c r="CJ2195" s="115"/>
      <c r="CK2195" s="115"/>
      <c r="CL2195" s="115"/>
      <c r="CM2195" s="115"/>
      <c r="CN2195" s="115"/>
      <c r="CO2195" s="115"/>
      <c r="CP2195" s="115"/>
      <c r="CQ2195" s="115"/>
      <c r="CR2195" s="115"/>
      <c r="CS2195" s="115"/>
      <c r="CT2195" s="115"/>
      <c r="CU2195" s="115"/>
      <c r="CV2195" s="115"/>
      <c r="CW2195" s="115"/>
      <c r="CX2195" s="115"/>
      <c r="CY2195" s="115"/>
      <c r="CZ2195" s="115"/>
      <c r="DA2195" s="115"/>
      <c r="DB2195" s="115"/>
      <c r="DC2195" s="115"/>
      <c r="DD2195" s="115"/>
      <c r="DE2195" s="115"/>
      <c r="DF2195" s="115"/>
      <c r="DG2195" s="115"/>
    </row>
    <row r="2196" spans="55:111" hidden="1">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c r="BY2196" s="115"/>
      <c r="BZ2196" s="115"/>
      <c r="CA2196" s="115"/>
      <c r="CB2196" s="115"/>
      <c r="CC2196" s="115"/>
      <c r="CD2196" s="115"/>
      <c r="CE2196" s="115"/>
      <c r="CF2196" s="115"/>
      <c r="CG2196" s="115"/>
      <c r="CH2196" s="115"/>
      <c r="CI2196" s="115"/>
      <c r="CJ2196" s="115"/>
      <c r="CK2196" s="115"/>
      <c r="CL2196" s="115"/>
      <c r="CM2196" s="115"/>
      <c r="CN2196" s="115"/>
      <c r="CO2196" s="115"/>
      <c r="CP2196" s="115"/>
      <c r="CQ2196" s="115"/>
      <c r="CR2196" s="115"/>
      <c r="CS2196" s="115"/>
      <c r="CT2196" s="115"/>
      <c r="CU2196" s="115"/>
      <c r="CV2196" s="115"/>
      <c r="CW2196" s="115"/>
      <c r="CX2196" s="115"/>
      <c r="CY2196" s="115"/>
      <c r="CZ2196" s="115"/>
      <c r="DA2196" s="115"/>
      <c r="DB2196" s="115"/>
      <c r="DC2196" s="115"/>
      <c r="DD2196" s="115"/>
      <c r="DE2196" s="115"/>
      <c r="DF2196" s="115"/>
      <c r="DG2196" s="115"/>
    </row>
    <row r="2197" spans="55:111" hidden="1">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c r="BY2197" s="115"/>
      <c r="BZ2197" s="115"/>
      <c r="CA2197" s="115"/>
      <c r="CB2197" s="115"/>
      <c r="CC2197" s="115"/>
      <c r="CD2197" s="115"/>
      <c r="CE2197" s="115"/>
      <c r="CF2197" s="115"/>
      <c r="CG2197" s="115"/>
      <c r="CH2197" s="115"/>
      <c r="CI2197" s="115"/>
      <c r="CJ2197" s="115"/>
      <c r="CK2197" s="115"/>
      <c r="CL2197" s="115"/>
      <c r="CM2197" s="115"/>
      <c r="CN2197" s="115"/>
      <c r="CO2197" s="115"/>
      <c r="CP2197" s="115"/>
      <c r="CQ2197" s="115"/>
      <c r="CR2197" s="115"/>
      <c r="CS2197" s="115"/>
      <c r="CT2197" s="115"/>
      <c r="CU2197" s="115"/>
      <c r="CV2197" s="115"/>
      <c r="CW2197" s="115"/>
      <c r="CX2197" s="115"/>
      <c r="CY2197" s="115"/>
      <c r="CZ2197" s="115"/>
      <c r="DA2197" s="115"/>
      <c r="DB2197" s="115"/>
      <c r="DC2197" s="115"/>
      <c r="DD2197" s="115"/>
      <c r="DE2197" s="115"/>
      <c r="DF2197" s="115"/>
      <c r="DG2197" s="115"/>
    </row>
    <row r="2198" spans="55:111" hidden="1">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c r="BY2198" s="115"/>
      <c r="BZ2198" s="115"/>
      <c r="CA2198" s="115"/>
      <c r="CB2198" s="115"/>
      <c r="CC2198" s="115"/>
      <c r="CD2198" s="115"/>
      <c r="CE2198" s="115"/>
      <c r="CF2198" s="115"/>
      <c r="CG2198" s="115"/>
      <c r="CH2198" s="115"/>
      <c r="CI2198" s="115"/>
      <c r="CJ2198" s="115"/>
      <c r="CK2198" s="115"/>
      <c r="CL2198" s="115"/>
      <c r="CM2198" s="115"/>
      <c r="CN2198" s="115"/>
      <c r="CO2198" s="115"/>
      <c r="CP2198" s="115"/>
      <c r="CQ2198" s="115"/>
      <c r="CR2198" s="115"/>
      <c r="CS2198" s="115"/>
      <c r="CT2198" s="115"/>
      <c r="CU2198" s="115"/>
      <c r="CV2198" s="115"/>
      <c r="CW2198" s="115"/>
      <c r="CX2198" s="115"/>
      <c r="CY2198" s="115"/>
      <c r="CZ2198" s="115"/>
      <c r="DA2198" s="115"/>
      <c r="DB2198" s="115"/>
      <c r="DC2198" s="115"/>
      <c r="DD2198" s="115"/>
      <c r="DE2198" s="115"/>
      <c r="DF2198" s="115"/>
      <c r="DG2198" s="115"/>
    </row>
    <row r="2199" spans="55:111" hidden="1">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c r="BY2199" s="115"/>
      <c r="BZ2199" s="115"/>
      <c r="CA2199" s="115"/>
      <c r="CB2199" s="115"/>
      <c r="CC2199" s="115"/>
      <c r="CD2199" s="115"/>
      <c r="CE2199" s="115"/>
      <c r="CF2199" s="115"/>
      <c r="CG2199" s="115"/>
      <c r="CH2199" s="115"/>
      <c r="CI2199" s="115"/>
      <c r="CJ2199" s="115"/>
      <c r="CK2199" s="115"/>
      <c r="CL2199" s="115"/>
      <c r="CM2199" s="115"/>
      <c r="CN2199" s="115"/>
      <c r="CO2199" s="115"/>
      <c r="CP2199" s="115"/>
      <c r="CQ2199" s="115"/>
      <c r="CR2199" s="115"/>
      <c r="CS2199" s="115"/>
      <c r="CT2199" s="115"/>
      <c r="CU2199" s="115"/>
      <c r="CV2199" s="115"/>
      <c r="CW2199" s="115"/>
      <c r="CX2199" s="115"/>
      <c r="CY2199" s="115"/>
      <c r="CZ2199" s="115"/>
      <c r="DA2199" s="115"/>
      <c r="DB2199" s="115"/>
      <c r="DC2199" s="115"/>
      <c r="DD2199" s="115"/>
      <c r="DE2199" s="115"/>
      <c r="DF2199" s="115"/>
      <c r="DG2199" s="115"/>
    </row>
    <row r="2200" spans="55:111" hidden="1">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c r="BY2200" s="115"/>
      <c r="BZ2200" s="115"/>
      <c r="CA2200" s="115"/>
      <c r="CB2200" s="115"/>
      <c r="CC2200" s="115"/>
      <c r="CD2200" s="115"/>
      <c r="CE2200" s="115"/>
      <c r="CF2200" s="115"/>
      <c r="CG2200" s="115"/>
      <c r="CH2200" s="115"/>
      <c r="CI2200" s="115"/>
      <c r="CJ2200" s="115"/>
      <c r="CK2200" s="115"/>
      <c r="CL2200" s="115"/>
      <c r="CM2200" s="115"/>
      <c r="CN2200" s="115"/>
      <c r="CO2200" s="115"/>
      <c r="CP2200" s="115"/>
      <c r="CQ2200" s="115"/>
      <c r="CR2200" s="115"/>
      <c r="CS2200" s="115"/>
      <c r="CT2200" s="115"/>
      <c r="CU2200" s="115"/>
      <c r="CV2200" s="115"/>
      <c r="CW2200" s="115"/>
      <c r="CX2200" s="115"/>
      <c r="CY2200" s="115"/>
      <c r="CZ2200" s="115"/>
      <c r="DA2200" s="115"/>
      <c r="DB2200" s="115"/>
      <c r="DC2200" s="115"/>
      <c r="DD2200" s="115"/>
      <c r="DE2200" s="115"/>
      <c r="DF2200" s="115"/>
      <c r="DG2200" s="115"/>
    </row>
    <row r="2201" spans="55:111" hidden="1">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c r="BY2201" s="115"/>
      <c r="BZ2201" s="115"/>
      <c r="CA2201" s="115"/>
      <c r="CB2201" s="115"/>
      <c r="CC2201" s="115"/>
      <c r="CD2201" s="115"/>
      <c r="CE2201" s="115"/>
      <c r="CF2201" s="115"/>
      <c r="CG2201" s="115"/>
      <c r="CH2201" s="115"/>
      <c r="CI2201" s="115"/>
      <c r="CJ2201" s="115"/>
      <c r="CK2201" s="115"/>
      <c r="CL2201" s="115"/>
      <c r="CM2201" s="115"/>
      <c r="CN2201" s="115"/>
      <c r="CO2201" s="115"/>
      <c r="CP2201" s="115"/>
      <c r="CQ2201" s="115"/>
      <c r="CR2201" s="115"/>
      <c r="CS2201" s="115"/>
      <c r="CT2201" s="115"/>
      <c r="CU2201" s="115"/>
      <c r="CV2201" s="115"/>
      <c r="CW2201" s="115"/>
      <c r="CX2201" s="115"/>
      <c r="CY2201" s="115"/>
      <c r="CZ2201" s="115"/>
      <c r="DA2201" s="115"/>
      <c r="DB2201" s="115"/>
      <c r="DC2201" s="115"/>
      <c r="DD2201" s="115"/>
      <c r="DE2201" s="115"/>
      <c r="DF2201" s="115"/>
      <c r="DG2201" s="115"/>
    </row>
    <row r="2202" spans="55:111" hidden="1">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c r="BY2202" s="115"/>
      <c r="BZ2202" s="115"/>
      <c r="CA2202" s="115"/>
      <c r="CB2202" s="115"/>
      <c r="CC2202" s="115"/>
      <c r="CD2202" s="115"/>
      <c r="CE2202" s="115"/>
      <c r="CF2202" s="115"/>
      <c r="CG2202" s="115"/>
      <c r="CH2202" s="115"/>
      <c r="CI2202" s="115"/>
      <c r="CJ2202" s="115"/>
      <c r="CK2202" s="115"/>
      <c r="CL2202" s="115"/>
      <c r="CM2202" s="115"/>
      <c r="CN2202" s="115"/>
      <c r="CO2202" s="115"/>
      <c r="CP2202" s="115"/>
      <c r="CQ2202" s="115"/>
      <c r="CR2202" s="115"/>
      <c r="CS2202" s="115"/>
      <c r="CT2202" s="115"/>
      <c r="CU2202" s="115"/>
      <c r="CV2202" s="115"/>
      <c r="CW2202" s="115"/>
      <c r="CX2202" s="115"/>
      <c r="CY2202" s="115"/>
      <c r="CZ2202" s="115"/>
      <c r="DA2202" s="115"/>
      <c r="DB2202" s="115"/>
      <c r="DC2202" s="115"/>
      <c r="DD2202" s="115"/>
      <c r="DE2202" s="115"/>
      <c r="DF2202" s="115"/>
      <c r="DG2202" s="115"/>
    </row>
    <row r="2203" spans="55:111" hidden="1">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c r="BY2203" s="115"/>
      <c r="BZ2203" s="115"/>
      <c r="CA2203" s="115"/>
      <c r="CB2203" s="115"/>
      <c r="CC2203" s="115"/>
      <c r="CD2203" s="115"/>
      <c r="CE2203" s="115"/>
      <c r="CF2203" s="115"/>
      <c r="CG2203" s="115"/>
      <c r="CH2203" s="115"/>
      <c r="CI2203" s="115"/>
      <c r="CJ2203" s="115"/>
      <c r="CK2203" s="115"/>
      <c r="CL2203" s="115"/>
      <c r="CM2203" s="115"/>
      <c r="CN2203" s="115"/>
      <c r="CO2203" s="115"/>
      <c r="CP2203" s="115"/>
      <c r="CQ2203" s="115"/>
      <c r="CR2203" s="115"/>
      <c r="CS2203" s="115"/>
      <c r="CT2203" s="115"/>
      <c r="CU2203" s="115"/>
      <c r="CV2203" s="115"/>
      <c r="CW2203" s="115"/>
      <c r="CX2203" s="115"/>
      <c r="CY2203" s="115"/>
      <c r="CZ2203" s="115"/>
      <c r="DA2203" s="115"/>
      <c r="DB2203" s="115"/>
      <c r="DC2203" s="115"/>
      <c r="DD2203" s="115"/>
      <c r="DE2203" s="115"/>
      <c r="DF2203" s="115"/>
      <c r="DG2203" s="115"/>
    </row>
    <row r="2204" spans="55:111" hidden="1">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c r="BY2204" s="115"/>
      <c r="BZ2204" s="115"/>
      <c r="CA2204" s="115"/>
      <c r="CB2204" s="115"/>
      <c r="CC2204" s="115"/>
      <c r="CD2204" s="115"/>
      <c r="CE2204" s="115"/>
      <c r="CF2204" s="115"/>
      <c r="CG2204" s="115"/>
      <c r="CH2204" s="115"/>
      <c r="CI2204" s="115"/>
      <c r="CJ2204" s="115"/>
      <c r="CK2204" s="115"/>
      <c r="CL2204" s="115"/>
      <c r="CM2204" s="115"/>
      <c r="CN2204" s="115"/>
      <c r="CO2204" s="115"/>
      <c r="CP2204" s="115"/>
      <c r="CQ2204" s="115"/>
      <c r="CR2204" s="115"/>
      <c r="CS2204" s="115"/>
      <c r="CT2204" s="115"/>
      <c r="CU2204" s="115"/>
      <c r="CV2204" s="115"/>
      <c r="CW2204" s="115"/>
      <c r="CX2204" s="115"/>
      <c r="CY2204" s="115"/>
      <c r="CZ2204" s="115"/>
      <c r="DA2204" s="115"/>
      <c r="DB2204" s="115"/>
      <c r="DC2204" s="115"/>
      <c r="DD2204" s="115"/>
      <c r="DE2204" s="115"/>
      <c r="DF2204" s="115"/>
      <c r="DG2204" s="115"/>
    </row>
    <row r="2205" spans="55:111" hidden="1">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c r="BY2205" s="115"/>
      <c r="BZ2205" s="115"/>
      <c r="CA2205" s="115"/>
      <c r="CB2205" s="115"/>
      <c r="CC2205" s="115"/>
      <c r="CD2205" s="115"/>
      <c r="CE2205" s="115"/>
      <c r="CF2205" s="115"/>
      <c r="CG2205" s="115"/>
      <c r="CH2205" s="115"/>
      <c r="CI2205" s="115"/>
      <c r="CJ2205" s="115"/>
      <c r="CK2205" s="115"/>
      <c r="CL2205" s="115"/>
      <c r="CM2205" s="115"/>
      <c r="CN2205" s="115"/>
      <c r="CO2205" s="115"/>
      <c r="CP2205" s="115"/>
      <c r="CQ2205" s="115"/>
      <c r="CR2205" s="115"/>
      <c r="CS2205" s="115"/>
      <c r="CT2205" s="115"/>
      <c r="CU2205" s="115"/>
      <c r="CV2205" s="115"/>
      <c r="CW2205" s="115"/>
      <c r="CX2205" s="115"/>
      <c r="CY2205" s="115"/>
      <c r="CZ2205" s="115"/>
      <c r="DA2205" s="115"/>
      <c r="DB2205" s="115"/>
      <c r="DC2205" s="115"/>
      <c r="DD2205" s="115"/>
      <c r="DE2205" s="115"/>
      <c r="DF2205" s="115"/>
      <c r="DG2205" s="115"/>
    </row>
    <row r="2206" spans="55:111" hidden="1">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c r="BY2206" s="115"/>
      <c r="BZ2206" s="115"/>
      <c r="CA2206" s="115"/>
      <c r="CB2206" s="115"/>
      <c r="CC2206" s="115"/>
      <c r="CD2206" s="115"/>
      <c r="CE2206" s="115"/>
      <c r="CF2206" s="115"/>
      <c r="CG2206" s="115"/>
      <c r="CH2206" s="115"/>
      <c r="CI2206" s="115"/>
      <c r="CJ2206" s="115"/>
      <c r="CK2206" s="115"/>
      <c r="CL2206" s="115"/>
      <c r="CM2206" s="115"/>
      <c r="CN2206" s="115"/>
      <c r="CO2206" s="115"/>
      <c r="CP2206" s="115"/>
      <c r="CQ2206" s="115"/>
      <c r="CR2206" s="115"/>
      <c r="CS2206" s="115"/>
      <c r="CT2206" s="115"/>
      <c r="CU2206" s="115"/>
      <c r="CV2206" s="115"/>
      <c r="CW2206" s="115"/>
      <c r="CX2206" s="115"/>
      <c r="CY2206" s="115"/>
      <c r="CZ2206" s="115"/>
      <c r="DA2206" s="115"/>
      <c r="DB2206" s="115"/>
      <c r="DC2206" s="115"/>
      <c r="DD2206" s="115"/>
      <c r="DE2206" s="115"/>
      <c r="DF2206" s="115"/>
      <c r="DG2206" s="115"/>
    </row>
    <row r="2207" spans="55:111" hidden="1">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c r="BY2207" s="115"/>
      <c r="BZ2207" s="115"/>
      <c r="CA2207" s="115"/>
      <c r="CB2207" s="115"/>
      <c r="CC2207" s="115"/>
      <c r="CD2207" s="115"/>
      <c r="CE2207" s="115"/>
      <c r="CF2207" s="115"/>
      <c r="CG2207" s="115"/>
      <c r="CH2207" s="115"/>
      <c r="CI2207" s="115"/>
      <c r="CJ2207" s="115"/>
      <c r="CK2207" s="115"/>
      <c r="CL2207" s="115"/>
      <c r="CM2207" s="115"/>
      <c r="CN2207" s="115"/>
      <c r="CO2207" s="115"/>
      <c r="CP2207" s="115"/>
      <c r="CQ2207" s="115"/>
      <c r="CR2207" s="115"/>
      <c r="CS2207" s="115"/>
      <c r="CT2207" s="115"/>
      <c r="CU2207" s="115"/>
      <c r="CV2207" s="115"/>
      <c r="CW2207" s="115"/>
      <c r="CX2207" s="115"/>
      <c r="CY2207" s="115"/>
      <c r="CZ2207" s="115"/>
      <c r="DA2207" s="115"/>
      <c r="DB2207" s="115"/>
      <c r="DC2207" s="115"/>
      <c r="DD2207" s="115"/>
      <c r="DE2207" s="115"/>
      <c r="DF2207" s="115"/>
      <c r="DG2207" s="115"/>
    </row>
    <row r="2208" spans="55:111" hidden="1">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c r="BY2208" s="115"/>
      <c r="BZ2208" s="115"/>
      <c r="CA2208" s="115"/>
      <c r="CB2208" s="115"/>
      <c r="CC2208" s="115"/>
      <c r="CD2208" s="115"/>
      <c r="CE2208" s="115"/>
      <c r="CF2208" s="115"/>
      <c r="CG2208" s="115"/>
      <c r="CH2208" s="115"/>
      <c r="CI2208" s="115"/>
      <c r="CJ2208" s="115"/>
      <c r="CK2208" s="115"/>
      <c r="CL2208" s="115"/>
      <c r="CM2208" s="115"/>
      <c r="CN2208" s="115"/>
      <c r="CO2208" s="115"/>
      <c r="CP2208" s="115"/>
      <c r="CQ2208" s="115"/>
      <c r="CR2208" s="115"/>
      <c r="CS2208" s="115"/>
      <c r="CT2208" s="115"/>
      <c r="CU2208" s="115"/>
      <c r="CV2208" s="115"/>
      <c r="CW2208" s="115"/>
      <c r="CX2208" s="115"/>
      <c r="CY2208" s="115"/>
      <c r="CZ2208" s="115"/>
      <c r="DA2208" s="115"/>
      <c r="DB2208" s="115"/>
      <c r="DC2208" s="115"/>
      <c r="DD2208" s="115"/>
      <c r="DE2208" s="115"/>
      <c r="DF2208" s="115"/>
      <c r="DG2208" s="115"/>
    </row>
    <row r="2209" spans="55:111" hidden="1">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c r="BY2209" s="115"/>
      <c r="BZ2209" s="115"/>
      <c r="CA2209" s="115"/>
      <c r="CB2209" s="115"/>
      <c r="CC2209" s="115"/>
      <c r="CD2209" s="115"/>
      <c r="CE2209" s="115"/>
      <c r="CF2209" s="115"/>
      <c r="CG2209" s="115"/>
      <c r="CH2209" s="115"/>
      <c r="CI2209" s="115"/>
      <c r="CJ2209" s="115"/>
      <c r="CK2209" s="115"/>
      <c r="CL2209" s="115"/>
      <c r="CM2209" s="115"/>
      <c r="CN2209" s="115"/>
      <c r="CO2209" s="115"/>
      <c r="CP2209" s="115"/>
      <c r="CQ2209" s="115"/>
      <c r="CR2209" s="115"/>
      <c r="CS2209" s="115"/>
      <c r="CT2209" s="115"/>
      <c r="CU2209" s="115"/>
      <c r="CV2209" s="115"/>
      <c r="CW2209" s="115"/>
      <c r="CX2209" s="115"/>
      <c r="CY2209" s="115"/>
      <c r="CZ2209" s="115"/>
      <c r="DA2209" s="115"/>
      <c r="DB2209" s="115"/>
      <c r="DC2209" s="115"/>
      <c r="DD2209" s="115"/>
      <c r="DE2209" s="115"/>
      <c r="DF2209" s="115"/>
      <c r="DG2209" s="115"/>
    </row>
    <row r="2210" spans="55:111" hidden="1">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c r="BY2210" s="115"/>
      <c r="BZ2210" s="115"/>
      <c r="CA2210" s="115"/>
      <c r="CB2210" s="115"/>
      <c r="CC2210" s="115"/>
      <c r="CD2210" s="115"/>
      <c r="CE2210" s="115"/>
      <c r="CF2210" s="115"/>
      <c r="CG2210" s="115"/>
      <c r="CH2210" s="115"/>
      <c r="CI2210" s="115"/>
      <c r="CJ2210" s="115"/>
      <c r="CK2210" s="115"/>
      <c r="CL2210" s="115"/>
      <c r="CM2210" s="115"/>
      <c r="CN2210" s="115"/>
      <c r="CO2210" s="115"/>
      <c r="CP2210" s="115"/>
      <c r="CQ2210" s="115"/>
      <c r="CR2210" s="115"/>
      <c r="CS2210" s="115"/>
      <c r="CT2210" s="115"/>
      <c r="CU2210" s="115"/>
      <c r="CV2210" s="115"/>
      <c r="CW2210" s="115"/>
      <c r="CX2210" s="115"/>
      <c r="CY2210" s="115"/>
      <c r="CZ2210" s="115"/>
      <c r="DA2210" s="115"/>
      <c r="DB2210" s="115"/>
      <c r="DC2210" s="115"/>
      <c r="DD2210" s="115"/>
      <c r="DE2210" s="115"/>
      <c r="DF2210" s="115"/>
      <c r="DG2210" s="115"/>
    </row>
    <row r="2211" spans="55:111" hidden="1">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c r="BY2211" s="115"/>
      <c r="BZ2211" s="115"/>
      <c r="CA2211" s="115"/>
      <c r="CB2211" s="115"/>
      <c r="CC2211" s="115"/>
      <c r="CD2211" s="115"/>
      <c r="CE2211" s="115"/>
      <c r="CF2211" s="115"/>
      <c r="CG2211" s="115"/>
      <c r="CH2211" s="115"/>
      <c r="CI2211" s="115"/>
      <c r="CJ2211" s="115"/>
      <c r="CK2211" s="115"/>
      <c r="CL2211" s="115"/>
      <c r="CM2211" s="115"/>
      <c r="CN2211" s="115"/>
      <c r="CO2211" s="115"/>
      <c r="CP2211" s="115"/>
      <c r="CQ2211" s="115"/>
      <c r="CR2211" s="115"/>
      <c r="CS2211" s="115"/>
      <c r="CT2211" s="115"/>
      <c r="CU2211" s="115"/>
      <c r="CV2211" s="115"/>
      <c r="CW2211" s="115"/>
      <c r="CX2211" s="115"/>
      <c r="CY2211" s="115"/>
      <c r="CZ2211" s="115"/>
      <c r="DA2211" s="115"/>
      <c r="DB2211" s="115"/>
      <c r="DC2211" s="115"/>
      <c r="DD2211" s="115"/>
      <c r="DE2211" s="115"/>
      <c r="DF2211" s="115"/>
      <c r="DG2211" s="115"/>
    </row>
    <row r="2212" spans="55:111" hidden="1">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c r="BY2212" s="115"/>
      <c r="BZ2212" s="115"/>
      <c r="CA2212" s="115"/>
      <c r="CB2212" s="115"/>
      <c r="CC2212" s="115"/>
      <c r="CD2212" s="115"/>
      <c r="CE2212" s="115"/>
      <c r="CF2212" s="115"/>
      <c r="CG2212" s="115"/>
      <c r="CH2212" s="115"/>
      <c r="CI2212" s="115"/>
      <c r="CJ2212" s="115"/>
      <c r="CK2212" s="115"/>
      <c r="CL2212" s="115"/>
      <c r="CM2212" s="115"/>
      <c r="CN2212" s="115"/>
      <c r="CO2212" s="115"/>
      <c r="CP2212" s="115"/>
      <c r="CQ2212" s="115"/>
      <c r="CR2212" s="115"/>
      <c r="CS2212" s="115"/>
      <c r="CT2212" s="115"/>
      <c r="CU2212" s="115"/>
      <c r="CV2212" s="115"/>
      <c r="CW2212" s="115"/>
      <c r="CX2212" s="115"/>
      <c r="CY2212" s="115"/>
      <c r="CZ2212" s="115"/>
      <c r="DA2212" s="115"/>
      <c r="DB2212" s="115"/>
      <c r="DC2212" s="115"/>
      <c r="DD2212" s="115"/>
      <c r="DE2212" s="115"/>
      <c r="DF2212" s="115"/>
      <c r="DG2212" s="115"/>
    </row>
    <row r="2213" spans="55:111" hidden="1">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c r="BY2213" s="115"/>
      <c r="BZ2213" s="115"/>
      <c r="CA2213" s="115"/>
      <c r="CB2213" s="115"/>
      <c r="CC2213" s="115"/>
      <c r="CD2213" s="115"/>
      <c r="CE2213" s="115"/>
      <c r="CF2213" s="115"/>
      <c r="CG2213" s="115"/>
      <c r="CH2213" s="115"/>
      <c r="CI2213" s="115"/>
      <c r="CJ2213" s="115"/>
      <c r="CK2213" s="115"/>
      <c r="CL2213" s="115"/>
      <c r="CM2213" s="115"/>
      <c r="CN2213" s="115"/>
      <c r="CO2213" s="115"/>
      <c r="CP2213" s="115"/>
      <c r="CQ2213" s="115"/>
      <c r="CR2213" s="115"/>
      <c r="CS2213" s="115"/>
      <c r="CT2213" s="115"/>
      <c r="CU2213" s="115"/>
      <c r="CV2213" s="115"/>
      <c r="CW2213" s="115"/>
      <c r="CX2213" s="115"/>
      <c r="CY2213" s="115"/>
      <c r="CZ2213" s="115"/>
      <c r="DA2213" s="115"/>
      <c r="DB2213" s="115"/>
      <c r="DC2213" s="115"/>
      <c r="DD2213" s="115"/>
      <c r="DE2213" s="115"/>
      <c r="DF2213" s="115"/>
      <c r="DG2213" s="115"/>
    </row>
    <row r="2214" spans="55:111" hidden="1">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c r="BY2214" s="115"/>
      <c r="BZ2214" s="115"/>
      <c r="CA2214" s="115"/>
      <c r="CB2214" s="115"/>
      <c r="CC2214" s="115"/>
      <c r="CD2214" s="115"/>
      <c r="CE2214" s="115"/>
      <c r="CF2214" s="115"/>
      <c r="CG2214" s="115"/>
      <c r="CH2214" s="115"/>
      <c r="CI2214" s="115"/>
      <c r="CJ2214" s="115"/>
      <c r="CK2214" s="115"/>
      <c r="CL2214" s="115"/>
      <c r="CM2214" s="115"/>
      <c r="CN2214" s="115"/>
      <c r="CO2214" s="115"/>
      <c r="CP2214" s="115"/>
      <c r="CQ2214" s="115"/>
      <c r="CR2214" s="115"/>
      <c r="CS2214" s="115"/>
      <c r="CT2214" s="115"/>
      <c r="CU2214" s="115"/>
      <c r="CV2214" s="115"/>
      <c r="CW2214" s="115"/>
      <c r="CX2214" s="115"/>
      <c r="CY2214" s="115"/>
      <c r="CZ2214" s="115"/>
      <c r="DA2214" s="115"/>
      <c r="DB2214" s="115"/>
      <c r="DC2214" s="115"/>
      <c r="DD2214" s="115"/>
      <c r="DE2214" s="115"/>
      <c r="DF2214" s="115"/>
      <c r="DG2214" s="115"/>
    </row>
    <row r="2215" spans="55:111" hidden="1">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c r="BY2215" s="115"/>
      <c r="BZ2215" s="115"/>
      <c r="CA2215" s="115"/>
      <c r="CB2215" s="115"/>
      <c r="CC2215" s="115"/>
      <c r="CD2215" s="115"/>
      <c r="CE2215" s="115"/>
      <c r="CF2215" s="115"/>
      <c r="CG2215" s="115"/>
      <c r="CH2215" s="115"/>
      <c r="CI2215" s="115"/>
      <c r="CJ2215" s="115"/>
      <c r="CK2215" s="115"/>
      <c r="CL2215" s="115"/>
      <c r="CM2215" s="115"/>
      <c r="CN2215" s="115"/>
      <c r="CO2215" s="115"/>
      <c r="CP2215" s="115"/>
      <c r="CQ2215" s="115"/>
      <c r="CR2215" s="115"/>
      <c r="CS2215" s="115"/>
      <c r="CT2215" s="115"/>
      <c r="CU2215" s="115"/>
      <c r="CV2215" s="115"/>
      <c r="CW2215" s="115"/>
      <c r="CX2215" s="115"/>
      <c r="CY2215" s="115"/>
      <c r="CZ2215" s="115"/>
      <c r="DA2215" s="115"/>
      <c r="DB2215" s="115"/>
      <c r="DC2215" s="115"/>
      <c r="DD2215" s="115"/>
      <c r="DE2215" s="115"/>
      <c r="DF2215" s="115"/>
      <c r="DG2215" s="115"/>
    </row>
    <row r="2216" spans="55:111" hidden="1">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c r="BY2216" s="115"/>
      <c r="BZ2216" s="115"/>
      <c r="CA2216" s="115"/>
      <c r="CB2216" s="115"/>
      <c r="CC2216" s="115"/>
      <c r="CD2216" s="115"/>
      <c r="CE2216" s="115"/>
      <c r="CF2216" s="115"/>
      <c r="CG2216" s="115"/>
      <c r="CH2216" s="115"/>
      <c r="CI2216" s="115"/>
      <c r="CJ2216" s="115"/>
      <c r="CK2216" s="115"/>
      <c r="CL2216" s="115"/>
      <c r="CM2216" s="115"/>
      <c r="CN2216" s="115"/>
      <c r="CO2216" s="115"/>
      <c r="CP2216" s="115"/>
      <c r="CQ2216" s="115"/>
      <c r="CR2216" s="115"/>
      <c r="CS2216" s="115"/>
      <c r="CT2216" s="115"/>
      <c r="CU2216" s="115"/>
      <c r="CV2216" s="115"/>
      <c r="CW2216" s="115"/>
      <c r="CX2216" s="115"/>
      <c r="CY2216" s="115"/>
      <c r="CZ2216" s="115"/>
      <c r="DA2216" s="115"/>
      <c r="DB2216" s="115"/>
      <c r="DC2216" s="115"/>
      <c r="DD2216" s="115"/>
      <c r="DE2216" s="115"/>
      <c r="DF2216" s="115"/>
      <c r="DG2216" s="115"/>
    </row>
    <row r="2217" spans="55:111" hidden="1">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c r="BY2217" s="115"/>
      <c r="BZ2217" s="115"/>
      <c r="CA2217" s="115"/>
      <c r="CB2217" s="115"/>
      <c r="CC2217" s="115"/>
      <c r="CD2217" s="115"/>
      <c r="CE2217" s="115"/>
      <c r="CF2217" s="115"/>
      <c r="CG2217" s="115"/>
      <c r="CH2217" s="115"/>
      <c r="CI2217" s="115"/>
      <c r="CJ2217" s="115"/>
      <c r="CK2217" s="115"/>
      <c r="CL2217" s="115"/>
      <c r="CM2217" s="115"/>
      <c r="CN2217" s="115"/>
      <c r="CO2217" s="115"/>
      <c r="CP2217" s="115"/>
      <c r="CQ2217" s="115"/>
      <c r="CR2217" s="115"/>
      <c r="CS2217" s="115"/>
      <c r="CT2217" s="115"/>
      <c r="CU2217" s="115"/>
      <c r="CV2217" s="115"/>
      <c r="CW2217" s="115"/>
      <c r="CX2217" s="115"/>
      <c r="CY2217" s="115"/>
      <c r="CZ2217" s="115"/>
      <c r="DA2217" s="115"/>
      <c r="DB2217" s="115"/>
      <c r="DC2217" s="115"/>
      <c r="DD2217" s="115"/>
      <c r="DE2217" s="115"/>
      <c r="DF2217" s="115"/>
      <c r="DG2217" s="115"/>
    </row>
    <row r="2218" spans="55:111" hidden="1">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c r="BY2218" s="115"/>
      <c r="BZ2218" s="115"/>
      <c r="CA2218" s="115"/>
      <c r="CB2218" s="115"/>
      <c r="CC2218" s="115"/>
      <c r="CD2218" s="115"/>
      <c r="CE2218" s="115"/>
      <c r="CF2218" s="115"/>
      <c r="CG2218" s="115"/>
      <c r="CH2218" s="115"/>
      <c r="CI2218" s="115"/>
      <c r="CJ2218" s="115"/>
      <c r="CK2218" s="115"/>
      <c r="CL2218" s="115"/>
      <c r="CM2218" s="115"/>
      <c r="CN2218" s="115"/>
      <c r="CO2218" s="115"/>
      <c r="CP2218" s="115"/>
      <c r="CQ2218" s="115"/>
      <c r="CR2218" s="115"/>
      <c r="CS2218" s="115"/>
      <c r="CT2218" s="115"/>
      <c r="CU2218" s="115"/>
      <c r="CV2218" s="115"/>
      <c r="CW2218" s="115"/>
      <c r="CX2218" s="115"/>
      <c r="CY2218" s="115"/>
      <c r="CZ2218" s="115"/>
      <c r="DA2218" s="115"/>
      <c r="DB2218" s="115"/>
      <c r="DC2218" s="115"/>
      <c r="DD2218" s="115"/>
      <c r="DE2218" s="115"/>
      <c r="DF2218" s="115"/>
      <c r="DG2218" s="115"/>
    </row>
    <row r="2219" spans="55:111" hidden="1">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c r="BY2219" s="115"/>
      <c r="BZ2219" s="115"/>
      <c r="CA2219" s="115"/>
      <c r="CB2219" s="115"/>
      <c r="CC2219" s="115"/>
      <c r="CD2219" s="115"/>
      <c r="CE2219" s="115"/>
      <c r="CF2219" s="115"/>
      <c r="CG2219" s="115"/>
      <c r="CH2219" s="115"/>
      <c r="CI2219" s="115"/>
      <c r="CJ2219" s="115"/>
      <c r="CK2219" s="115"/>
      <c r="CL2219" s="115"/>
      <c r="CM2219" s="115"/>
      <c r="CN2219" s="115"/>
      <c r="CO2219" s="115"/>
      <c r="CP2219" s="115"/>
      <c r="CQ2219" s="115"/>
      <c r="CR2219" s="115"/>
      <c r="CS2219" s="115"/>
      <c r="CT2219" s="115"/>
      <c r="CU2219" s="115"/>
      <c r="CV2219" s="115"/>
      <c r="CW2219" s="115"/>
      <c r="CX2219" s="115"/>
      <c r="CY2219" s="115"/>
      <c r="CZ2219" s="115"/>
      <c r="DA2219" s="115"/>
      <c r="DB2219" s="115"/>
      <c r="DC2219" s="115"/>
      <c r="DD2219" s="115"/>
      <c r="DE2219" s="115"/>
      <c r="DF2219" s="115"/>
      <c r="DG2219" s="115"/>
    </row>
    <row r="2220" spans="55:111" hidden="1">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c r="BY2220" s="115"/>
      <c r="BZ2220" s="115"/>
      <c r="CA2220" s="115"/>
      <c r="CB2220" s="115"/>
      <c r="CC2220" s="115"/>
      <c r="CD2220" s="115"/>
      <c r="CE2220" s="115"/>
      <c r="CF2220" s="115"/>
      <c r="CG2220" s="115"/>
      <c r="CH2220" s="115"/>
      <c r="CI2220" s="115"/>
      <c r="CJ2220" s="115"/>
      <c r="CK2220" s="115"/>
      <c r="CL2220" s="115"/>
      <c r="CM2220" s="115"/>
      <c r="CN2220" s="115"/>
      <c r="CO2220" s="115"/>
      <c r="CP2220" s="115"/>
      <c r="CQ2220" s="115"/>
      <c r="CR2220" s="115"/>
      <c r="CS2220" s="115"/>
      <c r="CT2220" s="115"/>
      <c r="CU2220" s="115"/>
      <c r="CV2220" s="115"/>
      <c r="CW2220" s="115"/>
      <c r="CX2220" s="115"/>
      <c r="CY2220" s="115"/>
      <c r="CZ2220" s="115"/>
      <c r="DA2220" s="115"/>
      <c r="DB2220" s="115"/>
      <c r="DC2220" s="115"/>
      <c r="DD2220" s="115"/>
      <c r="DE2220" s="115"/>
      <c r="DF2220" s="115"/>
      <c r="DG2220" s="115"/>
    </row>
    <row r="2221" spans="55:111" hidden="1">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c r="BY2221" s="115"/>
      <c r="BZ2221" s="115"/>
      <c r="CA2221" s="115"/>
      <c r="CB2221" s="115"/>
      <c r="CC2221" s="115"/>
      <c r="CD2221" s="115"/>
      <c r="CE2221" s="115"/>
      <c r="CF2221" s="115"/>
      <c r="CG2221" s="115"/>
      <c r="CH2221" s="115"/>
      <c r="CI2221" s="115"/>
      <c r="CJ2221" s="115"/>
      <c r="CK2221" s="115"/>
      <c r="CL2221" s="115"/>
      <c r="CM2221" s="115"/>
      <c r="CN2221" s="115"/>
      <c r="CO2221" s="115"/>
      <c r="CP2221" s="115"/>
      <c r="CQ2221" s="115"/>
      <c r="CR2221" s="115"/>
      <c r="CS2221" s="115"/>
      <c r="CT2221" s="115"/>
      <c r="CU2221" s="115"/>
      <c r="CV2221" s="115"/>
      <c r="CW2221" s="115"/>
      <c r="CX2221" s="115"/>
      <c r="CY2221" s="115"/>
      <c r="CZ2221" s="115"/>
      <c r="DA2221" s="115"/>
      <c r="DB2221" s="115"/>
      <c r="DC2221" s="115"/>
      <c r="DD2221" s="115"/>
      <c r="DE2221" s="115"/>
      <c r="DF2221" s="115"/>
      <c r="DG2221" s="115"/>
    </row>
    <row r="2222" spans="55:111" hidden="1">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c r="BY2222" s="115"/>
      <c r="BZ2222" s="115"/>
      <c r="CA2222" s="115"/>
      <c r="CB2222" s="115"/>
      <c r="CC2222" s="115"/>
      <c r="CD2222" s="115"/>
      <c r="CE2222" s="115"/>
      <c r="CF2222" s="115"/>
      <c r="CG2222" s="115"/>
      <c r="CH2222" s="115"/>
      <c r="CI2222" s="115"/>
      <c r="CJ2222" s="115"/>
      <c r="CK2222" s="115"/>
      <c r="CL2222" s="115"/>
      <c r="CM2222" s="115"/>
      <c r="CN2222" s="115"/>
      <c r="CO2222" s="115"/>
      <c r="CP2222" s="115"/>
      <c r="CQ2222" s="115"/>
      <c r="CR2222" s="115"/>
      <c r="CS2222" s="115"/>
      <c r="CT2222" s="115"/>
      <c r="CU2222" s="115"/>
      <c r="CV2222" s="115"/>
      <c r="CW2222" s="115"/>
      <c r="CX2222" s="115"/>
      <c r="CY2222" s="115"/>
      <c r="CZ2222" s="115"/>
      <c r="DA2222" s="115"/>
      <c r="DB2222" s="115"/>
      <c r="DC2222" s="115"/>
      <c r="DD2222" s="115"/>
      <c r="DE2222" s="115"/>
      <c r="DF2222" s="115"/>
      <c r="DG2222" s="115"/>
    </row>
    <row r="2223" spans="55:111" hidden="1">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c r="BY2223" s="115"/>
      <c r="BZ2223" s="115"/>
      <c r="CA2223" s="115"/>
      <c r="CB2223" s="115"/>
      <c r="CC2223" s="115"/>
      <c r="CD2223" s="115"/>
      <c r="CE2223" s="115"/>
      <c r="CF2223" s="115"/>
      <c r="CG2223" s="115"/>
      <c r="CH2223" s="115"/>
      <c r="CI2223" s="115"/>
      <c r="CJ2223" s="115"/>
      <c r="CK2223" s="115"/>
      <c r="CL2223" s="115"/>
      <c r="CM2223" s="115"/>
      <c r="CN2223" s="115"/>
      <c r="CO2223" s="115"/>
      <c r="CP2223" s="115"/>
      <c r="CQ2223" s="115"/>
      <c r="CR2223" s="115"/>
      <c r="CS2223" s="115"/>
      <c r="CT2223" s="115"/>
      <c r="CU2223" s="115"/>
      <c r="CV2223" s="115"/>
      <c r="CW2223" s="115"/>
      <c r="CX2223" s="115"/>
      <c r="CY2223" s="115"/>
      <c r="CZ2223" s="115"/>
      <c r="DA2223" s="115"/>
      <c r="DB2223" s="115"/>
      <c r="DC2223" s="115"/>
      <c r="DD2223" s="115"/>
      <c r="DE2223" s="115"/>
      <c r="DF2223" s="115"/>
      <c r="DG2223" s="115"/>
    </row>
    <row r="2224" spans="55:111" hidden="1">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c r="BY2224" s="115"/>
      <c r="BZ2224" s="115"/>
      <c r="CA2224" s="115"/>
      <c r="CB2224" s="115"/>
      <c r="CC2224" s="115"/>
      <c r="CD2224" s="115"/>
      <c r="CE2224" s="115"/>
      <c r="CF2224" s="115"/>
      <c r="CG2224" s="115"/>
      <c r="CH2224" s="115"/>
      <c r="CI2224" s="115"/>
      <c r="CJ2224" s="115"/>
      <c r="CK2224" s="115"/>
      <c r="CL2224" s="115"/>
      <c r="CM2224" s="115"/>
      <c r="CN2224" s="115"/>
      <c r="CO2224" s="115"/>
      <c r="CP2224" s="115"/>
      <c r="CQ2224" s="115"/>
      <c r="CR2224" s="115"/>
      <c r="CS2224" s="115"/>
      <c r="CT2224" s="115"/>
      <c r="CU2224" s="115"/>
      <c r="CV2224" s="115"/>
      <c r="CW2224" s="115"/>
      <c r="CX2224" s="115"/>
      <c r="CY2224" s="115"/>
      <c r="CZ2224" s="115"/>
      <c r="DA2224" s="115"/>
      <c r="DB2224" s="115"/>
      <c r="DC2224" s="115"/>
      <c r="DD2224" s="115"/>
      <c r="DE2224" s="115"/>
      <c r="DF2224" s="115"/>
      <c r="DG2224" s="115"/>
    </row>
    <row r="2225" spans="55:111" hidden="1">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c r="BY2225" s="115"/>
      <c r="BZ2225" s="115"/>
      <c r="CA2225" s="115"/>
      <c r="CB2225" s="115"/>
      <c r="CC2225" s="115"/>
      <c r="CD2225" s="115"/>
      <c r="CE2225" s="115"/>
      <c r="CF2225" s="115"/>
      <c r="CG2225" s="115"/>
      <c r="CH2225" s="115"/>
      <c r="CI2225" s="115"/>
      <c r="CJ2225" s="115"/>
      <c r="CK2225" s="115"/>
      <c r="CL2225" s="115"/>
      <c r="CM2225" s="115"/>
      <c r="CN2225" s="115"/>
      <c r="CO2225" s="115"/>
      <c r="CP2225" s="115"/>
      <c r="CQ2225" s="115"/>
      <c r="CR2225" s="115"/>
      <c r="CS2225" s="115"/>
      <c r="CT2225" s="115"/>
      <c r="CU2225" s="115"/>
      <c r="CV2225" s="115"/>
      <c r="CW2225" s="115"/>
      <c r="CX2225" s="115"/>
      <c r="CY2225" s="115"/>
      <c r="CZ2225" s="115"/>
      <c r="DA2225" s="115"/>
      <c r="DB2225" s="115"/>
      <c r="DC2225" s="115"/>
      <c r="DD2225" s="115"/>
      <c r="DE2225" s="115"/>
      <c r="DF2225" s="115"/>
      <c r="DG2225" s="115"/>
    </row>
    <row r="2226" spans="55:111" hidden="1">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c r="BY2226" s="115"/>
      <c r="BZ2226" s="115"/>
      <c r="CA2226" s="115"/>
      <c r="CB2226" s="115"/>
      <c r="CC2226" s="115"/>
      <c r="CD2226" s="115"/>
      <c r="CE2226" s="115"/>
      <c r="CF2226" s="115"/>
      <c r="CG2226" s="115"/>
      <c r="CH2226" s="115"/>
      <c r="CI2226" s="115"/>
      <c r="CJ2226" s="115"/>
      <c r="CK2226" s="115"/>
      <c r="CL2226" s="115"/>
      <c r="CM2226" s="115"/>
      <c r="CN2226" s="115"/>
      <c r="CO2226" s="115"/>
      <c r="CP2226" s="115"/>
      <c r="CQ2226" s="115"/>
      <c r="CR2226" s="115"/>
      <c r="CS2226" s="115"/>
      <c r="CT2226" s="115"/>
      <c r="CU2226" s="115"/>
      <c r="CV2226" s="115"/>
      <c r="CW2226" s="115"/>
      <c r="CX2226" s="115"/>
      <c r="CY2226" s="115"/>
      <c r="CZ2226" s="115"/>
      <c r="DA2226" s="115"/>
      <c r="DB2226" s="115"/>
      <c r="DC2226" s="115"/>
      <c r="DD2226" s="115"/>
      <c r="DE2226" s="115"/>
      <c r="DF2226" s="115"/>
      <c r="DG2226" s="115"/>
    </row>
    <row r="2227" spans="55:111" hidden="1">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c r="BY2227" s="115"/>
      <c r="BZ2227" s="115"/>
      <c r="CA2227" s="115"/>
      <c r="CB2227" s="115"/>
      <c r="CC2227" s="115"/>
      <c r="CD2227" s="115"/>
      <c r="CE2227" s="115"/>
      <c r="CF2227" s="115"/>
      <c r="CG2227" s="115"/>
      <c r="CH2227" s="115"/>
      <c r="CI2227" s="115"/>
      <c r="CJ2227" s="115"/>
      <c r="CK2227" s="115"/>
      <c r="CL2227" s="115"/>
      <c r="CM2227" s="115"/>
      <c r="CN2227" s="115"/>
      <c r="CO2227" s="115"/>
      <c r="CP2227" s="115"/>
      <c r="CQ2227" s="115"/>
      <c r="CR2227" s="115"/>
      <c r="CS2227" s="115"/>
      <c r="CT2227" s="115"/>
      <c r="CU2227" s="115"/>
      <c r="CV2227" s="115"/>
      <c r="CW2227" s="115"/>
      <c r="CX2227" s="115"/>
      <c r="CY2227" s="115"/>
      <c r="CZ2227" s="115"/>
      <c r="DA2227" s="115"/>
      <c r="DB2227" s="115"/>
      <c r="DC2227" s="115"/>
      <c r="DD2227" s="115"/>
      <c r="DE2227" s="115"/>
      <c r="DF2227" s="115"/>
      <c r="DG2227" s="115"/>
    </row>
    <row r="2228" spans="55:111" hidden="1">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c r="BY2228" s="115"/>
      <c r="BZ2228" s="115"/>
      <c r="CA2228" s="115"/>
      <c r="CB2228" s="115"/>
      <c r="CC2228" s="115"/>
      <c r="CD2228" s="115"/>
      <c r="CE2228" s="115"/>
      <c r="CF2228" s="115"/>
      <c r="CG2228" s="115"/>
      <c r="CH2228" s="115"/>
      <c r="CI2228" s="115"/>
      <c r="CJ2228" s="115"/>
      <c r="CK2228" s="115"/>
      <c r="CL2228" s="115"/>
      <c r="CM2228" s="115"/>
      <c r="CN2228" s="115"/>
      <c r="CO2228" s="115"/>
      <c r="CP2228" s="115"/>
      <c r="CQ2228" s="115"/>
      <c r="CR2228" s="115"/>
      <c r="CS2228" s="115"/>
      <c r="CT2228" s="115"/>
      <c r="CU2228" s="115"/>
      <c r="CV2228" s="115"/>
      <c r="CW2228" s="115"/>
      <c r="CX2228" s="115"/>
      <c r="CY2228" s="115"/>
      <c r="CZ2228" s="115"/>
      <c r="DA2228" s="115"/>
      <c r="DB2228" s="115"/>
      <c r="DC2228" s="115"/>
      <c r="DD2228" s="115"/>
      <c r="DE2228" s="115"/>
      <c r="DF2228" s="115"/>
      <c r="DG2228" s="115"/>
    </row>
    <row r="2229" spans="55:111" hidden="1">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c r="BY2229" s="115"/>
      <c r="BZ2229" s="115"/>
      <c r="CA2229" s="115"/>
      <c r="CB2229" s="115"/>
      <c r="CC2229" s="115"/>
      <c r="CD2229" s="115"/>
      <c r="CE2229" s="115"/>
      <c r="CF2229" s="115"/>
      <c r="CG2229" s="115"/>
      <c r="CH2229" s="115"/>
      <c r="CI2229" s="115"/>
      <c r="CJ2229" s="115"/>
      <c r="CK2229" s="115"/>
      <c r="CL2229" s="115"/>
      <c r="CM2229" s="115"/>
      <c r="CN2229" s="115"/>
      <c r="CO2229" s="115"/>
      <c r="CP2229" s="115"/>
      <c r="CQ2229" s="115"/>
      <c r="CR2229" s="115"/>
      <c r="CS2229" s="115"/>
      <c r="CT2229" s="115"/>
      <c r="CU2229" s="115"/>
      <c r="CV2229" s="115"/>
      <c r="CW2229" s="115"/>
      <c r="CX2229" s="115"/>
      <c r="CY2229" s="115"/>
      <c r="CZ2229" s="115"/>
      <c r="DA2229" s="115"/>
      <c r="DB2229" s="115"/>
      <c r="DC2229" s="115"/>
      <c r="DD2229" s="115"/>
      <c r="DE2229" s="115"/>
      <c r="DF2229" s="115"/>
      <c r="DG2229" s="115"/>
    </row>
    <row r="2230" spans="55:111" hidden="1">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c r="BY2230" s="115"/>
      <c r="BZ2230" s="115"/>
      <c r="CA2230" s="115"/>
      <c r="CB2230" s="115"/>
      <c r="CC2230" s="115"/>
      <c r="CD2230" s="115"/>
      <c r="CE2230" s="115"/>
      <c r="CF2230" s="115"/>
      <c r="CG2230" s="115"/>
      <c r="CH2230" s="115"/>
      <c r="CI2230" s="115"/>
      <c r="CJ2230" s="115"/>
      <c r="CK2230" s="115"/>
      <c r="CL2230" s="115"/>
      <c r="CM2230" s="115"/>
      <c r="CN2230" s="115"/>
      <c r="CO2230" s="115"/>
      <c r="CP2230" s="115"/>
      <c r="CQ2230" s="115"/>
      <c r="CR2230" s="115"/>
      <c r="CS2230" s="115"/>
      <c r="CT2230" s="115"/>
      <c r="CU2230" s="115"/>
      <c r="CV2230" s="115"/>
      <c r="CW2230" s="115"/>
      <c r="CX2230" s="115"/>
      <c r="CY2230" s="115"/>
      <c r="CZ2230" s="115"/>
      <c r="DA2230" s="115"/>
      <c r="DB2230" s="115"/>
      <c r="DC2230" s="115"/>
      <c r="DD2230" s="115"/>
      <c r="DE2230" s="115"/>
      <c r="DF2230" s="115"/>
      <c r="DG2230" s="115"/>
    </row>
    <row r="2231" spans="55:111" hidden="1">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c r="BY2231" s="115"/>
      <c r="BZ2231" s="115"/>
      <c r="CA2231" s="115"/>
      <c r="CB2231" s="115"/>
      <c r="CC2231" s="115"/>
      <c r="CD2231" s="115"/>
      <c r="CE2231" s="115"/>
      <c r="CF2231" s="115"/>
      <c r="CG2231" s="115"/>
      <c r="CH2231" s="115"/>
      <c r="CI2231" s="115"/>
      <c r="CJ2231" s="115"/>
      <c r="CK2231" s="115"/>
      <c r="CL2231" s="115"/>
      <c r="CM2231" s="115"/>
      <c r="CN2231" s="115"/>
      <c r="CO2231" s="115"/>
      <c r="CP2231" s="115"/>
      <c r="CQ2231" s="115"/>
      <c r="CR2231" s="115"/>
      <c r="CS2231" s="115"/>
      <c r="CT2231" s="115"/>
      <c r="CU2231" s="115"/>
      <c r="CV2231" s="115"/>
      <c r="CW2231" s="115"/>
      <c r="CX2231" s="115"/>
      <c r="CY2231" s="115"/>
      <c r="CZ2231" s="115"/>
      <c r="DA2231" s="115"/>
      <c r="DB2231" s="115"/>
      <c r="DC2231" s="115"/>
      <c r="DD2231" s="115"/>
      <c r="DE2231" s="115"/>
      <c r="DF2231" s="115"/>
      <c r="DG2231" s="115"/>
    </row>
    <row r="2232" spans="55:111" hidden="1">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c r="BY2232" s="115"/>
      <c r="BZ2232" s="115"/>
      <c r="CA2232" s="115"/>
      <c r="CB2232" s="115"/>
      <c r="CC2232" s="115"/>
      <c r="CD2232" s="115"/>
      <c r="CE2232" s="115"/>
      <c r="CF2232" s="115"/>
      <c r="CG2232" s="115"/>
      <c r="CH2232" s="115"/>
      <c r="CI2232" s="115"/>
      <c r="CJ2232" s="115"/>
      <c r="CK2232" s="115"/>
      <c r="CL2232" s="115"/>
      <c r="CM2232" s="115"/>
      <c r="CN2232" s="115"/>
      <c r="CO2232" s="115"/>
      <c r="CP2232" s="115"/>
      <c r="CQ2232" s="115"/>
      <c r="CR2232" s="115"/>
      <c r="CS2232" s="115"/>
      <c r="CT2232" s="115"/>
      <c r="CU2232" s="115"/>
      <c r="CV2232" s="115"/>
      <c r="CW2232" s="115"/>
      <c r="CX2232" s="115"/>
      <c r="CY2232" s="115"/>
      <c r="CZ2232" s="115"/>
      <c r="DA2232" s="115"/>
      <c r="DB2232" s="115"/>
      <c r="DC2232" s="115"/>
      <c r="DD2232" s="115"/>
      <c r="DE2232" s="115"/>
      <c r="DF2232" s="115"/>
      <c r="DG2232" s="115"/>
    </row>
    <row r="2233" spans="55:111" hidden="1">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c r="BY2233" s="115"/>
      <c r="BZ2233" s="115"/>
      <c r="CA2233" s="115"/>
      <c r="CB2233" s="115"/>
      <c r="CC2233" s="115"/>
      <c r="CD2233" s="115"/>
      <c r="CE2233" s="115"/>
      <c r="CF2233" s="115"/>
      <c r="CG2233" s="115"/>
      <c r="CH2233" s="115"/>
      <c r="CI2233" s="115"/>
      <c r="CJ2233" s="115"/>
      <c r="CK2233" s="115"/>
      <c r="CL2233" s="115"/>
      <c r="CM2233" s="115"/>
      <c r="CN2233" s="115"/>
      <c r="CO2233" s="115"/>
      <c r="CP2233" s="115"/>
      <c r="CQ2233" s="115"/>
      <c r="CR2233" s="115"/>
      <c r="CS2233" s="115"/>
      <c r="CT2233" s="115"/>
      <c r="CU2233" s="115"/>
      <c r="CV2233" s="115"/>
      <c r="CW2233" s="115"/>
      <c r="CX2233" s="115"/>
      <c r="CY2233" s="115"/>
      <c r="CZ2233" s="115"/>
      <c r="DA2233" s="115"/>
      <c r="DB2233" s="115"/>
      <c r="DC2233" s="115"/>
      <c r="DD2233" s="115"/>
      <c r="DE2233" s="115"/>
      <c r="DF2233" s="115"/>
      <c r="DG2233" s="115"/>
    </row>
    <row r="2234" spans="55:111" hidden="1">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c r="BY2234" s="115"/>
      <c r="BZ2234" s="115"/>
      <c r="CA2234" s="115"/>
      <c r="CB2234" s="115"/>
      <c r="CC2234" s="115"/>
      <c r="CD2234" s="115"/>
      <c r="CE2234" s="115"/>
      <c r="CF2234" s="115"/>
      <c r="CG2234" s="115"/>
      <c r="CH2234" s="115"/>
      <c r="CI2234" s="115"/>
      <c r="CJ2234" s="115"/>
      <c r="CK2234" s="115"/>
      <c r="CL2234" s="115"/>
      <c r="CM2234" s="115"/>
      <c r="CN2234" s="115"/>
      <c r="CO2234" s="115"/>
      <c r="CP2234" s="115"/>
      <c r="CQ2234" s="115"/>
      <c r="CR2234" s="115"/>
      <c r="CS2234" s="115"/>
      <c r="CT2234" s="115"/>
      <c r="CU2234" s="115"/>
      <c r="CV2234" s="115"/>
      <c r="CW2234" s="115"/>
      <c r="CX2234" s="115"/>
      <c r="CY2234" s="115"/>
      <c r="CZ2234" s="115"/>
      <c r="DA2234" s="115"/>
      <c r="DB2234" s="115"/>
      <c r="DC2234" s="115"/>
      <c r="DD2234" s="115"/>
      <c r="DE2234" s="115"/>
      <c r="DF2234" s="115"/>
      <c r="DG2234" s="115"/>
    </row>
    <row r="2235" spans="55:111" hidden="1">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c r="BY2235" s="115"/>
      <c r="BZ2235" s="115"/>
      <c r="CA2235" s="115"/>
      <c r="CB2235" s="115"/>
      <c r="CC2235" s="115"/>
      <c r="CD2235" s="115"/>
      <c r="CE2235" s="115"/>
      <c r="CF2235" s="115"/>
      <c r="CG2235" s="115"/>
      <c r="CH2235" s="115"/>
      <c r="CI2235" s="115"/>
      <c r="CJ2235" s="115"/>
      <c r="CK2235" s="115"/>
      <c r="CL2235" s="115"/>
      <c r="CM2235" s="115"/>
      <c r="CN2235" s="115"/>
      <c r="CO2235" s="115"/>
      <c r="CP2235" s="115"/>
      <c r="CQ2235" s="115"/>
      <c r="CR2235" s="115"/>
      <c r="CS2235" s="115"/>
      <c r="CT2235" s="115"/>
      <c r="CU2235" s="115"/>
      <c r="CV2235" s="115"/>
      <c r="CW2235" s="115"/>
      <c r="CX2235" s="115"/>
      <c r="CY2235" s="115"/>
      <c r="CZ2235" s="115"/>
      <c r="DA2235" s="115"/>
      <c r="DB2235" s="115"/>
      <c r="DC2235" s="115"/>
      <c r="DD2235" s="115"/>
      <c r="DE2235" s="115"/>
      <c r="DF2235" s="115"/>
      <c r="DG2235" s="115"/>
    </row>
    <row r="2236" spans="55:111" hidden="1">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c r="BY2236" s="115"/>
      <c r="BZ2236" s="115"/>
      <c r="CA2236" s="115"/>
      <c r="CB2236" s="115"/>
      <c r="CC2236" s="115"/>
      <c r="CD2236" s="115"/>
      <c r="CE2236" s="115"/>
      <c r="CF2236" s="115"/>
      <c r="CG2236" s="115"/>
      <c r="CH2236" s="115"/>
      <c r="CI2236" s="115"/>
      <c r="CJ2236" s="115"/>
      <c r="CK2236" s="115"/>
      <c r="CL2236" s="115"/>
      <c r="CM2236" s="115"/>
      <c r="CN2236" s="115"/>
      <c r="CO2236" s="115"/>
      <c r="CP2236" s="115"/>
      <c r="CQ2236" s="115"/>
      <c r="CR2236" s="115"/>
      <c r="CS2236" s="115"/>
      <c r="CT2236" s="115"/>
      <c r="CU2236" s="115"/>
      <c r="CV2236" s="115"/>
      <c r="CW2236" s="115"/>
      <c r="CX2236" s="115"/>
      <c r="CY2236" s="115"/>
      <c r="CZ2236" s="115"/>
      <c r="DA2236" s="115"/>
      <c r="DB2236" s="115"/>
      <c r="DC2236" s="115"/>
      <c r="DD2236" s="115"/>
      <c r="DE2236" s="115"/>
      <c r="DF2236" s="115"/>
      <c r="DG2236" s="115"/>
    </row>
    <row r="2237" spans="55:111" hidden="1">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c r="BY2237" s="115"/>
      <c r="BZ2237" s="115"/>
      <c r="CA2237" s="115"/>
      <c r="CB2237" s="115"/>
      <c r="CC2237" s="115"/>
      <c r="CD2237" s="115"/>
      <c r="CE2237" s="115"/>
      <c r="CF2237" s="115"/>
      <c r="CG2237" s="115"/>
      <c r="CH2237" s="115"/>
      <c r="CI2237" s="115"/>
      <c r="CJ2237" s="115"/>
      <c r="CK2237" s="115"/>
      <c r="CL2237" s="115"/>
      <c r="CM2237" s="115"/>
      <c r="CN2237" s="115"/>
      <c r="CO2237" s="115"/>
      <c r="CP2237" s="115"/>
      <c r="CQ2237" s="115"/>
      <c r="CR2237" s="115"/>
      <c r="CS2237" s="115"/>
      <c r="CT2237" s="115"/>
      <c r="CU2237" s="115"/>
      <c r="CV2237" s="115"/>
      <c r="CW2237" s="115"/>
      <c r="CX2237" s="115"/>
      <c r="CY2237" s="115"/>
      <c r="CZ2237" s="115"/>
      <c r="DA2237" s="115"/>
      <c r="DB2237" s="115"/>
      <c r="DC2237" s="115"/>
      <c r="DD2237" s="115"/>
      <c r="DE2237" s="115"/>
      <c r="DF2237" s="115"/>
      <c r="DG2237" s="115"/>
    </row>
    <row r="2238" spans="55:111" hidden="1">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c r="BY2238" s="115"/>
      <c r="BZ2238" s="115"/>
      <c r="CA2238" s="115"/>
      <c r="CB2238" s="115"/>
      <c r="CC2238" s="115"/>
      <c r="CD2238" s="115"/>
      <c r="CE2238" s="115"/>
      <c r="CF2238" s="115"/>
      <c r="CG2238" s="115"/>
      <c r="CH2238" s="115"/>
      <c r="CI2238" s="115"/>
      <c r="CJ2238" s="115"/>
      <c r="CK2238" s="115"/>
      <c r="CL2238" s="115"/>
      <c r="CM2238" s="115"/>
      <c r="CN2238" s="115"/>
      <c r="CO2238" s="115"/>
      <c r="CP2238" s="115"/>
      <c r="CQ2238" s="115"/>
      <c r="CR2238" s="115"/>
      <c r="CS2238" s="115"/>
      <c r="CT2238" s="115"/>
      <c r="CU2238" s="115"/>
      <c r="CV2238" s="115"/>
      <c r="CW2238" s="115"/>
      <c r="CX2238" s="115"/>
      <c r="CY2238" s="115"/>
      <c r="CZ2238" s="115"/>
      <c r="DA2238" s="115"/>
      <c r="DB2238" s="115"/>
      <c r="DC2238" s="115"/>
      <c r="DD2238" s="115"/>
      <c r="DE2238" s="115"/>
      <c r="DF2238" s="115"/>
      <c r="DG2238" s="115"/>
    </row>
    <row r="2239" spans="55:111" hidden="1">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c r="BY2239" s="115"/>
      <c r="BZ2239" s="115"/>
      <c r="CA2239" s="115"/>
      <c r="CB2239" s="115"/>
      <c r="CC2239" s="115"/>
      <c r="CD2239" s="115"/>
      <c r="CE2239" s="115"/>
      <c r="CF2239" s="115"/>
      <c r="CG2239" s="115"/>
      <c r="CH2239" s="115"/>
      <c r="CI2239" s="115"/>
      <c r="CJ2239" s="115"/>
      <c r="CK2239" s="115"/>
      <c r="CL2239" s="115"/>
      <c r="CM2239" s="115"/>
      <c r="CN2239" s="115"/>
      <c r="CO2239" s="115"/>
      <c r="CP2239" s="115"/>
      <c r="CQ2239" s="115"/>
      <c r="CR2239" s="115"/>
      <c r="CS2239" s="115"/>
      <c r="CT2239" s="115"/>
      <c r="CU2239" s="115"/>
      <c r="CV2239" s="115"/>
      <c r="CW2239" s="115"/>
      <c r="CX2239" s="115"/>
      <c r="CY2239" s="115"/>
      <c r="CZ2239" s="115"/>
      <c r="DA2239" s="115"/>
      <c r="DB2239" s="115"/>
      <c r="DC2239" s="115"/>
      <c r="DD2239" s="115"/>
      <c r="DE2239" s="115"/>
      <c r="DF2239" s="115"/>
      <c r="DG2239" s="115"/>
    </row>
    <row r="2240" spans="55:111" hidden="1">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c r="BY2240" s="115"/>
      <c r="BZ2240" s="115"/>
      <c r="CA2240" s="115"/>
      <c r="CB2240" s="115"/>
      <c r="CC2240" s="115"/>
      <c r="CD2240" s="115"/>
      <c r="CE2240" s="115"/>
      <c r="CF2240" s="115"/>
      <c r="CG2240" s="115"/>
      <c r="CH2240" s="115"/>
      <c r="CI2240" s="115"/>
      <c r="CJ2240" s="115"/>
      <c r="CK2240" s="115"/>
      <c r="CL2240" s="115"/>
      <c r="CM2240" s="115"/>
      <c r="CN2240" s="115"/>
      <c r="CO2240" s="115"/>
      <c r="CP2240" s="115"/>
      <c r="CQ2240" s="115"/>
      <c r="CR2240" s="115"/>
      <c r="CS2240" s="115"/>
      <c r="CT2240" s="115"/>
      <c r="CU2240" s="115"/>
      <c r="CV2240" s="115"/>
      <c r="CW2240" s="115"/>
      <c r="CX2240" s="115"/>
      <c r="CY2240" s="115"/>
      <c r="CZ2240" s="115"/>
      <c r="DA2240" s="115"/>
      <c r="DB2240" s="115"/>
      <c r="DC2240" s="115"/>
      <c r="DD2240" s="115"/>
      <c r="DE2240" s="115"/>
      <c r="DF2240" s="115"/>
      <c r="DG2240" s="115"/>
    </row>
    <row r="2241" spans="55:111" hidden="1">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c r="BY2241" s="115"/>
      <c r="BZ2241" s="115"/>
      <c r="CA2241" s="115"/>
      <c r="CB2241" s="115"/>
      <c r="CC2241" s="115"/>
      <c r="CD2241" s="115"/>
      <c r="CE2241" s="115"/>
      <c r="CF2241" s="115"/>
      <c r="CG2241" s="115"/>
      <c r="CH2241" s="115"/>
      <c r="CI2241" s="115"/>
      <c r="CJ2241" s="115"/>
      <c r="CK2241" s="115"/>
      <c r="CL2241" s="115"/>
      <c r="CM2241" s="115"/>
      <c r="CN2241" s="115"/>
      <c r="CO2241" s="115"/>
      <c r="CP2241" s="115"/>
      <c r="CQ2241" s="115"/>
      <c r="CR2241" s="115"/>
      <c r="CS2241" s="115"/>
      <c r="CT2241" s="115"/>
      <c r="CU2241" s="115"/>
      <c r="CV2241" s="115"/>
      <c r="CW2241" s="115"/>
      <c r="CX2241" s="115"/>
      <c r="CY2241" s="115"/>
      <c r="CZ2241" s="115"/>
      <c r="DA2241" s="115"/>
      <c r="DB2241" s="115"/>
      <c r="DC2241" s="115"/>
      <c r="DD2241" s="115"/>
      <c r="DE2241" s="115"/>
      <c r="DF2241" s="115"/>
      <c r="DG2241" s="115"/>
    </row>
    <row r="2242" spans="55:111" hidden="1">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c r="BY2242" s="115"/>
      <c r="BZ2242" s="115"/>
      <c r="CA2242" s="115"/>
      <c r="CB2242" s="115"/>
      <c r="CC2242" s="115"/>
      <c r="CD2242" s="115"/>
      <c r="CE2242" s="115"/>
      <c r="CF2242" s="115"/>
      <c r="CG2242" s="115"/>
      <c r="CH2242" s="115"/>
      <c r="CI2242" s="115"/>
      <c r="CJ2242" s="115"/>
      <c r="CK2242" s="115"/>
      <c r="CL2242" s="115"/>
      <c r="CM2242" s="115"/>
      <c r="CN2242" s="115"/>
      <c r="CO2242" s="115"/>
      <c r="CP2242" s="115"/>
      <c r="CQ2242" s="115"/>
      <c r="CR2242" s="115"/>
      <c r="CS2242" s="115"/>
      <c r="CT2242" s="115"/>
      <c r="CU2242" s="115"/>
      <c r="CV2242" s="115"/>
      <c r="CW2242" s="115"/>
      <c r="CX2242" s="115"/>
      <c r="CY2242" s="115"/>
      <c r="CZ2242" s="115"/>
      <c r="DA2242" s="115"/>
      <c r="DB2242" s="115"/>
      <c r="DC2242" s="115"/>
      <c r="DD2242" s="115"/>
      <c r="DE2242" s="115"/>
      <c r="DF2242" s="115"/>
      <c r="DG2242" s="115"/>
    </row>
    <row r="2243" spans="55:111" hidden="1">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c r="BY2243" s="115"/>
      <c r="BZ2243" s="115"/>
      <c r="CA2243" s="115"/>
      <c r="CB2243" s="115"/>
      <c r="CC2243" s="115"/>
      <c r="CD2243" s="115"/>
      <c r="CE2243" s="115"/>
      <c r="CF2243" s="115"/>
      <c r="CG2243" s="115"/>
      <c r="CH2243" s="115"/>
      <c r="CI2243" s="115"/>
      <c r="CJ2243" s="115"/>
      <c r="CK2243" s="115"/>
      <c r="CL2243" s="115"/>
      <c r="CM2243" s="115"/>
      <c r="CN2243" s="115"/>
      <c r="CO2243" s="115"/>
      <c r="CP2243" s="115"/>
      <c r="CQ2243" s="115"/>
      <c r="CR2243" s="115"/>
      <c r="CS2243" s="115"/>
      <c r="CT2243" s="115"/>
      <c r="CU2243" s="115"/>
      <c r="CV2243" s="115"/>
      <c r="CW2243" s="115"/>
      <c r="CX2243" s="115"/>
      <c r="CY2243" s="115"/>
      <c r="CZ2243" s="115"/>
      <c r="DA2243" s="115"/>
      <c r="DB2243" s="115"/>
      <c r="DC2243" s="115"/>
      <c r="DD2243" s="115"/>
      <c r="DE2243" s="115"/>
      <c r="DF2243" s="115"/>
      <c r="DG2243" s="115"/>
    </row>
    <row r="2244" spans="55:111" hidden="1">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c r="BY2244" s="115"/>
      <c r="BZ2244" s="115"/>
      <c r="CA2244" s="115"/>
      <c r="CB2244" s="115"/>
      <c r="CC2244" s="115"/>
      <c r="CD2244" s="115"/>
      <c r="CE2244" s="115"/>
      <c r="CF2244" s="115"/>
      <c r="CG2244" s="115"/>
      <c r="CH2244" s="115"/>
      <c r="CI2244" s="115"/>
      <c r="CJ2244" s="115"/>
      <c r="CK2244" s="115"/>
      <c r="CL2244" s="115"/>
      <c r="CM2244" s="115"/>
      <c r="CN2244" s="115"/>
      <c r="CO2244" s="115"/>
      <c r="CP2244" s="115"/>
      <c r="CQ2244" s="115"/>
      <c r="CR2244" s="115"/>
      <c r="CS2244" s="115"/>
      <c r="CT2244" s="115"/>
      <c r="CU2244" s="115"/>
      <c r="CV2244" s="115"/>
      <c r="CW2244" s="115"/>
      <c r="CX2244" s="115"/>
      <c r="CY2244" s="115"/>
      <c r="CZ2244" s="115"/>
      <c r="DA2244" s="115"/>
      <c r="DB2244" s="115"/>
      <c r="DC2244" s="115"/>
      <c r="DD2244" s="115"/>
      <c r="DE2244" s="115"/>
      <c r="DF2244" s="115"/>
      <c r="DG2244" s="115"/>
    </row>
    <row r="2245" spans="55:111" hidden="1">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c r="BY2245" s="115"/>
      <c r="BZ2245" s="115"/>
      <c r="CA2245" s="115"/>
      <c r="CB2245" s="115"/>
      <c r="CC2245" s="115"/>
      <c r="CD2245" s="115"/>
      <c r="CE2245" s="115"/>
      <c r="CF2245" s="115"/>
      <c r="CG2245" s="115"/>
      <c r="CH2245" s="115"/>
      <c r="CI2245" s="115"/>
      <c r="CJ2245" s="115"/>
      <c r="CK2245" s="115"/>
      <c r="CL2245" s="115"/>
      <c r="CM2245" s="115"/>
      <c r="CN2245" s="115"/>
      <c r="CO2245" s="115"/>
      <c r="CP2245" s="115"/>
      <c r="CQ2245" s="115"/>
      <c r="CR2245" s="115"/>
      <c r="CS2245" s="115"/>
      <c r="CT2245" s="115"/>
      <c r="CU2245" s="115"/>
      <c r="CV2245" s="115"/>
      <c r="CW2245" s="115"/>
      <c r="CX2245" s="115"/>
      <c r="CY2245" s="115"/>
      <c r="CZ2245" s="115"/>
      <c r="DA2245" s="115"/>
      <c r="DB2245" s="115"/>
      <c r="DC2245" s="115"/>
      <c r="DD2245" s="115"/>
      <c r="DE2245" s="115"/>
      <c r="DF2245" s="115"/>
      <c r="DG2245" s="115"/>
    </row>
    <row r="2246" spans="55:111" hidden="1">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c r="BY2246" s="115"/>
      <c r="BZ2246" s="115"/>
      <c r="CA2246" s="115"/>
      <c r="CB2246" s="115"/>
      <c r="CC2246" s="115"/>
      <c r="CD2246" s="115"/>
      <c r="CE2246" s="115"/>
      <c r="CF2246" s="115"/>
      <c r="CG2246" s="115"/>
      <c r="CH2246" s="115"/>
      <c r="CI2246" s="115"/>
      <c r="CJ2246" s="115"/>
      <c r="CK2246" s="115"/>
      <c r="CL2246" s="115"/>
      <c r="CM2246" s="115"/>
      <c r="CN2246" s="115"/>
      <c r="CO2246" s="115"/>
      <c r="CP2246" s="115"/>
      <c r="CQ2246" s="115"/>
      <c r="CR2246" s="115"/>
      <c r="CS2246" s="115"/>
      <c r="CT2246" s="115"/>
      <c r="CU2246" s="115"/>
      <c r="CV2246" s="115"/>
      <c r="CW2246" s="115"/>
      <c r="CX2246" s="115"/>
      <c r="CY2246" s="115"/>
      <c r="CZ2246" s="115"/>
      <c r="DA2246" s="115"/>
      <c r="DB2246" s="115"/>
      <c r="DC2246" s="115"/>
      <c r="DD2246" s="115"/>
      <c r="DE2246" s="115"/>
      <c r="DF2246" s="115"/>
      <c r="DG2246" s="115"/>
    </row>
    <row r="2247" spans="55:111" hidden="1">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c r="BY2247" s="115"/>
      <c r="BZ2247" s="115"/>
      <c r="CA2247" s="115"/>
      <c r="CB2247" s="115"/>
      <c r="CC2247" s="115"/>
      <c r="CD2247" s="115"/>
      <c r="CE2247" s="115"/>
      <c r="CF2247" s="115"/>
      <c r="CG2247" s="115"/>
      <c r="CH2247" s="115"/>
      <c r="CI2247" s="115"/>
      <c r="CJ2247" s="115"/>
      <c r="CK2247" s="115"/>
      <c r="CL2247" s="115"/>
      <c r="CM2247" s="115"/>
      <c r="CN2247" s="115"/>
      <c r="CO2247" s="115"/>
      <c r="CP2247" s="115"/>
      <c r="CQ2247" s="115"/>
      <c r="CR2247" s="115"/>
      <c r="CS2247" s="115"/>
      <c r="CT2247" s="115"/>
      <c r="CU2247" s="115"/>
      <c r="CV2247" s="115"/>
      <c r="CW2247" s="115"/>
      <c r="CX2247" s="115"/>
      <c r="CY2247" s="115"/>
      <c r="CZ2247" s="115"/>
      <c r="DA2247" s="115"/>
      <c r="DB2247" s="115"/>
      <c r="DC2247" s="115"/>
      <c r="DD2247" s="115"/>
      <c r="DE2247" s="115"/>
      <c r="DF2247" s="115"/>
      <c r="DG2247" s="115"/>
    </row>
    <row r="2248" spans="55:111" hidden="1">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c r="BY2248" s="115"/>
      <c r="BZ2248" s="115"/>
      <c r="CA2248" s="115"/>
      <c r="CB2248" s="115"/>
      <c r="CC2248" s="115"/>
      <c r="CD2248" s="115"/>
      <c r="CE2248" s="115"/>
      <c r="CF2248" s="115"/>
      <c r="CG2248" s="115"/>
      <c r="CH2248" s="115"/>
      <c r="CI2248" s="115"/>
      <c r="CJ2248" s="115"/>
      <c r="CK2248" s="115"/>
      <c r="CL2248" s="115"/>
      <c r="CM2248" s="115"/>
      <c r="CN2248" s="115"/>
      <c r="CO2248" s="115"/>
      <c r="CP2248" s="115"/>
      <c r="CQ2248" s="115"/>
      <c r="CR2248" s="115"/>
      <c r="CS2248" s="115"/>
      <c r="CT2248" s="115"/>
      <c r="CU2248" s="115"/>
      <c r="CV2248" s="115"/>
      <c r="CW2248" s="115"/>
      <c r="CX2248" s="115"/>
      <c r="CY2248" s="115"/>
      <c r="CZ2248" s="115"/>
      <c r="DA2248" s="115"/>
      <c r="DB2248" s="115"/>
      <c r="DC2248" s="115"/>
      <c r="DD2248" s="115"/>
      <c r="DE2248" s="115"/>
      <c r="DF2248" s="115"/>
      <c r="DG2248" s="115"/>
    </row>
    <row r="2249" spans="55:111" hidden="1">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c r="BY2249" s="115"/>
      <c r="BZ2249" s="115"/>
      <c r="CA2249" s="115"/>
      <c r="CB2249" s="115"/>
      <c r="CC2249" s="115"/>
      <c r="CD2249" s="115"/>
      <c r="CE2249" s="115"/>
      <c r="CF2249" s="115"/>
      <c r="CG2249" s="115"/>
      <c r="CH2249" s="115"/>
      <c r="CI2249" s="115"/>
      <c r="CJ2249" s="115"/>
      <c r="CK2249" s="115"/>
      <c r="CL2249" s="115"/>
      <c r="CM2249" s="115"/>
      <c r="CN2249" s="115"/>
      <c r="CO2249" s="115"/>
      <c r="CP2249" s="115"/>
      <c r="CQ2249" s="115"/>
      <c r="CR2249" s="115"/>
      <c r="CS2249" s="115"/>
      <c r="CT2249" s="115"/>
      <c r="CU2249" s="115"/>
      <c r="CV2249" s="115"/>
      <c r="CW2249" s="115"/>
      <c r="CX2249" s="115"/>
      <c r="CY2249" s="115"/>
      <c r="CZ2249" s="115"/>
      <c r="DA2249" s="115"/>
      <c r="DB2249" s="115"/>
      <c r="DC2249" s="115"/>
      <c r="DD2249" s="115"/>
      <c r="DE2249" s="115"/>
      <c r="DF2249" s="115"/>
      <c r="DG2249" s="115"/>
    </row>
    <row r="2250" spans="55:111" hidden="1">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c r="BY2250" s="115"/>
      <c r="BZ2250" s="115"/>
      <c r="CA2250" s="115"/>
      <c r="CB2250" s="115"/>
      <c r="CC2250" s="115"/>
      <c r="CD2250" s="115"/>
      <c r="CE2250" s="115"/>
      <c r="CF2250" s="115"/>
      <c r="CG2250" s="115"/>
      <c r="CH2250" s="115"/>
      <c r="CI2250" s="115"/>
      <c r="CJ2250" s="115"/>
      <c r="CK2250" s="115"/>
      <c r="CL2250" s="115"/>
      <c r="CM2250" s="115"/>
      <c r="CN2250" s="115"/>
      <c r="CO2250" s="115"/>
      <c r="CP2250" s="115"/>
      <c r="CQ2250" s="115"/>
      <c r="CR2250" s="115"/>
      <c r="CS2250" s="115"/>
      <c r="CT2250" s="115"/>
      <c r="CU2250" s="115"/>
      <c r="CV2250" s="115"/>
      <c r="CW2250" s="115"/>
      <c r="CX2250" s="115"/>
      <c r="CY2250" s="115"/>
      <c r="CZ2250" s="115"/>
      <c r="DA2250" s="115"/>
      <c r="DB2250" s="115"/>
      <c r="DC2250" s="115"/>
      <c r="DD2250" s="115"/>
      <c r="DE2250" s="115"/>
      <c r="DF2250" s="115"/>
      <c r="DG2250" s="115"/>
    </row>
    <row r="2251" spans="55:111" hidden="1">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c r="BY2251" s="115"/>
      <c r="BZ2251" s="115"/>
      <c r="CA2251" s="115"/>
      <c r="CB2251" s="115"/>
      <c r="CC2251" s="115"/>
      <c r="CD2251" s="115"/>
      <c r="CE2251" s="115"/>
      <c r="CF2251" s="115"/>
      <c r="CG2251" s="115"/>
      <c r="CH2251" s="115"/>
      <c r="CI2251" s="115"/>
      <c r="CJ2251" s="115"/>
      <c r="CK2251" s="115"/>
      <c r="CL2251" s="115"/>
      <c r="CM2251" s="115"/>
      <c r="CN2251" s="115"/>
      <c r="CO2251" s="115"/>
      <c r="CP2251" s="115"/>
      <c r="CQ2251" s="115"/>
      <c r="CR2251" s="115"/>
      <c r="CS2251" s="115"/>
      <c r="CT2251" s="115"/>
      <c r="CU2251" s="115"/>
      <c r="CV2251" s="115"/>
      <c r="CW2251" s="115"/>
      <c r="CX2251" s="115"/>
      <c r="CY2251" s="115"/>
      <c r="CZ2251" s="115"/>
      <c r="DA2251" s="115"/>
      <c r="DB2251" s="115"/>
      <c r="DC2251" s="115"/>
      <c r="DD2251" s="115"/>
      <c r="DE2251" s="115"/>
      <c r="DF2251" s="115"/>
      <c r="DG2251" s="115"/>
    </row>
    <row r="2252" spans="55:111" hidden="1">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c r="BY2252" s="115"/>
      <c r="BZ2252" s="115"/>
      <c r="CA2252" s="115"/>
      <c r="CB2252" s="115"/>
      <c r="CC2252" s="115"/>
      <c r="CD2252" s="115"/>
      <c r="CE2252" s="115"/>
      <c r="CF2252" s="115"/>
      <c r="CG2252" s="115"/>
      <c r="CH2252" s="115"/>
      <c r="CI2252" s="115"/>
      <c r="CJ2252" s="115"/>
      <c r="CK2252" s="115"/>
      <c r="CL2252" s="115"/>
      <c r="CM2252" s="115"/>
      <c r="CN2252" s="115"/>
      <c r="CO2252" s="115"/>
      <c r="CP2252" s="115"/>
      <c r="CQ2252" s="115"/>
      <c r="CR2252" s="115"/>
      <c r="CS2252" s="115"/>
      <c r="CT2252" s="115"/>
      <c r="CU2252" s="115"/>
      <c r="CV2252" s="115"/>
      <c r="CW2252" s="115"/>
      <c r="CX2252" s="115"/>
      <c r="CY2252" s="115"/>
      <c r="CZ2252" s="115"/>
      <c r="DA2252" s="115"/>
      <c r="DB2252" s="115"/>
      <c r="DC2252" s="115"/>
      <c r="DD2252" s="115"/>
      <c r="DE2252" s="115"/>
      <c r="DF2252" s="115"/>
      <c r="DG2252" s="115"/>
    </row>
    <row r="2253" spans="55:111" hidden="1">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c r="BY2253" s="115"/>
      <c r="BZ2253" s="115"/>
      <c r="CA2253" s="115"/>
      <c r="CB2253" s="115"/>
      <c r="CC2253" s="115"/>
      <c r="CD2253" s="115"/>
      <c r="CE2253" s="115"/>
      <c r="CF2253" s="115"/>
      <c r="CG2253" s="115"/>
      <c r="CH2253" s="115"/>
      <c r="CI2253" s="115"/>
      <c r="CJ2253" s="115"/>
      <c r="CK2253" s="115"/>
      <c r="CL2253" s="115"/>
      <c r="CM2253" s="115"/>
      <c r="CN2253" s="115"/>
      <c r="CO2253" s="115"/>
      <c r="CP2253" s="115"/>
      <c r="CQ2253" s="115"/>
      <c r="CR2253" s="115"/>
      <c r="CS2253" s="115"/>
      <c r="CT2253" s="115"/>
      <c r="CU2253" s="115"/>
      <c r="CV2253" s="115"/>
      <c r="CW2253" s="115"/>
      <c r="CX2253" s="115"/>
      <c r="CY2253" s="115"/>
      <c r="CZ2253" s="115"/>
      <c r="DA2253" s="115"/>
      <c r="DB2253" s="115"/>
      <c r="DC2253" s="115"/>
      <c r="DD2253" s="115"/>
      <c r="DE2253" s="115"/>
      <c r="DF2253" s="115"/>
      <c r="DG2253" s="115"/>
    </row>
    <row r="2254" spans="55:111" hidden="1">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c r="BY2254" s="115"/>
      <c r="BZ2254" s="115"/>
      <c r="CA2254" s="115"/>
      <c r="CB2254" s="115"/>
      <c r="CC2254" s="115"/>
      <c r="CD2254" s="115"/>
      <c r="CE2254" s="115"/>
      <c r="CF2254" s="115"/>
      <c r="CG2254" s="115"/>
      <c r="CH2254" s="115"/>
      <c r="CI2254" s="115"/>
      <c r="CJ2254" s="115"/>
      <c r="CK2254" s="115"/>
      <c r="CL2254" s="115"/>
      <c r="CM2254" s="115"/>
      <c r="CN2254" s="115"/>
      <c r="CO2254" s="115"/>
      <c r="CP2254" s="115"/>
      <c r="CQ2254" s="115"/>
      <c r="CR2254" s="115"/>
      <c r="CS2254" s="115"/>
      <c r="CT2254" s="115"/>
      <c r="CU2254" s="115"/>
      <c r="CV2254" s="115"/>
      <c r="CW2254" s="115"/>
      <c r="CX2254" s="115"/>
      <c r="CY2254" s="115"/>
      <c r="CZ2254" s="115"/>
      <c r="DA2254" s="115"/>
      <c r="DB2254" s="115"/>
      <c r="DC2254" s="115"/>
      <c r="DD2254" s="115"/>
      <c r="DE2254" s="115"/>
      <c r="DF2254" s="115"/>
      <c r="DG2254" s="115"/>
    </row>
    <row r="2255" spans="55:111" hidden="1">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c r="BY2255" s="115"/>
      <c r="BZ2255" s="115"/>
      <c r="CA2255" s="115"/>
      <c r="CB2255" s="115"/>
      <c r="CC2255" s="115"/>
      <c r="CD2255" s="115"/>
      <c r="CE2255" s="115"/>
      <c r="CF2255" s="115"/>
      <c r="CG2255" s="115"/>
      <c r="CH2255" s="115"/>
      <c r="CI2255" s="115"/>
      <c r="CJ2255" s="115"/>
      <c r="CK2255" s="115"/>
      <c r="CL2255" s="115"/>
      <c r="CM2255" s="115"/>
      <c r="CN2255" s="115"/>
      <c r="CO2255" s="115"/>
      <c r="CP2255" s="115"/>
      <c r="CQ2255" s="115"/>
      <c r="CR2255" s="115"/>
      <c r="CS2255" s="115"/>
      <c r="CT2255" s="115"/>
      <c r="CU2255" s="115"/>
      <c r="CV2255" s="115"/>
      <c r="CW2255" s="115"/>
      <c r="CX2255" s="115"/>
      <c r="CY2255" s="115"/>
      <c r="CZ2255" s="115"/>
      <c r="DA2255" s="115"/>
      <c r="DB2255" s="115"/>
      <c r="DC2255" s="115"/>
      <c r="DD2255" s="115"/>
      <c r="DE2255" s="115"/>
      <c r="DF2255" s="115"/>
      <c r="DG2255" s="115"/>
    </row>
    <row r="2256" spans="55:111" hidden="1">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c r="BY2256" s="115"/>
      <c r="BZ2256" s="115"/>
      <c r="CA2256" s="115"/>
      <c r="CB2256" s="115"/>
      <c r="CC2256" s="115"/>
      <c r="CD2256" s="115"/>
      <c r="CE2256" s="115"/>
      <c r="CF2256" s="115"/>
      <c r="CG2256" s="115"/>
      <c r="CH2256" s="115"/>
      <c r="CI2256" s="115"/>
      <c r="CJ2256" s="115"/>
      <c r="CK2256" s="115"/>
      <c r="CL2256" s="115"/>
      <c r="CM2256" s="115"/>
      <c r="CN2256" s="115"/>
      <c r="CO2256" s="115"/>
      <c r="CP2256" s="115"/>
      <c r="CQ2256" s="115"/>
      <c r="CR2256" s="115"/>
      <c r="CS2256" s="115"/>
      <c r="CT2256" s="115"/>
      <c r="CU2256" s="115"/>
      <c r="CV2256" s="115"/>
      <c r="CW2256" s="115"/>
      <c r="CX2256" s="115"/>
      <c r="CY2256" s="115"/>
      <c r="CZ2256" s="115"/>
      <c r="DA2256" s="115"/>
      <c r="DB2256" s="115"/>
      <c r="DC2256" s="115"/>
      <c r="DD2256" s="115"/>
      <c r="DE2256" s="115"/>
      <c r="DF2256" s="115"/>
      <c r="DG2256" s="115"/>
    </row>
    <row r="2257" spans="55:111" hidden="1">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c r="BY2257" s="115"/>
      <c r="BZ2257" s="115"/>
      <c r="CA2257" s="115"/>
      <c r="CB2257" s="115"/>
      <c r="CC2257" s="115"/>
      <c r="CD2257" s="115"/>
      <c r="CE2257" s="115"/>
      <c r="CF2257" s="115"/>
      <c r="CG2257" s="115"/>
      <c r="CH2257" s="115"/>
      <c r="CI2257" s="115"/>
      <c r="CJ2257" s="115"/>
      <c r="CK2257" s="115"/>
      <c r="CL2257" s="115"/>
      <c r="CM2257" s="115"/>
      <c r="CN2257" s="115"/>
      <c r="CO2257" s="115"/>
      <c r="CP2257" s="115"/>
      <c r="CQ2257" s="115"/>
      <c r="CR2257" s="115"/>
      <c r="CS2257" s="115"/>
      <c r="CT2257" s="115"/>
      <c r="CU2257" s="115"/>
      <c r="CV2257" s="115"/>
      <c r="CW2257" s="115"/>
      <c r="CX2257" s="115"/>
      <c r="CY2257" s="115"/>
      <c r="CZ2257" s="115"/>
      <c r="DA2257" s="115"/>
      <c r="DB2257" s="115"/>
      <c r="DC2257" s="115"/>
      <c r="DD2257" s="115"/>
      <c r="DE2257" s="115"/>
      <c r="DF2257" s="115"/>
      <c r="DG2257" s="115"/>
    </row>
    <row r="2258" spans="55:111" hidden="1">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c r="BY2258" s="115"/>
      <c r="BZ2258" s="115"/>
      <c r="CA2258" s="115"/>
      <c r="CB2258" s="115"/>
      <c r="CC2258" s="115"/>
      <c r="CD2258" s="115"/>
      <c r="CE2258" s="115"/>
      <c r="CF2258" s="115"/>
      <c r="CG2258" s="115"/>
      <c r="CH2258" s="115"/>
      <c r="CI2258" s="115"/>
      <c r="CJ2258" s="115"/>
      <c r="CK2258" s="115"/>
      <c r="CL2258" s="115"/>
      <c r="CM2258" s="115"/>
      <c r="CN2258" s="115"/>
      <c r="CO2258" s="115"/>
      <c r="CP2258" s="115"/>
      <c r="CQ2258" s="115"/>
      <c r="CR2258" s="115"/>
      <c r="CS2258" s="115"/>
      <c r="CT2258" s="115"/>
      <c r="CU2258" s="115"/>
      <c r="CV2258" s="115"/>
      <c r="CW2258" s="115"/>
      <c r="CX2258" s="115"/>
      <c r="CY2258" s="115"/>
      <c r="CZ2258" s="115"/>
      <c r="DA2258" s="115"/>
      <c r="DB2258" s="115"/>
      <c r="DC2258" s="115"/>
      <c r="DD2258" s="115"/>
      <c r="DE2258" s="115"/>
      <c r="DF2258" s="115"/>
      <c r="DG2258" s="115"/>
    </row>
    <row r="2259" spans="55:111" hidden="1">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c r="BY2259" s="115"/>
      <c r="BZ2259" s="115"/>
      <c r="CA2259" s="115"/>
      <c r="CB2259" s="115"/>
      <c r="CC2259" s="115"/>
      <c r="CD2259" s="115"/>
      <c r="CE2259" s="115"/>
      <c r="CF2259" s="115"/>
      <c r="CG2259" s="115"/>
      <c r="CH2259" s="115"/>
      <c r="CI2259" s="115"/>
      <c r="CJ2259" s="115"/>
      <c r="CK2259" s="115"/>
      <c r="CL2259" s="115"/>
      <c r="CM2259" s="115"/>
      <c r="CN2259" s="115"/>
      <c r="CO2259" s="115"/>
      <c r="CP2259" s="115"/>
      <c r="CQ2259" s="115"/>
      <c r="CR2259" s="115"/>
      <c r="CS2259" s="115"/>
      <c r="CT2259" s="115"/>
      <c r="CU2259" s="115"/>
      <c r="CV2259" s="115"/>
      <c r="CW2259" s="115"/>
      <c r="CX2259" s="115"/>
      <c r="CY2259" s="115"/>
      <c r="CZ2259" s="115"/>
      <c r="DA2259" s="115"/>
      <c r="DB2259" s="115"/>
      <c r="DC2259" s="115"/>
      <c r="DD2259" s="115"/>
      <c r="DE2259" s="115"/>
      <c r="DF2259" s="115"/>
      <c r="DG2259" s="115"/>
    </row>
    <row r="2260" spans="55:111" hidden="1">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c r="BY2260" s="115"/>
      <c r="BZ2260" s="115"/>
      <c r="CA2260" s="115"/>
      <c r="CB2260" s="115"/>
      <c r="CC2260" s="115"/>
      <c r="CD2260" s="115"/>
      <c r="CE2260" s="115"/>
      <c r="CF2260" s="115"/>
      <c r="CG2260" s="115"/>
      <c r="CH2260" s="115"/>
      <c r="CI2260" s="115"/>
      <c r="CJ2260" s="115"/>
      <c r="CK2260" s="115"/>
      <c r="CL2260" s="115"/>
      <c r="CM2260" s="115"/>
      <c r="CN2260" s="115"/>
      <c r="CO2260" s="115"/>
      <c r="CP2260" s="115"/>
      <c r="CQ2260" s="115"/>
      <c r="CR2260" s="115"/>
      <c r="CS2260" s="115"/>
      <c r="CT2260" s="115"/>
      <c r="CU2260" s="115"/>
      <c r="CV2260" s="115"/>
      <c r="CW2260" s="115"/>
      <c r="CX2260" s="115"/>
      <c r="CY2260" s="115"/>
      <c r="CZ2260" s="115"/>
      <c r="DA2260" s="115"/>
      <c r="DB2260" s="115"/>
      <c r="DC2260" s="115"/>
      <c r="DD2260" s="115"/>
      <c r="DE2260" s="115"/>
      <c r="DF2260" s="115"/>
      <c r="DG2260" s="115"/>
    </row>
    <row r="2261" spans="55:111" hidden="1">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c r="BY2261" s="115"/>
      <c r="BZ2261" s="115"/>
      <c r="CA2261" s="115"/>
      <c r="CB2261" s="115"/>
      <c r="CC2261" s="115"/>
      <c r="CD2261" s="115"/>
      <c r="CE2261" s="115"/>
      <c r="CF2261" s="115"/>
      <c r="CG2261" s="115"/>
      <c r="CH2261" s="115"/>
      <c r="CI2261" s="115"/>
      <c r="CJ2261" s="115"/>
      <c r="CK2261" s="115"/>
      <c r="CL2261" s="115"/>
      <c r="CM2261" s="115"/>
      <c r="CN2261" s="115"/>
      <c r="CO2261" s="115"/>
      <c r="CP2261" s="115"/>
      <c r="CQ2261" s="115"/>
      <c r="CR2261" s="115"/>
      <c r="CS2261" s="115"/>
      <c r="CT2261" s="115"/>
      <c r="CU2261" s="115"/>
      <c r="CV2261" s="115"/>
      <c r="CW2261" s="115"/>
      <c r="CX2261" s="115"/>
      <c r="CY2261" s="115"/>
      <c r="CZ2261" s="115"/>
      <c r="DA2261" s="115"/>
      <c r="DB2261" s="115"/>
      <c r="DC2261" s="115"/>
      <c r="DD2261" s="115"/>
      <c r="DE2261" s="115"/>
      <c r="DF2261" s="115"/>
      <c r="DG2261" s="115"/>
    </row>
    <row r="2262" spans="55:111" hidden="1">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c r="BY2262" s="115"/>
      <c r="BZ2262" s="115"/>
      <c r="CA2262" s="115"/>
      <c r="CB2262" s="115"/>
      <c r="CC2262" s="115"/>
      <c r="CD2262" s="115"/>
      <c r="CE2262" s="115"/>
      <c r="CF2262" s="115"/>
      <c r="CG2262" s="115"/>
      <c r="CH2262" s="115"/>
      <c r="CI2262" s="115"/>
      <c r="CJ2262" s="115"/>
      <c r="CK2262" s="115"/>
      <c r="CL2262" s="115"/>
      <c r="CM2262" s="115"/>
      <c r="CN2262" s="115"/>
      <c r="CO2262" s="115"/>
      <c r="CP2262" s="115"/>
      <c r="CQ2262" s="115"/>
      <c r="CR2262" s="115"/>
      <c r="CS2262" s="115"/>
      <c r="CT2262" s="115"/>
      <c r="CU2262" s="115"/>
      <c r="CV2262" s="115"/>
      <c r="CW2262" s="115"/>
      <c r="CX2262" s="115"/>
      <c r="CY2262" s="115"/>
      <c r="CZ2262" s="115"/>
      <c r="DA2262" s="115"/>
      <c r="DB2262" s="115"/>
      <c r="DC2262" s="115"/>
      <c r="DD2262" s="115"/>
      <c r="DE2262" s="115"/>
      <c r="DF2262" s="115"/>
      <c r="DG2262" s="115"/>
    </row>
    <row r="2263" spans="55:111" hidden="1">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c r="BY2263" s="115"/>
      <c r="BZ2263" s="115"/>
      <c r="CA2263" s="115"/>
      <c r="CB2263" s="115"/>
      <c r="CC2263" s="115"/>
      <c r="CD2263" s="115"/>
      <c r="CE2263" s="115"/>
      <c r="CF2263" s="115"/>
      <c r="CG2263" s="115"/>
      <c r="CH2263" s="115"/>
      <c r="CI2263" s="115"/>
      <c r="CJ2263" s="115"/>
      <c r="CK2263" s="115"/>
      <c r="CL2263" s="115"/>
      <c r="CM2263" s="115"/>
      <c r="CN2263" s="115"/>
      <c r="CO2263" s="115"/>
      <c r="CP2263" s="115"/>
      <c r="CQ2263" s="115"/>
      <c r="CR2263" s="115"/>
      <c r="CS2263" s="115"/>
      <c r="CT2263" s="115"/>
      <c r="CU2263" s="115"/>
      <c r="CV2263" s="115"/>
      <c r="CW2263" s="115"/>
      <c r="CX2263" s="115"/>
      <c r="CY2263" s="115"/>
      <c r="CZ2263" s="115"/>
      <c r="DA2263" s="115"/>
      <c r="DB2263" s="115"/>
      <c r="DC2263" s="115"/>
      <c r="DD2263" s="115"/>
      <c r="DE2263" s="115"/>
      <c r="DF2263" s="115"/>
      <c r="DG2263" s="115"/>
    </row>
    <row r="2264" spans="55:111" hidden="1">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c r="BY2264" s="115"/>
      <c r="BZ2264" s="115"/>
      <c r="CA2264" s="115"/>
      <c r="CB2264" s="115"/>
      <c r="CC2264" s="115"/>
      <c r="CD2264" s="115"/>
      <c r="CE2264" s="115"/>
      <c r="CF2264" s="115"/>
      <c r="CG2264" s="115"/>
      <c r="CH2264" s="115"/>
      <c r="CI2264" s="115"/>
      <c r="CJ2264" s="115"/>
      <c r="CK2264" s="115"/>
      <c r="CL2264" s="115"/>
      <c r="CM2264" s="115"/>
      <c r="CN2264" s="115"/>
      <c r="CO2264" s="115"/>
      <c r="CP2264" s="115"/>
      <c r="CQ2264" s="115"/>
      <c r="CR2264" s="115"/>
      <c r="CS2264" s="115"/>
      <c r="CT2264" s="115"/>
      <c r="CU2264" s="115"/>
      <c r="CV2264" s="115"/>
      <c r="CW2264" s="115"/>
      <c r="CX2264" s="115"/>
      <c r="CY2264" s="115"/>
      <c r="CZ2264" s="115"/>
      <c r="DA2264" s="115"/>
      <c r="DB2264" s="115"/>
      <c r="DC2264" s="115"/>
      <c r="DD2264" s="115"/>
      <c r="DE2264" s="115"/>
      <c r="DF2264" s="115"/>
      <c r="DG2264" s="115"/>
    </row>
    <row r="2265" spans="55:111" hidden="1">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c r="BY2265" s="115"/>
      <c r="BZ2265" s="115"/>
      <c r="CA2265" s="115"/>
      <c r="CB2265" s="115"/>
      <c r="CC2265" s="115"/>
      <c r="CD2265" s="115"/>
      <c r="CE2265" s="115"/>
      <c r="CF2265" s="115"/>
      <c r="CG2265" s="115"/>
      <c r="CH2265" s="115"/>
      <c r="CI2265" s="115"/>
      <c r="CJ2265" s="115"/>
      <c r="CK2265" s="115"/>
      <c r="CL2265" s="115"/>
      <c r="CM2265" s="115"/>
      <c r="CN2265" s="115"/>
      <c r="CO2265" s="115"/>
      <c r="CP2265" s="115"/>
      <c r="CQ2265" s="115"/>
      <c r="CR2265" s="115"/>
      <c r="CS2265" s="115"/>
      <c r="CT2265" s="115"/>
      <c r="CU2265" s="115"/>
      <c r="CV2265" s="115"/>
      <c r="CW2265" s="115"/>
      <c r="CX2265" s="115"/>
      <c r="CY2265" s="115"/>
      <c r="CZ2265" s="115"/>
      <c r="DA2265" s="115"/>
      <c r="DB2265" s="115"/>
      <c r="DC2265" s="115"/>
      <c r="DD2265" s="115"/>
      <c r="DE2265" s="115"/>
      <c r="DF2265" s="115"/>
      <c r="DG2265" s="115"/>
    </row>
    <row r="2266" spans="55:111" hidden="1">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c r="BY2266" s="115"/>
      <c r="BZ2266" s="115"/>
      <c r="CA2266" s="115"/>
      <c r="CB2266" s="115"/>
      <c r="CC2266" s="115"/>
      <c r="CD2266" s="115"/>
      <c r="CE2266" s="115"/>
      <c r="CF2266" s="115"/>
      <c r="CG2266" s="115"/>
      <c r="CH2266" s="115"/>
      <c r="CI2266" s="115"/>
      <c r="CJ2266" s="115"/>
      <c r="CK2266" s="115"/>
      <c r="CL2266" s="115"/>
      <c r="CM2266" s="115"/>
      <c r="CN2266" s="115"/>
      <c r="CO2266" s="115"/>
      <c r="CP2266" s="115"/>
      <c r="CQ2266" s="115"/>
      <c r="CR2266" s="115"/>
      <c r="CS2266" s="115"/>
      <c r="CT2266" s="115"/>
      <c r="CU2266" s="115"/>
      <c r="CV2266" s="115"/>
      <c r="CW2266" s="115"/>
      <c r="CX2266" s="115"/>
      <c r="CY2266" s="115"/>
      <c r="CZ2266" s="115"/>
      <c r="DA2266" s="115"/>
      <c r="DB2266" s="115"/>
      <c r="DC2266" s="115"/>
      <c r="DD2266" s="115"/>
      <c r="DE2266" s="115"/>
      <c r="DF2266" s="115"/>
      <c r="DG2266" s="115"/>
    </row>
    <row r="2267" spans="55:111" hidden="1">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c r="BY2267" s="115"/>
      <c r="BZ2267" s="115"/>
      <c r="CA2267" s="115"/>
      <c r="CB2267" s="115"/>
      <c r="CC2267" s="115"/>
      <c r="CD2267" s="115"/>
      <c r="CE2267" s="115"/>
      <c r="CF2267" s="115"/>
      <c r="CG2267" s="115"/>
      <c r="CH2267" s="115"/>
      <c r="CI2267" s="115"/>
      <c r="CJ2267" s="115"/>
      <c r="CK2267" s="115"/>
      <c r="CL2267" s="115"/>
      <c r="CM2267" s="115"/>
      <c r="CN2267" s="115"/>
      <c r="CO2267" s="115"/>
      <c r="CP2267" s="115"/>
      <c r="CQ2267" s="115"/>
      <c r="CR2267" s="115"/>
      <c r="CS2267" s="115"/>
      <c r="CT2267" s="115"/>
      <c r="CU2267" s="115"/>
      <c r="CV2267" s="115"/>
      <c r="CW2267" s="115"/>
      <c r="CX2267" s="115"/>
      <c r="CY2267" s="115"/>
      <c r="CZ2267" s="115"/>
      <c r="DA2267" s="115"/>
      <c r="DB2267" s="115"/>
      <c r="DC2267" s="115"/>
      <c r="DD2267" s="115"/>
      <c r="DE2267" s="115"/>
      <c r="DF2267" s="115"/>
      <c r="DG2267" s="115"/>
    </row>
    <row r="2268" spans="55:111" hidden="1">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c r="BY2268" s="115"/>
      <c r="BZ2268" s="115"/>
      <c r="CA2268" s="115"/>
      <c r="CB2268" s="115"/>
      <c r="CC2268" s="115"/>
      <c r="CD2268" s="115"/>
      <c r="CE2268" s="115"/>
      <c r="CF2268" s="115"/>
      <c r="CG2268" s="115"/>
      <c r="CH2268" s="115"/>
      <c r="CI2268" s="115"/>
      <c r="CJ2268" s="115"/>
      <c r="CK2268" s="115"/>
      <c r="CL2268" s="115"/>
      <c r="CM2268" s="115"/>
      <c r="CN2268" s="115"/>
      <c r="CO2268" s="115"/>
      <c r="CP2268" s="115"/>
      <c r="CQ2268" s="115"/>
      <c r="CR2268" s="115"/>
      <c r="CS2268" s="115"/>
      <c r="CT2268" s="115"/>
      <c r="CU2268" s="115"/>
      <c r="CV2268" s="115"/>
      <c r="CW2268" s="115"/>
      <c r="CX2268" s="115"/>
      <c r="CY2268" s="115"/>
      <c r="CZ2268" s="115"/>
      <c r="DA2268" s="115"/>
      <c r="DB2268" s="115"/>
      <c r="DC2268" s="115"/>
      <c r="DD2268" s="115"/>
      <c r="DE2268" s="115"/>
      <c r="DF2268" s="115"/>
      <c r="DG2268" s="115"/>
    </row>
    <row r="2269" spans="55:111" hidden="1">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c r="BY2269" s="115"/>
      <c r="BZ2269" s="115"/>
      <c r="CA2269" s="115"/>
      <c r="CB2269" s="115"/>
      <c r="CC2269" s="115"/>
      <c r="CD2269" s="115"/>
      <c r="CE2269" s="115"/>
      <c r="CF2269" s="115"/>
      <c r="CG2269" s="115"/>
      <c r="CH2269" s="115"/>
      <c r="CI2269" s="115"/>
      <c r="CJ2269" s="115"/>
      <c r="CK2269" s="115"/>
      <c r="CL2269" s="115"/>
      <c r="CM2269" s="115"/>
      <c r="CN2269" s="115"/>
      <c r="CO2269" s="115"/>
      <c r="CP2269" s="115"/>
      <c r="CQ2269" s="115"/>
      <c r="CR2269" s="115"/>
      <c r="CS2269" s="115"/>
      <c r="CT2269" s="115"/>
      <c r="CU2269" s="115"/>
      <c r="CV2269" s="115"/>
      <c r="CW2269" s="115"/>
      <c r="CX2269" s="115"/>
      <c r="CY2269" s="115"/>
      <c r="CZ2269" s="115"/>
      <c r="DA2269" s="115"/>
      <c r="DB2269" s="115"/>
      <c r="DC2269" s="115"/>
      <c r="DD2269" s="115"/>
      <c r="DE2269" s="115"/>
      <c r="DF2269" s="115"/>
      <c r="DG2269" s="115"/>
    </row>
    <row r="2270" spans="55:111" hidden="1">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c r="BY2270" s="115"/>
      <c r="BZ2270" s="115"/>
      <c r="CA2270" s="115"/>
      <c r="CB2270" s="115"/>
      <c r="CC2270" s="115"/>
      <c r="CD2270" s="115"/>
      <c r="CE2270" s="115"/>
      <c r="CF2270" s="115"/>
      <c r="CG2270" s="115"/>
      <c r="CH2270" s="115"/>
      <c r="CI2270" s="115"/>
      <c r="CJ2270" s="115"/>
      <c r="CK2270" s="115"/>
      <c r="CL2270" s="115"/>
      <c r="CM2270" s="115"/>
      <c r="CN2270" s="115"/>
      <c r="CO2270" s="115"/>
      <c r="CP2270" s="115"/>
      <c r="CQ2270" s="115"/>
      <c r="CR2270" s="115"/>
      <c r="CS2270" s="115"/>
      <c r="CT2270" s="115"/>
      <c r="CU2270" s="115"/>
      <c r="CV2270" s="115"/>
      <c r="CW2270" s="115"/>
      <c r="CX2270" s="115"/>
      <c r="CY2270" s="115"/>
      <c r="CZ2270" s="115"/>
      <c r="DA2270" s="115"/>
      <c r="DB2270" s="115"/>
      <c r="DC2270" s="115"/>
      <c r="DD2270" s="115"/>
      <c r="DE2270" s="115"/>
      <c r="DF2270" s="115"/>
      <c r="DG2270" s="115"/>
    </row>
    <row r="2271" spans="55:111" hidden="1">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c r="BY2271" s="115"/>
      <c r="BZ2271" s="115"/>
      <c r="CA2271" s="115"/>
      <c r="CB2271" s="115"/>
      <c r="CC2271" s="115"/>
      <c r="CD2271" s="115"/>
      <c r="CE2271" s="115"/>
      <c r="CF2271" s="115"/>
      <c r="CG2271" s="115"/>
      <c r="CH2271" s="115"/>
      <c r="CI2271" s="115"/>
      <c r="CJ2271" s="115"/>
      <c r="CK2271" s="115"/>
      <c r="CL2271" s="115"/>
      <c r="CM2271" s="115"/>
      <c r="CN2271" s="115"/>
      <c r="CO2271" s="115"/>
      <c r="CP2271" s="115"/>
      <c r="CQ2271" s="115"/>
      <c r="CR2271" s="115"/>
      <c r="CS2271" s="115"/>
      <c r="CT2271" s="115"/>
      <c r="CU2271" s="115"/>
      <c r="CV2271" s="115"/>
      <c r="CW2271" s="115"/>
      <c r="CX2271" s="115"/>
      <c r="CY2271" s="115"/>
      <c r="CZ2271" s="115"/>
      <c r="DA2271" s="115"/>
      <c r="DB2271" s="115"/>
      <c r="DC2271" s="115"/>
      <c r="DD2271" s="115"/>
      <c r="DE2271" s="115"/>
      <c r="DF2271" s="115"/>
      <c r="DG2271" s="115"/>
    </row>
    <row r="2272" spans="55:111" hidden="1">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c r="BY2272" s="115"/>
      <c r="BZ2272" s="115"/>
      <c r="CA2272" s="115"/>
      <c r="CB2272" s="115"/>
      <c r="CC2272" s="115"/>
      <c r="CD2272" s="115"/>
      <c r="CE2272" s="115"/>
      <c r="CF2272" s="115"/>
      <c r="CG2272" s="115"/>
      <c r="CH2272" s="115"/>
      <c r="CI2272" s="115"/>
      <c r="CJ2272" s="115"/>
      <c r="CK2272" s="115"/>
      <c r="CL2272" s="115"/>
      <c r="CM2272" s="115"/>
      <c r="CN2272" s="115"/>
      <c r="CO2272" s="115"/>
      <c r="CP2272" s="115"/>
      <c r="CQ2272" s="115"/>
      <c r="CR2272" s="115"/>
      <c r="CS2272" s="115"/>
      <c r="CT2272" s="115"/>
      <c r="CU2272" s="115"/>
      <c r="CV2272" s="115"/>
      <c r="CW2272" s="115"/>
      <c r="CX2272" s="115"/>
      <c r="CY2272" s="115"/>
      <c r="CZ2272" s="115"/>
      <c r="DA2272" s="115"/>
      <c r="DB2272" s="115"/>
      <c r="DC2272" s="115"/>
      <c r="DD2272" s="115"/>
      <c r="DE2272" s="115"/>
      <c r="DF2272" s="115"/>
      <c r="DG2272" s="115"/>
    </row>
    <row r="2273" spans="55:111" hidden="1">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c r="BY2273" s="115"/>
      <c r="BZ2273" s="115"/>
      <c r="CA2273" s="115"/>
      <c r="CB2273" s="115"/>
      <c r="CC2273" s="115"/>
      <c r="CD2273" s="115"/>
      <c r="CE2273" s="115"/>
      <c r="CF2273" s="115"/>
      <c r="CG2273" s="115"/>
      <c r="CH2273" s="115"/>
      <c r="CI2273" s="115"/>
      <c r="CJ2273" s="115"/>
      <c r="CK2273" s="115"/>
      <c r="CL2273" s="115"/>
      <c r="CM2273" s="115"/>
      <c r="CN2273" s="115"/>
      <c r="CO2273" s="115"/>
      <c r="CP2273" s="115"/>
      <c r="CQ2273" s="115"/>
      <c r="CR2273" s="115"/>
      <c r="CS2273" s="115"/>
      <c r="CT2273" s="115"/>
      <c r="CU2273" s="115"/>
      <c r="CV2273" s="115"/>
      <c r="CW2273" s="115"/>
      <c r="CX2273" s="115"/>
      <c r="CY2273" s="115"/>
      <c r="CZ2273" s="115"/>
      <c r="DA2273" s="115"/>
      <c r="DB2273" s="115"/>
      <c r="DC2273" s="115"/>
      <c r="DD2273" s="115"/>
      <c r="DE2273" s="115"/>
      <c r="DF2273" s="115"/>
      <c r="DG2273" s="115"/>
    </row>
    <row r="2274" spans="55:111" hidden="1">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c r="BY2274" s="115"/>
      <c r="BZ2274" s="115"/>
      <c r="CA2274" s="115"/>
      <c r="CB2274" s="115"/>
      <c r="CC2274" s="115"/>
      <c r="CD2274" s="115"/>
      <c r="CE2274" s="115"/>
      <c r="CF2274" s="115"/>
      <c r="CG2274" s="115"/>
      <c r="CH2274" s="115"/>
      <c r="CI2274" s="115"/>
      <c r="CJ2274" s="115"/>
      <c r="CK2274" s="115"/>
      <c r="CL2274" s="115"/>
      <c r="CM2274" s="115"/>
      <c r="CN2274" s="115"/>
      <c r="CO2274" s="115"/>
      <c r="CP2274" s="115"/>
      <c r="CQ2274" s="115"/>
      <c r="CR2274" s="115"/>
      <c r="CS2274" s="115"/>
      <c r="CT2274" s="115"/>
      <c r="CU2274" s="115"/>
      <c r="CV2274" s="115"/>
      <c r="CW2274" s="115"/>
      <c r="CX2274" s="115"/>
      <c r="CY2274" s="115"/>
      <c r="CZ2274" s="115"/>
      <c r="DA2274" s="115"/>
      <c r="DB2274" s="115"/>
      <c r="DC2274" s="115"/>
      <c r="DD2274" s="115"/>
      <c r="DE2274" s="115"/>
      <c r="DF2274" s="115"/>
      <c r="DG2274" s="115"/>
    </row>
    <row r="2275" spans="55:111" hidden="1">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c r="BY2275" s="115"/>
      <c r="BZ2275" s="115"/>
      <c r="CA2275" s="115"/>
      <c r="CB2275" s="115"/>
      <c r="CC2275" s="115"/>
      <c r="CD2275" s="115"/>
      <c r="CE2275" s="115"/>
      <c r="CF2275" s="115"/>
      <c r="CG2275" s="115"/>
      <c r="CH2275" s="115"/>
      <c r="CI2275" s="115"/>
      <c r="CJ2275" s="115"/>
      <c r="CK2275" s="115"/>
      <c r="CL2275" s="115"/>
      <c r="CM2275" s="115"/>
      <c r="CN2275" s="115"/>
      <c r="CO2275" s="115"/>
      <c r="CP2275" s="115"/>
      <c r="CQ2275" s="115"/>
      <c r="CR2275" s="115"/>
      <c r="CS2275" s="115"/>
      <c r="CT2275" s="115"/>
      <c r="CU2275" s="115"/>
      <c r="CV2275" s="115"/>
      <c r="CW2275" s="115"/>
      <c r="CX2275" s="115"/>
      <c r="CY2275" s="115"/>
      <c r="CZ2275" s="115"/>
      <c r="DA2275" s="115"/>
      <c r="DB2275" s="115"/>
      <c r="DC2275" s="115"/>
      <c r="DD2275" s="115"/>
      <c r="DE2275" s="115"/>
      <c r="DF2275" s="115"/>
      <c r="DG2275" s="115"/>
    </row>
    <row r="2276" spans="55:111" hidden="1">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c r="BY2276" s="115"/>
      <c r="BZ2276" s="115"/>
      <c r="CA2276" s="115"/>
      <c r="CB2276" s="115"/>
      <c r="CC2276" s="115"/>
      <c r="CD2276" s="115"/>
      <c r="CE2276" s="115"/>
      <c r="CF2276" s="115"/>
      <c r="CG2276" s="115"/>
      <c r="CH2276" s="115"/>
      <c r="CI2276" s="115"/>
      <c r="CJ2276" s="115"/>
      <c r="CK2276" s="115"/>
      <c r="CL2276" s="115"/>
      <c r="CM2276" s="115"/>
      <c r="CN2276" s="115"/>
      <c r="CO2276" s="115"/>
      <c r="CP2276" s="115"/>
      <c r="CQ2276" s="115"/>
      <c r="CR2276" s="115"/>
      <c r="CS2276" s="115"/>
      <c r="CT2276" s="115"/>
      <c r="CU2276" s="115"/>
      <c r="CV2276" s="115"/>
      <c r="CW2276" s="115"/>
      <c r="CX2276" s="115"/>
      <c r="CY2276" s="115"/>
      <c r="CZ2276" s="115"/>
      <c r="DA2276" s="115"/>
      <c r="DB2276" s="115"/>
      <c r="DC2276" s="115"/>
      <c r="DD2276" s="115"/>
      <c r="DE2276" s="115"/>
      <c r="DF2276" s="115"/>
      <c r="DG2276" s="115"/>
    </row>
    <row r="2277" spans="55:111" hidden="1">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c r="BY2277" s="115"/>
      <c r="BZ2277" s="115"/>
      <c r="CA2277" s="115"/>
      <c r="CB2277" s="115"/>
      <c r="CC2277" s="115"/>
      <c r="CD2277" s="115"/>
      <c r="CE2277" s="115"/>
      <c r="CF2277" s="115"/>
      <c r="CG2277" s="115"/>
      <c r="CH2277" s="115"/>
      <c r="CI2277" s="115"/>
      <c r="CJ2277" s="115"/>
      <c r="CK2277" s="115"/>
      <c r="CL2277" s="115"/>
      <c r="CM2277" s="115"/>
      <c r="CN2277" s="115"/>
      <c r="CO2277" s="115"/>
      <c r="CP2277" s="115"/>
      <c r="CQ2277" s="115"/>
      <c r="CR2277" s="115"/>
      <c r="CS2277" s="115"/>
      <c r="CT2277" s="115"/>
      <c r="CU2277" s="115"/>
      <c r="CV2277" s="115"/>
      <c r="CW2277" s="115"/>
      <c r="CX2277" s="115"/>
      <c r="CY2277" s="115"/>
      <c r="CZ2277" s="115"/>
      <c r="DA2277" s="115"/>
      <c r="DB2277" s="115"/>
      <c r="DC2277" s="115"/>
      <c r="DD2277" s="115"/>
      <c r="DE2277" s="115"/>
      <c r="DF2277" s="115"/>
      <c r="DG2277" s="115"/>
    </row>
    <row r="2278" spans="55:111" hidden="1">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c r="BY2278" s="115"/>
      <c r="BZ2278" s="115"/>
      <c r="CA2278" s="115"/>
      <c r="CB2278" s="115"/>
      <c r="CC2278" s="115"/>
      <c r="CD2278" s="115"/>
      <c r="CE2278" s="115"/>
      <c r="CF2278" s="115"/>
      <c r="CG2278" s="115"/>
      <c r="CH2278" s="115"/>
      <c r="CI2278" s="115"/>
      <c r="CJ2278" s="115"/>
      <c r="CK2278" s="115"/>
      <c r="CL2278" s="115"/>
      <c r="CM2278" s="115"/>
      <c r="CN2278" s="115"/>
      <c r="CO2278" s="115"/>
      <c r="CP2278" s="115"/>
      <c r="CQ2278" s="115"/>
      <c r="CR2278" s="115"/>
      <c r="CS2278" s="115"/>
      <c r="CT2278" s="115"/>
      <c r="CU2278" s="115"/>
      <c r="CV2278" s="115"/>
      <c r="CW2278" s="115"/>
      <c r="CX2278" s="115"/>
      <c r="CY2278" s="115"/>
      <c r="CZ2278" s="115"/>
      <c r="DA2278" s="115"/>
      <c r="DB2278" s="115"/>
      <c r="DC2278" s="115"/>
      <c r="DD2278" s="115"/>
      <c r="DE2278" s="115"/>
      <c r="DF2278" s="115"/>
      <c r="DG2278" s="115"/>
    </row>
    <row r="2279" spans="55:111" hidden="1">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c r="BY2279" s="115"/>
      <c r="BZ2279" s="115"/>
      <c r="CA2279" s="115"/>
      <c r="CB2279" s="115"/>
      <c r="CC2279" s="115"/>
      <c r="CD2279" s="115"/>
      <c r="CE2279" s="115"/>
      <c r="CF2279" s="115"/>
      <c r="CG2279" s="115"/>
      <c r="CH2279" s="115"/>
      <c r="CI2279" s="115"/>
      <c r="CJ2279" s="115"/>
      <c r="CK2279" s="115"/>
      <c r="CL2279" s="115"/>
      <c r="CM2279" s="115"/>
      <c r="CN2279" s="115"/>
      <c r="CO2279" s="115"/>
      <c r="CP2279" s="115"/>
      <c r="CQ2279" s="115"/>
      <c r="CR2279" s="115"/>
      <c r="CS2279" s="115"/>
      <c r="CT2279" s="115"/>
      <c r="CU2279" s="115"/>
      <c r="CV2279" s="115"/>
      <c r="CW2279" s="115"/>
      <c r="CX2279" s="115"/>
      <c r="CY2279" s="115"/>
      <c r="CZ2279" s="115"/>
      <c r="DA2279" s="115"/>
      <c r="DB2279" s="115"/>
      <c r="DC2279" s="115"/>
      <c r="DD2279" s="115"/>
      <c r="DE2279" s="115"/>
      <c r="DF2279" s="115"/>
      <c r="DG2279" s="115"/>
    </row>
    <row r="2280" spans="55:111" hidden="1">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c r="BY2280" s="115"/>
      <c r="BZ2280" s="115"/>
      <c r="CA2280" s="115"/>
      <c r="CB2280" s="115"/>
      <c r="CC2280" s="115"/>
      <c r="CD2280" s="115"/>
      <c r="CE2280" s="115"/>
      <c r="CF2280" s="115"/>
      <c r="CG2280" s="115"/>
      <c r="CH2280" s="115"/>
      <c r="CI2280" s="115"/>
      <c r="CJ2280" s="115"/>
      <c r="CK2280" s="115"/>
      <c r="CL2280" s="115"/>
      <c r="CM2280" s="115"/>
      <c r="CN2280" s="115"/>
      <c r="CO2280" s="115"/>
      <c r="CP2280" s="115"/>
      <c r="CQ2280" s="115"/>
      <c r="CR2280" s="115"/>
      <c r="CS2280" s="115"/>
      <c r="CT2280" s="115"/>
      <c r="CU2280" s="115"/>
      <c r="CV2280" s="115"/>
      <c r="CW2280" s="115"/>
      <c r="CX2280" s="115"/>
      <c r="CY2280" s="115"/>
      <c r="CZ2280" s="115"/>
      <c r="DA2280" s="115"/>
      <c r="DB2280" s="115"/>
      <c r="DC2280" s="115"/>
      <c r="DD2280" s="115"/>
      <c r="DE2280" s="115"/>
      <c r="DF2280" s="115"/>
      <c r="DG2280" s="115"/>
    </row>
    <row r="2281" spans="55:111" hidden="1">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c r="BY2281" s="115"/>
      <c r="BZ2281" s="115"/>
      <c r="CA2281" s="115"/>
      <c r="CB2281" s="115"/>
      <c r="CC2281" s="115"/>
      <c r="CD2281" s="115"/>
      <c r="CE2281" s="115"/>
      <c r="CF2281" s="115"/>
      <c r="CG2281" s="115"/>
      <c r="CH2281" s="115"/>
      <c r="CI2281" s="115"/>
      <c r="CJ2281" s="115"/>
      <c r="CK2281" s="115"/>
      <c r="CL2281" s="115"/>
      <c r="CM2281" s="115"/>
      <c r="CN2281" s="115"/>
      <c r="CO2281" s="115"/>
      <c r="CP2281" s="115"/>
      <c r="CQ2281" s="115"/>
      <c r="CR2281" s="115"/>
      <c r="CS2281" s="115"/>
      <c r="CT2281" s="115"/>
      <c r="CU2281" s="115"/>
      <c r="CV2281" s="115"/>
      <c r="CW2281" s="115"/>
      <c r="CX2281" s="115"/>
      <c r="CY2281" s="115"/>
      <c r="CZ2281" s="115"/>
      <c r="DA2281" s="115"/>
      <c r="DB2281" s="115"/>
      <c r="DC2281" s="115"/>
      <c r="DD2281" s="115"/>
      <c r="DE2281" s="115"/>
      <c r="DF2281" s="115"/>
      <c r="DG2281" s="115"/>
    </row>
    <row r="2282" spans="55:111" hidden="1">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c r="BY2282" s="115"/>
      <c r="BZ2282" s="115"/>
      <c r="CA2282" s="115"/>
      <c r="CB2282" s="115"/>
      <c r="CC2282" s="115"/>
      <c r="CD2282" s="115"/>
      <c r="CE2282" s="115"/>
      <c r="CF2282" s="115"/>
      <c r="CG2282" s="115"/>
      <c r="CH2282" s="115"/>
      <c r="CI2282" s="115"/>
      <c r="CJ2282" s="115"/>
      <c r="CK2282" s="115"/>
      <c r="CL2282" s="115"/>
      <c r="CM2282" s="115"/>
      <c r="CN2282" s="115"/>
      <c r="CO2282" s="115"/>
      <c r="CP2282" s="115"/>
      <c r="CQ2282" s="115"/>
      <c r="CR2282" s="115"/>
      <c r="CS2282" s="115"/>
      <c r="CT2282" s="115"/>
      <c r="CU2282" s="115"/>
      <c r="CV2282" s="115"/>
      <c r="CW2282" s="115"/>
      <c r="CX2282" s="115"/>
      <c r="CY2282" s="115"/>
      <c r="CZ2282" s="115"/>
      <c r="DA2282" s="115"/>
      <c r="DB2282" s="115"/>
      <c r="DC2282" s="115"/>
      <c r="DD2282" s="115"/>
      <c r="DE2282" s="115"/>
      <c r="DF2282" s="115"/>
      <c r="DG2282" s="115"/>
    </row>
    <row r="2283" spans="55:111" hidden="1">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c r="BY2283" s="115"/>
      <c r="BZ2283" s="115"/>
      <c r="CA2283" s="115"/>
      <c r="CB2283" s="115"/>
      <c r="CC2283" s="115"/>
      <c r="CD2283" s="115"/>
      <c r="CE2283" s="115"/>
      <c r="CF2283" s="115"/>
      <c r="CG2283" s="115"/>
      <c r="CH2283" s="115"/>
      <c r="CI2283" s="115"/>
      <c r="CJ2283" s="115"/>
      <c r="CK2283" s="115"/>
      <c r="CL2283" s="115"/>
      <c r="CM2283" s="115"/>
      <c r="CN2283" s="115"/>
      <c r="CO2283" s="115"/>
      <c r="CP2283" s="115"/>
      <c r="CQ2283" s="115"/>
      <c r="CR2283" s="115"/>
      <c r="CS2283" s="115"/>
      <c r="CT2283" s="115"/>
      <c r="CU2283" s="115"/>
      <c r="CV2283" s="115"/>
      <c r="CW2283" s="115"/>
      <c r="CX2283" s="115"/>
      <c r="CY2283" s="115"/>
      <c r="CZ2283" s="115"/>
      <c r="DA2283" s="115"/>
      <c r="DB2283" s="115"/>
      <c r="DC2283" s="115"/>
      <c r="DD2283" s="115"/>
      <c r="DE2283" s="115"/>
      <c r="DF2283" s="115"/>
      <c r="DG2283" s="115"/>
    </row>
    <row r="2284" spans="55:111" hidden="1">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c r="BY2284" s="115"/>
      <c r="BZ2284" s="115"/>
      <c r="CA2284" s="115"/>
      <c r="CB2284" s="115"/>
      <c r="CC2284" s="115"/>
      <c r="CD2284" s="115"/>
      <c r="CE2284" s="115"/>
      <c r="CF2284" s="115"/>
      <c r="CG2284" s="115"/>
      <c r="CH2284" s="115"/>
      <c r="CI2284" s="115"/>
      <c r="CJ2284" s="115"/>
      <c r="CK2284" s="115"/>
      <c r="CL2284" s="115"/>
      <c r="CM2284" s="115"/>
      <c r="CN2284" s="115"/>
      <c r="CO2284" s="115"/>
      <c r="CP2284" s="115"/>
      <c r="CQ2284" s="115"/>
      <c r="CR2284" s="115"/>
      <c r="CS2284" s="115"/>
      <c r="CT2284" s="115"/>
      <c r="CU2284" s="115"/>
      <c r="CV2284" s="115"/>
      <c r="CW2284" s="115"/>
      <c r="CX2284" s="115"/>
      <c r="CY2284" s="115"/>
      <c r="CZ2284" s="115"/>
      <c r="DA2284" s="115"/>
      <c r="DB2284" s="115"/>
      <c r="DC2284" s="115"/>
      <c r="DD2284" s="115"/>
      <c r="DE2284" s="115"/>
      <c r="DF2284" s="115"/>
      <c r="DG2284" s="115"/>
    </row>
    <row r="2285" spans="55:111" hidden="1">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c r="BY2285" s="115"/>
      <c r="BZ2285" s="115"/>
      <c r="CA2285" s="115"/>
      <c r="CB2285" s="115"/>
      <c r="CC2285" s="115"/>
      <c r="CD2285" s="115"/>
      <c r="CE2285" s="115"/>
      <c r="CF2285" s="115"/>
      <c r="CG2285" s="115"/>
      <c r="CH2285" s="115"/>
      <c r="CI2285" s="115"/>
      <c r="CJ2285" s="115"/>
      <c r="CK2285" s="115"/>
      <c r="CL2285" s="115"/>
      <c r="CM2285" s="115"/>
      <c r="CN2285" s="115"/>
      <c r="CO2285" s="115"/>
      <c r="CP2285" s="115"/>
      <c r="CQ2285" s="115"/>
      <c r="CR2285" s="115"/>
      <c r="CS2285" s="115"/>
      <c r="CT2285" s="115"/>
      <c r="CU2285" s="115"/>
      <c r="CV2285" s="115"/>
      <c r="CW2285" s="115"/>
      <c r="CX2285" s="115"/>
      <c r="CY2285" s="115"/>
      <c r="CZ2285" s="115"/>
      <c r="DA2285" s="115"/>
      <c r="DB2285" s="115"/>
      <c r="DC2285" s="115"/>
      <c r="DD2285" s="115"/>
      <c r="DE2285" s="115"/>
      <c r="DF2285" s="115"/>
      <c r="DG2285" s="115"/>
    </row>
    <row r="2286" spans="55:111" hidden="1">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c r="BY2286" s="115"/>
      <c r="BZ2286" s="115"/>
      <c r="CA2286" s="115"/>
      <c r="CB2286" s="115"/>
      <c r="CC2286" s="115"/>
      <c r="CD2286" s="115"/>
      <c r="CE2286" s="115"/>
      <c r="CF2286" s="115"/>
      <c r="CG2286" s="115"/>
      <c r="CH2286" s="115"/>
      <c r="CI2286" s="115"/>
      <c r="CJ2286" s="115"/>
      <c r="CK2286" s="115"/>
      <c r="CL2286" s="115"/>
      <c r="CM2286" s="115"/>
      <c r="CN2286" s="115"/>
      <c r="CO2286" s="115"/>
      <c r="CP2286" s="115"/>
      <c r="CQ2286" s="115"/>
      <c r="CR2286" s="115"/>
      <c r="CS2286" s="115"/>
      <c r="CT2286" s="115"/>
      <c r="CU2286" s="115"/>
      <c r="CV2286" s="115"/>
      <c r="CW2286" s="115"/>
      <c r="CX2286" s="115"/>
      <c r="CY2286" s="115"/>
      <c r="CZ2286" s="115"/>
      <c r="DA2286" s="115"/>
      <c r="DB2286" s="115"/>
      <c r="DC2286" s="115"/>
      <c r="DD2286" s="115"/>
      <c r="DE2286" s="115"/>
      <c r="DF2286" s="115"/>
      <c r="DG2286" s="115"/>
    </row>
    <row r="2287" spans="55:111" hidden="1">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c r="BY2287" s="115"/>
      <c r="BZ2287" s="115"/>
      <c r="CA2287" s="115"/>
      <c r="CB2287" s="115"/>
      <c r="CC2287" s="115"/>
      <c r="CD2287" s="115"/>
      <c r="CE2287" s="115"/>
      <c r="CF2287" s="115"/>
      <c r="CG2287" s="115"/>
      <c r="CH2287" s="115"/>
      <c r="CI2287" s="115"/>
      <c r="CJ2287" s="115"/>
      <c r="CK2287" s="115"/>
      <c r="CL2287" s="115"/>
      <c r="CM2287" s="115"/>
      <c r="CN2287" s="115"/>
      <c r="CO2287" s="115"/>
      <c r="CP2287" s="115"/>
      <c r="CQ2287" s="115"/>
      <c r="CR2287" s="115"/>
      <c r="CS2287" s="115"/>
      <c r="CT2287" s="115"/>
      <c r="CU2287" s="115"/>
      <c r="CV2287" s="115"/>
      <c r="CW2287" s="115"/>
      <c r="CX2287" s="115"/>
      <c r="CY2287" s="115"/>
      <c r="CZ2287" s="115"/>
      <c r="DA2287" s="115"/>
      <c r="DB2287" s="115"/>
      <c r="DC2287" s="115"/>
      <c r="DD2287" s="115"/>
      <c r="DE2287" s="115"/>
      <c r="DF2287" s="115"/>
      <c r="DG2287" s="115"/>
    </row>
    <row r="2288" spans="55:111" hidden="1">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c r="BY2288" s="115"/>
      <c r="BZ2288" s="115"/>
      <c r="CA2288" s="115"/>
      <c r="CB2288" s="115"/>
      <c r="CC2288" s="115"/>
      <c r="CD2288" s="115"/>
      <c r="CE2288" s="115"/>
      <c r="CF2288" s="115"/>
      <c r="CG2288" s="115"/>
      <c r="CH2288" s="115"/>
      <c r="CI2288" s="115"/>
      <c r="CJ2288" s="115"/>
      <c r="CK2288" s="115"/>
      <c r="CL2288" s="115"/>
      <c r="CM2288" s="115"/>
      <c r="CN2288" s="115"/>
      <c r="CO2288" s="115"/>
      <c r="CP2288" s="115"/>
      <c r="CQ2288" s="115"/>
      <c r="CR2288" s="115"/>
      <c r="CS2288" s="115"/>
      <c r="CT2288" s="115"/>
      <c r="CU2288" s="115"/>
      <c r="CV2288" s="115"/>
      <c r="CW2288" s="115"/>
      <c r="CX2288" s="115"/>
      <c r="CY2288" s="115"/>
      <c r="CZ2288" s="115"/>
      <c r="DA2288" s="115"/>
      <c r="DB2288" s="115"/>
      <c r="DC2288" s="115"/>
      <c r="DD2288" s="115"/>
      <c r="DE2288" s="115"/>
      <c r="DF2288" s="115"/>
      <c r="DG2288" s="115"/>
    </row>
    <row r="2289" spans="55:111" hidden="1">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c r="BY2289" s="115"/>
      <c r="BZ2289" s="115"/>
      <c r="CA2289" s="115"/>
      <c r="CB2289" s="115"/>
      <c r="CC2289" s="115"/>
      <c r="CD2289" s="115"/>
      <c r="CE2289" s="115"/>
      <c r="CF2289" s="115"/>
      <c r="CG2289" s="115"/>
      <c r="CH2289" s="115"/>
      <c r="CI2289" s="115"/>
      <c r="CJ2289" s="115"/>
      <c r="CK2289" s="115"/>
      <c r="CL2289" s="115"/>
      <c r="CM2289" s="115"/>
      <c r="CN2289" s="115"/>
      <c r="CO2289" s="115"/>
      <c r="CP2289" s="115"/>
      <c r="CQ2289" s="115"/>
      <c r="CR2289" s="115"/>
      <c r="CS2289" s="115"/>
      <c r="CT2289" s="115"/>
      <c r="CU2289" s="115"/>
      <c r="CV2289" s="115"/>
      <c r="CW2289" s="115"/>
      <c r="CX2289" s="115"/>
      <c r="CY2289" s="115"/>
      <c r="CZ2289" s="115"/>
      <c r="DA2289" s="115"/>
      <c r="DB2289" s="115"/>
      <c r="DC2289" s="115"/>
      <c r="DD2289" s="115"/>
      <c r="DE2289" s="115"/>
      <c r="DF2289" s="115"/>
      <c r="DG2289" s="115"/>
    </row>
    <row r="2290" spans="55:111" hidden="1">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c r="BY2290" s="115"/>
      <c r="BZ2290" s="115"/>
      <c r="CA2290" s="115"/>
      <c r="CB2290" s="115"/>
      <c r="CC2290" s="115"/>
      <c r="CD2290" s="115"/>
      <c r="CE2290" s="115"/>
      <c r="CF2290" s="115"/>
      <c r="CG2290" s="115"/>
      <c r="CH2290" s="115"/>
      <c r="CI2290" s="115"/>
      <c r="CJ2290" s="115"/>
      <c r="CK2290" s="115"/>
      <c r="CL2290" s="115"/>
      <c r="CM2290" s="115"/>
      <c r="CN2290" s="115"/>
      <c r="CO2290" s="115"/>
      <c r="CP2290" s="115"/>
      <c r="CQ2290" s="115"/>
      <c r="CR2290" s="115"/>
      <c r="CS2290" s="115"/>
      <c r="CT2290" s="115"/>
      <c r="CU2290" s="115"/>
      <c r="CV2290" s="115"/>
      <c r="CW2290" s="115"/>
      <c r="CX2290" s="115"/>
      <c r="CY2290" s="115"/>
      <c r="CZ2290" s="115"/>
      <c r="DA2290" s="115"/>
      <c r="DB2290" s="115"/>
      <c r="DC2290" s="115"/>
      <c r="DD2290" s="115"/>
      <c r="DE2290" s="115"/>
      <c r="DF2290" s="115"/>
      <c r="DG2290" s="115"/>
    </row>
    <row r="2291" spans="55:111" hidden="1">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c r="BY2291" s="115"/>
      <c r="BZ2291" s="115"/>
      <c r="CA2291" s="115"/>
      <c r="CB2291" s="115"/>
      <c r="CC2291" s="115"/>
      <c r="CD2291" s="115"/>
      <c r="CE2291" s="115"/>
      <c r="CF2291" s="115"/>
      <c r="CG2291" s="115"/>
      <c r="CH2291" s="115"/>
      <c r="CI2291" s="115"/>
      <c r="CJ2291" s="115"/>
      <c r="CK2291" s="115"/>
      <c r="CL2291" s="115"/>
      <c r="CM2291" s="115"/>
      <c r="CN2291" s="115"/>
      <c r="CO2291" s="115"/>
      <c r="CP2291" s="115"/>
      <c r="CQ2291" s="115"/>
      <c r="CR2291" s="115"/>
      <c r="CS2291" s="115"/>
      <c r="CT2291" s="115"/>
      <c r="CU2291" s="115"/>
      <c r="CV2291" s="115"/>
      <c r="CW2291" s="115"/>
      <c r="CX2291" s="115"/>
      <c r="CY2291" s="115"/>
      <c r="CZ2291" s="115"/>
      <c r="DA2291" s="115"/>
      <c r="DB2291" s="115"/>
      <c r="DC2291" s="115"/>
      <c r="DD2291" s="115"/>
      <c r="DE2291" s="115"/>
      <c r="DF2291" s="115"/>
      <c r="DG2291" s="115"/>
    </row>
    <row r="2292" spans="55:111" hidden="1">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c r="BY2292" s="115"/>
      <c r="BZ2292" s="115"/>
      <c r="CA2292" s="115"/>
      <c r="CB2292" s="115"/>
      <c r="CC2292" s="115"/>
      <c r="CD2292" s="115"/>
      <c r="CE2292" s="115"/>
      <c r="CF2292" s="115"/>
      <c r="CG2292" s="115"/>
      <c r="CH2292" s="115"/>
      <c r="CI2292" s="115"/>
      <c r="CJ2292" s="115"/>
      <c r="CK2292" s="115"/>
      <c r="CL2292" s="115"/>
      <c r="CM2292" s="115"/>
      <c r="CN2292" s="115"/>
      <c r="CO2292" s="115"/>
      <c r="CP2292" s="115"/>
      <c r="CQ2292" s="115"/>
      <c r="CR2292" s="115"/>
      <c r="CS2292" s="115"/>
      <c r="CT2292" s="115"/>
      <c r="CU2292" s="115"/>
      <c r="CV2292" s="115"/>
      <c r="CW2292" s="115"/>
      <c r="CX2292" s="115"/>
      <c r="CY2292" s="115"/>
      <c r="CZ2292" s="115"/>
      <c r="DA2292" s="115"/>
      <c r="DB2292" s="115"/>
      <c r="DC2292" s="115"/>
      <c r="DD2292" s="115"/>
      <c r="DE2292" s="115"/>
      <c r="DF2292" s="115"/>
      <c r="DG2292" s="115"/>
    </row>
    <row r="2293" spans="55:111" hidden="1">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c r="BY2293" s="115"/>
      <c r="BZ2293" s="115"/>
      <c r="CA2293" s="115"/>
      <c r="CB2293" s="115"/>
      <c r="CC2293" s="115"/>
      <c r="CD2293" s="115"/>
      <c r="CE2293" s="115"/>
      <c r="CF2293" s="115"/>
      <c r="CG2293" s="115"/>
      <c r="CH2293" s="115"/>
      <c r="CI2293" s="115"/>
      <c r="CJ2293" s="115"/>
      <c r="CK2293" s="115"/>
      <c r="CL2293" s="115"/>
      <c r="CM2293" s="115"/>
      <c r="CN2293" s="115"/>
      <c r="CO2293" s="115"/>
      <c r="CP2293" s="115"/>
      <c r="CQ2293" s="115"/>
      <c r="CR2293" s="115"/>
      <c r="CS2293" s="115"/>
      <c r="CT2293" s="115"/>
      <c r="CU2293" s="115"/>
      <c r="CV2293" s="115"/>
      <c r="CW2293" s="115"/>
      <c r="CX2293" s="115"/>
      <c r="CY2293" s="115"/>
      <c r="CZ2293" s="115"/>
      <c r="DA2293" s="115"/>
      <c r="DB2293" s="115"/>
      <c r="DC2293" s="115"/>
      <c r="DD2293" s="115"/>
      <c r="DE2293" s="115"/>
      <c r="DF2293" s="115"/>
      <c r="DG2293" s="115"/>
    </row>
    <row r="2294" spans="55:111" hidden="1">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c r="BY2294" s="115"/>
      <c r="BZ2294" s="115"/>
      <c r="CA2294" s="115"/>
      <c r="CB2294" s="115"/>
      <c r="CC2294" s="115"/>
      <c r="CD2294" s="115"/>
      <c r="CE2294" s="115"/>
      <c r="CF2294" s="115"/>
      <c r="CG2294" s="115"/>
      <c r="CH2294" s="115"/>
      <c r="CI2294" s="115"/>
      <c r="CJ2294" s="115"/>
      <c r="CK2294" s="115"/>
      <c r="CL2294" s="115"/>
      <c r="CM2294" s="115"/>
      <c r="CN2294" s="115"/>
      <c r="CO2294" s="115"/>
      <c r="CP2294" s="115"/>
      <c r="CQ2294" s="115"/>
      <c r="CR2294" s="115"/>
      <c r="CS2294" s="115"/>
      <c r="CT2294" s="115"/>
      <c r="CU2294" s="115"/>
      <c r="CV2294" s="115"/>
      <c r="CW2294" s="115"/>
      <c r="CX2294" s="115"/>
      <c r="CY2294" s="115"/>
      <c r="CZ2294" s="115"/>
      <c r="DA2294" s="115"/>
      <c r="DB2294" s="115"/>
      <c r="DC2294" s="115"/>
      <c r="DD2294" s="115"/>
      <c r="DE2294" s="115"/>
      <c r="DF2294" s="115"/>
      <c r="DG2294" s="115"/>
    </row>
    <row r="2295" spans="55:111" hidden="1">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c r="BY2295" s="115"/>
      <c r="BZ2295" s="115"/>
      <c r="CA2295" s="115"/>
      <c r="CB2295" s="115"/>
      <c r="CC2295" s="115"/>
      <c r="CD2295" s="115"/>
      <c r="CE2295" s="115"/>
      <c r="CF2295" s="115"/>
      <c r="CG2295" s="115"/>
      <c r="CH2295" s="115"/>
      <c r="CI2295" s="115"/>
      <c r="CJ2295" s="115"/>
      <c r="CK2295" s="115"/>
      <c r="CL2295" s="115"/>
      <c r="CM2295" s="115"/>
      <c r="CN2295" s="115"/>
      <c r="CO2295" s="115"/>
      <c r="CP2295" s="115"/>
      <c r="CQ2295" s="115"/>
      <c r="CR2295" s="115"/>
      <c r="CS2295" s="115"/>
      <c r="CT2295" s="115"/>
      <c r="CU2295" s="115"/>
      <c r="CV2295" s="115"/>
      <c r="CW2295" s="115"/>
      <c r="CX2295" s="115"/>
      <c r="CY2295" s="115"/>
      <c r="CZ2295" s="115"/>
      <c r="DA2295" s="115"/>
      <c r="DB2295" s="115"/>
      <c r="DC2295" s="115"/>
      <c r="DD2295" s="115"/>
      <c r="DE2295" s="115"/>
      <c r="DF2295" s="115"/>
      <c r="DG2295" s="115"/>
    </row>
    <row r="2296" spans="55:111" hidden="1">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c r="BY2296" s="115"/>
      <c r="BZ2296" s="115"/>
      <c r="CA2296" s="115"/>
      <c r="CB2296" s="115"/>
      <c r="CC2296" s="115"/>
      <c r="CD2296" s="115"/>
      <c r="CE2296" s="115"/>
      <c r="CF2296" s="115"/>
      <c r="CG2296" s="115"/>
      <c r="CH2296" s="115"/>
      <c r="CI2296" s="115"/>
      <c r="CJ2296" s="115"/>
      <c r="CK2296" s="115"/>
      <c r="CL2296" s="115"/>
      <c r="CM2296" s="115"/>
      <c r="CN2296" s="115"/>
      <c r="CO2296" s="115"/>
      <c r="CP2296" s="115"/>
      <c r="CQ2296" s="115"/>
      <c r="CR2296" s="115"/>
      <c r="CS2296" s="115"/>
      <c r="CT2296" s="115"/>
      <c r="CU2296" s="115"/>
      <c r="CV2296" s="115"/>
      <c r="CW2296" s="115"/>
      <c r="CX2296" s="115"/>
      <c r="CY2296" s="115"/>
      <c r="CZ2296" s="115"/>
      <c r="DA2296" s="115"/>
      <c r="DB2296" s="115"/>
      <c r="DC2296" s="115"/>
      <c r="DD2296" s="115"/>
      <c r="DE2296" s="115"/>
      <c r="DF2296" s="115"/>
      <c r="DG2296" s="115"/>
    </row>
    <row r="2297" spans="55:111" hidden="1">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c r="BY2297" s="115"/>
      <c r="BZ2297" s="115"/>
      <c r="CA2297" s="115"/>
      <c r="CB2297" s="115"/>
      <c r="CC2297" s="115"/>
      <c r="CD2297" s="115"/>
      <c r="CE2297" s="115"/>
      <c r="CF2297" s="115"/>
      <c r="CG2297" s="115"/>
      <c r="CH2297" s="115"/>
      <c r="CI2297" s="115"/>
      <c r="CJ2297" s="115"/>
      <c r="CK2297" s="115"/>
      <c r="CL2297" s="115"/>
      <c r="CM2297" s="115"/>
      <c r="CN2297" s="115"/>
      <c r="CO2297" s="115"/>
      <c r="CP2297" s="115"/>
      <c r="CQ2297" s="115"/>
      <c r="CR2297" s="115"/>
      <c r="CS2297" s="115"/>
      <c r="CT2297" s="115"/>
      <c r="CU2297" s="115"/>
      <c r="CV2297" s="115"/>
      <c r="CW2297" s="115"/>
      <c r="CX2297" s="115"/>
      <c r="CY2297" s="115"/>
      <c r="CZ2297" s="115"/>
      <c r="DA2297" s="115"/>
      <c r="DB2297" s="115"/>
      <c r="DC2297" s="115"/>
      <c r="DD2297" s="115"/>
      <c r="DE2297" s="115"/>
      <c r="DF2297" s="115"/>
      <c r="DG2297" s="115"/>
    </row>
    <row r="2298" spans="55:111" hidden="1">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c r="BY2298" s="115"/>
      <c r="BZ2298" s="115"/>
      <c r="CA2298" s="115"/>
      <c r="CB2298" s="115"/>
      <c r="CC2298" s="115"/>
      <c r="CD2298" s="115"/>
      <c r="CE2298" s="115"/>
      <c r="CF2298" s="115"/>
      <c r="CG2298" s="115"/>
      <c r="CH2298" s="115"/>
      <c r="CI2298" s="115"/>
      <c r="CJ2298" s="115"/>
      <c r="CK2298" s="115"/>
      <c r="CL2298" s="115"/>
      <c r="CM2298" s="115"/>
      <c r="CN2298" s="115"/>
      <c r="CO2298" s="115"/>
      <c r="CP2298" s="115"/>
      <c r="CQ2298" s="115"/>
      <c r="CR2298" s="115"/>
      <c r="CS2298" s="115"/>
      <c r="CT2298" s="115"/>
      <c r="CU2298" s="115"/>
      <c r="CV2298" s="115"/>
      <c r="CW2298" s="115"/>
      <c r="CX2298" s="115"/>
      <c r="CY2298" s="115"/>
      <c r="CZ2298" s="115"/>
      <c r="DA2298" s="115"/>
      <c r="DB2298" s="115"/>
      <c r="DC2298" s="115"/>
      <c r="DD2298" s="115"/>
      <c r="DE2298" s="115"/>
      <c r="DF2298" s="115"/>
      <c r="DG2298" s="115"/>
    </row>
    <row r="2299" spans="55:111" hidden="1">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c r="BY2299" s="115"/>
      <c r="BZ2299" s="115"/>
      <c r="CA2299" s="115"/>
      <c r="CB2299" s="115"/>
      <c r="CC2299" s="115"/>
      <c r="CD2299" s="115"/>
      <c r="CE2299" s="115"/>
      <c r="CF2299" s="115"/>
      <c r="CG2299" s="115"/>
      <c r="CH2299" s="115"/>
      <c r="CI2299" s="115"/>
      <c r="CJ2299" s="115"/>
      <c r="CK2299" s="115"/>
      <c r="CL2299" s="115"/>
      <c r="CM2299" s="115"/>
      <c r="CN2299" s="115"/>
      <c r="CO2299" s="115"/>
      <c r="CP2299" s="115"/>
      <c r="CQ2299" s="115"/>
      <c r="CR2299" s="115"/>
      <c r="CS2299" s="115"/>
      <c r="CT2299" s="115"/>
      <c r="CU2299" s="115"/>
      <c r="CV2299" s="115"/>
      <c r="CW2299" s="115"/>
      <c r="CX2299" s="115"/>
      <c r="CY2299" s="115"/>
      <c r="CZ2299" s="115"/>
      <c r="DA2299" s="115"/>
      <c r="DB2299" s="115"/>
      <c r="DC2299" s="115"/>
      <c r="DD2299" s="115"/>
      <c r="DE2299" s="115"/>
      <c r="DF2299" s="115"/>
      <c r="DG2299" s="115"/>
    </row>
    <row r="2300" spans="55:111" hidden="1">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c r="BY2300" s="115"/>
      <c r="BZ2300" s="115"/>
      <c r="CA2300" s="115"/>
      <c r="CB2300" s="115"/>
      <c r="CC2300" s="115"/>
      <c r="CD2300" s="115"/>
      <c r="CE2300" s="115"/>
      <c r="CF2300" s="115"/>
      <c r="CG2300" s="115"/>
      <c r="CH2300" s="115"/>
      <c r="CI2300" s="115"/>
      <c r="CJ2300" s="115"/>
      <c r="CK2300" s="115"/>
      <c r="CL2300" s="115"/>
      <c r="CM2300" s="115"/>
      <c r="CN2300" s="115"/>
      <c r="CO2300" s="115"/>
      <c r="CP2300" s="115"/>
      <c r="CQ2300" s="115"/>
      <c r="CR2300" s="115"/>
      <c r="CS2300" s="115"/>
      <c r="CT2300" s="115"/>
      <c r="CU2300" s="115"/>
      <c r="CV2300" s="115"/>
      <c r="CW2300" s="115"/>
      <c r="CX2300" s="115"/>
      <c r="CY2300" s="115"/>
      <c r="CZ2300" s="115"/>
      <c r="DA2300" s="115"/>
      <c r="DB2300" s="115"/>
      <c r="DC2300" s="115"/>
      <c r="DD2300" s="115"/>
      <c r="DE2300" s="115"/>
      <c r="DF2300" s="115"/>
      <c r="DG2300" s="115"/>
    </row>
    <row r="2301" spans="55:111" hidden="1">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c r="BY2301" s="115"/>
      <c r="BZ2301" s="115"/>
      <c r="CA2301" s="115"/>
      <c r="CB2301" s="115"/>
      <c r="CC2301" s="115"/>
      <c r="CD2301" s="115"/>
      <c r="CE2301" s="115"/>
      <c r="CF2301" s="115"/>
      <c r="CG2301" s="115"/>
      <c r="CH2301" s="115"/>
      <c r="CI2301" s="115"/>
      <c r="CJ2301" s="115"/>
      <c r="CK2301" s="115"/>
      <c r="CL2301" s="115"/>
      <c r="CM2301" s="115"/>
      <c r="CN2301" s="115"/>
      <c r="CO2301" s="115"/>
      <c r="CP2301" s="115"/>
      <c r="CQ2301" s="115"/>
      <c r="CR2301" s="115"/>
      <c r="CS2301" s="115"/>
      <c r="CT2301" s="115"/>
      <c r="CU2301" s="115"/>
      <c r="CV2301" s="115"/>
      <c r="CW2301" s="115"/>
      <c r="CX2301" s="115"/>
      <c r="CY2301" s="115"/>
      <c r="CZ2301" s="115"/>
      <c r="DA2301" s="115"/>
      <c r="DB2301" s="115"/>
      <c r="DC2301" s="115"/>
      <c r="DD2301" s="115"/>
      <c r="DE2301" s="115"/>
      <c r="DF2301" s="115"/>
      <c r="DG2301" s="115"/>
    </row>
    <row r="2302" spans="55:111" hidden="1">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c r="BY2302" s="115"/>
      <c r="BZ2302" s="115"/>
      <c r="CA2302" s="115"/>
      <c r="CB2302" s="115"/>
      <c r="CC2302" s="115"/>
      <c r="CD2302" s="115"/>
      <c r="CE2302" s="115"/>
      <c r="CF2302" s="115"/>
      <c r="CG2302" s="115"/>
      <c r="CH2302" s="115"/>
      <c r="CI2302" s="115"/>
      <c r="CJ2302" s="115"/>
      <c r="CK2302" s="115"/>
      <c r="CL2302" s="115"/>
      <c r="CM2302" s="115"/>
      <c r="CN2302" s="115"/>
      <c r="CO2302" s="115"/>
      <c r="CP2302" s="115"/>
      <c r="CQ2302" s="115"/>
      <c r="CR2302" s="115"/>
      <c r="CS2302" s="115"/>
      <c r="CT2302" s="115"/>
      <c r="CU2302" s="115"/>
      <c r="CV2302" s="115"/>
      <c r="CW2302" s="115"/>
      <c r="CX2302" s="115"/>
      <c r="CY2302" s="115"/>
      <c r="CZ2302" s="115"/>
      <c r="DA2302" s="115"/>
      <c r="DB2302" s="115"/>
      <c r="DC2302" s="115"/>
      <c r="DD2302" s="115"/>
      <c r="DE2302" s="115"/>
      <c r="DF2302" s="115"/>
      <c r="DG2302" s="115"/>
    </row>
    <row r="2303" spans="55:111" hidden="1">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c r="BY2303" s="115"/>
      <c r="BZ2303" s="115"/>
      <c r="CA2303" s="115"/>
      <c r="CB2303" s="115"/>
      <c r="CC2303" s="115"/>
      <c r="CD2303" s="115"/>
      <c r="CE2303" s="115"/>
      <c r="CF2303" s="115"/>
      <c r="CG2303" s="115"/>
      <c r="CH2303" s="115"/>
      <c r="CI2303" s="115"/>
      <c r="CJ2303" s="115"/>
      <c r="CK2303" s="115"/>
      <c r="CL2303" s="115"/>
      <c r="CM2303" s="115"/>
      <c r="CN2303" s="115"/>
      <c r="CO2303" s="115"/>
      <c r="CP2303" s="115"/>
      <c r="CQ2303" s="115"/>
      <c r="CR2303" s="115"/>
      <c r="CS2303" s="115"/>
      <c r="CT2303" s="115"/>
      <c r="CU2303" s="115"/>
      <c r="CV2303" s="115"/>
      <c r="CW2303" s="115"/>
      <c r="CX2303" s="115"/>
      <c r="CY2303" s="115"/>
      <c r="CZ2303" s="115"/>
      <c r="DA2303" s="115"/>
      <c r="DB2303" s="115"/>
      <c r="DC2303" s="115"/>
      <c r="DD2303" s="115"/>
      <c r="DE2303" s="115"/>
      <c r="DF2303" s="115"/>
      <c r="DG2303" s="115"/>
    </row>
    <row r="2304" spans="55:111" hidden="1">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c r="BY2304" s="115"/>
      <c r="BZ2304" s="115"/>
      <c r="CA2304" s="115"/>
      <c r="CB2304" s="115"/>
      <c r="CC2304" s="115"/>
      <c r="CD2304" s="115"/>
      <c r="CE2304" s="115"/>
      <c r="CF2304" s="115"/>
      <c r="CG2304" s="115"/>
      <c r="CH2304" s="115"/>
      <c r="CI2304" s="115"/>
      <c r="CJ2304" s="115"/>
      <c r="CK2304" s="115"/>
      <c r="CL2304" s="115"/>
      <c r="CM2304" s="115"/>
      <c r="CN2304" s="115"/>
      <c r="CO2304" s="115"/>
      <c r="CP2304" s="115"/>
      <c r="CQ2304" s="115"/>
      <c r="CR2304" s="115"/>
      <c r="CS2304" s="115"/>
      <c r="CT2304" s="115"/>
      <c r="CU2304" s="115"/>
      <c r="CV2304" s="115"/>
      <c r="CW2304" s="115"/>
      <c r="CX2304" s="115"/>
      <c r="CY2304" s="115"/>
      <c r="CZ2304" s="115"/>
      <c r="DA2304" s="115"/>
      <c r="DB2304" s="115"/>
      <c r="DC2304" s="115"/>
      <c r="DD2304" s="115"/>
      <c r="DE2304" s="115"/>
      <c r="DF2304" s="115"/>
      <c r="DG2304" s="115"/>
    </row>
    <row r="2305" spans="55:111" hidden="1">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c r="BY2305" s="115"/>
      <c r="BZ2305" s="115"/>
      <c r="CA2305" s="115"/>
      <c r="CB2305" s="115"/>
      <c r="CC2305" s="115"/>
      <c r="CD2305" s="115"/>
      <c r="CE2305" s="115"/>
      <c r="CF2305" s="115"/>
      <c r="CG2305" s="115"/>
      <c r="CH2305" s="115"/>
      <c r="CI2305" s="115"/>
      <c r="CJ2305" s="115"/>
      <c r="CK2305" s="115"/>
      <c r="CL2305" s="115"/>
      <c r="CM2305" s="115"/>
      <c r="CN2305" s="115"/>
      <c r="CO2305" s="115"/>
      <c r="CP2305" s="115"/>
      <c r="CQ2305" s="115"/>
      <c r="CR2305" s="115"/>
      <c r="CS2305" s="115"/>
      <c r="CT2305" s="115"/>
      <c r="CU2305" s="115"/>
      <c r="CV2305" s="115"/>
      <c r="CW2305" s="115"/>
      <c r="CX2305" s="115"/>
      <c r="CY2305" s="115"/>
      <c r="CZ2305" s="115"/>
      <c r="DA2305" s="115"/>
      <c r="DB2305" s="115"/>
      <c r="DC2305" s="115"/>
      <c r="DD2305" s="115"/>
      <c r="DE2305" s="115"/>
      <c r="DF2305" s="115"/>
      <c r="DG2305" s="115"/>
    </row>
    <row r="2306" spans="55:111" hidden="1">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c r="BY2306" s="115"/>
      <c r="BZ2306" s="115"/>
      <c r="CA2306" s="115"/>
      <c r="CB2306" s="115"/>
      <c r="CC2306" s="115"/>
      <c r="CD2306" s="115"/>
      <c r="CE2306" s="115"/>
      <c r="CF2306" s="115"/>
      <c r="CG2306" s="115"/>
      <c r="CH2306" s="115"/>
      <c r="CI2306" s="115"/>
      <c r="CJ2306" s="115"/>
      <c r="CK2306" s="115"/>
      <c r="CL2306" s="115"/>
      <c r="CM2306" s="115"/>
      <c r="CN2306" s="115"/>
      <c r="CO2306" s="115"/>
      <c r="CP2306" s="115"/>
      <c r="CQ2306" s="115"/>
      <c r="CR2306" s="115"/>
      <c r="CS2306" s="115"/>
      <c r="CT2306" s="115"/>
      <c r="CU2306" s="115"/>
      <c r="CV2306" s="115"/>
      <c r="CW2306" s="115"/>
      <c r="CX2306" s="115"/>
      <c r="CY2306" s="115"/>
      <c r="CZ2306" s="115"/>
      <c r="DA2306" s="115"/>
      <c r="DB2306" s="115"/>
      <c r="DC2306" s="115"/>
      <c r="DD2306" s="115"/>
      <c r="DE2306" s="115"/>
      <c r="DF2306" s="115"/>
      <c r="DG2306" s="115"/>
    </row>
    <row r="2307" spans="55:111" hidden="1">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c r="BY2307" s="115"/>
      <c r="BZ2307" s="115"/>
      <c r="CA2307" s="115"/>
      <c r="CB2307" s="115"/>
      <c r="CC2307" s="115"/>
      <c r="CD2307" s="115"/>
      <c r="CE2307" s="115"/>
      <c r="CF2307" s="115"/>
      <c r="CG2307" s="115"/>
      <c r="CH2307" s="115"/>
      <c r="CI2307" s="115"/>
      <c r="CJ2307" s="115"/>
      <c r="CK2307" s="115"/>
      <c r="CL2307" s="115"/>
      <c r="CM2307" s="115"/>
      <c r="CN2307" s="115"/>
      <c r="CO2307" s="115"/>
      <c r="CP2307" s="115"/>
      <c r="CQ2307" s="115"/>
      <c r="CR2307" s="115"/>
      <c r="CS2307" s="115"/>
      <c r="CT2307" s="115"/>
      <c r="CU2307" s="115"/>
      <c r="CV2307" s="115"/>
      <c r="CW2307" s="115"/>
      <c r="CX2307" s="115"/>
      <c r="CY2307" s="115"/>
      <c r="CZ2307" s="115"/>
      <c r="DA2307" s="115"/>
      <c r="DB2307" s="115"/>
      <c r="DC2307" s="115"/>
      <c r="DD2307" s="115"/>
      <c r="DE2307" s="115"/>
      <c r="DF2307" s="115"/>
      <c r="DG2307" s="115"/>
    </row>
    <row r="2308" spans="55:111" hidden="1">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c r="BY2308" s="115"/>
      <c r="BZ2308" s="115"/>
      <c r="CA2308" s="115"/>
      <c r="CB2308" s="115"/>
      <c r="CC2308" s="115"/>
      <c r="CD2308" s="115"/>
      <c r="CE2308" s="115"/>
      <c r="CF2308" s="115"/>
      <c r="CG2308" s="115"/>
      <c r="CH2308" s="115"/>
      <c r="CI2308" s="115"/>
      <c r="CJ2308" s="115"/>
      <c r="CK2308" s="115"/>
      <c r="CL2308" s="115"/>
      <c r="CM2308" s="115"/>
      <c r="CN2308" s="115"/>
      <c r="CO2308" s="115"/>
      <c r="CP2308" s="115"/>
      <c r="CQ2308" s="115"/>
      <c r="CR2308" s="115"/>
      <c r="CS2308" s="115"/>
      <c r="CT2308" s="115"/>
      <c r="CU2308" s="115"/>
      <c r="CV2308" s="115"/>
      <c r="CW2308" s="115"/>
      <c r="CX2308" s="115"/>
      <c r="CY2308" s="115"/>
      <c r="CZ2308" s="115"/>
      <c r="DA2308" s="115"/>
      <c r="DB2308" s="115"/>
      <c r="DC2308" s="115"/>
      <c r="DD2308" s="115"/>
      <c r="DE2308" s="115"/>
      <c r="DF2308" s="115"/>
      <c r="DG2308" s="115"/>
    </row>
    <row r="2309" spans="55:111" hidden="1">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c r="BY2309" s="115"/>
      <c r="BZ2309" s="115"/>
      <c r="CA2309" s="115"/>
      <c r="CB2309" s="115"/>
      <c r="CC2309" s="115"/>
      <c r="CD2309" s="115"/>
      <c r="CE2309" s="115"/>
      <c r="CF2309" s="115"/>
      <c r="CG2309" s="115"/>
      <c r="CH2309" s="115"/>
      <c r="CI2309" s="115"/>
      <c r="CJ2309" s="115"/>
      <c r="CK2309" s="115"/>
      <c r="CL2309" s="115"/>
      <c r="CM2309" s="115"/>
      <c r="CN2309" s="115"/>
      <c r="CO2309" s="115"/>
      <c r="CP2309" s="115"/>
      <c r="CQ2309" s="115"/>
      <c r="CR2309" s="115"/>
      <c r="CS2309" s="115"/>
      <c r="CT2309" s="115"/>
      <c r="CU2309" s="115"/>
      <c r="CV2309" s="115"/>
      <c r="CW2309" s="115"/>
      <c r="CX2309" s="115"/>
      <c r="CY2309" s="115"/>
      <c r="CZ2309" s="115"/>
      <c r="DA2309" s="115"/>
      <c r="DB2309" s="115"/>
      <c r="DC2309" s="115"/>
      <c r="DD2309" s="115"/>
      <c r="DE2309" s="115"/>
      <c r="DF2309" s="115"/>
      <c r="DG2309" s="115"/>
    </row>
    <row r="2310" spans="55:111" hidden="1">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c r="BY2310" s="115"/>
      <c r="BZ2310" s="115"/>
      <c r="CA2310" s="115"/>
      <c r="CB2310" s="115"/>
      <c r="CC2310" s="115"/>
      <c r="CD2310" s="115"/>
      <c r="CE2310" s="115"/>
      <c r="CF2310" s="115"/>
      <c r="CG2310" s="115"/>
      <c r="CH2310" s="115"/>
      <c r="CI2310" s="115"/>
      <c r="CJ2310" s="115"/>
      <c r="CK2310" s="115"/>
      <c r="CL2310" s="115"/>
      <c r="CM2310" s="115"/>
      <c r="CN2310" s="115"/>
      <c r="CO2310" s="115"/>
      <c r="CP2310" s="115"/>
      <c r="CQ2310" s="115"/>
      <c r="CR2310" s="115"/>
      <c r="CS2310" s="115"/>
      <c r="CT2310" s="115"/>
      <c r="CU2310" s="115"/>
      <c r="CV2310" s="115"/>
      <c r="CW2310" s="115"/>
      <c r="CX2310" s="115"/>
      <c r="CY2310" s="115"/>
      <c r="CZ2310" s="115"/>
      <c r="DA2310" s="115"/>
      <c r="DB2310" s="115"/>
      <c r="DC2310" s="115"/>
      <c r="DD2310" s="115"/>
      <c r="DE2310" s="115"/>
      <c r="DF2310" s="115"/>
      <c r="DG2310" s="115"/>
    </row>
    <row r="2311" spans="55:111" hidden="1">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c r="BY2311" s="115"/>
      <c r="BZ2311" s="115"/>
      <c r="CA2311" s="115"/>
      <c r="CB2311" s="115"/>
      <c r="CC2311" s="115"/>
      <c r="CD2311" s="115"/>
      <c r="CE2311" s="115"/>
      <c r="CF2311" s="115"/>
      <c r="CG2311" s="115"/>
      <c r="CH2311" s="115"/>
      <c r="CI2311" s="115"/>
      <c r="CJ2311" s="115"/>
      <c r="CK2311" s="115"/>
      <c r="CL2311" s="115"/>
      <c r="CM2311" s="115"/>
      <c r="CN2311" s="115"/>
      <c r="CO2311" s="115"/>
      <c r="CP2311" s="115"/>
      <c r="CQ2311" s="115"/>
      <c r="CR2311" s="115"/>
      <c r="CS2311" s="115"/>
      <c r="CT2311" s="115"/>
      <c r="CU2311" s="115"/>
      <c r="CV2311" s="115"/>
      <c r="CW2311" s="115"/>
      <c r="CX2311" s="115"/>
      <c r="CY2311" s="115"/>
      <c r="CZ2311" s="115"/>
      <c r="DA2311" s="115"/>
      <c r="DB2311" s="115"/>
      <c r="DC2311" s="115"/>
      <c r="DD2311" s="115"/>
      <c r="DE2311" s="115"/>
      <c r="DF2311" s="115"/>
      <c r="DG2311" s="115"/>
    </row>
    <row r="2312" spans="55:111" hidden="1">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c r="BY2312" s="115"/>
      <c r="BZ2312" s="115"/>
      <c r="CA2312" s="115"/>
      <c r="CB2312" s="115"/>
      <c r="CC2312" s="115"/>
      <c r="CD2312" s="115"/>
      <c r="CE2312" s="115"/>
      <c r="CF2312" s="115"/>
      <c r="CG2312" s="115"/>
      <c r="CH2312" s="115"/>
      <c r="CI2312" s="115"/>
      <c r="CJ2312" s="115"/>
      <c r="CK2312" s="115"/>
      <c r="CL2312" s="115"/>
      <c r="CM2312" s="115"/>
      <c r="CN2312" s="115"/>
      <c r="CO2312" s="115"/>
      <c r="CP2312" s="115"/>
      <c r="CQ2312" s="115"/>
      <c r="CR2312" s="115"/>
      <c r="CS2312" s="115"/>
      <c r="CT2312" s="115"/>
      <c r="CU2312" s="115"/>
      <c r="CV2312" s="115"/>
      <c r="CW2312" s="115"/>
      <c r="CX2312" s="115"/>
      <c r="CY2312" s="115"/>
      <c r="CZ2312" s="115"/>
      <c r="DA2312" s="115"/>
      <c r="DB2312" s="115"/>
      <c r="DC2312" s="115"/>
      <c r="DD2312" s="115"/>
      <c r="DE2312" s="115"/>
      <c r="DF2312" s="115"/>
      <c r="DG2312" s="115"/>
    </row>
    <row r="2313" spans="55:111" hidden="1">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c r="BY2313" s="115"/>
      <c r="BZ2313" s="115"/>
      <c r="CA2313" s="115"/>
      <c r="CB2313" s="115"/>
      <c r="CC2313" s="115"/>
      <c r="CD2313" s="115"/>
      <c r="CE2313" s="115"/>
      <c r="CF2313" s="115"/>
      <c r="CG2313" s="115"/>
      <c r="CH2313" s="115"/>
      <c r="CI2313" s="115"/>
      <c r="CJ2313" s="115"/>
      <c r="CK2313" s="115"/>
      <c r="CL2313" s="115"/>
      <c r="CM2313" s="115"/>
      <c r="CN2313" s="115"/>
      <c r="CO2313" s="115"/>
      <c r="CP2313" s="115"/>
      <c r="CQ2313" s="115"/>
      <c r="CR2313" s="115"/>
      <c r="CS2313" s="115"/>
      <c r="CT2313" s="115"/>
      <c r="CU2313" s="115"/>
      <c r="CV2313" s="115"/>
      <c r="CW2313" s="115"/>
      <c r="CX2313" s="115"/>
      <c r="CY2313" s="115"/>
      <c r="CZ2313" s="115"/>
      <c r="DA2313" s="115"/>
      <c r="DB2313" s="115"/>
      <c r="DC2313" s="115"/>
      <c r="DD2313" s="115"/>
      <c r="DE2313" s="115"/>
      <c r="DF2313" s="115"/>
      <c r="DG2313" s="115"/>
    </row>
    <row r="2314" spans="55:111" hidden="1">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c r="BY2314" s="115"/>
      <c r="BZ2314" s="115"/>
      <c r="CA2314" s="115"/>
      <c r="CB2314" s="115"/>
      <c r="CC2314" s="115"/>
      <c r="CD2314" s="115"/>
      <c r="CE2314" s="115"/>
      <c r="CF2314" s="115"/>
      <c r="CG2314" s="115"/>
      <c r="CH2314" s="115"/>
      <c r="CI2314" s="115"/>
      <c r="CJ2314" s="115"/>
      <c r="CK2314" s="115"/>
      <c r="CL2314" s="115"/>
      <c r="CM2314" s="115"/>
      <c r="CN2314" s="115"/>
      <c r="CO2314" s="115"/>
      <c r="CP2314" s="115"/>
      <c r="CQ2314" s="115"/>
      <c r="CR2314" s="115"/>
      <c r="CS2314" s="115"/>
      <c r="CT2314" s="115"/>
      <c r="CU2314" s="115"/>
      <c r="CV2314" s="115"/>
      <c r="CW2314" s="115"/>
      <c r="CX2314" s="115"/>
      <c r="CY2314" s="115"/>
      <c r="CZ2314" s="115"/>
      <c r="DA2314" s="115"/>
      <c r="DB2314" s="115"/>
      <c r="DC2314" s="115"/>
      <c r="DD2314" s="115"/>
      <c r="DE2314" s="115"/>
      <c r="DF2314" s="115"/>
      <c r="DG2314" s="115"/>
    </row>
    <row r="2315" spans="55:111" hidden="1">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c r="BY2315" s="115"/>
      <c r="BZ2315" s="115"/>
      <c r="CA2315" s="115"/>
      <c r="CB2315" s="115"/>
      <c r="CC2315" s="115"/>
      <c r="CD2315" s="115"/>
      <c r="CE2315" s="115"/>
      <c r="CF2315" s="115"/>
      <c r="CG2315" s="115"/>
      <c r="CH2315" s="115"/>
      <c r="CI2315" s="115"/>
      <c r="CJ2315" s="115"/>
      <c r="CK2315" s="115"/>
      <c r="CL2315" s="115"/>
      <c r="CM2315" s="115"/>
      <c r="CN2315" s="115"/>
      <c r="CO2315" s="115"/>
      <c r="CP2315" s="115"/>
      <c r="CQ2315" s="115"/>
      <c r="CR2315" s="115"/>
      <c r="CS2315" s="115"/>
      <c r="CT2315" s="115"/>
      <c r="CU2315" s="115"/>
      <c r="CV2315" s="115"/>
      <c r="CW2315" s="115"/>
      <c r="CX2315" s="115"/>
      <c r="CY2315" s="115"/>
      <c r="CZ2315" s="115"/>
      <c r="DA2315" s="115"/>
      <c r="DB2315" s="115"/>
      <c r="DC2315" s="115"/>
      <c r="DD2315" s="115"/>
      <c r="DE2315" s="115"/>
      <c r="DF2315" s="115"/>
      <c r="DG2315" s="115"/>
    </row>
    <row r="2316" spans="55:111" hidden="1">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c r="BY2316" s="115"/>
      <c r="BZ2316" s="115"/>
      <c r="CA2316" s="115"/>
      <c r="CB2316" s="115"/>
      <c r="CC2316" s="115"/>
      <c r="CD2316" s="115"/>
      <c r="CE2316" s="115"/>
      <c r="CF2316" s="115"/>
      <c r="CG2316" s="115"/>
      <c r="CH2316" s="115"/>
      <c r="CI2316" s="115"/>
      <c r="CJ2316" s="115"/>
      <c r="CK2316" s="115"/>
      <c r="CL2316" s="115"/>
      <c r="CM2316" s="115"/>
      <c r="CN2316" s="115"/>
      <c r="CO2316" s="115"/>
      <c r="CP2316" s="115"/>
      <c r="CQ2316" s="115"/>
      <c r="CR2316" s="115"/>
      <c r="CS2316" s="115"/>
      <c r="CT2316" s="115"/>
      <c r="CU2316" s="115"/>
      <c r="CV2316" s="115"/>
      <c r="CW2316" s="115"/>
      <c r="CX2316" s="115"/>
      <c r="CY2316" s="115"/>
      <c r="CZ2316" s="115"/>
      <c r="DA2316" s="115"/>
      <c r="DB2316" s="115"/>
      <c r="DC2316" s="115"/>
      <c r="DD2316" s="115"/>
      <c r="DE2316" s="115"/>
      <c r="DF2316" s="115"/>
      <c r="DG2316" s="115"/>
    </row>
    <row r="2317" spans="55:111" hidden="1">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c r="BY2317" s="115"/>
      <c r="BZ2317" s="115"/>
      <c r="CA2317" s="115"/>
      <c r="CB2317" s="115"/>
      <c r="CC2317" s="115"/>
      <c r="CD2317" s="115"/>
      <c r="CE2317" s="115"/>
      <c r="CF2317" s="115"/>
      <c r="CG2317" s="115"/>
      <c r="CH2317" s="115"/>
      <c r="CI2317" s="115"/>
      <c r="CJ2317" s="115"/>
      <c r="CK2317" s="115"/>
      <c r="CL2317" s="115"/>
      <c r="CM2317" s="115"/>
      <c r="CN2317" s="115"/>
      <c r="CO2317" s="115"/>
      <c r="CP2317" s="115"/>
      <c r="CQ2317" s="115"/>
      <c r="CR2317" s="115"/>
      <c r="CS2317" s="115"/>
      <c r="CT2317" s="115"/>
      <c r="CU2317" s="115"/>
      <c r="CV2317" s="115"/>
      <c r="CW2317" s="115"/>
      <c r="CX2317" s="115"/>
      <c r="CY2317" s="115"/>
      <c r="CZ2317" s="115"/>
      <c r="DA2317" s="115"/>
      <c r="DB2317" s="115"/>
      <c r="DC2317" s="115"/>
      <c r="DD2317" s="115"/>
      <c r="DE2317" s="115"/>
      <c r="DF2317" s="115"/>
      <c r="DG2317" s="115"/>
    </row>
    <row r="2318" spans="55:111" hidden="1">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c r="BY2318" s="115"/>
      <c r="BZ2318" s="115"/>
      <c r="CA2318" s="115"/>
      <c r="CB2318" s="115"/>
      <c r="CC2318" s="115"/>
      <c r="CD2318" s="115"/>
      <c r="CE2318" s="115"/>
      <c r="CF2318" s="115"/>
      <c r="CG2318" s="115"/>
      <c r="CH2318" s="115"/>
      <c r="CI2318" s="115"/>
      <c r="CJ2318" s="115"/>
      <c r="CK2318" s="115"/>
      <c r="CL2318" s="115"/>
      <c r="CM2318" s="115"/>
      <c r="CN2318" s="115"/>
      <c r="CO2318" s="115"/>
      <c r="CP2318" s="115"/>
      <c r="CQ2318" s="115"/>
      <c r="CR2318" s="115"/>
      <c r="CS2318" s="115"/>
      <c r="CT2318" s="115"/>
      <c r="CU2318" s="115"/>
      <c r="CV2318" s="115"/>
      <c r="CW2318" s="115"/>
      <c r="CX2318" s="115"/>
      <c r="CY2318" s="115"/>
      <c r="CZ2318" s="115"/>
      <c r="DA2318" s="115"/>
      <c r="DB2318" s="115"/>
      <c r="DC2318" s="115"/>
      <c r="DD2318" s="115"/>
      <c r="DE2318" s="115"/>
      <c r="DF2318" s="115"/>
      <c r="DG2318" s="115"/>
    </row>
    <row r="2319" spans="55:111" hidden="1">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c r="BY2319" s="115"/>
      <c r="BZ2319" s="115"/>
      <c r="CA2319" s="115"/>
      <c r="CB2319" s="115"/>
      <c r="CC2319" s="115"/>
      <c r="CD2319" s="115"/>
      <c r="CE2319" s="115"/>
      <c r="CF2319" s="115"/>
      <c r="CG2319" s="115"/>
      <c r="CH2319" s="115"/>
      <c r="CI2319" s="115"/>
      <c r="CJ2319" s="115"/>
      <c r="CK2319" s="115"/>
      <c r="CL2319" s="115"/>
      <c r="CM2319" s="115"/>
      <c r="CN2319" s="115"/>
      <c r="CO2319" s="115"/>
      <c r="CP2319" s="115"/>
      <c r="CQ2319" s="115"/>
      <c r="CR2319" s="115"/>
      <c r="CS2319" s="115"/>
      <c r="CT2319" s="115"/>
      <c r="CU2319" s="115"/>
      <c r="CV2319" s="115"/>
      <c r="CW2319" s="115"/>
      <c r="CX2319" s="115"/>
      <c r="CY2319" s="115"/>
      <c r="CZ2319" s="115"/>
      <c r="DA2319" s="115"/>
      <c r="DB2319" s="115"/>
      <c r="DC2319" s="115"/>
      <c r="DD2319" s="115"/>
      <c r="DE2319" s="115"/>
      <c r="DF2319" s="115"/>
      <c r="DG2319" s="115"/>
    </row>
    <row r="2320" spans="55:111" hidden="1">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c r="BY2320" s="115"/>
      <c r="BZ2320" s="115"/>
      <c r="CA2320" s="115"/>
      <c r="CB2320" s="115"/>
      <c r="CC2320" s="115"/>
      <c r="CD2320" s="115"/>
      <c r="CE2320" s="115"/>
      <c r="CF2320" s="115"/>
      <c r="CG2320" s="115"/>
      <c r="CH2320" s="115"/>
      <c r="CI2320" s="115"/>
      <c r="CJ2320" s="115"/>
      <c r="CK2320" s="115"/>
      <c r="CL2320" s="115"/>
      <c r="CM2320" s="115"/>
      <c r="CN2320" s="115"/>
      <c r="CO2320" s="115"/>
      <c r="CP2320" s="115"/>
      <c r="CQ2320" s="115"/>
      <c r="CR2320" s="115"/>
      <c r="CS2320" s="115"/>
      <c r="CT2320" s="115"/>
      <c r="CU2320" s="115"/>
      <c r="CV2320" s="115"/>
      <c r="CW2320" s="115"/>
      <c r="CX2320" s="115"/>
      <c r="CY2320" s="115"/>
      <c r="CZ2320" s="115"/>
      <c r="DA2320" s="115"/>
      <c r="DB2320" s="115"/>
      <c r="DC2320" s="115"/>
      <c r="DD2320" s="115"/>
      <c r="DE2320" s="115"/>
      <c r="DF2320" s="115"/>
      <c r="DG2320" s="115"/>
    </row>
    <row r="2321" spans="55:111" hidden="1">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c r="BY2321" s="115"/>
      <c r="BZ2321" s="115"/>
      <c r="CA2321" s="115"/>
      <c r="CB2321" s="115"/>
      <c r="CC2321" s="115"/>
      <c r="CD2321" s="115"/>
      <c r="CE2321" s="115"/>
      <c r="CF2321" s="115"/>
      <c r="CG2321" s="115"/>
      <c r="CH2321" s="115"/>
      <c r="CI2321" s="115"/>
      <c r="CJ2321" s="115"/>
      <c r="CK2321" s="115"/>
      <c r="CL2321" s="115"/>
      <c r="CM2321" s="115"/>
      <c r="CN2321" s="115"/>
      <c r="CO2321" s="115"/>
      <c r="CP2321" s="115"/>
      <c r="CQ2321" s="115"/>
      <c r="CR2321" s="115"/>
      <c r="CS2321" s="115"/>
      <c r="CT2321" s="115"/>
      <c r="CU2321" s="115"/>
      <c r="CV2321" s="115"/>
      <c r="CW2321" s="115"/>
      <c r="CX2321" s="115"/>
      <c r="CY2321" s="115"/>
      <c r="CZ2321" s="115"/>
      <c r="DA2321" s="115"/>
      <c r="DB2321" s="115"/>
      <c r="DC2321" s="115"/>
      <c r="DD2321" s="115"/>
      <c r="DE2321" s="115"/>
      <c r="DF2321" s="115"/>
      <c r="DG2321" s="115"/>
    </row>
    <row r="2322" spans="55:111" hidden="1">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c r="BY2322" s="115"/>
      <c r="BZ2322" s="115"/>
      <c r="CA2322" s="115"/>
      <c r="CB2322" s="115"/>
      <c r="CC2322" s="115"/>
      <c r="CD2322" s="115"/>
      <c r="CE2322" s="115"/>
      <c r="CF2322" s="115"/>
      <c r="CG2322" s="115"/>
      <c r="CH2322" s="115"/>
      <c r="CI2322" s="115"/>
      <c r="CJ2322" s="115"/>
      <c r="CK2322" s="115"/>
      <c r="CL2322" s="115"/>
      <c r="CM2322" s="115"/>
      <c r="CN2322" s="115"/>
      <c r="CO2322" s="115"/>
      <c r="CP2322" s="115"/>
      <c r="CQ2322" s="115"/>
      <c r="CR2322" s="115"/>
      <c r="CS2322" s="115"/>
      <c r="CT2322" s="115"/>
      <c r="CU2322" s="115"/>
      <c r="CV2322" s="115"/>
      <c r="CW2322" s="115"/>
      <c r="CX2322" s="115"/>
      <c r="CY2322" s="115"/>
      <c r="CZ2322" s="115"/>
      <c r="DA2322" s="115"/>
      <c r="DB2322" s="115"/>
      <c r="DC2322" s="115"/>
      <c r="DD2322" s="115"/>
      <c r="DE2322" s="115"/>
      <c r="DF2322" s="115"/>
      <c r="DG2322" s="115"/>
    </row>
    <row r="2323" spans="55:111" hidden="1">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c r="BY2323" s="115"/>
      <c r="BZ2323" s="115"/>
      <c r="CA2323" s="115"/>
      <c r="CB2323" s="115"/>
      <c r="CC2323" s="115"/>
      <c r="CD2323" s="115"/>
      <c r="CE2323" s="115"/>
      <c r="CF2323" s="115"/>
      <c r="CG2323" s="115"/>
      <c r="CH2323" s="115"/>
      <c r="CI2323" s="115"/>
      <c r="CJ2323" s="115"/>
      <c r="CK2323" s="115"/>
      <c r="CL2323" s="115"/>
      <c r="CM2323" s="115"/>
      <c r="CN2323" s="115"/>
      <c r="CO2323" s="115"/>
      <c r="CP2323" s="115"/>
      <c r="CQ2323" s="115"/>
      <c r="CR2323" s="115"/>
      <c r="CS2323" s="115"/>
      <c r="CT2323" s="115"/>
      <c r="CU2323" s="115"/>
      <c r="CV2323" s="115"/>
      <c r="CW2323" s="115"/>
      <c r="CX2323" s="115"/>
      <c r="CY2323" s="115"/>
      <c r="CZ2323" s="115"/>
      <c r="DA2323" s="115"/>
      <c r="DB2323" s="115"/>
      <c r="DC2323" s="115"/>
      <c r="DD2323" s="115"/>
      <c r="DE2323" s="115"/>
      <c r="DF2323" s="115"/>
      <c r="DG2323" s="115"/>
    </row>
    <row r="2324" spans="55:111" hidden="1">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c r="BY2324" s="115"/>
      <c r="BZ2324" s="115"/>
      <c r="CA2324" s="115"/>
      <c r="CB2324" s="115"/>
      <c r="CC2324" s="115"/>
      <c r="CD2324" s="115"/>
      <c r="CE2324" s="115"/>
      <c r="CF2324" s="115"/>
      <c r="CG2324" s="115"/>
      <c r="CH2324" s="115"/>
      <c r="CI2324" s="115"/>
      <c r="CJ2324" s="115"/>
      <c r="CK2324" s="115"/>
      <c r="CL2324" s="115"/>
      <c r="CM2324" s="115"/>
      <c r="CN2324" s="115"/>
      <c r="CO2324" s="115"/>
      <c r="CP2324" s="115"/>
      <c r="CQ2324" s="115"/>
      <c r="CR2324" s="115"/>
      <c r="CS2324" s="115"/>
      <c r="CT2324" s="115"/>
      <c r="CU2324" s="115"/>
      <c r="CV2324" s="115"/>
      <c r="CW2324" s="115"/>
      <c r="CX2324" s="115"/>
      <c r="CY2324" s="115"/>
      <c r="CZ2324" s="115"/>
      <c r="DA2324" s="115"/>
      <c r="DB2324" s="115"/>
      <c r="DC2324" s="115"/>
      <c r="DD2324" s="115"/>
      <c r="DE2324" s="115"/>
      <c r="DF2324" s="115"/>
      <c r="DG2324" s="115"/>
    </row>
    <row r="2325" spans="55:111" hidden="1">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c r="BY2325" s="115"/>
      <c r="BZ2325" s="115"/>
      <c r="CA2325" s="115"/>
      <c r="CB2325" s="115"/>
      <c r="CC2325" s="115"/>
      <c r="CD2325" s="115"/>
      <c r="CE2325" s="115"/>
      <c r="CF2325" s="115"/>
      <c r="CG2325" s="115"/>
      <c r="CH2325" s="115"/>
      <c r="CI2325" s="115"/>
      <c r="CJ2325" s="115"/>
      <c r="CK2325" s="115"/>
      <c r="CL2325" s="115"/>
      <c r="CM2325" s="115"/>
      <c r="CN2325" s="115"/>
      <c r="CO2325" s="115"/>
      <c r="CP2325" s="115"/>
      <c r="CQ2325" s="115"/>
      <c r="CR2325" s="115"/>
      <c r="CS2325" s="115"/>
      <c r="CT2325" s="115"/>
      <c r="CU2325" s="115"/>
      <c r="CV2325" s="115"/>
      <c r="CW2325" s="115"/>
      <c r="CX2325" s="115"/>
      <c r="CY2325" s="115"/>
      <c r="CZ2325" s="115"/>
      <c r="DA2325" s="115"/>
      <c r="DB2325" s="115"/>
      <c r="DC2325" s="115"/>
      <c r="DD2325" s="115"/>
      <c r="DE2325" s="115"/>
      <c r="DF2325" s="115"/>
      <c r="DG2325" s="115"/>
    </row>
    <row r="2326" spans="55:111" hidden="1">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c r="BY2326" s="115"/>
      <c r="BZ2326" s="115"/>
      <c r="CA2326" s="115"/>
      <c r="CB2326" s="115"/>
      <c r="CC2326" s="115"/>
      <c r="CD2326" s="115"/>
      <c r="CE2326" s="115"/>
      <c r="CF2326" s="115"/>
      <c r="CG2326" s="115"/>
      <c r="CH2326" s="115"/>
      <c r="CI2326" s="115"/>
      <c r="CJ2326" s="115"/>
      <c r="CK2326" s="115"/>
      <c r="CL2326" s="115"/>
      <c r="CM2326" s="115"/>
      <c r="CN2326" s="115"/>
      <c r="CO2326" s="115"/>
      <c r="CP2326" s="115"/>
      <c r="CQ2326" s="115"/>
      <c r="CR2326" s="115"/>
      <c r="CS2326" s="115"/>
      <c r="CT2326" s="115"/>
      <c r="CU2326" s="115"/>
      <c r="CV2326" s="115"/>
      <c r="CW2326" s="115"/>
      <c r="CX2326" s="115"/>
      <c r="CY2326" s="115"/>
      <c r="CZ2326" s="115"/>
      <c r="DA2326" s="115"/>
      <c r="DB2326" s="115"/>
      <c r="DC2326" s="115"/>
      <c r="DD2326" s="115"/>
      <c r="DE2326" s="115"/>
      <c r="DF2326" s="115"/>
      <c r="DG2326" s="115"/>
    </row>
    <row r="2327" spans="55:111" hidden="1">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c r="BY2327" s="115"/>
      <c r="BZ2327" s="115"/>
      <c r="CA2327" s="115"/>
      <c r="CB2327" s="115"/>
      <c r="CC2327" s="115"/>
      <c r="CD2327" s="115"/>
      <c r="CE2327" s="115"/>
      <c r="CF2327" s="115"/>
      <c r="CG2327" s="115"/>
      <c r="CH2327" s="115"/>
      <c r="CI2327" s="115"/>
      <c r="CJ2327" s="115"/>
      <c r="CK2327" s="115"/>
      <c r="CL2327" s="115"/>
      <c r="CM2327" s="115"/>
      <c r="CN2327" s="115"/>
      <c r="CO2327" s="115"/>
      <c r="CP2327" s="115"/>
      <c r="CQ2327" s="115"/>
      <c r="CR2327" s="115"/>
      <c r="CS2327" s="115"/>
      <c r="CT2327" s="115"/>
      <c r="CU2327" s="115"/>
      <c r="CV2327" s="115"/>
      <c r="CW2327" s="115"/>
      <c r="CX2327" s="115"/>
      <c r="CY2327" s="115"/>
      <c r="CZ2327" s="115"/>
      <c r="DA2327" s="115"/>
      <c r="DB2327" s="115"/>
      <c r="DC2327" s="115"/>
      <c r="DD2327" s="115"/>
      <c r="DE2327" s="115"/>
      <c r="DF2327" s="115"/>
      <c r="DG2327" s="115"/>
    </row>
    <row r="2328" spans="55:111" hidden="1">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c r="BY2328" s="115"/>
      <c r="BZ2328" s="115"/>
      <c r="CA2328" s="115"/>
      <c r="CB2328" s="115"/>
      <c r="CC2328" s="115"/>
      <c r="CD2328" s="115"/>
      <c r="CE2328" s="115"/>
      <c r="CF2328" s="115"/>
      <c r="CG2328" s="115"/>
      <c r="CH2328" s="115"/>
      <c r="CI2328" s="115"/>
      <c r="CJ2328" s="115"/>
      <c r="CK2328" s="115"/>
      <c r="CL2328" s="115"/>
      <c r="CM2328" s="115"/>
      <c r="CN2328" s="115"/>
      <c r="CO2328" s="115"/>
      <c r="CP2328" s="115"/>
      <c r="CQ2328" s="115"/>
      <c r="CR2328" s="115"/>
      <c r="CS2328" s="115"/>
      <c r="CT2328" s="115"/>
      <c r="CU2328" s="115"/>
      <c r="CV2328" s="115"/>
      <c r="CW2328" s="115"/>
      <c r="CX2328" s="115"/>
      <c r="CY2328" s="115"/>
      <c r="CZ2328" s="115"/>
      <c r="DA2328" s="115"/>
      <c r="DB2328" s="115"/>
      <c r="DC2328" s="115"/>
      <c r="DD2328" s="115"/>
      <c r="DE2328" s="115"/>
      <c r="DF2328" s="115"/>
      <c r="DG2328" s="115"/>
    </row>
    <row r="2329" spans="55:111" hidden="1">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c r="BY2329" s="115"/>
      <c r="BZ2329" s="115"/>
      <c r="CA2329" s="115"/>
      <c r="CB2329" s="115"/>
      <c r="CC2329" s="115"/>
      <c r="CD2329" s="115"/>
      <c r="CE2329" s="115"/>
      <c r="CF2329" s="115"/>
      <c r="CG2329" s="115"/>
      <c r="CH2329" s="115"/>
      <c r="CI2329" s="115"/>
      <c r="CJ2329" s="115"/>
      <c r="CK2329" s="115"/>
      <c r="CL2329" s="115"/>
      <c r="CM2329" s="115"/>
      <c r="CN2329" s="115"/>
      <c r="CO2329" s="115"/>
      <c r="CP2329" s="115"/>
      <c r="CQ2329" s="115"/>
      <c r="CR2329" s="115"/>
      <c r="CS2329" s="115"/>
      <c r="CT2329" s="115"/>
      <c r="CU2329" s="115"/>
      <c r="CV2329" s="115"/>
      <c r="CW2329" s="115"/>
      <c r="CX2329" s="115"/>
      <c r="CY2329" s="115"/>
      <c r="CZ2329" s="115"/>
      <c r="DA2329" s="115"/>
      <c r="DB2329" s="115"/>
      <c r="DC2329" s="115"/>
      <c r="DD2329" s="115"/>
      <c r="DE2329" s="115"/>
      <c r="DF2329" s="115"/>
      <c r="DG2329" s="115"/>
    </row>
    <row r="2330" spans="55:111" hidden="1">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c r="BY2330" s="115"/>
      <c r="BZ2330" s="115"/>
      <c r="CA2330" s="115"/>
      <c r="CB2330" s="115"/>
      <c r="CC2330" s="115"/>
      <c r="CD2330" s="115"/>
      <c r="CE2330" s="115"/>
      <c r="CF2330" s="115"/>
      <c r="CG2330" s="115"/>
      <c r="CH2330" s="115"/>
      <c r="CI2330" s="115"/>
      <c r="CJ2330" s="115"/>
      <c r="CK2330" s="115"/>
      <c r="CL2330" s="115"/>
      <c r="CM2330" s="115"/>
      <c r="CN2330" s="115"/>
      <c r="CO2330" s="115"/>
      <c r="CP2330" s="115"/>
      <c r="CQ2330" s="115"/>
      <c r="CR2330" s="115"/>
      <c r="CS2330" s="115"/>
      <c r="CT2330" s="115"/>
      <c r="CU2330" s="115"/>
      <c r="CV2330" s="115"/>
      <c r="CW2330" s="115"/>
      <c r="CX2330" s="115"/>
      <c r="CY2330" s="115"/>
      <c r="CZ2330" s="115"/>
      <c r="DA2330" s="115"/>
      <c r="DB2330" s="115"/>
      <c r="DC2330" s="115"/>
      <c r="DD2330" s="115"/>
      <c r="DE2330" s="115"/>
      <c r="DF2330" s="115"/>
      <c r="DG2330" s="115"/>
    </row>
    <row r="2331" spans="55:111" hidden="1">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c r="BY2331" s="115"/>
      <c r="BZ2331" s="115"/>
      <c r="CA2331" s="115"/>
      <c r="CB2331" s="115"/>
      <c r="CC2331" s="115"/>
      <c r="CD2331" s="115"/>
      <c r="CE2331" s="115"/>
      <c r="CF2331" s="115"/>
      <c r="CG2331" s="115"/>
      <c r="CH2331" s="115"/>
      <c r="CI2331" s="115"/>
      <c r="CJ2331" s="115"/>
      <c r="CK2331" s="115"/>
      <c r="CL2331" s="115"/>
      <c r="CM2331" s="115"/>
      <c r="CN2331" s="115"/>
      <c r="CO2331" s="115"/>
      <c r="CP2331" s="115"/>
      <c r="CQ2331" s="115"/>
      <c r="CR2331" s="115"/>
      <c r="CS2331" s="115"/>
      <c r="CT2331" s="115"/>
      <c r="CU2331" s="115"/>
      <c r="CV2331" s="115"/>
      <c r="CW2331" s="115"/>
      <c r="CX2331" s="115"/>
      <c r="CY2331" s="115"/>
      <c r="CZ2331" s="115"/>
      <c r="DA2331" s="115"/>
      <c r="DB2331" s="115"/>
      <c r="DC2331" s="115"/>
      <c r="DD2331" s="115"/>
      <c r="DE2331" s="115"/>
      <c r="DF2331" s="115"/>
      <c r="DG2331" s="115"/>
    </row>
    <row r="2332" spans="55:111" hidden="1">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c r="BY2332" s="115"/>
      <c r="BZ2332" s="115"/>
      <c r="CA2332" s="115"/>
      <c r="CB2332" s="115"/>
      <c r="CC2332" s="115"/>
      <c r="CD2332" s="115"/>
      <c r="CE2332" s="115"/>
      <c r="CF2332" s="115"/>
      <c r="CG2332" s="115"/>
      <c r="CH2332" s="115"/>
      <c r="CI2332" s="115"/>
      <c r="CJ2332" s="115"/>
      <c r="CK2332" s="115"/>
      <c r="CL2332" s="115"/>
      <c r="CM2332" s="115"/>
      <c r="CN2332" s="115"/>
      <c r="CO2332" s="115"/>
      <c r="CP2332" s="115"/>
      <c r="CQ2332" s="115"/>
      <c r="CR2332" s="115"/>
      <c r="CS2332" s="115"/>
      <c r="CT2332" s="115"/>
      <c r="CU2332" s="115"/>
      <c r="CV2332" s="115"/>
      <c r="CW2332" s="115"/>
      <c r="CX2332" s="115"/>
      <c r="CY2332" s="115"/>
      <c r="CZ2332" s="115"/>
      <c r="DA2332" s="115"/>
      <c r="DB2332" s="115"/>
      <c r="DC2332" s="115"/>
      <c r="DD2332" s="115"/>
      <c r="DE2332" s="115"/>
      <c r="DF2332" s="115"/>
      <c r="DG2332" s="115"/>
    </row>
    <row r="2333" spans="55:111" hidden="1">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c r="BY2333" s="115"/>
      <c r="BZ2333" s="115"/>
      <c r="CA2333" s="115"/>
      <c r="CB2333" s="115"/>
      <c r="CC2333" s="115"/>
      <c r="CD2333" s="115"/>
      <c r="CE2333" s="115"/>
      <c r="CF2333" s="115"/>
      <c r="CG2333" s="115"/>
      <c r="CH2333" s="115"/>
      <c r="CI2333" s="115"/>
      <c r="CJ2333" s="115"/>
      <c r="CK2333" s="115"/>
      <c r="CL2333" s="115"/>
      <c r="CM2333" s="115"/>
      <c r="CN2333" s="115"/>
      <c r="CO2333" s="115"/>
      <c r="CP2333" s="115"/>
      <c r="CQ2333" s="115"/>
      <c r="CR2333" s="115"/>
      <c r="CS2333" s="115"/>
      <c r="CT2333" s="115"/>
      <c r="CU2333" s="115"/>
      <c r="CV2333" s="115"/>
      <c r="CW2333" s="115"/>
      <c r="CX2333" s="115"/>
      <c r="CY2333" s="115"/>
      <c r="CZ2333" s="115"/>
      <c r="DA2333" s="115"/>
      <c r="DB2333" s="115"/>
      <c r="DC2333" s="115"/>
      <c r="DD2333" s="115"/>
      <c r="DE2333" s="115"/>
      <c r="DF2333" s="115"/>
      <c r="DG2333" s="115"/>
    </row>
    <row r="2334" spans="55:111" hidden="1">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c r="BY2334" s="115"/>
      <c r="BZ2334" s="115"/>
      <c r="CA2334" s="115"/>
      <c r="CB2334" s="115"/>
      <c r="CC2334" s="115"/>
      <c r="CD2334" s="115"/>
      <c r="CE2334" s="115"/>
      <c r="CF2334" s="115"/>
      <c r="CG2334" s="115"/>
      <c r="CH2334" s="115"/>
      <c r="CI2334" s="115"/>
      <c r="CJ2334" s="115"/>
      <c r="CK2334" s="115"/>
      <c r="CL2334" s="115"/>
      <c r="CM2334" s="115"/>
      <c r="CN2334" s="115"/>
      <c r="CO2334" s="115"/>
      <c r="CP2334" s="115"/>
      <c r="CQ2334" s="115"/>
      <c r="CR2334" s="115"/>
      <c r="CS2334" s="115"/>
      <c r="CT2334" s="115"/>
      <c r="CU2334" s="115"/>
      <c r="CV2334" s="115"/>
      <c r="CW2334" s="115"/>
      <c r="CX2334" s="115"/>
      <c r="CY2334" s="115"/>
      <c r="CZ2334" s="115"/>
      <c r="DA2334" s="115"/>
      <c r="DB2334" s="115"/>
      <c r="DC2334" s="115"/>
      <c r="DD2334" s="115"/>
      <c r="DE2334" s="115"/>
      <c r="DF2334" s="115"/>
      <c r="DG2334" s="115"/>
    </row>
    <row r="2335" spans="55:111" hidden="1">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c r="BY2335" s="115"/>
      <c r="BZ2335" s="115"/>
      <c r="CA2335" s="115"/>
      <c r="CB2335" s="115"/>
      <c r="CC2335" s="115"/>
      <c r="CD2335" s="115"/>
      <c r="CE2335" s="115"/>
      <c r="CF2335" s="115"/>
      <c r="CG2335" s="115"/>
      <c r="CH2335" s="115"/>
      <c r="CI2335" s="115"/>
      <c r="CJ2335" s="115"/>
      <c r="CK2335" s="115"/>
      <c r="CL2335" s="115"/>
      <c r="CM2335" s="115"/>
      <c r="CN2335" s="115"/>
      <c r="CO2335" s="115"/>
      <c r="CP2335" s="115"/>
      <c r="CQ2335" s="115"/>
      <c r="CR2335" s="115"/>
      <c r="CS2335" s="115"/>
      <c r="CT2335" s="115"/>
      <c r="CU2335" s="115"/>
      <c r="CV2335" s="115"/>
      <c r="CW2335" s="115"/>
      <c r="CX2335" s="115"/>
      <c r="CY2335" s="115"/>
      <c r="CZ2335" s="115"/>
      <c r="DA2335" s="115"/>
      <c r="DB2335" s="115"/>
      <c r="DC2335" s="115"/>
      <c r="DD2335" s="115"/>
      <c r="DE2335" s="115"/>
      <c r="DF2335" s="115"/>
      <c r="DG2335" s="115"/>
    </row>
    <row r="2336" spans="55:111" hidden="1">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c r="BY2336" s="115"/>
      <c r="BZ2336" s="115"/>
      <c r="CA2336" s="115"/>
      <c r="CB2336" s="115"/>
      <c r="CC2336" s="115"/>
      <c r="CD2336" s="115"/>
      <c r="CE2336" s="115"/>
      <c r="CF2336" s="115"/>
      <c r="CG2336" s="115"/>
      <c r="CH2336" s="115"/>
      <c r="CI2336" s="115"/>
      <c r="CJ2336" s="115"/>
      <c r="CK2336" s="115"/>
      <c r="CL2336" s="115"/>
      <c r="CM2336" s="115"/>
      <c r="CN2336" s="115"/>
      <c r="CO2336" s="115"/>
      <c r="CP2336" s="115"/>
      <c r="CQ2336" s="115"/>
      <c r="CR2336" s="115"/>
      <c r="CS2336" s="115"/>
      <c r="CT2336" s="115"/>
      <c r="CU2336" s="115"/>
      <c r="CV2336" s="115"/>
      <c r="CW2336" s="115"/>
      <c r="CX2336" s="115"/>
      <c r="CY2336" s="115"/>
      <c r="CZ2336" s="115"/>
      <c r="DA2336" s="115"/>
      <c r="DB2336" s="115"/>
      <c r="DC2336" s="115"/>
      <c r="DD2336" s="115"/>
      <c r="DE2336" s="115"/>
      <c r="DF2336" s="115"/>
      <c r="DG2336" s="115"/>
    </row>
    <row r="2337" spans="55:111" hidden="1">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c r="BY2337" s="115"/>
      <c r="BZ2337" s="115"/>
      <c r="CA2337" s="115"/>
      <c r="CB2337" s="115"/>
      <c r="CC2337" s="115"/>
      <c r="CD2337" s="115"/>
      <c r="CE2337" s="115"/>
      <c r="CF2337" s="115"/>
      <c r="CG2337" s="115"/>
      <c r="CH2337" s="115"/>
      <c r="CI2337" s="115"/>
      <c r="CJ2337" s="115"/>
      <c r="CK2337" s="115"/>
      <c r="CL2337" s="115"/>
      <c r="CM2337" s="115"/>
      <c r="CN2337" s="115"/>
      <c r="CO2337" s="115"/>
      <c r="CP2337" s="115"/>
      <c r="CQ2337" s="115"/>
      <c r="CR2337" s="115"/>
      <c r="CS2337" s="115"/>
      <c r="CT2337" s="115"/>
      <c r="CU2337" s="115"/>
      <c r="CV2337" s="115"/>
      <c r="CW2337" s="115"/>
      <c r="CX2337" s="115"/>
      <c r="CY2337" s="115"/>
      <c r="CZ2337" s="115"/>
      <c r="DA2337" s="115"/>
      <c r="DB2337" s="115"/>
      <c r="DC2337" s="115"/>
      <c r="DD2337" s="115"/>
      <c r="DE2337" s="115"/>
      <c r="DF2337" s="115"/>
      <c r="DG2337" s="115"/>
    </row>
    <row r="2338" spans="55:111" hidden="1">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c r="BY2338" s="115"/>
      <c r="BZ2338" s="115"/>
      <c r="CA2338" s="115"/>
      <c r="CB2338" s="115"/>
      <c r="CC2338" s="115"/>
      <c r="CD2338" s="115"/>
      <c r="CE2338" s="115"/>
      <c r="CF2338" s="115"/>
      <c r="CG2338" s="115"/>
      <c r="CH2338" s="115"/>
      <c r="CI2338" s="115"/>
      <c r="CJ2338" s="115"/>
      <c r="CK2338" s="115"/>
      <c r="CL2338" s="115"/>
      <c r="CM2338" s="115"/>
      <c r="CN2338" s="115"/>
      <c r="CO2338" s="115"/>
      <c r="CP2338" s="115"/>
      <c r="CQ2338" s="115"/>
      <c r="CR2338" s="115"/>
      <c r="CS2338" s="115"/>
      <c r="CT2338" s="115"/>
      <c r="CU2338" s="115"/>
      <c r="CV2338" s="115"/>
      <c r="CW2338" s="115"/>
      <c r="CX2338" s="115"/>
      <c r="CY2338" s="115"/>
      <c r="CZ2338" s="115"/>
      <c r="DA2338" s="115"/>
      <c r="DB2338" s="115"/>
      <c r="DC2338" s="115"/>
      <c r="DD2338" s="115"/>
      <c r="DE2338" s="115"/>
      <c r="DF2338" s="115"/>
      <c r="DG2338" s="115"/>
    </row>
    <row r="2339" spans="55:111" hidden="1">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c r="BY2339" s="115"/>
      <c r="BZ2339" s="115"/>
      <c r="CA2339" s="115"/>
      <c r="CB2339" s="115"/>
      <c r="CC2339" s="115"/>
      <c r="CD2339" s="115"/>
      <c r="CE2339" s="115"/>
      <c r="CF2339" s="115"/>
      <c r="CG2339" s="115"/>
      <c r="CH2339" s="115"/>
      <c r="CI2339" s="115"/>
      <c r="CJ2339" s="115"/>
      <c r="CK2339" s="115"/>
      <c r="CL2339" s="115"/>
      <c r="CM2339" s="115"/>
      <c r="CN2339" s="115"/>
      <c r="CO2339" s="115"/>
      <c r="CP2339" s="115"/>
      <c r="CQ2339" s="115"/>
      <c r="CR2339" s="115"/>
      <c r="CS2339" s="115"/>
      <c r="CT2339" s="115"/>
      <c r="CU2339" s="115"/>
      <c r="CV2339" s="115"/>
      <c r="CW2339" s="115"/>
      <c r="CX2339" s="115"/>
      <c r="CY2339" s="115"/>
      <c r="CZ2339" s="115"/>
      <c r="DA2339" s="115"/>
      <c r="DB2339" s="115"/>
      <c r="DC2339" s="115"/>
      <c r="DD2339" s="115"/>
      <c r="DE2339" s="115"/>
      <c r="DF2339" s="115"/>
      <c r="DG2339" s="115"/>
    </row>
    <row r="2340" spans="55:111" hidden="1">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c r="BY2340" s="115"/>
      <c r="BZ2340" s="115"/>
      <c r="CA2340" s="115"/>
      <c r="CB2340" s="115"/>
      <c r="CC2340" s="115"/>
      <c r="CD2340" s="115"/>
      <c r="CE2340" s="115"/>
      <c r="CF2340" s="115"/>
      <c r="CG2340" s="115"/>
      <c r="CH2340" s="115"/>
      <c r="CI2340" s="115"/>
      <c r="CJ2340" s="115"/>
      <c r="CK2340" s="115"/>
      <c r="CL2340" s="115"/>
      <c r="CM2340" s="115"/>
      <c r="CN2340" s="115"/>
      <c r="CO2340" s="115"/>
      <c r="CP2340" s="115"/>
      <c r="CQ2340" s="115"/>
      <c r="CR2340" s="115"/>
      <c r="CS2340" s="115"/>
      <c r="CT2340" s="115"/>
      <c r="CU2340" s="115"/>
      <c r="CV2340" s="115"/>
      <c r="CW2340" s="115"/>
      <c r="CX2340" s="115"/>
      <c r="CY2340" s="115"/>
      <c r="CZ2340" s="115"/>
      <c r="DA2340" s="115"/>
      <c r="DB2340" s="115"/>
      <c r="DC2340" s="115"/>
      <c r="DD2340" s="115"/>
      <c r="DE2340" s="115"/>
      <c r="DF2340" s="115"/>
      <c r="DG2340" s="115"/>
    </row>
    <row r="2341" spans="55:111" hidden="1">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c r="BY2341" s="115"/>
      <c r="BZ2341" s="115"/>
      <c r="CA2341" s="115"/>
      <c r="CB2341" s="115"/>
      <c r="CC2341" s="115"/>
      <c r="CD2341" s="115"/>
      <c r="CE2341" s="115"/>
      <c r="CF2341" s="115"/>
      <c r="CG2341" s="115"/>
      <c r="CH2341" s="115"/>
      <c r="CI2341" s="115"/>
      <c r="CJ2341" s="115"/>
      <c r="CK2341" s="115"/>
      <c r="CL2341" s="115"/>
      <c r="CM2341" s="115"/>
      <c r="CN2341" s="115"/>
      <c r="CO2341" s="115"/>
      <c r="CP2341" s="115"/>
      <c r="CQ2341" s="115"/>
      <c r="CR2341" s="115"/>
      <c r="CS2341" s="115"/>
      <c r="CT2341" s="115"/>
      <c r="CU2341" s="115"/>
      <c r="CV2341" s="115"/>
      <c r="CW2341" s="115"/>
      <c r="CX2341" s="115"/>
      <c r="CY2341" s="115"/>
      <c r="CZ2341" s="115"/>
      <c r="DA2341" s="115"/>
      <c r="DB2341" s="115"/>
      <c r="DC2341" s="115"/>
      <c r="DD2341" s="115"/>
      <c r="DE2341" s="115"/>
      <c r="DF2341" s="115"/>
      <c r="DG2341" s="115"/>
    </row>
    <row r="2342" spans="55:111" hidden="1">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c r="BY2342" s="115"/>
      <c r="BZ2342" s="115"/>
      <c r="CA2342" s="115"/>
      <c r="CB2342" s="115"/>
      <c r="CC2342" s="115"/>
      <c r="CD2342" s="115"/>
      <c r="CE2342" s="115"/>
      <c r="CF2342" s="115"/>
      <c r="CG2342" s="115"/>
      <c r="CH2342" s="115"/>
      <c r="CI2342" s="115"/>
      <c r="CJ2342" s="115"/>
      <c r="CK2342" s="115"/>
      <c r="CL2342" s="115"/>
      <c r="CM2342" s="115"/>
      <c r="CN2342" s="115"/>
      <c r="CO2342" s="115"/>
      <c r="CP2342" s="115"/>
      <c r="CQ2342" s="115"/>
      <c r="CR2342" s="115"/>
      <c r="CS2342" s="115"/>
      <c r="CT2342" s="115"/>
      <c r="CU2342" s="115"/>
      <c r="CV2342" s="115"/>
      <c r="CW2342" s="115"/>
      <c r="CX2342" s="115"/>
      <c r="CY2342" s="115"/>
      <c r="CZ2342" s="115"/>
      <c r="DA2342" s="115"/>
      <c r="DB2342" s="115"/>
      <c r="DC2342" s="115"/>
      <c r="DD2342" s="115"/>
      <c r="DE2342" s="115"/>
      <c r="DF2342" s="115"/>
      <c r="DG2342" s="115"/>
    </row>
    <row r="2343" spans="55:111" hidden="1">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c r="BY2343" s="115"/>
      <c r="BZ2343" s="115"/>
      <c r="CA2343" s="115"/>
      <c r="CB2343" s="115"/>
      <c r="CC2343" s="115"/>
      <c r="CD2343" s="115"/>
      <c r="CE2343" s="115"/>
      <c r="CF2343" s="115"/>
      <c r="CG2343" s="115"/>
      <c r="CH2343" s="115"/>
      <c r="CI2343" s="115"/>
      <c r="CJ2343" s="115"/>
      <c r="CK2343" s="115"/>
      <c r="CL2343" s="115"/>
      <c r="CM2343" s="115"/>
      <c r="CN2343" s="115"/>
      <c r="CO2343" s="115"/>
      <c r="CP2343" s="115"/>
      <c r="CQ2343" s="115"/>
      <c r="CR2343" s="115"/>
      <c r="CS2343" s="115"/>
      <c r="CT2343" s="115"/>
      <c r="CU2343" s="115"/>
      <c r="CV2343" s="115"/>
      <c r="CW2343" s="115"/>
      <c r="CX2343" s="115"/>
      <c r="CY2343" s="115"/>
      <c r="CZ2343" s="115"/>
      <c r="DA2343" s="115"/>
      <c r="DB2343" s="115"/>
      <c r="DC2343" s="115"/>
      <c r="DD2343" s="115"/>
      <c r="DE2343" s="115"/>
      <c r="DF2343" s="115"/>
      <c r="DG2343" s="115"/>
    </row>
    <row r="2344" spans="55:111" hidden="1">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c r="BY2344" s="115"/>
      <c r="BZ2344" s="115"/>
      <c r="CA2344" s="115"/>
      <c r="CB2344" s="115"/>
      <c r="CC2344" s="115"/>
      <c r="CD2344" s="115"/>
      <c r="CE2344" s="115"/>
      <c r="CF2344" s="115"/>
      <c r="CG2344" s="115"/>
      <c r="CH2344" s="115"/>
      <c r="CI2344" s="115"/>
      <c r="CJ2344" s="115"/>
      <c r="CK2344" s="115"/>
      <c r="CL2344" s="115"/>
      <c r="CM2344" s="115"/>
      <c r="CN2344" s="115"/>
      <c r="CO2344" s="115"/>
      <c r="CP2344" s="115"/>
      <c r="CQ2344" s="115"/>
      <c r="CR2344" s="115"/>
      <c r="CS2344" s="115"/>
      <c r="CT2344" s="115"/>
      <c r="CU2344" s="115"/>
      <c r="CV2344" s="115"/>
      <c r="CW2344" s="115"/>
      <c r="CX2344" s="115"/>
      <c r="CY2344" s="115"/>
      <c r="CZ2344" s="115"/>
      <c r="DA2344" s="115"/>
      <c r="DB2344" s="115"/>
      <c r="DC2344" s="115"/>
      <c r="DD2344" s="115"/>
      <c r="DE2344" s="115"/>
      <c r="DF2344" s="115"/>
      <c r="DG2344" s="115"/>
    </row>
    <row r="2345" spans="55:111" hidden="1">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c r="BY2345" s="115"/>
      <c r="BZ2345" s="115"/>
      <c r="CA2345" s="115"/>
      <c r="CB2345" s="115"/>
      <c r="CC2345" s="115"/>
      <c r="CD2345" s="115"/>
      <c r="CE2345" s="115"/>
      <c r="CF2345" s="115"/>
      <c r="CG2345" s="115"/>
      <c r="CH2345" s="115"/>
      <c r="CI2345" s="115"/>
      <c r="CJ2345" s="115"/>
      <c r="CK2345" s="115"/>
      <c r="CL2345" s="115"/>
      <c r="CM2345" s="115"/>
      <c r="CN2345" s="115"/>
      <c r="CO2345" s="115"/>
      <c r="CP2345" s="115"/>
      <c r="CQ2345" s="115"/>
      <c r="CR2345" s="115"/>
      <c r="CS2345" s="115"/>
      <c r="CT2345" s="115"/>
      <c r="CU2345" s="115"/>
      <c r="CV2345" s="115"/>
      <c r="CW2345" s="115"/>
      <c r="CX2345" s="115"/>
      <c r="CY2345" s="115"/>
      <c r="CZ2345" s="115"/>
      <c r="DA2345" s="115"/>
      <c r="DB2345" s="115"/>
      <c r="DC2345" s="115"/>
      <c r="DD2345" s="115"/>
      <c r="DE2345" s="115"/>
      <c r="DF2345" s="115"/>
      <c r="DG2345" s="115"/>
    </row>
    <row r="2346" spans="55:111" hidden="1">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c r="BY2346" s="115"/>
      <c r="BZ2346" s="115"/>
      <c r="CA2346" s="115"/>
      <c r="CB2346" s="115"/>
      <c r="CC2346" s="115"/>
      <c r="CD2346" s="115"/>
      <c r="CE2346" s="115"/>
      <c r="CF2346" s="115"/>
      <c r="CG2346" s="115"/>
      <c r="CH2346" s="115"/>
      <c r="CI2346" s="115"/>
      <c r="CJ2346" s="115"/>
      <c r="CK2346" s="115"/>
      <c r="CL2346" s="115"/>
      <c r="CM2346" s="115"/>
      <c r="CN2346" s="115"/>
      <c r="CO2346" s="115"/>
      <c r="CP2346" s="115"/>
      <c r="CQ2346" s="115"/>
      <c r="CR2346" s="115"/>
      <c r="CS2346" s="115"/>
      <c r="CT2346" s="115"/>
      <c r="CU2346" s="115"/>
      <c r="CV2346" s="115"/>
      <c r="CW2346" s="115"/>
      <c r="CX2346" s="115"/>
      <c r="CY2346" s="115"/>
      <c r="CZ2346" s="115"/>
      <c r="DA2346" s="115"/>
      <c r="DB2346" s="115"/>
      <c r="DC2346" s="115"/>
      <c r="DD2346" s="115"/>
      <c r="DE2346" s="115"/>
      <c r="DF2346" s="115"/>
      <c r="DG2346" s="115"/>
    </row>
    <row r="2347" spans="55:111" hidden="1">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c r="BY2347" s="115"/>
      <c r="BZ2347" s="115"/>
      <c r="CA2347" s="115"/>
      <c r="CB2347" s="115"/>
      <c r="CC2347" s="115"/>
      <c r="CD2347" s="115"/>
      <c r="CE2347" s="115"/>
      <c r="CF2347" s="115"/>
      <c r="CG2347" s="115"/>
      <c r="CH2347" s="115"/>
      <c r="CI2347" s="115"/>
      <c r="CJ2347" s="115"/>
      <c r="CK2347" s="115"/>
      <c r="CL2347" s="115"/>
      <c r="CM2347" s="115"/>
      <c r="CN2347" s="115"/>
      <c r="CO2347" s="115"/>
      <c r="CP2347" s="115"/>
      <c r="CQ2347" s="115"/>
      <c r="CR2347" s="115"/>
      <c r="CS2347" s="115"/>
      <c r="CT2347" s="115"/>
      <c r="CU2347" s="115"/>
      <c r="CV2347" s="115"/>
      <c r="CW2347" s="115"/>
      <c r="CX2347" s="115"/>
      <c r="CY2347" s="115"/>
      <c r="CZ2347" s="115"/>
      <c r="DA2347" s="115"/>
      <c r="DB2347" s="115"/>
      <c r="DC2347" s="115"/>
      <c r="DD2347" s="115"/>
      <c r="DE2347" s="115"/>
      <c r="DF2347" s="115"/>
      <c r="DG2347" s="115"/>
    </row>
    <row r="2348" spans="55:111" hidden="1">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c r="BY2348" s="115"/>
      <c r="BZ2348" s="115"/>
      <c r="CA2348" s="115"/>
      <c r="CB2348" s="115"/>
      <c r="CC2348" s="115"/>
      <c r="CD2348" s="115"/>
      <c r="CE2348" s="115"/>
      <c r="CF2348" s="115"/>
      <c r="CG2348" s="115"/>
      <c r="CH2348" s="115"/>
      <c r="CI2348" s="115"/>
      <c r="CJ2348" s="115"/>
      <c r="CK2348" s="115"/>
      <c r="CL2348" s="115"/>
      <c r="CM2348" s="115"/>
      <c r="CN2348" s="115"/>
      <c r="CO2348" s="115"/>
      <c r="CP2348" s="115"/>
      <c r="CQ2348" s="115"/>
      <c r="CR2348" s="115"/>
      <c r="CS2348" s="115"/>
      <c r="CT2348" s="115"/>
      <c r="CU2348" s="115"/>
      <c r="CV2348" s="115"/>
      <c r="CW2348" s="115"/>
      <c r="CX2348" s="115"/>
      <c r="CY2348" s="115"/>
      <c r="CZ2348" s="115"/>
      <c r="DA2348" s="115"/>
      <c r="DB2348" s="115"/>
      <c r="DC2348" s="115"/>
      <c r="DD2348" s="115"/>
      <c r="DE2348" s="115"/>
      <c r="DF2348" s="115"/>
      <c r="DG2348" s="115"/>
    </row>
    <row r="2349" spans="55:111" hidden="1">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c r="BY2349" s="115"/>
      <c r="BZ2349" s="115"/>
      <c r="CA2349" s="115"/>
      <c r="CB2349" s="115"/>
      <c r="CC2349" s="115"/>
      <c r="CD2349" s="115"/>
      <c r="CE2349" s="115"/>
      <c r="CF2349" s="115"/>
      <c r="CG2349" s="115"/>
      <c r="CH2349" s="115"/>
      <c r="CI2349" s="115"/>
      <c r="CJ2349" s="115"/>
      <c r="CK2349" s="115"/>
      <c r="CL2349" s="115"/>
      <c r="CM2349" s="115"/>
      <c r="CN2349" s="115"/>
      <c r="CO2349" s="115"/>
      <c r="CP2349" s="115"/>
      <c r="CQ2349" s="115"/>
      <c r="CR2349" s="115"/>
      <c r="CS2349" s="115"/>
      <c r="CT2349" s="115"/>
      <c r="CU2349" s="115"/>
      <c r="CV2349" s="115"/>
      <c r="CW2349" s="115"/>
      <c r="CX2349" s="115"/>
      <c r="CY2349" s="115"/>
      <c r="CZ2349" s="115"/>
      <c r="DA2349" s="115"/>
      <c r="DB2349" s="115"/>
      <c r="DC2349" s="115"/>
      <c r="DD2349" s="115"/>
      <c r="DE2349" s="115"/>
      <c r="DF2349" s="115"/>
      <c r="DG2349" s="115"/>
    </row>
    <row r="2350" spans="55:111" hidden="1">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c r="BY2350" s="115"/>
      <c r="BZ2350" s="115"/>
      <c r="CA2350" s="115"/>
      <c r="CB2350" s="115"/>
      <c r="CC2350" s="115"/>
      <c r="CD2350" s="115"/>
      <c r="CE2350" s="115"/>
      <c r="CF2350" s="115"/>
      <c r="CG2350" s="115"/>
      <c r="CH2350" s="115"/>
      <c r="CI2350" s="115"/>
      <c r="CJ2350" s="115"/>
      <c r="CK2350" s="115"/>
      <c r="CL2350" s="115"/>
      <c r="CM2350" s="115"/>
      <c r="CN2350" s="115"/>
      <c r="CO2350" s="115"/>
      <c r="CP2350" s="115"/>
      <c r="CQ2350" s="115"/>
      <c r="CR2350" s="115"/>
      <c r="CS2350" s="115"/>
      <c r="CT2350" s="115"/>
      <c r="CU2350" s="115"/>
      <c r="CV2350" s="115"/>
      <c r="CW2350" s="115"/>
      <c r="CX2350" s="115"/>
      <c r="CY2350" s="115"/>
      <c r="CZ2350" s="115"/>
      <c r="DA2350" s="115"/>
      <c r="DB2350" s="115"/>
      <c r="DC2350" s="115"/>
      <c r="DD2350" s="115"/>
      <c r="DE2350" s="115"/>
      <c r="DF2350" s="115"/>
      <c r="DG2350" s="115"/>
    </row>
    <row r="2351" spans="55:111" hidden="1">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c r="BY2351" s="115"/>
      <c r="BZ2351" s="115"/>
      <c r="CA2351" s="115"/>
      <c r="CB2351" s="115"/>
      <c r="CC2351" s="115"/>
      <c r="CD2351" s="115"/>
      <c r="CE2351" s="115"/>
      <c r="CF2351" s="115"/>
      <c r="CG2351" s="115"/>
      <c r="CH2351" s="115"/>
      <c r="CI2351" s="115"/>
      <c r="CJ2351" s="115"/>
      <c r="CK2351" s="115"/>
      <c r="CL2351" s="115"/>
      <c r="CM2351" s="115"/>
      <c r="CN2351" s="115"/>
      <c r="CO2351" s="115"/>
      <c r="CP2351" s="115"/>
      <c r="CQ2351" s="115"/>
      <c r="CR2351" s="115"/>
      <c r="CS2351" s="115"/>
      <c r="CT2351" s="115"/>
      <c r="CU2351" s="115"/>
      <c r="CV2351" s="115"/>
      <c r="CW2351" s="115"/>
      <c r="CX2351" s="115"/>
      <c r="CY2351" s="115"/>
      <c r="CZ2351" s="115"/>
      <c r="DA2351" s="115"/>
      <c r="DB2351" s="115"/>
      <c r="DC2351" s="115"/>
      <c r="DD2351" s="115"/>
      <c r="DE2351" s="115"/>
      <c r="DF2351" s="115"/>
      <c r="DG2351" s="115"/>
    </row>
    <row r="2352" spans="55:111" hidden="1">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c r="BY2352" s="115"/>
      <c r="BZ2352" s="115"/>
      <c r="CA2352" s="115"/>
      <c r="CB2352" s="115"/>
      <c r="CC2352" s="115"/>
      <c r="CD2352" s="115"/>
      <c r="CE2352" s="115"/>
      <c r="CF2352" s="115"/>
      <c r="CG2352" s="115"/>
      <c r="CH2352" s="115"/>
      <c r="CI2352" s="115"/>
      <c r="CJ2352" s="115"/>
      <c r="CK2352" s="115"/>
      <c r="CL2352" s="115"/>
      <c r="CM2352" s="115"/>
      <c r="CN2352" s="115"/>
      <c r="CO2352" s="115"/>
      <c r="CP2352" s="115"/>
      <c r="CQ2352" s="115"/>
      <c r="CR2352" s="115"/>
      <c r="CS2352" s="115"/>
      <c r="CT2352" s="115"/>
      <c r="CU2352" s="115"/>
      <c r="CV2352" s="115"/>
      <c r="CW2352" s="115"/>
      <c r="CX2352" s="115"/>
      <c r="CY2352" s="115"/>
      <c r="CZ2352" s="115"/>
      <c r="DA2352" s="115"/>
      <c r="DB2352" s="115"/>
      <c r="DC2352" s="115"/>
      <c r="DD2352" s="115"/>
      <c r="DE2352" s="115"/>
      <c r="DF2352" s="115"/>
      <c r="DG2352" s="115"/>
    </row>
    <row r="2353" spans="55:111" hidden="1">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c r="BY2353" s="115"/>
      <c r="BZ2353" s="115"/>
      <c r="CA2353" s="115"/>
      <c r="CB2353" s="115"/>
      <c r="CC2353" s="115"/>
      <c r="CD2353" s="115"/>
      <c r="CE2353" s="115"/>
      <c r="CF2353" s="115"/>
      <c r="CG2353" s="115"/>
      <c r="CH2353" s="115"/>
      <c r="CI2353" s="115"/>
      <c r="CJ2353" s="115"/>
      <c r="CK2353" s="115"/>
      <c r="CL2353" s="115"/>
      <c r="CM2353" s="115"/>
      <c r="CN2353" s="115"/>
      <c r="CO2353" s="115"/>
      <c r="CP2353" s="115"/>
      <c r="CQ2353" s="115"/>
      <c r="CR2353" s="115"/>
      <c r="CS2353" s="115"/>
      <c r="CT2353" s="115"/>
      <c r="CU2353" s="115"/>
      <c r="CV2353" s="115"/>
      <c r="CW2353" s="115"/>
      <c r="CX2353" s="115"/>
      <c r="CY2353" s="115"/>
      <c r="CZ2353" s="115"/>
      <c r="DA2353" s="115"/>
      <c r="DB2353" s="115"/>
      <c r="DC2353" s="115"/>
      <c r="DD2353" s="115"/>
      <c r="DE2353" s="115"/>
      <c r="DF2353" s="115"/>
      <c r="DG2353" s="115"/>
    </row>
    <row r="2354" spans="55:111" hidden="1">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c r="BY2354" s="115"/>
      <c r="BZ2354" s="115"/>
      <c r="CA2354" s="115"/>
      <c r="CB2354" s="115"/>
      <c r="CC2354" s="115"/>
      <c r="CD2354" s="115"/>
      <c r="CE2354" s="115"/>
      <c r="CF2354" s="115"/>
      <c r="CG2354" s="115"/>
      <c r="CH2354" s="115"/>
      <c r="CI2354" s="115"/>
      <c r="CJ2354" s="115"/>
      <c r="CK2354" s="115"/>
      <c r="CL2354" s="115"/>
      <c r="CM2354" s="115"/>
      <c r="CN2354" s="115"/>
      <c r="CO2354" s="115"/>
      <c r="CP2354" s="115"/>
      <c r="CQ2354" s="115"/>
      <c r="CR2354" s="115"/>
      <c r="CS2354" s="115"/>
      <c r="CT2354" s="115"/>
      <c r="CU2354" s="115"/>
      <c r="CV2354" s="115"/>
      <c r="CW2354" s="115"/>
      <c r="CX2354" s="115"/>
      <c r="CY2354" s="115"/>
      <c r="CZ2354" s="115"/>
      <c r="DA2354" s="115"/>
      <c r="DB2354" s="115"/>
      <c r="DC2354" s="115"/>
      <c r="DD2354" s="115"/>
      <c r="DE2354" s="115"/>
      <c r="DF2354" s="115"/>
      <c r="DG2354" s="115"/>
    </row>
    <row r="2355" spans="55:111" hidden="1">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c r="BY2355" s="115"/>
      <c r="BZ2355" s="115"/>
      <c r="CA2355" s="115"/>
      <c r="CB2355" s="115"/>
      <c r="CC2355" s="115"/>
      <c r="CD2355" s="115"/>
      <c r="CE2355" s="115"/>
      <c r="CF2355" s="115"/>
      <c r="CG2355" s="115"/>
      <c r="CH2355" s="115"/>
      <c r="CI2355" s="115"/>
      <c r="CJ2355" s="115"/>
      <c r="CK2355" s="115"/>
      <c r="CL2355" s="115"/>
      <c r="CM2355" s="115"/>
      <c r="CN2355" s="115"/>
      <c r="CO2355" s="115"/>
      <c r="CP2355" s="115"/>
      <c r="CQ2355" s="115"/>
      <c r="CR2355" s="115"/>
      <c r="CS2355" s="115"/>
      <c r="CT2355" s="115"/>
      <c r="CU2355" s="115"/>
      <c r="CV2355" s="115"/>
      <c r="CW2355" s="115"/>
      <c r="CX2355" s="115"/>
      <c r="CY2355" s="115"/>
      <c r="CZ2355" s="115"/>
      <c r="DA2355" s="115"/>
      <c r="DB2355" s="115"/>
      <c r="DC2355" s="115"/>
      <c r="DD2355" s="115"/>
      <c r="DE2355" s="115"/>
      <c r="DF2355" s="115"/>
      <c r="DG2355" s="115"/>
    </row>
    <row r="2356" spans="55:111" hidden="1">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c r="BY2356" s="115"/>
      <c r="BZ2356" s="115"/>
      <c r="CA2356" s="115"/>
      <c r="CB2356" s="115"/>
      <c r="CC2356" s="115"/>
      <c r="CD2356" s="115"/>
      <c r="CE2356" s="115"/>
      <c r="CF2356" s="115"/>
      <c r="CG2356" s="115"/>
      <c r="CH2356" s="115"/>
      <c r="CI2356" s="115"/>
      <c r="CJ2356" s="115"/>
      <c r="CK2356" s="115"/>
      <c r="CL2356" s="115"/>
      <c r="CM2356" s="115"/>
      <c r="CN2356" s="115"/>
      <c r="CO2356" s="115"/>
      <c r="CP2356" s="115"/>
      <c r="CQ2356" s="115"/>
      <c r="CR2356" s="115"/>
      <c r="CS2356" s="115"/>
      <c r="CT2356" s="115"/>
      <c r="CU2356" s="115"/>
      <c r="CV2356" s="115"/>
      <c r="CW2356" s="115"/>
      <c r="CX2356" s="115"/>
      <c r="CY2356" s="115"/>
      <c r="CZ2356" s="115"/>
      <c r="DA2356" s="115"/>
      <c r="DB2356" s="115"/>
      <c r="DC2356" s="115"/>
      <c r="DD2356" s="115"/>
      <c r="DE2356" s="115"/>
      <c r="DF2356" s="115"/>
      <c r="DG2356" s="115"/>
    </row>
    <row r="2357" spans="55:111" hidden="1">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c r="BY2357" s="115"/>
      <c r="BZ2357" s="115"/>
      <c r="CA2357" s="115"/>
      <c r="CB2357" s="115"/>
      <c r="CC2357" s="115"/>
      <c r="CD2357" s="115"/>
      <c r="CE2357" s="115"/>
      <c r="CF2357" s="115"/>
      <c r="CG2357" s="115"/>
      <c r="CH2357" s="115"/>
      <c r="CI2357" s="115"/>
      <c r="CJ2357" s="115"/>
      <c r="CK2357" s="115"/>
      <c r="CL2357" s="115"/>
      <c r="CM2357" s="115"/>
      <c r="CN2357" s="115"/>
      <c r="CO2357" s="115"/>
      <c r="CP2357" s="115"/>
      <c r="CQ2357" s="115"/>
      <c r="CR2357" s="115"/>
      <c r="CS2357" s="115"/>
      <c r="CT2357" s="115"/>
      <c r="CU2357" s="115"/>
      <c r="CV2357" s="115"/>
      <c r="CW2357" s="115"/>
      <c r="CX2357" s="115"/>
      <c r="CY2357" s="115"/>
      <c r="CZ2357" s="115"/>
      <c r="DA2357" s="115"/>
      <c r="DB2357" s="115"/>
      <c r="DC2357" s="115"/>
      <c r="DD2357" s="115"/>
      <c r="DE2357" s="115"/>
      <c r="DF2357" s="115"/>
      <c r="DG2357" s="115"/>
    </row>
    <row r="2358" spans="55:111" hidden="1">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c r="BY2358" s="115"/>
      <c r="BZ2358" s="115"/>
      <c r="CA2358" s="115"/>
      <c r="CB2358" s="115"/>
      <c r="CC2358" s="115"/>
      <c r="CD2358" s="115"/>
      <c r="CE2358" s="115"/>
      <c r="CF2358" s="115"/>
      <c r="CG2358" s="115"/>
      <c r="CH2358" s="115"/>
      <c r="CI2358" s="115"/>
      <c r="CJ2358" s="115"/>
      <c r="CK2358" s="115"/>
      <c r="CL2358" s="115"/>
      <c r="CM2358" s="115"/>
      <c r="CN2358" s="115"/>
      <c r="CO2358" s="115"/>
      <c r="CP2358" s="115"/>
      <c r="CQ2358" s="115"/>
      <c r="CR2358" s="115"/>
      <c r="CS2358" s="115"/>
      <c r="CT2358" s="115"/>
      <c r="CU2358" s="115"/>
      <c r="CV2358" s="115"/>
      <c r="CW2358" s="115"/>
      <c r="CX2358" s="115"/>
      <c r="CY2358" s="115"/>
      <c r="CZ2358" s="115"/>
      <c r="DA2358" s="115"/>
      <c r="DB2358" s="115"/>
      <c r="DC2358" s="115"/>
      <c r="DD2358" s="115"/>
      <c r="DE2358" s="115"/>
      <c r="DF2358" s="115"/>
      <c r="DG2358" s="115"/>
    </row>
    <row r="2359" spans="55:111" hidden="1">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c r="BY2359" s="115"/>
      <c r="BZ2359" s="115"/>
      <c r="CA2359" s="115"/>
      <c r="CB2359" s="115"/>
      <c r="CC2359" s="115"/>
      <c r="CD2359" s="115"/>
      <c r="CE2359" s="115"/>
      <c r="CF2359" s="115"/>
      <c r="CG2359" s="115"/>
      <c r="CH2359" s="115"/>
      <c r="CI2359" s="115"/>
      <c r="CJ2359" s="115"/>
      <c r="CK2359" s="115"/>
      <c r="CL2359" s="115"/>
      <c r="CM2359" s="115"/>
      <c r="CN2359" s="115"/>
      <c r="CO2359" s="115"/>
      <c r="CP2359" s="115"/>
      <c r="CQ2359" s="115"/>
      <c r="CR2359" s="115"/>
      <c r="CS2359" s="115"/>
      <c r="CT2359" s="115"/>
      <c r="CU2359" s="115"/>
      <c r="CV2359" s="115"/>
      <c r="CW2359" s="115"/>
      <c r="CX2359" s="115"/>
      <c r="CY2359" s="115"/>
      <c r="CZ2359" s="115"/>
      <c r="DA2359" s="115"/>
      <c r="DB2359" s="115"/>
      <c r="DC2359" s="115"/>
      <c r="DD2359" s="115"/>
      <c r="DE2359" s="115"/>
      <c r="DF2359" s="115"/>
      <c r="DG2359" s="115"/>
    </row>
    <row r="2360" spans="55:111" hidden="1">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c r="BY2360" s="115"/>
      <c r="BZ2360" s="115"/>
      <c r="CA2360" s="115"/>
      <c r="CB2360" s="115"/>
      <c r="CC2360" s="115"/>
      <c r="CD2360" s="115"/>
      <c r="CE2360" s="115"/>
      <c r="CF2360" s="115"/>
      <c r="CG2360" s="115"/>
      <c r="CH2360" s="115"/>
      <c r="CI2360" s="115"/>
      <c r="CJ2360" s="115"/>
      <c r="CK2360" s="115"/>
      <c r="CL2360" s="115"/>
      <c r="CM2360" s="115"/>
      <c r="CN2360" s="115"/>
      <c r="CO2360" s="115"/>
      <c r="CP2360" s="115"/>
      <c r="CQ2360" s="115"/>
      <c r="CR2360" s="115"/>
      <c r="CS2360" s="115"/>
      <c r="CT2360" s="115"/>
      <c r="CU2360" s="115"/>
      <c r="CV2360" s="115"/>
      <c r="CW2360" s="115"/>
      <c r="CX2360" s="115"/>
      <c r="CY2360" s="115"/>
      <c r="CZ2360" s="115"/>
      <c r="DA2360" s="115"/>
      <c r="DB2360" s="115"/>
      <c r="DC2360" s="115"/>
      <c r="DD2360" s="115"/>
      <c r="DE2360" s="115"/>
      <c r="DF2360" s="115"/>
      <c r="DG2360" s="115"/>
    </row>
    <row r="2361" spans="55:111" hidden="1">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c r="BY2361" s="115"/>
      <c r="BZ2361" s="115"/>
      <c r="CA2361" s="115"/>
      <c r="CB2361" s="115"/>
      <c r="CC2361" s="115"/>
      <c r="CD2361" s="115"/>
      <c r="CE2361" s="115"/>
      <c r="CF2361" s="115"/>
      <c r="CG2361" s="115"/>
      <c r="CH2361" s="115"/>
      <c r="CI2361" s="115"/>
      <c r="CJ2361" s="115"/>
      <c r="CK2361" s="115"/>
      <c r="CL2361" s="115"/>
      <c r="CM2361" s="115"/>
      <c r="CN2361" s="115"/>
      <c r="CO2361" s="115"/>
      <c r="CP2361" s="115"/>
      <c r="CQ2361" s="115"/>
      <c r="CR2361" s="115"/>
      <c r="CS2361" s="115"/>
      <c r="CT2361" s="115"/>
      <c r="CU2361" s="115"/>
      <c r="CV2361" s="115"/>
      <c r="CW2361" s="115"/>
      <c r="CX2361" s="115"/>
      <c r="CY2361" s="115"/>
      <c r="CZ2361" s="115"/>
      <c r="DA2361" s="115"/>
      <c r="DB2361" s="115"/>
      <c r="DC2361" s="115"/>
      <c r="DD2361" s="115"/>
      <c r="DE2361" s="115"/>
      <c r="DF2361" s="115"/>
      <c r="DG2361" s="115"/>
    </row>
    <row r="2362" spans="55:111" hidden="1">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c r="BY2362" s="115"/>
      <c r="BZ2362" s="115"/>
      <c r="CA2362" s="115"/>
      <c r="CB2362" s="115"/>
      <c r="CC2362" s="115"/>
      <c r="CD2362" s="115"/>
      <c r="CE2362" s="115"/>
      <c r="CF2362" s="115"/>
      <c r="CG2362" s="115"/>
      <c r="CH2362" s="115"/>
      <c r="CI2362" s="115"/>
      <c r="CJ2362" s="115"/>
      <c r="CK2362" s="115"/>
      <c r="CL2362" s="115"/>
      <c r="CM2362" s="115"/>
      <c r="CN2362" s="115"/>
      <c r="CO2362" s="115"/>
      <c r="CP2362" s="115"/>
      <c r="CQ2362" s="115"/>
      <c r="CR2362" s="115"/>
      <c r="CS2362" s="115"/>
      <c r="CT2362" s="115"/>
      <c r="CU2362" s="115"/>
      <c r="CV2362" s="115"/>
      <c r="CW2362" s="115"/>
      <c r="CX2362" s="115"/>
      <c r="CY2362" s="115"/>
      <c r="CZ2362" s="115"/>
      <c r="DA2362" s="115"/>
      <c r="DB2362" s="115"/>
      <c r="DC2362" s="115"/>
      <c r="DD2362" s="115"/>
      <c r="DE2362" s="115"/>
      <c r="DF2362" s="115"/>
      <c r="DG2362" s="115"/>
    </row>
    <row r="2363" spans="55:111" hidden="1">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c r="BY2363" s="115"/>
      <c r="BZ2363" s="115"/>
      <c r="CA2363" s="115"/>
      <c r="CB2363" s="115"/>
      <c r="CC2363" s="115"/>
      <c r="CD2363" s="115"/>
      <c r="CE2363" s="115"/>
      <c r="CF2363" s="115"/>
      <c r="CG2363" s="115"/>
      <c r="CH2363" s="115"/>
      <c r="CI2363" s="115"/>
      <c r="CJ2363" s="115"/>
      <c r="CK2363" s="115"/>
      <c r="CL2363" s="115"/>
      <c r="CM2363" s="115"/>
      <c r="CN2363" s="115"/>
      <c r="CO2363" s="115"/>
      <c r="CP2363" s="115"/>
      <c r="CQ2363" s="115"/>
      <c r="CR2363" s="115"/>
      <c r="CS2363" s="115"/>
      <c r="CT2363" s="115"/>
      <c r="CU2363" s="115"/>
      <c r="CV2363" s="115"/>
      <c r="CW2363" s="115"/>
      <c r="CX2363" s="115"/>
      <c r="CY2363" s="115"/>
      <c r="CZ2363" s="115"/>
      <c r="DA2363" s="115"/>
      <c r="DB2363" s="115"/>
      <c r="DC2363" s="115"/>
      <c r="DD2363" s="115"/>
      <c r="DE2363" s="115"/>
      <c r="DF2363" s="115"/>
      <c r="DG2363" s="115"/>
    </row>
    <row r="2364" spans="55:111" hidden="1">
      <c r="BC2364" s="115"/>
      <c r="BD2364" s="115"/>
      <c r="BE2364" s="115"/>
      <c r="BF2364" s="115"/>
      <c r="BG2364" s="115"/>
      <c r="BH2364" s="115"/>
      <c r="BI2364" s="115"/>
      <c r="BJ2364" s="115"/>
      <c r="BK2364" s="115"/>
      <c r="BL2364" s="115"/>
      <c r="BM2364" s="115"/>
      <c r="BN2364" s="115"/>
      <c r="BO2364" s="115"/>
      <c r="BP2364" s="115"/>
      <c r="BQ2364" s="115"/>
      <c r="BR2364" s="115"/>
      <c r="BS2364" s="115"/>
      <c r="BT2364" s="115"/>
      <c r="BU2364" s="115"/>
      <c r="BV2364" s="115"/>
      <c r="BW2364" s="115"/>
      <c r="BX2364" s="115"/>
      <c r="BY2364" s="115"/>
      <c r="BZ2364" s="115"/>
      <c r="CA2364" s="115"/>
      <c r="CB2364" s="115"/>
      <c r="CC2364" s="115"/>
      <c r="CD2364" s="115"/>
      <c r="CE2364" s="115"/>
      <c r="CF2364" s="115"/>
      <c r="CG2364" s="115"/>
      <c r="CH2364" s="115"/>
      <c r="CI2364" s="115"/>
      <c r="CJ2364" s="115"/>
      <c r="CK2364" s="115"/>
      <c r="CL2364" s="115"/>
      <c r="CM2364" s="115"/>
      <c r="CN2364" s="115"/>
      <c r="CO2364" s="115"/>
      <c r="CP2364" s="115"/>
      <c r="CQ2364" s="115"/>
      <c r="CR2364" s="115"/>
      <c r="CS2364" s="115"/>
      <c r="CT2364" s="115"/>
      <c r="CU2364" s="115"/>
      <c r="CV2364" s="115"/>
      <c r="CW2364" s="115"/>
      <c r="CX2364" s="115"/>
      <c r="CY2364" s="115"/>
      <c r="CZ2364" s="115"/>
      <c r="DA2364" s="115"/>
      <c r="DB2364" s="115"/>
      <c r="DC2364" s="115"/>
      <c r="DD2364" s="115"/>
      <c r="DE2364" s="115"/>
      <c r="DF2364" s="115"/>
      <c r="DG2364" s="115"/>
    </row>
    <row r="2365" spans="55:111" hidden="1">
      <c r="BC2365" s="115"/>
      <c r="BD2365" s="115"/>
      <c r="BE2365" s="115"/>
      <c r="BF2365" s="115"/>
      <c r="BG2365" s="115"/>
      <c r="BH2365" s="115"/>
      <c r="BI2365" s="115"/>
      <c r="BJ2365" s="115"/>
      <c r="BK2365" s="115"/>
      <c r="BL2365" s="115"/>
      <c r="BM2365" s="115"/>
      <c r="BN2365" s="115"/>
      <c r="BO2365" s="115"/>
      <c r="BP2365" s="115"/>
      <c r="BQ2365" s="115"/>
      <c r="BR2365" s="115"/>
      <c r="BS2365" s="115"/>
      <c r="BT2365" s="115"/>
      <c r="BU2365" s="115"/>
      <c r="BV2365" s="115"/>
      <c r="BW2365" s="115"/>
      <c r="BX2365" s="115"/>
      <c r="BY2365" s="115"/>
      <c r="BZ2365" s="115"/>
      <c r="CA2365" s="115"/>
      <c r="CB2365" s="115"/>
      <c r="CC2365" s="115"/>
      <c r="CD2365" s="115"/>
      <c r="CE2365" s="115"/>
      <c r="CF2365" s="115"/>
      <c r="CG2365" s="115"/>
      <c r="CH2365" s="115"/>
      <c r="CI2365" s="115"/>
      <c r="CJ2365" s="115"/>
      <c r="CK2365" s="115"/>
      <c r="CL2365" s="115"/>
      <c r="CM2365" s="115"/>
      <c r="CN2365" s="115"/>
      <c r="CO2365" s="115"/>
      <c r="CP2365" s="115"/>
      <c r="CQ2365" s="115"/>
      <c r="CR2365" s="115"/>
      <c r="CS2365" s="115"/>
      <c r="CT2365" s="115"/>
      <c r="CU2365" s="115"/>
      <c r="CV2365" s="115"/>
      <c r="CW2365" s="115"/>
      <c r="CX2365" s="115"/>
      <c r="CY2365" s="115"/>
      <c r="CZ2365" s="115"/>
      <c r="DA2365" s="115"/>
      <c r="DB2365" s="115"/>
      <c r="DC2365" s="115"/>
      <c r="DD2365" s="115"/>
      <c r="DE2365" s="115"/>
      <c r="DF2365" s="115"/>
      <c r="DG2365" s="115"/>
    </row>
    <row r="2366" spans="55:111" hidden="1">
      <c r="BC2366" s="115"/>
      <c r="BD2366" s="115"/>
      <c r="BE2366" s="115"/>
      <c r="BF2366" s="115"/>
      <c r="BG2366" s="115"/>
      <c r="BH2366" s="115"/>
      <c r="BI2366" s="115"/>
      <c r="BJ2366" s="115"/>
      <c r="BK2366" s="115"/>
      <c r="BL2366" s="115"/>
      <c r="BM2366" s="115"/>
      <c r="BN2366" s="115"/>
      <c r="BO2366" s="115"/>
      <c r="BP2366" s="115"/>
      <c r="BQ2366" s="115"/>
      <c r="BR2366" s="115"/>
      <c r="BS2366" s="115"/>
      <c r="BT2366" s="115"/>
      <c r="BU2366" s="115"/>
      <c r="BV2366" s="115"/>
      <c r="BW2366" s="115"/>
      <c r="BX2366" s="115"/>
      <c r="BY2366" s="115"/>
      <c r="BZ2366" s="115"/>
      <c r="CA2366" s="115"/>
      <c r="CB2366" s="115"/>
      <c r="CC2366" s="115"/>
      <c r="CD2366" s="115"/>
      <c r="CE2366" s="115"/>
      <c r="CF2366" s="115"/>
      <c r="CG2366" s="115"/>
      <c r="CH2366" s="115"/>
      <c r="CI2366" s="115"/>
      <c r="CJ2366" s="115"/>
      <c r="CK2366" s="115"/>
      <c r="CL2366" s="115"/>
      <c r="CM2366" s="115"/>
      <c r="CN2366" s="115"/>
      <c r="CO2366" s="115"/>
      <c r="CP2366" s="115"/>
      <c r="CQ2366" s="115"/>
      <c r="CR2366" s="115"/>
      <c r="CS2366" s="115"/>
      <c r="CT2366" s="115"/>
      <c r="CU2366" s="115"/>
      <c r="CV2366" s="115"/>
      <c r="CW2366" s="115"/>
      <c r="CX2366" s="115"/>
      <c r="CY2366" s="115"/>
      <c r="CZ2366" s="115"/>
      <c r="DA2366" s="115"/>
      <c r="DB2366" s="115"/>
      <c r="DC2366" s="115"/>
      <c r="DD2366" s="115"/>
      <c r="DE2366" s="115"/>
      <c r="DF2366" s="115"/>
      <c r="DG2366" s="115"/>
    </row>
    <row r="2367" spans="55:111" hidden="1">
      <c r="BC2367" s="115"/>
      <c r="BD2367" s="115"/>
      <c r="BE2367" s="115"/>
      <c r="BF2367" s="115"/>
      <c r="BG2367" s="115"/>
      <c r="BH2367" s="115"/>
      <c r="BI2367" s="115"/>
      <c r="BJ2367" s="115"/>
      <c r="BK2367" s="115"/>
      <c r="BL2367" s="115"/>
      <c r="BM2367" s="115"/>
      <c r="BN2367" s="115"/>
      <c r="BO2367" s="115"/>
      <c r="BP2367" s="115"/>
      <c r="BQ2367" s="115"/>
      <c r="BR2367" s="115"/>
      <c r="BS2367" s="115"/>
      <c r="BT2367" s="115"/>
      <c r="BU2367" s="115"/>
      <c r="BV2367" s="115"/>
      <c r="BW2367" s="115"/>
      <c r="BX2367" s="115"/>
      <c r="BY2367" s="115"/>
      <c r="BZ2367" s="115"/>
      <c r="CA2367" s="115"/>
      <c r="CB2367" s="115"/>
      <c r="CC2367" s="115"/>
      <c r="CD2367" s="115"/>
      <c r="CE2367" s="115"/>
      <c r="CF2367" s="115"/>
      <c r="CG2367" s="115"/>
      <c r="CH2367" s="115"/>
      <c r="CI2367" s="115"/>
      <c r="CJ2367" s="115"/>
      <c r="CK2367" s="115"/>
      <c r="CL2367" s="115"/>
      <c r="CM2367" s="115"/>
      <c r="CN2367" s="115"/>
      <c r="CO2367" s="115"/>
      <c r="CP2367" s="115"/>
      <c r="CQ2367" s="115"/>
      <c r="CR2367" s="115"/>
      <c r="CS2367" s="115"/>
      <c r="CT2367" s="115"/>
      <c r="CU2367" s="115"/>
      <c r="CV2367" s="115"/>
      <c r="CW2367" s="115"/>
      <c r="CX2367" s="115"/>
      <c r="CY2367" s="115"/>
      <c r="CZ2367" s="115"/>
      <c r="DA2367" s="115"/>
      <c r="DB2367" s="115"/>
      <c r="DC2367" s="115"/>
      <c r="DD2367" s="115"/>
      <c r="DE2367" s="115"/>
      <c r="DF2367" s="115"/>
      <c r="DG2367" s="115"/>
    </row>
    <row r="2368" spans="55:111" hidden="1">
      <c r="BC2368" s="115"/>
      <c r="BD2368" s="115"/>
      <c r="BE2368" s="115"/>
      <c r="BF2368" s="115"/>
      <c r="BG2368" s="115"/>
      <c r="BH2368" s="115"/>
      <c r="BI2368" s="115"/>
      <c r="BJ2368" s="115"/>
      <c r="BK2368" s="115"/>
      <c r="BL2368" s="115"/>
      <c r="BM2368" s="115"/>
      <c r="BN2368" s="115"/>
      <c r="BO2368" s="115"/>
      <c r="BP2368" s="115"/>
      <c r="BQ2368" s="115"/>
      <c r="BR2368" s="115"/>
      <c r="BS2368" s="115"/>
      <c r="BT2368" s="115"/>
      <c r="BU2368" s="115"/>
      <c r="BV2368" s="115"/>
      <c r="BW2368" s="115"/>
      <c r="BX2368" s="115"/>
      <c r="BY2368" s="115"/>
      <c r="BZ2368" s="115"/>
      <c r="CA2368" s="115"/>
      <c r="CB2368" s="115"/>
      <c r="CC2368" s="115"/>
      <c r="CD2368" s="115"/>
      <c r="CE2368" s="115"/>
      <c r="CF2368" s="115"/>
      <c r="CG2368" s="115"/>
      <c r="CH2368" s="115"/>
      <c r="CI2368" s="115"/>
      <c r="CJ2368" s="115"/>
      <c r="CK2368" s="115"/>
      <c r="CL2368" s="115"/>
      <c r="CM2368" s="115"/>
      <c r="CN2368" s="115"/>
      <c r="CO2368" s="115"/>
      <c r="CP2368" s="115"/>
      <c r="CQ2368" s="115"/>
      <c r="CR2368" s="115"/>
      <c r="CS2368" s="115"/>
      <c r="CT2368" s="115"/>
      <c r="CU2368" s="115"/>
      <c r="CV2368" s="115"/>
      <c r="CW2368" s="115"/>
      <c r="CX2368" s="115"/>
      <c r="CY2368" s="115"/>
      <c r="CZ2368" s="115"/>
      <c r="DA2368" s="115"/>
      <c r="DB2368" s="115"/>
      <c r="DC2368" s="115"/>
      <c r="DD2368" s="115"/>
      <c r="DE2368" s="115"/>
      <c r="DF2368" s="115"/>
      <c r="DG2368" s="115"/>
    </row>
    <row r="2369" spans="55:111" hidden="1">
      <c r="BC2369" s="115"/>
      <c r="BD2369" s="115"/>
      <c r="BE2369" s="115"/>
      <c r="BF2369" s="115"/>
      <c r="BG2369" s="115"/>
      <c r="BH2369" s="115"/>
      <c r="BI2369" s="115"/>
      <c r="BJ2369" s="115"/>
      <c r="BK2369" s="115"/>
      <c r="BL2369" s="115"/>
      <c r="BM2369" s="115"/>
      <c r="BN2369" s="115"/>
      <c r="BO2369" s="115"/>
      <c r="BP2369" s="115"/>
      <c r="BQ2369" s="115"/>
      <c r="BR2369" s="115"/>
      <c r="BS2369" s="115"/>
      <c r="BT2369" s="115"/>
      <c r="BU2369" s="115"/>
      <c r="BV2369" s="115"/>
      <c r="BW2369" s="115"/>
      <c r="BX2369" s="115"/>
      <c r="BY2369" s="115"/>
      <c r="BZ2369" s="115"/>
      <c r="CA2369" s="115"/>
      <c r="CB2369" s="115"/>
      <c r="CC2369" s="115"/>
      <c r="CD2369" s="115"/>
      <c r="CE2369" s="115"/>
      <c r="CF2369" s="115"/>
      <c r="CG2369" s="115"/>
      <c r="CH2369" s="115"/>
      <c r="CI2369" s="115"/>
      <c r="CJ2369" s="115"/>
      <c r="CK2369" s="115"/>
      <c r="CL2369" s="115"/>
      <c r="CM2369" s="115"/>
      <c r="CN2369" s="115"/>
      <c r="CO2369" s="115"/>
      <c r="CP2369" s="115"/>
      <c r="CQ2369" s="115"/>
      <c r="CR2369" s="115"/>
      <c r="CS2369" s="115"/>
      <c r="CT2369" s="115"/>
      <c r="CU2369" s="115"/>
      <c r="CV2369" s="115"/>
      <c r="CW2369" s="115"/>
      <c r="CX2369" s="115"/>
      <c r="CY2369" s="115"/>
      <c r="CZ2369" s="115"/>
      <c r="DA2369" s="115"/>
      <c r="DB2369" s="115"/>
      <c r="DC2369" s="115"/>
      <c r="DD2369" s="115"/>
      <c r="DE2369" s="115"/>
      <c r="DF2369" s="115"/>
      <c r="DG2369" s="115"/>
    </row>
    <row r="2370" spans="55:111" hidden="1">
      <c r="BC2370" s="115"/>
      <c r="BD2370" s="115"/>
      <c r="BE2370" s="115"/>
      <c r="BF2370" s="115"/>
      <c r="BG2370" s="115"/>
      <c r="BH2370" s="115"/>
      <c r="BI2370" s="115"/>
      <c r="BJ2370" s="115"/>
      <c r="BK2370" s="115"/>
      <c r="BL2370" s="115"/>
      <c r="BM2370" s="115"/>
      <c r="BN2370" s="115"/>
      <c r="BO2370" s="115"/>
      <c r="BP2370" s="115"/>
      <c r="BQ2370" s="115"/>
      <c r="BR2370" s="115"/>
      <c r="BS2370" s="115"/>
      <c r="BT2370" s="115"/>
      <c r="BU2370" s="115"/>
      <c r="BV2370" s="115"/>
      <c r="BW2370" s="115"/>
      <c r="BX2370" s="115"/>
      <c r="BY2370" s="115"/>
      <c r="BZ2370" s="115"/>
      <c r="CA2370" s="115"/>
      <c r="CB2370" s="115"/>
      <c r="CC2370" s="115"/>
      <c r="CD2370" s="115"/>
      <c r="CE2370" s="115"/>
      <c r="CF2370" s="115"/>
      <c r="CG2370" s="115"/>
      <c r="CH2370" s="115"/>
      <c r="CI2370" s="115"/>
      <c r="CJ2370" s="115"/>
      <c r="CK2370" s="115"/>
      <c r="CL2370" s="115"/>
      <c r="CM2370" s="115"/>
      <c r="CN2370" s="115"/>
      <c r="CO2370" s="115"/>
      <c r="CP2370" s="115"/>
      <c r="CQ2370" s="115"/>
      <c r="CR2370" s="115"/>
      <c r="CS2370" s="115"/>
      <c r="CT2370" s="115"/>
      <c r="CU2370" s="115"/>
      <c r="CV2370" s="115"/>
      <c r="CW2370" s="115"/>
      <c r="CX2370" s="115"/>
      <c r="CY2370" s="115"/>
      <c r="CZ2370" s="115"/>
      <c r="DA2370" s="115"/>
      <c r="DB2370" s="115"/>
      <c r="DC2370" s="115"/>
      <c r="DD2370" s="115"/>
      <c r="DE2370" s="115"/>
      <c r="DF2370" s="115"/>
      <c r="DG2370" s="115"/>
    </row>
    <row r="2371" spans="55:111" hidden="1">
      <c r="BC2371" s="115"/>
      <c r="BD2371" s="115"/>
      <c r="BE2371" s="115"/>
      <c r="BF2371" s="115"/>
      <c r="BG2371" s="115"/>
      <c r="BH2371" s="115"/>
      <c r="BI2371" s="115"/>
      <c r="BJ2371" s="115"/>
      <c r="BK2371" s="115"/>
      <c r="BL2371" s="115"/>
      <c r="BM2371" s="115"/>
      <c r="BN2371" s="115"/>
      <c r="BO2371" s="115"/>
      <c r="BP2371" s="115"/>
      <c r="BQ2371" s="115"/>
      <c r="BR2371" s="115"/>
      <c r="BS2371" s="115"/>
      <c r="BT2371" s="115"/>
      <c r="BU2371" s="115"/>
      <c r="BV2371" s="115"/>
      <c r="BW2371" s="115"/>
      <c r="BX2371" s="115"/>
      <c r="BY2371" s="115"/>
      <c r="BZ2371" s="115"/>
      <c r="CA2371" s="115"/>
      <c r="CB2371" s="115"/>
      <c r="CC2371" s="115"/>
      <c r="CD2371" s="115"/>
      <c r="CE2371" s="115"/>
      <c r="CF2371" s="115"/>
      <c r="CG2371" s="115"/>
      <c r="CH2371" s="115"/>
      <c r="CI2371" s="115"/>
      <c r="CJ2371" s="115"/>
      <c r="CK2371" s="115"/>
      <c r="CL2371" s="115"/>
      <c r="CM2371" s="115"/>
      <c r="CN2371" s="115"/>
      <c r="CO2371" s="115"/>
      <c r="CP2371" s="115"/>
      <c r="CQ2371" s="115"/>
      <c r="CR2371" s="115"/>
      <c r="CS2371" s="115"/>
      <c r="CT2371" s="115"/>
      <c r="CU2371" s="115"/>
      <c r="CV2371" s="115"/>
      <c r="CW2371" s="115"/>
      <c r="CX2371" s="115"/>
      <c r="CY2371" s="115"/>
      <c r="CZ2371" s="115"/>
      <c r="DA2371" s="115"/>
      <c r="DB2371" s="115"/>
      <c r="DC2371" s="115"/>
      <c r="DD2371" s="115"/>
      <c r="DE2371" s="115"/>
      <c r="DF2371" s="115"/>
      <c r="DG2371" s="115"/>
    </row>
    <row r="2372" spans="55:111" hidden="1">
      <c r="BC2372" s="115"/>
      <c r="BD2372" s="115"/>
      <c r="BE2372" s="115"/>
      <c r="BF2372" s="115"/>
      <c r="BG2372" s="115"/>
      <c r="BH2372" s="115"/>
      <c r="BI2372" s="115"/>
      <c r="BJ2372" s="115"/>
      <c r="BK2372" s="115"/>
      <c r="BL2372" s="115"/>
      <c r="BM2372" s="115"/>
      <c r="BN2372" s="115"/>
      <c r="BO2372" s="115"/>
      <c r="BP2372" s="115"/>
      <c r="BQ2372" s="115"/>
      <c r="BR2372" s="115"/>
      <c r="BS2372" s="115"/>
      <c r="BT2372" s="115"/>
      <c r="BU2372" s="115"/>
      <c r="BV2372" s="115"/>
      <c r="BW2372" s="115"/>
      <c r="BX2372" s="115"/>
      <c r="BY2372" s="115"/>
      <c r="BZ2372" s="115"/>
      <c r="CA2372" s="115"/>
      <c r="CB2372" s="115"/>
      <c r="CC2372" s="115"/>
      <c r="CD2372" s="115"/>
      <c r="CE2372" s="115"/>
      <c r="CF2372" s="115"/>
      <c r="CG2372" s="115"/>
      <c r="CH2372" s="115"/>
      <c r="CI2372" s="115"/>
      <c r="CJ2372" s="115"/>
      <c r="CK2372" s="115"/>
      <c r="CL2372" s="115"/>
      <c r="CM2372" s="115"/>
      <c r="CN2372" s="115"/>
      <c r="CO2372" s="115"/>
      <c r="CP2372" s="115"/>
      <c r="CQ2372" s="115"/>
      <c r="CR2372" s="115"/>
      <c r="CS2372" s="115"/>
      <c r="CT2372" s="115"/>
      <c r="CU2372" s="115"/>
      <c r="CV2372" s="115"/>
      <c r="CW2372" s="115"/>
      <c r="CX2372" s="115"/>
      <c r="CY2372" s="115"/>
      <c r="CZ2372" s="115"/>
      <c r="DA2372" s="115"/>
      <c r="DB2372" s="115"/>
      <c r="DC2372" s="115"/>
      <c r="DD2372" s="115"/>
      <c r="DE2372" s="115"/>
      <c r="DF2372" s="115"/>
      <c r="DG2372" s="115"/>
    </row>
    <row r="2373" spans="55:111" hidden="1">
      <c r="BC2373" s="115"/>
      <c r="BD2373" s="115"/>
      <c r="BE2373" s="115"/>
      <c r="BF2373" s="115"/>
      <c r="BG2373" s="115"/>
      <c r="BH2373" s="115"/>
      <c r="BI2373" s="115"/>
      <c r="BJ2373" s="115"/>
      <c r="BK2373" s="115"/>
      <c r="BL2373" s="115"/>
      <c r="BM2373" s="115"/>
      <c r="BN2373" s="115"/>
      <c r="BO2373" s="115"/>
      <c r="BP2373" s="115"/>
      <c r="BQ2373" s="115"/>
      <c r="BR2373" s="115"/>
      <c r="BS2373" s="115"/>
      <c r="BT2373" s="115"/>
      <c r="BU2373" s="115"/>
      <c r="BV2373" s="115"/>
      <c r="BW2373" s="115"/>
      <c r="BX2373" s="115"/>
      <c r="BY2373" s="115"/>
      <c r="BZ2373" s="115"/>
      <c r="CA2373" s="115"/>
      <c r="CB2373" s="115"/>
      <c r="CC2373" s="115"/>
      <c r="CD2373" s="115"/>
      <c r="CE2373" s="115"/>
      <c r="CF2373" s="115"/>
      <c r="CG2373" s="115"/>
      <c r="CH2373" s="115"/>
      <c r="CI2373" s="115"/>
      <c r="CJ2373" s="115"/>
      <c r="CK2373" s="115"/>
      <c r="CL2373" s="115"/>
      <c r="CM2373" s="115"/>
      <c r="CN2373" s="115"/>
      <c r="CO2373" s="115"/>
      <c r="CP2373" s="115"/>
      <c r="CQ2373" s="115"/>
      <c r="CR2373" s="115"/>
      <c r="CS2373" s="115"/>
      <c r="CT2373" s="115"/>
      <c r="CU2373" s="115"/>
      <c r="CV2373" s="115"/>
      <c r="CW2373" s="115"/>
      <c r="CX2373" s="115"/>
      <c r="CY2373" s="115"/>
      <c r="CZ2373" s="115"/>
      <c r="DA2373" s="115"/>
      <c r="DB2373" s="115"/>
      <c r="DC2373" s="115"/>
      <c r="DD2373" s="115"/>
      <c r="DE2373" s="115"/>
      <c r="DF2373" s="115"/>
      <c r="DG2373" s="115"/>
    </row>
    <row r="2374" spans="55:111" hidden="1">
      <c r="BC2374" s="115"/>
      <c r="BD2374" s="115"/>
      <c r="BE2374" s="115"/>
      <c r="BF2374" s="115"/>
      <c r="BG2374" s="115"/>
      <c r="BH2374" s="115"/>
      <c r="BI2374" s="115"/>
      <c r="BJ2374" s="115"/>
      <c r="BK2374" s="115"/>
      <c r="BL2374" s="115"/>
      <c r="BM2374" s="115"/>
      <c r="BN2374" s="115"/>
      <c r="BO2374" s="115"/>
      <c r="BP2374" s="115"/>
      <c r="BQ2374" s="115"/>
      <c r="BR2374" s="115"/>
      <c r="BS2374" s="115"/>
      <c r="BT2374" s="115"/>
      <c r="BU2374" s="115"/>
      <c r="BV2374" s="115"/>
      <c r="BW2374" s="115"/>
      <c r="BX2374" s="115"/>
      <c r="BY2374" s="115"/>
      <c r="BZ2374" s="115"/>
      <c r="CA2374" s="115"/>
      <c r="CB2374" s="115"/>
      <c r="CC2374" s="115"/>
      <c r="CD2374" s="115"/>
      <c r="CE2374" s="115"/>
      <c r="CF2374" s="115"/>
      <c r="CG2374" s="115"/>
      <c r="CH2374" s="115"/>
      <c r="CI2374" s="115"/>
      <c r="CJ2374" s="115"/>
      <c r="CK2374" s="115"/>
      <c r="CL2374" s="115"/>
      <c r="CM2374" s="115"/>
      <c r="CN2374" s="115"/>
      <c r="CO2374" s="115"/>
      <c r="CP2374" s="115"/>
      <c r="CQ2374" s="115"/>
      <c r="CR2374" s="115"/>
      <c r="CS2374" s="115"/>
      <c r="CT2374" s="115"/>
      <c r="CU2374" s="115"/>
      <c r="CV2374" s="115"/>
      <c r="CW2374" s="115"/>
      <c r="CX2374" s="115"/>
      <c r="CY2374" s="115"/>
      <c r="CZ2374" s="115"/>
      <c r="DA2374" s="115"/>
      <c r="DB2374" s="115"/>
      <c r="DC2374" s="115"/>
      <c r="DD2374" s="115"/>
      <c r="DE2374" s="115"/>
      <c r="DF2374" s="115"/>
      <c r="DG2374" s="115"/>
    </row>
    <row r="2375" spans="55:111" hidden="1">
      <c r="BC2375" s="115"/>
      <c r="BD2375" s="115"/>
      <c r="BE2375" s="115"/>
      <c r="BF2375" s="115"/>
      <c r="BG2375" s="115"/>
      <c r="BH2375" s="115"/>
      <c r="BI2375" s="115"/>
      <c r="BJ2375" s="115"/>
      <c r="BK2375" s="115"/>
      <c r="BL2375" s="115"/>
      <c r="BM2375" s="115"/>
      <c r="BN2375" s="115"/>
      <c r="BO2375" s="115"/>
      <c r="BP2375" s="115"/>
      <c r="BQ2375" s="115"/>
      <c r="BR2375" s="115"/>
      <c r="BS2375" s="115"/>
      <c r="BT2375" s="115"/>
      <c r="BU2375" s="115"/>
      <c r="BV2375" s="115"/>
      <c r="BW2375" s="115"/>
      <c r="BX2375" s="115"/>
      <c r="BY2375" s="115"/>
      <c r="BZ2375" s="115"/>
      <c r="CA2375" s="115"/>
      <c r="CB2375" s="115"/>
      <c r="CC2375" s="115"/>
      <c r="CD2375" s="115"/>
      <c r="CE2375" s="115"/>
      <c r="CF2375" s="115"/>
      <c r="CG2375" s="115"/>
      <c r="CH2375" s="115"/>
      <c r="CI2375" s="115"/>
      <c r="CJ2375" s="115"/>
      <c r="CK2375" s="115"/>
      <c r="CL2375" s="115"/>
      <c r="CM2375" s="115"/>
      <c r="CN2375" s="115"/>
      <c r="CO2375" s="115"/>
      <c r="CP2375" s="115"/>
      <c r="CQ2375" s="115"/>
      <c r="CR2375" s="115"/>
      <c r="CS2375" s="115"/>
      <c r="CT2375" s="115"/>
      <c r="CU2375" s="115"/>
      <c r="CV2375" s="115"/>
      <c r="CW2375" s="115"/>
      <c r="CX2375" s="115"/>
      <c r="CY2375" s="115"/>
      <c r="CZ2375" s="115"/>
      <c r="DA2375" s="115"/>
      <c r="DB2375" s="115"/>
      <c r="DC2375" s="115"/>
      <c r="DD2375" s="115"/>
      <c r="DE2375" s="115"/>
      <c r="DF2375" s="115"/>
      <c r="DG2375" s="115"/>
    </row>
    <row r="2376" spans="55:111" hidden="1">
      <c r="BC2376" s="115"/>
      <c r="BD2376" s="115"/>
      <c r="BE2376" s="115"/>
      <c r="BF2376" s="115"/>
      <c r="BG2376" s="115"/>
      <c r="BH2376" s="115"/>
      <c r="BI2376" s="115"/>
      <c r="BJ2376" s="115"/>
      <c r="BK2376" s="115"/>
      <c r="BL2376" s="115"/>
      <c r="BM2376" s="115"/>
      <c r="BN2376" s="115"/>
      <c r="BO2376" s="115"/>
      <c r="BP2376" s="115"/>
      <c r="BQ2376" s="115"/>
      <c r="BR2376" s="115"/>
      <c r="BS2376" s="115"/>
      <c r="BT2376" s="115"/>
      <c r="BU2376" s="115"/>
      <c r="BV2376" s="115"/>
      <c r="BW2376" s="115"/>
      <c r="BX2376" s="115"/>
      <c r="BY2376" s="115"/>
      <c r="BZ2376" s="115"/>
      <c r="CA2376" s="115"/>
      <c r="CB2376" s="115"/>
      <c r="CC2376" s="115"/>
      <c r="CD2376" s="115"/>
      <c r="CE2376" s="115"/>
      <c r="CF2376" s="115"/>
      <c r="CG2376" s="115"/>
      <c r="CH2376" s="115"/>
      <c r="CI2376" s="115"/>
      <c r="CJ2376" s="115"/>
      <c r="CK2376" s="115"/>
      <c r="CL2376" s="115"/>
      <c r="CM2376" s="115"/>
      <c r="CN2376" s="115"/>
      <c r="CO2376" s="115"/>
      <c r="CP2376" s="115"/>
      <c r="CQ2376" s="115"/>
      <c r="CR2376" s="115"/>
      <c r="CS2376" s="115"/>
      <c r="CT2376" s="115"/>
      <c r="CU2376" s="115"/>
      <c r="CV2376" s="115"/>
      <c r="CW2376" s="115"/>
      <c r="CX2376" s="115"/>
      <c r="CY2376" s="115"/>
      <c r="CZ2376" s="115"/>
      <c r="DA2376" s="115"/>
      <c r="DB2376" s="115"/>
      <c r="DC2376" s="115"/>
      <c r="DD2376" s="115"/>
      <c r="DE2376" s="115"/>
      <c r="DF2376" s="115"/>
      <c r="DG2376" s="115"/>
    </row>
    <row r="2377" spans="55:111" hidden="1">
      <c r="BC2377" s="115"/>
      <c r="BD2377" s="115"/>
      <c r="BE2377" s="115"/>
      <c r="BF2377" s="115"/>
      <c r="BG2377" s="115"/>
      <c r="BH2377" s="115"/>
      <c r="BI2377" s="115"/>
      <c r="BJ2377" s="115"/>
      <c r="BK2377" s="115"/>
      <c r="BL2377" s="115"/>
      <c r="BM2377" s="115"/>
      <c r="BN2377" s="115"/>
      <c r="BO2377" s="115"/>
      <c r="BP2377" s="115"/>
      <c r="BQ2377" s="115"/>
      <c r="BR2377" s="115"/>
      <c r="BS2377" s="115"/>
      <c r="BT2377" s="115"/>
      <c r="BU2377" s="115"/>
      <c r="BV2377" s="115"/>
      <c r="BW2377" s="115"/>
      <c r="BX2377" s="115"/>
      <c r="BY2377" s="115"/>
      <c r="BZ2377" s="115"/>
      <c r="CA2377" s="115"/>
      <c r="CB2377" s="115"/>
      <c r="CC2377" s="115"/>
      <c r="CD2377" s="115"/>
      <c r="CE2377" s="115"/>
      <c r="CF2377" s="115"/>
      <c r="CG2377" s="115"/>
      <c r="CH2377" s="115"/>
      <c r="CI2377" s="115"/>
      <c r="CJ2377" s="115"/>
      <c r="CK2377" s="115"/>
      <c r="CL2377" s="115"/>
      <c r="CM2377" s="115"/>
      <c r="CN2377" s="115"/>
      <c r="CO2377" s="115"/>
      <c r="CP2377" s="115"/>
      <c r="CQ2377" s="115"/>
      <c r="CR2377" s="115"/>
      <c r="CS2377" s="115"/>
      <c r="CT2377" s="115"/>
      <c r="CU2377" s="115"/>
      <c r="CV2377" s="115"/>
      <c r="CW2377" s="115"/>
      <c r="CX2377" s="115"/>
      <c r="CY2377" s="115"/>
      <c r="CZ2377" s="115"/>
      <c r="DA2377" s="115"/>
      <c r="DB2377" s="115"/>
      <c r="DC2377" s="115"/>
      <c r="DD2377" s="115"/>
      <c r="DE2377" s="115"/>
      <c r="DF2377" s="115"/>
      <c r="DG2377" s="115"/>
    </row>
    <row r="2378" spans="55:111" hidden="1">
      <c r="BC2378" s="115"/>
      <c r="BD2378" s="115"/>
      <c r="BE2378" s="115"/>
      <c r="BF2378" s="115"/>
      <c r="BG2378" s="115"/>
      <c r="BH2378" s="115"/>
      <c r="BI2378" s="115"/>
      <c r="BJ2378" s="115"/>
      <c r="BK2378" s="115"/>
      <c r="BL2378" s="115"/>
      <c r="BM2378" s="115"/>
      <c r="BN2378" s="115"/>
      <c r="BO2378" s="115"/>
      <c r="BP2378" s="115"/>
      <c r="BQ2378" s="115"/>
      <c r="BR2378" s="115"/>
      <c r="BS2378" s="115"/>
      <c r="BT2378" s="115"/>
      <c r="BU2378" s="115"/>
      <c r="BV2378" s="115"/>
      <c r="BW2378" s="115"/>
      <c r="BX2378" s="115"/>
      <c r="BY2378" s="115"/>
      <c r="BZ2378" s="115"/>
      <c r="CA2378" s="115"/>
      <c r="CB2378" s="115"/>
      <c r="CC2378" s="115"/>
      <c r="CD2378" s="115"/>
      <c r="CE2378" s="115"/>
      <c r="CF2378" s="115"/>
      <c r="CG2378" s="115"/>
      <c r="CH2378" s="115"/>
      <c r="CI2378" s="115"/>
      <c r="CJ2378" s="115"/>
      <c r="CK2378" s="115"/>
      <c r="CL2378" s="115"/>
      <c r="CM2378" s="115"/>
      <c r="CN2378" s="115"/>
      <c r="CO2378" s="115"/>
      <c r="CP2378" s="115"/>
      <c r="CQ2378" s="115"/>
      <c r="CR2378" s="115"/>
      <c r="CS2378" s="115"/>
      <c r="CT2378" s="115"/>
      <c r="CU2378" s="115"/>
      <c r="CV2378" s="115"/>
      <c r="CW2378" s="115"/>
      <c r="CX2378" s="115"/>
      <c r="CY2378" s="115"/>
      <c r="CZ2378" s="115"/>
      <c r="DA2378" s="115"/>
      <c r="DB2378" s="115"/>
      <c r="DC2378" s="115"/>
      <c r="DD2378" s="115"/>
      <c r="DE2378" s="115"/>
      <c r="DF2378" s="115"/>
      <c r="DG2378" s="115"/>
    </row>
    <row r="2379" spans="55:111" hidden="1">
      <c r="BC2379" s="115"/>
      <c r="BD2379" s="115"/>
      <c r="BE2379" s="115"/>
      <c r="BF2379" s="115"/>
      <c r="BG2379" s="115"/>
      <c r="BH2379" s="115"/>
      <c r="BI2379" s="115"/>
      <c r="BJ2379" s="115"/>
      <c r="BK2379" s="115"/>
      <c r="BL2379" s="115"/>
      <c r="BM2379" s="115"/>
      <c r="BN2379" s="115"/>
      <c r="BO2379" s="115"/>
      <c r="BP2379" s="115"/>
      <c r="BQ2379" s="115"/>
      <c r="BR2379" s="115"/>
      <c r="BS2379" s="115"/>
      <c r="BT2379" s="115"/>
      <c r="BU2379" s="115"/>
      <c r="BV2379" s="115"/>
      <c r="BW2379" s="115"/>
      <c r="BX2379" s="115"/>
      <c r="BY2379" s="115"/>
      <c r="BZ2379" s="115"/>
      <c r="CA2379" s="115"/>
      <c r="CB2379" s="115"/>
      <c r="CC2379" s="115"/>
      <c r="CD2379" s="115"/>
      <c r="CE2379" s="115"/>
      <c r="CF2379" s="115"/>
      <c r="CG2379" s="115"/>
      <c r="CH2379" s="115"/>
      <c r="CI2379" s="115"/>
      <c r="CJ2379" s="115"/>
      <c r="CK2379" s="115"/>
      <c r="CL2379" s="115"/>
      <c r="CM2379" s="115"/>
      <c r="CN2379" s="115"/>
      <c r="CO2379" s="115"/>
      <c r="CP2379" s="115"/>
      <c r="CQ2379" s="115"/>
      <c r="CR2379" s="115"/>
      <c r="CS2379" s="115"/>
      <c r="CT2379" s="115"/>
      <c r="CU2379" s="115"/>
      <c r="CV2379" s="115"/>
      <c r="CW2379" s="115"/>
      <c r="CX2379" s="115"/>
      <c r="CY2379" s="115"/>
      <c r="CZ2379" s="115"/>
      <c r="DA2379" s="115"/>
      <c r="DB2379" s="115"/>
      <c r="DC2379" s="115"/>
      <c r="DD2379" s="115"/>
      <c r="DE2379" s="115"/>
      <c r="DF2379" s="115"/>
      <c r="DG2379" s="115"/>
    </row>
    <row r="2380" spans="55:111" hidden="1">
      <c r="BC2380" s="115"/>
      <c r="BD2380" s="115"/>
      <c r="BE2380" s="115"/>
      <c r="BF2380" s="115"/>
      <c r="BG2380" s="115"/>
      <c r="BH2380" s="115"/>
      <c r="BI2380" s="115"/>
      <c r="BJ2380" s="115"/>
      <c r="BK2380" s="115"/>
      <c r="BL2380" s="115"/>
      <c r="BM2380" s="115"/>
      <c r="BN2380" s="115"/>
      <c r="BO2380" s="115"/>
      <c r="BP2380" s="115"/>
      <c r="BQ2380" s="115"/>
      <c r="BR2380" s="115"/>
      <c r="BS2380" s="115"/>
      <c r="BT2380" s="115"/>
      <c r="BU2380" s="115"/>
      <c r="BV2380" s="115"/>
      <c r="BW2380" s="115"/>
      <c r="BX2380" s="115"/>
      <c r="BY2380" s="115"/>
      <c r="BZ2380" s="115"/>
      <c r="CA2380" s="115"/>
      <c r="CB2380" s="115"/>
      <c r="CC2380" s="115"/>
      <c r="CD2380" s="115"/>
      <c r="CE2380" s="115"/>
      <c r="CF2380" s="115"/>
      <c r="CG2380" s="115"/>
      <c r="CH2380" s="115"/>
      <c r="CI2380" s="115"/>
      <c r="CJ2380" s="115"/>
      <c r="CK2380" s="115"/>
      <c r="CL2380" s="115"/>
      <c r="CM2380" s="115"/>
      <c r="CN2380" s="115"/>
      <c r="CO2380" s="115"/>
      <c r="CP2380" s="115"/>
      <c r="CQ2380" s="115"/>
      <c r="CR2380" s="115"/>
      <c r="CS2380" s="115"/>
      <c r="CT2380" s="115"/>
      <c r="CU2380" s="115"/>
      <c r="CV2380" s="115"/>
      <c r="CW2380" s="115"/>
      <c r="CX2380" s="115"/>
      <c r="CY2380" s="115"/>
      <c r="CZ2380" s="115"/>
      <c r="DA2380" s="115"/>
      <c r="DB2380" s="115"/>
      <c r="DC2380" s="115"/>
      <c r="DD2380" s="115"/>
      <c r="DE2380" s="115"/>
      <c r="DF2380" s="115"/>
      <c r="DG2380" s="115"/>
    </row>
    <row r="2381" spans="55:111" hidden="1">
      <c r="BC2381" s="115"/>
      <c r="BD2381" s="115"/>
      <c r="BE2381" s="115"/>
      <c r="BF2381" s="115"/>
      <c r="BG2381" s="115"/>
      <c r="BH2381" s="115"/>
      <c r="BI2381" s="115"/>
      <c r="BJ2381" s="115"/>
      <c r="BK2381" s="115"/>
      <c r="BL2381" s="115"/>
      <c r="BM2381" s="115"/>
      <c r="BN2381" s="115"/>
      <c r="BO2381" s="115"/>
      <c r="BP2381" s="115"/>
      <c r="BQ2381" s="115"/>
      <c r="BR2381" s="115"/>
      <c r="BS2381" s="115"/>
      <c r="BT2381" s="115"/>
      <c r="BU2381" s="115"/>
      <c r="BV2381" s="115"/>
      <c r="BW2381" s="115"/>
      <c r="BX2381" s="115"/>
      <c r="BY2381" s="115"/>
      <c r="BZ2381" s="115"/>
      <c r="CA2381" s="115"/>
      <c r="CB2381" s="115"/>
      <c r="CC2381" s="115"/>
      <c r="CD2381" s="115"/>
      <c r="CE2381" s="115"/>
      <c r="CF2381" s="115"/>
      <c r="CG2381" s="115"/>
      <c r="CH2381" s="115"/>
      <c r="CI2381" s="115"/>
      <c r="CJ2381" s="115"/>
      <c r="CK2381" s="115"/>
      <c r="CL2381" s="115"/>
      <c r="CM2381" s="115"/>
      <c r="CN2381" s="115"/>
      <c r="CO2381" s="115"/>
      <c r="CP2381" s="115"/>
      <c r="CQ2381" s="115"/>
      <c r="CR2381" s="115"/>
      <c r="CS2381" s="115"/>
      <c r="CT2381" s="115"/>
      <c r="CU2381" s="115"/>
      <c r="CV2381" s="115"/>
      <c r="CW2381" s="115"/>
      <c r="CX2381" s="115"/>
      <c r="CY2381" s="115"/>
      <c r="CZ2381" s="115"/>
      <c r="DA2381" s="115"/>
      <c r="DB2381" s="115"/>
      <c r="DC2381" s="115"/>
      <c r="DD2381" s="115"/>
      <c r="DE2381" s="115"/>
      <c r="DF2381" s="115"/>
      <c r="DG2381" s="115"/>
    </row>
    <row r="2382" spans="55:111" hidden="1">
      <c r="BC2382" s="115"/>
      <c r="BD2382" s="115"/>
      <c r="BE2382" s="115"/>
      <c r="BF2382" s="115"/>
      <c r="BG2382" s="115"/>
      <c r="BH2382" s="115"/>
      <c r="BI2382" s="115"/>
      <c r="BJ2382" s="115"/>
      <c r="BK2382" s="115"/>
      <c r="BL2382" s="115"/>
      <c r="BM2382" s="115"/>
      <c r="BN2382" s="115"/>
      <c r="BO2382" s="115"/>
      <c r="BP2382" s="115"/>
      <c r="BQ2382" s="115"/>
      <c r="BR2382" s="115"/>
      <c r="BS2382" s="115"/>
      <c r="BT2382" s="115"/>
      <c r="BU2382" s="115"/>
      <c r="BV2382" s="115"/>
      <c r="BW2382" s="115"/>
      <c r="BX2382" s="115"/>
      <c r="BY2382" s="115"/>
      <c r="BZ2382" s="115"/>
      <c r="CA2382" s="115"/>
      <c r="CB2382" s="115"/>
      <c r="CC2382" s="115"/>
      <c r="CD2382" s="115"/>
      <c r="CE2382" s="115"/>
      <c r="CF2382" s="115"/>
      <c r="CG2382" s="115"/>
      <c r="CH2382" s="115"/>
      <c r="CI2382" s="115"/>
      <c r="CJ2382" s="115"/>
      <c r="CK2382" s="115"/>
      <c r="CL2382" s="115"/>
      <c r="CM2382" s="115"/>
      <c r="CN2382" s="115"/>
      <c r="CO2382" s="115"/>
      <c r="CP2382" s="115"/>
      <c r="CQ2382" s="115"/>
      <c r="CR2382" s="115"/>
      <c r="CS2382" s="115"/>
      <c r="CT2382" s="115"/>
      <c r="CU2382" s="115"/>
      <c r="CV2382" s="115"/>
      <c r="CW2382" s="115"/>
      <c r="CX2382" s="115"/>
      <c r="CY2382" s="115"/>
      <c r="CZ2382" s="115"/>
      <c r="DA2382" s="115"/>
      <c r="DB2382" s="115"/>
      <c r="DC2382" s="115"/>
      <c r="DD2382" s="115"/>
      <c r="DE2382" s="115"/>
      <c r="DF2382" s="115"/>
      <c r="DG2382" s="115"/>
    </row>
    <row r="2383" spans="55:111" hidden="1">
      <c r="BC2383" s="115"/>
      <c r="BD2383" s="115"/>
      <c r="BE2383" s="115"/>
      <c r="BF2383" s="115"/>
      <c r="BG2383" s="115"/>
      <c r="BH2383" s="115"/>
      <c r="BI2383" s="115"/>
      <c r="BJ2383" s="115"/>
      <c r="BK2383" s="115"/>
      <c r="BL2383" s="115"/>
      <c r="BM2383" s="115"/>
      <c r="BN2383" s="115"/>
      <c r="BO2383" s="115"/>
      <c r="BP2383" s="115"/>
      <c r="BQ2383" s="115"/>
      <c r="BR2383" s="115"/>
      <c r="BS2383" s="115"/>
      <c r="BT2383" s="115"/>
      <c r="BU2383" s="115"/>
      <c r="BV2383" s="115"/>
      <c r="BW2383" s="115"/>
      <c r="BX2383" s="115"/>
      <c r="BY2383" s="115"/>
      <c r="BZ2383" s="115"/>
      <c r="CA2383" s="115"/>
      <c r="CB2383" s="115"/>
      <c r="CC2383" s="115"/>
      <c r="CD2383" s="115"/>
      <c r="CE2383" s="115"/>
      <c r="CF2383" s="115"/>
      <c r="CG2383" s="115"/>
      <c r="CH2383" s="115"/>
      <c r="CI2383" s="115"/>
      <c r="CJ2383" s="115"/>
      <c r="CK2383" s="115"/>
      <c r="CL2383" s="115"/>
      <c r="CM2383" s="115"/>
      <c r="CN2383" s="115"/>
      <c r="CO2383" s="115"/>
      <c r="CP2383" s="115"/>
      <c r="CQ2383" s="115"/>
      <c r="CR2383" s="115"/>
      <c r="CS2383" s="115"/>
      <c r="CT2383" s="115"/>
      <c r="CU2383" s="115"/>
      <c r="CV2383" s="115"/>
      <c r="CW2383" s="115"/>
      <c r="CX2383" s="115"/>
      <c r="CY2383" s="115"/>
      <c r="CZ2383" s="115"/>
      <c r="DA2383" s="115"/>
      <c r="DB2383" s="115"/>
      <c r="DC2383" s="115"/>
      <c r="DD2383" s="115"/>
      <c r="DE2383" s="115"/>
      <c r="DF2383" s="115"/>
      <c r="DG2383" s="115"/>
    </row>
    <row r="2384" spans="55:111" hidden="1">
      <c r="BC2384" s="115"/>
      <c r="BD2384" s="115"/>
      <c r="BE2384" s="115"/>
      <c r="BF2384" s="115"/>
      <c r="BG2384" s="115"/>
      <c r="BH2384" s="115"/>
      <c r="BI2384" s="115"/>
      <c r="BJ2384" s="115"/>
      <c r="BK2384" s="115"/>
      <c r="BL2384" s="115"/>
      <c r="BM2384" s="115"/>
      <c r="BN2384" s="115"/>
      <c r="BO2384" s="115"/>
      <c r="BP2384" s="115"/>
      <c r="BQ2384" s="115"/>
      <c r="BR2384" s="115"/>
      <c r="BS2384" s="115"/>
      <c r="BT2384" s="115"/>
      <c r="BU2384" s="115"/>
      <c r="BV2384" s="115"/>
      <c r="BW2384" s="115"/>
      <c r="BX2384" s="115"/>
      <c r="BY2384" s="115"/>
      <c r="BZ2384" s="115"/>
      <c r="CA2384" s="115"/>
      <c r="CB2384" s="115"/>
      <c r="CC2384" s="115"/>
      <c r="CD2384" s="115"/>
      <c r="CE2384" s="115"/>
      <c r="CF2384" s="115"/>
      <c r="CG2384" s="115"/>
      <c r="CH2384" s="115"/>
      <c r="CI2384" s="115"/>
      <c r="CJ2384" s="115"/>
      <c r="CK2384" s="115"/>
      <c r="CL2384" s="115"/>
      <c r="CM2384" s="115"/>
      <c r="CN2384" s="115"/>
      <c r="CO2384" s="115"/>
      <c r="CP2384" s="115"/>
      <c r="CQ2384" s="115"/>
      <c r="CR2384" s="115"/>
      <c r="CS2384" s="115"/>
      <c r="CT2384" s="115"/>
      <c r="CU2384" s="115"/>
      <c r="CV2384" s="115"/>
      <c r="CW2384" s="115"/>
      <c r="CX2384" s="115"/>
      <c r="CY2384" s="115"/>
      <c r="CZ2384" s="115"/>
      <c r="DA2384" s="115"/>
      <c r="DB2384" s="115"/>
      <c r="DC2384" s="115"/>
      <c r="DD2384" s="115"/>
      <c r="DE2384" s="115"/>
      <c r="DF2384" s="115"/>
      <c r="DG2384" s="115"/>
    </row>
    <row r="2385" spans="55:111" hidden="1">
      <c r="BC2385" s="115"/>
      <c r="BD2385" s="115"/>
      <c r="BE2385" s="115"/>
      <c r="BF2385" s="115"/>
      <c r="BG2385" s="115"/>
      <c r="BH2385" s="115"/>
      <c r="BI2385" s="115"/>
      <c r="BJ2385" s="115"/>
      <c r="BK2385" s="115"/>
      <c r="BL2385" s="115"/>
      <c r="BM2385" s="115"/>
      <c r="BN2385" s="115"/>
      <c r="BO2385" s="115"/>
      <c r="BP2385" s="115"/>
      <c r="BQ2385" s="115"/>
      <c r="BR2385" s="115"/>
      <c r="BS2385" s="115"/>
      <c r="BT2385" s="115"/>
      <c r="BU2385" s="115"/>
      <c r="BV2385" s="115"/>
      <c r="BW2385" s="115"/>
      <c r="BX2385" s="115"/>
      <c r="BY2385" s="115"/>
      <c r="BZ2385" s="115"/>
      <c r="CA2385" s="115"/>
      <c r="CB2385" s="115"/>
      <c r="CC2385" s="115"/>
      <c r="CD2385" s="115"/>
      <c r="CE2385" s="115"/>
      <c r="CF2385" s="115"/>
      <c r="CG2385" s="115"/>
      <c r="CH2385" s="115"/>
      <c r="CI2385" s="115"/>
      <c r="CJ2385" s="115"/>
      <c r="CK2385" s="115"/>
      <c r="CL2385" s="115"/>
      <c r="CM2385" s="115"/>
      <c r="CN2385" s="115"/>
      <c r="CO2385" s="115"/>
      <c r="CP2385" s="115"/>
      <c r="CQ2385" s="115"/>
      <c r="CR2385" s="115"/>
      <c r="CS2385" s="115"/>
      <c r="CT2385" s="115"/>
      <c r="CU2385" s="115"/>
      <c r="CV2385" s="115"/>
      <c r="CW2385" s="115"/>
      <c r="CX2385" s="115"/>
      <c r="CY2385" s="115"/>
      <c r="CZ2385" s="115"/>
      <c r="DA2385" s="115"/>
      <c r="DB2385" s="115"/>
      <c r="DC2385" s="115"/>
      <c r="DD2385" s="115"/>
      <c r="DE2385" s="115"/>
      <c r="DF2385" s="115"/>
      <c r="DG2385" s="115"/>
    </row>
    <row r="2386" spans="55:111" hidden="1">
      <c r="BC2386" s="115"/>
      <c r="BD2386" s="115"/>
      <c r="BE2386" s="115"/>
      <c r="BF2386" s="115"/>
      <c r="BG2386" s="115"/>
      <c r="BH2386" s="115"/>
      <c r="BI2386" s="115"/>
      <c r="BJ2386" s="115"/>
      <c r="BK2386" s="115"/>
      <c r="BL2386" s="115"/>
      <c r="BM2386" s="115"/>
      <c r="BN2386" s="115"/>
      <c r="BO2386" s="115"/>
      <c r="BP2386" s="115"/>
      <c r="BQ2386" s="115"/>
      <c r="BR2386" s="115"/>
      <c r="BS2386" s="115"/>
      <c r="BT2386" s="115"/>
      <c r="BU2386" s="115"/>
      <c r="BV2386" s="115"/>
      <c r="BW2386" s="115"/>
      <c r="BX2386" s="115"/>
      <c r="BY2386" s="115"/>
      <c r="BZ2386" s="115"/>
      <c r="CA2386" s="115"/>
      <c r="CB2386" s="115"/>
      <c r="CC2386" s="115"/>
      <c r="CD2386" s="115"/>
      <c r="CE2386" s="115"/>
      <c r="CF2386" s="115"/>
      <c r="CG2386" s="115"/>
      <c r="CH2386" s="115"/>
      <c r="CI2386" s="115"/>
      <c r="CJ2386" s="115"/>
      <c r="CK2386" s="115"/>
      <c r="CL2386" s="115"/>
      <c r="CM2386" s="115"/>
      <c r="CN2386" s="115"/>
      <c r="CO2386" s="115"/>
      <c r="CP2386" s="115"/>
      <c r="CQ2386" s="115"/>
      <c r="CR2386" s="115"/>
      <c r="CS2386" s="115"/>
      <c r="CT2386" s="115"/>
      <c r="CU2386" s="115"/>
      <c r="CV2386" s="115"/>
      <c r="CW2386" s="115"/>
      <c r="CX2386" s="115"/>
      <c r="CY2386" s="115"/>
      <c r="CZ2386" s="115"/>
      <c r="DA2386" s="115"/>
      <c r="DB2386" s="115"/>
      <c r="DC2386" s="115"/>
      <c r="DD2386" s="115"/>
      <c r="DE2386" s="115"/>
      <c r="DF2386" s="115"/>
      <c r="DG2386" s="115"/>
    </row>
    <row r="2387" spans="55:111" hidden="1">
      <c r="BC2387" s="115"/>
      <c r="BD2387" s="115"/>
      <c r="BE2387" s="115"/>
      <c r="BF2387" s="115"/>
      <c r="BG2387" s="115"/>
      <c r="BH2387" s="115"/>
      <c r="BI2387" s="115"/>
      <c r="BJ2387" s="115"/>
      <c r="BK2387" s="115"/>
      <c r="BL2387" s="115"/>
      <c r="BM2387" s="115"/>
      <c r="BN2387" s="115"/>
      <c r="BO2387" s="115"/>
      <c r="BP2387" s="115"/>
      <c r="BQ2387" s="115"/>
      <c r="BR2387" s="115"/>
      <c r="BS2387" s="115"/>
      <c r="BT2387" s="115"/>
      <c r="BU2387" s="115"/>
      <c r="BV2387" s="115"/>
      <c r="BW2387" s="115"/>
      <c r="BX2387" s="115"/>
      <c r="BY2387" s="115"/>
      <c r="BZ2387" s="115"/>
      <c r="CA2387" s="115"/>
      <c r="CB2387" s="115"/>
      <c r="CC2387" s="115"/>
      <c r="CD2387" s="115"/>
      <c r="CE2387" s="115"/>
      <c r="CF2387" s="115"/>
      <c r="CG2387" s="115"/>
      <c r="CH2387" s="115"/>
      <c r="CI2387" s="115"/>
      <c r="CJ2387" s="115"/>
      <c r="CK2387" s="115"/>
      <c r="CL2387" s="115"/>
      <c r="CM2387" s="115"/>
      <c r="CN2387" s="115"/>
      <c r="CO2387" s="115"/>
      <c r="CP2387" s="115"/>
      <c r="CQ2387" s="115"/>
      <c r="CR2387" s="115"/>
      <c r="CS2387" s="115"/>
      <c r="CT2387" s="115"/>
      <c r="CU2387" s="115"/>
      <c r="CV2387" s="115"/>
      <c r="CW2387" s="115"/>
      <c r="CX2387" s="115"/>
      <c r="CY2387" s="115"/>
      <c r="CZ2387" s="115"/>
      <c r="DA2387" s="115"/>
      <c r="DB2387" s="115"/>
      <c r="DC2387" s="115"/>
      <c r="DD2387" s="115"/>
      <c r="DE2387" s="115"/>
      <c r="DF2387" s="115"/>
      <c r="DG2387" s="115"/>
    </row>
    <row r="2388" spans="55:111" hidden="1">
      <c r="BC2388" s="115"/>
      <c r="BD2388" s="115"/>
      <c r="BE2388" s="115"/>
      <c r="BF2388" s="115"/>
      <c r="BG2388" s="115"/>
      <c r="BH2388" s="115"/>
      <c r="BI2388" s="115"/>
      <c r="BJ2388" s="115"/>
      <c r="BK2388" s="115"/>
      <c r="BL2388" s="115"/>
      <c r="BM2388" s="115"/>
      <c r="BN2388" s="115"/>
      <c r="BO2388" s="115"/>
      <c r="BP2388" s="115"/>
      <c r="BQ2388" s="115"/>
      <c r="BR2388" s="115"/>
      <c r="BS2388" s="115"/>
      <c r="BT2388" s="115"/>
      <c r="BU2388" s="115"/>
      <c r="BV2388" s="115"/>
      <c r="BW2388" s="115"/>
      <c r="BX2388" s="115"/>
      <c r="BY2388" s="115"/>
      <c r="BZ2388" s="115"/>
      <c r="CA2388" s="115"/>
      <c r="CB2388" s="115"/>
      <c r="CC2388" s="115"/>
      <c r="CD2388" s="115"/>
      <c r="CE2388" s="115"/>
      <c r="CF2388" s="115"/>
      <c r="CG2388" s="115"/>
      <c r="CH2388" s="115"/>
      <c r="CI2388" s="115"/>
      <c r="CJ2388" s="115"/>
      <c r="CK2388" s="115"/>
      <c r="CL2388" s="115"/>
      <c r="CM2388" s="115"/>
      <c r="CN2388" s="115"/>
      <c r="CO2388" s="115"/>
      <c r="CP2388" s="115"/>
      <c r="CQ2388" s="115"/>
      <c r="CR2388" s="115"/>
      <c r="CS2388" s="115"/>
      <c r="CT2388" s="115"/>
      <c r="CU2388" s="115"/>
      <c r="CV2388" s="115"/>
      <c r="CW2388" s="115"/>
      <c r="CX2388" s="115"/>
      <c r="CY2388" s="115"/>
      <c r="CZ2388" s="115"/>
      <c r="DA2388" s="115"/>
      <c r="DB2388" s="115"/>
      <c r="DC2388" s="115"/>
      <c r="DD2388" s="115"/>
      <c r="DE2388" s="115"/>
      <c r="DF2388" s="115"/>
      <c r="DG2388" s="115"/>
    </row>
    <row r="2389" spans="55:111" hidden="1">
      <c r="BC2389" s="115"/>
      <c r="BD2389" s="115"/>
      <c r="BE2389" s="115"/>
      <c r="BF2389" s="115"/>
      <c r="BG2389" s="115"/>
      <c r="BH2389" s="115"/>
      <c r="BI2389" s="115"/>
      <c r="BJ2389" s="115"/>
      <c r="BK2389" s="115"/>
      <c r="BL2389" s="115"/>
      <c r="BM2389" s="115"/>
      <c r="BN2389" s="115"/>
      <c r="BO2389" s="115"/>
      <c r="BP2389" s="115"/>
      <c r="BQ2389" s="115"/>
      <c r="BR2389" s="115"/>
      <c r="BS2389" s="115"/>
      <c r="BT2389" s="115"/>
      <c r="BU2389" s="115"/>
      <c r="BV2389" s="115"/>
      <c r="BW2389" s="115"/>
      <c r="BX2389" s="115"/>
      <c r="BY2389" s="115"/>
      <c r="BZ2389" s="115"/>
      <c r="CA2389" s="115"/>
      <c r="CB2389" s="115"/>
      <c r="CC2389" s="115"/>
      <c r="CD2389" s="115"/>
      <c r="CE2389" s="115"/>
      <c r="CF2389" s="115"/>
      <c r="CG2389" s="115"/>
      <c r="CH2389" s="115"/>
      <c r="CI2389" s="115"/>
      <c r="CJ2389" s="115"/>
      <c r="CK2389" s="115"/>
      <c r="CL2389" s="115"/>
      <c r="CM2389" s="115"/>
      <c r="CN2389" s="115"/>
      <c r="CO2389" s="115"/>
      <c r="CP2389" s="115"/>
      <c r="CQ2389" s="115"/>
      <c r="CR2389" s="115"/>
      <c r="CS2389" s="115"/>
      <c r="CT2389" s="115"/>
      <c r="CU2389" s="115"/>
      <c r="CV2389" s="115"/>
      <c r="CW2389" s="115"/>
      <c r="CX2389" s="115"/>
      <c r="CY2389" s="115"/>
      <c r="CZ2389" s="115"/>
      <c r="DA2389" s="115"/>
      <c r="DB2389" s="115"/>
      <c r="DC2389" s="115"/>
      <c r="DD2389" s="115"/>
      <c r="DE2389" s="115"/>
      <c r="DF2389" s="115"/>
      <c r="DG2389" s="115"/>
    </row>
    <row r="2390" spans="55:111" hidden="1">
      <c r="BC2390" s="115"/>
      <c r="BD2390" s="115"/>
      <c r="BE2390" s="115"/>
      <c r="BF2390" s="115"/>
      <c r="BG2390" s="115"/>
      <c r="BH2390" s="115"/>
      <c r="BI2390" s="115"/>
      <c r="BJ2390" s="115"/>
      <c r="BK2390" s="115"/>
      <c r="BL2390" s="115"/>
      <c r="BM2390" s="115"/>
      <c r="BN2390" s="115"/>
      <c r="BO2390" s="115"/>
      <c r="BP2390" s="115"/>
      <c r="BQ2390" s="115"/>
      <c r="BR2390" s="115"/>
      <c r="BS2390" s="115"/>
      <c r="BT2390" s="115"/>
      <c r="BU2390" s="115"/>
      <c r="BV2390" s="115"/>
      <c r="BW2390" s="115"/>
      <c r="BX2390" s="115"/>
      <c r="BY2390" s="115"/>
      <c r="BZ2390" s="115"/>
      <c r="CA2390" s="115"/>
      <c r="CB2390" s="115"/>
      <c r="CC2390" s="115"/>
      <c r="CD2390" s="115"/>
      <c r="CE2390" s="115"/>
      <c r="CF2390" s="115"/>
      <c r="CG2390" s="115"/>
      <c r="CH2390" s="115"/>
      <c r="CI2390" s="115"/>
      <c r="CJ2390" s="115"/>
      <c r="CK2390" s="115"/>
      <c r="CL2390" s="115"/>
      <c r="CM2390" s="115"/>
      <c r="CN2390" s="115"/>
      <c r="CO2390" s="115"/>
      <c r="CP2390" s="115"/>
      <c r="CQ2390" s="115"/>
      <c r="CR2390" s="115"/>
      <c r="CS2390" s="115"/>
      <c r="CT2390" s="115"/>
      <c r="CU2390" s="115"/>
      <c r="CV2390" s="115"/>
      <c r="CW2390" s="115"/>
      <c r="CX2390" s="115"/>
      <c r="CY2390" s="115"/>
      <c r="CZ2390" s="115"/>
      <c r="DA2390" s="115"/>
      <c r="DB2390" s="115"/>
      <c r="DC2390" s="115"/>
      <c r="DD2390" s="115"/>
      <c r="DE2390" s="115"/>
      <c r="DF2390" s="115"/>
      <c r="DG2390" s="115"/>
    </row>
    <row r="2391" spans="55:111" hidden="1">
      <c r="BC2391" s="115"/>
      <c r="BD2391" s="115"/>
      <c r="BE2391" s="115"/>
      <c r="BF2391" s="115"/>
      <c r="BG2391" s="115"/>
      <c r="BH2391" s="115"/>
      <c r="BI2391" s="115"/>
      <c r="BJ2391" s="115"/>
      <c r="BK2391" s="115"/>
      <c r="BL2391" s="115"/>
      <c r="BM2391" s="115"/>
      <c r="BN2391" s="115"/>
      <c r="BO2391" s="115"/>
      <c r="BP2391" s="115"/>
      <c r="BQ2391" s="115"/>
      <c r="BR2391" s="115"/>
      <c r="BS2391" s="115"/>
      <c r="BT2391" s="115"/>
      <c r="BU2391" s="115"/>
      <c r="BV2391" s="115"/>
      <c r="BW2391" s="115"/>
      <c r="BX2391" s="115"/>
      <c r="BY2391" s="115"/>
      <c r="BZ2391" s="115"/>
      <c r="CA2391" s="115"/>
      <c r="CB2391" s="115"/>
      <c r="CC2391" s="115"/>
      <c r="CD2391" s="115"/>
      <c r="CE2391" s="115"/>
      <c r="CF2391" s="115"/>
      <c r="CG2391" s="115"/>
      <c r="CH2391" s="115"/>
      <c r="CI2391" s="115"/>
      <c r="CJ2391" s="115"/>
      <c r="CK2391" s="115"/>
      <c r="CL2391" s="115"/>
      <c r="CM2391" s="115"/>
      <c r="CN2391" s="115"/>
      <c r="CO2391" s="115"/>
      <c r="CP2391" s="115"/>
      <c r="CQ2391" s="115"/>
      <c r="CR2391" s="115"/>
      <c r="CS2391" s="115"/>
      <c r="CT2391" s="115"/>
      <c r="CU2391" s="115"/>
      <c r="CV2391" s="115"/>
      <c r="CW2391" s="115"/>
      <c r="CX2391" s="115"/>
      <c r="CY2391" s="115"/>
      <c r="CZ2391" s="115"/>
      <c r="DA2391" s="115"/>
      <c r="DB2391" s="115"/>
      <c r="DC2391" s="115"/>
      <c r="DD2391" s="115"/>
      <c r="DE2391" s="115"/>
      <c r="DF2391" s="115"/>
      <c r="DG2391" s="115"/>
    </row>
    <row r="2392" spans="55:111" hidden="1">
      <c r="BC2392" s="115"/>
      <c r="BD2392" s="115"/>
      <c r="BE2392" s="115"/>
      <c r="BF2392" s="115"/>
      <c r="BG2392" s="115"/>
      <c r="BH2392" s="115"/>
      <c r="BI2392" s="115"/>
      <c r="BJ2392" s="115"/>
      <c r="BK2392" s="115"/>
      <c r="BL2392" s="115"/>
      <c r="BM2392" s="115"/>
      <c r="BN2392" s="115"/>
      <c r="BO2392" s="115"/>
      <c r="BP2392" s="115"/>
      <c r="BQ2392" s="115"/>
      <c r="BR2392" s="115"/>
      <c r="BS2392" s="115"/>
      <c r="BT2392" s="115"/>
      <c r="BU2392" s="115"/>
      <c r="BV2392" s="115"/>
      <c r="BW2392" s="115"/>
      <c r="BX2392" s="115"/>
      <c r="BY2392" s="115"/>
      <c r="BZ2392" s="115"/>
      <c r="CA2392" s="115"/>
      <c r="CB2392" s="115"/>
      <c r="CC2392" s="115"/>
      <c r="CD2392" s="115"/>
      <c r="CE2392" s="115"/>
      <c r="CF2392" s="115"/>
      <c r="CG2392" s="115"/>
      <c r="CH2392" s="115"/>
      <c r="CI2392" s="115"/>
      <c r="CJ2392" s="115"/>
      <c r="CK2392" s="115"/>
      <c r="CL2392" s="115"/>
      <c r="CM2392" s="115"/>
      <c r="CN2392" s="115"/>
      <c r="CO2392" s="115"/>
      <c r="CP2392" s="115"/>
      <c r="CQ2392" s="115"/>
      <c r="CR2392" s="115"/>
      <c r="CS2392" s="115"/>
      <c r="CT2392" s="115"/>
      <c r="CU2392" s="115"/>
      <c r="CV2392" s="115"/>
      <c r="CW2392" s="115"/>
      <c r="CX2392" s="115"/>
      <c r="CY2392" s="115"/>
      <c r="CZ2392" s="115"/>
      <c r="DA2392" s="115"/>
      <c r="DB2392" s="115"/>
      <c r="DC2392" s="115"/>
      <c r="DD2392" s="115"/>
      <c r="DE2392" s="115"/>
      <c r="DF2392" s="115"/>
      <c r="DG2392" s="115"/>
    </row>
    <row r="2393" spans="55:111" hidden="1">
      <c r="BC2393" s="115"/>
      <c r="BD2393" s="115"/>
      <c r="BE2393" s="115"/>
      <c r="BF2393" s="115"/>
      <c r="BG2393" s="115"/>
      <c r="BH2393" s="115"/>
      <c r="BI2393" s="115"/>
      <c r="BJ2393" s="115"/>
      <c r="BK2393" s="115"/>
      <c r="BL2393" s="115"/>
      <c r="BM2393" s="115"/>
      <c r="BN2393" s="115"/>
      <c r="BO2393" s="115"/>
      <c r="BP2393" s="115"/>
      <c r="BQ2393" s="115"/>
      <c r="BR2393" s="115"/>
      <c r="BS2393" s="115"/>
      <c r="BT2393" s="115"/>
      <c r="BU2393" s="115"/>
      <c r="BV2393" s="115"/>
      <c r="BW2393" s="115"/>
      <c r="BX2393" s="115"/>
      <c r="BY2393" s="115"/>
      <c r="BZ2393" s="115"/>
      <c r="CA2393" s="115"/>
      <c r="CB2393" s="115"/>
      <c r="CC2393" s="115"/>
      <c r="CD2393" s="115"/>
      <c r="CE2393" s="115"/>
      <c r="CF2393" s="115"/>
      <c r="CG2393" s="115"/>
      <c r="CH2393" s="115"/>
      <c r="CI2393" s="115"/>
      <c r="CJ2393" s="115"/>
      <c r="CK2393" s="115"/>
      <c r="CL2393" s="115"/>
      <c r="CM2393" s="115"/>
      <c r="CN2393" s="115"/>
      <c r="CO2393" s="115"/>
      <c r="CP2393" s="115"/>
      <c r="CQ2393" s="115"/>
      <c r="CR2393" s="115"/>
      <c r="CS2393" s="115"/>
      <c r="CT2393" s="115"/>
      <c r="CU2393" s="115"/>
      <c r="CV2393" s="115"/>
      <c r="CW2393" s="115"/>
      <c r="CX2393" s="115"/>
      <c r="CY2393" s="115"/>
      <c r="CZ2393" s="115"/>
      <c r="DA2393" s="115"/>
      <c r="DB2393" s="115"/>
      <c r="DC2393" s="115"/>
      <c r="DD2393" s="115"/>
      <c r="DE2393" s="115"/>
      <c r="DF2393" s="115"/>
      <c r="DG2393" s="115"/>
    </row>
    <row r="2394" spans="55:111" hidden="1">
      <c r="BC2394" s="115"/>
      <c r="BD2394" s="115"/>
      <c r="BE2394" s="115"/>
      <c r="BF2394" s="115"/>
      <c r="BG2394" s="115"/>
      <c r="BH2394" s="115"/>
      <c r="BI2394" s="115"/>
      <c r="BJ2394" s="115"/>
      <c r="BK2394" s="115"/>
      <c r="BL2394" s="115"/>
      <c r="BM2394" s="115"/>
      <c r="BN2394" s="115"/>
      <c r="BO2394" s="115"/>
      <c r="BP2394" s="115"/>
      <c r="BQ2394" s="115"/>
      <c r="BR2394" s="115"/>
      <c r="BS2394" s="115"/>
      <c r="BT2394" s="115"/>
      <c r="BU2394" s="115"/>
      <c r="BV2394" s="115"/>
      <c r="BW2394" s="115"/>
      <c r="BX2394" s="115"/>
      <c r="BY2394" s="115"/>
      <c r="BZ2394" s="115"/>
      <c r="CA2394" s="115"/>
      <c r="CB2394" s="115"/>
      <c r="CC2394" s="115"/>
      <c r="CD2394" s="115"/>
      <c r="CE2394" s="115"/>
      <c r="CF2394" s="115"/>
      <c r="CG2394" s="115"/>
      <c r="CH2394" s="115"/>
      <c r="CI2394" s="115"/>
      <c r="CJ2394" s="115"/>
      <c r="CK2394" s="115"/>
      <c r="CL2394" s="115"/>
      <c r="CM2394" s="115"/>
      <c r="CN2394" s="115"/>
      <c r="CO2394" s="115"/>
      <c r="CP2394" s="115"/>
      <c r="CQ2394" s="115"/>
      <c r="CR2394" s="115"/>
      <c r="CS2394" s="115"/>
      <c r="CT2394" s="115"/>
      <c r="CU2394" s="115"/>
      <c r="CV2394" s="115"/>
      <c r="CW2394" s="115"/>
      <c r="CX2394" s="115"/>
      <c r="CY2394" s="115"/>
      <c r="CZ2394" s="115"/>
      <c r="DA2394" s="115"/>
      <c r="DB2394" s="115"/>
      <c r="DC2394" s="115"/>
      <c r="DD2394" s="115"/>
      <c r="DE2394" s="115"/>
      <c r="DF2394" s="115"/>
      <c r="DG2394" s="115"/>
    </row>
    <row r="2395" spans="55:111" hidden="1">
      <c r="BC2395" s="115"/>
      <c r="BD2395" s="115"/>
      <c r="BE2395" s="115"/>
      <c r="BF2395" s="115"/>
      <c r="BG2395" s="115"/>
      <c r="BH2395" s="115"/>
      <c r="BI2395" s="115"/>
      <c r="BJ2395" s="115"/>
      <c r="BK2395" s="115"/>
      <c r="BL2395" s="115"/>
      <c r="BM2395" s="115"/>
      <c r="BN2395" s="115"/>
      <c r="BO2395" s="115"/>
      <c r="BP2395" s="115"/>
      <c r="BQ2395" s="115"/>
      <c r="BR2395" s="115"/>
      <c r="BS2395" s="115"/>
      <c r="BT2395" s="115"/>
      <c r="BU2395" s="115"/>
      <c r="BV2395" s="115"/>
      <c r="BW2395" s="115"/>
      <c r="BX2395" s="115"/>
      <c r="BY2395" s="115"/>
      <c r="BZ2395" s="115"/>
      <c r="CA2395" s="115"/>
      <c r="CB2395" s="115"/>
      <c r="CC2395" s="115"/>
      <c r="CD2395" s="115"/>
      <c r="CE2395" s="115"/>
      <c r="CF2395" s="115"/>
      <c r="CG2395" s="115"/>
      <c r="CH2395" s="115"/>
      <c r="CI2395" s="115"/>
      <c r="CJ2395" s="115"/>
      <c r="CK2395" s="115"/>
      <c r="CL2395" s="115"/>
      <c r="CM2395" s="115"/>
      <c r="CN2395" s="115"/>
      <c r="CO2395" s="115"/>
      <c r="CP2395" s="115"/>
      <c r="CQ2395" s="115"/>
      <c r="CR2395" s="115"/>
      <c r="CS2395" s="115"/>
      <c r="CT2395" s="115"/>
      <c r="CU2395" s="115"/>
      <c r="CV2395" s="115"/>
      <c r="CW2395" s="115"/>
      <c r="CX2395" s="115"/>
      <c r="CY2395" s="115"/>
      <c r="CZ2395" s="115"/>
      <c r="DA2395" s="115"/>
      <c r="DB2395" s="115"/>
      <c r="DC2395" s="115"/>
      <c r="DD2395" s="115"/>
      <c r="DE2395" s="115"/>
      <c r="DF2395" s="115"/>
      <c r="DG2395" s="115"/>
    </row>
    <row r="2396" spans="55:111" hidden="1">
      <c r="BC2396" s="115"/>
      <c r="BD2396" s="115"/>
      <c r="BE2396" s="115"/>
      <c r="BF2396" s="115"/>
      <c r="BG2396" s="115"/>
      <c r="BH2396" s="115"/>
      <c r="BI2396" s="115"/>
      <c r="BJ2396" s="115"/>
      <c r="BK2396" s="115"/>
      <c r="BL2396" s="115"/>
      <c r="BM2396" s="115"/>
      <c r="BN2396" s="115"/>
      <c r="BO2396" s="115"/>
      <c r="BP2396" s="115"/>
      <c r="BQ2396" s="115"/>
      <c r="BR2396" s="115"/>
      <c r="BS2396" s="115"/>
      <c r="BT2396" s="115"/>
      <c r="BU2396" s="115"/>
      <c r="BV2396" s="115"/>
      <c r="BW2396" s="115"/>
      <c r="BX2396" s="115"/>
      <c r="BY2396" s="115"/>
      <c r="BZ2396" s="115"/>
      <c r="CA2396" s="115"/>
      <c r="CB2396" s="115"/>
      <c r="CC2396" s="115"/>
      <c r="CD2396" s="115"/>
      <c r="CE2396" s="115"/>
      <c r="CF2396" s="115"/>
      <c r="CG2396" s="115"/>
      <c r="CH2396" s="115"/>
      <c r="CI2396" s="115"/>
      <c r="CJ2396" s="115"/>
      <c r="CK2396" s="115"/>
      <c r="CL2396" s="115"/>
      <c r="CM2396" s="115"/>
      <c r="CN2396" s="115"/>
      <c r="CO2396" s="115"/>
      <c r="CP2396" s="115"/>
      <c r="CQ2396" s="115"/>
      <c r="CR2396" s="115"/>
      <c r="CS2396" s="115"/>
      <c r="CT2396" s="115"/>
      <c r="CU2396" s="115"/>
      <c r="CV2396" s="115"/>
      <c r="CW2396" s="115"/>
      <c r="CX2396" s="115"/>
      <c r="CY2396" s="115"/>
      <c r="CZ2396" s="115"/>
      <c r="DA2396" s="115"/>
      <c r="DB2396" s="115"/>
      <c r="DC2396" s="115"/>
      <c r="DD2396" s="115"/>
      <c r="DE2396" s="115"/>
      <c r="DF2396" s="115"/>
      <c r="DG2396" s="115"/>
    </row>
    <row r="2397" spans="55:111" hidden="1">
      <c r="BC2397" s="115"/>
      <c r="BD2397" s="115"/>
      <c r="BE2397" s="115"/>
      <c r="BF2397" s="115"/>
      <c r="BG2397" s="115"/>
      <c r="BH2397" s="115"/>
      <c r="BI2397" s="115"/>
      <c r="BJ2397" s="115"/>
      <c r="BK2397" s="115"/>
      <c r="BL2397" s="115"/>
      <c r="BM2397" s="115"/>
      <c r="BN2397" s="115"/>
      <c r="BO2397" s="115"/>
      <c r="BP2397" s="115"/>
      <c r="BQ2397" s="115"/>
      <c r="BR2397" s="115"/>
      <c r="BS2397" s="115"/>
      <c r="BT2397" s="115"/>
      <c r="BU2397" s="115"/>
      <c r="BV2397" s="115"/>
      <c r="BW2397" s="115"/>
      <c r="BX2397" s="115"/>
      <c r="BY2397" s="115"/>
      <c r="BZ2397" s="115"/>
      <c r="CA2397" s="115"/>
      <c r="CB2397" s="115"/>
      <c r="CC2397" s="115"/>
      <c r="CD2397" s="115"/>
      <c r="CE2397" s="115"/>
      <c r="CF2397" s="115"/>
      <c r="CG2397" s="115"/>
      <c r="CH2397" s="115"/>
      <c r="CI2397" s="115"/>
      <c r="CJ2397" s="115"/>
      <c r="CK2397" s="115"/>
      <c r="CL2397" s="115"/>
      <c r="CM2397" s="115"/>
      <c r="CN2397" s="115"/>
      <c r="CO2397" s="115"/>
      <c r="CP2397" s="115"/>
      <c r="CQ2397" s="115"/>
      <c r="CR2397" s="115"/>
      <c r="CS2397" s="115"/>
      <c r="CT2397" s="115"/>
      <c r="CU2397" s="115"/>
      <c r="CV2397" s="115"/>
      <c r="CW2397" s="115"/>
      <c r="CX2397" s="115"/>
      <c r="CY2397" s="115"/>
      <c r="CZ2397" s="115"/>
      <c r="DA2397" s="115"/>
      <c r="DB2397" s="115"/>
      <c r="DC2397" s="115"/>
      <c r="DD2397" s="115"/>
      <c r="DE2397" s="115"/>
      <c r="DF2397" s="115"/>
      <c r="DG2397" s="115"/>
    </row>
    <row r="2398" spans="55:111" hidden="1">
      <c r="BC2398" s="115"/>
      <c r="BD2398" s="115"/>
      <c r="BE2398" s="115"/>
      <c r="BF2398" s="115"/>
      <c r="BG2398" s="115"/>
      <c r="BH2398" s="115"/>
      <c r="BI2398" s="115"/>
      <c r="BJ2398" s="115"/>
      <c r="BK2398" s="115"/>
      <c r="BL2398" s="115"/>
      <c r="BM2398" s="115"/>
      <c r="BN2398" s="115"/>
      <c r="BO2398" s="115"/>
      <c r="BP2398" s="115"/>
      <c r="BQ2398" s="115"/>
      <c r="BR2398" s="115"/>
      <c r="BS2398" s="115"/>
      <c r="BT2398" s="115"/>
      <c r="BU2398" s="115"/>
      <c r="BV2398" s="115"/>
      <c r="BW2398" s="115"/>
      <c r="BX2398" s="115"/>
      <c r="BY2398" s="115"/>
      <c r="BZ2398" s="115"/>
      <c r="CA2398" s="115"/>
      <c r="CB2398" s="115"/>
      <c r="CC2398" s="115"/>
      <c r="CD2398" s="115"/>
      <c r="CE2398" s="115"/>
      <c r="CF2398" s="115"/>
      <c r="CG2398" s="115"/>
      <c r="CH2398" s="115"/>
      <c r="CI2398" s="115"/>
      <c r="CJ2398" s="115"/>
      <c r="CK2398" s="115"/>
      <c r="CL2398" s="115"/>
      <c r="CM2398" s="115"/>
      <c r="CN2398" s="115"/>
      <c r="CO2398" s="115"/>
      <c r="CP2398" s="115"/>
      <c r="CQ2398" s="115"/>
      <c r="CR2398" s="115"/>
      <c r="CS2398" s="115"/>
      <c r="CT2398" s="115"/>
      <c r="CU2398" s="115"/>
      <c r="CV2398" s="115"/>
      <c r="CW2398" s="115"/>
      <c r="CX2398" s="115"/>
      <c r="CY2398" s="115"/>
      <c r="CZ2398" s="115"/>
      <c r="DA2398" s="115"/>
      <c r="DB2398" s="115"/>
      <c r="DC2398" s="115"/>
      <c r="DD2398" s="115"/>
      <c r="DE2398" s="115"/>
      <c r="DF2398" s="115"/>
      <c r="DG2398" s="115"/>
    </row>
    <row r="2399" spans="55:111" hidden="1">
      <c r="BC2399" s="115"/>
      <c r="BD2399" s="115"/>
      <c r="BE2399" s="115"/>
      <c r="BF2399" s="115"/>
      <c r="BG2399" s="115"/>
      <c r="BH2399" s="115"/>
      <c r="BI2399" s="115"/>
      <c r="BJ2399" s="115"/>
      <c r="BK2399" s="115"/>
      <c r="BL2399" s="115"/>
      <c r="BM2399" s="115"/>
      <c r="BN2399" s="115"/>
      <c r="BO2399" s="115"/>
      <c r="BP2399" s="115"/>
      <c r="BQ2399" s="115"/>
      <c r="BR2399" s="115"/>
      <c r="BS2399" s="115"/>
      <c r="BT2399" s="115"/>
      <c r="BU2399" s="115"/>
      <c r="BV2399" s="115"/>
      <c r="BW2399" s="115"/>
      <c r="BX2399" s="115"/>
      <c r="BY2399" s="115"/>
      <c r="BZ2399" s="115"/>
      <c r="CA2399" s="115"/>
      <c r="CB2399" s="115"/>
      <c r="CC2399" s="115"/>
      <c r="CD2399" s="115"/>
      <c r="CE2399" s="115"/>
      <c r="CF2399" s="115"/>
      <c r="CG2399" s="115"/>
      <c r="CH2399" s="115"/>
      <c r="CI2399" s="115"/>
      <c r="CJ2399" s="115"/>
      <c r="CK2399" s="115"/>
      <c r="CL2399" s="115"/>
      <c r="CM2399" s="115"/>
      <c r="CN2399" s="115"/>
      <c r="CO2399" s="115"/>
      <c r="CP2399" s="115"/>
      <c r="CQ2399" s="115"/>
      <c r="CR2399" s="115"/>
      <c r="CS2399" s="115"/>
      <c r="CT2399" s="115"/>
      <c r="CU2399" s="115"/>
      <c r="CV2399" s="115"/>
      <c r="CW2399" s="115"/>
      <c r="CX2399" s="115"/>
      <c r="CY2399" s="115"/>
      <c r="CZ2399" s="115"/>
      <c r="DA2399" s="115"/>
      <c r="DB2399" s="115"/>
      <c r="DC2399" s="115"/>
      <c r="DD2399" s="115"/>
      <c r="DE2399" s="115"/>
      <c r="DF2399" s="115"/>
      <c r="DG2399" s="115"/>
    </row>
    <row r="2400" spans="55:111" hidden="1">
      <c r="BC2400" s="115"/>
      <c r="BD2400" s="115"/>
      <c r="BE2400" s="115"/>
      <c r="BF2400" s="115"/>
      <c r="BG2400" s="115"/>
      <c r="BH2400" s="115"/>
      <c r="BI2400" s="115"/>
      <c r="BJ2400" s="115"/>
      <c r="BK2400" s="115"/>
      <c r="BL2400" s="115"/>
      <c r="BM2400" s="115"/>
      <c r="BN2400" s="115"/>
      <c r="BO2400" s="115"/>
      <c r="BP2400" s="115"/>
      <c r="BQ2400" s="115"/>
      <c r="BR2400" s="115"/>
      <c r="BS2400" s="115"/>
      <c r="BT2400" s="115"/>
      <c r="BU2400" s="115"/>
      <c r="BV2400" s="115"/>
      <c r="BW2400" s="115"/>
      <c r="BX2400" s="115"/>
      <c r="BY2400" s="115"/>
      <c r="BZ2400" s="115"/>
      <c r="CA2400" s="115"/>
      <c r="CB2400" s="115"/>
      <c r="CC2400" s="115"/>
      <c r="CD2400" s="115"/>
      <c r="CE2400" s="115"/>
      <c r="CF2400" s="115"/>
      <c r="CG2400" s="115"/>
      <c r="CH2400" s="115"/>
      <c r="CI2400" s="115"/>
      <c r="CJ2400" s="115"/>
      <c r="CK2400" s="115"/>
      <c r="CL2400" s="115"/>
      <c r="CM2400" s="115"/>
      <c r="CN2400" s="115"/>
      <c r="CO2400" s="115"/>
      <c r="CP2400" s="115"/>
      <c r="CQ2400" s="115"/>
      <c r="CR2400" s="115"/>
      <c r="CS2400" s="115"/>
      <c r="CT2400" s="115"/>
      <c r="CU2400" s="115"/>
      <c r="CV2400" s="115"/>
      <c r="CW2400" s="115"/>
      <c r="CX2400" s="115"/>
      <c r="CY2400" s="115"/>
      <c r="CZ2400" s="115"/>
      <c r="DA2400" s="115"/>
      <c r="DB2400" s="115"/>
      <c r="DC2400" s="115"/>
      <c r="DD2400" s="115"/>
      <c r="DE2400" s="115"/>
      <c r="DF2400" s="115"/>
      <c r="DG2400" s="115"/>
    </row>
    <row r="2401" spans="55:111" hidden="1">
      <c r="BC2401" s="115"/>
      <c r="BD2401" s="115"/>
      <c r="BE2401" s="115"/>
      <c r="BF2401" s="115"/>
      <c r="BG2401" s="115"/>
      <c r="BH2401" s="115"/>
      <c r="BI2401" s="115"/>
      <c r="BJ2401" s="115"/>
      <c r="BK2401" s="115"/>
      <c r="BL2401" s="115"/>
      <c r="BM2401" s="115"/>
      <c r="BN2401" s="115"/>
      <c r="BO2401" s="115"/>
      <c r="BP2401" s="115"/>
      <c r="BQ2401" s="115"/>
      <c r="BR2401" s="115"/>
      <c r="BS2401" s="115"/>
      <c r="BT2401" s="115"/>
      <c r="BU2401" s="115"/>
      <c r="BV2401" s="115"/>
      <c r="BW2401" s="115"/>
      <c r="BX2401" s="115"/>
      <c r="BY2401" s="115"/>
      <c r="BZ2401" s="115"/>
      <c r="CA2401" s="115"/>
      <c r="CB2401" s="115"/>
      <c r="CC2401" s="115"/>
      <c r="CD2401" s="115"/>
      <c r="CE2401" s="115"/>
      <c r="CF2401" s="115"/>
      <c r="CG2401" s="115"/>
      <c r="CH2401" s="115"/>
      <c r="CI2401" s="115"/>
      <c r="CJ2401" s="115"/>
      <c r="CK2401" s="115"/>
      <c r="CL2401" s="115"/>
      <c r="CM2401" s="115"/>
      <c r="CN2401" s="115"/>
      <c r="CO2401" s="115"/>
      <c r="CP2401" s="115"/>
      <c r="CQ2401" s="115"/>
      <c r="CR2401" s="115"/>
      <c r="CS2401" s="115"/>
      <c r="CT2401" s="115"/>
      <c r="CU2401" s="115"/>
      <c r="CV2401" s="115"/>
      <c r="CW2401" s="115"/>
      <c r="CX2401" s="115"/>
      <c r="CY2401" s="115"/>
      <c r="CZ2401" s="115"/>
      <c r="DA2401" s="115"/>
      <c r="DB2401" s="115"/>
      <c r="DC2401" s="115"/>
      <c r="DD2401" s="115"/>
      <c r="DE2401" s="115"/>
      <c r="DF2401" s="115"/>
      <c r="DG2401" s="115"/>
    </row>
    <row r="2402" spans="55:111" hidden="1">
      <c r="BC2402" s="115"/>
      <c r="BD2402" s="115"/>
      <c r="BE2402" s="115"/>
      <c r="BF2402" s="115"/>
      <c r="BG2402" s="115"/>
      <c r="BH2402" s="115"/>
      <c r="BI2402" s="115"/>
      <c r="BJ2402" s="115"/>
      <c r="BK2402" s="115"/>
      <c r="BL2402" s="115"/>
      <c r="BM2402" s="115"/>
      <c r="BN2402" s="115"/>
      <c r="BO2402" s="115"/>
      <c r="BP2402" s="115"/>
      <c r="BQ2402" s="115"/>
      <c r="BR2402" s="115"/>
      <c r="BS2402" s="115"/>
      <c r="BT2402" s="115"/>
      <c r="BU2402" s="115"/>
      <c r="BV2402" s="115"/>
      <c r="BW2402" s="115"/>
      <c r="BX2402" s="115"/>
      <c r="BY2402" s="115"/>
      <c r="BZ2402" s="115"/>
      <c r="CA2402" s="115"/>
      <c r="CB2402" s="115"/>
      <c r="CC2402" s="115"/>
      <c r="CD2402" s="115"/>
      <c r="CE2402" s="115"/>
      <c r="CF2402" s="115"/>
      <c r="CG2402" s="115"/>
      <c r="CH2402" s="115"/>
      <c r="CI2402" s="115"/>
      <c r="CJ2402" s="115"/>
      <c r="CK2402" s="115"/>
      <c r="CL2402" s="115"/>
      <c r="CM2402" s="115"/>
      <c r="CN2402" s="115"/>
      <c r="CO2402" s="115"/>
      <c r="CP2402" s="115"/>
      <c r="CQ2402" s="115"/>
      <c r="CR2402" s="115"/>
      <c r="CS2402" s="115"/>
      <c r="CT2402" s="115"/>
      <c r="CU2402" s="115"/>
      <c r="CV2402" s="115"/>
      <c r="CW2402" s="115"/>
      <c r="CX2402" s="115"/>
      <c r="CY2402" s="115"/>
      <c r="CZ2402" s="115"/>
      <c r="DA2402" s="115"/>
      <c r="DB2402" s="115"/>
      <c r="DC2402" s="115"/>
      <c r="DD2402" s="115"/>
      <c r="DE2402" s="115"/>
      <c r="DF2402" s="115"/>
      <c r="DG2402" s="115"/>
    </row>
    <row r="2403" spans="55:111" hidden="1">
      <c r="BC2403" s="115"/>
      <c r="BD2403" s="115"/>
      <c r="BE2403" s="115"/>
      <c r="BF2403" s="115"/>
      <c r="BG2403" s="115"/>
      <c r="BH2403" s="115"/>
      <c r="BI2403" s="115"/>
      <c r="BJ2403" s="115"/>
      <c r="BK2403" s="115"/>
      <c r="BL2403" s="115"/>
      <c r="BM2403" s="115"/>
      <c r="BN2403" s="115"/>
      <c r="BO2403" s="115"/>
      <c r="BP2403" s="115"/>
      <c r="BQ2403" s="115"/>
      <c r="BR2403" s="115"/>
      <c r="BS2403" s="115"/>
      <c r="BT2403" s="115"/>
      <c r="BU2403" s="115"/>
      <c r="BV2403" s="115"/>
      <c r="BW2403" s="115"/>
      <c r="BX2403" s="115"/>
      <c r="BY2403" s="115"/>
      <c r="BZ2403" s="115"/>
      <c r="CA2403" s="115"/>
      <c r="CB2403" s="115"/>
      <c r="CC2403" s="115"/>
      <c r="CD2403" s="115"/>
      <c r="CE2403" s="115"/>
      <c r="CF2403" s="115"/>
      <c r="CG2403" s="115"/>
      <c r="CH2403" s="115"/>
      <c r="CI2403" s="115"/>
      <c r="CJ2403" s="115"/>
      <c r="CK2403" s="115"/>
      <c r="CL2403" s="115"/>
      <c r="CM2403" s="115"/>
      <c r="CN2403" s="115"/>
      <c r="CO2403" s="115"/>
      <c r="CP2403" s="115"/>
      <c r="CQ2403" s="115"/>
      <c r="CR2403" s="115"/>
      <c r="CS2403" s="115"/>
      <c r="CT2403" s="115"/>
      <c r="CU2403" s="115"/>
      <c r="CV2403" s="115"/>
      <c r="CW2403" s="115"/>
      <c r="CX2403" s="115"/>
      <c r="CY2403" s="115"/>
      <c r="CZ2403" s="115"/>
      <c r="DA2403" s="115"/>
      <c r="DB2403" s="115"/>
      <c r="DC2403" s="115"/>
      <c r="DD2403" s="115"/>
      <c r="DE2403" s="115"/>
      <c r="DF2403" s="115"/>
      <c r="DG2403" s="115"/>
    </row>
    <row r="2404" spans="55:111" hidden="1">
      <c r="BC2404" s="115"/>
      <c r="BD2404" s="115"/>
      <c r="BE2404" s="115"/>
      <c r="BF2404" s="115"/>
      <c r="BG2404" s="115"/>
      <c r="BH2404" s="115"/>
      <c r="BI2404" s="115"/>
      <c r="BJ2404" s="115"/>
      <c r="BK2404" s="115"/>
      <c r="BL2404" s="115"/>
      <c r="BM2404" s="115"/>
      <c r="BN2404" s="115"/>
      <c r="BO2404" s="115"/>
      <c r="BP2404" s="115"/>
      <c r="BQ2404" s="115"/>
      <c r="BR2404" s="115"/>
      <c r="BS2404" s="115"/>
      <c r="BT2404" s="115"/>
      <c r="BU2404" s="115"/>
      <c r="BV2404" s="115"/>
      <c r="BW2404" s="115"/>
      <c r="BX2404" s="115"/>
      <c r="BY2404" s="115"/>
      <c r="BZ2404" s="115"/>
      <c r="CA2404" s="115"/>
      <c r="CB2404" s="115"/>
      <c r="CC2404" s="115"/>
      <c r="CD2404" s="115"/>
      <c r="CE2404" s="115"/>
      <c r="CF2404" s="115"/>
      <c r="CG2404" s="115"/>
      <c r="CH2404" s="115"/>
      <c r="CI2404" s="115"/>
      <c r="CJ2404" s="115"/>
      <c r="CK2404" s="115"/>
      <c r="CL2404" s="115"/>
      <c r="CM2404" s="115"/>
      <c r="CN2404" s="115"/>
      <c r="CO2404" s="115"/>
      <c r="CP2404" s="115"/>
      <c r="CQ2404" s="115"/>
      <c r="CR2404" s="115"/>
      <c r="CS2404" s="115"/>
      <c r="CT2404" s="115"/>
      <c r="CU2404" s="115"/>
      <c r="CV2404" s="115"/>
      <c r="CW2404" s="115"/>
      <c r="CX2404" s="115"/>
      <c r="CY2404" s="115"/>
      <c r="CZ2404" s="115"/>
      <c r="DA2404" s="115"/>
      <c r="DB2404" s="115"/>
      <c r="DC2404" s="115"/>
      <c r="DD2404" s="115"/>
      <c r="DE2404" s="115"/>
      <c r="DF2404" s="115"/>
      <c r="DG2404" s="115"/>
    </row>
    <row r="2405" spans="55:111" hidden="1">
      <c r="BC2405" s="115"/>
      <c r="BD2405" s="115"/>
      <c r="BE2405" s="115"/>
      <c r="BF2405" s="115"/>
      <c r="BG2405" s="115"/>
      <c r="BH2405" s="115"/>
      <c r="BI2405" s="115"/>
      <c r="BJ2405" s="115"/>
      <c r="BK2405" s="115"/>
      <c r="BL2405" s="115"/>
      <c r="BM2405" s="115"/>
      <c r="BN2405" s="115"/>
      <c r="BO2405" s="115"/>
      <c r="BP2405" s="115"/>
      <c r="BQ2405" s="115"/>
      <c r="BR2405" s="115"/>
      <c r="BS2405" s="115"/>
      <c r="BT2405" s="115"/>
      <c r="BU2405" s="115"/>
      <c r="BV2405" s="115"/>
      <c r="BW2405" s="115"/>
      <c r="BX2405" s="115"/>
      <c r="BY2405" s="115"/>
      <c r="BZ2405" s="115"/>
      <c r="CA2405" s="115"/>
      <c r="CB2405" s="115"/>
      <c r="CC2405" s="115"/>
      <c r="CD2405" s="115"/>
      <c r="CE2405" s="115"/>
      <c r="CF2405" s="115"/>
      <c r="CG2405" s="115"/>
      <c r="CH2405" s="115"/>
      <c r="CI2405" s="115"/>
      <c r="CJ2405" s="115"/>
      <c r="CK2405" s="115"/>
      <c r="CL2405" s="115"/>
      <c r="CM2405" s="115"/>
      <c r="CN2405" s="115"/>
      <c r="CO2405" s="115"/>
      <c r="CP2405" s="115"/>
      <c r="CQ2405" s="115"/>
      <c r="CR2405" s="115"/>
      <c r="CS2405" s="115"/>
      <c r="CT2405" s="115"/>
      <c r="CU2405" s="115"/>
      <c r="CV2405" s="115"/>
      <c r="CW2405" s="115"/>
      <c r="CX2405" s="115"/>
      <c r="CY2405" s="115"/>
      <c r="CZ2405" s="115"/>
      <c r="DA2405" s="115"/>
      <c r="DB2405" s="115"/>
      <c r="DC2405" s="115"/>
      <c r="DD2405" s="115"/>
      <c r="DE2405" s="115"/>
      <c r="DF2405" s="115"/>
      <c r="DG2405" s="115"/>
    </row>
    <row r="2406" spans="55:111" hidden="1">
      <c r="BC2406" s="115"/>
      <c r="BD2406" s="115"/>
      <c r="BE2406" s="115"/>
      <c r="BF2406" s="115"/>
      <c r="BG2406" s="115"/>
      <c r="BH2406" s="115"/>
      <c r="BI2406" s="115"/>
      <c r="BJ2406" s="115"/>
      <c r="BK2406" s="115"/>
      <c r="BL2406" s="115"/>
      <c r="BM2406" s="115"/>
      <c r="BN2406" s="115"/>
      <c r="BO2406" s="115"/>
      <c r="BP2406" s="115"/>
      <c r="BQ2406" s="115"/>
      <c r="BR2406" s="115"/>
      <c r="BS2406" s="115"/>
      <c r="BT2406" s="115"/>
      <c r="BU2406" s="115"/>
      <c r="BV2406" s="115"/>
      <c r="BW2406" s="115"/>
      <c r="BX2406" s="115"/>
      <c r="BY2406" s="115"/>
      <c r="BZ2406" s="115"/>
      <c r="CA2406" s="115"/>
      <c r="CB2406" s="115"/>
      <c r="CC2406" s="115"/>
      <c r="CD2406" s="115"/>
      <c r="CE2406" s="115"/>
      <c r="CF2406" s="115"/>
      <c r="CG2406" s="115"/>
      <c r="CH2406" s="115"/>
      <c r="CI2406" s="115"/>
      <c r="CJ2406" s="115"/>
      <c r="CK2406" s="115"/>
      <c r="CL2406" s="115"/>
      <c r="CM2406" s="115"/>
      <c r="CN2406" s="115"/>
      <c r="CO2406" s="115"/>
      <c r="CP2406" s="115"/>
      <c r="CQ2406" s="115"/>
      <c r="CR2406" s="115"/>
      <c r="CS2406" s="115"/>
      <c r="CT2406" s="115"/>
      <c r="CU2406" s="115"/>
      <c r="CV2406" s="115"/>
      <c r="CW2406" s="115"/>
      <c r="CX2406" s="115"/>
      <c r="CY2406" s="115"/>
      <c r="CZ2406" s="115"/>
      <c r="DA2406" s="115"/>
      <c r="DB2406" s="115"/>
      <c r="DC2406" s="115"/>
      <c r="DD2406" s="115"/>
      <c r="DE2406" s="115"/>
      <c r="DF2406" s="115"/>
      <c r="DG2406" s="115"/>
    </row>
    <row r="2407" spans="55:111" hidden="1">
      <c r="BC2407" s="115"/>
      <c r="BD2407" s="115"/>
      <c r="BE2407" s="115"/>
      <c r="BF2407" s="115"/>
      <c r="BG2407" s="115"/>
      <c r="BH2407" s="115"/>
      <c r="BI2407" s="115"/>
      <c r="BJ2407" s="115"/>
      <c r="BK2407" s="115"/>
      <c r="BL2407" s="115"/>
      <c r="BM2407" s="115"/>
      <c r="BN2407" s="115"/>
      <c r="BO2407" s="115"/>
      <c r="BP2407" s="115"/>
      <c r="BQ2407" s="115"/>
      <c r="BR2407" s="115"/>
      <c r="BS2407" s="115"/>
      <c r="BT2407" s="115"/>
      <c r="BU2407" s="115"/>
      <c r="BV2407" s="115"/>
      <c r="BW2407" s="115"/>
      <c r="BX2407" s="115"/>
      <c r="BY2407" s="115"/>
      <c r="BZ2407" s="115"/>
      <c r="CA2407" s="115"/>
      <c r="CB2407" s="115"/>
      <c r="CC2407" s="115"/>
      <c r="CD2407" s="115"/>
      <c r="CE2407" s="115"/>
      <c r="CF2407" s="115"/>
      <c r="CG2407" s="115"/>
      <c r="CH2407" s="115"/>
      <c r="CI2407" s="115"/>
      <c r="CJ2407" s="115"/>
      <c r="CK2407" s="115"/>
      <c r="CL2407" s="115"/>
      <c r="CM2407" s="115"/>
      <c r="CN2407" s="115"/>
      <c r="CO2407" s="115"/>
      <c r="CP2407" s="115"/>
      <c r="CQ2407" s="115"/>
      <c r="CR2407" s="115"/>
      <c r="CS2407" s="115"/>
      <c r="CT2407" s="115"/>
      <c r="CU2407" s="115"/>
      <c r="CV2407" s="115"/>
      <c r="CW2407" s="115"/>
      <c r="CX2407" s="115"/>
      <c r="CY2407" s="115"/>
      <c r="CZ2407" s="115"/>
      <c r="DA2407" s="115"/>
      <c r="DB2407" s="115"/>
      <c r="DC2407" s="115"/>
      <c r="DD2407" s="115"/>
      <c r="DE2407" s="115"/>
      <c r="DF2407" s="115"/>
      <c r="DG2407" s="115"/>
    </row>
    <row r="2408" spans="55:111" hidden="1">
      <c r="BC2408" s="115"/>
      <c r="BD2408" s="115"/>
      <c r="BE2408" s="115"/>
      <c r="BF2408" s="115"/>
      <c r="BG2408" s="115"/>
      <c r="BH2408" s="115"/>
      <c r="BI2408" s="115"/>
      <c r="BJ2408" s="115"/>
      <c r="BK2408" s="115"/>
      <c r="BL2408" s="115"/>
      <c r="BM2408" s="115"/>
      <c r="BN2408" s="115"/>
      <c r="BO2408" s="115"/>
      <c r="BP2408" s="115"/>
      <c r="BQ2408" s="115"/>
      <c r="BR2408" s="115"/>
      <c r="BS2408" s="115"/>
      <c r="BT2408" s="115"/>
      <c r="BU2408" s="115"/>
      <c r="BV2408" s="115"/>
      <c r="BW2408" s="115"/>
      <c r="BX2408" s="115"/>
      <c r="BY2408" s="115"/>
      <c r="BZ2408" s="115"/>
      <c r="CA2408" s="115"/>
      <c r="CB2408" s="115"/>
      <c r="CC2408" s="115"/>
      <c r="CD2408" s="115"/>
      <c r="CE2408" s="115"/>
      <c r="CF2408" s="115"/>
      <c r="CG2408" s="115"/>
      <c r="CH2408" s="115"/>
      <c r="CI2408" s="115"/>
      <c r="CJ2408" s="115"/>
      <c r="CK2408" s="115"/>
      <c r="CL2408" s="115"/>
      <c r="CM2408" s="115"/>
      <c r="CN2408" s="115"/>
      <c r="CO2408" s="115"/>
      <c r="CP2408" s="115"/>
      <c r="CQ2408" s="115"/>
      <c r="CR2408" s="115"/>
      <c r="CS2408" s="115"/>
      <c r="CT2408" s="115"/>
      <c r="CU2408" s="115"/>
      <c r="CV2408" s="115"/>
      <c r="CW2408" s="115"/>
      <c r="CX2408" s="115"/>
      <c r="CY2408" s="115"/>
      <c r="CZ2408" s="115"/>
      <c r="DA2408" s="115"/>
      <c r="DB2408" s="115"/>
      <c r="DC2408" s="115"/>
      <c r="DD2408" s="115"/>
      <c r="DE2408" s="115"/>
      <c r="DF2408" s="115"/>
      <c r="DG2408" s="115"/>
    </row>
    <row r="2409" spans="55:111" hidden="1">
      <c r="BC2409" s="115"/>
      <c r="BD2409" s="115"/>
      <c r="BE2409" s="115"/>
      <c r="BF2409" s="115"/>
      <c r="BG2409" s="115"/>
      <c r="BH2409" s="115"/>
      <c r="BI2409" s="115"/>
      <c r="BJ2409" s="115"/>
      <c r="BK2409" s="115"/>
      <c r="BL2409" s="115"/>
      <c r="BM2409" s="115"/>
      <c r="BN2409" s="115"/>
      <c r="BO2409" s="115"/>
      <c r="BP2409" s="115"/>
      <c r="BQ2409" s="115"/>
      <c r="BR2409" s="115"/>
      <c r="BS2409" s="115"/>
      <c r="BT2409" s="115"/>
      <c r="BU2409" s="115"/>
      <c r="BV2409" s="115"/>
      <c r="BW2409" s="115"/>
      <c r="BX2409" s="115"/>
      <c r="BY2409" s="115"/>
      <c r="BZ2409" s="115"/>
      <c r="CA2409" s="115"/>
      <c r="CB2409" s="115"/>
      <c r="CC2409" s="115"/>
      <c r="CD2409" s="115"/>
      <c r="CE2409" s="115"/>
      <c r="CF2409" s="115"/>
      <c r="CG2409" s="115"/>
      <c r="CH2409" s="115"/>
      <c r="CI2409" s="115"/>
      <c r="CJ2409" s="115"/>
      <c r="CK2409" s="115"/>
      <c r="CL2409" s="115"/>
      <c r="CM2409" s="115"/>
      <c r="CN2409" s="115"/>
      <c r="CO2409" s="115"/>
      <c r="CP2409" s="115"/>
      <c r="CQ2409" s="115"/>
      <c r="CR2409" s="115"/>
      <c r="CS2409" s="115"/>
      <c r="CT2409" s="115"/>
      <c r="CU2409" s="115"/>
      <c r="CV2409" s="115"/>
      <c r="CW2409" s="115"/>
      <c r="CX2409" s="115"/>
      <c r="CY2409" s="115"/>
      <c r="CZ2409" s="115"/>
      <c r="DA2409" s="115"/>
      <c r="DB2409" s="115"/>
      <c r="DC2409" s="115"/>
      <c r="DD2409" s="115"/>
      <c r="DE2409" s="115"/>
      <c r="DF2409" s="115"/>
      <c r="DG2409" s="115"/>
    </row>
    <row r="2410" spans="55:111" hidden="1">
      <c r="BC2410" s="115"/>
      <c r="BD2410" s="115"/>
      <c r="BE2410" s="115"/>
      <c r="BF2410" s="115"/>
      <c r="BG2410" s="115"/>
      <c r="BH2410" s="115"/>
      <c r="BI2410" s="115"/>
      <c r="BJ2410" s="115"/>
      <c r="BK2410" s="115"/>
      <c r="BL2410" s="115"/>
      <c r="BM2410" s="115"/>
      <c r="BN2410" s="115"/>
      <c r="BO2410" s="115"/>
      <c r="BP2410" s="115"/>
      <c r="BQ2410" s="115"/>
      <c r="BR2410" s="115"/>
      <c r="BS2410" s="115"/>
      <c r="BT2410" s="115"/>
      <c r="BU2410" s="115"/>
      <c r="BV2410" s="115"/>
      <c r="BW2410" s="115"/>
      <c r="BX2410" s="115"/>
      <c r="BY2410" s="115"/>
      <c r="BZ2410" s="115"/>
      <c r="CA2410" s="115"/>
      <c r="CB2410" s="115"/>
      <c r="CC2410" s="115"/>
      <c r="CD2410" s="115"/>
      <c r="CE2410" s="115"/>
      <c r="CF2410" s="115"/>
      <c r="CG2410" s="115"/>
      <c r="CH2410" s="115"/>
      <c r="CI2410" s="115"/>
      <c r="CJ2410" s="115"/>
      <c r="CK2410" s="115"/>
      <c r="CL2410" s="115"/>
      <c r="CM2410" s="115"/>
      <c r="CN2410" s="115"/>
      <c r="CO2410" s="115"/>
      <c r="CP2410" s="115"/>
      <c r="CQ2410" s="115"/>
      <c r="CR2410" s="115"/>
      <c r="CS2410" s="115"/>
      <c r="CT2410" s="115"/>
      <c r="CU2410" s="115"/>
      <c r="CV2410" s="115"/>
      <c r="CW2410" s="115"/>
      <c r="CX2410" s="115"/>
      <c r="CY2410" s="115"/>
      <c r="CZ2410" s="115"/>
      <c r="DA2410" s="115"/>
      <c r="DB2410" s="115"/>
      <c r="DC2410" s="115"/>
      <c r="DD2410" s="115"/>
      <c r="DE2410" s="115"/>
      <c r="DF2410" s="115"/>
      <c r="DG2410" s="115"/>
    </row>
    <row r="2411" spans="55:111" hidden="1">
      <c r="BC2411" s="115"/>
      <c r="BD2411" s="115"/>
      <c r="BE2411" s="115"/>
      <c r="BF2411" s="115"/>
      <c r="BG2411" s="115"/>
      <c r="BH2411" s="115"/>
      <c r="BI2411" s="115"/>
      <c r="BJ2411" s="115"/>
      <c r="BK2411" s="115"/>
      <c r="BL2411" s="115"/>
      <c r="BM2411" s="115"/>
      <c r="BN2411" s="115"/>
      <c r="BO2411" s="115"/>
      <c r="BP2411" s="115"/>
      <c r="BQ2411" s="115"/>
      <c r="BR2411" s="115"/>
      <c r="BS2411" s="115"/>
      <c r="BT2411" s="115"/>
      <c r="BU2411" s="115"/>
      <c r="BV2411" s="115"/>
      <c r="BW2411" s="115"/>
      <c r="BX2411" s="115"/>
      <c r="BY2411" s="115"/>
      <c r="BZ2411" s="115"/>
      <c r="CA2411" s="115"/>
      <c r="CB2411" s="115"/>
      <c r="CC2411" s="115"/>
      <c r="CD2411" s="115"/>
      <c r="CE2411" s="115"/>
      <c r="CF2411" s="115"/>
      <c r="CG2411" s="115"/>
      <c r="CH2411" s="115"/>
      <c r="CI2411" s="115"/>
      <c r="CJ2411" s="115"/>
      <c r="CK2411" s="115"/>
      <c r="CL2411" s="115"/>
      <c r="CM2411" s="115"/>
      <c r="CN2411" s="115"/>
      <c r="CO2411" s="115"/>
      <c r="CP2411" s="115"/>
      <c r="CQ2411" s="115"/>
      <c r="CR2411" s="115"/>
      <c r="CS2411" s="115"/>
      <c r="CT2411" s="115"/>
      <c r="CU2411" s="115"/>
      <c r="CV2411" s="115"/>
      <c r="CW2411" s="115"/>
      <c r="CX2411" s="115"/>
      <c r="CY2411" s="115"/>
      <c r="CZ2411" s="115"/>
      <c r="DA2411" s="115"/>
      <c r="DB2411" s="115"/>
      <c r="DC2411" s="115"/>
      <c r="DD2411" s="115"/>
      <c r="DE2411" s="115"/>
      <c r="DF2411" s="115"/>
      <c r="DG2411" s="115"/>
    </row>
    <row r="2412" spans="55:111" hidden="1">
      <c r="BC2412" s="115"/>
      <c r="BD2412" s="115"/>
      <c r="BE2412" s="115"/>
      <c r="BF2412" s="115"/>
      <c r="BG2412" s="115"/>
      <c r="BH2412" s="115"/>
      <c r="BI2412" s="115"/>
      <c r="BJ2412" s="115"/>
      <c r="BK2412" s="115"/>
      <c r="BL2412" s="115"/>
      <c r="BM2412" s="115"/>
      <c r="BN2412" s="115"/>
      <c r="BO2412" s="115"/>
      <c r="BP2412" s="115"/>
      <c r="BQ2412" s="115"/>
      <c r="BR2412" s="115"/>
      <c r="BS2412" s="115"/>
      <c r="BT2412" s="115"/>
      <c r="BU2412" s="115"/>
      <c r="BV2412" s="115"/>
      <c r="BW2412" s="115"/>
      <c r="BX2412" s="115"/>
      <c r="BY2412" s="115"/>
      <c r="BZ2412" s="115"/>
      <c r="CA2412" s="115"/>
      <c r="CB2412" s="115"/>
      <c r="CC2412" s="115"/>
      <c r="CD2412" s="115"/>
      <c r="CE2412" s="115"/>
      <c r="CF2412" s="115"/>
      <c r="CG2412" s="115"/>
      <c r="CH2412" s="115"/>
      <c r="CI2412" s="115"/>
      <c r="CJ2412" s="115"/>
      <c r="CK2412" s="115"/>
      <c r="CL2412" s="115"/>
      <c r="CM2412" s="115"/>
      <c r="CN2412" s="115"/>
      <c r="CO2412" s="115"/>
      <c r="CP2412" s="115"/>
      <c r="CQ2412" s="115"/>
      <c r="CR2412" s="115"/>
      <c r="CS2412" s="115"/>
      <c r="CT2412" s="115"/>
      <c r="CU2412" s="115"/>
      <c r="CV2412" s="115"/>
      <c r="CW2412" s="115"/>
      <c r="CX2412" s="115"/>
      <c r="CY2412" s="115"/>
      <c r="CZ2412" s="115"/>
      <c r="DA2412" s="115"/>
      <c r="DB2412" s="115"/>
      <c r="DC2412" s="115"/>
      <c r="DD2412" s="115"/>
      <c r="DE2412" s="115"/>
      <c r="DF2412" s="115"/>
      <c r="DG2412" s="115"/>
    </row>
    <row r="2413" spans="55:111" hidden="1">
      <c r="BC2413" s="115"/>
      <c r="BD2413" s="115"/>
      <c r="BE2413" s="115"/>
      <c r="BF2413" s="115"/>
      <c r="BG2413" s="115"/>
      <c r="BH2413" s="115"/>
      <c r="BI2413" s="115"/>
      <c r="BJ2413" s="115"/>
      <c r="BK2413" s="115"/>
      <c r="BL2413" s="115"/>
      <c r="BM2413" s="115"/>
      <c r="BN2413" s="115"/>
      <c r="BO2413" s="115"/>
      <c r="BP2413" s="115"/>
      <c r="BQ2413" s="115"/>
      <c r="BR2413" s="115"/>
      <c r="BS2413" s="115"/>
      <c r="BT2413" s="115"/>
      <c r="BU2413" s="115"/>
      <c r="BV2413" s="115"/>
      <c r="BW2413" s="115"/>
      <c r="BX2413" s="115"/>
      <c r="BY2413" s="115"/>
      <c r="BZ2413" s="115"/>
      <c r="CA2413" s="115"/>
      <c r="CB2413" s="115"/>
      <c r="CC2413" s="115"/>
      <c r="CD2413" s="115"/>
      <c r="CE2413" s="115"/>
      <c r="CF2413" s="115"/>
      <c r="CG2413" s="115"/>
      <c r="CH2413" s="115"/>
      <c r="CI2413" s="115"/>
      <c r="CJ2413" s="115"/>
      <c r="CK2413" s="115"/>
      <c r="CL2413" s="115"/>
      <c r="CM2413" s="115"/>
      <c r="CN2413" s="115"/>
      <c r="CO2413" s="115"/>
      <c r="CP2413" s="115"/>
      <c r="CQ2413" s="115"/>
      <c r="CR2413" s="115"/>
      <c r="CS2413" s="115"/>
      <c r="CT2413" s="115"/>
      <c r="CU2413" s="115"/>
      <c r="CV2413" s="115"/>
      <c r="CW2413" s="115"/>
      <c r="CX2413" s="115"/>
      <c r="CY2413" s="115"/>
      <c r="CZ2413" s="115"/>
      <c r="DA2413" s="115"/>
      <c r="DB2413" s="115"/>
      <c r="DC2413" s="115"/>
      <c r="DD2413" s="115"/>
      <c r="DE2413" s="115"/>
      <c r="DF2413" s="115"/>
      <c r="DG2413" s="115"/>
    </row>
    <row r="2414" spans="55:111" hidden="1">
      <c r="BC2414" s="115"/>
      <c r="BD2414" s="115"/>
      <c r="BE2414" s="115"/>
      <c r="BF2414" s="115"/>
      <c r="BG2414" s="115"/>
      <c r="BH2414" s="115"/>
      <c r="BI2414" s="115"/>
      <c r="BJ2414" s="115"/>
      <c r="BK2414" s="115"/>
      <c r="BL2414" s="115"/>
      <c r="BM2414" s="115"/>
      <c r="BN2414" s="115"/>
      <c r="BO2414" s="115"/>
      <c r="BP2414" s="115"/>
      <c r="BQ2414" s="115"/>
      <c r="BR2414" s="115"/>
      <c r="BS2414" s="115"/>
      <c r="BT2414" s="115"/>
      <c r="BU2414" s="115"/>
      <c r="BV2414" s="115"/>
      <c r="BW2414" s="115"/>
      <c r="BX2414" s="115"/>
      <c r="BY2414" s="115"/>
      <c r="BZ2414" s="115"/>
      <c r="CA2414" s="115"/>
      <c r="CB2414" s="115"/>
      <c r="CC2414" s="115"/>
      <c r="CD2414" s="115"/>
      <c r="CE2414" s="115"/>
      <c r="CF2414" s="115"/>
      <c r="CG2414" s="115"/>
      <c r="CH2414" s="115"/>
      <c r="CI2414" s="115"/>
      <c r="CJ2414" s="115"/>
      <c r="CK2414" s="115"/>
      <c r="CL2414" s="115"/>
      <c r="CM2414" s="115"/>
      <c r="CN2414" s="115"/>
      <c r="CO2414" s="115"/>
      <c r="CP2414" s="115"/>
      <c r="CQ2414" s="115"/>
      <c r="CR2414" s="115"/>
      <c r="CS2414" s="115"/>
      <c r="CT2414" s="115"/>
      <c r="CU2414" s="115"/>
      <c r="CV2414" s="115"/>
      <c r="CW2414" s="115"/>
      <c r="CX2414" s="115"/>
      <c r="CY2414" s="115"/>
      <c r="CZ2414" s="115"/>
      <c r="DA2414" s="115"/>
      <c r="DB2414" s="115"/>
      <c r="DC2414" s="115"/>
      <c r="DD2414" s="115"/>
      <c r="DE2414" s="115"/>
      <c r="DF2414" s="115"/>
      <c r="DG2414" s="115"/>
    </row>
    <row r="2415" spans="55:111" hidden="1">
      <c r="BC2415" s="115"/>
      <c r="BD2415" s="115"/>
      <c r="BE2415" s="115"/>
      <c r="BF2415" s="115"/>
      <c r="BG2415" s="115"/>
      <c r="BH2415" s="115"/>
      <c r="BI2415" s="115"/>
      <c r="BJ2415" s="115"/>
      <c r="BK2415" s="115"/>
      <c r="BL2415" s="115"/>
      <c r="BM2415" s="115"/>
      <c r="BN2415" s="115"/>
      <c r="BO2415" s="115"/>
      <c r="BP2415" s="115"/>
      <c r="BQ2415" s="115"/>
      <c r="BR2415" s="115"/>
      <c r="BS2415" s="115"/>
      <c r="BT2415" s="115"/>
      <c r="BU2415" s="115"/>
      <c r="BV2415" s="115"/>
      <c r="BW2415" s="115"/>
      <c r="BX2415" s="115"/>
      <c r="BY2415" s="115"/>
      <c r="BZ2415" s="115"/>
      <c r="CA2415" s="115"/>
      <c r="CB2415" s="115"/>
      <c r="CC2415" s="115"/>
      <c r="CD2415" s="115"/>
      <c r="CE2415" s="115"/>
      <c r="CF2415" s="115"/>
      <c r="CG2415" s="115"/>
      <c r="CH2415" s="115"/>
      <c r="CI2415" s="115"/>
      <c r="CJ2415" s="115"/>
      <c r="CK2415" s="115"/>
      <c r="CL2415" s="115"/>
      <c r="CM2415" s="115"/>
      <c r="CN2415" s="115"/>
      <c r="CO2415" s="115"/>
      <c r="CP2415" s="115"/>
      <c r="CQ2415" s="115"/>
      <c r="CR2415" s="115"/>
      <c r="CS2415" s="115"/>
      <c r="CT2415" s="115"/>
      <c r="CU2415" s="115"/>
      <c r="CV2415" s="115"/>
      <c r="CW2415" s="115"/>
      <c r="CX2415" s="115"/>
      <c r="CY2415" s="115"/>
      <c r="CZ2415" s="115"/>
      <c r="DA2415" s="115"/>
      <c r="DB2415" s="115"/>
      <c r="DC2415" s="115"/>
      <c r="DD2415" s="115"/>
      <c r="DE2415" s="115"/>
      <c r="DF2415" s="115"/>
      <c r="DG2415" s="115"/>
    </row>
    <row r="2416" spans="55:111" hidden="1">
      <c r="BC2416" s="115"/>
      <c r="BD2416" s="115"/>
      <c r="BE2416" s="115"/>
      <c r="BF2416" s="115"/>
      <c r="BG2416" s="115"/>
      <c r="BH2416" s="115"/>
      <c r="BI2416" s="115"/>
      <c r="BJ2416" s="115"/>
      <c r="BK2416" s="115"/>
      <c r="BL2416" s="115"/>
      <c r="BM2416" s="115"/>
      <c r="BN2416" s="115"/>
      <c r="BO2416" s="115"/>
      <c r="BP2416" s="115"/>
      <c r="BQ2416" s="115"/>
      <c r="BR2416" s="115"/>
      <c r="BS2416" s="115"/>
      <c r="BT2416" s="115"/>
      <c r="BU2416" s="115"/>
      <c r="BV2416" s="115"/>
      <c r="BW2416" s="115"/>
      <c r="BX2416" s="115"/>
      <c r="BY2416" s="115"/>
      <c r="BZ2416" s="115"/>
      <c r="CA2416" s="115"/>
      <c r="CB2416" s="115"/>
      <c r="CC2416" s="115"/>
      <c r="CD2416" s="115"/>
      <c r="CE2416" s="115"/>
      <c r="CF2416" s="115"/>
      <c r="CG2416" s="115"/>
      <c r="CH2416" s="115"/>
      <c r="CI2416" s="115"/>
      <c r="CJ2416" s="115"/>
      <c r="CK2416" s="115"/>
      <c r="CL2416" s="115"/>
      <c r="CM2416" s="115"/>
      <c r="CN2416" s="115"/>
      <c r="CO2416" s="115"/>
      <c r="CP2416" s="115"/>
      <c r="CQ2416" s="115"/>
      <c r="CR2416" s="115"/>
      <c r="CS2416" s="115"/>
      <c r="CT2416" s="115"/>
      <c r="CU2416" s="115"/>
      <c r="CV2416" s="115"/>
      <c r="CW2416" s="115"/>
      <c r="CX2416" s="115"/>
      <c r="CY2416" s="115"/>
      <c r="CZ2416" s="115"/>
      <c r="DA2416" s="115"/>
      <c r="DB2416" s="115"/>
      <c r="DC2416" s="115"/>
      <c r="DD2416" s="115"/>
      <c r="DE2416" s="115"/>
      <c r="DF2416" s="115"/>
      <c r="DG2416" s="115"/>
    </row>
    <row r="2417" spans="55:111" hidden="1">
      <c r="BC2417" s="115"/>
      <c r="BD2417" s="115"/>
      <c r="BE2417" s="115"/>
      <c r="BF2417" s="115"/>
      <c r="BG2417" s="115"/>
      <c r="BH2417" s="115"/>
      <c r="BI2417" s="115"/>
      <c r="BJ2417" s="115"/>
      <c r="BK2417" s="115"/>
      <c r="BL2417" s="115"/>
      <c r="BM2417" s="115"/>
      <c r="BN2417" s="115"/>
      <c r="BO2417" s="115"/>
      <c r="BP2417" s="115"/>
      <c r="BQ2417" s="115"/>
      <c r="BR2417" s="115"/>
      <c r="BS2417" s="115"/>
      <c r="BT2417" s="115"/>
      <c r="BU2417" s="115"/>
      <c r="BV2417" s="115"/>
      <c r="BW2417" s="115"/>
      <c r="BX2417" s="115"/>
      <c r="BY2417" s="115"/>
      <c r="BZ2417" s="115"/>
      <c r="CA2417" s="115"/>
      <c r="CB2417" s="115"/>
      <c r="CC2417" s="115"/>
      <c r="CD2417" s="115"/>
      <c r="CE2417" s="115"/>
      <c r="CF2417" s="115"/>
      <c r="CG2417" s="115"/>
      <c r="CH2417" s="115"/>
      <c r="CI2417" s="115"/>
      <c r="CJ2417" s="115"/>
      <c r="CK2417" s="115"/>
      <c r="CL2417" s="115"/>
      <c r="CM2417" s="115"/>
      <c r="CN2417" s="115"/>
      <c r="CO2417" s="115"/>
      <c r="CP2417" s="115"/>
      <c r="CQ2417" s="115"/>
      <c r="CR2417" s="115"/>
      <c r="CS2417" s="115"/>
      <c r="CT2417" s="115"/>
      <c r="CU2417" s="115"/>
      <c r="CV2417" s="115"/>
      <c r="CW2417" s="115"/>
      <c r="CX2417" s="115"/>
      <c r="CY2417" s="115"/>
      <c r="CZ2417" s="115"/>
      <c r="DA2417" s="115"/>
      <c r="DB2417" s="115"/>
      <c r="DC2417" s="115"/>
      <c r="DD2417" s="115"/>
      <c r="DE2417" s="115"/>
      <c r="DF2417" s="115"/>
      <c r="DG2417" s="115"/>
    </row>
    <row r="2418" spans="55:111" hidden="1">
      <c r="BC2418" s="115"/>
      <c r="BD2418" s="115"/>
      <c r="BE2418" s="115"/>
      <c r="BF2418" s="115"/>
      <c r="BG2418" s="115"/>
      <c r="BH2418" s="115"/>
      <c r="BI2418" s="115"/>
      <c r="BJ2418" s="115"/>
      <c r="BK2418" s="115"/>
      <c r="BL2418" s="115"/>
      <c r="BM2418" s="115"/>
      <c r="BN2418" s="115"/>
      <c r="BO2418" s="115"/>
      <c r="BP2418" s="115"/>
      <c r="BQ2418" s="115"/>
      <c r="BR2418" s="115"/>
      <c r="BS2418" s="115"/>
      <c r="BT2418" s="115"/>
      <c r="BU2418" s="115"/>
      <c r="BV2418" s="115"/>
      <c r="BW2418" s="115"/>
      <c r="BX2418" s="115"/>
      <c r="BY2418" s="115"/>
      <c r="BZ2418" s="115"/>
      <c r="CA2418" s="115"/>
      <c r="CB2418" s="115"/>
      <c r="CC2418" s="115"/>
      <c r="CD2418" s="115"/>
      <c r="CE2418" s="115"/>
      <c r="CF2418" s="115"/>
      <c r="CG2418" s="115"/>
      <c r="CH2418" s="115"/>
      <c r="CI2418" s="115"/>
      <c r="CJ2418" s="115"/>
      <c r="CK2418" s="115"/>
      <c r="CL2418" s="115"/>
      <c r="CM2418" s="115"/>
      <c r="CN2418" s="115"/>
      <c r="CO2418" s="115"/>
      <c r="CP2418" s="115"/>
      <c r="CQ2418" s="115"/>
      <c r="CR2418" s="115"/>
      <c r="CS2418" s="115"/>
      <c r="CT2418" s="115"/>
      <c r="CU2418" s="115"/>
      <c r="CV2418" s="115"/>
      <c r="CW2418" s="115"/>
      <c r="CX2418" s="115"/>
      <c r="CY2418" s="115"/>
      <c r="CZ2418" s="115"/>
      <c r="DA2418" s="115"/>
      <c r="DB2418" s="115"/>
      <c r="DC2418" s="115"/>
      <c r="DD2418" s="115"/>
      <c r="DE2418" s="115"/>
      <c r="DF2418" s="115"/>
      <c r="DG2418" s="115"/>
    </row>
    <row r="2419" spans="55:111" hidden="1">
      <c r="BC2419" s="115"/>
      <c r="BD2419" s="115"/>
      <c r="BE2419" s="115"/>
      <c r="BF2419" s="115"/>
      <c r="BG2419" s="115"/>
      <c r="BH2419" s="115"/>
      <c r="BI2419" s="115"/>
      <c r="BJ2419" s="115"/>
      <c r="BK2419" s="115"/>
      <c r="BL2419" s="115"/>
      <c r="BM2419" s="115"/>
      <c r="BN2419" s="115"/>
      <c r="BO2419" s="115"/>
      <c r="BP2419" s="115"/>
      <c r="BQ2419" s="115"/>
      <c r="BR2419" s="115"/>
      <c r="BS2419" s="115"/>
      <c r="BT2419" s="115"/>
      <c r="BU2419" s="115"/>
      <c r="BV2419" s="115"/>
      <c r="BW2419" s="115"/>
      <c r="BX2419" s="115"/>
      <c r="BY2419" s="115"/>
      <c r="BZ2419" s="115"/>
      <c r="CA2419" s="115"/>
      <c r="CB2419" s="115"/>
      <c r="CC2419" s="115"/>
      <c r="CD2419" s="115"/>
      <c r="CE2419" s="115"/>
      <c r="CF2419" s="115"/>
      <c r="CG2419" s="115"/>
      <c r="CH2419" s="115"/>
      <c r="CI2419" s="115"/>
      <c r="CJ2419" s="115"/>
      <c r="CK2419" s="115"/>
      <c r="CL2419" s="115"/>
      <c r="CM2419" s="115"/>
      <c r="CN2419" s="115"/>
      <c r="CO2419" s="115"/>
      <c r="CP2419" s="115"/>
      <c r="CQ2419" s="115"/>
      <c r="CR2419" s="115"/>
      <c r="CS2419" s="115"/>
      <c r="CT2419" s="115"/>
      <c r="CU2419" s="115"/>
      <c r="CV2419" s="115"/>
      <c r="CW2419" s="115"/>
      <c r="CX2419" s="115"/>
      <c r="CY2419" s="115"/>
      <c r="CZ2419" s="115"/>
      <c r="DA2419" s="115"/>
      <c r="DB2419" s="115"/>
      <c r="DC2419" s="115"/>
      <c r="DD2419" s="115"/>
      <c r="DE2419" s="115"/>
      <c r="DF2419" s="115"/>
      <c r="DG2419" s="115"/>
    </row>
    <row r="2420" spans="55:111" hidden="1">
      <c r="BC2420" s="115"/>
      <c r="BD2420" s="115"/>
      <c r="BE2420" s="115"/>
      <c r="BF2420" s="115"/>
      <c r="BG2420" s="115"/>
      <c r="BH2420" s="115"/>
      <c r="BI2420" s="115"/>
      <c r="BJ2420" s="115"/>
      <c r="BK2420" s="115"/>
      <c r="BL2420" s="115"/>
      <c r="BM2420" s="115"/>
      <c r="BN2420" s="115"/>
      <c r="BO2420" s="115"/>
      <c r="BP2420" s="115"/>
      <c r="BQ2420" s="115"/>
      <c r="BR2420" s="115"/>
      <c r="BS2420" s="115"/>
      <c r="BT2420" s="115"/>
      <c r="BU2420" s="115"/>
      <c r="BV2420" s="115"/>
      <c r="BW2420" s="115"/>
      <c r="BX2420" s="115"/>
      <c r="BY2420" s="115"/>
      <c r="BZ2420" s="115"/>
      <c r="CA2420" s="115"/>
      <c r="CB2420" s="115"/>
      <c r="CC2420" s="115"/>
      <c r="CD2420" s="115"/>
      <c r="CE2420" s="115"/>
      <c r="CF2420" s="115"/>
      <c r="CG2420" s="115"/>
      <c r="CH2420" s="115"/>
      <c r="CI2420" s="115"/>
      <c r="CJ2420" s="115"/>
      <c r="CK2420" s="115"/>
      <c r="CL2420" s="115"/>
      <c r="CM2420" s="115"/>
      <c r="CN2420" s="115"/>
      <c r="CO2420" s="115"/>
      <c r="CP2420" s="115"/>
      <c r="CQ2420" s="115"/>
      <c r="CR2420" s="115"/>
      <c r="CS2420" s="115"/>
      <c r="CT2420" s="115"/>
      <c r="CU2420" s="115"/>
      <c r="CV2420" s="115"/>
      <c r="CW2420" s="115"/>
      <c r="CX2420" s="115"/>
      <c r="CY2420" s="115"/>
      <c r="CZ2420" s="115"/>
      <c r="DA2420" s="115"/>
      <c r="DB2420" s="115"/>
      <c r="DC2420" s="115"/>
      <c r="DD2420" s="115"/>
      <c r="DE2420" s="115"/>
      <c r="DF2420" s="115"/>
      <c r="DG2420" s="115"/>
    </row>
    <row r="2421" spans="55:111" hidden="1">
      <c r="BC2421" s="115"/>
      <c r="BD2421" s="115"/>
      <c r="BE2421" s="115"/>
      <c r="BF2421" s="115"/>
      <c r="BG2421" s="115"/>
      <c r="BH2421" s="115"/>
      <c r="BI2421" s="115"/>
      <c r="BJ2421" s="115"/>
      <c r="BK2421" s="115"/>
      <c r="BL2421" s="115"/>
      <c r="BM2421" s="115"/>
      <c r="BN2421" s="115"/>
      <c r="BO2421" s="115"/>
      <c r="BP2421" s="115"/>
      <c r="BQ2421" s="115"/>
      <c r="BR2421" s="115"/>
      <c r="BS2421" s="115"/>
      <c r="BT2421" s="115"/>
      <c r="BU2421" s="115"/>
      <c r="BV2421" s="115"/>
      <c r="BW2421" s="115"/>
      <c r="BX2421" s="115"/>
      <c r="BY2421" s="115"/>
      <c r="BZ2421" s="115"/>
      <c r="CA2421" s="115"/>
      <c r="CB2421" s="115"/>
      <c r="CC2421" s="115"/>
      <c r="CD2421" s="115"/>
      <c r="CE2421" s="115"/>
      <c r="CF2421" s="115"/>
      <c r="CG2421" s="115"/>
      <c r="CH2421" s="115"/>
      <c r="CI2421" s="115"/>
      <c r="CJ2421" s="115"/>
      <c r="CK2421" s="115"/>
      <c r="CL2421" s="115"/>
      <c r="CM2421" s="115"/>
      <c r="CN2421" s="115"/>
      <c r="CO2421" s="115"/>
      <c r="CP2421" s="115"/>
      <c r="CQ2421" s="115"/>
      <c r="CR2421" s="115"/>
      <c r="CS2421" s="115"/>
      <c r="CT2421" s="115"/>
      <c r="CU2421" s="115"/>
      <c r="CV2421" s="115"/>
      <c r="CW2421" s="115"/>
      <c r="CX2421" s="115"/>
      <c r="CY2421" s="115"/>
      <c r="CZ2421" s="115"/>
      <c r="DA2421" s="115"/>
      <c r="DB2421" s="115"/>
      <c r="DC2421" s="115"/>
      <c r="DD2421" s="115"/>
      <c r="DE2421" s="115"/>
      <c r="DF2421" s="115"/>
      <c r="DG2421" s="115"/>
    </row>
    <row r="2422" spans="55:111" hidden="1">
      <c r="BC2422" s="115"/>
      <c r="BD2422" s="115"/>
      <c r="BE2422" s="115"/>
      <c r="BF2422" s="115"/>
      <c r="BG2422" s="115"/>
      <c r="BH2422" s="115"/>
      <c r="BI2422" s="115"/>
      <c r="BJ2422" s="115"/>
      <c r="BK2422" s="115"/>
      <c r="BL2422" s="115"/>
      <c r="BM2422" s="115"/>
      <c r="BN2422" s="115"/>
      <c r="BO2422" s="115"/>
      <c r="BP2422" s="115"/>
      <c r="BQ2422" s="115"/>
      <c r="BR2422" s="115"/>
      <c r="BS2422" s="115"/>
      <c r="BT2422" s="115"/>
      <c r="BU2422" s="115"/>
      <c r="BV2422" s="115"/>
      <c r="BW2422" s="115"/>
      <c r="BX2422" s="115"/>
      <c r="BY2422" s="115"/>
      <c r="BZ2422" s="115"/>
      <c r="CA2422" s="115"/>
      <c r="CB2422" s="115"/>
      <c r="CC2422" s="115"/>
      <c r="CD2422" s="115"/>
      <c r="CE2422" s="115"/>
      <c r="CF2422" s="115"/>
      <c r="CG2422" s="115"/>
      <c r="CH2422" s="115"/>
      <c r="CI2422" s="115"/>
      <c r="CJ2422" s="115"/>
      <c r="CK2422" s="115"/>
      <c r="CL2422" s="115"/>
      <c r="CM2422" s="115"/>
      <c r="CN2422" s="115"/>
      <c r="CO2422" s="115"/>
      <c r="CP2422" s="115"/>
      <c r="CQ2422" s="115"/>
      <c r="CR2422" s="115"/>
      <c r="CS2422" s="115"/>
      <c r="CT2422" s="115"/>
      <c r="CU2422" s="115"/>
      <c r="CV2422" s="115"/>
      <c r="CW2422" s="115"/>
      <c r="CX2422" s="115"/>
      <c r="CY2422" s="115"/>
      <c r="CZ2422" s="115"/>
      <c r="DA2422" s="115"/>
      <c r="DB2422" s="115"/>
      <c r="DC2422" s="115"/>
      <c r="DD2422" s="115"/>
      <c r="DE2422" s="115"/>
      <c r="DF2422" s="115"/>
      <c r="DG2422" s="115"/>
    </row>
    <row r="2423" spans="55:111" hidden="1">
      <c r="BC2423" s="115"/>
      <c r="BD2423" s="115"/>
      <c r="BE2423" s="115"/>
      <c r="BF2423" s="115"/>
      <c r="BG2423" s="115"/>
      <c r="BH2423" s="115"/>
      <c r="BI2423" s="115"/>
      <c r="BJ2423" s="115"/>
      <c r="BK2423" s="115"/>
      <c r="BL2423" s="115"/>
      <c r="BM2423" s="115"/>
      <c r="BN2423" s="115"/>
      <c r="BO2423" s="115"/>
      <c r="BP2423" s="115"/>
      <c r="BQ2423" s="115"/>
      <c r="BR2423" s="115"/>
      <c r="BS2423" s="115"/>
      <c r="BT2423" s="115"/>
      <c r="BU2423" s="115"/>
      <c r="BV2423" s="115"/>
      <c r="BW2423" s="115"/>
      <c r="BX2423" s="115"/>
      <c r="BY2423" s="115"/>
      <c r="BZ2423" s="115"/>
      <c r="CA2423" s="115"/>
      <c r="CB2423" s="115"/>
      <c r="CC2423" s="115"/>
      <c r="CD2423" s="115"/>
      <c r="CE2423" s="115"/>
      <c r="CF2423" s="115"/>
      <c r="CG2423" s="115"/>
      <c r="CH2423" s="115"/>
      <c r="CI2423" s="115"/>
      <c r="CJ2423" s="115"/>
      <c r="CK2423" s="115"/>
      <c r="CL2423" s="115"/>
      <c r="CM2423" s="115"/>
      <c r="CN2423" s="115"/>
      <c r="CO2423" s="115"/>
      <c r="CP2423" s="115"/>
      <c r="CQ2423" s="115"/>
      <c r="CR2423" s="115"/>
      <c r="CS2423" s="115"/>
      <c r="CT2423" s="115"/>
      <c r="CU2423" s="115"/>
      <c r="CV2423" s="115"/>
      <c r="CW2423" s="115"/>
      <c r="CX2423" s="115"/>
      <c r="CY2423" s="115"/>
      <c r="CZ2423" s="115"/>
      <c r="DA2423" s="115"/>
      <c r="DB2423" s="115"/>
      <c r="DC2423" s="115"/>
      <c r="DD2423" s="115"/>
      <c r="DE2423" s="115"/>
      <c r="DF2423" s="115"/>
      <c r="DG2423" s="115"/>
    </row>
    <row r="2424" spans="55:111" hidden="1">
      <c r="BC2424" s="115"/>
      <c r="BD2424" s="115"/>
      <c r="BE2424" s="115"/>
      <c r="BF2424" s="115"/>
      <c r="BG2424" s="115"/>
      <c r="BH2424" s="115"/>
      <c r="BI2424" s="115"/>
      <c r="BJ2424" s="115"/>
      <c r="BK2424" s="115"/>
      <c r="BL2424" s="115"/>
      <c r="BM2424" s="115"/>
      <c r="BN2424" s="115"/>
      <c r="BO2424" s="115"/>
      <c r="BP2424" s="115"/>
      <c r="BQ2424" s="115"/>
      <c r="BR2424" s="115"/>
      <c r="BS2424" s="115"/>
      <c r="BT2424" s="115"/>
      <c r="BU2424" s="115"/>
      <c r="BV2424" s="115"/>
      <c r="BW2424" s="115"/>
      <c r="BX2424" s="115"/>
      <c r="BY2424" s="115"/>
      <c r="BZ2424" s="115"/>
      <c r="CA2424" s="115"/>
      <c r="CB2424" s="115"/>
      <c r="CC2424" s="115"/>
      <c r="CD2424" s="115"/>
      <c r="CE2424" s="115"/>
      <c r="CF2424" s="115"/>
      <c r="CG2424" s="115"/>
      <c r="CH2424" s="115"/>
      <c r="CI2424" s="115"/>
      <c r="CJ2424" s="115"/>
      <c r="CK2424" s="115"/>
      <c r="CL2424" s="115"/>
      <c r="CM2424" s="115"/>
      <c r="CN2424" s="115"/>
      <c r="CO2424" s="115"/>
      <c r="CP2424" s="115"/>
      <c r="CQ2424" s="115"/>
      <c r="CR2424" s="115"/>
      <c r="CS2424" s="115"/>
      <c r="CT2424" s="115"/>
      <c r="CU2424" s="115"/>
      <c r="CV2424" s="115"/>
      <c r="CW2424" s="115"/>
      <c r="CX2424" s="115"/>
      <c r="CY2424" s="115"/>
      <c r="CZ2424" s="115"/>
      <c r="DA2424" s="115"/>
      <c r="DB2424" s="115"/>
      <c r="DC2424" s="115"/>
      <c r="DD2424" s="115"/>
      <c r="DE2424" s="115"/>
      <c r="DF2424" s="115"/>
      <c r="DG2424" s="115"/>
    </row>
    <row r="2425" spans="55:111" hidden="1">
      <c r="BC2425" s="115"/>
      <c r="BD2425" s="115"/>
      <c r="BE2425" s="115"/>
      <c r="BF2425" s="115"/>
      <c r="BG2425" s="115"/>
      <c r="BH2425" s="115"/>
      <c r="BI2425" s="115"/>
      <c r="BJ2425" s="115"/>
      <c r="BK2425" s="115"/>
      <c r="BL2425" s="115"/>
      <c r="BM2425" s="115"/>
      <c r="BN2425" s="115"/>
      <c r="BO2425" s="115"/>
      <c r="BP2425" s="115"/>
      <c r="BQ2425" s="115"/>
      <c r="BR2425" s="115"/>
      <c r="BS2425" s="115"/>
      <c r="BT2425" s="115"/>
      <c r="BU2425" s="115"/>
      <c r="BV2425" s="115"/>
      <c r="BW2425" s="115"/>
      <c r="BX2425" s="115"/>
      <c r="BY2425" s="115"/>
      <c r="BZ2425" s="115"/>
      <c r="CA2425" s="115"/>
      <c r="CB2425" s="115"/>
      <c r="CC2425" s="115"/>
      <c r="CD2425" s="115"/>
      <c r="CE2425" s="115"/>
      <c r="CF2425" s="115"/>
      <c r="CG2425" s="115"/>
      <c r="CH2425" s="115"/>
      <c r="CI2425" s="115"/>
      <c r="CJ2425" s="115"/>
      <c r="CK2425" s="115"/>
      <c r="CL2425" s="115"/>
      <c r="CM2425" s="115"/>
      <c r="CN2425" s="115"/>
      <c r="CO2425" s="115"/>
      <c r="CP2425" s="115"/>
      <c r="CQ2425" s="115"/>
      <c r="CR2425" s="115"/>
      <c r="CS2425" s="115"/>
      <c r="CT2425" s="115"/>
      <c r="CU2425" s="115"/>
      <c r="CV2425" s="115"/>
      <c r="CW2425" s="115"/>
      <c r="CX2425" s="115"/>
      <c r="CY2425" s="115"/>
      <c r="CZ2425" s="115"/>
      <c r="DA2425" s="115"/>
      <c r="DB2425" s="115"/>
      <c r="DC2425" s="115"/>
      <c r="DD2425" s="115"/>
      <c r="DE2425" s="115"/>
      <c r="DF2425" s="115"/>
      <c r="DG2425" s="115"/>
    </row>
    <row r="2426" spans="55:111" hidden="1">
      <c r="BC2426" s="115"/>
      <c r="BD2426" s="115"/>
      <c r="BE2426" s="115"/>
      <c r="BF2426" s="115"/>
      <c r="BG2426" s="115"/>
      <c r="BH2426" s="115"/>
      <c r="BI2426" s="115"/>
      <c r="BJ2426" s="115"/>
      <c r="BK2426" s="115"/>
      <c r="BL2426" s="115"/>
      <c r="BM2426" s="115"/>
      <c r="BN2426" s="115"/>
      <c r="BO2426" s="115"/>
      <c r="BP2426" s="115"/>
      <c r="BQ2426" s="115"/>
      <c r="BR2426" s="115"/>
      <c r="BS2426" s="115"/>
      <c r="BT2426" s="115"/>
      <c r="BU2426" s="115"/>
      <c r="BV2426" s="115"/>
      <c r="BW2426" s="115"/>
      <c r="BX2426" s="115"/>
      <c r="BY2426" s="115"/>
      <c r="BZ2426" s="115"/>
      <c r="CA2426" s="115"/>
      <c r="CB2426" s="115"/>
      <c r="CC2426" s="115"/>
      <c r="CD2426" s="115"/>
      <c r="CE2426" s="115"/>
      <c r="CF2426" s="115"/>
      <c r="CG2426" s="115"/>
      <c r="CH2426" s="115"/>
      <c r="CI2426" s="115"/>
      <c r="CJ2426" s="115"/>
      <c r="CK2426" s="115"/>
      <c r="CL2426" s="115"/>
      <c r="CM2426" s="115"/>
      <c r="CN2426" s="115"/>
      <c r="CO2426" s="115"/>
      <c r="CP2426" s="115"/>
      <c r="CQ2426" s="115"/>
      <c r="CR2426" s="115"/>
      <c r="CS2426" s="115"/>
      <c r="CT2426" s="115"/>
      <c r="CU2426" s="115"/>
      <c r="CV2426" s="115"/>
      <c r="CW2426" s="115"/>
      <c r="CX2426" s="115"/>
      <c r="CY2426" s="115"/>
      <c r="CZ2426" s="115"/>
      <c r="DA2426" s="115"/>
      <c r="DB2426" s="115"/>
      <c r="DC2426" s="115"/>
      <c r="DD2426" s="115"/>
      <c r="DE2426" s="115"/>
      <c r="DF2426" s="115"/>
      <c r="DG2426" s="115"/>
    </row>
    <row r="2427" spans="55:111" hidden="1">
      <c r="BC2427" s="115"/>
      <c r="BD2427" s="115"/>
      <c r="BE2427" s="115"/>
      <c r="BF2427" s="115"/>
      <c r="BG2427" s="115"/>
      <c r="BH2427" s="115"/>
      <c r="BI2427" s="115"/>
      <c r="BJ2427" s="115"/>
      <c r="BK2427" s="115"/>
      <c r="BL2427" s="115"/>
      <c r="BM2427" s="115"/>
      <c r="BN2427" s="115"/>
      <c r="BO2427" s="115"/>
      <c r="BP2427" s="115"/>
      <c r="BQ2427" s="115"/>
      <c r="BR2427" s="115"/>
      <c r="BS2427" s="115"/>
      <c r="BT2427" s="115"/>
      <c r="BU2427" s="115"/>
      <c r="BV2427" s="115"/>
      <c r="BW2427" s="115"/>
      <c r="BX2427" s="115"/>
      <c r="BY2427" s="115"/>
      <c r="BZ2427" s="115"/>
      <c r="CA2427" s="115"/>
      <c r="CB2427" s="115"/>
      <c r="CC2427" s="115"/>
      <c r="CD2427" s="115"/>
      <c r="CE2427" s="115"/>
      <c r="CF2427" s="115"/>
      <c r="CG2427" s="115"/>
      <c r="CH2427" s="115"/>
      <c r="CI2427" s="115"/>
      <c r="CJ2427" s="115"/>
      <c r="CK2427" s="115"/>
      <c r="CL2427" s="115"/>
      <c r="CM2427" s="115"/>
      <c r="CN2427" s="115"/>
      <c r="CO2427" s="115"/>
      <c r="CP2427" s="115"/>
      <c r="CQ2427" s="115"/>
      <c r="CR2427" s="115"/>
      <c r="CS2427" s="115"/>
      <c r="CT2427" s="115"/>
      <c r="CU2427" s="115"/>
      <c r="CV2427" s="115"/>
      <c r="CW2427" s="115"/>
      <c r="CX2427" s="115"/>
      <c r="CY2427" s="115"/>
      <c r="CZ2427" s="115"/>
      <c r="DA2427" s="115"/>
      <c r="DB2427" s="115"/>
      <c r="DC2427" s="115"/>
      <c r="DD2427" s="115"/>
      <c r="DE2427" s="115"/>
      <c r="DF2427" s="115"/>
      <c r="DG2427" s="115"/>
    </row>
    <row r="2428" spans="55:111" hidden="1">
      <c r="BC2428" s="115"/>
      <c r="BD2428" s="115"/>
      <c r="BE2428" s="115"/>
      <c r="BF2428" s="115"/>
      <c r="BG2428" s="115"/>
      <c r="BH2428" s="115"/>
      <c r="BI2428" s="115"/>
      <c r="BJ2428" s="115"/>
      <c r="BK2428" s="115"/>
      <c r="BL2428" s="115"/>
      <c r="BM2428" s="115"/>
      <c r="BN2428" s="115"/>
      <c r="BO2428" s="115"/>
      <c r="BP2428" s="115"/>
      <c r="BQ2428" s="115"/>
      <c r="BR2428" s="115"/>
      <c r="BS2428" s="115"/>
      <c r="BT2428" s="115"/>
      <c r="BU2428" s="115"/>
      <c r="BV2428" s="115"/>
      <c r="BW2428" s="115"/>
      <c r="BX2428" s="115"/>
      <c r="BY2428" s="115"/>
      <c r="BZ2428" s="115"/>
      <c r="CA2428" s="115"/>
      <c r="CB2428" s="115"/>
      <c r="CC2428" s="115"/>
      <c r="CD2428" s="115"/>
      <c r="CE2428" s="115"/>
      <c r="CF2428" s="115"/>
      <c r="CG2428" s="115"/>
      <c r="CH2428" s="115"/>
      <c r="CI2428" s="115"/>
      <c r="CJ2428" s="115"/>
      <c r="CK2428" s="115"/>
      <c r="CL2428" s="115"/>
      <c r="CM2428" s="115"/>
      <c r="CN2428" s="115"/>
      <c r="CO2428" s="115"/>
      <c r="CP2428" s="115"/>
      <c r="CQ2428" s="115"/>
      <c r="CR2428" s="115"/>
      <c r="CS2428" s="115"/>
      <c r="CT2428" s="115"/>
      <c r="CU2428" s="115"/>
      <c r="CV2428" s="115"/>
      <c r="CW2428" s="115"/>
      <c r="CX2428" s="115"/>
      <c r="CY2428" s="115"/>
      <c r="CZ2428" s="115"/>
      <c r="DA2428" s="115"/>
      <c r="DB2428" s="115"/>
      <c r="DC2428" s="115"/>
      <c r="DD2428" s="115"/>
      <c r="DE2428" s="115"/>
      <c r="DF2428" s="115"/>
      <c r="DG2428" s="115"/>
    </row>
    <row r="2429" spans="55:111" hidden="1">
      <c r="BC2429" s="115"/>
      <c r="BD2429" s="115"/>
      <c r="BE2429" s="115"/>
      <c r="BF2429" s="115"/>
      <c r="BG2429" s="115"/>
      <c r="BH2429" s="115"/>
      <c r="BI2429" s="115"/>
      <c r="BJ2429" s="115"/>
      <c r="BK2429" s="115"/>
      <c r="BL2429" s="115"/>
      <c r="BM2429" s="115"/>
      <c r="BN2429" s="115"/>
      <c r="BO2429" s="115"/>
      <c r="BP2429" s="115"/>
      <c r="BQ2429" s="115"/>
      <c r="BR2429" s="115"/>
      <c r="BS2429" s="115"/>
      <c r="BT2429" s="115"/>
      <c r="BU2429" s="115"/>
      <c r="BV2429" s="115"/>
      <c r="BW2429" s="115"/>
      <c r="BX2429" s="115"/>
      <c r="BY2429" s="115"/>
      <c r="BZ2429" s="115"/>
      <c r="CA2429" s="115"/>
      <c r="CB2429" s="115"/>
      <c r="CC2429" s="115"/>
      <c r="CD2429" s="115"/>
      <c r="CE2429" s="115"/>
      <c r="CF2429" s="115"/>
      <c r="CG2429" s="115"/>
      <c r="CH2429" s="115"/>
      <c r="CI2429" s="115"/>
      <c r="CJ2429" s="115"/>
      <c r="CK2429" s="115"/>
      <c r="CL2429" s="115"/>
      <c r="CM2429" s="115"/>
      <c r="CN2429" s="115"/>
      <c r="CO2429" s="115"/>
      <c r="CP2429" s="115"/>
      <c r="CQ2429" s="115"/>
      <c r="CR2429" s="115"/>
      <c r="CS2429" s="115"/>
      <c r="CT2429" s="115"/>
      <c r="CU2429" s="115"/>
      <c r="CV2429" s="115"/>
      <c r="CW2429" s="115"/>
      <c r="CX2429" s="115"/>
      <c r="CY2429" s="115"/>
      <c r="CZ2429" s="115"/>
      <c r="DA2429" s="115"/>
      <c r="DB2429" s="115"/>
      <c r="DC2429" s="115"/>
      <c r="DD2429" s="115"/>
      <c r="DE2429" s="115"/>
      <c r="DF2429" s="115"/>
      <c r="DG2429" s="115"/>
    </row>
    <row r="2430" spans="55:111" hidden="1">
      <c r="BC2430" s="115"/>
      <c r="BD2430" s="115"/>
      <c r="BE2430" s="115"/>
      <c r="BF2430" s="115"/>
      <c r="BG2430" s="115"/>
      <c r="BH2430" s="115"/>
      <c r="BI2430" s="115"/>
      <c r="BJ2430" s="115"/>
      <c r="BK2430" s="115"/>
      <c r="BL2430" s="115"/>
      <c r="BM2430" s="115"/>
      <c r="BN2430" s="115"/>
      <c r="BO2430" s="115"/>
      <c r="BP2430" s="115"/>
      <c r="BQ2430" s="115"/>
      <c r="BR2430" s="115"/>
      <c r="BS2430" s="115"/>
      <c r="BT2430" s="115"/>
      <c r="BU2430" s="115"/>
      <c r="BV2430" s="115"/>
      <c r="BW2430" s="115"/>
      <c r="BX2430" s="115"/>
      <c r="BY2430" s="115"/>
      <c r="BZ2430" s="115"/>
      <c r="CA2430" s="115"/>
      <c r="CB2430" s="115"/>
      <c r="CC2430" s="115"/>
      <c r="CD2430" s="115"/>
      <c r="CE2430" s="115"/>
      <c r="CF2430" s="115"/>
      <c r="CG2430" s="115"/>
      <c r="CH2430" s="115"/>
      <c r="CI2430" s="115"/>
      <c r="CJ2430" s="115"/>
      <c r="CK2430" s="115"/>
      <c r="CL2430" s="115"/>
      <c r="CM2430" s="115"/>
      <c r="CN2430" s="115"/>
      <c r="CO2430" s="115"/>
      <c r="CP2430" s="115"/>
      <c r="CQ2430" s="115"/>
      <c r="CR2430" s="115"/>
      <c r="CS2430" s="115"/>
      <c r="CT2430" s="115"/>
      <c r="CU2430" s="115"/>
      <c r="CV2430" s="115"/>
      <c r="CW2430" s="115"/>
      <c r="CX2430" s="115"/>
      <c r="CY2430" s="115"/>
      <c r="CZ2430" s="115"/>
      <c r="DA2430" s="115"/>
      <c r="DB2430" s="115"/>
      <c r="DC2430" s="115"/>
      <c r="DD2430" s="115"/>
      <c r="DE2430" s="115"/>
      <c r="DF2430" s="115"/>
      <c r="DG2430" s="115"/>
    </row>
    <row r="2431" spans="55:111" hidden="1">
      <c r="BC2431" s="115"/>
      <c r="BD2431" s="115"/>
      <c r="BE2431" s="115"/>
      <c r="BF2431" s="115"/>
      <c r="BG2431" s="115"/>
      <c r="BH2431" s="115"/>
      <c r="BI2431" s="115"/>
      <c r="BJ2431" s="115"/>
      <c r="BK2431" s="115"/>
      <c r="BL2431" s="115"/>
      <c r="BM2431" s="115"/>
      <c r="BN2431" s="115"/>
      <c r="BO2431" s="115"/>
      <c r="BP2431" s="115"/>
      <c r="BQ2431" s="115"/>
      <c r="BR2431" s="115"/>
      <c r="BS2431" s="115"/>
      <c r="BT2431" s="115"/>
      <c r="BU2431" s="115"/>
      <c r="BV2431" s="115"/>
      <c r="BW2431" s="115"/>
      <c r="BX2431" s="115"/>
      <c r="BY2431" s="115"/>
      <c r="BZ2431" s="115"/>
      <c r="CA2431" s="115"/>
      <c r="CB2431" s="115"/>
      <c r="CC2431" s="115"/>
      <c r="CD2431" s="115"/>
      <c r="CE2431" s="115"/>
      <c r="CF2431" s="115"/>
      <c r="CG2431" s="115"/>
      <c r="CH2431" s="115"/>
      <c r="CI2431" s="115"/>
      <c r="CJ2431" s="115"/>
      <c r="CK2431" s="115"/>
      <c r="CL2431" s="115"/>
      <c r="CM2431" s="115"/>
      <c r="CN2431" s="115"/>
      <c r="CO2431" s="115"/>
      <c r="CP2431" s="115"/>
      <c r="CQ2431" s="115"/>
      <c r="CR2431" s="115"/>
      <c r="CS2431" s="115"/>
      <c r="CT2431" s="115"/>
      <c r="CU2431" s="115"/>
      <c r="CV2431" s="115"/>
      <c r="CW2431" s="115"/>
      <c r="CX2431" s="115"/>
      <c r="CY2431" s="115"/>
      <c r="CZ2431" s="115"/>
      <c r="DA2431" s="115"/>
      <c r="DB2431" s="115"/>
      <c r="DC2431" s="115"/>
      <c r="DD2431" s="115"/>
      <c r="DE2431" s="115"/>
      <c r="DF2431" s="115"/>
      <c r="DG2431" s="115"/>
    </row>
    <row r="2432" spans="55:111" hidden="1">
      <c r="BC2432" s="115"/>
      <c r="BD2432" s="115"/>
      <c r="BE2432" s="115"/>
      <c r="BF2432" s="115"/>
      <c r="BG2432" s="115"/>
      <c r="BH2432" s="115"/>
      <c r="BI2432" s="115"/>
      <c r="BJ2432" s="115"/>
      <c r="BK2432" s="115"/>
      <c r="BL2432" s="115"/>
      <c r="BM2432" s="115"/>
      <c r="BN2432" s="115"/>
      <c r="BO2432" s="115"/>
      <c r="BP2432" s="115"/>
      <c r="BQ2432" s="115"/>
      <c r="BR2432" s="115"/>
      <c r="BS2432" s="115"/>
      <c r="BT2432" s="115"/>
      <c r="BU2432" s="115"/>
      <c r="BV2432" s="115"/>
      <c r="BW2432" s="115"/>
      <c r="BX2432" s="115"/>
      <c r="BY2432" s="115"/>
      <c r="BZ2432" s="115"/>
      <c r="CA2432" s="115"/>
      <c r="CB2432" s="115"/>
      <c r="CC2432" s="115"/>
      <c r="CD2432" s="115"/>
      <c r="CE2432" s="115"/>
      <c r="CF2432" s="115"/>
      <c r="CG2432" s="115"/>
      <c r="CH2432" s="115"/>
      <c r="CI2432" s="115"/>
      <c r="CJ2432" s="115"/>
      <c r="CK2432" s="115"/>
      <c r="CL2432" s="115"/>
      <c r="CM2432" s="115"/>
      <c r="CN2432" s="115"/>
      <c r="CO2432" s="115"/>
      <c r="CP2432" s="115"/>
      <c r="CQ2432" s="115"/>
      <c r="CR2432" s="115"/>
      <c r="CS2432" s="115"/>
      <c r="CT2432" s="115"/>
      <c r="CU2432" s="115"/>
      <c r="CV2432" s="115"/>
      <c r="CW2432" s="115"/>
      <c r="CX2432" s="115"/>
      <c r="CY2432" s="115"/>
      <c r="CZ2432" s="115"/>
      <c r="DA2432" s="115"/>
      <c r="DB2432" s="115"/>
      <c r="DC2432" s="115"/>
      <c r="DD2432" s="115"/>
      <c r="DE2432" s="115"/>
      <c r="DF2432" s="115"/>
      <c r="DG2432" s="115"/>
    </row>
    <row r="2433" spans="55:111" hidden="1">
      <c r="BC2433" s="115"/>
      <c r="BD2433" s="115"/>
      <c r="BE2433" s="115"/>
      <c r="BF2433" s="115"/>
      <c r="BG2433" s="115"/>
      <c r="BH2433" s="115"/>
      <c r="BI2433" s="115"/>
      <c r="BJ2433" s="115"/>
      <c r="BK2433" s="115"/>
      <c r="BL2433" s="115"/>
      <c r="BM2433" s="115"/>
      <c r="BN2433" s="115"/>
      <c r="BO2433" s="115"/>
      <c r="BP2433" s="115"/>
      <c r="BQ2433" s="115"/>
      <c r="BR2433" s="115"/>
      <c r="BS2433" s="115"/>
      <c r="BT2433" s="115"/>
      <c r="BU2433" s="115"/>
      <c r="BV2433" s="115"/>
      <c r="BW2433" s="115"/>
      <c r="BX2433" s="115"/>
      <c r="BY2433" s="115"/>
      <c r="BZ2433" s="115"/>
      <c r="CA2433" s="115"/>
      <c r="CB2433" s="115"/>
      <c r="CC2433" s="115"/>
      <c r="CD2433" s="115"/>
      <c r="CE2433" s="115"/>
      <c r="CF2433" s="115"/>
      <c r="CG2433" s="115"/>
      <c r="CH2433" s="115"/>
      <c r="CI2433" s="115"/>
      <c r="CJ2433" s="115"/>
      <c r="CK2433" s="115"/>
      <c r="CL2433" s="115"/>
      <c r="CM2433" s="115"/>
      <c r="CN2433" s="115"/>
      <c r="CO2433" s="115"/>
      <c r="CP2433" s="115"/>
      <c r="CQ2433" s="115"/>
      <c r="CR2433" s="115"/>
      <c r="CS2433" s="115"/>
      <c r="CT2433" s="115"/>
      <c r="CU2433" s="115"/>
      <c r="CV2433" s="115"/>
      <c r="CW2433" s="115"/>
      <c r="CX2433" s="115"/>
      <c r="CY2433" s="115"/>
      <c r="CZ2433" s="115"/>
      <c r="DA2433" s="115"/>
      <c r="DB2433" s="115"/>
      <c r="DC2433" s="115"/>
      <c r="DD2433" s="115"/>
      <c r="DE2433" s="115"/>
      <c r="DF2433" s="115"/>
      <c r="DG2433" s="115"/>
    </row>
    <row r="2434" spans="55:111" hidden="1">
      <c r="BC2434" s="115"/>
      <c r="BD2434" s="115"/>
      <c r="BE2434" s="115"/>
      <c r="BF2434" s="115"/>
      <c r="BG2434" s="115"/>
      <c r="BH2434" s="115"/>
      <c r="BI2434" s="115"/>
      <c r="BJ2434" s="115"/>
      <c r="BK2434" s="115"/>
      <c r="BL2434" s="115"/>
      <c r="BM2434" s="115"/>
      <c r="BN2434" s="115"/>
      <c r="BO2434" s="115"/>
      <c r="BP2434" s="115"/>
      <c r="BQ2434" s="115"/>
      <c r="BR2434" s="115"/>
      <c r="BS2434" s="115"/>
      <c r="BT2434" s="115"/>
      <c r="BU2434" s="115"/>
      <c r="BV2434" s="115"/>
      <c r="BW2434" s="115"/>
      <c r="BX2434" s="115"/>
      <c r="BY2434" s="115"/>
      <c r="BZ2434" s="115"/>
      <c r="CA2434" s="115"/>
      <c r="CB2434" s="115"/>
      <c r="CC2434" s="115"/>
      <c r="CD2434" s="115"/>
      <c r="CE2434" s="115"/>
      <c r="CF2434" s="115"/>
      <c r="CG2434" s="115"/>
      <c r="CH2434" s="115"/>
      <c r="CI2434" s="115"/>
      <c r="CJ2434" s="115"/>
      <c r="CK2434" s="115"/>
      <c r="CL2434" s="115"/>
      <c r="CM2434" s="115"/>
      <c r="CN2434" s="115"/>
      <c r="CO2434" s="115"/>
      <c r="CP2434" s="115"/>
      <c r="CQ2434" s="115"/>
      <c r="CR2434" s="115"/>
      <c r="CS2434" s="115"/>
      <c r="CT2434" s="115"/>
      <c r="CU2434" s="115"/>
      <c r="CV2434" s="115"/>
      <c r="CW2434" s="115"/>
      <c r="CX2434" s="115"/>
      <c r="CY2434" s="115"/>
      <c r="CZ2434" s="115"/>
      <c r="DA2434" s="115"/>
      <c r="DB2434" s="115"/>
      <c r="DC2434" s="115"/>
      <c r="DD2434" s="115"/>
      <c r="DE2434" s="115"/>
      <c r="DF2434" s="115"/>
      <c r="DG2434" s="115"/>
    </row>
    <row r="2435" spans="55:111" hidden="1">
      <c r="BC2435" s="115"/>
      <c r="BD2435" s="115"/>
      <c r="BE2435" s="115"/>
      <c r="BF2435" s="115"/>
      <c r="BG2435" s="115"/>
      <c r="BH2435" s="115"/>
      <c r="BI2435" s="115"/>
      <c r="BJ2435" s="115"/>
      <c r="BK2435" s="115"/>
      <c r="BL2435" s="115"/>
      <c r="BM2435" s="115"/>
      <c r="BN2435" s="115"/>
      <c r="BO2435" s="115"/>
      <c r="BP2435" s="115"/>
      <c r="BQ2435" s="115"/>
      <c r="BR2435" s="115"/>
      <c r="BS2435" s="115"/>
      <c r="BT2435" s="115"/>
      <c r="BU2435" s="115"/>
      <c r="BV2435" s="115"/>
      <c r="BW2435" s="115"/>
      <c r="BX2435" s="115"/>
      <c r="BY2435" s="115"/>
      <c r="BZ2435" s="115"/>
      <c r="CA2435" s="115"/>
      <c r="CB2435" s="115"/>
      <c r="CC2435" s="115"/>
      <c r="CD2435" s="115"/>
      <c r="CE2435" s="115"/>
      <c r="CF2435" s="115"/>
      <c r="CG2435" s="115"/>
      <c r="CH2435" s="115"/>
      <c r="CI2435" s="115"/>
      <c r="CJ2435" s="115"/>
      <c r="CK2435" s="115"/>
      <c r="CL2435" s="115"/>
      <c r="CM2435" s="115"/>
      <c r="CN2435" s="115"/>
      <c r="CO2435" s="115"/>
      <c r="CP2435" s="115"/>
      <c r="CQ2435" s="115"/>
      <c r="CR2435" s="115"/>
      <c r="CS2435" s="115"/>
      <c r="CT2435" s="115"/>
      <c r="CU2435" s="115"/>
      <c r="CV2435" s="115"/>
      <c r="CW2435" s="115"/>
      <c r="CX2435" s="115"/>
      <c r="CY2435" s="115"/>
      <c r="CZ2435" s="115"/>
      <c r="DA2435" s="115"/>
      <c r="DB2435" s="115"/>
      <c r="DC2435" s="115"/>
      <c r="DD2435" s="115"/>
      <c r="DE2435" s="115"/>
      <c r="DF2435" s="115"/>
      <c r="DG2435" s="115"/>
    </row>
    <row r="2436" spans="55:111" hidden="1">
      <c r="BC2436" s="115"/>
      <c r="BD2436" s="115"/>
      <c r="BE2436" s="115"/>
      <c r="BF2436" s="115"/>
      <c r="BG2436" s="115"/>
      <c r="BH2436" s="115"/>
      <c r="BI2436" s="115"/>
      <c r="BJ2436" s="115"/>
      <c r="BK2436" s="115"/>
      <c r="BL2436" s="115"/>
      <c r="BM2436" s="115"/>
      <c r="BN2436" s="115"/>
      <c r="BO2436" s="115"/>
      <c r="BP2436" s="115"/>
      <c r="BQ2436" s="115"/>
      <c r="BR2436" s="115"/>
      <c r="BS2436" s="115"/>
      <c r="BT2436" s="115"/>
      <c r="BU2436" s="115"/>
      <c r="BV2436" s="115"/>
      <c r="BW2436" s="115"/>
      <c r="BX2436" s="115"/>
      <c r="BY2436" s="115"/>
      <c r="BZ2436" s="115"/>
      <c r="CA2436" s="115"/>
      <c r="CB2436" s="115"/>
      <c r="CC2436" s="115"/>
      <c r="CD2436" s="115"/>
      <c r="CE2436" s="115"/>
      <c r="CF2436" s="115"/>
      <c r="CG2436" s="115"/>
      <c r="CH2436" s="115"/>
      <c r="CI2436" s="115"/>
      <c r="CJ2436" s="115"/>
      <c r="CK2436" s="115"/>
      <c r="CL2436" s="115"/>
      <c r="CM2436" s="115"/>
      <c r="CN2436" s="115"/>
      <c r="CO2436" s="115"/>
      <c r="CP2436" s="115"/>
      <c r="CQ2436" s="115"/>
      <c r="CR2436" s="115"/>
      <c r="CS2436" s="115"/>
      <c r="CT2436" s="115"/>
      <c r="CU2436" s="115"/>
      <c r="CV2436" s="115"/>
      <c r="CW2436" s="115"/>
      <c r="CX2436" s="115"/>
      <c r="CY2436" s="115"/>
      <c r="CZ2436" s="115"/>
      <c r="DA2436" s="115"/>
      <c r="DB2436" s="115"/>
      <c r="DC2436" s="115"/>
      <c r="DD2436" s="115"/>
      <c r="DE2436" s="115"/>
      <c r="DF2436" s="115"/>
      <c r="DG2436" s="115"/>
    </row>
    <row r="2437" spans="55:111" hidden="1">
      <c r="BC2437" s="115"/>
      <c r="BD2437" s="115"/>
      <c r="BE2437" s="115"/>
      <c r="BF2437" s="115"/>
      <c r="BG2437" s="115"/>
      <c r="BH2437" s="115"/>
      <c r="BI2437" s="115"/>
      <c r="BJ2437" s="115"/>
      <c r="BK2437" s="115"/>
      <c r="BL2437" s="115"/>
      <c r="BM2437" s="115"/>
      <c r="BN2437" s="115"/>
      <c r="BO2437" s="115"/>
      <c r="BP2437" s="115"/>
      <c r="BQ2437" s="115"/>
      <c r="BR2437" s="115"/>
      <c r="BS2437" s="115"/>
      <c r="BT2437" s="115"/>
      <c r="BU2437" s="115"/>
      <c r="BV2437" s="115"/>
      <c r="BW2437" s="115"/>
      <c r="BX2437" s="115"/>
      <c r="BY2437" s="115"/>
      <c r="BZ2437" s="115"/>
      <c r="CA2437" s="115"/>
      <c r="CB2437" s="115"/>
      <c r="CC2437" s="115"/>
      <c r="CD2437" s="115"/>
      <c r="CE2437" s="115"/>
      <c r="CF2437" s="115"/>
      <c r="CG2437" s="115"/>
      <c r="CH2437" s="115"/>
      <c r="CI2437" s="115"/>
      <c r="CJ2437" s="115"/>
      <c r="CK2437" s="115"/>
      <c r="CL2437" s="115"/>
      <c r="CM2437" s="115"/>
      <c r="CN2437" s="115"/>
      <c r="CO2437" s="115"/>
      <c r="CP2437" s="115"/>
      <c r="CQ2437" s="115"/>
      <c r="CR2437" s="115"/>
      <c r="CS2437" s="115"/>
      <c r="CT2437" s="115"/>
      <c r="CU2437" s="115"/>
      <c r="CV2437" s="115"/>
      <c r="CW2437" s="115"/>
      <c r="CX2437" s="115"/>
      <c r="CY2437" s="115"/>
      <c r="CZ2437" s="115"/>
      <c r="DA2437" s="115"/>
      <c r="DB2437" s="115"/>
      <c r="DC2437" s="115"/>
      <c r="DD2437" s="115"/>
      <c r="DE2437" s="115"/>
      <c r="DF2437" s="115"/>
      <c r="DG2437" s="115"/>
    </row>
    <row r="2438" spans="55:111" hidden="1">
      <c r="BC2438" s="115"/>
      <c r="BD2438" s="115"/>
      <c r="BE2438" s="115"/>
      <c r="BF2438" s="115"/>
      <c r="BG2438" s="115"/>
      <c r="BH2438" s="115"/>
      <c r="BI2438" s="115"/>
      <c r="BJ2438" s="115"/>
      <c r="BK2438" s="115"/>
      <c r="BL2438" s="115"/>
      <c r="BM2438" s="115"/>
      <c r="BN2438" s="115"/>
      <c r="BO2438" s="115"/>
      <c r="BP2438" s="115"/>
      <c r="BQ2438" s="115"/>
      <c r="BR2438" s="115"/>
      <c r="BS2438" s="115"/>
      <c r="BT2438" s="115"/>
      <c r="BU2438" s="115"/>
      <c r="BV2438" s="115"/>
      <c r="BW2438" s="115"/>
      <c r="BX2438" s="115"/>
      <c r="BY2438" s="115"/>
      <c r="BZ2438" s="115"/>
      <c r="CA2438" s="115"/>
      <c r="CB2438" s="115"/>
      <c r="CC2438" s="115"/>
      <c r="CD2438" s="115"/>
      <c r="CE2438" s="115"/>
      <c r="CF2438" s="115"/>
      <c r="CG2438" s="115"/>
      <c r="CH2438" s="115"/>
      <c r="CI2438" s="115"/>
      <c r="CJ2438" s="115"/>
      <c r="CK2438" s="115"/>
      <c r="CL2438" s="115"/>
      <c r="CM2438" s="115"/>
      <c r="CN2438" s="115"/>
      <c r="CO2438" s="115"/>
      <c r="CP2438" s="115"/>
      <c r="CQ2438" s="115"/>
      <c r="CR2438" s="115"/>
      <c r="CS2438" s="115"/>
      <c r="CT2438" s="115"/>
      <c r="CU2438" s="115"/>
      <c r="CV2438" s="115"/>
      <c r="CW2438" s="115"/>
      <c r="CX2438" s="115"/>
      <c r="CY2438" s="115"/>
      <c r="CZ2438" s="115"/>
      <c r="DA2438" s="115"/>
      <c r="DB2438" s="115"/>
      <c r="DC2438" s="115"/>
      <c r="DD2438" s="115"/>
      <c r="DE2438" s="115"/>
      <c r="DF2438" s="115"/>
      <c r="DG2438" s="115"/>
    </row>
    <row r="2439" spans="55:111" hidden="1">
      <c r="BC2439" s="115"/>
      <c r="BD2439" s="115"/>
      <c r="BE2439" s="115"/>
      <c r="BF2439" s="115"/>
      <c r="BG2439" s="115"/>
      <c r="BH2439" s="115"/>
      <c r="BI2439" s="115"/>
      <c r="BJ2439" s="115"/>
      <c r="BK2439" s="115"/>
      <c r="BL2439" s="115"/>
      <c r="BM2439" s="115"/>
      <c r="BN2439" s="115"/>
      <c r="BO2439" s="115"/>
      <c r="BP2439" s="115"/>
      <c r="BQ2439" s="115"/>
      <c r="BR2439" s="115"/>
      <c r="BS2439" s="115"/>
      <c r="BT2439" s="115"/>
      <c r="BU2439" s="115"/>
      <c r="BV2439" s="115"/>
      <c r="BW2439" s="115"/>
      <c r="BX2439" s="115"/>
      <c r="BY2439" s="115"/>
      <c r="BZ2439" s="115"/>
      <c r="CA2439" s="115"/>
      <c r="CB2439" s="115"/>
      <c r="CC2439" s="115"/>
      <c r="CD2439" s="115"/>
      <c r="CE2439" s="115"/>
      <c r="CF2439" s="115"/>
      <c r="CG2439" s="115"/>
      <c r="CH2439" s="115"/>
      <c r="CI2439" s="115"/>
      <c r="CJ2439" s="115"/>
      <c r="CK2439" s="115"/>
      <c r="CL2439" s="115"/>
      <c r="CM2439" s="115"/>
      <c r="CN2439" s="115"/>
      <c r="CO2439" s="115"/>
      <c r="CP2439" s="115"/>
      <c r="CQ2439" s="115"/>
      <c r="CR2439" s="115"/>
      <c r="CS2439" s="115"/>
      <c r="CT2439" s="115"/>
      <c r="CU2439" s="115"/>
      <c r="CV2439" s="115"/>
      <c r="CW2439" s="115"/>
      <c r="CX2439" s="115"/>
      <c r="CY2439" s="115"/>
      <c r="CZ2439" s="115"/>
      <c r="DA2439" s="115"/>
      <c r="DB2439" s="115"/>
      <c r="DC2439" s="115"/>
      <c r="DD2439" s="115"/>
      <c r="DE2439" s="115"/>
      <c r="DF2439" s="115"/>
      <c r="DG2439" s="115"/>
    </row>
    <row r="2440" spans="55:111" hidden="1">
      <c r="BC2440" s="115"/>
      <c r="BD2440" s="115"/>
      <c r="BE2440" s="115"/>
      <c r="BF2440" s="115"/>
      <c r="BG2440" s="115"/>
      <c r="BH2440" s="115"/>
      <c r="BI2440" s="115"/>
      <c r="BJ2440" s="115"/>
      <c r="BK2440" s="115"/>
      <c r="BL2440" s="115"/>
      <c r="BM2440" s="115"/>
      <c r="BN2440" s="115"/>
      <c r="BO2440" s="115"/>
      <c r="BP2440" s="115"/>
      <c r="BQ2440" s="115"/>
      <c r="BR2440" s="115"/>
      <c r="BS2440" s="115"/>
      <c r="BT2440" s="115"/>
      <c r="BU2440" s="115"/>
      <c r="BV2440" s="115"/>
      <c r="BW2440" s="115"/>
      <c r="BX2440" s="115"/>
      <c r="BY2440" s="115"/>
      <c r="BZ2440" s="115"/>
      <c r="CA2440" s="115"/>
      <c r="CB2440" s="115"/>
      <c r="CC2440" s="115"/>
      <c r="CD2440" s="115"/>
      <c r="CE2440" s="115"/>
      <c r="CF2440" s="115"/>
      <c r="CG2440" s="115"/>
      <c r="CH2440" s="115"/>
      <c r="CI2440" s="115"/>
      <c r="CJ2440" s="115"/>
      <c r="CK2440" s="115"/>
      <c r="CL2440" s="115"/>
      <c r="CM2440" s="115"/>
      <c r="CN2440" s="115"/>
      <c r="CO2440" s="115"/>
      <c r="CP2440" s="115"/>
      <c r="CQ2440" s="115"/>
      <c r="CR2440" s="115"/>
      <c r="CS2440" s="115"/>
      <c r="CT2440" s="115"/>
      <c r="CU2440" s="115"/>
      <c r="CV2440" s="115"/>
      <c r="CW2440" s="115"/>
      <c r="CX2440" s="115"/>
      <c r="CY2440" s="115"/>
      <c r="CZ2440" s="115"/>
      <c r="DA2440" s="115"/>
      <c r="DB2440" s="115"/>
      <c r="DC2440" s="115"/>
      <c r="DD2440" s="115"/>
      <c r="DE2440" s="115"/>
      <c r="DF2440" s="115"/>
      <c r="DG2440" s="115"/>
    </row>
    <row r="2441" spans="55:111" hidden="1">
      <c r="BC2441" s="115"/>
      <c r="BD2441" s="115"/>
      <c r="BE2441" s="115"/>
      <c r="BF2441" s="115"/>
      <c r="BG2441" s="115"/>
      <c r="BH2441" s="115"/>
      <c r="BI2441" s="115"/>
      <c r="BJ2441" s="115"/>
      <c r="BK2441" s="115"/>
      <c r="BL2441" s="115"/>
      <c r="BM2441" s="115"/>
      <c r="BN2441" s="115"/>
      <c r="BO2441" s="115"/>
      <c r="BP2441" s="115"/>
      <c r="BQ2441" s="115"/>
      <c r="BR2441" s="115"/>
      <c r="BS2441" s="115"/>
      <c r="BT2441" s="115"/>
      <c r="BU2441" s="115"/>
      <c r="BV2441" s="115"/>
      <c r="BW2441" s="115"/>
      <c r="BX2441" s="115"/>
      <c r="BY2441" s="115"/>
      <c r="BZ2441" s="115"/>
      <c r="CA2441" s="115"/>
      <c r="CB2441" s="115"/>
      <c r="CC2441" s="115"/>
      <c r="CD2441" s="115"/>
      <c r="CE2441" s="115"/>
      <c r="CF2441" s="115"/>
      <c r="CG2441" s="115"/>
      <c r="CH2441" s="115"/>
      <c r="CI2441" s="115"/>
      <c r="CJ2441" s="115"/>
      <c r="CK2441" s="115"/>
      <c r="CL2441" s="115"/>
      <c r="CM2441" s="115"/>
      <c r="CN2441" s="115"/>
      <c r="CO2441" s="115"/>
      <c r="CP2441" s="115"/>
      <c r="CQ2441" s="115"/>
      <c r="CR2441" s="115"/>
      <c r="CS2441" s="115"/>
      <c r="CT2441" s="115"/>
      <c r="CU2441" s="115"/>
      <c r="CV2441" s="115"/>
      <c r="CW2441" s="115"/>
      <c r="CX2441" s="115"/>
      <c r="CY2441" s="115"/>
      <c r="CZ2441" s="115"/>
      <c r="DA2441" s="115"/>
      <c r="DB2441" s="115"/>
      <c r="DC2441" s="115"/>
      <c r="DD2441" s="115"/>
      <c r="DE2441" s="115"/>
      <c r="DF2441" s="115"/>
      <c r="DG2441" s="115"/>
    </row>
    <row r="2442" spans="55:111" hidden="1">
      <c r="BC2442" s="115"/>
      <c r="BD2442" s="115"/>
      <c r="BE2442" s="115"/>
      <c r="BF2442" s="115"/>
      <c r="BG2442" s="115"/>
      <c r="BH2442" s="115"/>
      <c r="BI2442" s="115"/>
      <c r="BJ2442" s="115"/>
      <c r="BK2442" s="115"/>
      <c r="BL2442" s="115"/>
      <c r="BM2442" s="115"/>
      <c r="BN2442" s="115"/>
      <c r="BO2442" s="115"/>
      <c r="BP2442" s="115"/>
      <c r="BQ2442" s="115"/>
      <c r="BR2442" s="115"/>
      <c r="BS2442" s="115"/>
      <c r="BT2442" s="115"/>
      <c r="BU2442" s="115"/>
      <c r="BV2442" s="115"/>
      <c r="BW2442" s="115"/>
      <c r="BX2442" s="115"/>
      <c r="BY2442" s="115"/>
      <c r="BZ2442" s="115"/>
      <c r="CA2442" s="115"/>
      <c r="CB2442" s="115"/>
      <c r="CC2442" s="115"/>
      <c r="CD2442" s="115"/>
      <c r="CE2442" s="115"/>
      <c r="CF2442" s="115"/>
      <c r="CG2442" s="115"/>
      <c r="CH2442" s="115"/>
      <c r="CI2442" s="115"/>
      <c r="CJ2442" s="115"/>
      <c r="CK2442" s="115"/>
      <c r="CL2442" s="115"/>
      <c r="CM2442" s="115"/>
      <c r="CN2442" s="115"/>
      <c r="CO2442" s="115"/>
      <c r="CP2442" s="115"/>
      <c r="CQ2442" s="115"/>
      <c r="CR2442" s="115"/>
      <c r="CS2442" s="115"/>
      <c r="CT2442" s="115"/>
      <c r="CU2442" s="115"/>
      <c r="CV2442" s="115"/>
      <c r="CW2442" s="115"/>
      <c r="CX2442" s="115"/>
      <c r="CY2442" s="115"/>
      <c r="CZ2442" s="115"/>
      <c r="DA2442" s="115"/>
      <c r="DB2442" s="115"/>
      <c r="DC2442" s="115"/>
      <c r="DD2442" s="115"/>
      <c r="DE2442" s="115"/>
      <c r="DF2442" s="115"/>
      <c r="DG2442" s="115"/>
    </row>
    <row r="2443" spans="55:111" hidden="1">
      <c r="BC2443" s="115"/>
      <c r="BD2443" s="115"/>
      <c r="BE2443" s="115"/>
      <c r="BF2443" s="115"/>
      <c r="BG2443" s="115"/>
      <c r="BH2443" s="115"/>
      <c r="BI2443" s="115"/>
      <c r="BJ2443" s="115"/>
      <c r="BK2443" s="115"/>
      <c r="BL2443" s="115"/>
      <c r="BM2443" s="115"/>
      <c r="BN2443" s="115"/>
      <c r="BO2443" s="115"/>
      <c r="BP2443" s="115"/>
      <c r="BQ2443" s="115"/>
      <c r="BR2443" s="115"/>
      <c r="BS2443" s="115"/>
      <c r="BT2443" s="115"/>
      <c r="BU2443" s="115"/>
      <c r="BV2443" s="115"/>
      <c r="BW2443" s="115"/>
      <c r="BX2443" s="115"/>
      <c r="BY2443" s="115"/>
      <c r="BZ2443" s="115"/>
      <c r="CA2443" s="115"/>
      <c r="CB2443" s="115"/>
      <c r="CC2443" s="115"/>
      <c r="CD2443" s="115"/>
      <c r="CE2443" s="115"/>
      <c r="CF2443" s="115"/>
      <c r="CG2443" s="115"/>
      <c r="CH2443" s="115"/>
      <c r="CI2443" s="115"/>
      <c r="CJ2443" s="115"/>
      <c r="CK2443" s="115"/>
      <c r="CL2443" s="115"/>
      <c r="CM2443" s="115"/>
      <c r="CN2443" s="115"/>
      <c r="CO2443" s="115"/>
      <c r="CP2443" s="115"/>
      <c r="CQ2443" s="115"/>
      <c r="CR2443" s="115"/>
      <c r="CS2443" s="115"/>
      <c r="CT2443" s="115"/>
      <c r="CU2443" s="115"/>
      <c r="CV2443" s="115"/>
      <c r="CW2443" s="115"/>
      <c r="CX2443" s="115"/>
      <c r="CY2443" s="115"/>
      <c r="CZ2443" s="115"/>
      <c r="DA2443" s="115"/>
      <c r="DB2443" s="115"/>
      <c r="DC2443" s="115"/>
      <c r="DD2443" s="115"/>
      <c r="DE2443" s="115"/>
      <c r="DF2443" s="115"/>
      <c r="DG2443" s="115"/>
    </row>
    <row r="2444" spans="55:111" hidden="1">
      <c r="BC2444" s="115"/>
      <c r="BD2444" s="115"/>
      <c r="BE2444" s="115"/>
      <c r="BF2444" s="115"/>
      <c r="BG2444" s="115"/>
      <c r="BH2444" s="115"/>
      <c r="BI2444" s="115"/>
      <c r="BJ2444" s="115"/>
      <c r="BK2444" s="115"/>
      <c r="BL2444" s="115"/>
      <c r="BM2444" s="115"/>
      <c r="BN2444" s="115"/>
      <c r="BO2444" s="115"/>
      <c r="BP2444" s="115"/>
      <c r="BQ2444" s="115"/>
      <c r="BR2444" s="115"/>
      <c r="BS2444" s="115"/>
      <c r="BT2444" s="115"/>
      <c r="BU2444" s="115"/>
      <c r="BV2444" s="115"/>
      <c r="BW2444" s="115"/>
      <c r="BX2444" s="115"/>
      <c r="BY2444" s="115"/>
      <c r="BZ2444" s="115"/>
      <c r="CA2444" s="115"/>
      <c r="CB2444" s="115"/>
      <c r="CC2444" s="115"/>
      <c r="CD2444" s="115"/>
      <c r="CE2444" s="115"/>
      <c r="CF2444" s="115"/>
      <c r="CG2444" s="115"/>
      <c r="CH2444" s="115"/>
      <c r="CI2444" s="115"/>
      <c r="CJ2444" s="115"/>
      <c r="CK2444" s="115"/>
      <c r="CL2444" s="115"/>
      <c r="CM2444" s="115"/>
      <c r="CN2444" s="115"/>
      <c r="CO2444" s="115"/>
      <c r="CP2444" s="115"/>
      <c r="CQ2444" s="115"/>
      <c r="CR2444" s="115"/>
      <c r="CS2444" s="115"/>
      <c r="CT2444" s="115"/>
      <c r="CU2444" s="115"/>
      <c r="CV2444" s="115"/>
      <c r="CW2444" s="115"/>
      <c r="CX2444" s="115"/>
      <c r="CY2444" s="115"/>
      <c r="CZ2444" s="115"/>
      <c r="DA2444" s="115"/>
      <c r="DB2444" s="115"/>
      <c r="DC2444" s="115"/>
      <c r="DD2444" s="115"/>
      <c r="DE2444" s="115"/>
      <c r="DF2444" s="115"/>
      <c r="DG2444" s="115"/>
    </row>
    <row r="2445" spans="55:111" hidden="1">
      <c r="BC2445" s="115"/>
      <c r="BD2445" s="115"/>
      <c r="BE2445" s="115"/>
      <c r="BF2445" s="115"/>
      <c r="BG2445" s="115"/>
      <c r="BH2445" s="115"/>
      <c r="BI2445" s="115"/>
      <c r="BJ2445" s="115"/>
      <c r="BK2445" s="115"/>
      <c r="BL2445" s="115"/>
      <c r="BM2445" s="115"/>
      <c r="BN2445" s="115"/>
      <c r="BO2445" s="115"/>
      <c r="BP2445" s="115"/>
      <c r="BQ2445" s="115"/>
      <c r="BR2445" s="115"/>
      <c r="BS2445" s="115"/>
      <c r="BT2445" s="115"/>
      <c r="BU2445" s="115"/>
      <c r="BV2445" s="115"/>
      <c r="BW2445" s="115"/>
      <c r="BX2445" s="115"/>
      <c r="BY2445" s="115"/>
      <c r="BZ2445" s="115"/>
      <c r="CA2445" s="115"/>
      <c r="CB2445" s="115"/>
      <c r="CC2445" s="115"/>
      <c r="CD2445" s="115"/>
      <c r="CE2445" s="115"/>
      <c r="CF2445" s="115"/>
      <c r="CG2445" s="115"/>
      <c r="CH2445" s="115"/>
      <c r="CI2445" s="115"/>
      <c r="CJ2445" s="115"/>
      <c r="CK2445" s="115"/>
      <c r="CL2445" s="115"/>
      <c r="CM2445" s="115"/>
      <c r="CN2445" s="115"/>
      <c r="CO2445" s="115"/>
      <c r="CP2445" s="115"/>
      <c r="CQ2445" s="115"/>
      <c r="CR2445" s="115"/>
      <c r="CS2445" s="115"/>
      <c r="CT2445" s="115"/>
      <c r="CU2445" s="115"/>
      <c r="CV2445" s="115"/>
      <c r="CW2445" s="115"/>
      <c r="CX2445" s="115"/>
      <c r="CY2445" s="115"/>
      <c r="CZ2445" s="115"/>
      <c r="DA2445" s="115"/>
      <c r="DB2445" s="115"/>
      <c r="DC2445" s="115"/>
      <c r="DD2445" s="115"/>
      <c r="DE2445" s="115"/>
      <c r="DF2445" s="115"/>
      <c r="DG2445" s="115"/>
    </row>
    <row r="2446" spans="55:111" hidden="1">
      <c r="BC2446" s="115"/>
      <c r="BD2446" s="115"/>
      <c r="BE2446" s="115"/>
      <c r="BF2446" s="115"/>
      <c r="BG2446" s="115"/>
      <c r="BH2446" s="115"/>
      <c r="BI2446" s="115"/>
      <c r="BJ2446" s="115"/>
      <c r="BK2446" s="115"/>
      <c r="BL2446" s="115"/>
      <c r="BM2446" s="115"/>
      <c r="BN2446" s="115"/>
      <c r="BO2446" s="115"/>
      <c r="BP2446" s="115"/>
      <c r="BQ2446" s="115"/>
      <c r="BR2446" s="115"/>
      <c r="BS2446" s="115"/>
      <c r="BT2446" s="115"/>
      <c r="BU2446" s="115"/>
      <c r="BV2446" s="115"/>
      <c r="BW2446" s="115"/>
      <c r="BX2446" s="115"/>
      <c r="BY2446" s="115"/>
      <c r="BZ2446" s="115"/>
      <c r="CA2446" s="115"/>
      <c r="CB2446" s="115"/>
      <c r="CC2446" s="115"/>
      <c r="CD2446" s="115"/>
      <c r="CE2446" s="115"/>
      <c r="CF2446" s="115"/>
      <c r="CG2446" s="115"/>
      <c r="CH2446" s="115"/>
      <c r="CI2446" s="115"/>
      <c r="CJ2446" s="115"/>
      <c r="CK2446" s="115"/>
      <c r="CL2446" s="115"/>
      <c r="CM2446" s="115"/>
      <c r="CN2446" s="115"/>
      <c r="CO2446" s="115"/>
      <c r="CP2446" s="115"/>
      <c r="CQ2446" s="115"/>
      <c r="CR2446" s="115"/>
      <c r="CS2446" s="115"/>
      <c r="CT2446" s="115"/>
      <c r="CU2446" s="115"/>
      <c r="CV2446" s="115"/>
      <c r="CW2446" s="115"/>
      <c r="CX2446" s="115"/>
      <c r="CY2446" s="115"/>
      <c r="CZ2446" s="115"/>
      <c r="DA2446" s="115"/>
      <c r="DB2446" s="115"/>
      <c r="DC2446" s="115"/>
      <c r="DD2446" s="115"/>
      <c r="DE2446" s="115"/>
      <c r="DF2446" s="115"/>
      <c r="DG2446" s="115"/>
    </row>
    <row r="2447" spans="55:111" hidden="1">
      <c r="BC2447" s="115"/>
      <c r="BD2447" s="115"/>
      <c r="BE2447" s="115"/>
      <c r="BF2447" s="115"/>
      <c r="BG2447" s="115"/>
      <c r="BH2447" s="115"/>
      <c r="BI2447" s="115"/>
      <c r="BJ2447" s="115"/>
      <c r="BK2447" s="115"/>
      <c r="BL2447" s="115"/>
      <c r="BM2447" s="115"/>
      <c r="BN2447" s="115"/>
      <c r="BO2447" s="115"/>
      <c r="BP2447" s="115"/>
      <c r="BQ2447" s="115"/>
      <c r="BR2447" s="115"/>
      <c r="BS2447" s="115"/>
      <c r="BT2447" s="115"/>
      <c r="BU2447" s="115"/>
      <c r="BV2447" s="115"/>
      <c r="BW2447" s="115"/>
      <c r="BX2447" s="115"/>
      <c r="BY2447" s="115"/>
      <c r="BZ2447" s="115"/>
      <c r="CA2447" s="115"/>
      <c r="CB2447" s="115"/>
      <c r="CC2447" s="115"/>
      <c r="CD2447" s="115"/>
      <c r="CE2447" s="115"/>
      <c r="CF2447" s="115"/>
      <c r="CG2447" s="115"/>
      <c r="CH2447" s="115"/>
      <c r="CI2447" s="115"/>
      <c r="CJ2447" s="115"/>
      <c r="CK2447" s="115"/>
      <c r="CL2447" s="115"/>
      <c r="CM2447" s="115"/>
      <c r="CN2447" s="115"/>
      <c r="CO2447" s="115"/>
      <c r="CP2447" s="115"/>
      <c r="CQ2447" s="115"/>
      <c r="CR2447" s="115"/>
      <c r="CS2447" s="115"/>
      <c r="CT2447" s="115"/>
      <c r="CU2447" s="115"/>
      <c r="CV2447" s="115"/>
      <c r="CW2447" s="115"/>
      <c r="CX2447" s="115"/>
      <c r="CY2447" s="115"/>
      <c r="CZ2447" s="115"/>
      <c r="DA2447" s="115"/>
      <c r="DB2447" s="115"/>
      <c r="DC2447" s="115"/>
      <c r="DD2447" s="115"/>
      <c r="DE2447" s="115"/>
      <c r="DF2447" s="115"/>
      <c r="DG2447" s="115"/>
    </row>
    <row r="2448" spans="55:111" hidden="1">
      <c r="BC2448" s="115"/>
      <c r="BD2448" s="115"/>
      <c r="BE2448" s="115"/>
      <c r="BF2448" s="115"/>
      <c r="BG2448" s="115"/>
      <c r="BH2448" s="115"/>
      <c r="BI2448" s="115"/>
      <c r="BJ2448" s="115"/>
      <c r="BK2448" s="115"/>
      <c r="BL2448" s="115"/>
      <c r="BM2448" s="115"/>
      <c r="BN2448" s="115"/>
      <c r="BO2448" s="115"/>
      <c r="BP2448" s="115"/>
      <c r="BQ2448" s="115"/>
      <c r="BR2448" s="115"/>
      <c r="BS2448" s="115"/>
      <c r="BT2448" s="115"/>
      <c r="BU2448" s="115"/>
      <c r="BV2448" s="115"/>
      <c r="BW2448" s="115"/>
      <c r="BX2448" s="115"/>
      <c r="BY2448" s="115"/>
      <c r="BZ2448" s="115"/>
      <c r="CA2448" s="115"/>
      <c r="CB2448" s="115"/>
      <c r="CC2448" s="115"/>
      <c r="CD2448" s="115"/>
      <c r="CE2448" s="115"/>
      <c r="CF2448" s="115"/>
      <c r="CG2448" s="115"/>
      <c r="CH2448" s="115"/>
      <c r="CI2448" s="115"/>
      <c r="CJ2448" s="115"/>
      <c r="CK2448" s="115"/>
      <c r="CL2448" s="115"/>
      <c r="CM2448" s="115"/>
      <c r="CN2448" s="115"/>
      <c r="CO2448" s="115"/>
      <c r="CP2448" s="115"/>
      <c r="CQ2448" s="115"/>
      <c r="CR2448" s="115"/>
      <c r="CS2448" s="115"/>
      <c r="CT2448" s="115"/>
      <c r="CU2448" s="115"/>
      <c r="CV2448" s="115"/>
      <c r="CW2448" s="115"/>
      <c r="CX2448" s="115"/>
      <c r="CY2448" s="115"/>
      <c r="CZ2448" s="115"/>
      <c r="DA2448" s="115"/>
      <c r="DB2448" s="115"/>
      <c r="DC2448" s="115"/>
      <c r="DD2448" s="115"/>
      <c r="DE2448" s="115"/>
      <c r="DF2448" s="115"/>
      <c r="DG2448" s="115"/>
    </row>
    <row r="2449" spans="55:111" hidden="1">
      <c r="BC2449" s="115"/>
      <c r="BD2449" s="115"/>
      <c r="BE2449" s="115"/>
      <c r="BF2449" s="115"/>
      <c r="BG2449" s="115"/>
      <c r="BH2449" s="115"/>
      <c r="BI2449" s="115"/>
      <c r="BJ2449" s="115"/>
      <c r="BK2449" s="115"/>
      <c r="BL2449" s="115"/>
      <c r="BM2449" s="115"/>
      <c r="BN2449" s="115"/>
      <c r="BO2449" s="115"/>
      <c r="BP2449" s="115"/>
      <c r="BQ2449" s="115"/>
      <c r="BR2449" s="115"/>
      <c r="BS2449" s="115"/>
      <c r="BT2449" s="115"/>
      <c r="BU2449" s="115"/>
      <c r="BV2449" s="115"/>
      <c r="BW2449" s="115"/>
      <c r="BX2449" s="115"/>
      <c r="BY2449" s="115"/>
      <c r="BZ2449" s="115"/>
      <c r="CA2449" s="115"/>
      <c r="CB2449" s="115"/>
      <c r="CC2449" s="115"/>
      <c r="CD2449" s="115"/>
      <c r="CE2449" s="115"/>
      <c r="CF2449" s="115"/>
      <c r="CG2449" s="115"/>
      <c r="CH2449" s="115"/>
      <c r="CI2449" s="115"/>
      <c r="CJ2449" s="115"/>
      <c r="CK2449" s="115"/>
      <c r="CL2449" s="115"/>
      <c r="CM2449" s="115"/>
      <c r="CN2449" s="115"/>
      <c r="CO2449" s="115"/>
      <c r="CP2449" s="115"/>
      <c r="CQ2449" s="115"/>
      <c r="CR2449" s="115"/>
      <c r="CS2449" s="115"/>
      <c r="CT2449" s="115"/>
      <c r="CU2449" s="115"/>
      <c r="CV2449" s="115"/>
      <c r="CW2449" s="115"/>
      <c r="CX2449" s="115"/>
      <c r="CY2449" s="115"/>
      <c r="CZ2449" s="115"/>
      <c r="DA2449" s="115"/>
      <c r="DB2449" s="115"/>
      <c r="DC2449" s="115"/>
      <c r="DD2449" s="115"/>
      <c r="DE2449" s="115"/>
      <c r="DF2449" s="115"/>
      <c r="DG2449" s="115"/>
    </row>
    <row r="2450" spans="55:111" hidden="1">
      <c r="BC2450" s="115"/>
      <c r="BD2450" s="115"/>
      <c r="BE2450" s="115"/>
      <c r="BF2450" s="115"/>
      <c r="BG2450" s="115"/>
      <c r="BH2450" s="115"/>
      <c r="BI2450" s="115"/>
      <c r="BJ2450" s="115"/>
      <c r="BK2450" s="115"/>
      <c r="BL2450" s="115"/>
      <c r="BM2450" s="115"/>
      <c r="BN2450" s="115"/>
      <c r="BO2450" s="115"/>
      <c r="BP2450" s="115"/>
      <c r="BQ2450" s="115"/>
      <c r="BR2450" s="115"/>
      <c r="BS2450" s="115"/>
      <c r="BT2450" s="115"/>
      <c r="BU2450" s="115"/>
      <c r="BV2450" s="115"/>
      <c r="BW2450" s="115"/>
      <c r="BX2450" s="115"/>
      <c r="BY2450" s="115"/>
      <c r="BZ2450" s="115"/>
      <c r="CA2450" s="115"/>
      <c r="CB2450" s="115"/>
      <c r="CC2450" s="115"/>
      <c r="CD2450" s="115"/>
      <c r="CE2450" s="115"/>
      <c r="CF2450" s="115"/>
      <c r="CG2450" s="115"/>
      <c r="CH2450" s="115"/>
      <c r="CI2450" s="115"/>
      <c r="CJ2450" s="115"/>
      <c r="CK2450" s="115"/>
      <c r="CL2450" s="115"/>
      <c r="CM2450" s="115"/>
      <c r="CN2450" s="115"/>
      <c r="CO2450" s="115"/>
      <c r="CP2450" s="115"/>
      <c r="CQ2450" s="115"/>
      <c r="CR2450" s="115"/>
      <c r="CS2450" s="115"/>
      <c r="CT2450" s="115"/>
      <c r="CU2450" s="115"/>
      <c r="CV2450" s="115"/>
      <c r="CW2450" s="115"/>
      <c r="CX2450" s="115"/>
      <c r="CY2450" s="115"/>
      <c r="CZ2450" s="115"/>
      <c r="DA2450" s="115"/>
      <c r="DB2450" s="115"/>
      <c r="DC2450" s="115"/>
      <c r="DD2450" s="115"/>
      <c r="DE2450" s="115"/>
      <c r="DF2450" s="115"/>
      <c r="DG2450" s="115"/>
    </row>
    <row r="2451" spans="55:111" hidden="1">
      <c r="BC2451" s="115"/>
      <c r="BD2451" s="115"/>
      <c r="BE2451" s="115"/>
      <c r="BF2451" s="115"/>
      <c r="BG2451" s="115"/>
      <c r="BH2451" s="115"/>
      <c r="BI2451" s="115"/>
      <c r="BJ2451" s="115"/>
      <c r="BK2451" s="115"/>
      <c r="BL2451" s="115"/>
      <c r="BM2451" s="115"/>
      <c r="BN2451" s="115"/>
      <c r="BO2451" s="115"/>
      <c r="BP2451" s="115"/>
      <c r="BQ2451" s="115"/>
      <c r="BR2451" s="115"/>
      <c r="BS2451" s="115"/>
      <c r="BT2451" s="115"/>
      <c r="BU2451" s="115"/>
      <c r="BV2451" s="115"/>
      <c r="BW2451" s="115"/>
      <c r="BX2451" s="115"/>
      <c r="BY2451" s="115"/>
      <c r="BZ2451" s="115"/>
      <c r="CA2451" s="115"/>
      <c r="CB2451" s="115"/>
      <c r="CC2451" s="115"/>
      <c r="CD2451" s="115"/>
      <c r="CE2451" s="115"/>
      <c r="CF2451" s="115"/>
      <c r="CG2451" s="115"/>
      <c r="CH2451" s="115"/>
      <c r="CI2451" s="115"/>
      <c r="CJ2451" s="115"/>
      <c r="CK2451" s="115"/>
      <c r="CL2451" s="115"/>
      <c r="CM2451" s="115"/>
      <c r="CN2451" s="115"/>
      <c r="CO2451" s="115"/>
      <c r="CP2451" s="115"/>
      <c r="CQ2451" s="115"/>
      <c r="CR2451" s="115"/>
      <c r="CS2451" s="115"/>
      <c r="CT2451" s="115"/>
      <c r="CU2451" s="115"/>
      <c r="CV2451" s="115"/>
      <c r="CW2451" s="115"/>
      <c r="CX2451" s="115"/>
      <c r="CY2451" s="115"/>
      <c r="CZ2451" s="115"/>
      <c r="DA2451" s="115"/>
      <c r="DB2451" s="115"/>
      <c r="DC2451" s="115"/>
      <c r="DD2451" s="115"/>
      <c r="DE2451" s="115"/>
      <c r="DF2451" s="115"/>
      <c r="DG2451" s="115"/>
    </row>
    <row r="2452" spans="55:111" hidden="1">
      <c r="BC2452" s="115"/>
      <c r="BD2452" s="115"/>
      <c r="BE2452" s="115"/>
      <c r="BF2452" s="115"/>
      <c r="BG2452" s="115"/>
      <c r="BH2452" s="115"/>
      <c r="BI2452" s="115"/>
      <c r="BJ2452" s="115"/>
      <c r="BK2452" s="115"/>
      <c r="BL2452" s="115"/>
      <c r="BM2452" s="115"/>
      <c r="BN2452" s="115"/>
      <c r="BO2452" s="115"/>
      <c r="BP2452" s="115"/>
      <c r="BQ2452" s="115"/>
      <c r="BR2452" s="115"/>
      <c r="BS2452" s="115"/>
      <c r="BT2452" s="115"/>
      <c r="BU2452" s="115"/>
      <c r="BV2452" s="115"/>
      <c r="BW2452" s="115"/>
      <c r="BX2452" s="115"/>
      <c r="BY2452" s="115"/>
      <c r="BZ2452" s="115"/>
      <c r="CA2452" s="115"/>
      <c r="CB2452" s="115"/>
      <c r="CC2452" s="115"/>
      <c r="CD2452" s="115"/>
      <c r="CE2452" s="115"/>
      <c r="CF2452" s="115"/>
      <c r="CG2452" s="115"/>
      <c r="CH2452" s="115"/>
      <c r="CI2452" s="115"/>
      <c r="CJ2452" s="115"/>
      <c r="CK2452" s="115"/>
      <c r="CL2452" s="115"/>
      <c r="CM2452" s="115"/>
      <c r="CN2452" s="115"/>
      <c r="CO2452" s="115"/>
      <c r="CP2452" s="115"/>
      <c r="CQ2452" s="115"/>
      <c r="CR2452" s="115"/>
      <c r="CS2452" s="115"/>
      <c r="CT2452" s="115"/>
      <c r="CU2452" s="115"/>
      <c r="CV2452" s="115"/>
      <c r="CW2452" s="115"/>
      <c r="CX2452" s="115"/>
      <c r="CY2452" s="115"/>
      <c r="CZ2452" s="115"/>
      <c r="DA2452" s="115"/>
      <c r="DB2452" s="115"/>
      <c r="DC2452" s="115"/>
      <c r="DD2452" s="115"/>
      <c r="DE2452" s="115"/>
      <c r="DF2452" s="115"/>
      <c r="DG2452" s="115"/>
    </row>
    <row r="2453" spans="55:111" hidden="1">
      <c r="BC2453" s="115"/>
      <c r="BD2453" s="115"/>
      <c r="BE2453" s="115"/>
      <c r="BF2453" s="115"/>
      <c r="BG2453" s="115"/>
      <c r="BH2453" s="115"/>
      <c r="BI2453" s="115"/>
      <c r="BJ2453" s="115"/>
      <c r="BK2453" s="115"/>
      <c r="BL2453" s="115"/>
      <c r="BM2453" s="115"/>
      <c r="BN2453" s="115"/>
      <c r="BO2453" s="115"/>
      <c r="BP2453" s="115"/>
      <c r="BQ2453" s="115"/>
      <c r="BR2453" s="115"/>
      <c r="BS2453" s="115"/>
      <c r="BT2453" s="115"/>
      <c r="BU2453" s="115"/>
      <c r="BV2453" s="115"/>
      <c r="BW2453" s="115"/>
      <c r="BX2453" s="115"/>
      <c r="BY2453" s="115"/>
      <c r="BZ2453" s="115"/>
      <c r="CA2453" s="115"/>
      <c r="CB2453" s="115"/>
      <c r="CC2453" s="115"/>
      <c r="CD2453" s="115"/>
      <c r="CE2453" s="115"/>
      <c r="CF2453" s="115"/>
      <c r="CG2453" s="115"/>
      <c r="CH2453" s="115"/>
      <c r="CI2453" s="115"/>
      <c r="CJ2453" s="115"/>
      <c r="CK2453" s="115"/>
      <c r="CL2453" s="115"/>
      <c r="CM2453" s="115"/>
      <c r="CN2453" s="115"/>
      <c r="CO2453" s="115"/>
      <c r="CP2453" s="115"/>
      <c r="CQ2453" s="115"/>
      <c r="CR2453" s="115"/>
      <c r="CS2453" s="115"/>
      <c r="CT2453" s="115"/>
      <c r="CU2453" s="115"/>
      <c r="CV2453" s="115"/>
      <c r="CW2453" s="115"/>
      <c r="CX2453" s="115"/>
      <c r="CY2453" s="115"/>
      <c r="CZ2453" s="115"/>
      <c r="DA2453" s="115"/>
      <c r="DB2453" s="115"/>
      <c r="DC2453" s="115"/>
      <c r="DD2453" s="115"/>
      <c r="DE2453" s="115"/>
      <c r="DF2453" s="115"/>
      <c r="DG2453" s="115"/>
    </row>
    <row r="2454" spans="55:111" hidden="1">
      <c r="BC2454" s="115"/>
      <c r="BD2454" s="115"/>
      <c r="BE2454" s="115"/>
      <c r="BF2454" s="115"/>
      <c r="BG2454" s="115"/>
      <c r="BH2454" s="115"/>
      <c r="BI2454" s="115"/>
      <c r="BJ2454" s="115"/>
      <c r="BK2454" s="115"/>
      <c r="BL2454" s="115"/>
      <c r="BM2454" s="115"/>
      <c r="BN2454" s="115"/>
      <c r="BO2454" s="115"/>
      <c r="BP2454" s="115"/>
      <c r="BQ2454" s="115"/>
      <c r="BR2454" s="115"/>
      <c r="BS2454" s="115"/>
      <c r="BT2454" s="115"/>
      <c r="BU2454" s="115"/>
      <c r="BV2454" s="115"/>
      <c r="BW2454" s="115"/>
      <c r="BX2454" s="115"/>
      <c r="BY2454" s="115"/>
      <c r="BZ2454" s="115"/>
      <c r="CA2454" s="115"/>
      <c r="CB2454" s="115"/>
      <c r="CC2454" s="115"/>
      <c r="CD2454" s="115"/>
      <c r="CE2454" s="115"/>
      <c r="CF2454" s="115"/>
      <c r="CG2454" s="115"/>
      <c r="CH2454" s="115"/>
      <c r="CI2454" s="115"/>
      <c r="CJ2454" s="115"/>
      <c r="CK2454" s="115"/>
      <c r="CL2454" s="115"/>
      <c r="CM2454" s="115"/>
      <c r="CN2454" s="115"/>
      <c r="CO2454" s="115"/>
      <c r="CP2454" s="115"/>
      <c r="CQ2454" s="115"/>
      <c r="CR2454" s="115"/>
      <c r="CS2454" s="115"/>
      <c r="CT2454" s="115"/>
      <c r="CU2454" s="115"/>
      <c r="CV2454" s="115"/>
      <c r="CW2454" s="115"/>
      <c r="CX2454" s="115"/>
      <c r="CY2454" s="115"/>
      <c r="CZ2454" s="115"/>
      <c r="DA2454" s="115"/>
      <c r="DB2454" s="115"/>
      <c r="DC2454" s="115"/>
      <c r="DD2454" s="115"/>
      <c r="DE2454" s="115"/>
      <c r="DF2454" s="115"/>
      <c r="DG2454" s="115"/>
    </row>
    <row r="2455" spans="55:111" hidden="1">
      <c r="BC2455" s="115"/>
      <c r="BD2455" s="115"/>
      <c r="BE2455" s="115"/>
      <c r="BF2455" s="115"/>
      <c r="BG2455" s="115"/>
      <c r="BH2455" s="115"/>
      <c r="BI2455" s="115"/>
      <c r="BJ2455" s="115"/>
      <c r="BK2455" s="115"/>
      <c r="BL2455" s="115"/>
      <c r="BM2455" s="115"/>
      <c r="BN2455" s="115"/>
      <c r="BO2455" s="115"/>
      <c r="BP2455" s="115"/>
      <c r="BQ2455" s="115"/>
      <c r="BR2455" s="115"/>
      <c r="BS2455" s="115"/>
      <c r="BT2455" s="115"/>
      <c r="BU2455" s="115"/>
      <c r="BV2455" s="115"/>
      <c r="BW2455" s="115"/>
      <c r="BX2455" s="115"/>
      <c r="BY2455" s="115"/>
      <c r="BZ2455" s="115"/>
      <c r="CA2455" s="115"/>
      <c r="CB2455" s="115"/>
      <c r="CC2455" s="115"/>
      <c r="CD2455" s="115"/>
      <c r="CE2455" s="115"/>
      <c r="CF2455" s="115"/>
      <c r="CG2455" s="115"/>
      <c r="CH2455" s="115"/>
      <c r="CI2455" s="115"/>
      <c r="CJ2455" s="115"/>
      <c r="CK2455" s="115"/>
      <c r="CL2455" s="115"/>
      <c r="CM2455" s="115"/>
      <c r="CN2455" s="115"/>
      <c r="CO2455" s="115"/>
      <c r="CP2455" s="115"/>
      <c r="CQ2455" s="115"/>
      <c r="CR2455" s="115"/>
      <c r="CS2455" s="115"/>
      <c r="CT2455" s="115"/>
      <c r="CU2455" s="115"/>
      <c r="CV2455" s="115"/>
      <c r="CW2455" s="115"/>
      <c r="CX2455" s="115"/>
      <c r="CY2455" s="115"/>
      <c r="CZ2455" s="115"/>
      <c r="DA2455" s="115"/>
      <c r="DB2455" s="115"/>
      <c r="DC2455" s="115"/>
      <c r="DD2455" s="115"/>
      <c r="DE2455" s="115"/>
      <c r="DF2455" s="115"/>
      <c r="DG2455" s="115"/>
    </row>
    <row r="2456" spans="55:111" hidden="1">
      <c r="BC2456" s="115"/>
      <c r="BD2456" s="115"/>
      <c r="BE2456" s="115"/>
      <c r="BF2456" s="115"/>
      <c r="BG2456" s="115"/>
      <c r="BH2456" s="115"/>
      <c r="BI2456" s="115"/>
      <c r="BJ2456" s="115"/>
      <c r="BK2456" s="115"/>
      <c r="BL2456" s="115"/>
      <c r="BM2456" s="115"/>
      <c r="BN2456" s="115"/>
      <c r="BO2456" s="115"/>
      <c r="BP2456" s="115"/>
      <c r="BQ2456" s="115"/>
      <c r="BR2456" s="115"/>
      <c r="BS2456" s="115"/>
      <c r="BT2456" s="115"/>
      <c r="BU2456" s="115"/>
      <c r="BV2456" s="115"/>
      <c r="BW2456" s="115"/>
      <c r="BX2456" s="115"/>
      <c r="BY2456" s="115"/>
      <c r="BZ2456" s="115"/>
      <c r="CA2456" s="115"/>
      <c r="CB2456" s="115"/>
      <c r="CC2456" s="115"/>
      <c r="CD2456" s="115"/>
      <c r="CE2456" s="115"/>
      <c r="CF2456" s="115"/>
      <c r="CG2456" s="115"/>
      <c r="CH2456" s="115"/>
      <c r="CI2456" s="115"/>
      <c r="CJ2456" s="115"/>
      <c r="CK2456" s="115"/>
      <c r="CL2456" s="115"/>
      <c r="CM2456" s="115"/>
      <c r="CN2456" s="115"/>
      <c r="CO2456" s="115"/>
      <c r="CP2456" s="115"/>
      <c r="CQ2456" s="115"/>
      <c r="CR2456" s="115"/>
      <c r="CS2456" s="115"/>
      <c r="CT2456" s="115"/>
      <c r="CU2456" s="115"/>
      <c r="CV2456" s="115"/>
      <c r="CW2456" s="115"/>
      <c r="CX2456" s="115"/>
      <c r="CY2456" s="115"/>
      <c r="CZ2456" s="115"/>
      <c r="DA2456" s="115"/>
      <c r="DB2456" s="115"/>
      <c r="DC2456" s="115"/>
      <c r="DD2456" s="115"/>
      <c r="DE2456" s="115"/>
      <c r="DF2456" s="115"/>
      <c r="DG2456" s="115"/>
    </row>
    <row r="2457" spans="55:111" hidden="1">
      <c r="BC2457" s="115"/>
      <c r="BD2457" s="115"/>
      <c r="BE2457" s="115"/>
      <c r="BF2457" s="115"/>
      <c r="BG2457" s="115"/>
      <c r="BH2457" s="115"/>
      <c r="BI2457" s="115"/>
      <c r="BJ2457" s="115"/>
      <c r="BK2457" s="115"/>
      <c r="BL2457" s="115"/>
      <c r="BM2457" s="115"/>
      <c r="BN2457" s="115"/>
      <c r="BO2457" s="115"/>
      <c r="BP2457" s="115"/>
      <c r="BQ2457" s="115"/>
      <c r="BR2457" s="115"/>
      <c r="BS2457" s="115"/>
      <c r="BT2457" s="115"/>
      <c r="BU2457" s="115"/>
      <c r="BV2457" s="115"/>
      <c r="BW2457" s="115"/>
      <c r="BX2457" s="115"/>
      <c r="BY2457" s="115"/>
      <c r="BZ2457" s="115"/>
      <c r="CA2457" s="115"/>
      <c r="CB2457" s="115"/>
      <c r="CC2457" s="115"/>
      <c r="CD2457" s="115"/>
      <c r="CE2457" s="115"/>
      <c r="CF2457" s="115"/>
      <c r="CG2457" s="115"/>
      <c r="CH2457" s="115"/>
      <c r="CI2457" s="115"/>
      <c r="CJ2457" s="115"/>
      <c r="CK2457" s="115"/>
      <c r="CL2457" s="115"/>
      <c r="CM2457" s="115"/>
      <c r="CN2457" s="115"/>
      <c r="CO2457" s="115"/>
      <c r="CP2457" s="115"/>
      <c r="CQ2457" s="115"/>
      <c r="CR2457" s="115"/>
      <c r="CS2457" s="115"/>
      <c r="CT2457" s="115"/>
      <c r="CU2457" s="115"/>
      <c r="CV2457" s="115"/>
      <c r="CW2457" s="115"/>
      <c r="CX2457" s="115"/>
      <c r="CY2457" s="115"/>
      <c r="CZ2457" s="115"/>
      <c r="DA2457" s="115"/>
      <c r="DB2457" s="115"/>
      <c r="DC2457" s="115"/>
      <c r="DD2457" s="115"/>
      <c r="DE2457" s="115"/>
      <c r="DF2457" s="115"/>
      <c r="DG2457" s="115"/>
    </row>
    <row r="2458" spans="55:111" hidden="1">
      <c r="BC2458" s="115"/>
      <c r="BD2458" s="115"/>
      <c r="BE2458" s="115"/>
      <c r="BF2458" s="115"/>
      <c r="BG2458" s="115"/>
      <c r="BH2458" s="115"/>
      <c r="BI2458" s="115"/>
      <c r="BJ2458" s="115"/>
      <c r="BK2458" s="115"/>
      <c r="BL2458" s="115"/>
      <c r="BM2458" s="115"/>
      <c r="BN2458" s="115"/>
      <c r="BO2458" s="115"/>
      <c r="BP2458" s="115"/>
      <c r="BQ2458" s="115"/>
      <c r="BR2458" s="115"/>
      <c r="BS2458" s="115"/>
      <c r="BT2458" s="115"/>
      <c r="BU2458" s="115"/>
      <c r="BV2458" s="115"/>
      <c r="BW2458" s="115"/>
      <c r="BX2458" s="115"/>
      <c r="BY2458" s="115"/>
      <c r="BZ2458" s="115"/>
      <c r="CA2458" s="115"/>
      <c r="CB2458" s="115"/>
      <c r="CC2458" s="115"/>
      <c r="CD2458" s="115"/>
      <c r="CE2458" s="115"/>
      <c r="CF2458" s="115"/>
      <c r="CG2458" s="115"/>
      <c r="CH2458" s="115"/>
      <c r="CI2458" s="115"/>
      <c r="CJ2458" s="115"/>
      <c r="CK2458" s="115"/>
      <c r="CL2458" s="115"/>
      <c r="CM2458" s="115"/>
      <c r="CN2458" s="115"/>
      <c r="CO2458" s="115"/>
      <c r="CP2458" s="115"/>
      <c r="CQ2458" s="115"/>
      <c r="CR2458" s="115"/>
      <c r="CS2458" s="115"/>
      <c r="CT2458" s="115"/>
      <c r="CU2458" s="115"/>
      <c r="CV2458" s="115"/>
      <c r="CW2458" s="115"/>
      <c r="CX2458" s="115"/>
      <c r="CY2458" s="115"/>
      <c r="CZ2458" s="115"/>
      <c r="DA2458" s="115"/>
      <c r="DB2458" s="115"/>
      <c r="DC2458" s="115"/>
      <c r="DD2458" s="115"/>
      <c r="DE2458" s="115"/>
      <c r="DF2458" s="115"/>
      <c r="DG2458" s="115"/>
    </row>
    <row r="2459" spans="55:111" hidden="1">
      <c r="BC2459" s="115"/>
      <c r="BD2459" s="115"/>
      <c r="BE2459" s="115"/>
      <c r="BF2459" s="115"/>
      <c r="BG2459" s="115"/>
      <c r="BH2459" s="115"/>
      <c r="BI2459" s="115"/>
      <c r="BJ2459" s="115"/>
      <c r="BK2459" s="115"/>
      <c r="BL2459" s="115"/>
      <c r="BM2459" s="115"/>
      <c r="BN2459" s="115"/>
      <c r="BO2459" s="115"/>
      <c r="BP2459" s="115"/>
      <c r="BQ2459" s="115"/>
      <c r="BR2459" s="115"/>
      <c r="BS2459" s="115"/>
      <c r="BT2459" s="115"/>
      <c r="BU2459" s="115"/>
      <c r="BV2459" s="115"/>
      <c r="BW2459" s="115"/>
      <c r="BX2459" s="115"/>
      <c r="BY2459" s="115"/>
      <c r="BZ2459" s="115"/>
      <c r="CA2459" s="115"/>
      <c r="CB2459" s="115"/>
      <c r="CC2459" s="115"/>
      <c r="CD2459" s="115"/>
      <c r="CE2459" s="115"/>
      <c r="CF2459" s="115"/>
      <c r="CG2459" s="115"/>
      <c r="CH2459" s="115"/>
      <c r="CI2459" s="115"/>
      <c r="CJ2459" s="115"/>
      <c r="CK2459" s="115"/>
      <c r="CL2459" s="115"/>
      <c r="CM2459" s="115"/>
      <c r="CN2459" s="115"/>
      <c r="CO2459" s="115"/>
      <c r="CP2459" s="115"/>
      <c r="CQ2459" s="115"/>
      <c r="CR2459" s="115"/>
      <c r="CS2459" s="115"/>
      <c r="CT2459" s="115"/>
      <c r="CU2459" s="115"/>
      <c r="CV2459" s="115"/>
      <c r="CW2459" s="115"/>
      <c r="CX2459" s="115"/>
      <c r="CY2459" s="115"/>
      <c r="CZ2459" s="115"/>
      <c r="DA2459" s="115"/>
      <c r="DB2459" s="115"/>
      <c r="DC2459" s="115"/>
      <c r="DD2459" s="115"/>
      <c r="DE2459" s="115"/>
      <c r="DF2459" s="115"/>
      <c r="DG2459" s="115"/>
    </row>
    <row r="2460" spans="55:111" hidden="1">
      <c r="BC2460" s="115"/>
      <c r="BD2460" s="115"/>
      <c r="BE2460" s="115"/>
      <c r="BF2460" s="115"/>
      <c r="BG2460" s="115"/>
      <c r="BH2460" s="115"/>
      <c r="BI2460" s="115"/>
      <c r="BJ2460" s="115"/>
      <c r="BK2460" s="115"/>
      <c r="BL2460" s="115"/>
      <c r="BM2460" s="115"/>
      <c r="BN2460" s="115"/>
      <c r="BO2460" s="115"/>
      <c r="BP2460" s="115"/>
      <c r="BQ2460" s="115"/>
      <c r="BR2460" s="115"/>
      <c r="BS2460" s="115"/>
      <c r="BT2460" s="115"/>
      <c r="BU2460" s="115"/>
      <c r="BV2460" s="115"/>
      <c r="BW2460" s="115"/>
      <c r="BX2460" s="115"/>
      <c r="BY2460" s="115"/>
      <c r="BZ2460" s="115"/>
      <c r="CA2460" s="115"/>
      <c r="CB2460" s="115"/>
      <c r="CC2460" s="115"/>
      <c r="CD2460" s="115"/>
      <c r="CE2460" s="115"/>
      <c r="CF2460" s="115"/>
      <c r="CG2460" s="115"/>
      <c r="CH2460" s="115"/>
      <c r="CI2460" s="115"/>
      <c r="CJ2460" s="115"/>
      <c r="CK2460" s="115"/>
      <c r="CL2460" s="115"/>
      <c r="CM2460" s="115"/>
      <c r="CN2460" s="115"/>
      <c r="CO2460" s="115"/>
      <c r="CP2460" s="115"/>
      <c r="CQ2460" s="115"/>
      <c r="CR2460" s="115"/>
      <c r="CS2460" s="115"/>
      <c r="CT2460" s="115"/>
      <c r="CU2460" s="115"/>
      <c r="CV2460" s="115"/>
      <c r="CW2460" s="115"/>
      <c r="CX2460" s="115"/>
      <c r="CY2460" s="115"/>
      <c r="CZ2460" s="115"/>
      <c r="DA2460" s="115"/>
      <c r="DB2460" s="115"/>
      <c r="DC2460" s="115"/>
      <c r="DD2460" s="115"/>
      <c r="DE2460" s="115"/>
      <c r="DF2460" s="115"/>
      <c r="DG2460" s="115"/>
    </row>
    <row r="2461" spans="55:111" hidden="1">
      <c r="BC2461" s="115"/>
      <c r="BD2461" s="115"/>
      <c r="BE2461" s="115"/>
      <c r="BF2461" s="115"/>
      <c r="BG2461" s="115"/>
      <c r="BH2461" s="115"/>
      <c r="BI2461" s="115"/>
      <c r="BJ2461" s="115"/>
      <c r="BK2461" s="115"/>
      <c r="BL2461" s="115"/>
      <c r="BM2461" s="115"/>
      <c r="BN2461" s="115"/>
      <c r="BO2461" s="115"/>
      <c r="BP2461" s="115"/>
      <c r="BQ2461" s="115"/>
      <c r="BR2461" s="115"/>
      <c r="BS2461" s="115"/>
      <c r="BT2461" s="115"/>
      <c r="BU2461" s="115"/>
      <c r="BV2461" s="115"/>
      <c r="BW2461" s="115"/>
      <c r="BX2461" s="115"/>
      <c r="BY2461" s="115"/>
      <c r="BZ2461" s="115"/>
      <c r="CA2461" s="115"/>
      <c r="CB2461" s="115"/>
      <c r="CC2461" s="115"/>
      <c r="CD2461" s="115"/>
      <c r="CE2461" s="115"/>
      <c r="CF2461" s="115"/>
      <c r="CG2461" s="115"/>
      <c r="CH2461" s="115"/>
      <c r="CI2461" s="115"/>
      <c r="CJ2461" s="115"/>
      <c r="CK2461" s="115"/>
      <c r="CL2461" s="115"/>
      <c r="CM2461" s="115"/>
      <c r="CN2461" s="115"/>
      <c r="CO2461" s="115"/>
      <c r="CP2461" s="115"/>
      <c r="CQ2461" s="115"/>
      <c r="CR2461" s="115"/>
      <c r="CS2461" s="115"/>
      <c r="CT2461" s="115"/>
      <c r="CU2461" s="115"/>
      <c r="CV2461" s="115"/>
      <c r="CW2461" s="115"/>
      <c r="CX2461" s="115"/>
      <c r="CY2461" s="115"/>
      <c r="CZ2461" s="115"/>
      <c r="DA2461" s="115"/>
      <c r="DB2461" s="115"/>
      <c r="DC2461" s="115"/>
      <c r="DD2461" s="115"/>
      <c r="DE2461" s="115"/>
      <c r="DF2461" s="115"/>
      <c r="DG2461" s="115"/>
    </row>
    <row r="2462" spans="55:111" hidden="1">
      <c r="BC2462" s="115"/>
      <c r="BD2462" s="115"/>
      <c r="BE2462" s="115"/>
      <c r="BF2462" s="115"/>
      <c r="BG2462" s="115"/>
      <c r="BH2462" s="115"/>
      <c r="BI2462" s="115"/>
      <c r="BJ2462" s="115"/>
      <c r="BK2462" s="115"/>
      <c r="BL2462" s="115"/>
      <c r="BM2462" s="115"/>
      <c r="BN2462" s="115"/>
      <c r="BO2462" s="115"/>
      <c r="BP2462" s="115"/>
      <c r="BQ2462" s="115"/>
      <c r="BR2462" s="115"/>
      <c r="BS2462" s="115"/>
      <c r="BT2462" s="115"/>
      <c r="BU2462" s="115"/>
      <c r="BV2462" s="115"/>
      <c r="BW2462" s="115"/>
      <c r="BX2462" s="115"/>
      <c r="BY2462" s="115"/>
      <c r="BZ2462" s="115"/>
      <c r="CA2462" s="115"/>
      <c r="CB2462" s="115"/>
      <c r="CC2462" s="115"/>
      <c r="CD2462" s="115"/>
      <c r="CE2462" s="115"/>
      <c r="CF2462" s="115"/>
      <c r="CG2462" s="115"/>
      <c r="CH2462" s="115"/>
      <c r="CI2462" s="115"/>
      <c r="CJ2462" s="115"/>
      <c r="CK2462" s="115"/>
      <c r="CL2462" s="115"/>
      <c r="CM2462" s="115"/>
      <c r="CN2462" s="115"/>
      <c r="CO2462" s="115"/>
      <c r="CP2462" s="115"/>
      <c r="CQ2462" s="115"/>
      <c r="CR2462" s="115"/>
      <c r="CS2462" s="115"/>
      <c r="CT2462" s="115"/>
      <c r="CU2462" s="115"/>
      <c r="CV2462" s="115"/>
      <c r="CW2462" s="115"/>
      <c r="CX2462" s="115"/>
      <c r="CY2462" s="115"/>
      <c r="CZ2462" s="115"/>
      <c r="DA2462" s="115"/>
      <c r="DB2462" s="115"/>
      <c r="DC2462" s="115"/>
      <c r="DD2462" s="115"/>
      <c r="DE2462" s="115"/>
      <c r="DF2462" s="115"/>
      <c r="DG2462" s="115"/>
    </row>
    <row r="2463" spans="55:111" hidden="1">
      <c r="BC2463" s="115"/>
      <c r="BD2463" s="115"/>
      <c r="BE2463" s="115"/>
      <c r="BF2463" s="115"/>
      <c r="BG2463" s="115"/>
      <c r="BH2463" s="115"/>
      <c r="BI2463" s="115"/>
      <c r="BJ2463" s="115"/>
      <c r="BK2463" s="115"/>
      <c r="BL2463" s="115"/>
      <c r="BM2463" s="115"/>
      <c r="BN2463" s="115"/>
      <c r="BO2463" s="115"/>
      <c r="BP2463" s="115"/>
      <c r="BQ2463" s="115"/>
      <c r="BR2463" s="115"/>
      <c r="BS2463" s="115"/>
      <c r="BT2463" s="115"/>
      <c r="BU2463" s="115"/>
      <c r="BV2463" s="115"/>
      <c r="BW2463" s="115"/>
      <c r="BX2463" s="115"/>
      <c r="BY2463" s="115"/>
      <c r="BZ2463" s="115"/>
      <c r="CA2463" s="115"/>
      <c r="CB2463" s="115"/>
      <c r="CC2463" s="115"/>
      <c r="CD2463" s="115"/>
      <c r="CE2463" s="115"/>
      <c r="CF2463" s="115"/>
      <c r="CG2463" s="115"/>
      <c r="CH2463" s="115"/>
      <c r="CI2463" s="115"/>
      <c r="CJ2463" s="115"/>
      <c r="CK2463" s="115"/>
      <c r="CL2463" s="115"/>
      <c r="CM2463" s="115"/>
      <c r="CN2463" s="115"/>
      <c r="CO2463" s="115"/>
      <c r="CP2463" s="115"/>
      <c r="CQ2463" s="115"/>
      <c r="CR2463" s="115"/>
      <c r="CS2463" s="115"/>
      <c r="CT2463" s="115"/>
      <c r="CU2463" s="115"/>
      <c r="CV2463" s="115"/>
      <c r="CW2463" s="115"/>
      <c r="CX2463" s="115"/>
      <c r="CY2463" s="115"/>
      <c r="CZ2463" s="115"/>
      <c r="DA2463" s="115"/>
      <c r="DB2463" s="115"/>
      <c r="DC2463" s="115"/>
      <c r="DD2463" s="115"/>
      <c r="DE2463" s="115"/>
      <c r="DF2463" s="115"/>
      <c r="DG2463" s="115"/>
    </row>
    <row r="2464" spans="55:111" hidden="1">
      <c r="BC2464" s="115"/>
      <c r="BD2464" s="115"/>
      <c r="BE2464" s="115"/>
      <c r="BF2464" s="115"/>
      <c r="BG2464" s="115"/>
      <c r="BH2464" s="115"/>
      <c r="BI2464" s="115"/>
      <c r="BJ2464" s="115"/>
      <c r="BK2464" s="115"/>
      <c r="BL2464" s="115"/>
      <c r="BM2464" s="115"/>
      <c r="BN2464" s="115"/>
      <c r="BO2464" s="115"/>
      <c r="BP2464" s="115"/>
      <c r="BQ2464" s="115"/>
      <c r="BR2464" s="115"/>
      <c r="BS2464" s="115"/>
      <c r="BT2464" s="115"/>
      <c r="BU2464" s="115"/>
      <c r="BV2464" s="115"/>
      <c r="BW2464" s="115"/>
      <c r="BX2464" s="115"/>
      <c r="BY2464" s="115"/>
      <c r="BZ2464" s="115"/>
      <c r="CA2464" s="115"/>
      <c r="CB2464" s="115"/>
      <c r="CC2464" s="115"/>
      <c r="CD2464" s="115"/>
      <c r="CE2464" s="115"/>
      <c r="CF2464" s="115"/>
      <c r="CG2464" s="115"/>
      <c r="CH2464" s="115"/>
      <c r="CI2464" s="115"/>
      <c r="CJ2464" s="115"/>
      <c r="CK2464" s="115"/>
      <c r="CL2464" s="115"/>
      <c r="CM2464" s="115"/>
      <c r="CN2464" s="115"/>
      <c r="CO2464" s="115"/>
      <c r="CP2464" s="115"/>
      <c r="CQ2464" s="115"/>
      <c r="CR2464" s="115"/>
      <c r="CS2464" s="115"/>
      <c r="CT2464" s="115"/>
      <c r="CU2464" s="115"/>
      <c r="CV2464" s="115"/>
      <c r="CW2464" s="115"/>
      <c r="CX2464" s="115"/>
      <c r="CY2464" s="115"/>
      <c r="CZ2464" s="115"/>
      <c r="DA2464" s="115"/>
      <c r="DB2464" s="115"/>
      <c r="DC2464" s="115"/>
      <c r="DD2464" s="115"/>
      <c r="DE2464" s="115"/>
      <c r="DF2464" s="115"/>
      <c r="DG2464" s="115"/>
    </row>
    <row r="2465" spans="55:111" hidden="1">
      <c r="BC2465" s="115"/>
      <c r="BD2465" s="115"/>
      <c r="BE2465" s="115"/>
      <c r="BF2465" s="115"/>
      <c r="BG2465" s="115"/>
      <c r="BH2465" s="115"/>
      <c r="BI2465" s="115"/>
      <c r="BJ2465" s="115"/>
      <c r="BK2465" s="115"/>
      <c r="BL2465" s="115"/>
      <c r="BM2465" s="115"/>
      <c r="BN2465" s="115"/>
      <c r="BO2465" s="115"/>
      <c r="BP2465" s="115"/>
      <c r="BQ2465" s="115"/>
      <c r="BR2465" s="115"/>
      <c r="BS2465" s="115"/>
      <c r="BT2465" s="115"/>
      <c r="BU2465" s="115"/>
      <c r="BV2465" s="115"/>
      <c r="BW2465" s="115"/>
      <c r="BX2465" s="115"/>
      <c r="BY2465" s="115"/>
      <c r="BZ2465" s="115"/>
      <c r="CA2465" s="115"/>
      <c r="CB2465" s="115"/>
      <c r="CC2465" s="115"/>
      <c r="CD2465" s="115"/>
      <c r="CE2465" s="115"/>
      <c r="CF2465" s="115"/>
      <c r="CG2465" s="115"/>
      <c r="CH2465" s="115"/>
      <c r="CI2465" s="115"/>
      <c r="CJ2465" s="115"/>
      <c r="CK2465" s="115"/>
      <c r="CL2465" s="115"/>
      <c r="CM2465" s="115"/>
      <c r="CN2465" s="115"/>
      <c r="CO2465" s="115"/>
      <c r="CP2465" s="115"/>
      <c r="CQ2465" s="115"/>
      <c r="CR2465" s="115"/>
      <c r="CS2465" s="115"/>
      <c r="CT2465" s="115"/>
      <c r="CU2465" s="115"/>
      <c r="CV2465" s="115"/>
      <c r="CW2465" s="115"/>
      <c r="CX2465" s="115"/>
      <c r="CY2465" s="115"/>
      <c r="CZ2465" s="115"/>
      <c r="DA2465" s="115"/>
      <c r="DB2465" s="115"/>
      <c r="DC2465" s="115"/>
      <c r="DD2465" s="115"/>
      <c r="DE2465" s="115"/>
      <c r="DF2465" s="115"/>
      <c r="DG2465" s="115"/>
    </row>
    <row r="2466" spans="55:111" hidden="1">
      <c r="BC2466" s="115"/>
      <c r="BD2466" s="115"/>
      <c r="BE2466" s="115"/>
      <c r="BF2466" s="115"/>
      <c r="BG2466" s="115"/>
      <c r="BH2466" s="115"/>
      <c r="BI2466" s="115"/>
      <c r="BJ2466" s="115"/>
      <c r="BK2466" s="115"/>
      <c r="BL2466" s="115"/>
      <c r="BM2466" s="115"/>
      <c r="BN2466" s="115"/>
      <c r="BO2466" s="115"/>
      <c r="BP2466" s="115"/>
      <c r="BQ2466" s="115"/>
      <c r="BR2466" s="115"/>
      <c r="BS2466" s="115"/>
      <c r="BT2466" s="115"/>
      <c r="BU2466" s="115"/>
      <c r="BV2466" s="115"/>
      <c r="BW2466" s="115"/>
      <c r="BX2466" s="115"/>
      <c r="BY2466" s="115"/>
      <c r="BZ2466" s="115"/>
      <c r="CA2466" s="115"/>
      <c r="CB2466" s="115"/>
      <c r="CC2466" s="115"/>
      <c r="CD2466" s="115"/>
      <c r="CE2466" s="115"/>
      <c r="CF2466" s="115"/>
      <c r="CG2466" s="115"/>
      <c r="CH2466" s="115"/>
      <c r="CI2466" s="115"/>
      <c r="CJ2466" s="115"/>
      <c r="CK2466" s="115"/>
      <c r="CL2466" s="115"/>
      <c r="CM2466" s="115"/>
      <c r="CN2466" s="115"/>
      <c r="CO2466" s="115"/>
      <c r="CP2466" s="115"/>
      <c r="CQ2466" s="115"/>
      <c r="CR2466" s="115"/>
      <c r="CS2466" s="115"/>
      <c r="CT2466" s="115"/>
      <c r="CU2466" s="115"/>
      <c r="CV2466" s="115"/>
      <c r="CW2466" s="115"/>
      <c r="CX2466" s="115"/>
      <c r="CY2466" s="115"/>
      <c r="CZ2466" s="115"/>
      <c r="DA2466" s="115"/>
      <c r="DB2466" s="115"/>
      <c r="DC2466" s="115"/>
      <c r="DD2466" s="115"/>
      <c r="DE2466" s="115"/>
      <c r="DF2466" s="115"/>
      <c r="DG2466" s="115"/>
    </row>
    <row r="2467" spans="55:111" hidden="1">
      <c r="BC2467" s="115"/>
      <c r="BD2467" s="115"/>
      <c r="BE2467" s="115"/>
      <c r="BF2467" s="115"/>
      <c r="BG2467" s="115"/>
      <c r="BH2467" s="115"/>
      <c r="BI2467" s="115"/>
      <c r="BJ2467" s="115"/>
      <c r="BK2467" s="115"/>
      <c r="BL2467" s="115"/>
      <c r="BM2467" s="115"/>
      <c r="BN2467" s="115"/>
      <c r="BO2467" s="115"/>
      <c r="BP2467" s="115"/>
      <c r="BQ2467" s="115"/>
      <c r="BR2467" s="115"/>
      <c r="BS2467" s="115"/>
      <c r="BT2467" s="115"/>
      <c r="BU2467" s="115"/>
      <c r="BV2467" s="115"/>
      <c r="BW2467" s="115"/>
      <c r="BX2467" s="115"/>
      <c r="BY2467" s="115"/>
      <c r="BZ2467" s="115"/>
      <c r="CA2467" s="115"/>
      <c r="CB2467" s="115"/>
      <c r="CC2467" s="115"/>
      <c r="CD2467" s="115"/>
      <c r="CE2467" s="115"/>
      <c r="CF2467" s="115"/>
      <c r="CG2467" s="115"/>
      <c r="CH2467" s="115"/>
      <c r="CI2467" s="115"/>
      <c r="CJ2467" s="115"/>
      <c r="CK2467" s="115"/>
      <c r="CL2467" s="115"/>
      <c r="CM2467" s="115"/>
      <c r="CN2467" s="115"/>
      <c r="CO2467" s="115"/>
      <c r="CP2467" s="115"/>
      <c r="CQ2467" s="115"/>
      <c r="CR2467" s="115"/>
      <c r="CS2467" s="115"/>
      <c r="CT2467" s="115"/>
      <c r="CU2467" s="115"/>
      <c r="CV2467" s="115"/>
      <c r="CW2467" s="115"/>
      <c r="CX2467" s="115"/>
      <c r="CY2467" s="115"/>
      <c r="CZ2467" s="115"/>
      <c r="DA2467" s="115"/>
      <c r="DB2467" s="115"/>
      <c r="DC2467" s="115"/>
      <c r="DD2467" s="115"/>
      <c r="DE2467" s="115"/>
      <c r="DF2467" s="115"/>
      <c r="DG2467" s="115"/>
    </row>
    <row r="2468" spans="55:111" hidden="1">
      <c r="BC2468" s="115"/>
      <c r="BD2468" s="115"/>
      <c r="BE2468" s="115"/>
      <c r="BF2468" s="115"/>
      <c r="BG2468" s="115"/>
      <c r="BH2468" s="115"/>
      <c r="BI2468" s="115"/>
      <c r="BJ2468" s="115"/>
      <c r="BK2468" s="115"/>
      <c r="BL2468" s="115"/>
      <c r="BM2468" s="115"/>
      <c r="BN2468" s="115"/>
      <c r="BO2468" s="115"/>
      <c r="BP2468" s="115"/>
      <c r="BQ2468" s="115"/>
      <c r="BR2468" s="115"/>
      <c r="BS2468" s="115"/>
      <c r="BT2468" s="115"/>
      <c r="BU2468" s="115"/>
      <c r="BV2468" s="115"/>
      <c r="BW2468" s="115"/>
      <c r="BX2468" s="115"/>
      <c r="BY2468" s="115"/>
      <c r="BZ2468" s="115"/>
      <c r="CA2468" s="115"/>
      <c r="CB2468" s="115"/>
      <c r="CC2468" s="115"/>
      <c r="CD2468" s="115"/>
      <c r="CE2468" s="115"/>
      <c r="CF2468" s="115"/>
      <c r="CG2468" s="115"/>
      <c r="CH2468" s="115"/>
      <c r="CI2468" s="115"/>
      <c r="CJ2468" s="115"/>
      <c r="CK2468" s="115"/>
      <c r="CL2468" s="115"/>
      <c r="CM2468" s="115"/>
      <c r="CN2468" s="115"/>
      <c r="CO2468" s="115"/>
      <c r="CP2468" s="115"/>
      <c r="CQ2468" s="115"/>
      <c r="CR2468" s="115"/>
      <c r="CS2468" s="115"/>
      <c r="CT2468" s="115"/>
      <c r="CU2468" s="115"/>
      <c r="CV2468" s="115"/>
      <c r="CW2468" s="115"/>
      <c r="CX2468" s="115"/>
      <c r="CY2468" s="115"/>
      <c r="CZ2468" s="115"/>
      <c r="DA2468" s="115"/>
      <c r="DB2468" s="115"/>
      <c r="DC2468" s="115"/>
      <c r="DD2468" s="115"/>
      <c r="DE2468" s="115"/>
      <c r="DF2468" s="115"/>
      <c r="DG2468" s="115"/>
    </row>
    <row r="2469" spans="55:111" hidden="1">
      <c r="BC2469" s="115"/>
      <c r="BD2469" s="115"/>
      <c r="BE2469" s="115"/>
      <c r="BF2469" s="115"/>
      <c r="BG2469" s="115"/>
      <c r="BH2469" s="115"/>
      <c r="BI2469" s="115"/>
      <c r="BJ2469" s="115"/>
      <c r="BK2469" s="115"/>
      <c r="BL2469" s="115"/>
      <c r="BM2469" s="115"/>
      <c r="BN2469" s="115"/>
      <c r="BO2469" s="115"/>
      <c r="BP2469" s="115"/>
      <c r="BQ2469" s="115"/>
      <c r="BR2469" s="115"/>
      <c r="BS2469" s="115"/>
      <c r="BT2469" s="115"/>
      <c r="BU2469" s="115"/>
      <c r="BV2469" s="115"/>
      <c r="BW2469" s="115"/>
      <c r="BX2469" s="115"/>
      <c r="BY2469" s="115"/>
      <c r="BZ2469" s="115"/>
      <c r="CA2469" s="115"/>
      <c r="CB2469" s="115"/>
      <c r="CC2469" s="115"/>
      <c r="CD2469" s="115"/>
      <c r="CE2469" s="115"/>
      <c r="CF2469" s="115"/>
      <c r="CG2469" s="115"/>
      <c r="CH2469" s="115"/>
      <c r="CI2469" s="115"/>
      <c r="CJ2469" s="115"/>
      <c r="CK2469" s="115"/>
      <c r="CL2469" s="115"/>
      <c r="CM2469" s="115"/>
      <c r="CN2469" s="115"/>
      <c r="CO2469" s="115"/>
      <c r="CP2469" s="115"/>
      <c r="CQ2469" s="115"/>
      <c r="CR2469" s="115"/>
      <c r="CS2469" s="115"/>
      <c r="CT2469" s="115"/>
      <c r="CU2469" s="115"/>
      <c r="CV2469" s="115"/>
      <c r="CW2469" s="115"/>
      <c r="CX2469" s="115"/>
      <c r="CY2469" s="115"/>
      <c r="CZ2469" s="115"/>
      <c r="DA2469" s="115"/>
      <c r="DB2469" s="115"/>
      <c r="DC2469" s="115"/>
      <c r="DD2469" s="115"/>
      <c r="DE2469" s="115"/>
      <c r="DF2469" s="115"/>
      <c r="DG2469" s="115"/>
    </row>
    <row r="2470" spans="55:111" hidden="1">
      <c r="BC2470" s="115"/>
      <c r="BD2470" s="115"/>
      <c r="BE2470" s="115"/>
      <c r="BF2470" s="115"/>
      <c r="BG2470" s="115"/>
      <c r="BH2470" s="115"/>
      <c r="BI2470" s="115"/>
      <c r="BJ2470" s="115"/>
      <c r="BK2470" s="115"/>
      <c r="BL2470" s="115"/>
      <c r="BM2470" s="115"/>
      <c r="BN2470" s="115"/>
      <c r="BO2470" s="115"/>
      <c r="BP2470" s="115"/>
      <c r="BQ2470" s="115"/>
      <c r="BR2470" s="115"/>
      <c r="BS2470" s="115"/>
      <c r="BT2470" s="115"/>
      <c r="BU2470" s="115"/>
      <c r="BV2470" s="115"/>
      <c r="BW2470" s="115"/>
      <c r="BX2470" s="115"/>
      <c r="BY2470" s="115"/>
      <c r="BZ2470" s="115"/>
      <c r="CA2470" s="115"/>
      <c r="CB2470" s="115"/>
      <c r="CC2470" s="115"/>
      <c r="CD2470" s="115"/>
      <c r="CE2470" s="115"/>
      <c r="CF2470" s="115"/>
      <c r="CG2470" s="115"/>
      <c r="CH2470" s="115"/>
      <c r="CI2470" s="115"/>
      <c r="CJ2470" s="115"/>
      <c r="CK2470" s="115"/>
      <c r="CL2470" s="115"/>
      <c r="CM2470" s="115"/>
      <c r="CN2470" s="115"/>
      <c r="CO2470" s="115"/>
      <c r="CP2470" s="115"/>
      <c r="CQ2470" s="115"/>
      <c r="CR2470" s="115"/>
      <c r="CS2470" s="115"/>
      <c r="CT2470" s="115"/>
      <c r="CU2470" s="115"/>
      <c r="CV2470" s="115"/>
      <c r="CW2470" s="115"/>
      <c r="CX2470" s="115"/>
      <c r="CY2470" s="115"/>
      <c r="CZ2470" s="115"/>
      <c r="DA2470" s="115"/>
      <c r="DB2470" s="115"/>
      <c r="DC2470" s="115"/>
      <c r="DD2470" s="115"/>
      <c r="DE2470" s="115"/>
      <c r="DF2470" s="115"/>
      <c r="DG2470" s="115"/>
    </row>
    <row r="2471" spans="55:111" hidden="1">
      <c r="BC2471" s="115"/>
      <c r="BD2471" s="115"/>
      <c r="BE2471" s="115"/>
      <c r="BF2471" s="115"/>
      <c r="BG2471" s="115"/>
      <c r="BH2471" s="115"/>
      <c r="BI2471" s="115"/>
      <c r="BJ2471" s="115"/>
      <c r="BK2471" s="115"/>
      <c r="BL2471" s="115"/>
      <c r="BM2471" s="115"/>
      <c r="BN2471" s="115"/>
      <c r="BO2471" s="115"/>
      <c r="BP2471" s="115"/>
      <c r="BQ2471" s="115"/>
      <c r="BR2471" s="115"/>
      <c r="BS2471" s="115"/>
      <c r="BT2471" s="115"/>
      <c r="BU2471" s="115"/>
      <c r="BV2471" s="115"/>
      <c r="BW2471" s="115"/>
      <c r="BX2471" s="115"/>
      <c r="BY2471" s="115"/>
      <c r="BZ2471" s="115"/>
      <c r="CA2471" s="115"/>
      <c r="CB2471" s="115"/>
      <c r="CC2471" s="115"/>
      <c r="CD2471" s="115"/>
      <c r="CE2471" s="115"/>
      <c r="CF2471" s="115"/>
      <c r="CG2471" s="115"/>
      <c r="CH2471" s="115"/>
      <c r="CI2471" s="115"/>
      <c r="CJ2471" s="115"/>
      <c r="CK2471" s="115"/>
      <c r="CL2471" s="115"/>
      <c r="CM2471" s="115"/>
      <c r="CN2471" s="115"/>
      <c r="CO2471" s="115"/>
      <c r="CP2471" s="115"/>
      <c r="CQ2471" s="115"/>
      <c r="CR2471" s="115"/>
      <c r="CS2471" s="115"/>
      <c r="CT2471" s="115"/>
      <c r="CU2471" s="115"/>
      <c r="CV2471" s="115"/>
      <c r="CW2471" s="115"/>
      <c r="CX2471" s="115"/>
      <c r="CY2471" s="115"/>
      <c r="CZ2471" s="115"/>
      <c r="DA2471" s="115"/>
      <c r="DB2471" s="115"/>
      <c r="DC2471" s="115"/>
      <c r="DD2471" s="115"/>
      <c r="DE2471" s="115"/>
      <c r="DF2471" s="115"/>
      <c r="DG2471" s="115"/>
    </row>
    <row r="2472" spans="55:111" hidden="1">
      <c r="BC2472" s="115"/>
      <c r="BD2472" s="115"/>
      <c r="BE2472" s="115"/>
      <c r="BF2472" s="115"/>
      <c r="BG2472" s="115"/>
      <c r="BH2472" s="115"/>
      <c r="BI2472" s="115"/>
      <c r="BJ2472" s="115"/>
      <c r="BK2472" s="115"/>
      <c r="BL2472" s="115"/>
      <c r="BM2472" s="115"/>
      <c r="BN2472" s="115"/>
      <c r="BO2472" s="115"/>
      <c r="BP2472" s="115"/>
      <c r="BQ2472" s="115"/>
      <c r="BR2472" s="115"/>
      <c r="BS2472" s="115"/>
      <c r="BT2472" s="115"/>
      <c r="BU2472" s="115"/>
      <c r="BV2472" s="115"/>
      <c r="BW2472" s="115"/>
      <c r="BX2472" s="115"/>
      <c r="BY2472" s="115"/>
      <c r="BZ2472" s="115"/>
      <c r="CA2472" s="115"/>
      <c r="CB2472" s="115"/>
      <c r="CC2472" s="115"/>
      <c r="CD2472" s="115"/>
      <c r="CE2472" s="115"/>
      <c r="CF2472" s="115"/>
      <c r="CG2472" s="115"/>
      <c r="CH2472" s="115"/>
      <c r="CI2472" s="115"/>
      <c r="CJ2472" s="115"/>
      <c r="CK2472" s="115"/>
      <c r="CL2472" s="115"/>
      <c r="CM2472" s="115"/>
      <c r="CN2472" s="115"/>
      <c r="CO2472" s="115"/>
      <c r="CP2472" s="115"/>
      <c r="CQ2472" s="115"/>
      <c r="CR2472" s="115"/>
      <c r="CS2472" s="115"/>
      <c r="CT2472" s="115"/>
      <c r="CU2472" s="115"/>
      <c r="CV2472" s="115"/>
      <c r="CW2472" s="115"/>
      <c r="CX2472" s="115"/>
      <c r="CY2472" s="115"/>
      <c r="CZ2472" s="115"/>
      <c r="DA2472" s="115"/>
      <c r="DB2472" s="115"/>
      <c r="DC2472" s="115"/>
      <c r="DD2472" s="115"/>
      <c r="DE2472" s="115"/>
      <c r="DF2472" s="115"/>
      <c r="DG2472" s="115"/>
    </row>
    <row r="2473" spans="55:111" hidden="1">
      <c r="BC2473" s="115"/>
      <c r="BD2473" s="115"/>
      <c r="BE2473" s="115"/>
      <c r="BF2473" s="115"/>
      <c r="BG2473" s="115"/>
      <c r="BH2473" s="115"/>
      <c r="BI2473" s="115"/>
      <c r="BJ2473" s="115"/>
      <c r="BK2473" s="115"/>
      <c r="BL2473" s="115"/>
      <c r="BM2473" s="115"/>
      <c r="BN2473" s="115"/>
      <c r="BO2473" s="115"/>
      <c r="BP2473" s="115"/>
      <c r="BQ2473" s="115"/>
      <c r="BR2473" s="115"/>
      <c r="BS2473" s="115"/>
      <c r="BT2473" s="115"/>
      <c r="BU2473" s="115"/>
      <c r="BV2473" s="115"/>
      <c r="BW2473" s="115"/>
      <c r="BX2473" s="115"/>
      <c r="BY2473" s="115"/>
      <c r="BZ2473" s="115"/>
      <c r="CA2473" s="115"/>
      <c r="CB2473" s="115"/>
      <c r="CC2473" s="115"/>
      <c r="CD2473" s="115"/>
      <c r="CE2473" s="115"/>
      <c r="CF2473" s="115"/>
      <c r="CG2473" s="115"/>
      <c r="CH2473" s="115"/>
      <c r="CI2473" s="115"/>
      <c r="CJ2473" s="115"/>
      <c r="CK2473" s="115"/>
      <c r="CL2473" s="115"/>
      <c r="CM2473" s="115"/>
      <c r="CN2473" s="115"/>
      <c r="CO2473" s="115"/>
      <c r="CP2473" s="115"/>
      <c r="CQ2473" s="115"/>
      <c r="CR2473" s="115"/>
      <c r="CS2473" s="115"/>
      <c r="CT2473" s="115"/>
      <c r="CU2473" s="115"/>
      <c r="CV2473" s="115"/>
      <c r="CW2473" s="115"/>
      <c r="CX2473" s="115"/>
      <c r="CY2473" s="115"/>
      <c r="CZ2473" s="115"/>
      <c r="DA2473" s="115"/>
      <c r="DB2473" s="115"/>
      <c r="DC2473" s="115"/>
      <c r="DD2473" s="115"/>
      <c r="DE2473" s="115"/>
      <c r="DF2473" s="115"/>
      <c r="DG2473" s="115"/>
    </row>
    <row r="2474" spans="55:111" hidden="1">
      <c r="BC2474" s="115"/>
      <c r="BD2474" s="115"/>
      <c r="BE2474" s="115"/>
      <c r="BF2474" s="115"/>
      <c r="BG2474" s="115"/>
      <c r="BH2474" s="115"/>
      <c r="BI2474" s="115"/>
      <c r="BJ2474" s="115"/>
      <c r="BK2474" s="115"/>
      <c r="BL2474" s="115"/>
      <c r="BM2474" s="115"/>
      <c r="BN2474" s="115"/>
      <c r="BO2474" s="115"/>
      <c r="BP2474" s="115"/>
      <c r="BQ2474" s="115"/>
      <c r="BR2474" s="115"/>
      <c r="BS2474" s="115"/>
      <c r="BT2474" s="115"/>
      <c r="BU2474" s="115"/>
      <c r="BV2474" s="115"/>
      <c r="BW2474" s="115"/>
      <c r="BX2474" s="115"/>
      <c r="BY2474" s="115"/>
      <c r="BZ2474" s="115"/>
      <c r="CA2474" s="115"/>
      <c r="CB2474" s="115"/>
      <c r="CC2474" s="115"/>
      <c r="CD2474" s="115"/>
      <c r="CE2474" s="115"/>
      <c r="CF2474" s="115"/>
      <c r="CG2474" s="115"/>
      <c r="CH2474" s="115"/>
      <c r="CI2474" s="115"/>
      <c r="CJ2474" s="115"/>
      <c r="CK2474" s="115"/>
      <c r="CL2474" s="115"/>
      <c r="CM2474" s="115"/>
      <c r="CN2474" s="115"/>
      <c r="CO2474" s="115"/>
      <c r="CP2474" s="115"/>
      <c r="CQ2474" s="115"/>
      <c r="CR2474" s="115"/>
      <c r="CS2474" s="115"/>
      <c r="CT2474" s="115"/>
      <c r="CU2474" s="115"/>
      <c r="CV2474" s="115"/>
      <c r="CW2474" s="115"/>
      <c r="CX2474" s="115"/>
      <c r="CY2474" s="115"/>
      <c r="CZ2474" s="115"/>
      <c r="DA2474" s="115"/>
      <c r="DB2474" s="115"/>
      <c r="DC2474" s="115"/>
      <c r="DD2474" s="115"/>
      <c r="DE2474" s="115"/>
      <c r="DF2474" s="115"/>
      <c r="DG2474" s="115"/>
    </row>
    <row r="2475" spans="55:111" hidden="1">
      <c r="BC2475" s="115"/>
      <c r="BD2475" s="115"/>
      <c r="BE2475" s="115"/>
      <c r="BF2475" s="115"/>
      <c r="BG2475" s="115"/>
      <c r="BH2475" s="115"/>
      <c r="BI2475" s="115"/>
      <c r="BJ2475" s="115"/>
      <c r="BK2475" s="115"/>
      <c r="BL2475" s="115"/>
      <c r="BM2475" s="115"/>
      <c r="BN2475" s="115"/>
      <c r="BO2475" s="115"/>
      <c r="BP2475" s="115"/>
      <c r="BQ2475" s="115"/>
      <c r="BR2475" s="115"/>
      <c r="BS2475" s="115"/>
      <c r="BT2475" s="115"/>
      <c r="BU2475" s="115"/>
      <c r="BV2475" s="115"/>
      <c r="BW2475" s="115"/>
      <c r="BX2475" s="115"/>
      <c r="BY2475" s="115"/>
      <c r="BZ2475" s="115"/>
      <c r="CA2475" s="115"/>
      <c r="CB2475" s="115"/>
      <c r="CC2475" s="115"/>
      <c r="CD2475" s="115"/>
      <c r="CE2475" s="115"/>
      <c r="CF2475" s="115"/>
      <c r="CG2475" s="115"/>
      <c r="CH2475" s="115"/>
      <c r="CI2475" s="115"/>
      <c r="CJ2475" s="115"/>
      <c r="CK2475" s="115"/>
      <c r="CL2475" s="115"/>
      <c r="CM2475" s="115"/>
      <c r="CN2475" s="115"/>
      <c r="CO2475" s="115"/>
      <c r="CP2475" s="115"/>
      <c r="CQ2475" s="115"/>
      <c r="CR2475" s="115"/>
      <c r="CS2475" s="115"/>
      <c r="CT2475" s="115"/>
      <c r="CU2475" s="115"/>
      <c r="CV2475" s="115"/>
      <c r="CW2475" s="115"/>
      <c r="CX2475" s="115"/>
      <c r="CY2475" s="115"/>
      <c r="CZ2475" s="115"/>
      <c r="DA2475" s="115"/>
      <c r="DB2475" s="115"/>
      <c r="DC2475" s="115"/>
      <c r="DD2475" s="115"/>
      <c r="DE2475" s="115"/>
      <c r="DF2475" s="115"/>
      <c r="DG2475" s="115"/>
    </row>
    <row r="2476" spans="55:111" hidden="1">
      <c r="BC2476" s="115"/>
      <c r="BD2476" s="115"/>
      <c r="BE2476" s="115"/>
      <c r="BF2476" s="115"/>
      <c r="BG2476" s="115"/>
      <c r="BH2476" s="115"/>
      <c r="BI2476" s="115"/>
      <c r="BJ2476" s="115"/>
      <c r="BK2476" s="115"/>
      <c r="BL2476" s="115"/>
      <c r="BM2476" s="115"/>
      <c r="BN2476" s="115"/>
      <c r="BO2476" s="115"/>
      <c r="BP2476" s="115"/>
      <c r="BQ2476" s="115"/>
      <c r="BR2476" s="115"/>
      <c r="BS2476" s="115"/>
      <c r="BT2476" s="115"/>
      <c r="BU2476" s="115"/>
      <c r="BV2476" s="115"/>
      <c r="BW2476" s="115"/>
      <c r="BX2476" s="115"/>
      <c r="BY2476" s="115"/>
      <c r="BZ2476" s="115"/>
      <c r="CA2476" s="115"/>
      <c r="CB2476" s="115"/>
      <c r="CC2476" s="115"/>
      <c r="CD2476" s="115"/>
      <c r="CE2476" s="115"/>
      <c r="CF2476" s="115"/>
      <c r="CG2476" s="115"/>
      <c r="CH2476" s="115"/>
      <c r="CI2476" s="115"/>
      <c r="CJ2476" s="115"/>
      <c r="CK2476" s="115"/>
      <c r="CL2476" s="115"/>
      <c r="CM2476" s="115"/>
      <c r="CN2476" s="115"/>
      <c r="CO2476" s="115"/>
      <c r="CP2476" s="115"/>
      <c r="CQ2476" s="115"/>
      <c r="CR2476" s="115"/>
      <c r="CS2476" s="115"/>
      <c r="CT2476" s="115"/>
      <c r="CU2476" s="115"/>
      <c r="CV2476" s="115"/>
      <c r="CW2476" s="115"/>
      <c r="CX2476" s="115"/>
      <c r="CY2476" s="115"/>
      <c r="CZ2476" s="115"/>
      <c r="DA2476" s="115"/>
      <c r="DB2476" s="115"/>
      <c r="DC2476" s="115"/>
      <c r="DD2476" s="115"/>
      <c r="DE2476" s="115"/>
      <c r="DF2476" s="115"/>
      <c r="DG2476" s="115"/>
    </row>
    <row r="2477" spans="55:111" hidden="1">
      <c r="BC2477" s="115"/>
      <c r="BD2477" s="115"/>
      <c r="BE2477" s="115"/>
      <c r="BF2477" s="115"/>
      <c r="BG2477" s="115"/>
      <c r="BH2477" s="115"/>
      <c r="BI2477" s="115"/>
      <c r="BJ2477" s="115"/>
      <c r="BK2477" s="115"/>
      <c r="BL2477" s="115"/>
      <c r="BM2477" s="115"/>
      <c r="BN2477" s="115"/>
      <c r="BO2477" s="115"/>
      <c r="BP2477" s="115"/>
      <c r="BQ2477" s="115"/>
      <c r="BR2477" s="115"/>
      <c r="BS2477" s="115"/>
      <c r="BT2477" s="115"/>
      <c r="BU2477" s="115"/>
      <c r="BV2477" s="115"/>
      <c r="BW2477" s="115"/>
      <c r="BX2477" s="115"/>
      <c r="BY2477" s="115"/>
      <c r="BZ2477" s="115"/>
      <c r="CA2477" s="115"/>
      <c r="CB2477" s="115"/>
      <c r="CC2477" s="115"/>
      <c r="CD2477" s="115"/>
      <c r="CE2477" s="115"/>
      <c r="CF2477" s="115"/>
      <c r="CG2477" s="115"/>
      <c r="CH2477" s="115"/>
      <c r="CI2477" s="115"/>
      <c r="CJ2477" s="115"/>
      <c r="CK2477" s="115"/>
      <c r="CL2477" s="115"/>
      <c r="CM2477" s="115"/>
      <c r="CN2477" s="115"/>
      <c r="CO2477" s="115"/>
      <c r="CP2477" s="115"/>
      <c r="CQ2477" s="115"/>
      <c r="CR2477" s="115"/>
      <c r="CS2477" s="115"/>
      <c r="CT2477" s="115"/>
      <c r="CU2477" s="115"/>
      <c r="CV2477" s="115"/>
      <c r="CW2477" s="115"/>
      <c r="CX2477" s="115"/>
      <c r="CY2477" s="115"/>
      <c r="CZ2477" s="115"/>
      <c r="DA2477" s="115"/>
      <c r="DB2477" s="115"/>
      <c r="DC2477" s="115"/>
      <c r="DD2477" s="115"/>
      <c r="DE2477" s="115"/>
      <c r="DF2477" s="115"/>
      <c r="DG2477" s="115"/>
    </row>
    <row r="2478" spans="55:111" hidden="1">
      <c r="BC2478" s="115"/>
      <c r="BD2478" s="115"/>
      <c r="BE2478" s="115"/>
      <c r="BF2478" s="115"/>
      <c r="BG2478" s="115"/>
      <c r="BH2478" s="115"/>
      <c r="BI2478" s="115"/>
      <c r="BJ2478" s="115"/>
      <c r="BK2478" s="115"/>
      <c r="BL2478" s="115"/>
      <c r="BM2478" s="115"/>
      <c r="BN2478" s="115"/>
      <c r="BO2478" s="115"/>
      <c r="BP2478" s="115"/>
      <c r="BQ2478" s="115"/>
      <c r="BR2478" s="115"/>
      <c r="BS2478" s="115"/>
      <c r="BT2478" s="115"/>
      <c r="BU2478" s="115"/>
      <c r="BV2478" s="115"/>
      <c r="BW2478" s="115"/>
      <c r="BX2478" s="115"/>
      <c r="BY2478" s="115"/>
      <c r="BZ2478" s="115"/>
      <c r="CA2478" s="115"/>
      <c r="CB2478" s="115"/>
      <c r="CC2478" s="115"/>
      <c r="CD2478" s="115"/>
      <c r="CE2478" s="115"/>
      <c r="CF2478" s="115"/>
      <c r="CG2478" s="115"/>
      <c r="CH2478" s="115"/>
      <c r="CI2478" s="115"/>
      <c r="CJ2478" s="115"/>
      <c r="CK2478" s="115"/>
      <c r="CL2478" s="115"/>
      <c r="CM2478" s="115"/>
      <c r="CN2478" s="115"/>
      <c r="CO2478" s="115"/>
      <c r="CP2478" s="115"/>
      <c r="CQ2478" s="115"/>
      <c r="CR2478" s="115"/>
      <c r="CS2478" s="115"/>
      <c r="CT2478" s="115"/>
      <c r="CU2478" s="115"/>
      <c r="CV2478" s="115"/>
      <c r="CW2478" s="115"/>
      <c r="CX2478" s="115"/>
      <c r="CY2478" s="115"/>
      <c r="CZ2478" s="115"/>
      <c r="DA2478" s="115"/>
      <c r="DB2478" s="115"/>
      <c r="DC2478" s="115"/>
      <c r="DD2478" s="115"/>
      <c r="DE2478" s="115"/>
      <c r="DF2478" s="115"/>
      <c r="DG2478" s="115"/>
    </row>
    <row r="2479" spans="55:111" hidden="1">
      <c r="BC2479" s="115"/>
      <c r="BD2479" s="115"/>
      <c r="BE2479" s="115"/>
      <c r="BF2479" s="115"/>
      <c r="BG2479" s="115"/>
      <c r="BH2479" s="115"/>
      <c r="BI2479" s="115"/>
      <c r="BJ2479" s="115"/>
      <c r="BK2479" s="115"/>
      <c r="BL2479" s="115"/>
      <c r="BM2479" s="115"/>
      <c r="BN2479" s="115"/>
      <c r="BO2479" s="115"/>
      <c r="BP2479" s="115"/>
      <c r="BQ2479" s="115"/>
      <c r="BR2479" s="115"/>
      <c r="BS2479" s="115"/>
      <c r="BT2479" s="115"/>
      <c r="BU2479" s="115"/>
      <c r="BV2479" s="115"/>
      <c r="BW2479" s="115"/>
      <c r="BX2479" s="115"/>
      <c r="BY2479" s="115"/>
      <c r="BZ2479" s="115"/>
      <c r="CA2479" s="115"/>
      <c r="CB2479" s="115"/>
      <c r="CC2479" s="115"/>
      <c r="CD2479" s="115"/>
      <c r="CE2479" s="115"/>
      <c r="CF2479" s="115"/>
      <c r="CG2479" s="115"/>
      <c r="CH2479" s="115"/>
      <c r="CI2479" s="115"/>
      <c r="CJ2479" s="115"/>
      <c r="CK2479" s="115"/>
      <c r="CL2479" s="115"/>
      <c r="CM2479" s="115"/>
      <c r="CN2479" s="115"/>
      <c r="CO2479" s="115"/>
      <c r="CP2479" s="115"/>
      <c r="CQ2479" s="115"/>
      <c r="CR2479" s="115"/>
      <c r="CS2479" s="115"/>
      <c r="CT2479" s="115"/>
      <c r="CU2479" s="115"/>
      <c r="CV2479" s="115"/>
      <c r="CW2479" s="115"/>
      <c r="CX2479" s="115"/>
      <c r="CY2479" s="115"/>
      <c r="CZ2479" s="115"/>
      <c r="DA2479" s="115"/>
      <c r="DB2479" s="115"/>
      <c r="DC2479" s="115"/>
      <c r="DD2479" s="115"/>
      <c r="DE2479" s="115"/>
      <c r="DF2479" s="115"/>
      <c r="DG2479" s="115"/>
    </row>
    <row r="2480" spans="55:111" hidden="1">
      <c r="BC2480" s="115"/>
      <c r="BD2480" s="115"/>
      <c r="BE2480" s="115"/>
      <c r="BF2480" s="115"/>
      <c r="BG2480" s="115"/>
      <c r="BH2480" s="115"/>
      <c r="BI2480" s="115"/>
      <c r="BJ2480" s="115"/>
      <c r="BK2480" s="115"/>
      <c r="BL2480" s="115"/>
      <c r="BM2480" s="115"/>
      <c r="BN2480" s="115"/>
      <c r="BO2480" s="115"/>
      <c r="BP2480" s="115"/>
      <c r="BQ2480" s="115"/>
      <c r="BR2480" s="115"/>
      <c r="BS2480" s="115"/>
      <c r="BT2480" s="115"/>
      <c r="BU2480" s="115"/>
      <c r="BV2480" s="115"/>
      <c r="BW2480" s="115"/>
      <c r="BX2480" s="115"/>
      <c r="BY2480" s="115"/>
      <c r="BZ2480" s="115"/>
      <c r="CA2480" s="115"/>
      <c r="CB2480" s="115"/>
      <c r="CC2480" s="115"/>
      <c r="CD2480" s="115"/>
      <c r="CE2480" s="115"/>
      <c r="CF2480" s="115"/>
      <c r="CG2480" s="115"/>
      <c r="CH2480" s="115"/>
      <c r="CI2480" s="115"/>
      <c r="CJ2480" s="115"/>
      <c r="CK2480" s="115"/>
      <c r="CL2480" s="115"/>
      <c r="CM2480" s="115"/>
      <c r="CN2480" s="115"/>
      <c r="CO2480" s="115"/>
      <c r="CP2480" s="115"/>
      <c r="CQ2480" s="115"/>
      <c r="CR2480" s="115"/>
      <c r="CS2480" s="115"/>
      <c r="CT2480" s="115"/>
      <c r="CU2480" s="115"/>
      <c r="CV2480" s="115"/>
      <c r="CW2480" s="115"/>
      <c r="CX2480" s="115"/>
      <c r="CY2480" s="115"/>
      <c r="CZ2480" s="115"/>
      <c r="DA2480" s="115"/>
      <c r="DB2480" s="115"/>
      <c r="DC2480" s="115"/>
      <c r="DD2480" s="115"/>
      <c r="DE2480" s="115"/>
      <c r="DF2480" s="115"/>
      <c r="DG2480" s="115"/>
    </row>
    <row r="2481" spans="55:111" hidden="1">
      <c r="BC2481" s="115"/>
      <c r="BD2481" s="115"/>
      <c r="BE2481" s="115"/>
      <c r="BF2481" s="115"/>
      <c r="BG2481" s="115"/>
      <c r="BH2481" s="115"/>
      <c r="BI2481" s="115"/>
      <c r="BJ2481" s="115"/>
      <c r="BK2481" s="115"/>
      <c r="BL2481" s="115"/>
      <c r="BM2481" s="115"/>
      <c r="BN2481" s="115"/>
      <c r="BO2481" s="115"/>
      <c r="BP2481" s="115"/>
      <c r="BQ2481" s="115"/>
      <c r="BR2481" s="115"/>
      <c r="BS2481" s="115"/>
      <c r="BT2481" s="115"/>
      <c r="BU2481" s="115"/>
      <c r="BV2481" s="115"/>
      <c r="BW2481" s="115"/>
      <c r="BX2481" s="115"/>
      <c r="BY2481" s="115"/>
      <c r="BZ2481" s="115"/>
      <c r="CA2481" s="115"/>
      <c r="CB2481" s="115"/>
      <c r="CC2481" s="115"/>
      <c r="CD2481" s="115"/>
      <c r="CE2481" s="115"/>
      <c r="CF2481" s="115"/>
      <c r="CG2481" s="115"/>
      <c r="CH2481" s="115"/>
      <c r="CI2481" s="115"/>
      <c r="CJ2481" s="115"/>
      <c r="CK2481" s="115"/>
      <c r="CL2481" s="115"/>
      <c r="CM2481" s="115"/>
      <c r="CN2481" s="115"/>
      <c r="CO2481" s="115"/>
      <c r="CP2481" s="115"/>
      <c r="CQ2481" s="115"/>
      <c r="CR2481" s="115"/>
      <c r="CS2481" s="115"/>
      <c r="CT2481" s="115"/>
      <c r="CU2481" s="115"/>
      <c r="CV2481" s="115"/>
      <c r="CW2481" s="115"/>
      <c r="CX2481" s="115"/>
      <c r="CY2481" s="115"/>
      <c r="CZ2481" s="115"/>
      <c r="DA2481" s="115"/>
      <c r="DB2481" s="115"/>
      <c r="DC2481" s="115"/>
      <c r="DD2481" s="115"/>
      <c r="DE2481" s="115"/>
      <c r="DF2481" s="115"/>
      <c r="DG2481" s="115"/>
    </row>
    <row r="2482" spans="55:111" hidden="1">
      <c r="BC2482" s="115"/>
      <c r="BD2482" s="115"/>
      <c r="BE2482" s="115"/>
      <c r="BF2482" s="115"/>
      <c r="BG2482" s="115"/>
      <c r="BH2482" s="115"/>
      <c r="BI2482" s="115"/>
      <c r="BJ2482" s="115"/>
      <c r="BK2482" s="115"/>
      <c r="BL2482" s="115"/>
      <c r="BM2482" s="115"/>
      <c r="BN2482" s="115"/>
      <c r="BO2482" s="115"/>
      <c r="BP2482" s="115"/>
      <c r="BQ2482" s="115"/>
      <c r="BR2482" s="115"/>
      <c r="BS2482" s="115"/>
      <c r="BT2482" s="115"/>
      <c r="BU2482" s="115"/>
      <c r="BV2482" s="115"/>
      <c r="BW2482" s="115"/>
      <c r="BX2482" s="115"/>
      <c r="BY2482" s="115"/>
      <c r="BZ2482" s="115"/>
      <c r="CA2482" s="115"/>
      <c r="CB2482" s="115"/>
      <c r="CC2482" s="115"/>
      <c r="CD2482" s="115"/>
      <c r="CE2482" s="115"/>
      <c r="CF2482" s="115"/>
      <c r="CG2482" s="115"/>
      <c r="CH2482" s="115"/>
      <c r="CI2482" s="115"/>
      <c r="CJ2482" s="115"/>
      <c r="CK2482" s="115"/>
      <c r="CL2482" s="115"/>
      <c r="CM2482" s="115"/>
      <c r="CN2482" s="115"/>
      <c r="CO2482" s="115"/>
      <c r="CP2482" s="115"/>
      <c r="CQ2482" s="115"/>
      <c r="CR2482" s="115"/>
      <c r="CS2482" s="115"/>
      <c r="CT2482" s="115"/>
      <c r="CU2482" s="115"/>
      <c r="CV2482" s="115"/>
      <c r="CW2482" s="115"/>
      <c r="CX2482" s="115"/>
      <c r="CY2482" s="115"/>
      <c r="CZ2482" s="115"/>
      <c r="DA2482" s="115"/>
      <c r="DB2482" s="115"/>
      <c r="DC2482" s="115"/>
      <c r="DD2482" s="115"/>
      <c r="DE2482" s="115"/>
      <c r="DF2482" s="115"/>
      <c r="DG2482" s="115"/>
    </row>
    <row r="2483" spans="55:111" hidden="1">
      <c r="BC2483" s="115"/>
      <c r="BD2483" s="115"/>
      <c r="BE2483" s="115"/>
      <c r="BF2483" s="115"/>
      <c r="BG2483" s="115"/>
      <c r="BH2483" s="115"/>
      <c r="BI2483" s="115"/>
      <c r="BJ2483" s="115"/>
      <c r="BK2483" s="115"/>
      <c r="BL2483" s="115"/>
      <c r="BM2483" s="115"/>
      <c r="BN2483" s="115"/>
      <c r="BO2483" s="115"/>
      <c r="BP2483" s="115"/>
      <c r="BQ2483" s="115"/>
      <c r="BR2483" s="115"/>
      <c r="BS2483" s="115"/>
      <c r="BT2483" s="115"/>
      <c r="BU2483" s="115"/>
      <c r="BV2483" s="115"/>
      <c r="BW2483" s="115"/>
      <c r="BX2483" s="115"/>
      <c r="BY2483" s="115"/>
      <c r="BZ2483" s="115"/>
      <c r="CA2483" s="115"/>
      <c r="CB2483" s="115"/>
      <c r="CC2483" s="115"/>
      <c r="CD2483" s="115"/>
      <c r="CE2483" s="115"/>
      <c r="CF2483" s="115"/>
      <c r="CG2483" s="115"/>
      <c r="CH2483" s="115"/>
      <c r="CI2483" s="115"/>
      <c r="CJ2483" s="115"/>
      <c r="CK2483" s="115"/>
      <c r="CL2483" s="115"/>
      <c r="CM2483" s="115"/>
      <c r="CN2483" s="115"/>
      <c r="CO2483" s="115"/>
      <c r="CP2483" s="115"/>
      <c r="CQ2483" s="115"/>
      <c r="CR2483" s="115"/>
      <c r="CS2483" s="115"/>
      <c r="CT2483" s="115"/>
      <c r="CU2483" s="115"/>
      <c r="CV2483" s="115"/>
      <c r="CW2483" s="115"/>
      <c r="CX2483" s="115"/>
      <c r="CY2483" s="115"/>
      <c r="CZ2483" s="115"/>
      <c r="DA2483" s="115"/>
      <c r="DB2483" s="115"/>
      <c r="DC2483" s="115"/>
      <c r="DD2483" s="115"/>
      <c r="DE2483" s="115"/>
      <c r="DF2483" s="115"/>
      <c r="DG2483" s="115"/>
    </row>
    <row r="2484" spans="55:111" hidden="1">
      <c r="BC2484" s="115"/>
      <c r="BD2484" s="115"/>
      <c r="BE2484" s="115"/>
      <c r="BF2484" s="115"/>
      <c r="BG2484" s="115"/>
      <c r="BH2484" s="115"/>
      <c r="BI2484" s="115"/>
      <c r="BJ2484" s="115"/>
      <c r="BK2484" s="115"/>
      <c r="BL2484" s="115"/>
      <c r="BM2484" s="115"/>
      <c r="BN2484" s="115"/>
      <c r="BO2484" s="115"/>
      <c r="BP2484" s="115"/>
      <c r="BQ2484" s="115"/>
      <c r="BR2484" s="115"/>
      <c r="BS2484" s="115"/>
      <c r="BT2484" s="115"/>
      <c r="BU2484" s="115"/>
      <c r="BV2484" s="115"/>
      <c r="BW2484" s="115"/>
      <c r="BX2484" s="115"/>
      <c r="BY2484" s="115"/>
      <c r="BZ2484" s="115"/>
      <c r="CA2484" s="115"/>
      <c r="CB2484" s="115"/>
      <c r="CC2484" s="115"/>
      <c r="CD2484" s="115"/>
      <c r="CE2484" s="115"/>
      <c r="CF2484" s="115"/>
      <c r="CG2484" s="115"/>
      <c r="CH2484" s="115"/>
      <c r="CI2484" s="115"/>
      <c r="CJ2484" s="115"/>
      <c r="CK2484" s="115"/>
      <c r="CL2484" s="115"/>
      <c r="CM2484" s="115"/>
      <c r="CN2484" s="115"/>
      <c r="CO2484" s="115"/>
      <c r="CP2484" s="115"/>
      <c r="CQ2484" s="115"/>
      <c r="CR2484" s="115"/>
      <c r="CS2484" s="115"/>
      <c r="CT2484" s="115"/>
      <c r="CU2484" s="115"/>
      <c r="CV2484" s="115"/>
      <c r="CW2484" s="115"/>
      <c r="CX2484" s="115"/>
      <c r="CY2484" s="115"/>
      <c r="CZ2484" s="115"/>
      <c r="DA2484" s="115"/>
      <c r="DB2484" s="115"/>
      <c r="DC2484" s="115"/>
      <c r="DD2484" s="115"/>
      <c r="DE2484" s="115"/>
      <c r="DF2484" s="115"/>
      <c r="DG2484" s="115"/>
    </row>
    <row r="2485" spans="55:111" hidden="1">
      <c r="BC2485" s="115"/>
      <c r="BD2485" s="115"/>
      <c r="BE2485" s="115"/>
      <c r="BF2485" s="115"/>
      <c r="BG2485" s="115"/>
      <c r="BH2485" s="115"/>
      <c r="BI2485" s="115"/>
      <c r="BJ2485" s="115"/>
      <c r="BK2485" s="115"/>
      <c r="BL2485" s="115"/>
      <c r="BM2485" s="115"/>
      <c r="BN2485" s="115"/>
      <c r="BO2485" s="115"/>
      <c r="BP2485" s="115"/>
      <c r="BQ2485" s="115"/>
      <c r="BR2485" s="115"/>
      <c r="BS2485" s="115"/>
      <c r="BT2485" s="115"/>
      <c r="BU2485" s="115"/>
      <c r="BV2485" s="115"/>
      <c r="BW2485" s="115"/>
      <c r="BX2485" s="115"/>
      <c r="BY2485" s="115"/>
      <c r="BZ2485" s="115"/>
      <c r="CA2485" s="115"/>
      <c r="CB2485" s="115"/>
      <c r="CC2485" s="115"/>
      <c r="CD2485" s="115"/>
      <c r="CE2485" s="115"/>
      <c r="CF2485" s="115"/>
      <c r="CG2485" s="115"/>
      <c r="CH2485" s="115"/>
      <c r="CI2485" s="115"/>
      <c r="CJ2485" s="115"/>
      <c r="CK2485" s="115"/>
      <c r="CL2485" s="115"/>
      <c r="CM2485" s="115"/>
      <c r="CN2485" s="115"/>
      <c r="CO2485" s="115"/>
      <c r="CP2485" s="115"/>
      <c r="CQ2485" s="115"/>
      <c r="CR2485" s="115"/>
      <c r="CS2485" s="115"/>
      <c r="CT2485" s="115"/>
      <c r="CU2485" s="115"/>
      <c r="CV2485" s="115"/>
      <c r="CW2485" s="115"/>
      <c r="CX2485" s="115"/>
      <c r="CY2485" s="115"/>
      <c r="CZ2485" s="115"/>
      <c r="DA2485" s="115"/>
      <c r="DB2485" s="115"/>
      <c r="DC2485" s="115"/>
      <c r="DD2485" s="115"/>
      <c r="DE2485" s="115"/>
      <c r="DF2485" s="115"/>
      <c r="DG2485" s="115"/>
    </row>
    <row r="2486" spans="55:111" hidden="1">
      <c r="BC2486" s="115"/>
      <c r="BD2486" s="115"/>
      <c r="BE2486" s="115"/>
      <c r="BF2486" s="115"/>
      <c r="BG2486" s="115"/>
      <c r="BH2486" s="115"/>
      <c r="BI2486" s="115"/>
      <c r="BJ2486" s="115"/>
      <c r="BK2486" s="115"/>
      <c r="BL2486" s="115"/>
      <c r="BM2486" s="115"/>
      <c r="BN2486" s="115"/>
      <c r="BO2486" s="115"/>
      <c r="BP2486" s="115"/>
      <c r="BQ2486" s="115"/>
      <c r="BR2486" s="115"/>
      <c r="BS2486" s="115"/>
      <c r="BT2486" s="115"/>
      <c r="BU2486" s="115"/>
      <c r="BV2486" s="115"/>
      <c r="BW2486" s="115"/>
      <c r="BX2486" s="115"/>
      <c r="BY2486" s="115"/>
      <c r="BZ2486" s="115"/>
      <c r="CA2486" s="115"/>
      <c r="CB2486" s="115"/>
      <c r="CC2486" s="115"/>
      <c r="CD2486" s="115"/>
      <c r="CE2486" s="115"/>
      <c r="CF2486" s="115"/>
      <c r="CG2486" s="115"/>
      <c r="CH2486" s="115"/>
      <c r="CI2486" s="115"/>
      <c r="CJ2486" s="115"/>
      <c r="CK2486" s="115"/>
      <c r="CL2486" s="115"/>
      <c r="CM2486" s="115"/>
      <c r="CN2486" s="115"/>
      <c r="CO2486" s="115"/>
      <c r="CP2486" s="115"/>
      <c r="CQ2486" s="115"/>
      <c r="CR2486" s="115"/>
      <c r="CS2486" s="115"/>
      <c r="CT2486" s="115"/>
      <c r="CU2486" s="115"/>
      <c r="CV2486" s="115"/>
      <c r="CW2486" s="115"/>
      <c r="CX2486" s="115"/>
      <c r="CY2486" s="115"/>
      <c r="CZ2486" s="115"/>
      <c r="DA2486" s="115"/>
      <c r="DB2486" s="115"/>
      <c r="DC2486" s="115"/>
      <c r="DD2486" s="115"/>
      <c r="DE2486" s="115"/>
      <c r="DF2486" s="115"/>
      <c r="DG2486" s="115"/>
    </row>
    <row r="2487" spans="55:111" hidden="1">
      <c r="BC2487" s="115"/>
      <c r="BD2487" s="115"/>
      <c r="BE2487" s="115"/>
      <c r="BF2487" s="115"/>
      <c r="BG2487" s="115"/>
      <c r="BH2487" s="115"/>
      <c r="BI2487" s="115"/>
      <c r="BJ2487" s="115"/>
      <c r="BK2487" s="115"/>
      <c r="BL2487" s="115"/>
      <c r="BM2487" s="115"/>
      <c r="BN2487" s="115"/>
      <c r="BO2487" s="115"/>
      <c r="BP2487" s="115"/>
      <c r="BQ2487" s="115"/>
      <c r="BR2487" s="115"/>
      <c r="BS2487" s="115"/>
      <c r="BT2487" s="115"/>
      <c r="BU2487" s="115"/>
      <c r="BV2487" s="115"/>
      <c r="BW2487" s="115"/>
      <c r="BX2487" s="115"/>
      <c r="BY2487" s="115"/>
      <c r="BZ2487" s="115"/>
      <c r="CA2487" s="115"/>
      <c r="CB2487" s="115"/>
      <c r="CC2487" s="115"/>
      <c r="CD2487" s="115"/>
      <c r="CE2487" s="115"/>
      <c r="CF2487" s="115"/>
      <c r="CG2487" s="115"/>
      <c r="CH2487" s="115"/>
      <c r="CI2487" s="115"/>
      <c r="CJ2487" s="115"/>
      <c r="CK2487" s="115"/>
      <c r="CL2487" s="115"/>
      <c r="CM2487" s="115"/>
      <c r="CN2487" s="115"/>
      <c r="CO2487" s="115"/>
      <c r="CP2487" s="115"/>
      <c r="CQ2487" s="115"/>
      <c r="CR2487" s="115"/>
      <c r="CS2487" s="115"/>
      <c r="CT2487" s="115"/>
      <c r="CU2487" s="115"/>
      <c r="CV2487" s="115"/>
      <c r="CW2487" s="115"/>
      <c r="CX2487" s="115"/>
      <c r="CY2487" s="115"/>
      <c r="CZ2487" s="115"/>
      <c r="DA2487" s="115"/>
      <c r="DB2487" s="115"/>
      <c r="DC2487" s="115"/>
      <c r="DD2487" s="115"/>
      <c r="DE2487" s="115"/>
      <c r="DF2487" s="115"/>
      <c r="DG2487" s="115"/>
    </row>
    <row r="2488" spans="55:111" hidden="1">
      <c r="BC2488" s="115"/>
      <c r="BD2488" s="115"/>
      <c r="BE2488" s="115"/>
      <c r="BF2488" s="115"/>
      <c r="BG2488" s="115"/>
      <c r="BH2488" s="115"/>
      <c r="BI2488" s="115"/>
      <c r="BJ2488" s="115"/>
      <c r="BK2488" s="115"/>
      <c r="BL2488" s="115"/>
      <c r="BM2488" s="115"/>
      <c r="BN2488" s="115"/>
      <c r="BO2488" s="115"/>
      <c r="BP2488" s="115"/>
      <c r="BQ2488" s="115"/>
      <c r="BR2488" s="115"/>
      <c r="BS2488" s="115"/>
      <c r="BT2488" s="115"/>
      <c r="BU2488" s="115"/>
      <c r="BV2488" s="115"/>
      <c r="BW2488" s="115"/>
      <c r="BX2488" s="115"/>
      <c r="BY2488" s="115"/>
      <c r="BZ2488" s="115"/>
      <c r="CA2488" s="115"/>
      <c r="CB2488" s="115"/>
      <c r="CC2488" s="115"/>
      <c r="CD2488" s="115"/>
      <c r="CE2488" s="115"/>
      <c r="CF2488" s="115"/>
      <c r="CG2488" s="115"/>
      <c r="CH2488" s="115"/>
      <c r="CI2488" s="115"/>
      <c r="CJ2488" s="115"/>
      <c r="CK2488" s="115"/>
      <c r="CL2488" s="115"/>
      <c r="CM2488" s="115"/>
      <c r="CN2488" s="115"/>
      <c r="CO2488" s="115"/>
      <c r="CP2488" s="115"/>
      <c r="CQ2488" s="115"/>
      <c r="CR2488" s="115"/>
      <c r="CS2488" s="115"/>
      <c r="CT2488" s="115"/>
      <c r="CU2488" s="115"/>
      <c r="CV2488" s="115"/>
      <c r="CW2488" s="115"/>
      <c r="CX2488" s="115"/>
      <c r="CY2488" s="115"/>
      <c r="CZ2488" s="115"/>
      <c r="DA2488" s="115"/>
      <c r="DB2488" s="115"/>
      <c r="DC2488" s="115"/>
      <c r="DD2488" s="115"/>
      <c r="DE2488" s="115"/>
      <c r="DF2488" s="115"/>
      <c r="DG2488" s="115"/>
    </row>
    <row r="2489" spans="55:111" hidden="1">
      <c r="BC2489" s="115"/>
      <c r="BD2489" s="115"/>
      <c r="BE2489" s="115"/>
      <c r="BF2489" s="115"/>
      <c r="BG2489" s="115"/>
      <c r="BH2489" s="115"/>
      <c r="BI2489" s="115"/>
      <c r="BJ2489" s="115"/>
      <c r="BK2489" s="115"/>
      <c r="BL2489" s="115"/>
      <c r="BM2489" s="115"/>
      <c r="BN2489" s="115"/>
      <c r="BO2489" s="115"/>
      <c r="BP2489" s="115"/>
      <c r="BQ2489" s="115"/>
      <c r="BR2489" s="115"/>
      <c r="BS2489" s="115"/>
      <c r="BT2489" s="115"/>
      <c r="BU2489" s="115"/>
      <c r="BV2489" s="115"/>
      <c r="BW2489" s="115"/>
      <c r="BX2489" s="115"/>
      <c r="BY2489" s="115"/>
      <c r="BZ2489" s="115"/>
      <c r="CA2489" s="115"/>
      <c r="CB2489" s="115"/>
      <c r="CC2489" s="115"/>
      <c r="CD2489" s="115"/>
      <c r="CE2489" s="115"/>
      <c r="CF2489" s="115"/>
      <c r="CG2489" s="115"/>
      <c r="CH2489" s="115"/>
      <c r="CI2489" s="115"/>
      <c r="CJ2489" s="115"/>
      <c r="CK2489" s="115"/>
      <c r="CL2489" s="115"/>
      <c r="CM2489" s="115"/>
      <c r="CN2489" s="115"/>
      <c r="CO2489" s="115"/>
      <c r="CP2489" s="115"/>
      <c r="CQ2489" s="115"/>
      <c r="CR2489" s="115"/>
      <c r="CS2489" s="115"/>
      <c r="CT2489" s="115"/>
      <c r="CU2489" s="115"/>
      <c r="CV2489" s="115"/>
      <c r="CW2489" s="115"/>
      <c r="CX2489" s="115"/>
      <c r="CY2489" s="115"/>
      <c r="CZ2489" s="115"/>
      <c r="DA2489" s="115"/>
      <c r="DB2489" s="115"/>
      <c r="DC2489" s="115"/>
      <c r="DD2489" s="115"/>
      <c r="DE2489" s="115"/>
      <c r="DF2489" s="115"/>
      <c r="DG2489" s="115"/>
    </row>
    <row r="2490" spans="55:111" hidden="1">
      <c r="BC2490" s="115"/>
      <c r="BD2490" s="115"/>
      <c r="BE2490" s="115"/>
      <c r="BF2490" s="115"/>
      <c r="BG2490" s="115"/>
      <c r="BH2490" s="115"/>
      <c r="BI2490" s="115"/>
      <c r="BJ2490" s="115"/>
      <c r="BK2490" s="115"/>
      <c r="BL2490" s="115"/>
      <c r="BM2490" s="115"/>
      <c r="BN2490" s="115"/>
      <c r="BO2490" s="115"/>
      <c r="BP2490" s="115"/>
      <c r="BQ2490" s="115"/>
      <c r="BR2490" s="115"/>
      <c r="BS2490" s="115"/>
      <c r="BT2490" s="115"/>
      <c r="BU2490" s="115"/>
      <c r="BV2490" s="115"/>
      <c r="BW2490" s="115"/>
      <c r="BX2490" s="115"/>
      <c r="BY2490" s="115"/>
      <c r="BZ2490" s="115"/>
      <c r="CA2490" s="115"/>
      <c r="CB2490" s="115"/>
      <c r="CC2490" s="115"/>
      <c r="CD2490" s="115"/>
      <c r="CE2490" s="115"/>
      <c r="CF2490" s="115"/>
      <c r="CG2490" s="115"/>
      <c r="CH2490" s="115"/>
      <c r="CI2490" s="115"/>
      <c r="CJ2490" s="115"/>
      <c r="CK2490" s="115"/>
      <c r="CL2490" s="115"/>
      <c r="CM2490" s="115"/>
      <c r="CN2490" s="115"/>
      <c r="CO2490" s="115"/>
      <c r="CP2490" s="115"/>
      <c r="CQ2490" s="115"/>
      <c r="CR2490" s="115"/>
      <c r="CS2490" s="115"/>
      <c r="CT2490" s="115"/>
      <c r="CU2490" s="115"/>
      <c r="CV2490" s="115"/>
      <c r="CW2490" s="115"/>
      <c r="CX2490" s="115"/>
      <c r="CY2490" s="115"/>
      <c r="CZ2490" s="115"/>
      <c r="DA2490" s="115"/>
      <c r="DB2490" s="115"/>
      <c r="DC2490" s="115"/>
      <c r="DD2490" s="115"/>
      <c r="DE2490" s="115"/>
      <c r="DF2490" s="115"/>
      <c r="DG2490" s="115"/>
    </row>
    <row r="2491" spans="55:111" hidden="1">
      <c r="BC2491" s="115"/>
      <c r="BD2491" s="115"/>
      <c r="BE2491" s="115"/>
      <c r="BF2491" s="115"/>
      <c r="BG2491" s="115"/>
      <c r="BH2491" s="115"/>
      <c r="BI2491" s="115"/>
      <c r="BJ2491" s="115"/>
      <c r="BK2491" s="115"/>
      <c r="BL2491" s="115"/>
      <c r="BM2491" s="115"/>
      <c r="BN2491" s="115"/>
      <c r="BO2491" s="115"/>
      <c r="BP2491" s="115"/>
      <c r="BQ2491" s="115"/>
      <c r="BR2491" s="115"/>
      <c r="BS2491" s="115"/>
      <c r="BT2491" s="115"/>
      <c r="BU2491" s="115"/>
      <c r="BV2491" s="115"/>
      <c r="BW2491" s="115"/>
      <c r="BX2491" s="115"/>
      <c r="BY2491" s="115"/>
      <c r="BZ2491" s="115"/>
      <c r="CA2491" s="115"/>
      <c r="CB2491" s="115"/>
      <c r="CC2491" s="115"/>
      <c r="CD2491" s="115"/>
      <c r="CE2491" s="115"/>
      <c r="CF2491" s="115"/>
      <c r="CG2491" s="115"/>
      <c r="CH2491" s="115"/>
      <c r="CI2491" s="115"/>
      <c r="CJ2491" s="115"/>
      <c r="CK2491" s="115"/>
      <c r="CL2491" s="115"/>
      <c r="CM2491" s="115"/>
      <c r="CN2491" s="115"/>
      <c r="CO2491" s="115"/>
      <c r="CP2491" s="115"/>
      <c r="CQ2491" s="115"/>
      <c r="CR2491" s="115"/>
      <c r="CS2491" s="115"/>
      <c r="CT2491" s="115"/>
      <c r="CU2491" s="115"/>
      <c r="CV2491" s="115"/>
      <c r="CW2491" s="115"/>
      <c r="CX2491" s="115"/>
      <c r="CY2491" s="115"/>
      <c r="CZ2491" s="115"/>
      <c r="DA2491" s="115"/>
      <c r="DB2491" s="115"/>
      <c r="DC2491" s="115"/>
      <c r="DD2491" s="115"/>
      <c r="DE2491" s="115"/>
      <c r="DF2491" s="115"/>
      <c r="DG2491" s="115"/>
    </row>
    <row r="2492" spans="55:111" hidden="1">
      <c r="BC2492" s="115"/>
      <c r="BD2492" s="115"/>
      <c r="BE2492" s="115"/>
      <c r="BF2492" s="115"/>
      <c r="BG2492" s="115"/>
      <c r="BH2492" s="115"/>
      <c r="BI2492" s="115"/>
      <c r="BJ2492" s="115"/>
      <c r="BK2492" s="115"/>
      <c r="BL2492" s="115"/>
      <c r="BM2492" s="115"/>
      <c r="BN2492" s="115"/>
      <c r="BO2492" s="115"/>
      <c r="BP2492" s="115"/>
      <c r="BQ2492" s="115"/>
      <c r="BR2492" s="115"/>
      <c r="BS2492" s="115"/>
      <c r="BT2492" s="115"/>
      <c r="BU2492" s="115"/>
      <c r="BV2492" s="115"/>
      <c r="BW2492" s="115"/>
      <c r="BX2492" s="115"/>
      <c r="BY2492" s="115"/>
      <c r="BZ2492" s="115"/>
      <c r="CA2492" s="115"/>
      <c r="CB2492" s="115"/>
      <c r="CC2492" s="115"/>
      <c r="CD2492" s="115"/>
      <c r="CE2492" s="115"/>
      <c r="CF2492" s="115"/>
      <c r="CG2492" s="115"/>
      <c r="CH2492" s="115"/>
      <c r="CI2492" s="115"/>
      <c r="CJ2492" s="115"/>
      <c r="CK2492" s="115"/>
      <c r="CL2492" s="115"/>
      <c r="CM2492" s="115"/>
      <c r="CN2492" s="115"/>
      <c r="CO2492" s="115"/>
      <c r="CP2492" s="115"/>
      <c r="CQ2492" s="115"/>
      <c r="CR2492" s="115"/>
      <c r="CS2492" s="115"/>
      <c r="CT2492" s="115"/>
      <c r="CU2492" s="115"/>
      <c r="CV2492" s="115"/>
      <c r="CW2492" s="115"/>
      <c r="CX2492" s="115"/>
      <c r="CY2492" s="115"/>
      <c r="CZ2492" s="115"/>
      <c r="DA2492" s="115"/>
      <c r="DB2492" s="115"/>
      <c r="DC2492" s="115"/>
      <c r="DD2492" s="115"/>
      <c r="DE2492" s="115"/>
      <c r="DF2492" s="115"/>
      <c r="DG2492" s="115"/>
    </row>
    <row r="2493" spans="55:111" hidden="1">
      <c r="BC2493" s="115"/>
      <c r="BD2493" s="115"/>
      <c r="BE2493" s="115"/>
      <c r="BF2493" s="115"/>
      <c r="BG2493" s="115"/>
      <c r="BH2493" s="115"/>
      <c r="BI2493" s="115"/>
      <c r="BJ2493" s="115"/>
      <c r="BK2493" s="115"/>
      <c r="BL2493" s="115"/>
      <c r="BM2493" s="115"/>
      <c r="BN2493" s="115"/>
      <c r="BO2493" s="115"/>
      <c r="BP2493" s="115"/>
      <c r="BQ2493" s="115"/>
      <c r="BR2493" s="115"/>
      <c r="BS2493" s="115"/>
      <c r="BT2493" s="115"/>
      <c r="BU2493" s="115"/>
      <c r="BV2493" s="115"/>
      <c r="BW2493" s="115"/>
      <c r="BX2493" s="115"/>
      <c r="BY2493" s="115"/>
      <c r="BZ2493" s="115"/>
      <c r="CA2493" s="115"/>
      <c r="CB2493" s="115"/>
      <c r="CC2493" s="115"/>
      <c r="CD2493" s="115"/>
      <c r="CE2493" s="115"/>
      <c r="CF2493" s="115"/>
      <c r="CG2493" s="115"/>
      <c r="CH2493" s="115"/>
      <c r="CI2493" s="115"/>
      <c r="CJ2493" s="115"/>
      <c r="CK2493" s="115"/>
      <c r="CL2493" s="115"/>
      <c r="CM2493" s="115"/>
      <c r="CN2493" s="115"/>
      <c r="CO2493" s="115"/>
      <c r="CP2493" s="115"/>
      <c r="CQ2493" s="115"/>
      <c r="CR2493" s="115"/>
      <c r="CS2493" s="115"/>
      <c r="CT2493" s="115"/>
      <c r="CU2493" s="115"/>
      <c r="CV2493" s="115"/>
      <c r="CW2493" s="115"/>
      <c r="CX2493" s="115"/>
      <c r="CY2493" s="115"/>
      <c r="CZ2493" s="115"/>
      <c r="DA2493" s="115"/>
      <c r="DB2493" s="115"/>
      <c r="DC2493" s="115"/>
      <c r="DD2493" s="115"/>
      <c r="DE2493" s="115"/>
      <c r="DF2493" s="115"/>
      <c r="DG2493" s="115"/>
    </row>
    <row r="2494" spans="55:111" hidden="1">
      <c r="BC2494" s="115"/>
      <c r="BD2494" s="115"/>
      <c r="BE2494" s="115"/>
      <c r="BF2494" s="115"/>
      <c r="BG2494" s="115"/>
      <c r="BH2494" s="115"/>
      <c r="BI2494" s="115"/>
      <c r="BJ2494" s="115"/>
      <c r="BK2494" s="115"/>
      <c r="BL2494" s="115"/>
      <c r="BM2494" s="115"/>
      <c r="BN2494" s="115"/>
      <c r="BO2494" s="115"/>
      <c r="BP2494" s="115"/>
      <c r="BQ2494" s="115"/>
      <c r="BR2494" s="115"/>
      <c r="BS2494" s="115"/>
      <c r="BT2494" s="115"/>
      <c r="BU2494" s="115"/>
      <c r="BV2494" s="115"/>
      <c r="BW2494" s="115"/>
      <c r="BX2494" s="115"/>
      <c r="BY2494" s="115"/>
      <c r="BZ2494" s="115"/>
      <c r="CA2494" s="115"/>
      <c r="CB2494" s="115"/>
      <c r="CC2494" s="115"/>
      <c r="CD2494" s="115"/>
      <c r="CE2494" s="115"/>
      <c r="CF2494" s="115"/>
      <c r="CG2494" s="115"/>
      <c r="CH2494" s="115"/>
      <c r="CI2494" s="115"/>
      <c r="CJ2494" s="115"/>
      <c r="CK2494" s="115"/>
      <c r="CL2494" s="115"/>
      <c r="CM2494" s="115"/>
      <c r="CN2494" s="115"/>
      <c r="CO2494" s="115"/>
      <c r="CP2494" s="115"/>
      <c r="CQ2494" s="115"/>
      <c r="CR2494" s="115"/>
      <c r="CS2494" s="115"/>
      <c r="CT2494" s="115"/>
      <c r="CU2494" s="115"/>
      <c r="CV2494" s="115"/>
      <c r="CW2494" s="115"/>
      <c r="CX2494" s="115"/>
      <c r="CY2494" s="115"/>
      <c r="CZ2494" s="115"/>
      <c r="DA2494" s="115"/>
      <c r="DB2494" s="115"/>
      <c r="DC2494" s="115"/>
      <c r="DD2494" s="115"/>
      <c r="DE2494" s="115"/>
      <c r="DF2494" s="115"/>
      <c r="DG2494" s="115"/>
    </row>
    <row r="2495" spans="55:111" hidden="1">
      <c r="BC2495" s="115"/>
      <c r="BD2495" s="115"/>
      <c r="BE2495" s="115"/>
      <c r="BF2495" s="115"/>
      <c r="BG2495" s="115"/>
      <c r="BH2495" s="115"/>
      <c r="BI2495" s="115"/>
      <c r="BJ2495" s="115"/>
      <c r="BK2495" s="115"/>
      <c r="BL2495" s="115"/>
      <c r="BM2495" s="115"/>
      <c r="BN2495" s="115"/>
      <c r="BO2495" s="115"/>
      <c r="BP2495" s="115"/>
      <c r="BQ2495" s="115"/>
      <c r="BR2495" s="115"/>
      <c r="BS2495" s="115"/>
      <c r="BT2495" s="115"/>
      <c r="BU2495" s="115"/>
      <c r="BV2495" s="115"/>
      <c r="BW2495" s="115"/>
      <c r="BX2495" s="115"/>
      <c r="BY2495" s="115"/>
      <c r="BZ2495" s="115"/>
      <c r="CA2495" s="115"/>
      <c r="CB2495" s="115"/>
      <c r="CC2495" s="115"/>
      <c r="CD2495" s="115"/>
      <c r="CE2495" s="115"/>
      <c r="CF2495" s="115"/>
      <c r="CG2495" s="115"/>
      <c r="CH2495" s="115"/>
      <c r="CI2495" s="115"/>
      <c r="CJ2495" s="115"/>
      <c r="CK2495" s="115"/>
      <c r="CL2495" s="115"/>
      <c r="CM2495" s="115"/>
      <c r="CN2495" s="115"/>
      <c r="CO2495" s="115"/>
      <c r="CP2495" s="115"/>
      <c r="CQ2495" s="115"/>
      <c r="CR2495" s="115"/>
      <c r="CS2495" s="115"/>
      <c r="CT2495" s="115"/>
      <c r="CU2495" s="115"/>
      <c r="CV2495" s="115"/>
      <c r="CW2495" s="115"/>
      <c r="CX2495" s="115"/>
      <c r="CY2495" s="115"/>
      <c r="CZ2495" s="115"/>
      <c r="DA2495" s="115"/>
      <c r="DB2495" s="115"/>
      <c r="DC2495" s="115"/>
      <c r="DD2495" s="115"/>
      <c r="DE2495" s="115"/>
      <c r="DF2495" s="115"/>
      <c r="DG2495" s="115"/>
    </row>
    <row r="2496" spans="55:111" hidden="1">
      <c r="BC2496" s="115"/>
      <c r="BD2496" s="115"/>
      <c r="BE2496" s="115"/>
      <c r="BF2496" s="115"/>
      <c r="BG2496" s="115"/>
      <c r="BH2496" s="115"/>
      <c r="BI2496" s="115"/>
      <c r="BJ2496" s="115"/>
      <c r="BK2496" s="115"/>
      <c r="BL2496" s="115"/>
      <c r="BM2496" s="115"/>
      <c r="BN2496" s="115"/>
      <c r="BO2496" s="115"/>
      <c r="BP2496" s="115"/>
      <c r="BQ2496" s="115"/>
      <c r="BR2496" s="115"/>
      <c r="BS2496" s="115"/>
      <c r="BT2496" s="115"/>
      <c r="BU2496" s="115"/>
      <c r="BV2496" s="115"/>
      <c r="BW2496" s="115"/>
      <c r="BX2496" s="115"/>
      <c r="BY2496" s="115"/>
      <c r="BZ2496" s="115"/>
      <c r="CA2496" s="115"/>
      <c r="CB2496" s="115"/>
      <c r="CC2496" s="115"/>
      <c r="CD2496" s="115"/>
      <c r="CE2496" s="115"/>
      <c r="CF2496" s="115"/>
      <c r="CG2496" s="115"/>
      <c r="CH2496" s="115"/>
      <c r="CI2496" s="115"/>
      <c r="CJ2496" s="115"/>
      <c r="CK2496" s="115"/>
      <c r="CL2496" s="115"/>
      <c r="CM2496" s="115"/>
      <c r="CN2496" s="115"/>
      <c r="CO2496" s="115"/>
      <c r="CP2496" s="115"/>
      <c r="CQ2496" s="115"/>
      <c r="CR2496" s="115"/>
      <c r="CS2496" s="115"/>
      <c r="CT2496" s="115"/>
      <c r="CU2496" s="115"/>
      <c r="CV2496" s="115"/>
      <c r="CW2496" s="115"/>
      <c r="CX2496" s="115"/>
      <c r="CY2496" s="115"/>
      <c r="CZ2496" s="115"/>
      <c r="DA2496" s="115"/>
      <c r="DB2496" s="115"/>
      <c r="DC2496" s="115"/>
      <c r="DD2496" s="115"/>
      <c r="DE2496" s="115"/>
      <c r="DF2496" s="115"/>
      <c r="DG2496" s="115"/>
    </row>
    <row r="2497" spans="55:111" hidden="1">
      <c r="BC2497" s="115"/>
      <c r="BD2497" s="115"/>
      <c r="BE2497" s="115"/>
      <c r="BF2497" s="115"/>
      <c r="BG2497" s="115"/>
      <c r="BH2497" s="115"/>
      <c r="BI2497" s="115"/>
      <c r="BJ2497" s="115"/>
      <c r="BK2497" s="115"/>
      <c r="BL2497" s="115"/>
      <c r="BM2497" s="115"/>
      <c r="BN2497" s="115"/>
      <c r="BO2497" s="115"/>
      <c r="BP2497" s="115"/>
      <c r="BQ2497" s="115"/>
      <c r="BR2497" s="115"/>
      <c r="BS2497" s="115"/>
      <c r="BT2497" s="115"/>
      <c r="BU2497" s="115"/>
      <c r="BV2497" s="115"/>
      <c r="BW2497" s="115"/>
      <c r="BX2497" s="115"/>
      <c r="BY2497" s="115"/>
      <c r="BZ2497" s="115"/>
      <c r="CA2497" s="115"/>
      <c r="CB2497" s="115"/>
      <c r="CC2497" s="115"/>
      <c r="CD2497" s="115"/>
      <c r="CE2497" s="115"/>
      <c r="CF2497" s="115"/>
      <c r="CG2497" s="115"/>
      <c r="CH2497" s="115"/>
      <c r="CI2497" s="115"/>
      <c r="CJ2497" s="115"/>
      <c r="CK2497" s="115"/>
      <c r="CL2497" s="115"/>
      <c r="CM2497" s="115"/>
      <c r="CN2497" s="115"/>
      <c r="CO2497" s="115"/>
      <c r="CP2497" s="115"/>
      <c r="CQ2497" s="115"/>
      <c r="CR2497" s="115"/>
      <c r="CS2497" s="115"/>
      <c r="CT2497" s="115"/>
      <c r="CU2497" s="115"/>
      <c r="CV2497" s="115"/>
      <c r="CW2497" s="115"/>
      <c r="CX2497" s="115"/>
      <c r="CY2497" s="115"/>
      <c r="CZ2497" s="115"/>
      <c r="DA2497" s="115"/>
      <c r="DB2497" s="115"/>
      <c r="DC2497" s="115"/>
      <c r="DD2497" s="115"/>
      <c r="DE2497" s="115"/>
      <c r="DF2497" s="115"/>
      <c r="DG2497" s="115"/>
    </row>
    <row r="2498" spans="55:111" hidden="1">
      <c r="BC2498" s="115"/>
      <c r="BD2498" s="115"/>
      <c r="BE2498" s="115"/>
      <c r="BF2498" s="115"/>
      <c r="BG2498" s="115"/>
      <c r="BH2498" s="115"/>
      <c r="BI2498" s="115"/>
      <c r="BJ2498" s="115"/>
      <c r="BK2498" s="115"/>
      <c r="BL2498" s="115"/>
      <c r="BM2498" s="115"/>
      <c r="BN2498" s="115"/>
      <c r="BO2498" s="115"/>
      <c r="BP2498" s="115"/>
      <c r="BQ2498" s="115"/>
      <c r="BR2498" s="115"/>
      <c r="BS2498" s="115"/>
      <c r="BT2498" s="115"/>
      <c r="BU2498" s="115"/>
      <c r="BV2498" s="115"/>
      <c r="BW2498" s="115"/>
      <c r="BX2498" s="115"/>
      <c r="BY2498" s="115"/>
      <c r="BZ2498" s="115"/>
      <c r="CA2498" s="115"/>
      <c r="CB2498" s="115"/>
      <c r="CC2498" s="115"/>
      <c r="CD2498" s="115"/>
      <c r="CE2498" s="115"/>
      <c r="CF2498" s="115"/>
      <c r="CG2498" s="115"/>
      <c r="CH2498" s="115"/>
      <c r="CI2498" s="115"/>
      <c r="CJ2498" s="115"/>
      <c r="CK2498" s="115"/>
      <c r="CL2498" s="115"/>
      <c r="CM2498" s="115"/>
      <c r="CN2498" s="115"/>
      <c r="CO2498" s="115"/>
      <c r="CP2498" s="115"/>
      <c r="CQ2498" s="115"/>
      <c r="CR2498" s="115"/>
      <c r="CS2498" s="115"/>
      <c r="CT2498" s="115"/>
      <c r="CU2498" s="115"/>
      <c r="CV2498" s="115"/>
      <c r="CW2498" s="115"/>
      <c r="CX2498" s="115"/>
      <c r="CY2498" s="115"/>
      <c r="CZ2498" s="115"/>
      <c r="DA2498" s="115"/>
      <c r="DB2498" s="115"/>
      <c r="DC2498" s="115"/>
      <c r="DD2498" s="115"/>
      <c r="DE2498" s="115"/>
      <c r="DF2498" s="115"/>
      <c r="DG2498" s="115"/>
    </row>
    <row r="2499" spans="55:111" hidden="1">
      <c r="BC2499" s="115"/>
      <c r="BD2499" s="115"/>
      <c r="BE2499" s="115"/>
      <c r="BF2499" s="115"/>
      <c r="BG2499" s="115"/>
      <c r="BH2499" s="115"/>
      <c r="BI2499" s="115"/>
      <c r="BJ2499" s="115"/>
      <c r="BK2499" s="115"/>
      <c r="BL2499" s="115"/>
      <c r="BM2499" s="115"/>
      <c r="BN2499" s="115"/>
      <c r="BO2499" s="115"/>
      <c r="BP2499" s="115"/>
      <c r="BQ2499" s="115"/>
      <c r="BR2499" s="115"/>
      <c r="BS2499" s="115"/>
      <c r="BT2499" s="115"/>
      <c r="BU2499" s="115"/>
      <c r="BV2499" s="115"/>
      <c r="BW2499" s="115"/>
      <c r="BX2499" s="115"/>
      <c r="BY2499" s="115"/>
      <c r="BZ2499" s="115"/>
      <c r="CA2499" s="115"/>
      <c r="CB2499" s="115"/>
      <c r="CC2499" s="115"/>
      <c r="CD2499" s="115"/>
      <c r="CE2499" s="115"/>
      <c r="CF2499" s="115"/>
      <c r="CG2499" s="115"/>
      <c r="CH2499" s="115"/>
      <c r="CI2499" s="115"/>
      <c r="CJ2499" s="115"/>
      <c r="CK2499" s="115"/>
      <c r="CL2499" s="115"/>
      <c r="CM2499" s="115"/>
      <c r="CN2499" s="115"/>
      <c r="CO2499" s="115"/>
      <c r="CP2499" s="115"/>
      <c r="CQ2499" s="115"/>
      <c r="CR2499" s="115"/>
      <c r="CS2499" s="115"/>
      <c r="CT2499" s="115"/>
      <c r="CU2499" s="115"/>
      <c r="CV2499" s="115"/>
      <c r="CW2499" s="115"/>
      <c r="CX2499" s="115"/>
      <c r="CY2499" s="115"/>
      <c r="CZ2499" s="115"/>
      <c r="DA2499" s="115"/>
      <c r="DB2499" s="115"/>
      <c r="DC2499" s="115"/>
      <c r="DD2499" s="115"/>
      <c r="DE2499" s="115"/>
      <c r="DF2499" s="115"/>
      <c r="DG2499" s="115"/>
    </row>
    <row r="2500" spans="55:111" hidden="1">
      <c r="BC2500" s="115"/>
      <c r="BD2500" s="115"/>
      <c r="BE2500" s="115"/>
      <c r="BF2500" s="115"/>
      <c r="BG2500" s="115"/>
      <c r="BH2500" s="115"/>
      <c r="BI2500" s="115"/>
      <c r="BJ2500" s="115"/>
      <c r="BK2500" s="115"/>
      <c r="BL2500" s="115"/>
      <c r="BM2500" s="115"/>
      <c r="BN2500" s="115"/>
      <c r="BO2500" s="115"/>
      <c r="BP2500" s="115"/>
      <c r="BQ2500" s="115"/>
      <c r="BR2500" s="115"/>
      <c r="BS2500" s="115"/>
      <c r="BT2500" s="115"/>
      <c r="BU2500" s="115"/>
      <c r="BV2500" s="115"/>
      <c r="BW2500" s="115"/>
      <c r="BX2500" s="115"/>
      <c r="BY2500" s="115"/>
      <c r="BZ2500" s="115"/>
      <c r="CA2500" s="115"/>
      <c r="CB2500" s="115"/>
      <c r="CC2500" s="115"/>
      <c r="CD2500" s="115"/>
      <c r="CE2500" s="115"/>
      <c r="CF2500" s="115"/>
      <c r="CG2500" s="115"/>
      <c r="CH2500" s="115"/>
      <c r="CI2500" s="115"/>
      <c r="CJ2500" s="115"/>
      <c r="CK2500" s="115"/>
      <c r="CL2500" s="115"/>
      <c r="CM2500" s="115"/>
      <c r="CN2500" s="115"/>
      <c r="CO2500" s="115"/>
      <c r="CP2500" s="115"/>
      <c r="CQ2500" s="115"/>
      <c r="CR2500" s="115"/>
      <c r="CS2500" s="115"/>
      <c r="CT2500" s="115"/>
      <c r="CU2500" s="115"/>
      <c r="CV2500" s="115"/>
      <c r="CW2500" s="115"/>
      <c r="CX2500" s="115"/>
      <c r="CY2500" s="115"/>
      <c r="CZ2500" s="115"/>
      <c r="DA2500" s="115"/>
      <c r="DB2500" s="115"/>
      <c r="DC2500" s="115"/>
      <c r="DD2500" s="115"/>
      <c r="DE2500" s="115"/>
      <c r="DF2500" s="115"/>
      <c r="DG2500" s="115"/>
    </row>
    <row r="2501" spans="55:111" hidden="1">
      <c r="BC2501" s="115"/>
      <c r="BD2501" s="115"/>
      <c r="BE2501" s="115"/>
      <c r="BF2501" s="115"/>
      <c r="BG2501" s="115"/>
      <c r="BH2501" s="115"/>
      <c r="BI2501" s="115"/>
      <c r="BJ2501" s="115"/>
      <c r="BK2501" s="115"/>
      <c r="BL2501" s="115"/>
      <c r="BM2501" s="115"/>
      <c r="BN2501" s="115"/>
      <c r="BO2501" s="115"/>
      <c r="BP2501" s="115"/>
      <c r="BQ2501" s="115"/>
      <c r="BR2501" s="115"/>
      <c r="BS2501" s="115"/>
      <c r="BT2501" s="115"/>
      <c r="BU2501" s="115"/>
      <c r="BV2501" s="115"/>
      <c r="BW2501" s="115"/>
      <c r="BX2501" s="115"/>
      <c r="BY2501" s="115"/>
      <c r="BZ2501" s="115"/>
      <c r="CA2501" s="115"/>
      <c r="CB2501" s="115"/>
      <c r="CC2501" s="115"/>
      <c r="CD2501" s="115"/>
      <c r="CE2501" s="115"/>
      <c r="CF2501" s="115"/>
      <c r="CG2501" s="115"/>
      <c r="CH2501" s="115"/>
      <c r="CI2501" s="115"/>
      <c r="CJ2501" s="115"/>
      <c r="CK2501" s="115"/>
      <c r="CL2501" s="115"/>
      <c r="CM2501" s="115"/>
      <c r="CN2501" s="115"/>
      <c r="CO2501" s="115"/>
      <c r="CP2501" s="115"/>
      <c r="CQ2501" s="115"/>
      <c r="CR2501" s="115"/>
      <c r="CS2501" s="115"/>
      <c r="CT2501" s="115"/>
      <c r="CU2501" s="115"/>
      <c r="CV2501" s="115"/>
      <c r="CW2501" s="115"/>
      <c r="CX2501" s="115"/>
      <c r="CY2501" s="115"/>
      <c r="CZ2501" s="115"/>
      <c r="DA2501" s="115"/>
      <c r="DB2501" s="115"/>
      <c r="DC2501" s="115"/>
      <c r="DD2501" s="115"/>
      <c r="DE2501" s="115"/>
      <c r="DF2501" s="115"/>
      <c r="DG2501" s="115"/>
    </row>
    <row r="2502" spans="55:111" hidden="1">
      <c r="BC2502" s="115"/>
      <c r="BD2502" s="115"/>
      <c r="BE2502" s="115"/>
      <c r="BF2502" s="115"/>
      <c r="BG2502" s="115"/>
      <c r="BH2502" s="115"/>
      <c r="BI2502" s="115"/>
      <c r="BJ2502" s="115"/>
      <c r="BK2502" s="115"/>
      <c r="BL2502" s="115"/>
      <c r="BM2502" s="115"/>
      <c r="BN2502" s="115"/>
      <c r="BO2502" s="115"/>
      <c r="BP2502" s="115"/>
      <c r="BQ2502" s="115"/>
      <c r="BR2502" s="115"/>
      <c r="BS2502" s="115"/>
      <c r="BT2502" s="115"/>
      <c r="BU2502" s="115"/>
      <c r="BV2502" s="115"/>
      <c r="BW2502" s="115"/>
      <c r="BX2502" s="115"/>
      <c r="BY2502" s="115"/>
      <c r="BZ2502" s="115"/>
      <c r="CA2502" s="115"/>
      <c r="CB2502" s="115"/>
      <c r="CC2502" s="115"/>
      <c r="CD2502" s="115"/>
      <c r="CE2502" s="115"/>
      <c r="CF2502" s="115"/>
      <c r="CG2502" s="115"/>
      <c r="CH2502" s="115"/>
      <c r="CI2502" s="115"/>
      <c r="CJ2502" s="115"/>
      <c r="CK2502" s="115"/>
      <c r="CL2502" s="115"/>
      <c r="CM2502" s="115"/>
      <c r="CN2502" s="115"/>
      <c r="CO2502" s="115"/>
      <c r="CP2502" s="115"/>
      <c r="CQ2502" s="115"/>
      <c r="CR2502" s="115"/>
      <c r="CS2502" s="115"/>
      <c r="CT2502" s="115"/>
      <c r="CU2502" s="115"/>
      <c r="CV2502" s="115"/>
      <c r="CW2502" s="115"/>
      <c r="CX2502" s="115"/>
      <c r="CY2502" s="115"/>
      <c r="CZ2502" s="115"/>
      <c r="DA2502" s="115"/>
      <c r="DB2502" s="115"/>
      <c r="DC2502" s="115"/>
      <c r="DD2502" s="115"/>
      <c r="DE2502" s="115"/>
      <c r="DF2502" s="115"/>
      <c r="DG2502" s="115"/>
    </row>
    <row r="2503" spans="55:111" hidden="1">
      <c r="BC2503" s="115"/>
      <c r="BD2503" s="115"/>
      <c r="BE2503" s="115"/>
      <c r="BF2503" s="115"/>
      <c r="BG2503" s="115"/>
      <c r="BH2503" s="115"/>
      <c r="BI2503" s="115"/>
      <c r="BJ2503" s="115"/>
      <c r="BK2503" s="115"/>
      <c r="BL2503" s="115"/>
      <c r="BM2503" s="115"/>
      <c r="BN2503" s="115"/>
      <c r="BO2503" s="115"/>
      <c r="BP2503" s="115"/>
      <c r="BQ2503" s="115"/>
      <c r="BR2503" s="115"/>
      <c r="BS2503" s="115"/>
      <c r="BT2503" s="115"/>
      <c r="BU2503" s="115"/>
      <c r="BV2503" s="115"/>
      <c r="BW2503" s="115"/>
      <c r="BX2503" s="115"/>
      <c r="BY2503" s="115"/>
      <c r="BZ2503" s="115"/>
      <c r="CA2503" s="115"/>
      <c r="CB2503" s="115"/>
      <c r="CC2503" s="115"/>
      <c r="CD2503" s="115"/>
      <c r="CE2503" s="115"/>
      <c r="CF2503" s="115"/>
      <c r="CG2503" s="115"/>
      <c r="CH2503" s="115"/>
      <c r="CI2503" s="115"/>
      <c r="CJ2503" s="115"/>
      <c r="CK2503" s="115"/>
      <c r="CL2503" s="115"/>
      <c r="CM2503" s="115"/>
      <c r="CN2503" s="115"/>
      <c r="CO2503" s="115"/>
      <c r="CP2503" s="115"/>
      <c r="CQ2503" s="115"/>
      <c r="CR2503" s="115"/>
      <c r="CS2503" s="115"/>
      <c r="CT2503" s="115"/>
      <c r="CU2503" s="115"/>
      <c r="CV2503" s="115"/>
      <c r="CW2503" s="115"/>
      <c r="CX2503" s="115"/>
      <c r="CY2503" s="115"/>
      <c r="CZ2503" s="115"/>
      <c r="DA2503" s="115"/>
      <c r="DB2503" s="115"/>
      <c r="DC2503" s="115"/>
      <c r="DD2503" s="115"/>
      <c r="DE2503" s="115"/>
      <c r="DF2503" s="115"/>
      <c r="DG2503" s="115"/>
    </row>
    <row r="2504" spans="55:111" hidden="1">
      <c r="BC2504" s="115"/>
      <c r="BD2504" s="115"/>
      <c r="BE2504" s="115"/>
      <c r="BF2504" s="115"/>
      <c r="BG2504" s="115"/>
      <c r="BH2504" s="115"/>
      <c r="BI2504" s="115"/>
      <c r="BJ2504" s="115"/>
      <c r="BK2504" s="115"/>
      <c r="BL2504" s="115"/>
      <c r="BM2504" s="115"/>
      <c r="BN2504" s="115"/>
      <c r="BO2504" s="115"/>
      <c r="BP2504" s="115"/>
      <c r="BQ2504" s="115"/>
      <c r="BR2504" s="115"/>
      <c r="BS2504" s="115"/>
      <c r="BT2504" s="115"/>
      <c r="BU2504" s="115"/>
      <c r="BV2504" s="115"/>
      <c r="BW2504" s="115"/>
      <c r="BX2504" s="115"/>
      <c r="BY2504" s="115"/>
      <c r="BZ2504" s="115"/>
      <c r="CA2504" s="115"/>
      <c r="CB2504" s="115"/>
      <c r="CC2504" s="115"/>
      <c r="CD2504" s="115"/>
      <c r="CE2504" s="115"/>
      <c r="CF2504" s="115"/>
      <c r="CG2504" s="115"/>
      <c r="CH2504" s="115"/>
      <c r="CI2504" s="115"/>
      <c r="CJ2504" s="115"/>
      <c r="CK2504" s="115"/>
      <c r="CL2504" s="115"/>
      <c r="CM2504" s="115"/>
      <c r="CN2504" s="115"/>
      <c r="CO2504" s="115"/>
      <c r="CP2504" s="115"/>
      <c r="CQ2504" s="115"/>
      <c r="CR2504" s="115"/>
      <c r="CS2504" s="115"/>
      <c r="CT2504" s="115"/>
      <c r="CU2504" s="115"/>
      <c r="CV2504" s="115"/>
      <c r="CW2504" s="115"/>
      <c r="CX2504" s="115"/>
      <c r="CY2504" s="115"/>
      <c r="CZ2504" s="115"/>
      <c r="DA2504" s="115"/>
      <c r="DB2504" s="115"/>
      <c r="DC2504" s="115"/>
      <c r="DD2504" s="115"/>
      <c r="DE2504" s="115"/>
      <c r="DF2504" s="115"/>
      <c r="DG2504" s="115"/>
    </row>
    <row r="2505" spans="55:111" hidden="1">
      <c r="BC2505" s="115"/>
      <c r="BD2505" s="115"/>
      <c r="BE2505" s="115"/>
      <c r="BF2505" s="115"/>
      <c r="BG2505" s="115"/>
      <c r="BH2505" s="115"/>
      <c r="BI2505" s="115"/>
      <c r="BJ2505" s="115"/>
      <c r="BK2505" s="115"/>
      <c r="BL2505" s="115"/>
      <c r="BM2505" s="115"/>
      <c r="BN2505" s="115"/>
      <c r="BO2505" s="115"/>
      <c r="BP2505" s="115"/>
      <c r="BQ2505" s="115"/>
      <c r="BR2505" s="115"/>
      <c r="BS2505" s="115"/>
      <c r="BT2505" s="115"/>
      <c r="BU2505" s="115"/>
      <c r="BV2505" s="115"/>
      <c r="BW2505" s="115"/>
      <c r="BX2505" s="115"/>
      <c r="BY2505" s="115"/>
      <c r="BZ2505" s="115"/>
      <c r="CA2505" s="115"/>
      <c r="CB2505" s="115"/>
      <c r="CC2505" s="115"/>
      <c r="CD2505" s="115"/>
      <c r="CE2505" s="115"/>
      <c r="CF2505" s="115"/>
      <c r="CG2505" s="115"/>
      <c r="CH2505" s="115"/>
      <c r="CI2505" s="115"/>
      <c r="CJ2505" s="115"/>
      <c r="CK2505" s="115"/>
      <c r="CL2505" s="115"/>
      <c r="CM2505" s="115"/>
      <c r="CN2505" s="115"/>
      <c r="CO2505" s="115"/>
      <c r="CP2505" s="115"/>
      <c r="CQ2505" s="115"/>
      <c r="CR2505" s="115"/>
      <c r="CS2505" s="115"/>
      <c r="CT2505" s="115"/>
      <c r="CU2505" s="115"/>
      <c r="CV2505" s="115"/>
      <c r="CW2505" s="115"/>
      <c r="CX2505" s="115"/>
      <c r="CY2505" s="115"/>
      <c r="CZ2505" s="115"/>
      <c r="DA2505" s="115"/>
      <c r="DB2505" s="115"/>
      <c r="DC2505" s="115"/>
      <c r="DD2505" s="115"/>
      <c r="DE2505" s="115"/>
      <c r="DF2505" s="115"/>
      <c r="DG2505" s="115"/>
    </row>
    <row r="2506" spans="55:111" hidden="1">
      <c r="BC2506" s="115"/>
      <c r="BD2506" s="115"/>
      <c r="BE2506" s="115"/>
      <c r="BF2506" s="115"/>
      <c r="BG2506" s="115"/>
      <c r="BH2506" s="115"/>
      <c r="BI2506" s="115"/>
      <c r="BJ2506" s="115"/>
      <c r="BK2506" s="115"/>
      <c r="BL2506" s="115"/>
      <c r="BM2506" s="115"/>
      <c r="BN2506" s="115"/>
      <c r="BO2506" s="115"/>
      <c r="BP2506" s="115"/>
      <c r="BQ2506" s="115"/>
      <c r="BR2506" s="115"/>
      <c r="BS2506" s="115"/>
      <c r="BT2506" s="115"/>
      <c r="BU2506" s="115"/>
      <c r="BV2506" s="115"/>
      <c r="BW2506" s="115"/>
      <c r="BX2506" s="115"/>
      <c r="BY2506" s="115"/>
      <c r="BZ2506" s="115"/>
      <c r="CA2506" s="115"/>
      <c r="CB2506" s="115"/>
      <c r="CC2506" s="115"/>
      <c r="CD2506" s="115"/>
      <c r="CE2506" s="115"/>
      <c r="CF2506" s="115"/>
      <c r="CG2506" s="115"/>
      <c r="CH2506" s="115"/>
      <c r="CI2506" s="115"/>
      <c r="CJ2506" s="115"/>
      <c r="CK2506" s="115"/>
      <c r="CL2506" s="115"/>
      <c r="CM2506" s="115"/>
      <c r="CN2506" s="115"/>
      <c r="CO2506" s="115"/>
      <c r="CP2506" s="115"/>
      <c r="CQ2506" s="115"/>
      <c r="CR2506" s="115"/>
      <c r="CS2506" s="115"/>
      <c r="CT2506" s="115"/>
      <c r="CU2506" s="115"/>
      <c r="CV2506" s="115"/>
      <c r="CW2506" s="115"/>
      <c r="CX2506" s="115"/>
      <c r="CY2506" s="115"/>
      <c r="CZ2506" s="115"/>
      <c r="DA2506" s="115"/>
      <c r="DB2506" s="115"/>
      <c r="DC2506" s="115"/>
      <c r="DD2506" s="115"/>
      <c r="DE2506" s="115"/>
      <c r="DF2506" s="115"/>
      <c r="DG2506" s="115"/>
    </row>
    <row r="2507" spans="55:111" hidden="1">
      <c r="BC2507" s="115"/>
      <c r="BD2507" s="115"/>
      <c r="BE2507" s="115"/>
      <c r="BF2507" s="115"/>
      <c r="BG2507" s="115"/>
      <c r="BH2507" s="115"/>
      <c r="BI2507" s="115"/>
      <c r="BJ2507" s="115"/>
      <c r="BK2507" s="115"/>
      <c r="BL2507" s="115"/>
      <c r="BM2507" s="115"/>
      <c r="BN2507" s="115"/>
      <c r="BO2507" s="115"/>
      <c r="BP2507" s="115"/>
      <c r="BQ2507" s="115"/>
      <c r="BR2507" s="115"/>
      <c r="BS2507" s="115"/>
      <c r="BT2507" s="115"/>
      <c r="BU2507" s="115"/>
      <c r="BV2507" s="115"/>
      <c r="BW2507" s="115"/>
      <c r="BX2507" s="115"/>
      <c r="BY2507" s="115"/>
      <c r="BZ2507" s="115"/>
      <c r="CA2507" s="115"/>
      <c r="CB2507" s="115"/>
      <c r="CC2507" s="115"/>
      <c r="CD2507" s="115"/>
      <c r="CE2507" s="115"/>
      <c r="CF2507" s="115"/>
      <c r="CG2507" s="115"/>
      <c r="CH2507" s="115"/>
      <c r="CI2507" s="115"/>
      <c r="CJ2507" s="115"/>
      <c r="CK2507" s="115"/>
      <c r="CL2507" s="115"/>
      <c r="CM2507" s="115"/>
      <c r="CN2507" s="115"/>
      <c r="CO2507" s="115"/>
      <c r="CP2507" s="115"/>
      <c r="CQ2507" s="115"/>
      <c r="CR2507" s="115"/>
      <c r="CS2507" s="115"/>
      <c r="CT2507" s="115"/>
      <c r="CU2507" s="115"/>
      <c r="CV2507" s="115"/>
      <c r="CW2507" s="115"/>
      <c r="CX2507" s="115"/>
      <c r="CY2507" s="115"/>
      <c r="CZ2507" s="115"/>
      <c r="DA2507" s="115"/>
      <c r="DB2507" s="115"/>
      <c r="DC2507" s="115"/>
      <c r="DD2507" s="115"/>
      <c r="DE2507" s="115"/>
      <c r="DF2507" s="115"/>
      <c r="DG2507" s="115"/>
    </row>
    <row r="2508" spans="55:111" hidden="1">
      <c r="BC2508" s="115"/>
      <c r="BD2508" s="115"/>
      <c r="BE2508" s="115"/>
      <c r="BF2508" s="115"/>
      <c r="BG2508" s="115"/>
      <c r="BH2508" s="115"/>
      <c r="BI2508" s="115"/>
      <c r="BJ2508" s="115"/>
      <c r="BK2508" s="115"/>
      <c r="BL2508" s="115"/>
      <c r="BM2508" s="115"/>
      <c r="BN2508" s="115"/>
      <c r="BO2508" s="115"/>
      <c r="BP2508" s="115"/>
      <c r="BQ2508" s="115"/>
      <c r="BR2508" s="115"/>
      <c r="BS2508" s="115"/>
      <c r="BT2508" s="115"/>
      <c r="BU2508" s="115"/>
      <c r="BV2508" s="115"/>
      <c r="BW2508" s="115"/>
      <c r="BX2508" s="115"/>
      <c r="BY2508" s="115"/>
      <c r="BZ2508" s="115"/>
      <c r="CA2508" s="115"/>
      <c r="CB2508" s="115"/>
      <c r="CC2508" s="115"/>
      <c r="CD2508" s="115"/>
      <c r="CE2508" s="115"/>
      <c r="CF2508" s="115"/>
      <c r="CG2508" s="115"/>
      <c r="CH2508" s="115"/>
      <c r="CI2508" s="115"/>
      <c r="CJ2508" s="115"/>
      <c r="CK2508" s="115"/>
      <c r="CL2508" s="115"/>
      <c r="CM2508" s="115"/>
      <c r="CN2508" s="115"/>
      <c r="CO2508" s="115"/>
      <c r="CP2508" s="115"/>
      <c r="CQ2508" s="115"/>
      <c r="CR2508" s="115"/>
      <c r="CS2508" s="115"/>
      <c r="CT2508" s="115"/>
      <c r="CU2508" s="115"/>
      <c r="CV2508" s="115"/>
      <c r="CW2508" s="115"/>
      <c r="CX2508" s="115"/>
      <c r="CY2508" s="115"/>
      <c r="CZ2508" s="115"/>
      <c r="DA2508" s="115"/>
      <c r="DB2508" s="115"/>
      <c r="DC2508" s="115"/>
      <c r="DD2508" s="115"/>
      <c r="DE2508" s="115"/>
      <c r="DF2508" s="115"/>
      <c r="DG2508" s="115"/>
    </row>
    <row r="2509" spans="55:111" hidden="1">
      <c r="BC2509" s="115"/>
      <c r="BD2509" s="115"/>
      <c r="BE2509" s="115"/>
      <c r="BF2509" s="115"/>
      <c r="BG2509" s="115"/>
      <c r="BH2509" s="115"/>
      <c r="BI2509" s="115"/>
      <c r="BJ2509" s="115"/>
      <c r="BK2509" s="115"/>
      <c r="BL2509" s="115"/>
      <c r="BM2509" s="115"/>
      <c r="BN2509" s="115"/>
      <c r="BO2509" s="115"/>
      <c r="BP2509" s="115"/>
      <c r="BQ2509" s="115"/>
      <c r="BR2509" s="115"/>
      <c r="BS2509" s="115"/>
      <c r="BT2509" s="115"/>
      <c r="BU2509" s="115"/>
      <c r="BV2509" s="115"/>
      <c r="BW2509" s="115"/>
      <c r="BX2509" s="115"/>
      <c r="BY2509" s="115"/>
      <c r="BZ2509" s="115"/>
      <c r="CA2509" s="115"/>
      <c r="CB2509" s="115"/>
      <c r="CC2509" s="115"/>
      <c r="CD2509" s="115"/>
      <c r="CE2509" s="115"/>
      <c r="CF2509" s="115"/>
      <c r="CG2509" s="115"/>
      <c r="CH2509" s="115"/>
      <c r="CI2509" s="115"/>
      <c r="CJ2509" s="115"/>
      <c r="CK2509" s="115"/>
      <c r="CL2509" s="115"/>
      <c r="CM2509" s="115"/>
      <c r="CN2509" s="115"/>
      <c r="CO2509" s="115"/>
      <c r="CP2509" s="115"/>
      <c r="CQ2509" s="115"/>
      <c r="CR2509" s="115"/>
      <c r="CS2509" s="115"/>
      <c r="CT2509" s="115"/>
      <c r="CU2509" s="115"/>
      <c r="CV2509" s="115"/>
      <c r="CW2509" s="115"/>
      <c r="CX2509" s="115"/>
      <c r="CY2509" s="115"/>
      <c r="CZ2509" s="115"/>
      <c r="DA2509" s="115"/>
      <c r="DB2509" s="115"/>
      <c r="DC2509" s="115"/>
      <c r="DD2509" s="115"/>
      <c r="DE2509" s="115"/>
      <c r="DF2509" s="115"/>
      <c r="DG2509" s="115"/>
    </row>
    <row r="2510" spans="55:111" hidden="1">
      <c r="BC2510" s="115"/>
      <c r="BD2510" s="115"/>
      <c r="BE2510" s="115"/>
      <c r="BF2510" s="115"/>
      <c r="BG2510" s="115"/>
      <c r="BH2510" s="115"/>
      <c r="BI2510" s="115"/>
      <c r="BJ2510" s="115"/>
      <c r="BK2510" s="115"/>
      <c r="BL2510" s="115"/>
      <c r="BM2510" s="115"/>
      <c r="BN2510" s="115"/>
      <c r="BO2510" s="115"/>
      <c r="BP2510" s="115"/>
      <c r="BQ2510" s="115"/>
      <c r="BR2510" s="115"/>
      <c r="BS2510" s="115"/>
      <c r="BT2510" s="115"/>
      <c r="BU2510" s="115"/>
      <c r="BV2510" s="115"/>
      <c r="BW2510" s="115"/>
      <c r="BX2510" s="115"/>
      <c r="BY2510" s="115"/>
      <c r="BZ2510" s="115"/>
      <c r="CA2510" s="115"/>
      <c r="CB2510" s="115"/>
      <c r="CC2510" s="115"/>
      <c r="CD2510" s="115"/>
      <c r="CE2510" s="115"/>
      <c r="CF2510" s="115"/>
      <c r="CG2510" s="115"/>
      <c r="CH2510" s="115"/>
      <c r="CI2510" s="115"/>
      <c r="CJ2510" s="115"/>
      <c r="CK2510" s="115"/>
      <c r="CL2510" s="115"/>
      <c r="CM2510" s="115"/>
      <c r="CN2510" s="115"/>
      <c r="CO2510" s="115"/>
      <c r="CP2510" s="115"/>
      <c r="CQ2510" s="115"/>
      <c r="CR2510" s="115"/>
      <c r="CS2510" s="115"/>
      <c r="CT2510" s="115"/>
      <c r="CU2510" s="115"/>
      <c r="CV2510" s="115"/>
      <c r="CW2510" s="115"/>
      <c r="CX2510" s="115"/>
      <c r="CY2510" s="115"/>
      <c r="CZ2510" s="115"/>
      <c r="DA2510" s="115"/>
      <c r="DB2510" s="115"/>
      <c r="DC2510" s="115"/>
      <c r="DD2510" s="115"/>
      <c r="DE2510" s="115"/>
      <c r="DF2510" s="115"/>
      <c r="DG2510" s="115"/>
    </row>
    <row r="2511" spans="55:111" hidden="1">
      <c r="BC2511" s="115"/>
      <c r="BD2511" s="115"/>
      <c r="BE2511" s="115"/>
      <c r="BF2511" s="115"/>
      <c r="BG2511" s="115"/>
      <c r="BH2511" s="115"/>
      <c r="BI2511" s="115"/>
      <c r="BJ2511" s="115"/>
      <c r="BK2511" s="115"/>
      <c r="BL2511" s="115"/>
      <c r="BM2511" s="115"/>
      <c r="BN2511" s="115"/>
      <c r="BO2511" s="115"/>
      <c r="BP2511" s="115"/>
      <c r="BQ2511" s="115"/>
      <c r="BR2511" s="115"/>
      <c r="BS2511" s="115"/>
      <c r="BT2511" s="115"/>
      <c r="BU2511" s="115"/>
      <c r="BV2511" s="115"/>
      <c r="BW2511" s="115"/>
      <c r="BX2511" s="115"/>
      <c r="BY2511" s="115"/>
      <c r="BZ2511" s="115"/>
      <c r="CA2511" s="115"/>
      <c r="CB2511" s="115"/>
      <c r="CC2511" s="115"/>
      <c r="CD2511" s="115"/>
      <c r="CE2511" s="115"/>
      <c r="CF2511" s="115"/>
      <c r="CG2511" s="115"/>
      <c r="CH2511" s="115"/>
      <c r="CI2511" s="115"/>
      <c r="CJ2511" s="115"/>
      <c r="CK2511" s="115"/>
      <c r="CL2511" s="115"/>
      <c r="CM2511" s="115"/>
      <c r="CN2511" s="115"/>
      <c r="CO2511" s="115"/>
      <c r="CP2511" s="115"/>
      <c r="CQ2511" s="115"/>
      <c r="CR2511" s="115"/>
      <c r="CS2511" s="115"/>
      <c r="CT2511" s="115"/>
      <c r="CU2511" s="115"/>
      <c r="CV2511" s="115"/>
      <c r="CW2511" s="115"/>
      <c r="CX2511" s="115"/>
      <c r="CY2511" s="115"/>
      <c r="CZ2511" s="115"/>
      <c r="DA2511" s="115"/>
      <c r="DB2511" s="115"/>
      <c r="DC2511" s="115"/>
      <c r="DD2511" s="115"/>
      <c r="DE2511" s="115"/>
      <c r="DF2511" s="115"/>
      <c r="DG2511" s="115"/>
    </row>
    <row r="2512" spans="55:111" hidden="1">
      <c r="BC2512" s="115"/>
      <c r="BD2512" s="115"/>
      <c r="BE2512" s="115"/>
      <c r="BF2512" s="115"/>
      <c r="BG2512" s="115"/>
      <c r="BH2512" s="115"/>
      <c r="BI2512" s="115"/>
      <c r="BJ2512" s="115"/>
      <c r="BK2512" s="115"/>
      <c r="BL2512" s="115"/>
      <c r="BM2512" s="115"/>
      <c r="BN2512" s="115"/>
      <c r="BO2512" s="115"/>
      <c r="BP2512" s="115"/>
      <c r="BQ2512" s="115"/>
      <c r="BR2512" s="115"/>
      <c r="BS2512" s="115"/>
      <c r="BT2512" s="115"/>
      <c r="BU2512" s="115"/>
      <c r="BV2512" s="115"/>
      <c r="BW2512" s="115"/>
      <c r="BX2512" s="115"/>
      <c r="BY2512" s="115"/>
      <c r="BZ2512" s="115"/>
      <c r="CA2512" s="115"/>
      <c r="CB2512" s="115"/>
      <c r="CC2512" s="115"/>
      <c r="CD2512" s="115"/>
      <c r="CE2512" s="115"/>
      <c r="CF2512" s="115"/>
      <c r="CG2512" s="115"/>
      <c r="CH2512" s="115"/>
      <c r="CI2512" s="115"/>
      <c r="CJ2512" s="115"/>
      <c r="CK2512" s="115"/>
      <c r="CL2512" s="115"/>
      <c r="CM2512" s="115"/>
      <c r="CN2512" s="115"/>
      <c r="CO2512" s="115"/>
      <c r="CP2512" s="115"/>
      <c r="CQ2512" s="115"/>
      <c r="CR2512" s="115"/>
      <c r="CS2512" s="115"/>
      <c r="CT2512" s="115"/>
      <c r="CU2512" s="115"/>
      <c r="CV2512" s="115"/>
      <c r="CW2512" s="115"/>
      <c r="CX2512" s="115"/>
      <c r="CY2512" s="115"/>
      <c r="CZ2512" s="115"/>
      <c r="DA2512" s="115"/>
      <c r="DB2512" s="115"/>
      <c r="DC2512" s="115"/>
      <c r="DD2512" s="115"/>
      <c r="DE2512" s="115"/>
      <c r="DF2512" s="115"/>
      <c r="DG2512" s="115"/>
    </row>
    <row r="2513" spans="55:111" hidden="1">
      <c r="BC2513" s="115"/>
      <c r="BD2513" s="115"/>
      <c r="BE2513" s="115"/>
      <c r="BF2513" s="115"/>
      <c r="BG2513" s="115"/>
      <c r="BH2513" s="115"/>
      <c r="BI2513" s="115"/>
      <c r="BJ2513" s="115"/>
      <c r="BK2513" s="115"/>
      <c r="BL2513" s="115"/>
      <c r="BM2513" s="115"/>
      <c r="BN2513" s="115"/>
      <c r="BO2513" s="115"/>
      <c r="BP2513" s="115"/>
      <c r="BQ2513" s="115"/>
      <c r="BR2513" s="115"/>
      <c r="BS2513" s="115"/>
      <c r="BT2513" s="115"/>
      <c r="BU2513" s="115"/>
      <c r="BV2513" s="115"/>
      <c r="BW2513" s="115"/>
      <c r="BX2513" s="115"/>
      <c r="BY2513" s="115"/>
      <c r="BZ2513" s="115"/>
      <c r="CA2513" s="115"/>
      <c r="CB2513" s="115"/>
      <c r="CC2513" s="115"/>
      <c r="CD2513" s="115"/>
      <c r="CE2513" s="115"/>
      <c r="CF2513" s="115"/>
      <c r="CG2513" s="115"/>
      <c r="CH2513" s="115"/>
      <c r="CI2513" s="115"/>
      <c r="CJ2513" s="115"/>
      <c r="CK2513" s="115"/>
      <c r="CL2513" s="115"/>
      <c r="CM2513" s="115"/>
      <c r="CN2513" s="115"/>
      <c r="CO2513" s="115"/>
      <c r="CP2513" s="115"/>
      <c r="CQ2513" s="115"/>
      <c r="CR2513" s="115"/>
      <c r="CS2513" s="115"/>
      <c r="CT2513" s="115"/>
      <c r="CU2513" s="115"/>
      <c r="CV2513" s="115"/>
      <c r="CW2513" s="115"/>
      <c r="CX2513" s="115"/>
      <c r="CY2513" s="115"/>
      <c r="CZ2513" s="115"/>
      <c r="DA2513" s="115"/>
      <c r="DB2513" s="115"/>
      <c r="DC2513" s="115"/>
      <c r="DD2513" s="115"/>
      <c r="DE2513" s="115"/>
      <c r="DF2513" s="115"/>
      <c r="DG2513" s="115"/>
    </row>
    <row r="2514" spans="55:111" hidden="1">
      <c r="BC2514" s="115"/>
      <c r="BD2514" s="115"/>
      <c r="BE2514" s="115"/>
      <c r="BF2514" s="115"/>
      <c r="BG2514" s="115"/>
      <c r="BH2514" s="115"/>
      <c r="BI2514" s="115"/>
      <c r="BJ2514" s="115"/>
      <c r="BK2514" s="115"/>
      <c r="BL2514" s="115"/>
      <c r="BM2514" s="115"/>
      <c r="BN2514" s="115"/>
      <c r="BO2514" s="115"/>
      <c r="BP2514" s="115"/>
      <c r="BQ2514" s="115"/>
      <c r="BR2514" s="115"/>
      <c r="BS2514" s="115"/>
      <c r="BT2514" s="115"/>
      <c r="BU2514" s="115"/>
      <c r="BV2514" s="115"/>
      <c r="BW2514" s="115"/>
      <c r="BX2514" s="115"/>
      <c r="BY2514" s="115"/>
      <c r="BZ2514" s="115"/>
      <c r="CA2514" s="115"/>
      <c r="CB2514" s="115"/>
      <c r="CC2514" s="115"/>
      <c r="CD2514" s="115"/>
      <c r="CE2514" s="115"/>
      <c r="CF2514" s="115"/>
      <c r="CG2514" s="115"/>
      <c r="CH2514" s="115"/>
      <c r="CI2514" s="115"/>
      <c r="CJ2514" s="115"/>
      <c r="CK2514" s="115"/>
      <c r="CL2514" s="115"/>
      <c r="CM2514" s="115"/>
      <c r="CN2514" s="115"/>
      <c r="CO2514" s="115"/>
      <c r="CP2514" s="115"/>
      <c r="CQ2514" s="115"/>
      <c r="CR2514" s="115"/>
      <c r="CS2514" s="115"/>
      <c r="CT2514" s="115"/>
      <c r="CU2514" s="115"/>
      <c r="CV2514" s="115"/>
      <c r="CW2514" s="115"/>
      <c r="CX2514" s="115"/>
      <c r="CY2514" s="115"/>
      <c r="CZ2514" s="115"/>
      <c r="DA2514" s="115"/>
      <c r="DB2514" s="115"/>
      <c r="DC2514" s="115"/>
      <c r="DD2514" s="115"/>
      <c r="DE2514" s="115"/>
      <c r="DF2514" s="115"/>
      <c r="DG2514" s="115"/>
    </row>
    <row r="2515" spans="55:111" hidden="1">
      <c r="BC2515" s="115"/>
      <c r="BD2515" s="115"/>
      <c r="BE2515" s="115"/>
      <c r="BF2515" s="115"/>
      <c r="BG2515" s="115"/>
      <c r="BH2515" s="115"/>
      <c r="BI2515" s="115"/>
      <c r="BJ2515" s="115"/>
      <c r="BK2515" s="115"/>
      <c r="BL2515" s="115"/>
      <c r="BM2515" s="115"/>
      <c r="BN2515" s="115"/>
      <c r="BO2515" s="115"/>
      <c r="BP2515" s="115"/>
      <c r="BQ2515" s="115"/>
      <c r="BR2515" s="115"/>
      <c r="BS2515" s="115"/>
      <c r="BT2515" s="115"/>
      <c r="BU2515" s="115"/>
      <c r="BV2515" s="115"/>
      <c r="BW2515" s="115"/>
      <c r="BX2515" s="115"/>
      <c r="BY2515" s="115"/>
      <c r="BZ2515" s="115"/>
      <c r="CA2515" s="115"/>
      <c r="CB2515" s="115"/>
      <c r="CC2515" s="115"/>
      <c r="CD2515" s="115"/>
      <c r="CE2515" s="115"/>
      <c r="CF2515" s="115"/>
      <c r="CG2515" s="115"/>
      <c r="CH2515" s="115"/>
      <c r="CI2515" s="115"/>
      <c r="CJ2515" s="115"/>
      <c r="CK2515" s="115"/>
      <c r="CL2515" s="115"/>
      <c r="CM2515" s="115"/>
      <c r="CN2515" s="115"/>
      <c r="CO2515" s="115"/>
      <c r="CP2515" s="115"/>
      <c r="CQ2515" s="115"/>
      <c r="CR2515" s="115"/>
      <c r="CS2515" s="115"/>
      <c r="CT2515" s="115"/>
      <c r="CU2515" s="115"/>
      <c r="CV2515" s="115"/>
      <c r="CW2515" s="115"/>
      <c r="CX2515" s="115"/>
      <c r="CY2515" s="115"/>
      <c r="CZ2515" s="115"/>
      <c r="DA2515" s="115"/>
      <c r="DB2515" s="115"/>
      <c r="DC2515" s="115"/>
      <c r="DD2515" s="115"/>
      <c r="DE2515" s="115"/>
      <c r="DF2515" s="115"/>
      <c r="DG2515" s="115"/>
    </row>
    <row r="2516" spans="55:111" hidden="1">
      <c r="BC2516" s="115"/>
      <c r="BD2516" s="115"/>
      <c r="BE2516" s="115"/>
      <c r="BF2516" s="115"/>
      <c r="BG2516" s="115"/>
      <c r="BH2516" s="115"/>
      <c r="BI2516" s="115"/>
      <c r="BJ2516" s="115"/>
      <c r="BK2516" s="115"/>
      <c r="BL2516" s="115"/>
      <c r="BM2516" s="115"/>
      <c r="BN2516" s="115"/>
      <c r="BO2516" s="115"/>
      <c r="BP2516" s="115"/>
      <c r="BQ2516" s="115"/>
      <c r="BR2516" s="115"/>
      <c r="BS2516" s="115"/>
      <c r="BT2516" s="115"/>
      <c r="BU2516" s="115"/>
      <c r="BV2516" s="115"/>
      <c r="BW2516" s="115"/>
      <c r="BX2516" s="115"/>
      <c r="BY2516" s="115"/>
      <c r="BZ2516" s="115"/>
      <c r="CA2516" s="115"/>
      <c r="CB2516" s="115"/>
      <c r="CC2516" s="115"/>
      <c r="CD2516" s="115"/>
      <c r="CE2516" s="115"/>
      <c r="CF2516" s="115"/>
      <c r="CG2516" s="115"/>
      <c r="CH2516" s="115"/>
      <c r="CI2516" s="115"/>
      <c r="CJ2516" s="115"/>
      <c r="CK2516" s="115"/>
      <c r="CL2516" s="115"/>
      <c r="CM2516" s="115"/>
      <c r="CN2516" s="115"/>
      <c r="CO2516" s="115"/>
      <c r="CP2516" s="115"/>
      <c r="CQ2516" s="115"/>
      <c r="CR2516" s="115"/>
      <c r="CS2516" s="115"/>
      <c r="CT2516" s="115"/>
      <c r="CU2516" s="115"/>
      <c r="CV2516" s="115"/>
      <c r="CW2516" s="115"/>
      <c r="CX2516" s="115"/>
      <c r="CY2516" s="115"/>
      <c r="CZ2516" s="115"/>
      <c r="DA2516" s="115"/>
      <c r="DB2516" s="115"/>
      <c r="DC2516" s="115"/>
      <c r="DD2516" s="115"/>
      <c r="DE2516" s="115"/>
      <c r="DF2516" s="115"/>
      <c r="DG2516" s="115"/>
    </row>
    <row r="2517" spans="55:111" hidden="1">
      <c r="BC2517" s="115"/>
      <c r="BD2517" s="115"/>
      <c r="BE2517" s="115"/>
      <c r="BF2517" s="115"/>
      <c r="BG2517" s="115"/>
      <c r="BH2517" s="115"/>
      <c r="BI2517" s="115"/>
      <c r="BJ2517" s="115"/>
      <c r="BK2517" s="115"/>
      <c r="BL2517" s="115"/>
      <c r="BM2517" s="115"/>
      <c r="BN2517" s="115"/>
      <c r="BO2517" s="115"/>
      <c r="BP2517" s="115"/>
      <c r="BQ2517" s="115"/>
      <c r="BR2517" s="115"/>
      <c r="BS2517" s="115"/>
      <c r="BT2517" s="115"/>
      <c r="BU2517" s="115"/>
      <c r="BV2517" s="115"/>
      <c r="BW2517" s="115"/>
      <c r="BX2517" s="115"/>
      <c r="BY2517" s="115"/>
      <c r="BZ2517" s="115"/>
      <c r="CA2517" s="115"/>
      <c r="CB2517" s="115"/>
      <c r="CC2517" s="115"/>
      <c r="CD2517" s="115"/>
      <c r="CE2517" s="115"/>
      <c r="CF2517" s="115"/>
      <c r="CG2517" s="115"/>
      <c r="CH2517" s="115"/>
      <c r="CI2517" s="115"/>
      <c r="CJ2517" s="115"/>
      <c r="CK2517" s="115"/>
      <c r="CL2517" s="115"/>
      <c r="CM2517" s="115"/>
      <c r="CN2517" s="115"/>
      <c r="CO2517" s="115"/>
      <c r="CP2517" s="115"/>
      <c r="CQ2517" s="115"/>
      <c r="CR2517" s="115"/>
      <c r="CS2517" s="115"/>
      <c r="CT2517" s="115"/>
      <c r="CU2517" s="115"/>
      <c r="CV2517" s="115"/>
      <c r="CW2517" s="115"/>
      <c r="CX2517" s="115"/>
      <c r="CY2517" s="115"/>
      <c r="CZ2517" s="115"/>
      <c r="DA2517" s="115"/>
      <c r="DB2517" s="115"/>
      <c r="DC2517" s="115"/>
      <c r="DD2517" s="115"/>
      <c r="DE2517" s="115"/>
      <c r="DF2517" s="115"/>
      <c r="DG2517" s="115"/>
    </row>
    <row r="2518" spans="55:111" hidden="1">
      <c r="BC2518" s="115"/>
      <c r="BD2518" s="115"/>
      <c r="BE2518" s="115"/>
      <c r="BF2518" s="115"/>
      <c r="BG2518" s="115"/>
      <c r="BH2518" s="115"/>
      <c r="BI2518" s="115"/>
      <c r="BJ2518" s="115"/>
      <c r="BK2518" s="115"/>
      <c r="BL2518" s="115"/>
      <c r="BM2518" s="115"/>
      <c r="BN2518" s="115"/>
      <c r="BO2518" s="115"/>
      <c r="BP2518" s="115"/>
      <c r="BQ2518" s="115"/>
      <c r="BR2518" s="115"/>
      <c r="BS2518" s="115"/>
      <c r="BT2518" s="115"/>
      <c r="BU2518" s="115"/>
      <c r="BV2518" s="115"/>
      <c r="BW2518" s="115"/>
      <c r="BX2518" s="115"/>
      <c r="BY2518" s="115"/>
      <c r="BZ2518" s="115"/>
      <c r="CA2518" s="115"/>
      <c r="CB2518" s="115"/>
      <c r="CC2518" s="115"/>
      <c r="CD2518" s="115"/>
      <c r="CE2518" s="115"/>
      <c r="CF2518" s="115"/>
      <c r="CG2518" s="115"/>
      <c r="CH2518" s="115"/>
      <c r="CI2518" s="115"/>
      <c r="CJ2518" s="115"/>
      <c r="CK2518" s="115"/>
      <c r="CL2518" s="115"/>
      <c r="CM2518" s="115"/>
      <c r="CN2518" s="115"/>
      <c r="CO2518" s="115"/>
      <c r="CP2518" s="115"/>
      <c r="CQ2518" s="115"/>
      <c r="CR2518" s="115"/>
      <c r="CS2518" s="115"/>
      <c r="CT2518" s="115"/>
      <c r="CU2518" s="115"/>
      <c r="CV2518" s="115"/>
      <c r="CW2518" s="115"/>
      <c r="CX2518" s="115"/>
      <c r="CY2518" s="115"/>
      <c r="CZ2518" s="115"/>
      <c r="DA2518" s="115"/>
      <c r="DB2518" s="115"/>
      <c r="DC2518" s="115"/>
      <c r="DD2518" s="115"/>
      <c r="DE2518" s="115"/>
      <c r="DF2518" s="115"/>
      <c r="DG2518" s="115"/>
    </row>
    <row r="2519" spans="55:111" hidden="1">
      <c r="BC2519" s="115"/>
      <c r="BD2519" s="115"/>
      <c r="BE2519" s="115"/>
      <c r="BF2519" s="115"/>
      <c r="BG2519" s="115"/>
      <c r="BH2519" s="115"/>
      <c r="BI2519" s="115"/>
      <c r="BJ2519" s="115"/>
      <c r="BK2519" s="115"/>
      <c r="BL2519" s="115"/>
      <c r="BM2519" s="115"/>
      <c r="BN2519" s="115"/>
      <c r="BO2519" s="115"/>
      <c r="BP2519" s="115"/>
      <c r="BQ2519" s="115"/>
      <c r="BR2519" s="115"/>
      <c r="BS2519" s="115"/>
      <c r="BT2519" s="115"/>
      <c r="BU2519" s="115"/>
      <c r="BV2519" s="115"/>
      <c r="BW2519" s="115"/>
      <c r="BX2519" s="115"/>
      <c r="BY2519" s="115"/>
      <c r="BZ2519" s="115"/>
      <c r="CA2519" s="115"/>
      <c r="CB2519" s="115"/>
      <c r="CC2519" s="115"/>
      <c r="CD2519" s="115"/>
      <c r="CE2519" s="115"/>
      <c r="CF2519" s="115"/>
      <c r="CG2519" s="115"/>
      <c r="CH2519" s="115"/>
      <c r="CI2519" s="115"/>
      <c r="CJ2519" s="115"/>
      <c r="CK2519" s="115"/>
      <c r="CL2519" s="115"/>
      <c r="CM2519" s="115"/>
      <c r="CN2519" s="115"/>
      <c r="CO2519" s="115"/>
      <c r="CP2519" s="115"/>
      <c r="CQ2519" s="115"/>
      <c r="CR2519" s="115"/>
      <c r="CS2519" s="115"/>
      <c r="CT2519" s="115"/>
      <c r="CU2519" s="115"/>
      <c r="CV2519" s="115"/>
      <c r="CW2519" s="115"/>
      <c r="CX2519" s="115"/>
      <c r="CY2519" s="115"/>
      <c r="CZ2519" s="115"/>
      <c r="DA2519" s="115"/>
      <c r="DB2519" s="115"/>
      <c r="DC2519" s="115"/>
      <c r="DD2519" s="115"/>
      <c r="DE2519" s="115"/>
      <c r="DF2519" s="115"/>
      <c r="DG2519" s="115"/>
    </row>
    <row r="2520" spans="55:111" hidden="1">
      <c r="BC2520" s="115"/>
      <c r="BD2520" s="115"/>
      <c r="BE2520" s="115"/>
      <c r="BF2520" s="115"/>
      <c r="BG2520" s="115"/>
      <c r="BH2520" s="115"/>
      <c r="BI2520" s="115"/>
      <c r="BJ2520" s="115"/>
      <c r="BK2520" s="115"/>
      <c r="BL2520" s="115"/>
      <c r="BM2520" s="115"/>
      <c r="BN2520" s="115"/>
      <c r="BO2520" s="115"/>
      <c r="BP2520" s="115"/>
      <c r="BQ2520" s="115"/>
      <c r="BR2520" s="115"/>
      <c r="BS2520" s="115"/>
      <c r="BT2520" s="115"/>
      <c r="BU2520" s="115"/>
      <c r="BV2520" s="115"/>
      <c r="BW2520" s="115"/>
      <c r="BX2520" s="115"/>
      <c r="BY2520" s="115"/>
      <c r="BZ2520" s="115"/>
      <c r="CA2520" s="115"/>
      <c r="CB2520" s="115"/>
      <c r="CC2520" s="115"/>
      <c r="CD2520" s="115"/>
      <c r="CE2520" s="115"/>
      <c r="CF2520" s="115"/>
      <c r="CG2520" s="115"/>
      <c r="CH2520" s="115"/>
      <c r="CI2520" s="115"/>
      <c r="CJ2520" s="115"/>
      <c r="CK2520" s="115"/>
      <c r="CL2520" s="115"/>
      <c r="CM2520" s="115"/>
      <c r="CN2520" s="115"/>
      <c r="CO2520" s="115"/>
      <c r="CP2520" s="115"/>
      <c r="CQ2520" s="115"/>
      <c r="CR2520" s="115"/>
      <c r="CS2520" s="115"/>
      <c r="CT2520" s="115"/>
      <c r="CU2520" s="115"/>
      <c r="CV2520" s="115"/>
      <c r="CW2520" s="115"/>
      <c r="CX2520" s="115"/>
      <c r="CY2520" s="115"/>
      <c r="CZ2520" s="115"/>
      <c r="DA2520" s="115"/>
      <c r="DB2520" s="115"/>
      <c r="DC2520" s="115"/>
      <c r="DD2520" s="115"/>
      <c r="DE2520" s="115"/>
      <c r="DF2520" s="115"/>
      <c r="DG2520" s="115"/>
    </row>
    <row r="2521" spans="55:111" hidden="1">
      <c r="BC2521" s="115"/>
      <c r="BD2521" s="115"/>
      <c r="BE2521" s="115"/>
      <c r="BF2521" s="115"/>
      <c r="BG2521" s="115"/>
      <c r="BH2521" s="115"/>
      <c r="BI2521" s="115"/>
      <c r="BJ2521" s="115"/>
      <c r="BK2521" s="115"/>
      <c r="BL2521" s="115"/>
      <c r="BM2521" s="115"/>
      <c r="BN2521" s="115"/>
      <c r="BO2521" s="115"/>
      <c r="BP2521" s="115"/>
      <c r="BQ2521" s="115"/>
      <c r="BR2521" s="115"/>
      <c r="BS2521" s="115"/>
      <c r="BT2521" s="115"/>
      <c r="BU2521" s="115"/>
      <c r="BV2521" s="115"/>
      <c r="BW2521" s="115"/>
      <c r="BX2521" s="115"/>
      <c r="BY2521" s="115"/>
      <c r="BZ2521" s="115"/>
      <c r="CA2521" s="115"/>
      <c r="CB2521" s="115"/>
      <c r="CC2521" s="115"/>
      <c r="CD2521" s="115"/>
      <c r="CE2521" s="115"/>
      <c r="CF2521" s="115"/>
      <c r="CG2521" s="115"/>
      <c r="CH2521" s="115"/>
      <c r="CI2521" s="115"/>
      <c r="CJ2521" s="115"/>
      <c r="CK2521" s="115"/>
      <c r="CL2521" s="115"/>
      <c r="CM2521" s="115"/>
      <c r="CN2521" s="115"/>
      <c r="CO2521" s="115"/>
      <c r="CP2521" s="115"/>
      <c r="CQ2521" s="115"/>
      <c r="CR2521" s="115"/>
      <c r="CS2521" s="115"/>
      <c r="CT2521" s="115"/>
      <c r="CU2521" s="115"/>
      <c r="CV2521" s="115"/>
      <c r="CW2521" s="115"/>
      <c r="CX2521" s="115"/>
      <c r="CY2521" s="115"/>
      <c r="CZ2521" s="115"/>
      <c r="DA2521" s="115"/>
      <c r="DB2521" s="115"/>
      <c r="DC2521" s="115"/>
      <c r="DD2521" s="115"/>
      <c r="DE2521" s="115"/>
      <c r="DF2521" s="115"/>
      <c r="DG2521" s="115"/>
    </row>
    <row r="2522" spans="55:111" hidden="1">
      <c r="BC2522" s="115"/>
      <c r="BD2522" s="115"/>
      <c r="BE2522" s="115"/>
      <c r="BF2522" s="115"/>
      <c r="BG2522" s="115"/>
      <c r="BH2522" s="115"/>
      <c r="BI2522" s="115"/>
      <c r="BJ2522" s="115"/>
      <c r="BK2522" s="115"/>
      <c r="BL2522" s="115"/>
      <c r="BM2522" s="115"/>
      <c r="BN2522" s="115"/>
      <c r="BO2522" s="115"/>
      <c r="BP2522" s="115"/>
      <c r="BQ2522" s="115"/>
      <c r="BR2522" s="115"/>
      <c r="BS2522" s="115"/>
      <c r="BT2522" s="115"/>
      <c r="BU2522" s="115"/>
      <c r="BV2522" s="115"/>
      <c r="BW2522" s="115"/>
      <c r="BX2522" s="115"/>
      <c r="BY2522" s="115"/>
      <c r="BZ2522" s="115"/>
      <c r="CA2522" s="115"/>
      <c r="CB2522" s="115"/>
      <c r="CC2522" s="115"/>
      <c r="CD2522" s="115"/>
      <c r="CE2522" s="115"/>
      <c r="CF2522" s="115"/>
      <c r="CG2522" s="115"/>
      <c r="CH2522" s="115"/>
      <c r="CI2522" s="115"/>
      <c r="CJ2522" s="115"/>
      <c r="CK2522" s="115"/>
      <c r="CL2522" s="115"/>
      <c r="CM2522" s="115"/>
      <c r="CN2522" s="115"/>
      <c r="CO2522" s="115"/>
      <c r="CP2522" s="115"/>
      <c r="CQ2522" s="115"/>
      <c r="CR2522" s="115"/>
      <c r="CS2522" s="115"/>
      <c r="CT2522" s="115"/>
      <c r="CU2522" s="115"/>
      <c r="CV2522" s="115"/>
      <c r="CW2522" s="115"/>
      <c r="CX2522" s="115"/>
      <c r="CY2522" s="115"/>
      <c r="CZ2522" s="115"/>
      <c r="DA2522" s="115"/>
      <c r="DB2522" s="115"/>
      <c r="DC2522" s="115"/>
      <c r="DD2522" s="115"/>
      <c r="DE2522" s="115"/>
      <c r="DF2522" s="115"/>
      <c r="DG2522" s="115"/>
    </row>
    <row r="2523" spans="55:111" hidden="1">
      <c r="BC2523" s="115"/>
      <c r="BD2523" s="115"/>
      <c r="BE2523" s="115"/>
      <c r="BF2523" s="115"/>
      <c r="BG2523" s="115"/>
      <c r="BH2523" s="115"/>
      <c r="BI2523" s="115"/>
      <c r="BJ2523" s="115"/>
      <c r="BK2523" s="115"/>
      <c r="BL2523" s="115"/>
      <c r="BM2523" s="115"/>
      <c r="BN2523" s="115"/>
      <c r="BO2523" s="115"/>
      <c r="BP2523" s="115"/>
      <c r="BQ2523" s="115"/>
      <c r="BR2523" s="115"/>
      <c r="BS2523" s="115"/>
      <c r="BT2523" s="115"/>
      <c r="BU2523" s="115"/>
      <c r="BV2523" s="115"/>
      <c r="BW2523" s="115"/>
      <c r="BX2523" s="115"/>
      <c r="BY2523" s="115"/>
      <c r="BZ2523" s="115"/>
      <c r="CA2523" s="115"/>
      <c r="CB2523" s="115"/>
      <c r="CC2523" s="115"/>
      <c r="CD2523" s="115"/>
      <c r="CE2523" s="115"/>
      <c r="CF2523" s="115"/>
      <c r="CG2523" s="115"/>
      <c r="CH2523" s="115"/>
      <c r="CI2523" s="115"/>
      <c r="CJ2523" s="115"/>
      <c r="CK2523" s="115"/>
      <c r="CL2523" s="115"/>
      <c r="CM2523" s="115"/>
      <c r="CN2523" s="115"/>
      <c r="CO2523" s="115"/>
      <c r="CP2523" s="115"/>
      <c r="CQ2523" s="115"/>
      <c r="CR2523" s="115"/>
      <c r="CS2523" s="115"/>
      <c r="CT2523" s="115"/>
      <c r="CU2523" s="115"/>
      <c r="CV2523" s="115"/>
      <c r="CW2523" s="115"/>
      <c r="CX2523" s="115"/>
      <c r="CY2523" s="115"/>
      <c r="CZ2523" s="115"/>
      <c r="DA2523" s="115"/>
      <c r="DB2523" s="115"/>
      <c r="DC2523" s="115"/>
      <c r="DD2523" s="115"/>
      <c r="DE2523" s="115"/>
      <c r="DF2523" s="115"/>
      <c r="DG2523" s="115"/>
    </row>
    <row r="2524" spans="55:111" hidden="1">
      <c r="BC2524" s="115"/>
      <c r="BD2524" s="115"/>
      <c r="BE2524" s="115"/>
      <c r="BF2524" s="115"/>
      <c r="BG2524" s="115"/>
      <c r="BH2524" s="115"/>
      <c r="BI2524" s="115"/>
      <c r="BJ2524" s="115"/>
      <c r="BK2524" s="115"/>
      <c r="BL2524" s="115"/>
      <c r="BM2524" s="115"/>
      <c r="BN2524" s="115"/>
      <c r="BO2524" s="115"/>
      <c r="BP2524" s="115"/>
      <c r="BQ2524" s="115"/>
      <c r="BR2524" s="115"/>
      <c r="BS2524" s="115"/>
      <c r="BT2524" s="115"/>
      <c r="BU2524" s="115"/>
      <c r="BV2524" s="115"/>
      <c r="BW2524" s="115"/>
      <c r="BX2524" s="115"/>
      <c r="BY2524" s="115"/>
      <c r="BZ2524" s="115"/>
      <c r="CA2524" s="115"/>
      <c r="CB2524" s="115"/>
      <c r="CC2524" s="115"/>
      <c r="CD2524" s="115"/>
      <c r="CE2524" s="115"/>
      <c r="CF2524" s="115"/>
      <c r="CG2524" s="115"/>
      <c r="CH2524" s="115"/>
      <c r="CI2524" s="115"/>
      <c r="CJ2524" s="115"/>
      <c r="CK2524" s="115"/>
      <c r="CL2524" s="115"/>
      <c r="CM2524" s="115"/>
      <c r="CN2524" s="115"/>
      <c r="CO2524" s="115"/>
      <c r="CP2524" s="115"/>
      <c r="CQ2524" s="115"/>
      <c r="CR2524" s="115"/>
      <c r="CS2524" s="115"/>
      <c r="CT2524" s="115"/>
      <c r="CU2524" s="115"/>
      <c r="CV2524" s="115"/>
      <c r="CW2524" s="115"/>
      <c r="CX2524" s="115"/>
      <c r="CY2524" s="115"/>
      <c r="CZ2524" s="115"/>
      <c r="DA2524" s="115"/>
      <c r="DB2524" s="115"/>
      <c r="DC2524" s="115"/>
      <c r="DD2524" s="115"/>
      <c r="DE2524" s="115"/>
      <c r="DF2524" s="115"/>
      <c r="DG2524" s="115"/>
    </row>
    <row r="2525" spans="55:111" hidden="1">
      <c r="BC2525" s="115"/>
      <c r="BD2525" s="115"/>
      <c r="BE2525" s="115"/>
      <c r="BF2525" s="115"/>
      <c r="BG2525" s="115"/>
      <c r="BH2525" s="115"/>
      <c r="BI2525" s="115"/>
      <c r="BJ2525" s="115"/>
      <c r="BK2525" s="115"/>
      <c r="BL2525" s="115"/>
      <c r="BM2525" s="115"/>
      <c r="BN2525" s="115"/>
      <c r="BO2525" s="115"/>
      <c r="BP2525" s="115"/>
      <c r="BQ2525" s="115"/>
      <c r="BR2525" s="115"/>
      <c r="BS2525" s="115"/>
      <c r="BT2525" s="115"/>
      <c r="BU2525" s="115"/>
      <c r="BV2525" s="115"/>
      <c r="BW2525" s="115"/>
      <c r="BX2525" s="115"/>
      <c r="BY2525" s="115"/>
      <c r="BZ2525" s="115"/>
      <c r="CA2525" s="115"/>
      <c r="CB2525" s="115"/>
      <c r="CC2525" s="115"/>
      <c r="CD2525" s="115"/>
      <c r="CE2525" s="115"/>
      <c r="CF2525" s="115"/>
      <c r="CG2525" s="115"/>
      <c r="CH2525" s="115"/>
      <c r="CI2525" s="115"/>
      <c r="CJ2525" s="115"/>
      <c r="CK2525" s="115"/>
      <c r="CL2525" s="115"/>
      <c r="CM2525" s="115"/>
      <c r="CN2525" s="115"/>
      <c r="CO2525" s="115"/>
      <c r="CP2525" s="115"/>
      <c r="CQ2525" s="115"/>
      <c r="CR2525" s="115"/>
      <c r="CS2525" s="115"/>
      <c r="CT2525" s="115"/>
      <c r="CU2525" s="115"/>
      <c r="CV2525" s="115"/>
      <c r="CW2525" s="115"/>
      <c r="CX2525" s="115"/>
      <c r="CY2525" s="115"/>
      <c r="CZ2525" s="115"/>
      <c r="DA2525" s="115"/>
      <c r="DB2525" s="115"/>
      <c r="DC2525" s="115"/>
      <c r="DD2525" s="115"/>
      <c r="DE2525" s="115"/>
      <c r="DF2525" s="115"/>
      <c r="DG2525" s="115"/>
    </row>
    <row r="2526" spans="55:111" hidden="1">
      <c r="BC2526" s="115"/>
      <c r="BD2526" s="115"/>
      <c r="BE2526" s="115"/>
      <c r="BF2526" s="115"/>
      <c r="BG2526" s="115"/>
      <c r="BH2526" s="115"/>
      <c r="BI2526" s="115"/>
      <c r="BJ2526" s="115"/>
      <c r="BK2526" s="115"/>
      <c r="BL2526" s="115"/>
      <c r="BM2526" s="115"/>
      <c r="BN2526" s="115"/>
      <c r="BO2526" s="115"/>
      <c r="BP2526" s="115"/>
      <c r="BQ2526" s="115"/>
      <c r="BR2526" s="115"/>
      <c r="BS2526" s="115"/>
      <c r="BT2526" s="115"/>
      <c r="BU2526" s="115"/>
      <c r="BV2526" s="115"/>
      <c r="BW2526" s="115"/>
      <c r="BX2526" s="115"/>
      <c r="BY2526" s="115"/>
      <c r="BZ2526" s="115"/>
      <c r="CA2526" s="115"/>
      <c r="CB2526" s="115"/>
      <c r="CC2526" s="115"/>
      <c r="CD2526" s="115"/>
      <c r="CE2526" s="115"/>
      <c r="CF2526" s="115"/>
      <c r="CG2526" s="115"/>
      <c r="CH2526" s="115"/>
      <c r="CI2526" s="115"/>
      <c r="CJ2526" s="115"/>
      <c r="CK2526" s="115"/>
      <c r="CL2526" s="115"/>
      <c r="CM2526" s="115"/>
      <c r="CN2526" s="115"/>
      <c r="CO2526" s="115"/>
      <c r="CP2526" s="115"/>
      <c r="CQ2526" s="115"/>
      <c r="CR2526" s="115"/>
      <c r="CS2526" s="115"/>
      <c r="CT2526" s="115"/>
      <c r="CU2526" s="115"/>
      <c r="CV2526" s="115"/>
      <c r="CW2526" s="115"/>
      <c r="CX2526" s="115"/>
      <c r="CY2526" s="115"/>
      <c r="CZ2526" s="115"/>
      <c r="DA2526" s="115"/>
      <c r="DB2526" s="115"/>
      <c r="DC2526" s="115"/>
      <c r="DD2526" s="115"/>
      <c r="DE2526" s="115"/>
      <c r="DF2526" s="115"/>
      <c r="DG2526" s="115"/>
    </row>
    <row r="2527" spans="55:111" hidden="1">
      <c r="BC2527" s="115"/>
      <c r="BD2527" s="115"/>
      <c r="BE2527" s="115"/>
      <c r="BF2527" s="115"/>
      <c r="BG2527" s="115"/>
      <c r="BH2527" s="115"/>
      <c r="BI2527" s="115"/>
      <c r="BJ2527" s="115"/>
      <c r="BK2527" s="115"/>
      <c r="BL2527" s="115"/>
      <c r="BM2527" s="115"/>
      <c r="BN2527" s="115"/>
      <c r="BO2527" s="115"/>
      <c r="BP2527" s="115"/>
      <c r="BQ2527" s="115"/>
      <c r="BR2527" s="115"/>
      <c r="BS2527" s="115"/>
      <c r="BT2527" s="115"/>
      <c r="BU2527" s="115"/>
      <c r="BV2527" s="115"/>
      <c r="BW2527" s="115"/>
      <c r="BX2527" s="115"/>
      <c r="BY2527" s="115"/>
      <c r="BZ2527" s="115"/>
      <c r="CA2527" s="115"/>
      <c r="CB2527" s="115"/>
      <c r="CC2527" s="115"/>
      <c r="CD2527" s="115"/>
      <c r="CE2527" s="115"/>
      <c r="CF2527" s="115"/>
      <c r="CG2527" s="115"/>
      <c r="CH2527" s="115"/>
      <c r="CI2527" s="115"/>
      <c r="CJ2527" s="115"/>
      <c r="CK2527" s="115"/>
      <c r="CL2527" s="115"/>
      <c r="CM2527" s="115"/>
      <c r="CN2527" s="115"/>
      <c r="CO2527" s="115"/>
      <c r="CP2527" s="115"/>
      <c r="CQ2527" s="115"/>
      <c r="CR2527" s="115"/>
      <c r="CS2527" s="115"/>
      <c r="CT2527" s="115"/>
      <c r="CU2527" s="115"/>
      <c r="CV2527" s="115"/>
      <c r="CW2527" s="115"/>
      <c r="CX2527" s="115"/>
      <c r="CY2527" s="115"/>
      <c r="CZ2527" s="115"/>
      <c r="DA2527" s="115"/>
      <c r="DB2527" s="115"/>
      <c r="DC2527" s="115"/>
      <c r="DD2527" s="115"/>
      <c r="DE2527" s="115"/>
      <c r="DF2527" s="115"/>
      <c r="DG2527" s="115"/>
    </row>
    <row r="2528" spans="55:111" hidden="1">
      <c r="BC2528" s="115"/>
      <c r="BD2528" s="115"/>
      <c r="BE2528" s="115"/>
      <c r="BF2528" s="115"/>
      <c r="BG2528" s="115"/>
      <c r="BH2528" s="115"/>
      <c r="BI2528" s="115"/>
      <c r="BJ2528" s="115"/>
      <c r="BK2528" s="115"/>
      <c r="BL2528" s="115"/>
      <c r="BM2528" s="115"/>
      <c r="BN2528" s="115"/>
      <c r="BO2528" s="115"/>
      <c r="BP2528" s="115"/>
      <c r="BQ2528" s="115"/>
      <c r="BR2528" s="115"/>
      <c r="BS2528" s="115"/>
      <c r="BT2528" s="115"/>
      <c r="BU2528" s="115"/>
      <c r="BV2528" s="115"/>
      <c r="BW2528" s="115"/>
      <c r="BX2528" s="115"/>
      <c r="BY2528" s="115"/>
      <c r="BZ2528" s="115"/>
      <c r="CA2528" s="115"/>
      <c r="CB2528" s="115"/>
      <c r="CC2528" s="115"/>
      <c r="CD2528" s="115"/>
      <c r="CE2528" s="115"/>
      <c r="CF2528" s="115"/>
      <c r="CG2528" s="115"/>
      <c r="CH2528" s="115"/>
      <c r="CI2528" s="115"/>
      <c r="CJ2528" s="115"/>
      <c r="CK2528" s="115"/>
      <c r="CL2528" s="115"/>
      <c r="CM2528" s="115"/>
      <c r="CN2528" s="115"/>
      <c r="CO2528" s="115"/>
      <c r="CP2528" s="115"/>
      <c r="CQ2528" s="115"/>
      <c r="CR2528" s="115"/>
      <c r="CS2528" s="115"/>
      <c r="CT2528" s="115"/>
      <c r="CU2528" s="115"/>
      <c r="CV2528" s="115"/>
      <c r="CW2528" s="115"/>
      <c r="CX2528" s="115"/>
      <c r="CY2528" s="115"/>
      <c r="CZ2528" s="115"/>
      <c r="DA2528" s="115"/>
      <c r="DB2528" s="115"/>
      <c r="DC2528" s="115"/>
      <c r="DD2528" s="115"/>
      <c r="DE2528" s="115"/>
      <c r="DF2528" s="115"/>
      <c r="DG2528" s="115"/>
    </row>
    <row r="2529" spans="55:111" hidden="1">
      <c r="BC2529" s="115"/>
      <c r="BD2529" s="115"/>
      <c r="BE2529" s="115"/>
      <c r="BF2529" s="115"/>
      <c r="BG2529" s="115"/>
      <c r="BH2529" s="115"/>
      <c r="BI2529" s="115"/>
      <c r="BJ2529" s="115"/>
      <c r="BK2529" s="115"/>
      <c r="BL2529" s="115"/>
      <c r="BM2529" s="115"/>
      <c r="BN2529" s="115"/>
      <c r="BO2529" s="115"/>
      <c r="BP2529" s="115"/>
      <c r="BQ2529" s="115"/>
      <c r="BR2529" s="115"/>
      <c r="BS2529" s="115"/>
      <c r="BT2529" s="115"/>
      <c r="BU2529" s="115"/>
      <c r="BV2529" s="115"/>
      <c r="BW2529" s="115"/>
      <c r="BX2529" s="115"/>
      <c r="BY2529" s="115"/>
      <c r="BZ2529" s="115"/>
      <c r="CA2529" s="115"/>
      <c r="CB2529" s="115"/>
      <c r="CC2529" s="115"/>
      <c r="CD2529" s="115"/>
      <c r="CE2529" s="115"/>
      <c r="CF2529" s="115"/>
      <c r="CG2529" s="115"/>
      <c r="CH2529" s="115"/>
      <c r="CI2529" s="115"/>
      <c r="CJ2529" s="115"/>
      <c r="CK2529" s="115"/>
      <c r="CL2529" s="115"/>
      <c r="CM2529" s="115"/>
      <c r="CN2529" s="115"/>
      <c r="CO2529" s="115"/>
      <c r="CP2529" s="115"/>
      <c r="CQ2529" s="115"/>
      <c r="CR2529" s="115"/>
      <c r="CS2529" s="115"/>
      <c r="CT2529" s="115"/>
      <c r="CU2529" s="115"/>
      <c r="CV2529" s="115"/>
      <c r="CW2529" s="115"/>
      <c r="CX2529" s="115"/>
      <c r="CY2529" s="115"/>
      <c r="CZ2529" s="115"/>
      <c r="DA2529" s="115"/>
      <c r="DB2529" s="115"/>
      <c r="DC2529" s="115"/>
      <c r="DD2529" s="115"/>
      <c r="DE2529" s="115"/>
      <c r="DF2529" s="115"/>
      <c r="DG2529" s="115"/>
    </row>
    <row r="2530" spans="55:111" hidden="1">
      <c r="BC2530" s="115"/>
      <c r="BD2530" s="115"/>
      <c r="BE2530" s="115"/>
      <c r="BF2530" s="115"/>
      <c r="BG2530" s="115"/>
      <c r="BH2530" s="115"/>
      <c r="BI2530" s="115"/>
      <c r="BJ2530" s="115"/>
      <c r="BK2530" s="115"/>
      <c r="BL2530" s="115"/>
      <c r="BM2530" s="115"/>
      <c r="BN2530" s="115"/>
      <c r="BO2530" s="115"/>
      <c r="BP2530" s="115"/>
      <c r="BQ2530" s="115"/>
      <c r="BR2530" s="115"/>
      <c r="BS2530" s="115"/>
      <c r="BT2530" s="115"/>
      <c r="BU2530" s="115"/>
      <c r="BV2530" s="115"/>
      <c r="BW2530" s="115"/>
      <c r="BX2530" s="115"/>
      <c r="BY2530" s="115"/>
      <c r="BZ2530" s="115"/>
      <c r="CA2530" s="115"/>
      <c r="CB2530" s="115"/>
      <c r="CC2530" s="115"/>
      <c r="CD2530" s="115"/>
      <c r="CE2530" s="115"/>
      <c r="CF2530" s="115"/>
      <c r="CG2530" s="115"/>
      <c r="CH2530" s="115"/>
      <c r="CI2530" s="115"/>
      <c r="CJ2530" s="115"/>
      <c r="CK2530" s="115"/>
      <c r="CL2530" s="115"/>
      <c r="CM2530" s="115"/>
      <c r="CN2530" s="115"/>
      <c r="CO2530" s="115"/>
      <c r="CP2530" s="115"/>
      <c r="CQ2530" s="115"/>
      <c r="CR2530" s="115"/>
      <c r="CS2530" s="115"/>
      <c r="CT2530" s="115"/>
      <c r="CU2530" s="115"/>
      <c r="CV2530" s="115"/>
      <c r="CW2530" s="115"/>
      <c r="CX2530" s="115"/>
      <c r="CY2530" s="115"/>
      <c r="CZ2530" s="115"/>
      <c r="DA2530" s="115"/>
      <c r="DB2530" s="115"/>
      <c r="DC2530" s="115"/>
      <c r="DD2530" s="115"/>
      <c r="DE2530" s="115"/>
      <c r="DF2530" s="115"/>
      <c r="DG2530" s="115"/>
    </row>
    <row r="2531" spans="55:111" hidden="1">
      <c r="BC2531" s="115"/>
      <c r="BD2531" s="115"/>
      <c r="BE2531" s="115"/>
      <c r="BF2531" s="115"/>
      <c r="BG2531" s="115"/>
      <c r="BH2531" s="115"/>
      <c r="BI2531" s="115"/>
      <c r="BJ2531" s="115"/>
      <c r="BK2531" s="115"/>
      <c r="BL2531" s="115"/>
      <c r="BM2531" s="115"/>
      <c r="BN2531" s="115"/>
      <c r="BO2531" s="115"/>
      <c r="BP2531" s="115"/>
      <c r="BQ2531" s="115"/>
      <c r="BR2531" s="115"/>
      <c r="BS2531" s="115"/>
      <c r="BT2531" s="115"/>
      <c r="BU2531" s="115"/>
      <c r="BV2531" s="115"/>
      <c r="BW2531" s="115"/>
      <c r="BX2531" s="115"/>
      <c r="BY2531" s="115"/>
      <c r="BZ2531" s="115"/>
      <c r="CA2531" s="115"/>
      <c r="CB2531" s="115"/>
      <c r="CC2531" s="115"/>
      <c r="CD2531" s="115"/>
      <c r="CE2531" s="115"/>
      <c r="CF2531" s="115"/>
      <c r="CG2531" s="115"/>
      <c r="CH2531" s="115"/>
      <c r="CI2531" s="115"/>
      <c r="CJ2531" s="115"/>
      <c r="CK2531" s="115"/>
      <c r="CL2531" s="115"/>
      <c r="CM2531" s="115"/>
      <c r="CN2531" s="115"/>
      <c r="CO2531" s="115"/>
      <c r="CP2531" s="115"/>
      <c r="CQ2531" s="115"/>
      <c r="CR2531" s="115"/>
      <c r="CS2531" s="115"/>
      <c r="CT2531" s="115"/>
      <c r="CU2531" s="115"/>
      <c r="CV2531" s="115"/>
      <c r="CW2531" s="115"/>
      <c r="CX2531" s="115"/>
      <c r="CY2531" s="115"/>
      <c r="CZ2531" s="115"/>
      <c r="DA2531" s="115"/>
      <c r="DB2531" s="115"/>
      <c r="DC2531" s="115"/>
      <c r="DD2531" s="115"/>
      <c r="DE2531" s="115"/>
      <c r="DF2531" s="115"/>
      <c r="DG2531" s="115"/>
    </row>
    <row r="2532" spans="55:111" hidden="1">
      <c r="BC2532" s="115"/>
      <c r="BD2532" s="115"/>
      <c r="BE2532" s="115"/>
      <c r="BF2532" s="115"/>
      <c r="BG2532" s="115"/>
      <c r="BH2532" s="115"/>
      <c r="BI2532" s="115"/>
      <c r="BJ2532" s="115"/>
      <c r="BK2532" s="115"/>
      <c r="BL2532" s="115"/>
      <c r="BM2532" s="115"/>
      <c r="BN2532" s="115"/>
      <c r="BO2532" s="115"/>
      <c r="BP2532" s="115"/>
      <c r="BQ2532" s="115"/>
      <c r="BR2532" s="115"/>
      <c r="BS2532" s="115"/>
      <c r="BT2532" s="115"/>
      <c r="BU2532" s="115"/>
      <c r="BV2532" s="115"/>
      <c r="BW2532" s="115"/>
      <c r="BX2532" s="115"/>
      <c r="BY2532" s="115"/>
      <c r="BZ2532" s="115"/>
      <c r="CA2532" s="115"/>
      <c r="CB2532" s="115"/>
      <c r="CC2532" s="115"/>
      <c r="CD2532" s="115"/>
      <c r="CE2532" s="115"/>
      <c r="CF2532" s="115"/>
      <c r="CG2532" s="115"/>
      <c r="CH2532" s="115"/>
      <c r="CI2532" s="115"/>
      <c r="CJ2532" s="115"/>
      <c r="CK2532" s="115"/>
      <c r="CL2532" s="115"/>
      <c r="CM2532" s="115"/>
      <c r="CN2532" s="115"/>
      <c r="CO2532" s="115"/>
      <c r="CP2532" s="115"/>
      <c r="CQ2532" s="115"/>
      <c r="CR2532" s="115"/>
      <c r="CS2532" s="115"/>
      <c r="CT2532" s="115"/>
      <c r="CU2532" s="115"/>
      <c r="CV2532" s="115"/>
      <c r="CW2532" s="115"/>
      <c r="CX2532" s="115"/>
      <c r="CY2532" s="115"/>
      <c r="CZ2532" s="115"/>
      <c r="DA2532" s="115"/>
      <c r="DB2532" s="115"/>
      <c r="DC2532" s="115"/>
      <c r="DD2532" s="115"/>
      <c r="DE2532" s="115"/>
      <c r="DF2532" s="115"/>
      <c r="DG2532" s="115"/>
    </row>
    <row r="2533" spans="55:111" hidden="1">
      <c r="BC2533" s="115"/>
      <c r="BD2533" s="115"/>
      <c r="BE2533" s="115"/>
      <c r="BF2533" s="115"/>
      <c r="BG2533" s="115"/>
      <c r="BH2533" s="115"/>
      <c r="BI2533" s="115"/>
      <c r="BJ2533" s="115"/>
      <c r="BK2533" s="115"/>
      <c r="BL2533" s="115"/>
      <c r="BM2533" s="115"/>
      <c r="BN2533" s="115"/>
      <c r="BO2533" s="115"/>
      <c r="BP2533" s="115"/>
      <c r="BQ2533" s="115"/>
      <c r="BR2533" s="115"/>
      <c r="BS2533" s="115"/>
      <c r="BT2533" s="115"/>
      <c r="BU2533" s="115"/>
      <c r="BV2533" s="115"/>
      <c r="BW2533" s="115"/>
      <c r="BX2533" s="115"/>
      <c r="BY2533" s="115"/>
      <c r="BZ2533" s="115"/>
      <c r="CA2533" s="115"/>
      <c r="CB2533" s="115"/>
      <c r="CC2533" s="115"/>
      <c r="CD2533" s="115"/>
      <c r="CE2533" s="115"/>
      <c r="CF2533" s="115"/>
      <c r="CG2533" s="115"/>
      <c r="CH2533" s="115"/>
      <c r="CI2533" s="115"/>
      <c r="CJ2533" s="115"/>
      <c r="CK2533" s="115"/>
      <c r="CL2533" s="115"/>
      <c r="CM2533" s="115"/>
      <c r="CN2533" s="115"/>
      <c r="CO2533" s="115"/>
      <c r="CP2533" s="115"/>
      <c r="CQ2533" s="115"/>
      <c r="CR2533" s="115"/>
      <c r="CS2533" s="115"/>
      <c r="CT2533" s="115"/>
      <c r="CU2533" s="115"/>
      <c r="CV2533" s="115"/>
      <c r="CW2533" s="115"/>
      <c r="CX2533" s="115"/>
      <c r="CY2533" s="115"/>
      <c r="CZ2533" s="115"/>
      <c r="DA2533" s="115"/>
      <c r="DB2533" s="115"/>
      <c r="DC2533" s="115"/>
      <c r="DD2533" s="115"/>
      <c r="DE2533" s="115"/>
      <c r="DF2533" s="115"/>
      <c r="DG2533" s="115"/>
    </row>
    <row r="2534" spans="55:111" hidden="1">
      <c r="BC2534" s="115"/>
      <c r="BD2534" s="115"/>
      <c r="BE2534" s="115"/>
      <c r="BF2534" s="115"/>
      <c r="BG2534" s="115"/>
      <c r="BH2534" s="115"/>
      <c r="BI2534" s="115"/>
      <c r="BJ2534" s="115"/>
      <c r="BK2534" s="115"/>
      <c r="BL2534" s="115"/>
      <c r="BM2534" s="115"/>
      <c r="BN2534" s="115"/>
      <c r="BO2534" s="115"/>
      <c r="BP2534" s="115"/>
      <c r="BQ2534" s="115"/>
      <c r="BR2534" s="115"/>
      <c r="BS2534" s="115"/>
      <c r="BT2534" s="115"/>
      <c r="BU2534" s="115"/>
      <c r="BV2534" s="115"/>
      <c r="BW2534" s="115"/>
      <c r="BX2534" s="115"/>
      <c r="BY2534" s="115"/>
      <c r="BZ2534" s="115"/>
      <c r="CA2534" s="115"/>
      <c r="CB2534" s="115"/>
      <c r="CC2534" s="115"/>
      <c r="CD2534" s="115"/>
      <c r="CE2534" s="115"/>
      <c r="CF2534" s="115"/>
      <c r="CG2534" s="115"/>
      <c r="CH2534" s="115"/>
      <c r="CI2534" s="115"/>
      <c r="CJ2534" s="115"/>
      <c r="CK2534" s="115"/>
      <c r="CL2534" s="115"/>
      <c r="CM2534" s="115"/>
      <c r="CN2534" s="115"/>
      <c r="CO2534" s="115"/>
      <c r="CP2534" s="115"/>
      <c r="CQ2534" s="115"/>
      <c r="CR2534" s="115"/>
      <c r="CS2534" s="115"/>
      <c r="CT2534" s="115"/>
      <c r="CU2534" s="115"/>
      <c r="CV2534" s="115"/>
      <c r="CW2534" s="115"/>
      <c r="CX2534" s="115"/>
      <c r="CY2534" s="115"/>
      <c r="CZ2534" s="115"/>
      <c r="DA2534" s="115"/>
      <c r="DB2534" s="115"/>
      <c r="DC2534" s="115"/>
      <c r="DD2534" s="115"/>
      <c r="DE2534" s="115"/>
      <c r="DF2534" s="115"/>
      <c r="DG2534" s="115"/>
    </row>
    <row r="2535" spans="55:111" hidden="1">
      <c r="BC2535" s="115"/>
      <c r="BD2535" s="115"/>
      <c r="BE2535" s="115"/>
      <c r="BF2535" s="115"/>
      <c r="BG2535" s="115"/>
      <c r="BH2535" s="115"/>
      <c r="BI2535" s="115"/>
      <c r="BJ2535" s="115"/>
      <c r="BK2535" s="115"/>
      <c r="BL2535" s="115"/>
      <c r="BM2535" s="115"/>
      <c r="BN2535" s="115"/>
      <c r="BO2535" s="115"/>
      <c r="BP2535" s="115"/>
      <c r="BQ2535" s="115"/>
      <c r="BR2535" s="115"/>
      <c r="BS2535" s="115"/>
      <c r="BT2535" s="115"/>
      <c r="BU2535" s="115"/>
      <c r="BV2535" s="115"/>
      <c r="BW2535" s="115"/>
      <c r="BX2535" s="115"/>
      <c r="BY2535" s="115"/>
      <c r="BZ2535" s="115"/>
      <c r="CA2535" s="115"/>
      <c r="CB2535" s="115"/>
      <c r="CC2535" s="115"/>
      <c r="CD2535" s="115"/>
      <c r="CE2535" s="115"/>
      <c r="CF2535" s="115"/>
      <c r="CG2535" s="115"/>
      <c r="CH2535" s="115"/>
      <c r="CI2535" s="115"/>
      <c r="CJ2535" s="115"/>
      <c r="CK2535" s="115"/>
      <c r="CL2535" s="115"/>
      <c r="CM2535" s="115"/>
      <c r="CN2535" s="115"/>
      <c r="CO2535" s="115"/>
      <c r="CP2535" s="115"/>
      <c r="CQ2535" s="115"/>
      <c r="CR2535" s="115"/>
      <c r="CS2535" s="115"/>
      <c r="CT2535" s="115"/>
      <c r="CU2535" s="115"/>
      <c r="CV2535" s="115"/>
      <c r="CW2535" s="115"/>
      <c r="CX2535" s="115"/>
      <c r="CY2535" s="115"/>
      <c r="CZ2535" s="115"/>
      <c r="DA2535" s="115"/>
      <c r="DB2535" s="115"/>
      <c r="DC2535" s="115"/>
      <c r="DD2535" s="115"/>
      <c r="DE2535" s="115"/>
      <c r="DF2535" s="115"/>
      <c r="DG2535" s="115"/>
    </row>
    <row r="2536" spans="55:111" hidden="1">
      <c r="BC2536" s="115"/>
      <c r="BD2536" s="115"/>
      <c r="BE2536" s="115"/>
      <c r="BF2536" s="115"/>
      <c r="BG2536" s="115"/>
      <c r="BH2536" s="115"/>
      <c r="BI2536" s="115"/>
      <c r="BJ2536" s="115"/>
      <c r="BK2536" s="115"/>
      <c r="BL2536" s="115"/>
      <c r="BM2536" s="115"/>
      <c r="BN2536" s="115"/>
      <c r="BO2536" s="115"/>
      <c r="BP2536" s="115"/>
      <c r="BQ2536" s="115"/>
      <c r="BR2536" s="115"/>
      <c r="BS2536" s="115"/>
      <c r="BT2536" s="115"/>
      <c r="BU2536" s="115"/>
      <c r="BV2536" s="115"/>
      <c r="BW2536" s="115"/>
      <c r="BX2536" s="115"/>
      <c r="BY2536" s="115"/>
      <c r="BZ2536" s="115"/>
      <c r="CA2536" s="115"/>
      <c r="CB2536" s="115"/>
      <c r="CC2536" s="115"/>
      <c r="CD2536" s="115"/>
      <c r="CE2536" s="115"/>
      <c r="CF2536" s="115"/>
      <c r="CG2536" s="115"/>
      <c r="CH2536" s="115"/>
      <c r="CI2536" s="115"/>
      <c r="CJ2536" s="115"/>
      <c r="CK2536" s="115"/>
      <c r="CL2536" s="115"/>
      <c r="CM2536" s="115"/>
      <c r="CN2536" s="115"/>
      <c r="CO2536" s="115"/>
      <c r="CP2536" s="115"/>
      <c r="CQ2536" s="115"/>
      <c r="CR2536" s="115"/>
      <c r="CS2536" s="115"/>
      <c r="CT2536" s="115"/>
      <c r="CU2536" s="115"/>
      <c r="CV2536" s="115"/>
      <c r="CW2536" s="115"/>
      <c r="CX2536" s="115"/>
      <c r="CY2536" s="115"/>
      <c r="CZ2536" s="115"/>
      <c r="DA2536" s="115"/>
      <c r="DB2536" s="115"/>
      <c r="DC2536" s="115"/>
      <c r="DD2536" s="115"/>
      <c r="DE2536" s="115"/>
      <c r="DF2536" s="115"/>
      <c r="DG2536" s="115"/>
    </row>
    <row r="2537" spans="55:111" hidden="1">
      <c r="BC2537" s="115"/>
      <c r="BD2537" s="115"/>
      <c r="BE2537" s="115"/>
      <c r="BF2537" s="115"/>
      <c r="BG2537" s="115"/>
      <c r="BH2537" s="115"/>
      <c r="BI2537" s="115"/>
      <c r="BJ2537" s="115"/>
      <c r="BK2537" s="115"/>
      <c r="BL2537" s="115"/>
      <c r="BM2537" s="115"/>
      <c r="BN2537" s="115"/>
      <c r="BO2537" s="115"/>
      <c r="BP2537" s="115"/>
      <c r="BQ2537" s="115"/>
      <c r="BR2537" s="115"/>
      <c r="BS2537" s="115"/>
      <c r="BT2537" s="115"/>
      <c r="BU2537" s="115"/>
      <c r="BV2537" s="115"/>
      <c r="BW2537" s="115"/>
      <c r="BX2537" s="115"/>
      <c r="BY2537" s="115"/>
      <c r="BZ2537" s="115"/>
      <c r="CA2537" s="115"/>
      <c r="CB2537" s="115"/>
      <c r="CC2537" s="115"/>
      <c r="CD2537" s="115"/>
      <c r="CE2537" s="115"/>
      <c r="CF2537" s="115"/>
      <c r="CG2537" s="115"/>
      <c r="CH2537" s="115"/>
      <c r="CI2537" s="115"/>
      <c r="CJ2537" s="115"/>
      <c r="CK2537" s="115"/>
      <c r="CL2537" s="115"/>
      <c r="CM2537" s="115"/>
      <c r="CN2537" s="115"/>
      <c r="CO2537" s="115"/>
      <c r="CP2537" s="115"/>
      <c r="CQ2537" s="115"/>
      <c r="CR2537" s="115"/>
      <c r="CS2537" s="115"/>
      <c r="CT2537" s="115"/>
      <c r="CU2537" s="115"/>
      <c r="CV2537" s="115"/>
      <c r="CW2537" s="115"/>
      <c r="CX2537" s="115"/>
      <c r="CY2537" s="115"/>
      <c r="CZ2537" s="115"/>
      <c r="DA2537" s="115"/>
      <c r="DB2537" s="115"/>
      <c r="DC2537" s="115"/>
      <c r="DD2537" s="115"/>
      <c r="DE2537" s="115"/>
      <c r="DF2537" s="115"/>
      <c r="DG2537" s="115"/>
    </row>
    <row r="2538" spans="55:111" hidden="1">
      <c r="BC2538" s="115"/>
      <c r="BD2538" s="115"/>
      <c r="BE2538" s="115"/>
      <c r="BF2538" s="115"/>
      <c r="BG2538" s="115"/>
      <c r="BH2538" s="115"/>
      <c r="BI2538" s="115"/>
      <c r="BJ2538" s="115"/>
      <c r="BK2538" s="115"/>
      <c r="BL2538" s="115"/>
      <c r="BM2538" s="115"/>
      <c r="BN2538" s="115"/>
      <c r="BO2538" s="115"/>
      <c r="BP2538" s="115"/>
      <c r="BQ2538" s="115"/>
      <c r="BR2538" s="115"/>
      <c r="BS2538" s="115"/>
      <c r="BT2538" s="115"/>
      <c r="BU2538" s="115"/>
      <c r="BV2538" s="115"/>
      <c r="BW2538" s="115"/>
      <c r="BX2538" s="115"/>
      <c r="BY2538" s="115"/>
      <c r="BZ2538" s="115"/>
      <c r="CA2538" s="115"/>
      <c r="CB2538" s="115"/>
      <c r="CC2538" s="115"/>
      <c r="CD2538" s="115"/>
      <c r="CE2538" s="115"/>
      <c r="CF2538" s="115"/>
      <c r="CG2538" s="115"/>
      <c r="CH2538" s="115"/>
      <c r="CI2538" s="115"/>
      <c r="CJ2538" s="115"/>
      <c r="CK2538" s="115"/>
      <c r="CL2538" s="115"/>
      <c r="CM2538" s="115"/>
      <c r="CN2538" s="115"/>
      <c r="CO2538" s="115"/>
      <c r="CP2538" s="115"/>
      <c r="CQ2538" s="115"/>
      <c r="CR2538" s="115"/>
      <c r="CS2538" s="115"/>
      <c r="CT2538" s="115"/>
      <c r="CU2538" s="115"/>
      <c r="CV2538" s="115"/>
      <c r="CW2538" s="115"/>
      <c r="CX2538" s="115"/>
      <c r="CY2538" s="115"/>
      <c r="CZ2538" s="115"/>
      <c r="DA2538" s="115"/>
      <c r="DB2538" s="115"/>
      <c r="DC2538" s="115"/>
      <c r="DD2538" s="115"/>
      <c r="DE2538" s="115"/>
      <c r="DF2538" s="115"/>
      <c r="DG2538" s="115"/>
    </row>
    <row r="2539" spans="55:111" hidden="1">
      <c r="BC2539" s="115"/>
      <c r="BD2539" s="115"/>
      <c r="BE2539" s="115"/>
      <c r="BF2539" s="115"/>
      <c r="BG2539" s="115"/>
      <c r="BH2539" s="115"/>
      <c r="BI2539" s="115"/>
      <c r="BJ2539" s="115"/>
      <c r="BK2539" s="115"/>
      <c r="BL2539" s="115"/>
      <c r="BM2539" s="115"/>
      <c r="BN2539" s="115"/>
      <c r="BO2539" s="115"/>
      <c r="BP2539" s="115"/>
      <c r="BQ2539" s="115"/>
      <c r="BR2539" s="115"/>
      <c r="BS2539" s="115"/>
      <c r="BT2539" s="115"/>
      <c r="BU2539" s="115"/>
      <c r="BV2539" s="115"/>
      <c r="BW2539" s="115"/>
      <c r="BX2539" s="115"/>
      <c r="BY2539" s="115"/>
      <c r="BZ2539" s="115"/>
      <c r="CA2539" s="115"/>
      <c r="CB2539" s="115"/>
      <c r="CC2539" s="115"/>
      <c r="CD2539" s="115"/>
      <c r="CE2539" s="115"/>
      <c r="CF2539" s="115"/>
      <c r="CG2539" s="115"/>
      <c r="CH2539" s="115"/>
      <c r="CI2539" s="115"/>
      <c r="CJ2539" s="115"/>
      <c r="CK2539" s="115"/>
      <c r="CL2539" s="115"/>
      <c r="CM2539" s="115"/>
      <c r="CN2539" s="115"/>
      <c r="CO2539" s="115"/>
      <c r="CP2539" s="115"/>
      <c r="CQ2539" s="115"/>
      <c r="CR2539" s="115"/>
      <c r="CS2539" s="115"/>
      <c r="CT2539" s="115"/>
      <c r="CU2539" s="115"/>
      <c r="CV2539" s="115"/>
      <c r="CW2539" s="115"/>
      <c r="CX2539" s="115"/>
      <c r="CY2539" s="115"/>
      <c r="CZ2539" s="115"/>
      <c r="DA2539" s="115"/>
      <c r="DB2539" s="115"/>
      <c r="DC2539" s="115"/>
      <c r="DD2539" s="115"/>
      <c r="DE2539" s="115"/>
      <c r="DF2539" s="115"/>
      <c r="DG2539" s="115"/>
    </row>
    <row r="2540" spans="55:111" hidden="1">
      <c r="BC2540" s="115"/>
      <c r="BD2540" s="115"/>
      <c r="BE2540" s="115"/>
      <c r="BF2540" s="115"/>
      <c r="BG2540" s="115"/>
      <c r="BH2540" s="115"/>
      <c r="BI2540" s="115"/>
      <c r="BJ2540" s="115"/>
      <c r="BK2540" s="115"/>
      <c r="BL2540" s="115"/>
      <c r="BM2540" s="115"/>
      <c r="BN2540" s="115"/>
      <c r="BO2540" s="115"/>
      <c r="BP2540" s="115"/>
      <c r="BQ2540" s="115"/>
      <c r="BR2540" s="115"/>
      <c r="BS2540" s="115"/>
      <c r="BT2540" s="115"/>
      <c r="BU2540" s="115"/>
      <c r="BV2540" s="115"/>
      <c r="BW2540" s="115"/>
      <c r="BX2540" s="115"/>
      <c r="BY2540" s="115"/>
      <c r="BZ2540" s="115"/>
      <c r="CA2540" s="115"/>
      <c r="CB2540" s="115"/>
      <c r="CC2540" s="115"/>
      <c r="CD2540" s="115"/>
      <c r="CE2540" s="115"/>
      <c r="CF2540" s="115"/>
      <c r="CG2540" s="115"/>
      <c r="CH2540" s="115"/>
      <c r="CI2540" s="115"/>
      <c r="CJ2540" s="115"/>
      <c r="CK2540" s="115"/>
      <c r="CL2540" s="115"/>
      <c r="CM2540" s="115"/>
      <c r="CN2540" s="115"/>
      <c r="CO2540" s="115"/>
      <c r="CP2540" s="115"/>
      <c r="CQ2540" s="115"/>
      <c r="CR2540" s="115"/>
      <c r="CS2540" s="115"/>
      <c r="CT2540" s="115"/>
      <c r="CU2540" s="115"/>
      <c r="CV2540" s="115"/>
      <c r="CW2540" s="115"/>
      <c r="CX2540" s="115"/>
      <c r="CY2540" s="115"/>
      <c r="CZ2540" s="115"/>
      <c r="DA2540" s="115"/>
      <c r="DB2540" s="115"/>
      <c r="DC2540" s="115"/>
      <c r="DD2540" s="115"/>
      <c r="DE2540" s="115"/>
      <c r="DF2540" s="115"/>
      <c r="DG2540" s="115"/>
    </row>
    <row r="2541" spans="55:111" hidden="1">
      <c r="BC2541" s="115"/>
      <c r="BD2541" s="115"/>
      <c r="BE2541" s="115"/>
      <c r="BF2541" s="115"/>
      <c r="BG2541" s="115"/>
      <c r="BH2541" s="115"/>
      <c r="BI2541" s="115"/>
      <c r="BJ2541" s="115"/>
      <c r="BK2541" s="115"/>
      <c r="BL2541" s="115"/>
      <c r="BM2541" s="115"/>
      <c r="BN2541" s="115"/>
      <c r="BO2541" s="115"/>
      <c r="BP2541" s="115"/>
      <c r="BQ2541" s="115"/>
      <c r="BR2541" s="115"/>
      <c r="BS2541" s="115"/>
      <c r="BT2541" s="115"/>
      <c r="BU2541" s="115"/>
      <c r="BV2541" s="115"/>
      <c r="BW2541" s="115"/>
      <c r="BX2541" s="115"/>
      <c r="BY2541" s="115"/>
      <c r="BZ2541" s="115"/>
      <c r="CA2541" s="115"/>
      <c r="CB2541" s="115"/>
      <c r="CC2541" s="115"/>
      <c r="CD2541" s="115"/>
      <c r="CE2541" s="115"/>
      <c r="CF2541" s="115"/>
      <c r="CG2541" s="115"/>
      <c r="CH2541" s="115"/>
      <c r="CI2541" s="115"/>
      <c r="CJ2541" s="115"/>
      <c r="CK2541" s="115"/>
      <c r="CL2541" s="115"/>
      <c r="CM2541" s="115"/>
      <c r="CN2541" s="115"/>
      <c r="CO2541" s="115"/>
      <c r="CP2541" s="115"/>
      <c r="CQ2541" s="115"/>
      <c r="CR2541" s="115"/>
      <c r="CS2541" s="115"/>
      <c r="CT2541" s="115"/>
      <c r="CU2541" s="115"/>
      <c r="CV2541" s="115"/>
      <c r="CW2541" s="115"/>
      <c r="CX2541" s="115"/>
      <c r="CY2541" s="115"/>
      <c r="CZ2541" s="115"/>
      <c r="DA2541" s="115"/>
      <c r="DB2541" s="115"/>
      <c r="DC2541" s="115"/>
      <c r="DD2541" s="115"/>
      <c r="DE2541" s="115"/>
      <c r="DF2541" s="115"/>
      <c r="DG2541" s="115"/>
    </row>
    <row r="2542" spans="55:111" hidden="1">
      <c r="BC2542" s="115"/>
      <c r="BD2542" s="115"/>
      <c r="BE2542" s="115"/>
      <c r="BF2542" s="115"/>
      <c r="BG2542" s="115"/>
      <c r="BH2542" s="115"/>
      <c r="BI2542" s="115"/>
      <c r="BJ2542" s="115"/>
      <c r="BK2542" s="115"/>
      <c r="BL2542" s="115"/>
      <c r="BM2542" s="115"/>
      <c r="BN2542" s="115"/>
      <c r="BO2542" s="115"/>
      <c r="BP2542" s="115"/>
      <c r="BQ2542" s="115"/>
      <c r="BR2542" s="115"/>
      <c r="BS2542" s="115"/>
      <c r="BT2542" s="115"/>
      <c r="BU2542" s="115"/>
      <c r="BV2542" s="115"/>
      <c r="BW2542" s="115"/>
      <c r="BX2542" s="115"/>
      <c r="BY2542" s="115"/>
      <c r="BZ2542" s="115"/>
      <c r="CA2542" s="115"/>
      <c r="CB2542" s="115"/>
      <c r="CC2542" s="115"/>
      <c r="CD2542" s="115"/>
      <c r="CE2542" s="115"/>
      <c r="CF2542" s="115"/>
      <c r="CG2542" s="115"/>
      <c r="CH2542" s="115"/>
      <c r="CI2542" s="115"/>
      <c r="CJ2542" s="115"/>
      <c r="CK2542" s="115"/>
      <c r="CL2542" s="115"/>
      <c r="CM2542" s="115"/>
      <c r="CN2542" s="115"/>
      <c r="CO2542" s="115"/>
      <c r="CP2542" s="115"/>
      <c r="CQ2542" s="115"/>
      <c r="CR2542" s="115"/>
      <c r="CS2542" s="115"/>
      <c r="CT2542" s="115"/>
      <c r="CU2542" s="115"/>
      <c r="CV2542" s="115"/>
      <c r="CW2542" s="115"/>
      <c r="CX2542" s="115"/>
      <c r="CY2542" s="115"/>
      <c r="CZ2542" s="115"/>
      <c r="DA2542" s="115"/>
      <c r="DB2542" s="115"/>
      <c r="DC2542" s="115"/>
      <c r="DD2542" s="115"/>
      <c r="DE2542" s="115"/>
      <c r="DF2542" s="115"/>
      <c r="DG2542" s="115"/>
    </row>
    <row r="2543" spans="55:111" hidden="1">
      <c r="BC2543" s="115"/>
      <c r="BD2543" s="115"/>
      <c r="BE2543" s="115"/>
      <c r="BF2543" s="115"/>
      <c r="BG2543" s="115"/>
      <c r="BH2543" s="115"/>
      <c r="BI2543" s="115"/>
      <c r="BJ2543" s="115"/>
      <c r="BK2543" s="115"/>
      <c r="BL2543" s="115"/>
      <c r="BM2543" s="115"/>
      <c r="BN2543" s="115"/>
      <c r="BO2543" s="115"/>
      <c r="BP2543" s="115"/>
      <c r="BQ2543" s="115"/>
      <c r="BR2543" s="115"/>
      <c r="BS2543" s="115"/>
      <c r="BT2543" s="115"/>
      <c r="BU2543" s="115"/>
      <c r="BV2543" s="115"/>
      <c r="BW2543" s="115"/>
      <c r="BX2543" s="115"/>
      <c r="BY2543" s="115"/>
      <c r="BZ2543" s="115"/>
      <c r="CA2543" s="115"/>
      <c r="CB2543" s="115"/>
      <c r="CC2543" s="115"/>
      <c r="CD2543" s="115"/>
      <c r="CE2543" s="115"/>
      <c r="CF2543" s="115"/>
      <c r="CG2543" s="115"/>
      <c r="CH2543" s="115"/>
      <c r="CI2543" s="115"/>
      <c r="CJ2543" s="115"/>
      <c r="CK2543" s="115"/>
      <c r="CL2543" s="115"/>
      <c r="CM2543" s="115"/>
      <c r="CN2543" s="115"/>
      <c r="CO2543" s="115"/>
      <c r="CP2543" s="115"/>
      <c r="CQ2543" s="115"/>
      <c r="CR2543" s="115"/>
      <c r="CS2543" s="115"/>
      <c r="CT2543" s="115"/>
      <c r="CU2543" s="115"/>
      <c r="CV2543" s="115"/>
      <c r="CW2543" s="115"/>
      <c r="CX2543" s="115"/>
      <c r="CY2543" s="115"/>
      <c r="CZ2543" s="115"/>
      <c r="DA2543" s="115"/>
      <c r="DB2543" s="115"/>
      <c r="DC2543" s="115"/>
      <c r="DD2543" s="115"/>
      <c r="DE2543" s="115"/>
      <c r="DF2543" s="115"/>
      <c r="DG2543" s="115"/>
    </row>
    <row r="2544" spans="55:111" hidden="1">
      <c r="BC2544" s="115"/>
      <c r="BD2544" s="115"/>
      <c r="BE2544" s="115"/>
      <c r="BF2544" s="115"/>
      <c r="BG2544" s="115"/>
      <c r="BH2544" s="115"/>
      <c r="BI2544" s="115"/>
      <c r="BJ2544" s="115"/>
      <c r="BK2544" s="115"/>
      <c r="BL2544" s="115"/>
      <c r="BM2544" s="115"/>
      <c r="BN2544" s="115"/>
      <c r="BO2544" s="115"/>
      <c r="BP2544" s="115"/>
      <c r="BQ2544" s="115"/>
      <c r="BR2544" s="115"/>
      <c r="BS2544" s="115"/>
      <c r="BT2544" s="115"/>
      <c r="BU2544" s="115"/>
      <c r="BV2544" s="115"/>
      <c r="BW2544" s="115"/>
      <c r="BX2544" s="115"/>
      <c r="BY2544" s="115"/>
      <c r="BZ2544" s="115"/>
      <c r="CA2544" s="115"/>
      <c r="CB2544" s="115"/>
      <c r="CC2544" s="115"/>
      <c r="CD2544" s="115"/>
      <c r="CE2544" s="115"/>
      <c r="CF2544" s="115"/>
      <c r="CG2544" s="115"/>
      <c r="CH2544" s="115"/>
      <c r="CI2544" s="115"/>
      <c r="CJ2544" s="115"/>
      <c r="CK2544" s="115"/>
      <c r="CL2544" s="115"/>
      <c r="CM2544" s="115"/>
      <c r="CN2544" s="115"/>
      <c r="CO2544" s="115"/>
      <c r="CP2544" s="115"/>
      <c r="CQ2544" s="115"/>
      <c r="CR2544" s="115"/>
      <c r="CS2544" s="115"/>
      <c r="CT2544" s="115"/>
      <c r="CU2544" s="115"/>
      <c r="CV2544" s="115"/>
      <c r="CW2544" s="115"/>
      <c r="CX2544" s="115"/>
      <c r="CY2544" s="115"/>
      <c r="CZ2544" s="115"/>
      <c r="DA2544" s="115"/>
      <c r="DB2544" s="115"/>
      <c r="DC2544" s="115"/>
      <c r="DD2544" s="115"/>
      <c r="DE2544" s="115"/>
      <c r="DF2544" s="115"/>
      <c r="DG2544" s="115"/>
    </row>
    <row r="2545" spans="55:111" hidden="1">
      <c r="BC2545" s="115"/>
      <c r="BD2545" s="115"/>
      <c r="BE2545" s="115"/>
      <c r="BF2545" s="115"/>
      <c r="BG2545" s="115"/>
      <c r="BH2545" s="115"/>
      <c r="BI2545" s="115"/>
      <c r="BJ2545" s="115"/>
      <c r="BK2545" s="115"/>
      <c r="BL2545" s="115"/>
      <c r="BM2545" s="115"/>
      <c r="BN2545" s="115"/>
      <c r="BO2545" s="115"/>
      <c r="BP2545" s="115"/>
      <c r="BQ2545" s="115"/>
      <c r="BR2545" s="115"/>
      <c r="BS2545" s="115"/>
      <c r="BT2545" s="115"/>
      <c r="BU2545" s="115"/>
      <c r="BV2545" s="115"/>
      <c r="BW2545" s="115"/>
      <c r="BX2545" s="115"/>
      <c r="BY2545" s="115"/>
      <c r="BZ2545" s="115"/>
      <c r="CA2545" s="115"/>
      <c r="CB2545" s="115"/>
      <c r="CC2545" s="115"/>
      <c r="CD2545" s="115"/>
      <c r="CE2545" s="115"/>
      <c r="CF2545" s="115"/>
      <c r="CG2545" s="115"/>
      <c r="CH2545" s="115"/>
      <c r="CI2545" s="115"/>
      <c r="CJ2545" s="115"/>
      <c r="CK2545" s="115"/>
      <c r="CL2545" s="115"/>
      <c r="CM2545" s="115"/>
      <c r="CN2545" s="115"/>
      <c r="CO2545" s="115"/>
      <c r="CP2545" s="115"/>
      <c r="CQ2545" s="115"/>
      <c r="CR2545" s="115"/>
      <c r="CS2545" s="115"/>
      <c r="CT2545" s="115"/>
      <c r="CU2545" s="115"/>
      <c r="CV2545" s="115"/>
      <c r="CW2545" s="115"/>
      <c r="CX2545" s="115"/>
      <c r="CY2545" s="115"/>
      <c r="CZ2545" s="115"/>
      <c r="DA2545" s="115"/>
      <c r="DB2545" s="115"/>
      <c r="DC2545" s="115"/>
      <c r="DD2545" s="115"/>
      <c r="DE2545" s="115"/>
      <c r="DF2545" s="115"/>
      <c r="DG2545" s="115"/>
    </row>
    <row r="2546" spans="55:111" hidden="1">
      <c r="BC2546" s="115"/>
      <c r="BD2546" s="115"/>
      <c r="BE2546" s="115"/>
      <c r="BF2546" s="115"/>
      <c r="BG2546" s="115"/>
      <c r="BH2546" s="115"/>
      <c r="BI2546" s="115"/>
      <c r="BJ2546" s="115"/>
      <c r="BK2546" s="115"/>
      <c r="BL2546" s="115"/>
      <c r="BM2546" s="115"/>
      <c r="BN2546" s="115"/>
      <c r="BO2546" s="115"/>
      <c r="BP2546" s="115"/>
      <c r="BQ2546" s="115"/>
      <c r="BR2546" s="115"/>
      <c r="BS2546" s="115"/>
      <c r="BT2546" s="115"/>
      <c r="BU2546" s="115"/>
      <c r="BV2546" s="115"/>
      <c r="BW2546" s="115"/>
      <c r="BX2546" s="115"/>
      <c r="BY2546" s="115"/>
      <c r="BZ2546" s="115"/>
      <c r="CA2546" s="115"/>
      <c r="CB2546" s="115"/>
      <c r="CC2546" s="115"/>
      <c r="CD2546" s="115"/>
      <c r="CE2546" s="115"/>
      <c r="CF2546" s="115"/>
      <c r="CG2546" s="115"/>
      <c r="CH2546" s="115"/>
      <c r="CI2546" s="115"/>
      <c r="CJ2546" s="115"/>
      <c r="CK2546" s="115"/>
      <c r="CL2546" s="115"/>
      <c r="CM2546" s="115"/>
      <c r="CN2546" s="115"/>
      <c r="CO2546" s="115"/>
      <c r="CP2546" s="115"/>
      <c r="CQ2546" s="115"/>
      <c r="CR2546" s="115"/>
      <c r="CS2546" s="115"/>
      <c r="CT2546" s="115"/>
      <c r="CU2546" s="115"/>
      <c r="CV2546" s="115"/>
      <c r="CW2546" s="115"/>
      <c r="CX2546" s="115"/>
      <c r="CY2546" s="115"/>
      <c r="CZ2546" s="115"/>
      <c r="DA2546" s="115"/>
      <c r="DB2546" s="115"/>
      <c r="DC2546" s="115"/>
      <c r="DD2546" s="115"/>
      <c r="DE2546" s="115"/>
      <c r="DF2546" s="115"/>
      <c r="DG2546" s="115"/>
    </row>
    <row r="2547" spans="55:111" hidden="1">
      <c r="BC2547" s="115"/>
      <c r="BD2547" s="115"/>
      <c r="BE2547" s="115"/>
      <c r="BF2547" s="115"/>
      <c r="BG2547" s="115"/>
      <c r="BH2547" s="115"/>
      <c r="BI2547" s="115"/>
      <c r="BJ2547" s="115"/>
      <c r="BK2547" s="115"/>
      <c r="BL2547" s="115"/>
      <c r="BM2547" s="115"/>
      <c r="BN2547" s="115"/>
      <c r="BO2547" s="115"/>
      <c r="BP2547" s="115"/>
      <c r="BQ2547" s="115"/>
      <c r="BR2547" s="115"/>
      <c r="BS2547" s="115"/>
      <c r="BT2547" s="115"/>
      <c r="BU2547" s="115"/>
      <c r="BV2547" s="115"/>
      <c r="BW2547" s="115"/>
      <c r="BX2547" s="115"/>
      <c r="BY2547" s="115"/>
      <c r="BZ2547" s="115"/>
      <c r="CA2547" s="115"/>
      <c r="CB2547" s="115"/>
      <c r="CC2547" s="115"/>
      <c r="CD2547" s="115"/>
      <c r="CE2547" s="115"/>
      <c r="CF2547" s="115"/>
      <c r="CG2547" s="115"/>
      <c r="CH2547" s="115"/>
      <c r="CI2547" s="115"/>
      <c r="CJ2547" s="115"/>
      <c r="CK2547" s="115"/>
      <c r="CL2547" s="115"/>
      <c r="CM2547" s="115"/>
      <c r="CN2547" s="115"/>
      <c r="CO2547" s="115"/>
      <c r="CP2547" s="115"/>
      <c r="CQ2547" s="115"/>
      <c r="CR2547" s="115"/>
      <c r="CS2547" s="115"/>
      <c r="CT2547" s="115"/>
      <c r="CU2547" s="115"/>
      <c r="CV2547" s="115"/>
      <c r="CW2547" s="115"/>
      <c r="CX2547" s="115"/>
      <c r="CY2547" s="115"/>
      <c r="CZ2547" s="115"/>
      <c r="DA2547" s="115"/>
      <c r="DB2547" s="115"/>
      <c r="DC2547" s="115"/>
      <c r="DD2547" s="115"/>
      <c r="DE2547" s="115"/>
      <c r="DF2547" s="115"/>
      <c r="DG2547" s="115"/>
    </row>
    <row r="2548" spans="55:111" hidden="1">
      <c r="BC2548" s="115"/>
      <c r="BD2548" s="115"/>
      <c r="BE2548" s="115"/>
      <c r="BF2548" s="115"/>
      <c r="BG2548" s="115"/>
      <c r="BH2548" s="115"/>
      <c r="BI2548" s="115"/>
      <c r="BJ2548" s="115"/>
      <c r="BK2548" s="115"/>
      <c r="BL2548" s="115"/>
      <c r="BM2548" s="115"/>
      <c r="BN2548" s="115"/>
      <c r="BO2548" s="115"/>
      <c r="BP2548" s="115"/>
      <c r="BQ2548" s="115"/>
      <c r="BR2548" s="115"/>
      <c r="BS2548" s="115"/>
      <c r="BT2548" s="115"/>
      <c r="BU2548" s="115"/>
      <c r="BV2548" s="115"/>
      <c r="BW2548" s="115"/>
      <c r="BX2548" s="115"/>
      <c r="BY2548" s="115"/>
      <c r="BZ2548" s="115"/>
      <c r="CA2548" s="115"/>
      <c r="CB2548" s="115"/>
      <c r="CC2548" s="115"/>
      <c r="CD2548" s="115"/>
      <c r="CE2548" s="115"/>
      <c r="CF2548" s="115"/>
      <c r="CG2548" s="115"/>
      <c r="CH2548" s="115"/>
      <c r="CI2548" s="115"/>
      <c r="CJ2548" s="115"/>
      <c r="CK2548" s="115"/>
      <c r="CL2548" s="115"/>
      <c r="CM2548" s="115"/>
      <c r="CN2548" s="115"/>
      <c r="CO2548" s="115"/>
      <c r="CP2548" s="115"/>
      <c r="CQ2548" s="115"/>
      <c r="CR2548" s="115"/>
      <c r="CS2548" s="115"/>
      <c r="CT2548" s="115"/>
      <c r="CU2548" s="115"/>
      <c r="CV2548" s="115"/>
      <c r="CW2548" s="115"/>
      <c r="CX2548" s="115"/>
      <c r="CY2548" s="115"/>
      <c r="CZ2548" s="115"/>
      <c r="DA2548" s="115"/>
      <c r="DB2548" s="115"/>
      <c r="DC2548" s="115"/>
      <c r="DD2548" s="115"/>
      <c r="DE2548" s="115"/>
      <c r="DF2548" s="115"/>
      <c r="DG2548" s="115"/>
    </row>
    <row r="2549" spans="55:111" hidden="1">
      <c r="BC2549" s="115"/>
      <c r="BD2549" s="115"/>
      <c r="BE2549" s="115"/>
      <c r="BF2549" s="115"/>
      <c r="BG2549" s="115"/>
      <c r="BH2549" s="115"/>
      <c r="BI2549" s="115"/>
      <c r="BJ2549" s="115"/>
      <c r="BK2549" s="115"/>
      <c r="BL2549" s="115"/>
      <c r="BM2549" s="115"/>
      <c r="BN2549" s="115"/>
      <c r="BO2549" s="115"/>
      <c r="BP2549" s="115"/>
      <c r="BQ2549" s="115"/>
      <c r="BR2549" s="115"/>
      <c r="BS2549" s="115"/>
      <c r="BT2549" s="115"/>
      <c r="BU2549" s="115"/>
      <c r="BV2549" s="115"/>
      <c r="BW2549" s="115"/>
      <c r="BX2549" s="115"/>
      <c r="BY2549" s="115"/>
      <c r="BZ2549" s="115"/>
      <c r="CA2549" s="115"/>
      <c r="CB2549" s="115"/>
      <c r="CC2549" s="115"/>
      <c r="CD2549" s="115"/>
      <c r="CE2549" s="115"/>
      <c r="CF2549" s="115"/>
      <c r="CG2549" s="115"/>
      <c r="CH2549" s="115"/>
      <c r="CI2549" s="115"/>
      <c r="CJ2549" s="115"/>
      <c r="CK2549" s="115"/>
      <c r="CL2549" s="115"/>
      <c r="CM2549" s="115"/>
      <c r="CN2549" s="115"/>
      <c r="CO2549" s="115"/>
      <c r="CP2549" s="115"/>
      <c r="CQ2549" s="115"/>
      <c r="CR2549" s="115"/>
      <c r="CS2549" s="115"/>
      <c r="CT2549" s="115"/>
      <c r="CU2549" s="115"/>
      <c r="CV2549" s="115"/>
      <c r="CW2549" s="115"/>
      <c r="CX2549" s="115"/>
      <c r="CY2549" s="115"/>
      <c r="CZ2549" s="115"/>
      <c r="DA2549" s="115"/>
      <c r="DB2549" s="115"/>
      <c r="DC2549" s="115"/>
      <c r="DD2549" s="115"/>
      <c r="DE2549" s="115"/>
      <c r="DF2549" s="115"/>
      <c r="DG2549" s="115"/>
    </row>
    <row r="2550" spans="55:111" hidden="1">
      <c r="BC2550" s="115"/>
      <c r="BD2550" s="115"/>
      <c r="BE2550" s="115"/>
      <c r="BF2550" s="115"/>
      <c r="BG2550" s="115"/>
      <c r="BH2550" s="115"/>
      <c r="BI2550" s="115"/>
      <c r="BJ2550" s="115"/>
      <c r="BK2550" s="115"/>
      <c r="BL2550" s="115"/>
      <c r="BM2550" s="115"/>
      <c r="BN2550" s="115"/>
      <c r="BO2550" s="115"/>
      <c r="BP2550" s="115"/>
      <c r="BQ2550" s="115"/>
      <c r="BR2550" s="115"/>
      <c r="BS2550" s="115"/>
      <c r="BT2550" s="115"/>
      <c r="BU2550" s="115"/>
      <c r="BV2550" s="115"/>
      <c r="BW2550" s="115"/>
      <c r="BX2550" s="115"/>
      <c r="BY2550" s="115"/>
      <c r="BZ2550" s="115"/>
      <c r="CA2550" s="115"/>
      <c r="CB2550" s="115"/>
      <c r="CC2550" s="115"/>
      <c r="CD2550" s="115"/>
      <c r="CE2550" s="115"/>
      <c r="CF2550" s="115"/>
      <c r="CG2550" s="115"/>
      <c r="CH2550" s="115"/>
      <c r="CI2550" s="115"/>
      <c r="CJ2550" s="115"/>
      <c r="CK2550" s="115"/>
      <c r="CL2550" s="115"/>
      <c r="CM2550" s="115"/>
      <c r="CN2550" s="115"/>
      <c r="CO2550" s="115"/>
      <c r="CP2550" s="115"/>
      <c r="CQ2550" s="115"/>
      <c r="CR2550" s="115"/>
      <c r="CS2550" s="115"/>
      <c r="CT2550" s="115"/>
      <c r="CU2550" s="115"/>
      <c r="CV2550" s="115"/>
      <c r="CW2550" s="115"/>
      <c r="CX2550" s="115"/>
      <c r="CY2550" s="115"/>
      <c r="CZ2550" s="115"/>
      <c r="DA2550" s="115"/>
      <c r="DB2550" s="115"/>
      <c r="DC2550" s="115"/>
      <c r="DD2550" s="115"/>
      <c r="DE2550" s="115"/>
      <c r="DF2550" s="115"/>
      <c r="DG2550" s="115"/>
    </row>
    <row r="2551" spans="55:111" hidden="1">
      <c r="BC2551" s="115"/>
      <c r="BD2551" s="115"/>
      <c r="BE2551" s="115"/>
      <c r="BF2551" s="115"/>
      <c r="BG2551" s="115"/>
      <c r="BH2551" s="115"/>
      <c r="BI2551" s="115"/>
      <c r="BJ2551" s="115"/>
      <c r="BK2551" s="115"/>
      <c r="BL2551" s="115"/>
      <c r="BM2551" s="115"/>
      <c r="BN2551" s="115"/>
      <c r="BO2551" s="115"/>
      <c r="BP2551" s="115"/>
      <c r="BQ2551" s="115"/>
      <c r="BR2551" s="115"/>
      <c r="BS2551" s="115"/>
      <c r="BT2551" s="115"/>
      <c r="BU2551" s="115"/>
      <c r="BV2551" s="115"/>
      <c r="BW2551" s="115"/>
      <c r="BX2551" s="115"/>
      <c r="BY2551" s="115"/>
      <c r="BZ2551" s="115"/>
      <c r="CA2551" s="115"/>
      <c r="CB2551" s="115"/>
      <c r="CC2551" s="115"/>
      <c r="CD2551" s="115"/>
      <c r="CE2551" s="115"/>
      <c r="CF2551" s="115"/>
      <c r="CG2551" s="115"/>
      <c r="CH2551" s="115"/>
      <c r="CI2551" s="115"/>
      <c r="CJ2551" s="115"/>
      <c r="CK2551" s="115"/>
      <c r="CL2551" s="115"/>
      <c r="CM2551" s="115"/>
      <c r="CN2551" s="115"/>
      <c r="CO2551" s="115"/>
      <c r="CP2551" s="115"/>
      <c r="CQ2551" s="115"/>
      <c r="CR2551" s="115"/>
      <c r="CS2551" s="115"/>
      <c r="CT2551" s="115"/>
      <c r="CU2551" s="115"/>
      <c r="CV2551" s="115"/>
      <c r="CW2551" s="115"/>
      <c r="CX2551" s="115"/>
      <c r="CY2551" s="115"/>
      <c r="CZ2551" s="115"/>
      <c r="DA2551" s="115"/>
      <c r="DB2551" s="115"/>
      <c r="DC2551" s="115"/>
      <c r="DD2551" s="115"/>
      <c r="DE2551" s="115"/>
      <c r="DF2551" s="115"/>
      <c r="DG2551" s="115"/>
    </row>
    <row r="2552" spans="55:111" hidden="1">
      <c r="BC2552" s="115"/>
      <c r="BD2552" s="115"/>
      <c r="BE2552" s="115"/>
      <c r="BF2552" s="115"/>
      <c r="BG2552" s="115"/>
      <c r="BH2552" s="115"/>
      <c r="BI2552" s="115"/>
      <c r="BJ2552" s="115"/>
      <c r="BK2552" s="115"/>
      <c r="BL2552" s="115"/>
      <c r="BM2552" s="115"/>
      <c r="BN2552" s="115"/>
      <c r="BO2552" s="115"/>
      <c r="BP2552" s="115"/>
      <c r="BQ2552" s="115"/>
      <c r="BR2552" s="115"/>
      <c r="BS2552" s="115"/>
      <c r="BT2552" s="115"/>
      <c r="BU2552" s="115"/>
      <c r="BV2552" s="115"/>
      <c r="BW2552" s="115"/>
      <c r="BX2552" s="115"/>
      <c r="BY2552" s="115"/>
      <c r="BZ2552" s="115"/>
      <c r="CA2552" s="115"/>
      <c r="CB2552" s="115"/>
      <c r="CC2552" s="115"/>
      <c r="CD2552" s="115"/>
      <c r="CE2552" s="115"/>
      <c r="CF2552" s="115"/>
      <c r="CG2552" s="115"/>
      <c r="CH2552" s="115"/>
      <c r="CI2552" s="115"/>
      <c r="CJ2552" s="115"/>
      <c r="CK2552" s="115"/>
      <c r="CL2552" s="115"/>
      <c r="CM2552" s="115"/>
      <c r="CN2552" s="115"/>
      <c r="CO2552" s="115"/>
      <c r="CP2552" s="115"/>
      <c r="CQ2552" s="115"/>
      <c r="CR2552" s="115"/>
      <c r="CS2552" s="115"/>
      <c r="CT2552" s="115"/>
      <c r="CU2552" s="115"/>
      <c r="CV2552" s="115"/>
      <c r="CW2552" s="115"/>
      <c r="CX2552" s="115"/>
      <c r="CY2552" s="115"/>
      <c r="CZ2552" s="115"/>
      <c r="DA2552" s="115"/>
      <c r="DB2552" s="115"/>
      <c r="DC2552" s="115"/>
      <c r="DD2552" s="115"/>
      <c r="DE2552" s="115"/>
      <c r="DF2552" s="115"/>
      <c r="DG2552" s="115"/>
    </row>
    <row r="2553" spans="55:111" hidden="1">
      <c r="BC2553" s="115"/>
      <c r="BD2553" s="115"/>
      <c r="BE2553" s="115"/>
      <c r="BF2553" s="115"/>
      <c r="BG2553" s="115"/>
      <c r="BH2553" s="115"/>
      <c r="BI2553" s="115"/>
      <c r="BJ2553" s="115"/>
      <c r="BK2553" s="115"/>
      <c r="BL2553" s="115"/>
      <c r="BM2553" s="115"/>
      <c r="BN2553" s="115"/>
      <c r="BO2553" s="115"/>
      <c r="BP2553" s="115"/>
      <c r="BQ2553" s="115"/>
      <c r="BR2553" s="115"/>
      <c r="BS2553" s="115"/>
      <c r="BT2553" s="115"/>
      <c r="BU2553" s="115"/>
      <c r="BV2553" s="115"/>
      <c r="BW2553" s="115"/>
      <c r="BX2553" s="115"/>
      <c r="BY2553" s="115"/>
      <c r="BZ2553" s="115"/>
      <c r="CA2553" s="115"/>
      <c r="CB2553" s="115"/>
      <c r="CC2553" s="115"/>
      <c r="CD2553" s="115"/>
      <c r="CE2553" s="115"/>
      <c r="CF2553" s="115"/>
      <c r="CG2553" s="115"/>
      <c r="CH2553" s="115"/>
      <c r="CI2553" s="115"/>
      <c r="CJ2553" s="115"/>
      <c r="CK2553" s="115"/>
      <c r="CL2553" s="115"/>
      <c r="CM2553" s="115"/>
      <c r="CN2553" s="115"/>
      <c r="CO2553" s="115"/>
      <c r="CP2553" s="115"/>
      <c r="CQ2553" s="115"/>
      <c r="CR2553" s="115"/>
      <c r="CS2553" s="115"/>
      <c r="CT2553" s="115"/>
      <c r="CU2553" s="115"/>
      <c r="CV2553" s="115"/>
      <c r="CW2553" s="115"/>
      <c r="CX2553" s="115"/>
      <c r="CY2553" s="115"/>
      <c r="CZ2553" s="115"/>
      <c r="DA2553" s="115"/>
      <c r="DB2553" s="115"/>
      <c r="DC2553" s="115"/>
      <c r="DD2553" s="115"/>
      <c r="DE2553" s="115"/>
      <c r="DF2553" s="115"/>
      <c r="DG2553" s="115"/>
    </row>
    <row r="2554" spans="55:111" hidden="1">
      <c r="BC2554" s="115"/>
      <c r="BD2554" s="115"/>
      <c r="BE2554" s="115"/>
      <c r="BF2554" s="115"/>
      <c r="BG2554" s="115"/>
      <c r="BH2554" s="115"/>
      <c r="BI2554" s="115"/>
      <c r="BJ2554" s="115"/>
      <c r="BK2554" s="115"/>
      <c r="BL2554" s="115"/>
      <c r="BM2554" s="115"/>
      <c r="BN2554" s="115"/>
      <c r="BO2554" s="115"/>
      <c r="BP2554" s="115"/>
      <c r="BQ2554" s="115"/>
      <c r="BR2554" s="115"/>
      <c r="BS2554" s="115"/>
      <c r="BT2554" s="115"/>
      <c r="BU2554" s="115"/>
      <c r="BV2554" s="115"/>
      <c r="BW2554" s="115"/>
      <c r="BX2554" s="115"/>
      <c r="BY2554" s="115"/>
      <c r="BZ2554" s="115"/>
      <c r="CA2554" s="115"/>
      <c r="CB2554" s="115"/>
      <c r="CC2554" s="115"/>
      <c r="CD2554" s="115"/>
      <c r="CE2554" s="115"/>
      <c r="CF2554" s="115"/>
      <c r="CG2554" s="115"/>
      <c r="CH2554" s="115"/>
      <c r="CI2554" s="115"/>
      <c r="CJ2554" s="115"/>
      <c r="CK2554" s="115"/>
      <c r="CL2554" s="115"/>
      <c r="CM2554" s="115"/>
      <c r="CN2554" s="115"/>
      <c r="CO2554" s="115"/>
      <c r="CP2554" s="115"/>
      <c r="CQ2554" s="115"/>
      <c r="CR2554" s="115"/>
      <c r="CS2554" s="115"/>
      <c r="CT2554" s="115"/>
      <c r="CU2554" s="115"/>
      <c r="CV2554" s="115"/>
      <c r="CW2554" s="115"/>
      <c r="CX2554" s="115"/>
      <c r="CY2554" s="115"/>
      <c r="CZ2554" s="115"/>
      <c r="DA2554" s="115"/>
      <c r="DB2554" s="115"/>
      <c r="DC2554" s="115"/>
      <c r="DD2554" s="115"/>
      <c r="DE2554" s="115"/>
      <c r="DF2554" s="115"/>
      <c r="DG2554" s="115"/>
    </row>
    <row r="2555" spans="55:111" hidden="1">
      <c r="BC2555" s="115"/>
      <c r="BD2555" s="115"/>
      <c r="BE2555" s="115"/>
      <c r="BF2555" s="115"/>
      <c r="BG2555" s="115"/>
      <c r="BH2555" s="115"/>
      <c r="BI2555" s="115"/>
      <c r="BJ2555" s="115"/>
      <c r="BK2555" s="115"/>
      <c r="BL2555" s="115"/>
      <c r="BM2555" s="115"/>
      <c r="BN2555" s="115"/>
      <c r="BO2555" s="115"/>
      <c r="BP2555" s="115"/>
      <c r="BQ2555" s="115"/>
      <c r="BR2555" s="115"/>
      <c r="BS2555" s="115"/>
      <c r="BT2555" s="115"/>
      <c r="BU2555" s="115"/>
      <c r="BV2555" s="115"/>
      <c r="BW2555" s="115"/>
      <c r="BX2555" s="115"/>
      <c r="BY2555" s="115"/>
      <c r="BZ2555" s="115"/>
      <c r="CA2555" s="115"/>
      <c r="CB2555" s="115"/>
      <c r="CC2555" s="115"/>
      <c r="CD2555" s="115"/>
      <c r="CE2555" s="115"/>
      <c r="CF2555" s="115"/>
      <c r="CG2555" s="115"/>
      <c r="CH2555" s="115"/>
      <c r="CI2555" s="115"/>
      <c r="CJ2555" s="115"/>
      <c r="CK2555" s="115"/>
      <c r="CL2555" s="115"/>
      <c r="CM2555" s="115"/>
      <c r="CN2555" s="115"/>
      <c r="CO2555" s="115"/>
      <c r="CP2555" s="115"/>
      <c r="CQ2555" s="115"/>
      <c r="CR2555" s="115"/>
      <c r="CS2555" s="115"/>
      <c r="CT2555" s="115"/>
      <c r="CU2555" s="115"/>
      <c r="CV2555" s="115"/>
      <c r="CW2555" s="115"/>
      <c r="CX2555" s="115"/>
      <c r="CY2555" s="115"/>
      <c r="CZ2555" s="115"/>
      <c r="DA2555" s="115"/>
      <c r="DB2555" s="115"/>
      <c r="DC2555" s="115"/>
      <c r="DD2555" s="115"/>
      <c r="DE2555" s="115"/>
      <c r="DF2555" s="115"/>
      <c r="DG2555" s="115"/>
    </row>
    <row r="2556" spans="55:111" hidden="1">
      <c r="BC2556" s="115"/>
      <c r="BD2556" s="115"/>
      <c r="BE2556" s="115"/>
      <c r="BF2556" s="115"/>
      <c r="BG2556" s="115"/>
      <c r="BH2556" s="115"/>
      <c r="BI2556" s="115"/>
      <c r="BJ2556" s="115"/>
      <c r="BK2556" s="115"/>
      <c r="BL2556" s="115"/>
      <c r="BM2556" s="115"/>
      <c r="BN2556" s="115"/>
      <c r="BO2556" s="115"/>
      <c r="BP2556" s="115"/>
      <c r="BQ2556" s="115"/>
      <c r="BR2556" s="115"/>
      <c r="BS2556" s="115"/>
      <c r="BT2556" s="115"/>
      <c r="BU2556" s="115"/>
      <c r="BV2556" s="115"/>
      <c r="BW2556" s="115"/>
      <c r="BX2556" s="115"/>
      <c r="BY2556" s="115"/>
      <c r="BZ2556" s="115"/>
      <c r="CA2556" s="115"/>
      <c r="CB2556" s="115"/>
      <c r="CC2556" s="115"/>
      <c r="CD2556" s="115"/>
      <c r="CE2556" s="115"/>
      <c r="CF2556" s="115"/>
      <c r="CG2556" s="115"/>
      <c r="CH2556" s="115"/>
      <c r="CI2556" s="115"/>
      <c r="CJ2556" s="115"/>
      <c r="CK2556" s="115"/>
      <c r="CL2556" s="115"/>
      <c r="CM2556" s="115"/>
      <c r="CN2556" s="115"/>
      <c r="CO2556" s="115"/>
      <c r="CP2556" s="115"/>
      <c r="CQ2556" s="115"/>
      <c r="CR2556" s="115"/>
      <c r="CS2556" s="115"/>
      <c r="CT2556" s="115"/>
      <c r="CU2556" s="115"/>
      <c r="CV2556" s="115"/>
      <c r="CW2556" s="115"/>
      <c r="CX2556" s="115"/>
      <c r="CY2556" s="115"/>
      <c r="CZ2556" s="115"/>
      <c r="DA2556" s="115"/>
      <c r="DB2556" s="115"/>
      <c r="DC2556" s="115"/>
      <c r="DD2556" s="115"/>
      <c r="DE2556" s="115"/>
      <c r="DF2556" s="115"/>
      <c r="DG2556" s="115"/>
    </row>
    <row r="2557" spans="55:111" hidden="1">
      <c r="BC2557" s="115"/>
      <c r="BD2557" s="115"/>
      <c r="BE2557" s="115"/>
      <c r="BF2557" s="115"/>
      <c r="BG2557" s="115"/>
      <c r="BH2557" s="115"/>
      <c r="BI2557" s="115"/>
      <c r="BJ2557" s="115"/>
      <c r="BK2557" s="115"/>
      <c r="BL2557" s="115"/>
      <c r="BM2557" s="115"/>
      <c r="BN2557" s="115"/>
      <c r="BO2557" s="115"/>
      <c r="BP2557" s="115"/>
      <c r="BQ2557" s="115"/>
      <c r="BR2557" s="115"/>
      <c r="BS2557" s="115"/>
      <c r="BT2557" s="115"/>
      <c r="BU2557" s="115"/>
      <c r="BV2557" s="115"/>
      <c r="BW2557" s="115"/>
      <c r="BX2557" s="115"/>
      <c r="BY2557" s="115"/>
      <c r="BZ2557" s="115"/>
      <c r="CA2557" s="115"/>
      <c r="CB2557" s="115"/>
      <c r="CC2557" s="115"/>
      <c r="CD2557" s="115"/>
      <c r="CE2557" s="115"/>
      <c r="CF2557" s="115"/>
      <c r="CG2557" s="115"/>
      <c r="CH2557" s="115"/>
      <c r="CI2557" s="115"/>
      <c r="CJ2557" s="115"/>
      <c r="CK2557" s="115"/>
      <c r="CL2557" s="115"/>
      <c r="CM2557" s="115"/>
      <c r="CN2557" s="115"/>
      <c r="CO2557" s="115"/>
      <c r="CP2557" s="115"/>
      <c r="CQ2557" s="115"/>
      <c r="CR2557" s="115"/>
      <c r="CS2557" s="115"/>
      <c r="CT2557" s="115"/>
      <c r="CU2557" s="115"/>
      <c r="CV2557" s="115"/>
      <c r="CW2557" s="115"/>
      <c r="CX2557" s="115"/>
      <c r="CY2557" s="115"/>
      <c r="CZ2557" s="115"/>
      <c r="DA2557" s="115"/>
      <c r="DB2557" s="115"/>
      <c r="DC2557" s="115"/>
      <c r="DD2557" s="115"/>
      <c r="DE2557" s="115"/>
      <c r="DF2557" s="115"/>
      <c r="DG2557" s="115"/>
    </row>
    <row r="2558" spans="55:111" hidden="1">
      <c r="BC2558" s="115"/>
      <c r="BD2558" s="115"/>
      <c r="BE2558" s="115"/>
      <c r="BF2558" s="115"/>
      <c r="BG2558" s="115"/>
      <c r="BH2558" s="115"/>
      <c r="BI2558" s="115"/>
      <c r="BJ2558" s="115"/>
      <c r="BK2558" s="115"/>
      <c r="BL2558" s="115"/>
      <c r="BM2558" s="115"/>
      <c r="BN2558" s="115"/>
      <c r="BO2558" s="115"/>
      <c r="BP2558" s="115"/>
      <c r="BQ2558" s="115"/>
      <c r="BR2558" s="115"/>
      <c r="BS2558" s="115"/>
      <c r="BT2558" s="115"/>
      <c r="BU2558" s="115"/>
      <c r="BV2558" s="115"/>
      <c r="BW2558" s="115"/>
      <c r="BX2558" s="115"/>
      <c r="BY2558" s="115"/>
      <c r="BZ2558" s="115"/>
      <c r="CA2558" s="115"/>
      <c r="CB2558" s="115"/>
      <c r="CC2558" s="115"/>
      <c r="CD2558" s="115"/>
      <c r="CE2558" s="115"/>
      <c r="CF2558" s="115"/>
      <c r="CG2558" s="115"/>
      <c r="CH2558" s="115"/>
      <c r="CI2558" s="115"/>
      <c r="CJ2558" s="115"/>
      <c r="CK2558" s="115"/>
      <c r="CL2558" s="115"/>
      <c r="CM2558" s="115"/>
      <c r="CN2558" s="115"/>
      <c r="CO2558" s="115"/>
      <c r="CP2558" s="115"/>
      <c r="CQ2558" s="115"/>
      <c r="CR2558" s="115"/>
      <c r="CS2558" s="115"/>
      <c r="CT2558" s="115"/>
      <c r="CU2558" s="115"/>
      <c r="CV2558" s="115"/>
      <c r="CW2558" s="115"/>
      <c r="CX2558" s="115"/>
      <c r="CY2558" s="115"/>
      <c r="CZ2558" s="115"/>
      <c r="DA2558" s="115"/>
      <c r="DB2558" s="115"/>
      <c r="DC2558" s="115"/>
      <c r="DD2558" s="115"/>
      <c r="DE2558" s="115"/>
      <c r="DF2558" s="115"/>
      <c r="DG2558" s="115"/>
    </row>
    <row r="2559" spans="55:111" hidden="1">
      <c r="BC2559" s="115"/>
      <c r="BD2559" s="115"/>
      <c r="BE2559" s="115"/>
      <c r="BF2559" s="115"/>
      <c r="BG2559" s="115"/>
      <c r="BH2559" s="115"/>
      <c r="BI2559" s="115"/>
      <c r="BJ2559" s="115"/>
      <c r="BK2559" s="115"/>
      <c r="BL2559" s="115"/>
      <c r="BM2559" s="115"/>
      <c r="BN2559" s="115"/>
      <c r="BO2559" s="115"/>
      <c r="BP2559" s="115"/>
      <c r="BQ2559" s="115"/>
      <c r="BR2559" s="115"/>
      <c r="BS2559" s="115"/>
      <c r="BT2559" s="115"/>
      <c r="BU2559" s="115"/>
      <c r="BV2559" s="115"/>
      <c r="BW2559" s="115"/>
      <c r="BX2559" s="115"/>
      <c r="BY2559" s="115"/>
      <c r="BZ2559" s="115"/>
      <c r="CA2559" s="115"/>
      <c r="CB2559" s="115"/>
      <c r="CC2559" s="115"/>
      <c r="CD2559" s="115"/>
      <c r="CE2559" s="115"/>
      <c r="CF2559" s="115"/>
      <c r="CG2559" s="115"/>
      <c r="CH2559" s="115"/>
      <c r="CI2559" s="115"/>
      <c r="CJ2559" s="115"/>
      <c r="CK2559" s="115"/>
      <c r="CL2559" s="115"/>
      <c r="CM2559" s="115"/>
      <c r="CN2559" s="115"/>
      <c r="CO2559" s="115"/>
      <c r="CP2559" s="115"/>
      <c r="CQ2559" s="115"/>
      <c r="CR2559" s="115"/>
      <c r="CS2559" s="115"/>
      <c r="CT2559" s="115"/>
      <c r="CU2559" s="115"/>
      <c r="CV2559" s="115"/>
      <c r="CW2559" s="115"/>
      <c r="CX2559" s="115"/>
      <c r="CY2559" s="115"/>
      <c r="CZ2559" s="115"/>
      <c r="DA2559" s="115"/>
      <c r="DB2559" s="115"/>
      <c r="DC2559" s="115"/>
      <c r="DD2559" s="115"/>
      <c r="DE2559" s="115"/>
      <c r="DF2559" s="115"/>
      <c r="DG2559" s="115"/>
    </row>
    <row r="2560" spans="55:111" hidden="1">
      <c r="BC2560" s="115"/>
      <c r="BD2560" s="115"/>
      <c r="BE2560" s="115"/>
      <c r="BF2560" s="115"/>
      <c r="BG2560" s="115"/>
      <c r="BH2560" s="115"/>
      <c r="BI2560" s="115"/>
      <c r="BJ2560" s="115"/>
      <c r="BK2560" s="115"/>
      <c r="BL2560" s="115"/>
      <c r="BM2560" s="115"/>
      <c r="BN2560" s="115"/>
      <c r="BO2560" s="115"/>
      <c r="BP2560" s="115"/>
      <c r="BQ2560" s="115"/>
      <c r="BR2560" s="115"/>
      <c r="BS2560" s="115"/>
      <c r="BT2560" s="115"/>
      <c r="BU2560" s="115"/>
      <c r="BV2560" s="115"/>
      <c r="BW2560" s="115"/>
      <c r="BX2560" s="115"/>
      <c r="BY2560" s="115"/>
      <c r="BZ2560" s="115"/>
      <c r="CA2560" s="115"/>
      <c r="CB2560" s="115"/>
      <c r="CC2560" s="115"/>
      <c r="CD2560" s="115"/>
      <c r="CE2560" s="115"/>
      <c r="CF2560" s="115"/>
      <c r="CG2560" s="115"/>
      <c r="CH2560" s="115"/>
      <c r="CI2560" s="115"/>
      <c r="CJ2560" s="115"/>
      <c r="CK2560" s="115"/>
      <c r="CL2560" s="115"/>
      <c r="CM2560" s="115"/>
      <c r="CN2560" s="115"/>
      <c r="CO2560" s="115"/>
      <c r="CP2560" s="115"/>
      <c r="CQ2560" s="115"/>
      <c r="CR2560" s="115"/>
      <c r="CS2560" s="115"/>
      <c r="CT2560" s="115"/>
      <c r="CU2560" s="115"/>
      <c r="CV2560" s="115"/>
      <c r="CW2560" s="115"/>
      <c r="CX2560" s="115"/>
      <c r="CY2560" s="115"/>
      <c r="CZ2560" s="115"/>
      <c r="DA2560" s="115"/>
      <c r="DB2560" s="115"/>
      <c r="DC2560" s="115"/>
      <c r="DD2560" s="115"/>
      <c r="DE2560" s="115"/>
      <c r="DF2560" s="115"/>
      <c r="DG2560" s="115"/>
    </row>
    <row r="2561" spans="55:111" hidden="1">
      <c r="BC2561" s="115"/>
      <c r="BD2561" s="115"/>
      <c r="BE2561" s="115"/>
      <c r="BF2561" s="115"/>
      <c r="BG2561" s="115"/>
      <c r="BH2561" s="115"/>
      <c r="BI2561" s="115"/>
      <c r="BJ2561" s="115"/>
      <c r="BK2561" s="115"/>
      <c r="BL2561" s="115"/>
      <c r="BM2561" s="115"/>
      <c r="BN2561" s="115"/>
      <c r="BO2561" s="115"/>
      <c r="BP2561" s="115"/>
      <c r="BQ2561" s="115"/>
      <c r="BR2561" s="115"/>
      <c r="BS2561" s="115"/>
      <c r="BT2561" s="115"/>
      <c r="BU2561" s="115"/>
      <c r="BV2561" s="115"/>
      <c r="BW2561" s="115"/>
      <c r="BX2561" s="115"/>
      <c r="BY2561" s="115"/>
      <c r="BZ2561" s="115"/>
      <c r="CA2561" s="115"/>
      <c r="CB2561" s="115"/>
      <c r="CC2561" s="115"/>
      <c r="CD2561" s="115"/>
      <c r="CE2561" s="115"/>
      <c r="CF2561" s="115"/>
      <c r="CG2561" s="115"/>
      <c r="CH2561" s="115"/>
      <c r="CI2561" s="115"/>
      <c r="CJ2561" s="115"/>
      <c r="CK2561" s="115"/>
      <c r="CL2561" s="115"/>
      <c r="CM2561" s="115"/>
      <c r="CN2561" s="115"/>
      <c r="CO2561" s="115"/>
      <c r="CP2561" s="115"/>
      <c r="CQ2561" s="115"/>
      <c r="CR2561" s="115"/>
      <c r="CS2561" s="115"/>
      <c r="CT2561" s="115"/>
      <c r="CU2561" s="115"/>
      <c r="CV2561" s="115"/>
      <c r="CW2561" s="115"/>
      <c r="CX2561" s="115"/>
      <c r="CY2561" s="115"/>
      <c r="CZ2561" s="115"/>
      <c r="DA2561" s="115"/>
      <c r="DB2561" s="115"/>
      <c r="DC2561" s="115"/>
      <c r="DD2561" s="115"/>
      <c r="DE2561" s="115"/>
      <c r="DF2561" s="115"/>
      <c r="DG2561" s="115"/>
    </row>
    <row r="2562" spans="55:111" hidden="1">
      <c r="BC2562" s="115"/>
      <c r="BD2562" s="115"/>
      <c r="BE2562" s="115"/>
      <c r="BF2562" s="115"/>
      <c r="BG2562" s="115"/>
      <c r="BH2562" s="115"/>
      <c r="BI2562" s="115"/>
      <c r="BJ2562" s="115"/>
      <c r="BK2562" s="115"/>
      <c r="BL2562" s="115"/>
      <c r="BM2562" s="115"/>
      <c r="BN2562" s="115"/>
      <c r="BO2562" s="115"/>
      <c r="BP2562" s="115"/>
      <c r="BQ2562" s="115"/>
      <c r="BR2562" s="115"/>
      <c r="BS2562" s="115"/>
      <c r="BT2562" s="115"/>
      <c r="BU2562" s="115"/>
      <c r="BV2562" s="115"/>
      <c r="BW2562" s="115"/>
      <c r="BX2562" s="115"/>
      <c r="BY2562" s="115"/>
      <c r="BZ2562" s="115"/>
      <c r="CA2562" s="115"/>
      <c r="CB2562" s="115"/>
      <c r="CC2562" s="115"/>
      <c r="CD2562" s="115"/>
      <c r="CE2562" s="115"/>
      <c r="CF2562" s="115"/>
      <c r="CG2562" s="115"/>
      <c r="CH2562" s="115"/>
      <c r="CI2562" s="115"/>
      <c r="CJ2562" s="115"/>
      <c r="CK2562" s="115"/>
      <c r="CL2562" s="115"/>
      <c r="CM2562" s="115"/>
      <c r="CN2562" s="115"/>
      <c r="CO2562" s="115"/>
      <c r="CP2562" s="115"/>
      <c r="CQ2562" s="115"/>
      <c r="CR2562" s="115"/>
      <c r="CS2562" s="115"/>
      <c r="CT2562" s="115"/>
      <c r="CU2562" s="115"/>
      <c r="CV2562" s="115"/>
      <c r="CW2562" s="115"/>
      <c r="CX2562" s="115"/>
      <c r="CY2562" s="115"/>
      <c r="CZ2562" s="115"/>
      <c r="DA2562" s="115"/>
      <c r="DB2562" s="115"/>
      <c r="DC2562" s="115"/>
      <c r="DD2562" s="115"/>
      <c r="DE2562" s="115"/>
      <c r="DF2562" s="115"/>
      <c r="DG2562" s="115"/>
    </row>
    <row r="2563" spans="55:111" hidden="1">
      <c r="BC2563" s="115"/>
      <c r="BD2563" s="115"/>
      <c r="BE2563" s="115"/>
      <c r="BF2563" s="115"/>
      <c r="BG2563" s="115"/>
      <c r="BH2563" s="115"/>
      <c r="BI2563" s="115"/>
      <c r="BJ2563" s="115"/>
      <c r="BK2563" s="115"/>
      <c r="BL2563" s="115"/>
      <c r="BM2563" s="115"/>
      <c r="BN2563" s="115"/>
      <c r="BO2563" s="115"/>
      <c r="BP2563" s="115"/>
      <c r="BQ2563" s="115"/>
      <c r="BR2563" s="115"/>
      <c r="BS2563" s="115"/>
      <c r="BT2563" s="115"/>
      <c r="BU2563" s="115"/>
      <c r="BV2563" s="115"/>
      <c r="BW2563" s="115"/>
      <c r="BX2563" s="115"/>
      <c r="BY2563" s="115"/>
      <c r="BZ2563" s="115"/>
      <c r="CA2563" s="115"/>
      <c r="CB2563" s="115"/>
      <c r="CC2563" s="115"/>
      <c r="CD2563" s="115"/>
      <c r="CE2563" s="115"/>
      <c r="CF2563" s="115"/>
      <c r="CG2563" s="115"/>
      <c r="CH2563" s="115"/>
      <c r="CI2563" s="115"/>
      <c r="CJ2563" s="115"/>
      <c r="CK2563" s="115"/>
      <c r="CL2563" s="115"/>
      <c r="CM2563" s="115"/>
      <c r="CN2563" s="115"/>
      <c r="CO2563" s="115"/>
      <c r="CP2563" s="115"/>
      <c r="CQ2563" s="115"/>
      <c r="CR2563" s="115"/>
      <c r="CS2563" s="115"/>
      <c r="CT2563" s="115"/>
      <c r="CU2563" s="115"/>
      <c r="CV2563" s="115"/>
      <c r="CW2563" s="115"/>
      <c r="CX2563" s="115"/>
      <c r="CY2563" s="115"/>
      <c r="CZ2563" s="115"/>
      <c r="DA2563" s="115"/>
      <c r="DB2563" s="115"/>
      <c r="DC2563" s="115"/>
      <c r="DD2563" s="115"/>
      <c r="DE2563" s="115"/>
      <c r="DF2563" s="115"/>
      <c r="DG2563" s="115"/>
    </row>
    <row r="2564" spans="55:111" hidden="1">
      <c r="BC2564" s="115"/>
      <c r="BD2564" s="115"/>
      <c r="BE2564" s="115"/>
      <c r="BF2564" s="115"/>
      <c r="BG2564" s="115"/>
      <c r="BH2564" s="115"/>
      <c r="BI2564" s="115"/>
      <c r="BJ2564" s="115"/>
      <c r="BK2564" s="115"/>
      <c r="BL2564" s="115"/>
      <c r="BM2564" s="115"/>
      <c r="BN2564" s="115"/>
      <c r="BO2564" s="115"/>
      <c r="BP2564" s="115"/>
      <c r="BQ2564" s="115"/>
      <c r="BR2564" s="115"/>
      <c r="BS2564" s="115"/>
      <c r="BT2564" s="115"/>
      <c r="BU2564" s="115"/>
      <c r="BV2564" s="115"/>
      <c r="BW2564" s="115"/>
      <c r="BX2564" s="115"/>
      <c r="BY2564" s="115"/>
      <c r="BZ2564" s="115"/>
      <c r="CA2564" s="115"/>
      <c r="CB2564" s="115"/>
      <c r="CC2564" s="115"/>
      <c r="CD2564" s="115"/>
      <c r="CE2564" s="115"/>
      <c r="CF2564" s="115"/>
      <c r="CG2564" s="115"/>
      <c r="CH2564" s="115"/>
      <c r="CI2564" s="115"/>
      <c r="CJ2564" s="115"/>
      <c r="CK2564" s="115"/>
      <c r="CL2564" s="115"/>
      <c r="CM2564" s="115"/>
      <c r="CN2564" s="115"/>
      <c r="CO2564" s="115"/>
      <c r="CP2564" s="115"/>
      <c r="CQ2564" s="115"/>
      <c r="CR2564" s="115"/>
      <c r="CS2564" s="115"/>
      <c r="CT2564" s="115"/>
      <c r="CU2564" s="115"/>
      <c r="CV2564" s="115"/>
      <c r="CW2564" s="115"/>
      <c r="CX2564" s="115"/>
      <c r="CY2564" s="115"/>
      <c r="CZ2564" s="115"/>
      <c r="DA2564" s="115"/>
      <c r="DB2564" s="115"/>
      <c r="DC2564" s="115"/>
      <c r="DD2564" s="115"/>
      <c r="DE2564" s="115"/>
      <c r="DF2564" s="115"/>
      <c r="DG2564" s="115"/>
    </row>
    <row r="2565" spans="55:111" hidden="1">
      <c r="BC2565" s="115"/>
      <c r="BD2565" s="115"/>
      <c r="BE2565" s="115"/>
      <c r="BF2565" s="115"/>
      <c r="BG2565" s="115"/>
      <c r="BH2565" s="115"/>
      <c r="BI2565" s="115"/>
      <c r="BJ2565" s="115"/>
      <c r="BK2565" s="115"/>
      <c r="BL2565" s="115"/>
      <c r="BM2565" s="115"/>
      <c r="BN2565" s="115"/>
      <c r="BO2565" s="115"/>
      <c r="BP2565" s="115"/>
      <c r="BQ2565" s="115"/>
      <c r="BR2565" s="115"/>
      <c r="BS2565" s="115"/>
      <c r="BT2565" s="115"/>
      <c r="BU2565" s="115"/>
      <c r="BV2565" s="115"/>
      <c r="BW2565" s="115"/>
      <c r="BX2565" s="115"/>
      <c r="BY2565" s="115"/>
      <c r="BZ2565" s="115"/>
      <c r="CA2565" s="115"/>
      <c r="CB2565" s="115"/>
      <c r="CC2565" s="115"/>
      <c r="CD2565" s="115"/>
      <c r="CE2565" s="115"/>
      <c r="CF2565" s="115"/>
      <c r="CG2565" s="115"/>
      <c r="CH2565" s="115"/>
      <c r="CI2565" s="115"/>
      <c r="CJ2565" s="115"/>
      <c r="CK2565" s="115"/>
      <c r="CL2565" s="115"/>
      <c r="CM2565" s="115"/>
      <c r="CN2565" s="115"/>
      <c r="CO2565" s="115"/>
      <c r="CP2565" s="115"/>
      <c r="CQ2565" s="115"/>
      <c r="CR2565" s="115"/>
      <c r="CS2565" s="115"/>
      <c r="CT2565" s="115"/>
      <c r="CU2565" s="115"/>
      <c r="CV2565" s="115"/>
      <c r="CW2565" s="115"/>
      <c r="CX2565" s="115"/>
      <c r="CY2565" s="115"/>
      <c r="CZ2565" s="115"/>
      <c r="DA2565" s="115"/>
      <c r="DB2565" s="115"/>
      <c r="DC2565" s="115"/>
      <c r="DD2565" s="115"/>
      <c r="DE2565" s="115"/>
      <c r="DF2565" s="115"/>
      <c r="DG2565" s="115"/>
    </row>
    <row r="2566" spans="55:111" hidden="1">
      <c r="BC2566" s="115"/>
      <c r="BD2566" s="115"/>
      <c r="BE2566" s="115"/>
      <c r="BF2566" s="115"/>
      <c r="BG2566" s="115"/>
      <c r="BH2566" s="115"/>
      <c r="BI2566" s="115"/>
      <c r="BJ2566" s="115"/>
      <c r="BK2566" s="115"/>
      <c r="BL2566" s="115"/>
      <c r="BM2566" s="115"/>
      <c r="BN2566" s="115"/>
      <c r="BO2566" s="115"/>
      <c r="BP2566" s="115"/>
      <c r="BQ2566" s="115"/>
      <c r="BR2566" s="115"/>
      <c r="BS2566" s="115"/>
      <c r="BT2566" s="115"/>
      <c r="BU2566" s="115"/>
      <c r="BV2566" s="115"/>
      <c r="BW2566" s="115"/>
      <c r="BX2566" s="115"/>
      <c r="BY2566" s="115"/>
      <c r="BZ2566" s="115"/>
      <c r="CA2566" s="115"/>
      <c r="CB2566" s="115"/>
      <c r="CC2566" s="115"/>
      <c r="CD2566" s="115"/>
      <c r="CE2566" s="115"/>
      <c r="CF2566" s="115"/>
      <c r="CG2566" s="115"/>
      <c r="CH2566" s="115"/>
      <c r="CI2566" s="115"/>
      <c r="CJ2566" s="115"/>
      <c r="CK2566" s="115"/>
      <c r="CL2566" s="115"/>
      <c r="CM2566" s="115"/>
      <c r="CN2566" s="115"/>
      <c r="CO2566" s="115"/>
      <c r="CP2566" s="115"/>
      <c r="CQ2566" s="115"/>
      <c r="CR2566" s="115"/>
      <c r="CS2566" s="115"/>
      <c r="CT2566" s="115"/>
      <c r="CU2566" s="115"/>
      <c r="CV2566" s="115"/>
      <c r="CW2566" s="115"/>
      <c r="CX2566" s="115"/>
      <c r="CY2566" s="115"/>
      <c r="CZ2566" s="115"/>
      <c r="DA2566" s="115"/>
      <c r="DB2566" s="115"/>
      <c r="DC2566" s="115"/>
      <c r="DD2566" s="115"/>
      <c r="DE2566" s="115"/>
      <c r="DF2566" s="115"/>
      <c r="DG2566" s="115"/>
    </row>
    <row r="2567" spans="55:111" hidden="1">
      <c r="BC2567" s="115"/>
      <c r="BD2567" s="115"/>
      <c r="BE2567" s="115"/>
      <c r="BF2567" s="115"/>
      <c r="BG2567" s="115"/>
      <c r="BH2567" s="115"/>
      <c r="BI2567" s="115"/>
      <c r="BJ2567" s="115"/>
      <c r="BK2567" s="115"/>
      <c r="BL2567" s="115"/>
      <c r="BM2567" s="115"/>
      <c r="BN2567" s="115"/>
      <c r="BO2567" s="115"/>
      <c r="BP2567" s="115"/>
      <c r="BQ2567" s="115"/>
      <c r="BR2567" s="115"/>
      <c r="BS2567" s="115"/>
      <c r="BT2567" s="115"/>
      <c r="BU2567" s="115"/>
      <c r="BV2567" s="115"/>
      <c r="BW2567" s="115"/>
      <c r="BX2567" s="115"/>
      <c r="BY2567" s="115"/>
      <c r="BZ2567" s="115"/>
      <c r="CA2567" s="115"/>
      <c r="CB2567" s="115"/>
      <c r="CC2567" s="115"/>
      <c r="CD2567" s="115"/>
      <c r="CE2567" s="115"/>
      <c r="CF2567" s="115"/>
      <c r="CG2567" s="115"/>
      <c r="CH2567" s="115"/>
      <c r="CI2567" s="115"/>
      <c r="CJ2567" s="115"/>
      <c r="CK2567" s="115"/>
      <c r="CL2567" s="115"/>
      <c r="CM2567" s="115"/>
      <c r="CN2567" s="115"/>
      <c r="CO2567" s="115"/>
      <c r="CP2567" s="115"/>
      <c r="CQ2567" s="115"/>
      <c r="CR2567" s="115"/>
      <c r="CS2567" s="115"/>
      <c r="CT2567" s="115"/>
      <c r="CU2567" s="115"/>
      <c r="CV2567" s="115"/>
      <c r="CW2567" s="115"/>
      <c r="CX2567" s="115"/>
      <c r="CY2567" s="115"/>
      <c r="CZ2567" s="115"/>
      <c r="DA2567" s="115"/>
      <c r="DB2567" s="115"/>
      <c r="DC2567" s="115"/>
      <c r="DD2567" s="115"/>
      <c r="DE2567" s="115"/>
      <c r="DF2567" s="115"/>
      <c r="DG2567" s="115"/>
    </row>
    <row r="2568" spans="55:111" hidden="1">
      <c r="BC2568" s="115"/>
      <c r="BD2568" s="115"/>
      <c r="BE2568" s="115"/>
      <c r="BF2568" s="115"/>
      <c r="BG2568" s="115"/>
      <c r="BH2568" s="115"/>
      <c r="BI2568" s="115"/>
      <c r="BJ2568" s="115"/>
      <c r="BK2568" s="115"/>
      <c r="BL2568" s="115"/>
      <c r="BM2568" s="115"/>
      <c r="BN2568" s="115"/>
      <c r="BO2568" s="115"/>
      <c r="BP2568" s="115"/>
      <c r="BQ2568" s="115"/>
      <c r="BR2568" s="115"/>
      <c r="BS2568" s="115"/>
      <c r="BT2568" s="115"/>
      <c r="BU2568" s="115"/>
      <c r="BV2568" s="115"/>
      <c r="BW2568" s="115"/>
      <c r="BX2568" s="115"/>
      <c r="BY2568" s="115"/>
      <c r="BZ2568" s="115"/>
      <c r="CA2568" s="115"/>
      <c r="CB2568" s="115"/>
      <c r="CC2568" s="115"/>
      <c r="CD2568" s="115"/>
      <c r="CE2568" s="115"/>
      <c r="CF2568" s="115"/>
      <c r="CG2568" s="115"/>
      <c r="CH2568" s="115"/>
      <c r="CI2568" s="115"/>
      <c r="CJ2568" s="115"/>
      <c r="CK2568" s="115"/>
      <c r="CL2568" s="115"/>
      <c r="CM2568" s="115"/>
      <c r="CN2568" s="115"/>
      <c r="CO2568" s="115"/>
      <c r="CP2568" s="115"/>
      <c r="CQ2568" s="115"/>
      <c r="CR2568" s="115"/>
      <c r="CS2568" s="115"/>
      <c r="CT2568" s="115"/>
      <c r="CU2568" s="115"/>
      <c r="CV2568" s="115"/>
      <c r="CW2568" s="115"/>
      <c r="CX2568" s="115"/>
      <c r="CY2568" s="115"/>
      <c r="CZ2568" s="115"/>
      <c r="DA2568" s="115"/>
      <c r="DB2568" s="115"/>
      <c r="DC2568" s="115"/>
      <c r="DD2568" s="115"/>
      <c r="DE2568" s="115"/>
      <c r="DF2568" s="115"/>
      <c r="DG2568" s="115"/>
    </row>
    <row r="2569" spans="55:111" hidden="1">
      <c r="BC2569" s="115"/>
      <c r="BD2569" s="115"/>
      <c r="BE2569" s="115"/>
      <c r="BF2569" s="115"/>
      <c r="BG2569" s="115"/>
      <c r="BH2569" s="115"/>
      <c r="BI2569" s="115"/>
      <c r="BJ2569" s="115"/>
      <c r="BK2569" s="115"/>
      <c r="BL2569" s="115"/>
      <c r="BM2569" s="115"/>
      <c r="BN2569" s="115"/>
      <c r="BO2569" s="115"/>
      <c r="BP2569" s="115"/>
      <c r="BQ2569" s="115"/>
      <c r="BR2569" s="115"/>
      <c r="BS2569" s="115"/>
      <c r="BT2569" s="115"/>
      <c r="BU2569" s="115"/>
      <c r="BV2569" s="115"/>
      <c r="BW2569" s="115"/>
      <c r="BX2569" s="115"/>
      <c r="BY2569" s="115"/>
      <c r="BZ2569" s="115"/>
      <c r="CA2569" s="115"/>
      <c r="CB2569" s="115"/>
      <c r="CC2569" s="115"/>
      <c r="CD2569" s="115"/>
      <c r="CE2569" s="115"/>
      <c r="CF2569" s="115"/>
      <c r="CG2569" s="115"/>
      <c r="CH2569" s="115"/>
      <c r="CI2569" s="115"/>
      <c r="CJ2569" s="115"/>
      <c r="CK2569" s="115"/>
      <c r="CL2569" s="115"/>
      <c r="CM2569" s="115"/>
      <c r="CN2569" s="115"/>
      <c r="CO2569" s="115"/>
      <c r="CP2569" s="115"/>
      <c r="CQ2569" s="115"/>
      <c r="CR2569" s="115"/>
      <c r="CS2569" s="115"/>
      <c r="CT2569" s="115"/>
      <c r="CU2569" s="115"/>
      <c r="CV2569" s="115"/>
      <c r="CW2569" s="115"/>
      <c r="CX2569" s="115"/>
      <c r="CY2569" s="115"/>
      <c r="CZ2569" s="115"/>
      <c r="DA2569" s="115"/>
      <c r="DB2569" s="115"/>
      <c r="DC2569" s="115"/>
      <c r="DD2569" s="115"/>
      <c r="DE2569" s="115"/>
      <c r="DF2569" s="115"/>
      <c r="DG2569" s="115"/>
    </row>
    <row r="2570" spans="55:111" hidden="1">
      <c r="BC2570" s="115"/>
      <c r="BD2570" s="115"/>
      <c r="BE2570" s="115"/>
      <c r="BF2570" s="115"/>
      <c r="BG2570" s="115"/>
      <c r="BH2570" s="115"/>
      <c r="BI2570" s="115"/>
      <c r="BJ2570" s="115"/>
      <c r="BK2570" s="115"/>
      <c r="BL2570" s="115"/>
      <c r="BM2570" s="115"/>
      <c r="BN2570" s="115"/>
      <c r="BO2570" s="115"/>
      <c r="BP2570" s="115"/>
      <c r="BQ2570" s="115"/>
      <c r="BR2570" s="115"/>
      <c r="BS2570" s="115"/>
      <c r="BT2570" s="115"/>
      <c r="BU2570" s="115"/>
      <c r="BV2570" s="115"/>
      <c r="BW2570" s="115"/>
      <c r="BX2570" s="115"/>
      <c r="BY2570" s="115"/>
      <c r="BZ2570" s="115"/>
      <c r="CA2570" s="115"/>
      <c r="CB2570" s="115"/>
      <c r="CC2570" s="115"/>
      <c r="CD2570" s="115"/>
      <c r="CE2570" s="115"/>
      <c r="CF2570" s="115"/>
      <c r="CG2570" s="115"/>
      <c r="CH2570" s="115"/>
      <c r="CI2570" s="115"/>
      <c r="CJ2570" s="115"/>
      <c r="CK2570" s="115"/>
      <c r="CL2570" s="115"/>
      <c r="CM2570" s="115"/>
      <c r="CN2570" s="115"/>
      <c r="CO2570" s="115"/>
      <c r="CP2570" s="115"/>
      <c r="CQ2570" s="115"/>
      <c r="CR2570" s="115"/>
      <c r="CS2570" s="115"/>
      <c r="CT2570" s="115"/>
      <c r="CU2570" s="115"/>
      <c r="CV2570" s="115"/>
      <c r="CW2570" s="115"/>
      <c r="CX2570" s="115"/>
      <c r="CY2570" s="115"/>
      <c r="CZ2570" s="115"/>
      <c r="DA2570" s="115"/>
      <c r="DB2570" s="115"/>
      <c r="DC2570" s="115"/>
      <c r="DD2570" s="115"/>
      <c r="DE2570" s="115"/>
      <c r="DF2570" s="115"/>
      <c r="DG2570" s="115"/>
    </row>
    <row r="2571" spans="55:111" hidden="1">
      <c r="BC2571" s="115"/>
      <c r="BD2571" s="115"/>
      <c r="BE2571" s="115"/>
      <c r="BF2571" s="115"/>
      <c r="BG2571" s="115"/>
      <c r="BH2571" s="115"/>
      <c r="BI2571" s="115"/>
      <c r="BJ2571" s="115"/>
      <c r="BK2571" s="115"/>
      <c r="BL2571" s="115"/>
      <c r="BM2571" s="115"/>
      <c r="BN2571" s="115"/>
      <c r="BO2571" s="115"/>
      <c r="BP2571" s="115"/>
      <c r="BQ2571" s="115"/>
      <c r="BR2571" s="115"/>
      <c r="BS2571" s="115"/>
      <c r="BT2571" s="115"/>
      <c r="BU2571" s="115"/>
      <c r="BV2571" s="115"/>
      <c r="BW2571" s="115"/>
      <c r="BX2571" s="115"/>
      <c r="BY2571" s="115"/>
      <c r="BZ2571" s="115"/>
      <c r="CA2571" s="115"/>
      <c r="CB2571" s="115"/>
      <c r="CC2571" s="115"/>
      <c r="CD2571" s="115"/>
      <c r="CE2571" s="115"/>
      <c r="CF2571" s="115"/>
      <c r="CG2571" s="115"/>
      <c r="CH2571" s="115"/>
      <c r="CI2571" s="115"/>
      <c r="CJ2571" s="115"/>
      <c r="CK2571" s="115"/>
      <c r="CL2571" s="115"/>
      <c r="CM2571" s="115"/>
      <c r="CN2571" s="115"/>
      <c r="CO2571" s="115"/>
      <c r="CP2571" s="115"/>
      <c r="CQ2571" s="115"/>
      <c r="CR2571" s="115"/>
      <c r="CS2571" s="115"/>
      <c r="CT2571" s="115"/>
      <c r="CU2571" s="115"/>
      <c r="CV2571" s="115"/>
      <c r="CW2571" s="115"/>
      <c r="CX2571" s="115"/>
      <c r="CY2571" s="115"/>
      <c r="CZ2571" s="115"/>
      <c r="DA2571" s="115"/>
      <c r="DB2571" s="115"/>
      <c r="DC2571" s="115"/>
      <c r="DD2571" s="115"/>
      <c r="DE2571" s="115"/>
      <c r="DF2571" s="115"/>
      <c r="DG2571" s="115"/>
    </row>
    <row r="2572" spans="55:111" hidden="1">
      <c r="BC2572" s="115"/>
      <c r="BD2572" s="115"/>
      <c r="BE2572" s="115"/>
      <c r="BF2572" s="115"/>
      <c r="BG2572" s="115"/>
      <c r="BH2572" s="115"/>
      <c r="BI2572" s="115"/>
      <c r="BJ2572" s="115"/>
      <c r="BK2572" s="115"/>
      <c r="BL2572" s="115"/>
      <c r="BM2572" s="115"/>
      <c r="BN2572" s="115"/>
      <c r="BO2572" s="115"/>
      <c r="BP2572" s="115"/>
      <c r="BQ2572" s="115"/>
      <c r="BR2572" s="115"/>
      <c r="BS2572" s="115"/>
      <c r="BT2572" s="115"/>
      <c r="BU2572" s="115"/>
      <c r="BV2572" s="115"/>
      <c r="BW2572" s="115"/>
      <c r="BX2572" s="115"/>
      <c r="BY2572" s="115"/>
      <c r="BZ2572" s="115"/>
      <c r="CA2572" s="115"/>
      <c r="CB2572" s="115"/>
      <c r="CC2572" s="115"/>
      <c r="CD2572" s="115"/>
      <c r="CE2572" s="115"/>
      <c r="CF2572" s="115"/>
      <c r="CG2572" s="115"/>
      <c r="CH2572" s="115"/>
      <c r="CI2572" s="115"/>
      <c r="CJ2572" s="115"/>
      <c r="CK2572" s="115"/>
      <c r="CL2572" s="115"/>
      <c r="CM2572" s="115"/>
      <c r="CN2572" s="115"/>
      <c r="CO2572" s="115"/>
      <c r="CP2572" s="115"/>
      <c r="CQ2572" s="115"/>
      <c r="CR2572" s="115"/>
      <c r="CS2572" s="115"/>
      <c r="CT2572" s="115"/>
      <c r="CU2572" s="115"/>
      <c r="CV2572" s="115"/>
      <c r="CW2572" s="115"/>
      <c r="CX2572" s="115"/>
      <c r="CY2572" s="115"/>
      <c r="CZ2572" s="115"/>
      <c r="DA2572" s="115"/>
      <c r="DB2572" s="115"/>
      <c r="DC2572" s="115"/>
      <c r="DD2572" s="115"/>
      <c r="DE2572" s="115"/>
      <c r="DF2572" s="115"/>
      <c r="DG2572" s="115"/>
    </row>
    <row r="2573" spans="55:111" hidden="1">
      <c r="BC2573" s="115"/>
      <c r="BD2573" s="115"/>
      <c r="BE2573" s="115"/>
      <c r="BF2573" s="115"/>
      <c r="BG2573" s="115"/>
      <c r="BH2573" s="115"/>
      <c r="BI2573" s="115"/>
      <c r="BJ2573" s="115"/>
      <c r="BK2573" s="115"/>
      <c r="BL2573" s="115"/>
      <c r="BM2573" s="115"/>
      <c r="BN2573" s="115"/>
      <c r="BO2573" s="115"/>
      <c r="BP2573" s="115"/>
      <c r="BQ2573" s="115"/>
      <c r="BR2573" s="115"/>
      <c r="BS2573" s="115"/>
      <c r="BT2573" s="115"/>
      <c r="BU2573" s="115"/>
      <c r="BV2573" s="115"/>
      <c r="BW2573" s="115"/>
      <c r="BX2573" s="115"/>
      <c r="BY2573" s="115"/>
      <c r="BZ2573" s="115"/>
      <c r="CA2573" s="115"/>
      <c r="CB2573" s="115"/>
      <c r="CC2573" s="115"/>
      <c r="CD2573" s="115"/>
      <c r="CE2573" s="115"/>
      <c r="CF2573" s="115"/>
      <c r="CG2573" s="115"/>
      <c r="CH2573" s="115"/>
      <c r="CI2573" s="115"/>
      <c r="CJ2573" s="115"/>
      <c r="CK2573" s="115"/>
      <c r="CL2573" s="115"/>
      <c r="CM2573" s="115"/>
      <c r="CN2573" s="115"/>
      <c r="CO2573" s="115"/>
      <c r="CP2573" s="115"/>
      <c r="CQ2573" s="115"/>
      <c r="CR2573" s="115"/>
      <c r="CS2573" s="115"/>
      <c r="CT2573" s="115"/>
      <c r="CU2573" s="115"/>
      <c r="CV2573" s="115"/>
      <c r="CW2573" s="115"/>
      <c r="CX2573" s="115"/>
      <c r="CY2573" s="115"/>
      <c r="CZ2573" s="115"/>
      <c r="DA2573" s="115"/>
      <c r="DB2573" s="115"/>
      <c r="DC2573" s="115"/>
      <c r="DD2573" s="115"/>
      <c r="DE2573" s="115"/>
      <c r="DF2573" s="115"/>
      <c r="DG2573" s="115"/>
    </row>
    <row r="2574" spans="55:111" hidden="1">
      <c r="BC2574" s="115"/>
      <c r="BD2574" s="115"/>
      <c r="BE2574" s="115"/>
      <c r="BF2574" s="115"/>
      <c r="BG2574" s="115"/>
      <c r="BH2574" s="115"/>
      <c r="BI2574" s="115"/>
      <c r="BJ2574" s="115"/>
      <c r="BK2574" s="115"/>
      <c r="BL2574" s="115"/>
      <c r="BM2574" s="115"/>
      <c r="BN2574" s="115"/>
      <c r="BO2574" s="115"/>
      <c r="BP2574" s="115"/>
      <c r="BQ2574" s="115"/>
      <c r="BR2574" s="115"/>
      <c r="BS2574" s="115"/>
      <c r="BT2574" s="115"/>
      <c r="BU2574" s="115"/>
      <c r="BV2574" s="115"/>
      <c r="BW2574" s="115"/>
      <c r="BX2574" s="115"/>
      <c r="BY2574" s="115"/>
      <c r="BZ2574" s="115"/>
      <c r="CA2574" s="115"/>
      <c r="CB2574" s="115"/>
      <c r="CC2574" s="115"/>
      <c r="CD2574" s="115"/>
      <c r="CE2574" s="115"/>
      <c r="CF2574" s="115"/>
      <c r="CG2574" s="115"/>
      <c r="CH2574" s="115"/>
      <c r="CI2574" s="115"/>
      <c r="CJ2574" s="115"/>
      <c r="CK2574" s="115"/>
      <c r="CL2574" s="115"/>
      <c r="CM2574" s="115"/>
      <c r="CN2574" s="115"/>
      <c r="CO2574" s="115"/>
      <c r="CP2574" s="115"/>
      <c r="CQ2574" s="115"/>
      <c r="CR2574" s="115"/>
      <c r="CS2574" s="115"/>
      <c r="CT2574" s="115"/>
      <c r="CU2574" s="115"/>
      <c r="CV2574" s="115"/>
      <c r="CW2574" s="115"/>
      <c r="CX2574" s="115"/>
      <c r="CY2574" s="115"/>
      <c r="CZ2574" s="115"/>
      <c r="DA2574" s="115"/>
      <c r="DB2574" s="115"/>
      <c r="DC2574" s="115"/>
      <c r="DD2574" s="115"/>
      <c r="DE2574" s="115"/>
      <c r="DF2574" s="115"/>
      <c r="DG2574" s="115"/>
    </row>
    <row r="2575" spans="55:111" hidden="1">
      <c r="BC2575" s="115"/>
      <c r="BD2575" s="115"/>
      <c r="BE2575" s="115"/>
      <c r="BF2575" s="115"/>
      <c r="BG2575" s="115"/>
      <c r="BH2575" s="115"/>
      <c r="BI2575" s="115"/>
      <c r="BJ2575" s="115"/>
      <c r="BK2575" s="115"/>
      <c r="BL2575" s="115"/>
      <c r="BM2575" s="115"/>
      <c r="BN2575" s="115"/>
      <c r="BO2575" s="115"/>
      <c r="BP2575" s="115"/>
      <c r="BQ2575" s="115"/>
      <c r="BR2575" s="115"/>
      <c r="BS2575" s="115"/>
      <c r="BT2575" s="115"/>
      <c r="BU2575" s="115"/>
      <c r="BV2575" s="115"/>
      <c r="BW2575" s="115"/>
      <c r="BX2575" s="115"/>
      <c r="BY2575" s="115"/>
      <c r="BZ2575" s="115"/>
      <c r="CA2575" s="115"/>
      <c r="CB2575" s="115"/>
      <c r="CC2575" s="115"/>
      <c r="CD2575" s="115"/>
      <c r="CE2575" s="115"/>
      <c r="CF2575" s="115"/>
      <c r="CG2575" s="115"/>
      <c r="CH2575" s="115"/>
      <c r="CI2575" s="115"/>
      <c r="CJ2575" s="115"/>
      <c r="CK2575" s="115"/>
      <c r="CL2575" s="115"/>
      <c r="CM2575" s="115"/>
      <c r="CN2575" s="115"/>
      <c r="CO2575" s="115"/>
      <c r="CP2575" s="115"/>
      <c r="CQ2575" s="115"/>
      <c r="CR2575" s="115"/>
      <c r="CS2575" s="115"/>
      <c r="CT2575" s="115"/>
      <c r="CU2575" s="115"/>
      <c r="CV2575" s="115"/>
      <c r="CW2575" s="115"/>
      <c r="CX2575" s="115"/>
      <c r="CY2575" s="115"/>
      <c r="CZ2575" s="115"/>
      <c r="DA2575" s="115"/>
      <c r="DB2575" s="115"/>
      <c r="DC2575" s="115"/>
      <c r="DD2575" s="115"/>
      <c r="DE2575" s="115"/>
      <c r="DF2575" s="115"/>
      <c r="DG2575" s="115"/>
    </row>
    <row r="2576" spans="55:111" hidden="1">
      <c r="BC2576" s="115"/>
      <c r="BD2576" s="115"/>
      <c r="BE2576" s="115"/>
      <c r="BF2576" s="115"/>
      <c r="BG2576" s="115"/>
      <c r="BH2576" s="115"/>
      <c r="BI2576" s="115"/>
      <c r="BJ2576" s="115"/>
      <c r="BK2576" s="115"/>
      <c r="BL2576" s="115"/>
      <c r="BM2576" s="115"/>
      <c r="BN2576" s="115"/>
      <c r="BO2576" s="115"/>
      <c r="BP2576" s="115"/>
      <c r="BQ2576" s="115"/>
      <c r="BR2576" s="115"/>
      <c r="BS2576" s="115"/>
      <c r="BT2576" s="115"/>
      <c r="BU2576" s="115"/>
      <c r="BV2576" s="115"/>
      <c r="BW2576" s="115"/>
      <c r="BX2576" s="115"/>
      <c r="BY2576" s="115"/>
      <c r="BZ2576" s="115"/>
      <c r="CA2576" s="115"/>
      <c r="CB2576" s="115"/>
      <c r="CC2576" s="115"/>
      <c r="CD2576" s="115"/>
      <c r="CE2576" s="115"/>
      <c r="CF2576" s="115"/>
      <c r="CG2576" s="115"/>
      <c r="CH2576" s="115"/>
      <c r="CI2576" s="115"/>
      <c r="CJ2576" s="115"/>
      <c r="CK2576" s="115"/>
      <c r="CL2576" s="115"/>
      <c r="CM2576" s="115"/>
      <c r="CN2576" s="115"/>
      <c r="CO2576" s="115"/>
      <c r="CP2576" s="115"/>
      <c r="CQ2576" s="115"/>
      <c r="CR2576" s="115"/>
      <c r="CS2576" s="115"/>
      <c r="CT2576" s="115"/>
      <c r="CU2576" s="115"/>
      <c r="CV2576" s="115"/>
      <c r="CW2576" s="115"/>
      <c r="CX2576" s="115"/>
      <c r="CY2576" s="115"/>
      <c r="CZ2576" s="115"/>
      <c r="DA2576" s="115"/>
      <c r="DB2576" s="115"/>
      <c r="DC2576" s="115"/>
      <c r="DD2576" s="115"/>
      <c r="DE2576" s="115"/>
      <c r="DF2576" s="115"/>
      <c r="DG2576" s="115"/>
    </row>
    <row r="2577" spans="55:111" hidden="1">
      <c r="BC2577" s="115"/>
      <c r="BD2577" s="115"/>
      <c r="BE2577" s="115"/>
      <c r="BF2577" s="115"/>
      <c r="BG2577" s="115"/>
      <c r="BH2577" s="115"/>
      <c r="BI2577" s="115"/>
      <c r="BJ2577" s="115"/>
      <c r="BK2577" s="115"/>
      <c r="BL2577" s="115"/>
      <c r="BM2577" s="115"/>
      <c r="BN2577" s="115"/>
      <c r="BO2577" s="115"/>
      <c r="BP2577" s="115"/>
      <c r="BQ2577" s="115"/>
      <c r="BR2577" s="115"/>
      <c r="BS2577" s="115"/>
      <c r="BT2577" s="115"/>
      <c r="BU2577" s="115"/>
      <c r="BV2577" s="115"/>
      <c r="BW2577" s="115"/>
      <c r="BX2577" s="115"/>
      <c r="BY2577" s="115"/>
      <c r="BZ2577" s="115"/>
      <c r="CA2577" s="115"/>
      <c r="CB2577" s="115"/>
      <c r="CC2577" s="115"/>
      <c r="CD2577" s="115"/>
      <c r="CE2577" s="115"/>
      <c r="CF2577" s="115"/>
      <c r="CG2577" s="115"/>
      <c r="CH2577" s="115"/>
      <c r="CI2577" s="115"/>
      <c r="CJ2577" s="115"/>
      <c r="CK2577" s="115"/>
      <c r="CL2577" s="115"/>
      <c r="CM2577" s="115"/>
      <c r="CN2577" s="115"/>
      <c r="CO2577" s="115"/>
      <c r="CP2577" s="115"/>
      <c r="CQ2577" s="115"/>
      <c r="CR2577" s="115"/>
      <c r="CS2577" s="115"/>
      <c r="CT2577" s="115"/>
      <c r="CU2577" s="115"/>
      <c r="CV2577" s="115"/>
      <c r="CW2577" s="115"/>
      <c r="CX2577" s="115"/>
      <c r="CY2577" s="115"/>
      <c r="CZ2577" s="115"/>
      <c r="DA2577" s="115"/>
      <c r="DB2577" s="115"/>
      <c r="DC2577" s="115"/>
      <c r="DD2577" s="115"/>
      <c r="DE2577" s="115"/>
      <c r="DF2577" s="115"/>
      <c r="DG2577" s="115"/>
    </row>
    <row r="2578" spans="55:111" hidden="1">
      <c r="BC2578" s="115"/>
      <c r="BD2578" s="115"/>
      <c r="BE2578" s="115"/>
      <c r="BF2578" s="115"/>
      <c r="BG2578" s="115"/>
      <c r="BH2578" s="115"/>
      <c r="BI2578" s="115"/>
      <c r="BJ2578" s="115"/>
      <c r="BK2578" s="115"/>
      <c r="BL2578" s="115"/>
      <c r="BM2578" s="115"/>
      <c r="BN2578" s="115"/>
      <c r="BO2578" s="115"/>
      <c r="BP2578" s="115"/>
      <c r="BQ2578" s="115"/>
      <c r="BR2578" s="115"/>
      <c r="BS2578" s="115"/>
      <c r="BT2578" s="115"/>
      <c r="BU2578" s="115"/>
      <c r="BV2578" s="115"/>
      <c r="BW2578" s="115"/>
      <c r="BX2578" s="115"/>
      <c r="BY2578" s="115"/>
      <c r="BZ2578" s="115"/>
      <c r="CA2578" s="115"/>
      <c r="CB2578" s="115"/>
      <c r="CC2578" s="115"/>
      <c r="CD2578" s="115"/>
      <c r="CE2578" s="115"/>
      <c r="CF2578" s="115"/>
      <c r="CG2578" s="115"/>
      <c r="CH2578" s="115"/>
      <c r="CI2578" s="115"/>
      <c r="CJ2578" s="115"/>
      <c r="CK2578" s="115"/>
      <c r="CL2578" s="115"/>
      <c r="CM2578" s="115"/>
      <c r="CN2578" s="115"/>
      <c r="CO2578" s="115"/>
      <c r="CP2578" s="115"/>
      <c r="CQ2578" s="115"/>
      <c r="CR2578" s="115"/>
      <c r="CS2578" s="115"/>
      <c r="CT2578" s="115"/>
      <c r="CU2578" s="115"/>
      <c r="CV2578" s="115"/>
      <c r="CW2578" s="115"/>
      <c r="CX2578" s="115"/>
      <c r="CY2578" s="115"/>
      <c r="CZ2578" s="115"/>
      <c r="DA2578" s="115"/>
      <c r="DB2578" s="115"/>
      <c r="DC2578" s="115"/>
      <c r="DD2578" s="115"/>
      <c r="DE2578" s="115"/>
      <c r="DF2578" s="115"/>
      <c r="DG2578" s="115"/>
    </row>
    <row r="2579" spans="55:111" hidden="1">
      <c r="BC2579" s="115"/>
      <c r="BD2579" s="115"/>
      <c r="BE2579" s="115"/>
      <c r="BF2579" s="115"/>
      <c r="BG2579" s="115"/>
      <c r="BH2579" s="115"/>
      <c r="BI2579" s="115"/>
      <c r="BJ2579" s="115"/>
      <c r="BK2579" s="115"/>
      <c r="BL2579" s="115"/>
      <c r="BM2579" s="115"/>
      <c r="BN2579" s="115"/>
      <c r="BO2579" s="115"/>
      <c r="BP2579" s="115"/>
      <c r="BQ2579" s="115"/>
      <c r="BR2579" s="115"/>
      <c r="BS2579" s="115"/>
      <c r="BT2579" s="115"/>
      <c r="BU2579" s="115"/>
      <c r="BV2579" s="115"/>
      <c r="BW2579" s="115"/>
      <c r="BX2579" s="115"/>
      <c r="BY2579" s="115"/>
      <c r="BZ2579" s="115"/>
      <c r="CA2579" s="115"/>
      <c r="CB2579" s="115"/>
      <c r="CC2579" s="115"/>
      <c r="CD2579" s="115"/>
      <c r="CE2579" s="115"/>
      <c r="CF2579" s="115"/>
      <c r="CG2579" s="115"/>
      <c r="CH2579" s="115"/>
      <c r="CI2579" s="115"/>
      <c r="CJ2579" s="115"/>
      <c r="CK2579" s="115"/>
      <c r="CL2579" s="115"/>
      <c r="CM2579" s="115"/>
      <c r="CN2579" s="115"/>
      <c r="CO2579" s="115"/>
      <c r="CP2579" s="115"/>
      <c r="CQ2579" s="115"/>
      <c r="CR2579" s="115"/>
      <c r="CS2579" s="115"/>
      <c r="CT2579" s="115"/>
      <c r="CU2579" s="115"/>
      <c r="CV2579" s="115"/>
      <c r="CW2579" s="115"/>
      <c r="CX2579" s="115"/>
      <c r="CY2579" s="115"/>
      <c r="CZ2579" s="115"/>
      <c r="DA2579" s="115"/>
      <c r="DB2579" s="115"/>
      <c r="DC2579" s="115"/>
      <c r="DD2579" s="115"/>
      <c r="DE2579" s="115"/>
      <c r="DF2579" s="115"/>
      <c r="DG2579" s="115"/>
    </row>
    <row r="2580" spans="55:111" hidden="1">
      <c r="BC2580" s="115"/>
      <c r="BD2580" s="115"/>
      <c r="BE2580" s="115"/>
      <c r="BF2580" s="115"/>
      <c r="BG2580" s="115"/>
      <c r="BH2580" s="115"/>
      <c r="BI2580" s="115"/>
      <c r="BJ2580" s="115"/>
      <c r="BK2580" s="115"/>
      <c r="BL2580" s="115"/>
      <c r="BM2580" s="115"/>
      <c r="BN2580" s="115"/>
      <c r="BO2580" s="115"/>
      <c r="BP2580" s="115"/>
      <c r="BQ2580" s="115"/>
      <c r="BR2580" s="115"/>
      <c r="BS2580" s="115"/>
      <c r="BT2580" s="115"/>
      <c r="BU2580" s="115"/>
      <c r="BV2580" s="115"/>
      <c r="BW2580" s="115"/>
      <c r="BX2580" s="115"/>
      <c r="BY2580" s="115"/>
      <c r="BZ2580" s="115"/>
      <c r="CA2580" s="115"/>
      <c r="CB2580" s="115"/>
      <c r="CC2580" s="115"/>
      <c r="CD2580" s="115"/>
      <c r="CE2580" s="115"/>
      <c r="CF2580" s="115"/>
      <c r="CG2580" s="115"/>
      <c r="CH2580" s="115"/>
      <c r="CI2580" s="115"/>
      <c r="CJ2580" s="115"/>
      <c r="CK2580" s="115"/>
      <c r="CL2580" s="115"/>
      <c r="CM2580" s="115"/>
      <c r="CN2580" s="115"/>
      <c r="CO2580" s="115"/>
      <c r="CP2580" s="115"/>
      <c r="CQ2580" s="115"/>
      <c r="CR2580" s="115"/>
      <c r="CS2580" s="115"/>
      <c r="CT2580" s="115"/>
      <c r="CU2580" s="115"/>
      <c r="CV2580" s="115"/>
      <c r="CW2580" s="115"/>
      <c r="CX2580" s="115"/>
      <c r="CY2580" s="115"/>
      <c r="CZ2580" s="115"/>
      <c r="DA2580" s="115"/>
      <c r="DB2580" s="115"/>
      <c r="DC2580" s="115"/>
      <c r="DD2580" s="115"/>
      <c r="DE2580" s="115"/>
      <c r="DF2580" s="115"/>
      <c r="DG2580" s="115"/>
    </row>
    <row r="2581" spans="55:111" hidden="1">
      <c r="BC2581" s="115"/>
      <c r="BD2581" s="115"/>
      <c r="BE2581" s="115"/>
      <c r="BF2581" s="115"/>
      <c r="BG2581" s="115"/>
      <c r="BH2581" s="115"/>
      <c r="BI2581" s="115"/>
      <c r="BJ2581" s="115"/>
      <c r="BK2581" s="115"/>
      <c r="BL2581" s="115"/>
      <c r="BM2581" s="115"/>
      <c r="BN2581" s="115"/>
      <c r="BO2581" s="115"/>
      <c r="BP2581" s="115"/>
      <c r="BQ2581" s="115"/>
      <c r="BR2581" s="115"/>
      <c r="BS2581" s="115"/>
      <c r="BT2581" s="115"/>
      <c r="BU2581" s="115"/>
      <c r="BV2581" s="115"/>
      <c r="BW2581" s="115"/>
      <c r="BX2581" s="115"/>
      <c r="BY2581" s="115"/>
      <c r="BZ2581" s="115"/>
      <c r="CA2581" s="115"/>
      <c r="CB2581" s="115"/>
      <c r="CC2581" s="115"/>
      <c r="CD2581" s="115"/>
      <c r="CE2581" s="115"/>
      <c r="CF2581" s="115"/>
      <c r="CG2581" s="115"/>
      <c r="CH2581" s="115"/>
      <c r="CI2581" s="115"/>
      <c r="CJ2581" s="115"/>
      <c r="CK2581" s="115"/>
      <c r="CL2581" s="115"/>
      <c r="CM2581" s="115"/>
      <c r="CN2581" s="115"/>
      <c r="CO2581" s="115"/>
      <c r="CP2581" s="115"/>
      <c r="CQ2581" s="115"/>
      <c r="CR2581" s="115"/>
      <c r="CS2581" s="115"/>
      <c r="CT2581" s="115"/>
      <c r="CU2581" s="115"/>
      <c r="CV2581" s="115"/>
      <c r="CW2581" s="115"/>
      <c r="CX2581" s="115"/>
      <c r="CY2581" s="115"/>
      <c r="CZ2581" s="115"/>
      <c r="DA2581" s="115"/>
      <c r="DB2581" s="115"/>
      <c r="DC2581" s="115"/>
      <c r="DD2581" s="115"/>
      <c r="DE2581" s="115"/>
      <c r="DF2581" s="115"/>
      <c r="DG2581" s="115"/>
    </row>
    <row r="2582" spans="55:111" hidden="1">
      <c r="BC2582" s="115"/>
      <c r="BD2582" s="115"/>
      <c r="BE2582" s="115"/>
      <c r="BF2582" s="115"/>
      <c r="BG2582" s="115"/>
      <c r="BH2582" s="115"/>
      <c r="BI2582" s="115"/>
      <c r="BJ2582" s="115"/>
      <c r="BK2582" s="115"/>
      <c r="BL2582" s="115"/>
      <c r="BM2582" s="115"/>
      <c r="BN2582" s="115"/>
      <c r="BO2582" s="115"/>
      <c r="BP2582" s="115"/>
      <c r="BQ2582" s="115"/>
      <c r="BR2582" s="115"/>
      <c r="BS2582" s="115"/>
      <c r="BT2582" s="115"/>
      <c r="BU2582" s="115"/>
      <c r="BV2582" s="115"/>
      <c r="BW2582" s="115"/>
      <c r="BX2582" s="115"/>
      <c r="BY2582" s="115"/>
      <c r="BZ2582" s="115"/>
      <c r="CA2582" s="115"/>
      <c r="CB2582" s="115"/>
      <c r="CC2582" s="115"/>
      <c r="CD2582" s="115"/>
      <c r="CE2582" s="115"/>
      <c r="CF2582" s="115"/>
      <c r="CG2582" s="115"/>
      <c r="CH2582" s="115"/>
      <c r="CI2582" s="115"/>
      <c r="CJ2582" s="115"/>
      <c r="CK2582" s="115"/>
      <c r="CL2582" s="115"/>
      <c r="CM2582" s="115"/>
      <c r="CN2582" s="115"/>
      <c r="CO2582" s="115"/>
      <c r="CP2582" s="115"/>
      <c r="CQ2582" s="115"/>
      <c r="CR2582" s="115"/>
      <c r="CS2582" s="115"/>
      <c r="CT2582" s="115"/>
      <c r="CU2582" s="115"/>
      <c r="CV2582" s="115"/>
      <c r="CW2582" s="115"/>
      <c r="CX2582" s="115"/>
      <c r="CY2582" s="115"/>
      <c r="CZ2582" s="115"/>
      <c r="DA2582" s="115"/>
      <c r="DB2582" s="115"/>
      <c r="DC2582" s="115"/>
      <c r="DD2582" s="115"/>
      <c r="DE2582" s="115"/>
      <c r="DF2582" s="115"/>
      <c r="DG2582" s="115"/>
    </row>
    <row r="2583" spans="55:111" hidden="1">
      <c r="BC2583" s="115"/>
      <c r="BD2583" s="115"/>
      <c r="BE2583" s="115"/>
      <c r="BF2583" s="115"/>
      <c r="BG2583" s="115"/>
      <c r="BH2583" s="115"/>
      <c r="BI2583" s="115"/>
      <c r="BJ2583" s="115"/>
      <c r="BK2583" s="115"/>
      <c r="BL2583" s="115"/>
      <c r="BM2583" s="115"/>
      <c r="BN2583" s="115"/>
      <c r="BO2583" s="115"/>
      <c r="BP2583" s="115"/>
      <c r="BQ2583" s="115"/>
      <c r="BR2583" s="115"/>
      <c r="BS2583" s="115"/>
      <c r="BT2583" s="115"/>
      <c r="BU2583" s="115"/>
      <c r="BV2583" s="115"/>
      <c r="BW2583" s="115"/>
      <c r="BX2583" s="115"/>
      <c r="BY2583" s="115"/>
      <c r="BZ2583" s="115"/>
      <c r="CA2583" s="115"/>
      <c r="CB2583" s="115"/>
      <c r="CC2583" s="115"/>
      <c r="CD2583" s="115"/>
      <c r="CE2583" s="115"/>
      <c r="CF2583" s="115"/>
      <c r="CG2583" s="115"/>
      <c r="CH2583" s="115"/>
      <c r="CI2583" s="115"/>
      <c r="CJ2583" s="115"/>
      <c r="CK2583" s="115"/>
      <c r="CL2583" s="115"/>
      <c r="CM2583" s="115"/>
      <c r="CN2583" s="115"/>
      <c r="CO2583" s="115"/>
      <c r="CP2583" s="115"/>
      <c r="CQ2583" s="115"/>
      <c r="CR2583" s="115"/>
      <c r="CS2583" s="115"/>
      <c r="CT2583" s="115"/>
      <c r="CU2583" s="115"/>
      <c r="CV2583" s="115"/>
      <c r="CW2583" s="115"/>
      <c r="CX2583" s="115"/>
      <c r="CY2583" s="115"/>
      <c r="CZ2583" s="115"/>
      <c r="DA2583" s="115"/>
      <c r="DB2583" s="115"/>
      <c r="DC2583" s="115"/>
      <c r="DD2583" s="115"/>
      <c r="DE2583" s="115"/>
      <c r="DF2583" s="115"/>
      <c r="DG2583" s="115"/>
    </row>
    <row r="2584" spans="55:111" hidden="1">
      <c r="BC2584" s="115"/>
      <c r="BD2584" s="115"/>
      <c r="BE2584" s="115"/>
      <c r="BF2584" s="115"/>
      <c r="BG2584" s="115"/>
      <c r="BH2584" s="115"/>
      <c r="BI2584" s="115"/>
      <c r="BJ2584" s="115"/>
      <c r="BK2584" s="115"/>
      <c r="BL2584" s="115"/>
      <c r="BM2584" s="115"/>
      <c r="BN2584" s="115"/>
      <c r="BO2584" s="115"/>
      <c r="BP2584" s="115"/>
      <c r="BQ2584" s="115"/>
      <c r="BR2584" s="115"/>
      <c r="BS2584" s="115"/>
      <c r="BT2584" s="115"/>
      <c r="BU2584" s="115"/>
      <c r="BV2584" s="115"/>
      <c r="BW2584" s="115"/>
      <c r="BX2584" s="115"/>
      <c r="BY2584" s="115"/>
      <c r="BZ2584" s="115"/>
      <c r="CA2584" s="115"/>
      <c r="CB2584" s="115"/>
      <c r="CC2584" s="115"/>
      <c r="CD2584" s="115"/>
      <c r="CE2584" s="115"/>
      <c r="CF2584" s="115"/>
      <c r="CG2584" s="115"/>
      <c r="CH2584" s="115"/>
      <c r="CI2584" s="115"/>
      <c r="CJ2584" s="115"/>
      <c r="CK2584" s="115"/>
      <c r="CL2584" s="115"/>
      <c r="CM2584" s="115"/>
      <c r="CN2584" s="115"/>
      <c r="CO2584" s="115"/>
      <c r="CP2584" s="115"/>
      <c r="CQ2584" s="115"/>
      <c r="CR2584" s="115"/>
      <c r="CS2584" s="115"/>
      <c r="CT2584" s="115"/>
      <c r="CU2584" s="115"/>
      <c r="CV2584" s="115"/>
      <c r="CW2584" s="115"/>
      <c r="CX2584" s="115"/>
      <c r="CY2584" s="115"/>
      <c r="CZ2584" s="115"/>
      <c r="DA2584" s="115"/>
      <c r="DB2584" s="115"/>
      <c r="DC2584" s="115"/>
      <c r="DD2584" s="115"/>
      <c r="DE2584" s="115"/>
      <c r="DF2584" s="115"/>
      <c r="DG2584" s="115"/>
    </row>
    <row r="2585" spans="55:111" hidden="1">
      <c r="BC2585" s="115"/>
      <c r="BD2585" s="115"/>
      <c r="BE2585" s="115"/>
      <c r="BF2585" s="115"/>
      <c r="BG2585" s="115"/>
      <c r="BH2585" s="115"/>
      <c r="BI2585" s="115"/>
      <c r="BJ2585" s="115"/>
      <c r="BK2585" s="115"/>
      <c r="BL2585" s="115"/>
      <c r="BM2585" s="115"/>
      <c r="BN2585" s="115"/>
      <c r="BO2585" s="115"/>
      <c r="BP2585" s="115"/>
      <c r="BQ2585" s="115"/>
      <c r="BR2585" s="115"/>
      <c r="BS2585" s="115"/>
      <c r="BT2585" s="115"/>
      <c r="BU2585" s="115"/>
      <c r="BV2585" s="115"/>
      <c r="BW2585" s="115"/>
      <c r="BX2585" s="115"/>
      <c r="BY2585" s="115"/>
      <c r="BZ2585" s="115"/>
      <c r="CA2585" s="115"/>
      <c r="CB2585" s="115"/>
      <c r="CC2585" s="115"/>
      <c r="CD2585" s="115"/>
      <c r="CE2585" s="115"/>
      <c r="CF2585" s="115"/>
      <c r="CG2585" s="115"/>
      <c r="CH2585" s="115"/>
      <c r="CI2585" s="115"/>
      <c r="CJ2585" s="115"/>
      <c r="CK2585" s="115"/>
      <c r="CL2585" s="115"/>
      <c r="CM2585" s="115"/>
      <c r="CN2585" s="115"/>
      <c r="CO2585" s="115"/>
      <c r="CP2585" s="115"/>
      <c r="CQ2585" s="115"/>
      <c r="CR2585" s="115"/>
      <c r="CS2585" s="115"/>
      <c r="CT2585" s="115"/>
      <c r="CU2585" s="115"/>
      <c r="CV2585" s="115"/>
      <c r="CW2585" s="115"/>
      <c r="CX2585" s="115"/>
      <c r="CY2585" s="115"/>
      <c r="CZ2585" s="115"/>
      <c r="DA2585" s="115"/>
      <c r="DB2585" s="115"/>
      <c r="DC2585" s="115"/>
      <c r="DD2585" s="115"/>
      <c r="DE2585" s="115"/>
      <c r="DF2585" s="115"/>
      <c r="DG2585" s="115"/>
    </row>
    <row r="2586" spans="55:111" hidden="1">
      <c r="BC2586" s="115"/>
      <c r="BD2586" s="115"/>
      <c r="BE2586" s="115"/>
      <c r="BF2586" s="115"/>
      <c r="BG2586" s="115"/>
      <c r="BH2586" s="115"/>
      <c r="BI2586" s="115"/>
      <c r="BJ2586" s="115"/>
      <c r="BK2586" s="115"/>
      <c r="BL2586" s="115"/>
      <c r="BM2586" s="115"/>
      <c r="BN2586" s="115"/>
      <c r="BO2586" s="115"/>
      <c r="BP2586" s="115"/>
      <c r="BQ2586" s="115"/>
      <c r="BR2586" s="115"/>
      <c r="BS2586" s="115"/>
      <c r="BT2586" s="115"/>
      <c r="BU2586" s="115"/>
      <c r="BV2586" s="115"/>
      <c r="BW2586" s="115"/>
      <c r="BX2586" s="115"/>
      <c r="BY2586" s="115"/>
      <c r="BZ2586" s="115"/>
      <c r="CA2586" s="115"/>
      <c r="CB2586" s="115"/>
      <c r="CC2586" s="115"/>
      <c r="CD2586" s="115"/>
      <c r="CE2586" s="115"/>
      <c r="CF2586" s="115"/>
      <c r="CG2586" s="115"/>
      <c r="CH2586" s="115"/>
      <c r="CI2586" s="115"/>
      <c r="CJ2586" s="115"/>
      <c r="CK2586" s="115"/>
      <c r="CL2586" s="115"/>
      <c r="CM2586" s="115"/>
      <c r="CN2586" s="115"/>
      <c r="CO2586" s="115"/>
      <c r="CP2586" s="115"/>
      <c r="CQ2586" s="115"/>
      <c r="CR2586" s="115"/>
      <c r="CS2586" s="115"/>
      <c r="CT2586" s="115"/>
      <c r="CU2586" s="115"/>
      <c r="CV2586" s="115"/>
      <c r="CW2586" s="115"/>
      <c r="CX2586" s="115"/>
      <c r="CY2586" s="115"/>
      <c r="CZ2586" s="115"/>
      <c r="DA2586" s="115"/>
      <c r="DB2586" s="115"/>
      <c r="DC2586" s="115"/>
      <c r="DD2586" s="115"/>
      <c r="DE2586" s="115"/>
      <c r="DF2586" s="115"/>
      <c r="DG2586" s="115"/>
    </row>
    <row r="2587" spans="55:111" hidden="1">
      <c r="BC2587" s="115"/>
      <c r="BD2587" s="115"/>
      <c r="BE2587" s="115"/>
      <c r="BF2587" s="115"/>
      <c r="BG2587" s="115"/>
      <c r="BH2587" s="115"/>
      <c r="BI2587" s="115"/>
      <c r="BJ2587" s="115"/>
      <c r="BK2587" s="115"/>
      <c r="BL2587" s="115"/>
      <c r="BM2587" s="115"/>
      <c r="BN2587" s="115"/>
      <c r="BO2587" s="115"/>
      <c r="BP2587" s="115"/>
      <c r="BQ2587" s="115"/>
      <c r="BR2587" s="115"/>
      <c r="BS2587" s="115"/>
      <c r="BT2587" s="115"/>
      <c r="BU2587" s="115"/>
      <c r="BV2587" s="115"/>
      <c r="BW2587" s="115"/>
      <c r="BX2587" s="115"/>
      <c r="BY2587" s="115"/>
      <c r="BZ2587" s="115"/>
      <c r="CA2587" s="115"/>
      <c r="CB2587" s="115"/>
      <c r="CC2587" s="115"/>
      <c r="CD2587" s="115"/>
      <c r="CE2587" s="115"/>
      <c r="CF2587" s="115"/>
      <c r="CG2587" s="115"/>
      <c r="CH2587" s="115"/>
      <c r="CI2587" s="115"/>
      <c r="CJ2587" s="115"/>
      <c r="CK2587" s="115"/>
      <c r="CL2587" s="115"/>
      <c r="CM2587" s="115"/>
      <c r="CN2587" s="115"/>
      <c r="CO2587" s="115"/>
      <c r="CP2587" s="115"/>
      <c r="CQ2587" s="115"/>
      <c r="CR2587" s="115"/>
      <c r="CS2587" s="115"/>
      <c r="CT2587" s="115"/>
      <c r="CU2587" s="115"/>
      <c r="CV2587" s="115"/>
      <c r="CW2587" s="115"/>
      <c r="CX2587" s="115"/>
      <c r="CY2587" s="115"/>
      <c r="CZ2587" s="115"/>
      <c r="DA2587" s="115"/>
      <c r="DB2587" s="115"/>
      <c r="DC2587" s="115"/>
      <c r="DD2587" s="115"/>
      <c r="DE2587" s="115"/>
      <c r="DF2587" s="115"/>
      <c r="DG2587" s="115"/>
    </row>
    <row r="2588" spans="55:111" hidden="1">
      <c r="BC2588" s="115"/>
      <c r="BD2588" s="115"/>
      <c r="BE2588" s="115"/>
      <c r="BF2588" s="115"/>
      <c r="BG2588" s="115"/>
      <c r="BH2588" s="115"/>
      <c r="BI2588" s="115"/>
      <c r="BJ2588" s="115"/>
      <c r="BK2588" s="115"/>
      <c r="BL2588" s="115"/>
      <c r="BM2588" s="115"/>
      <c r="BN2588" s="115"/>
      <c r="BO2588" s="115"/>
      <c r="BP2588" s="115"/>
      <c r="BQ2588" s="115"/>
      <c r="BR2588" s="115"/>
      <c r="BS2588" s="115"/>
      <c r="BT2588" s="115"/>
      <c r="BU2588" s="115"/>
      <c r="BV2588" s="115"/>
      <c r="BW2588" s="115"/>
      <c r="BX2588" s="115"/>
      <c r="BY2588" s="115"/>
      <c r="BZ2588" s="115"/>
      <c r="CA2588" s="115"/>
      <c r="CB2588" s="115"/>
      <c r="CC2588" s="115"/>
      <c r="CD2588" s="115"/>
      <c r="CE2588" s="115"/>
      <c r="CF2588" s="115"/>
      <c r="CG2588" s="115"/>
      <c r="CH2588" s="115"/>
      <c r="CI2588" s="115"/>
      <c r="CJ2588" s="115"/>
      <c r="CK2588" s="115"/>
      <c r="CL2588" s="115"/>
      <c r="CM2588" s="115"/>
      <c r="CN2588" s="115"/>
      <c r="CO2588" s="115"/>
      <c r="CP2588" s="115"/>
      <c r="CQ2588" s="115"/>
      <c r="CR2588" s="115"/>
      <c r="CS2588" s="115"/>
      <c r="CT2588" s="115"/>
      <c r="CU2588" s="115"/>
      <c r="CV2588" s="115"/>
      <c r="CW2588" s="115"/>
      <c r="CX2588" s="115"/>
      <c r="CY2588" s="115"/>
      <c r="CZ2588" s="115"/>
      <c r="DA2588" s="115"/>
      <c r="DB2588" s="115"/>
      <c r="DC2588" s="115"/>
      <c r="DD2588" s="115"/>
      <c r="DE2588" s="115"/>
      <c r="DF2588" s="115"/>
      <c r="DG2588" s="115"/>
    </row>
    <row r="2589" spans="55:111" hidden="1">
      <c r="BC2589" s="115"/>
      <c r="BD2589" s="115"/>
      <c r="BE2589" s="115"/>
      <c r="BF2589" s="115"/>
      <c r="BG2589" s="115"/>
      <c r="BH2589" s="115"/>
      <c r="BI2589" s="115"/>
      <c r="BJ2589" s="115"/>
      <c r="BK2589" s="115"/>
      <c r="BL2589" s="115"/>
      <c r="BM2589" s="115"/>
      <c r="BN2589" s="115"/>
      <c r="BO2589" s="115"/>
      <c r="BP2589" s="115"/>
      <c r="BQ2589" s="115"/>
      <c r="BR2589" s="115"/>
      <c r="BS2589" s="115"/>
      <c r="BT2589" s="115"/>
      <c r="BU2589" s="115"/>
      <c r="BV2589" s="115"/>
      <c r="BW2589" s="115"/>
      <c r="BX2589" s="115"/>
      <c r="BY2589" s="115"/>
      <c r="BZ2589" s="115"/>
      <c r="CA2589" s="115"/>
      <c r="CB2589" s="115"/>
      <c r="CC2589" s="115"/>
      <c r="CD2589" s="115"/>
      <c r="CE2589" s="115"/>
      <c r="CF2589" s="115"/>
      <c r="CG2589" s="115"/>
      <c r="CH2589" s="115"/>
      <c r="CI2589" s="115"/>
      <c r="CJ2589" s="115"/>
      <c r="CK2589" s="115"/>
      <c r="CL2589" s="115"/>
      <c r="CM2589" s="115"/>
      <c r="CN2589" s="115"/>
      <c r="CO2589" s="115"/>
      <c r="CP2589" s="115"/>
      <c r="CQ2589" s="115"/>
      <c r="CR2589" s="115"/>
      <c r="CS2589" s="115"/>
      <c r="CT2589" s="115"/>
      <c r="CU2589" s="115"/>
      <c r="CV2589" s="115"/>
      <c r="CW2589" s="115"/>
      <c r="CX2589" s="115"/>
      <c r="CY2589" s="115"/>
      <c r="CZ2589" s="115"/>
      <c r="DA2589" s="115"/>
      <c r="DB2589" s="115"/>
      <c r="DC2589" s="115"/>
      <c r="DD2589" s="115"/>
      <c r="DE2589" s="115"/>
      <c r="DF2589" s="115"/>
      <c r="DG2589" s="115"/>
    </row>
    <row r="2590" spans="55:111" hidden="1">
      <c r="BC2590" s="115"/>
      <c r="BD2590" s="115"/>
      <c r="BE2590" s="115"/>
      <c r="BF2590" s="115"/>
      <c r="BG2590" s="115"/>
      <c r="BH2590" s="115"/>
      <c r="BI2590" s="115"/>
      <c r="BJ2590" s="115"/>
      <c r="BK2590" s="115"/>
      <c r="BL2590" s="115"/>
      <c r="BM2590" s="115"/>
      <c r="BN2590" s="115"/>
      <c r="BO2590" s="115"/>
      <c r="BP2590" s="115"/>
      <c r="BQ2590" s="115"/>
      <c r="BR2590" s="115"/>
      <c r="BS2590" s="115"/>
      <c r="BT2590" s="115"/>
      <c r="BU2590" s="115"/>
      <c r="BV2590" s="115"/>
      <c r="BW2590" s="115"/>
      <c r="BX2590" s="115"/>
      <c r="BY2590" s="115"/>
      <c r="BZ2590" s="115"/>
      <c r="CA2590" s="115"/>
      <c r="CB2590" s="115"/>
      <c r="CC2590" s="115"/>
      <c r="CD2590" s="115"/>
      <c r="CE2590" s="115"/>
      <c r="CF2590" s="115"/>
      <c r="CG2590" s="115"/>
      <c r="CH2590" s="115"/>
      <c r="CI2590" s="115"/>
      <c r="CJ2590" s="115"/>
      <c r="CK2590" s="115"/>
      <c r="CL2590" s="115"/>
      <c r="CM2590" s="115"/>
      <c r="CN2590" s="115"/>
      <c r="CO2590" s="115"/>
      <c r="CP2590" s="115"/>
      <c r="CQ2590" s="115"/>
      <c r="CR2590" s="115"/>
      <c r="CS2590" s="115"/>
      <c r="CT2590" s="115"/>
      <c r="CU2590" s="115"/>
      <c r="CV2590" s="115"/>
      <c r="CW2590" s="115"/>
      <c r="CX2590" s="115"/>
      <c r="CY2590" s="115"/>
      <c r="CZ2590" s="115"/>
      <c r="DA2590" s="115"/>
      <c r="DB2590" s="115"/>
      <c r="DC2590" s="115"/>
      <c r="DD2590" s="115"/>
      <c r="DE2590" s="115"/>
      <c r="DF2590" s="115"/>
      <c r="DG2590" s="115"/>
    </row>
    <row r="2591" spans="55:111" hidden="1">
      <c r="BC2591" s="115"/>
      <c r="BD2591" s="115"/>
      <c r="BE2591" s="115"/>
      <c r="BF2591" s="115"/>
      <c r="BG2591" s="115"/>
      <c r="BH2591" s="115"/>
      <c r="BI2591" s="115"/>
      <c r="BJ2591" s="115"/>
      <c r="BK2591" s="115"/>
      <c r="BL2591" s="115"/>
      <c r="BM2591" s="115"/>
      <c r="BN2591" s="115"/>
      <c r="BO2591" s="115"/>
      <c r="BP2591" s="115"/>
      <c r="BQ2591" s="115"/>
      <c r="BR2591" s="115"/>
      <c r="BS2591" s="115"/>
      <c r="BT2591" s="115"/>
      <c r="BU2591" s="115"/>
      <c r="BV2591" s="115"/>
      <c r="BW2591" s="115"/>
      <c r="BX2591" s="115"/>
      <c r="BY2591" s="115"/>
      <c r="BZ2591" s="115"/>
      <c r="CA2591" s="115"/>
      <c r="CB2591" s="115"/>
      <c r="CC2591" s="115"/>
      <c r="CD2591" s="115"/>
      <c r="CE2591" s="115"/>
      <c r="CF2591" s="115"/>
      <c r="CG2591" s="115"/>
      <c r="CH2591" s="115"/>
      <c r="CI2591" s="115"/>
      <c r="CJ2591" s="115"/>
      <c r="CK2591" s="115"/>
      <c r="CL2591" s="115"/>
      <c r="CM2591" s="115"/>
      <c r="CN2591" s="115"/>
      <c r="CO2591" s="115"/>
      <c r="CP2591" s="115"/>
      <c r="CQ2591" s="115"/>
      <c r="CR2591" s="115"/>
      <c r="CS2591" s="115"/>
      <c r="CT2591" s="115"/>
      <c r="CU2591" s="115"/>
      <c r="CV2591" s="115"/>
      <c r="CW2591" s="115"/>
      <c r="CX2591" s="115"/>
      <c r="CY2591" s="115"/>
      <c r="CZ2591" s="115"/>
      <c r="DA2591" s="115"/>
      <c r="DB2591" s="115"/>
      <c r="DC2591" s="115"/>
      <c r="DD2591" s="115"/>
      <c r="DE2591" s="115"/>
      <c r="DF2591" s="115"/>
      <c r="DG2591" s="115"/>
    </row>
    <row r="2592" spans="55:111" hidden="1">
      <c r="BC2592" s="115"/>
      <c r="BD2592" s="115"/>
      <c r="BE2592" s="115"/>
      <c r="BF2592" s="115"/>
      <c r="BG2592" s="115"/>
      <c r="BH2592" s="115"/>
      <c r="BI2592" s="115"/>
      <c r="BJ2592" s="115"/>
      <c r="BK2592" s="115"/>
      <c r="BL2592" s="115"/>
      <c r="BM2592" s="115"/>
      <c r="BN2592" s="115"/>
      <c r="BO2592" s="115"/>
      <c r="BP2592" s="115"/>
      <c r="BQ2592" s="115"/>
      <c r="BR2592" s="115"/>
      <c r="BS2592" s="115"/>
      <c r="BT2592" s="115"/>
      <c r="BU2592" s="115"/>
      <c r="BV2592" s="115"/>
      <c r="BW2592" s="115"/>
      <c r="BX2592" s="115"/>
      <c r="BY2592" s="115"/>
      <c r="BZ2592" s="115"/>
      <c r="CA2592" s="115"/>
      <c r="CB2592" s="115"/>
      <c r="CC2592" s="115"/>
      <c r="CD2592" s="115"/>
      <c r="CE2592" s="115"/>
      <c r="CF2592" s="115"/>
      <c r="CG2592" s="115"/>
      <c r="CH2592" s="115"/>
      <c r="CI2592" s="115"/>
      <c r="CJ2592" s="115"/>
      <c r="CK2592" s="115"/>
      <c r="CL2592" s="115"/>
      <c r="CM2592" s="115"/>
      <c r="CN2592" s="115"/>
      <c r="CO2592" s="115"/>
      <c r="CP2592" s="115"/>
      <c r="CQ2592" s="115"/>
      <c r="CR2592" s="115"/>
      <c r="CS2592" s="115"/>
      <c r="CT2592" s="115"/>
      <c r="CU2592" s="115"/>
      <c r="CV2592" s="115"/>
      <c r="CW2592" s="115"/>
      <c r="CX2592" s="115"/>
      <c r="CY2592" s="115"/>
      <c r="CZ2592" s="115"/>
      <c r="DA2592" s="115"/>
      <c r="DB2592" s="115"/>
      <c r="DC2592" s="115"/>
      <c r="DD2592" s="115"/>
      <c r="DE2592" s="115"/>
      <c r="DF2592" s="115"/>
      <c r="DG2592" s="115"/>
    </row>
    <row r="2593" spans="55:111" hidden="1">
      <c r="BC2593" s="115"/>
      <c r="BD2593" s="115"/>
      <c r="BE2593" s="115"/>
      <c r="BF2593" s="115"/>
      <c r="BG2593" s="115"/>
      <c r="BH2593" s="115"/>
      <c r="BI2593" s="115"/>
      <c r="BJ2593" s="115"/>
      <c r="BK2593" s="115"/>
      <c r="BL2593" s="115"/>
      <c r="BM2593" s="115"/>
      <c r="BN2593" s="115"/>
      <c r="BO2593" s="115"/>
      <c r="BP2593" s="115"/>
      <c r="BQ2593" s="115"/>
      <c r="BR2593" s="115"/>
      <c r="BS2593" s="115"/>
      <c r="BT2593" s="115"/>
      <c r="BU2593" s="115"/>
      <c r="BV2593" s="115"/>
      <c r="BW2593" s="115"/>
      <c r="BX2593" s="115"/>
      <c r="BY2593" s="115"/>
      <c r="BZ2593" s="115"/>
      <c r="CA2593" s="115"/>
      <c r="CB2593" s="115"/>
      <c r="CC2593" s="115"/>
      <c r="CD2593" s="115"/>
      <c r="CE2593" s="115"/>
      <c r="CF2593" s="115"/>
      <c r="CG2593" s="115"/>
      <c r="CH2593" s="115"/>
      <c r="CI2593" s="115"/>
      <c r="CJ2593" s="115"/>
      <c r="CK2593" s="115"/>
      <c r="CL2593" s="115"/>
      <c r="CM2593" s="115"/>
      <c r="CN2593" s="115"/>
      <c r="CO2593" s="115"/>
      <c r="CP2593" s="115"/>
      <c r="CQ2593" s="115"/>
      <c r="CR2593" s="115"/>
      <c r="CS2593" s="115"/>
      <c r="CT2593" s="115"/>
      <c r="CU2593" s="115"/>
      <c r="CV2593" s="115"/>
      <c r="CW2593" s="115"/>
      <c r="CX2593" s="115"/>
      <c r="CY2593" s="115"/>
      <c r="CZ2593" s="115"/>
      <c r="DA2593" s="115"/>
      <c r="DB2593" s="115"/>
      <c r="DC2593" s="115"/>
      <c r="DD2593" s="115"/>
      <c r="DE2593" s="115"/>
      <c r="DF2593" s="115"/>
      <c r="DG2593" s="115"/>
    </row>
    <row r="2594" spans="55:111" hidden="1">
      <c r="BC2594" s="115"/>
      <c r="BD2594" s="115"/>
      <c r="BE2594" s="115"/>
      <c r="BF2594" s="115"/>
      <c r="BG2594" s="115"/>
      <c r="BH2594" s="115"/>
      <c r="BI2594" s="115"/>
      <c r="BJ2594" s="115"/>
      <c r="BK2594" s="115"/>
      <c r="BL2594" s="115"/>
      <c r="BM2594" s="115"/>
      <c r="BN2594" s="115"/>
      <c r="BO2594" s="115"/>
      <c r="BP2594" s="115"/>
      <c r="BQ2594" s="115"/>
      <c r="BR2594" s="115"/>
      <c r="BS2594" s="115"/>
      <c r="BT2594" s="115"/>
      <c r="BU2594" s="115"/>
      <c r="BV2594" s="115"/>
      <c r="BW2594" s="115"/>
      <c r="BX2594" s="115"/>
      <c r="BY2594" s="115"/>
      <c r="BZ2594" s="115"/>
      <c r="CA2594" s="115"/>
      <c r="CB2594" s="115"/>
      <c r="CC2594" s="115"/>
      <c r="CD2594" s="115"/>
      <c r="CE2594" s="115"/>
      <c r="CF2594" s="115"/>
      <c r="CG2594" s="115"/>
      <c r="CH2594" s="115"/>
      <c r="CI2594" s="115"/>
      <c r="CJ2594" s="115"/>
      <c r="CK2594" s="115"/>
      <c r="CL2594" s="115"/>
      <c r="CM2594" s="115"/>
      <c r="CN2594" s="115"/>
      <c r="CO2594" s="115"/>
      <c r="CP2594" s="115"/>
      <c r="CQ2594" s="115"/>
      <c r="CR2594" s="115"/>
      <c r="CS2594" s="115"/>
      <c r="CT2594" s="115"/>
      <c r="CU2594" s="115"/>
      <c r="CV2594" s="115"/>
      <c r="CW2594" s="115"/>
      <c r="CX2594" s="115"/>
      <c r="CY2594" s="115"/>
      <c r="CZ2594" s="115"/>
      <c r="DA2594" s="115"/>
      <c r="DB2594" s="115"/>
      <c r="DC2594" s="115"/>
      <c r="DD2594" s="115"/>
      <c r="DE2594" s="115"/>
      <c r="DF2594" s="115"/>
      <c r="DG2594" s="115"/>
    </row>
    <row r="2595" spans="55:111" hidden="1">
      <c r="BC2595" s="115"/>
      <c r="BD2595" s="115"/>
      <c r="BE2595" s="115"/>
      <c r="BF2595" s="115"/>
      <c r="BG2595" s="115"/>
      <c r="BH2595" s="115"/>
      <c r="BI2595" s="115"/>
      <c r="BJ2595" s="115"/>
      <c r="BK2595" s="115"/>
      <c r="BL2595" s="115"/>
      <c r="BM2595" s="115"/>
      <c r="BN2595" s="115"/>
      <c r="BO2595" s="115"/>
      <c r="BP2595" s="115"/>
      <c r="BQ2595" s="115"/>
      <c r="BR2595" s="115"/>
      <c r="BS2595" s="115"/>
      <c r="BT2595" s="115"/>
      <c r="BU2595" s="115"/>
      <c r="BV2595" s="115"/>
      <c r="BW2595" s="115"/>
      <c r="BX2595" s="115"/>
      <c r="BY2595" s="115"/>
      <c r="BZ2595" s="115"/>
      <c r="CA2595" s="115"/>
      <c r="CB2595" s="115"/>
      <c r="CC2595" s="115"/>
      <c r="CD2595" s="115"/>
      <c r="CE2595" s="115"/>
      <c r="CF2595" s="115"/>
      <c r="CG2595" s="115"/>
      <c r="CH2595" s="115"/>
      <c r="CI2595" s="115"/>
      <c r="CJ2595" s="115"/>
      <c r="CK2595" s="115"/>
      <c r="CL2595" s="115"/>
      <c r="CM2595" s="115"/>
      <c r="CN2595" s="115"/>
      <c r="CO2595" s="115"/>
      <c r="CP2595" s="115"/>
      <c r="CQ2595" s="115"/>
      <c r="CR2595" s="115"/>
      <c r="CS2595" s="115"/>
      <c r="CT2595" s="115"/>
      <c r="CU2595" s="115"/>
      <c r="CV2595" s="115"/>
      <c r="CW2595" s="115"/>
      <c r="CX2595" s="115"/>
      <c r="CY2595" s="115"/>
      <c r="CZ2595" s="115"/>
      <c r="DA2595" s="115"/>
      <c r="DB2595" s="115"/>
      <c r="DC2595" s="115"/>
      <c r="DD2595" s="115"/>
      <c r="DE2595" s="115"/>
      <c r="DF2595" s="115"/>
      <c r="DG2595" s="115"/>
    </row>
    <row r="2596" spans="55:111" hidden="1">
      <c r="BC2596" s="115"/>
      <c r="BD2596" s="115"/>
      <c r="BE2596" s="115"/>
      <c r="BF2596" s="115"/>
      <c r="BG2596" s="115"/>
      <c r="BH2596" s="115"/>
      <c r="BI2596" s="115"/>
      <c r="BJ2596" s="115"/>
      <c r="BK2596" s="115"/>
      <c r="BL2596" s="115"/>
      <c r="BM2596" s="115"/>
      <c r="BN2596" s="115"/>
      <c r="BO2596" s="115"/>
      <c r="BP2596" s="115"/>
      <c r="BQ2596" s="115"/>
      <c r="BR2596" s="115"/>
      <c r="BS2596" s="115"/>
      <c r="BT2596" s="115"/>
      <c r="BU2596" s="115"/>
      <c r="BV2596" s="115"/>
      <c r="BW2596" s="115"/>
      <c r="BX2596" s="115"/>
      <c r="BY2596" s="115"/>
      <c r="BZ2596" s="115"/>
      <c r="CA2596" s="115"/>
      <c r="CB2596" s="115"/>
      <c r="CC2596" s="115"/>
      <c r="CD2596" s="115"/>
      <c r="CE2596" s="115"/>
      <c r="CF2596" s="115"/>
      <c r="CG2596" s="115"/>
      <c r="CH2596" s="115"/>
      <c r="CI2596" s="115"/>
      <c r="CJ2596" s="115"/>
      <c r="CK2596" s="115"/>
      <c r="CL2596" s="115"/>
      <c r="CM2596" s="115"/>
      <c r="CN2596" s="115"/>
      <c r="CO2596" s="115"/>
      <c r="CP2596" s="115"/>
      <c r="CQ2596" s="115"/>
      <c r="CR2596" s="115"/>
      <c r="CS2596" s="115"/>
      <c r="CT2596" s="115"/>
      <c r="CU2596" s="115"/>
      <c r="CV2596" s="115"/>
      <c r="CW2596" s="115"/>
      <c r="CX2596" s="115"/>
      <c r="CY2596" s="115"/>
      <c r="CZ2596" s="115"/>
      <c r="DA2596" s="115"/>
      <c r="DB2596" s="115"/>
      <c r="DC2596" s="115"/>
      <c r="DD2596" s="115"/>
      <c r="DE2596" s="115"/>
      <c r="DF2596" s="115"/>
      <c r="DG2596" s="115"/>
    </row>
    <row r="2597" spans="55:111" hidden="1">
      <c r="BC2597" s="115"/>
      <c r="BD2597" s="115"/>
      <c r="BE2597" s="115"/>
      <c r="BF2597" s="115"/>
      <c r="BG2597" s="115"/>
      <c r="BH2597" s="115"/>
      <c r="BI2597" s="115"/>
      <c r="BJ2597" s="115"/>
      <c r="BK2597" s="115"/>
      <c r="BL2597" s="115"/>
      <c r="BM2597" s="115"/>
      <c r="BN2597" s="115"/>
      <c r="BO2597" s="115"/>
      <c r="BP2597" s="115"/>
      <c r="BQ2597" s="115"/>
      <c r="BR2597" s="115"/>
      <c r="BS2597" s="115"/>
      <c r="BT2597" s="115"/>
      <c r="BU2597" s="115"/>
      <c r="BV2597" s="115"/>
      <c r="BW2597" s="115"/>
      <c r="BX2597" s="115"/>
      <c r="BY2597" s="115"/>
      <c r="BZ2597" s="115"/>
      <c r="CA2597" s="115"/>
      <c r="CB2597" s="115"/>
      <c r="CC2597" s="115"/>
      <c r="CD2597" s="115"/>
      <c r="CE2597" s="115"/>
      <c r="CF2597" s="115"/>
      <c r="CG2597" s="115"/>
      <c r="CH2597" s="115"/>
      <c r="CI2597" s="115"/>
      <c r="CJ2597" s="115"/>
      <c r="CK2597" s="115"/>
      <c r="CL2597" s="115"/>
      <c r="CM2597" s="115"/>
      <c r="CN2597" s="115"/>
      <c r="CO2597" s="115"/>
      <c r="CP2597" s="115"/>
      <c r="CQ2597" s="115"/>
      <c r="CR2597" s="115"/>
      <c r="CS2597" s="115"/>
      <c r="CT2597" s="115"/>
      <c r="CU2597" s="115"/>
      <c r="CV2597" s="115"/>
      <c r="CW2597" s="115"/>
      <c r="CX2597" s="115"/>
      <c r="CY2597" s="115"/>
      <c r="CZ2597" s="115"/>
      <c r="DA2597" s="115"/>
      <c r="DB2597" s="115"/>
      <c r="DC2597" s="115"/>
      <c r="DD2597" s="115"/>
      <c r="DE2597" s="115"/>
      <c r="DF2597" s="115"/>
      <c r="DG2597" s="115"/>
    </row>
    <row r="2598" spans="55:111" hidden="1">
      <c r="BC2598" s="115"/>
      <c r="BD2598" s="115"/>
      <c r="BE2598" s="115"/>
      <c r="BF2598" s="115"/>
      <c r="BG2598" s="115"/>
      <c r="BH2598" s="115"/>
      <c r="BI2598" s="115"/>
      <c r="BJ2598" s="115"/>
      <c r="BK2598" s="115"/>
      <c r="BL2598" s="115"/>
      <c r="BM2598" s="115"/>
      <c r="BN2598" s="115"/>
      <c r="BO2598" s="115"/>
      <c r="BP2598" s="115"/>
      <c r="BQ2598" s="115"/>
      <c r="BR2598" s="115"/>
      <c r="BS2598" s="115"/>
      <c r="BT2598" s="115"/>
      <c r="BU2598" s="115"/>
      <c r="BV2598" s="115"/>
      <c r="BW2598" s="115"/>
      <c r="BX2598" s="115"/>
      <c r="BY2598" s="115"/>
      <c r="BZ2598" s="115"/>
      <c r="CA2598" s="115"/>
      <c r="CB2598" s="115"/>
      <c r="CC2598" s="115"/>
      <c r="CD2598" s="115"/>
      <c r="CE2598" s="115"/>
      <c r="CF2598" s="115"/>
      <c r="CG2598" s="115"/>
      <c r="CH2598" s="115"/>
      <c r="CI2598" s="115"/>
      <c r="CJ2598" s="115"/>
      <c r="CK2598" s="115"/>
      <c r="CL2598" s="115"/>
      <c r="CM2598" s="115"/>
      <c r="CN2598" s="115"/>
      <c r="CO2598" s="115"/>
      <c r="CP2598" s="115"/>
      <c r="CQ2598" s="115"/>
      <c r="CR2598" s="115"/>
      <c r="CS2598" s="115"/>
      <c r="CT2598" s="115"/>
      <c r="CU2598" s="115"/>
      <c r="CV2598" s="115"/>
      <c r="CW2598" s="115"/>
      <c r="CX2598" s="115"/>
      <c r="CY2598" s="115"/>
      <c r="CZ2598" s="115"/>
      <c r="DA2598" s="115"/>
      <c r="DB2598" s="115"/>
      <c r="DC2598" s="115"/>
      <c r="DD2598" s="115"/>
      <c r="DE2598" s="115"/>
      <c r="DF2598" s="115"/>
      <c r="DG2598" s="115"/>
    </row>
    <row r="2599" spans="55:111" hidden="1">
      <c r="BC2599" s="115"/>
      <c r="BD2599" s="115"/>
      <c r="BE2599" s="115"/>
      <c r="BF2599" s="115"/>
      <c r="BG2599" s="115"/>
      <c r="BH2599" s="115"/>
      <c r="BI2599" s="115"/>
      <c r="BJ2599" s="115"/>
      <c r="BK2599" s="115"/>
      <c r="BL2599" s="115"/>
      <c r="BM2599" s="115"/>
      <c r="BN2599" s="115"/>
      <c r="BO2599" s="115"/>
      <c r="BP2599" s="115"/>
      <c r="BQ2599" s="115"/>
      <c r="BR2599" s="115"/>
      <c r="BS2599" s="115"/>
      <c r="BT2599" s="115"/>
      <c r="BU2599" s="115"/>
      <c r="BV2599" s="115"/>
      <c r="BW2599" s="115"/>
      <c r="BX2599" s="115"/>
      <c r="BY2599" s="115"/>
      <c r="BZ2599" s="115"/>
      <c r="CA2599" s="115"/>
      <c r="CB2599" s="115"/>
      <c r="CC2599" s="115"/>
      <c r="CD2599" s="115"/>
      <c r="CE2599" s="115"/>
      <c r="CF2599" s="115"/>
      <c r="CG2599" s="115"/>
      <c r="CH2599" s="115"/>
      <c r="CI2599" s="115"/>
      <c r="CJ2599" s="115"/>
      <c r="CK2599" s="115"/>
      <c r="CL2599" s="115"/>
      <c r="CM2599" s="115"/>
      <c r="CN2599" s="115"/>
      <c r="CO2599" s="115"/>
      <c r="CP2599" s="115"/>
      <c r="CQ2599" s="115"/>
      <c r="CR2599" s="115"/>
      <c r="CS2599" s="115"/>
      <c r="CT2599" s="115"/>
      <c r="CU2599" s="115"/>
      <c r="CV2599" s="115"/>
      <c r="CW2599" s="115"/>
      <c r="CX2599" s="115"/>
      <c r="CY2599" s="115"/>
      <c r="CZ2599" s="115"/>
      <c r="DA2599" s="115"/>
      <c r="DB2599" s="115"/>
      <c r="DC2599" s="115"/>
      <c r="DD2599" s="115"/>
      <c r="DE2599" s="115"/>
      <c r="DF2599" s="115"/>
      <c r="DG2599" s="115"/>
    </row>
    <row r="2600" spans="55:111" hidden="1">
      <c r="BC2600" s="115"/>
      <c r="BD2600" s="115"/>
      <c r="BE2600" s="115"/>
      <c r="BF2600" s="115"/>
      <c r="BG2600" s="115"/>
      <c r="BH2600" s="115"/>
      <c r="BI2600" s="115"/>
      <c r="BJ2600" s="115"/>
      <c r="BK2600" s="115"/>
      <c r="BL2600" s="115"/>
      <c r="BM2600" s="115"/>
      <c r="BN2600" s="115"/>
      <c r="BO2600" s="115"/>
      <c r="BP2600" s="115"/>
      <c r="BQ2600" s="115"/>
      <c r="BR2600" s="115"/>
      <c r="BS2600" s="115"/>
      <c r="BT2600" s="115"/>
      <c r="BU2600" s="115"/>
      <c r="BV2600" s="115"/>
      <c r="BW2600" s="115"/>
      <c r="BX2600" s="115"/>
      <c r="BY2600" s="115"/>
      <c r="BZ2600" s="115"/>
      <c r="CA2600" s="115"/>
      <c r="CB2600" s="115"/>
      <c r="CC2600" s="115"/>
      <c r="CD2600" s="115"/>
      <c r="CE2600" s="115"/>
      <c r="CF2600" s="115"/>
      <c r="CG2600" s="115"/>
      <c r="CH2600" s="115"/>
      <c r="CI2600" s="115"/>
      <c r="CJ2600" s="115"/>
      <c r="CK2600" s="115"/>
      <c r="CL2600" s="115"/>
      <c r="CM2600" s="115"/>
      <c r="CN2600" s="115"/>
      <c r="CO2600" s="115"/>
      <c r="CP2600" s="115"/>
      <c r="CQ2600" s="115"/>
      <c r="CR2600" s="115"/>
      <c r="CS2600" s="115"/>
      <c r="CT2600" s="115"/>
      <c r="CU2600" s="115"/>
      <c r="CV2600" s="115"/>
      <c r="CW2600" s="115"/>
      <c r="CX2600" s="115"/>
      <c r="CY2600" s="115"/>
      <c r="CZ2600" s="115"/>
      <c r="DA2600" s="115"/>
      <c r="DB2600" s="115"/>
      <c r="DC2600" s="115"/>
      <c r="DD2600" s="115"/>
      <c r="DE2600" s="115"/>
      <c r="DF2600" s="115"/>
      <c r="DG2600" s="115"/>
    </row>
    <row r="2601" spans="55:111" hidden="1">
      <c r="BC2601" s="115"/>
      <c r="BD2601" s="115"/>
      <c r="BE2601" s="115"/>
      <c r="BF2601" s="115"/>
      <c r="BG2601" s="115"/>
      <c r="BH2601" s="115"/>
      <c r="BI2601" s="115"/>
      <c r="BJ2601" s="115"/>
      <c r="BK2601" s="115"/>
      <c r="BL2601" s="115"/>
      <c r="BM2601" s="115"/>
      <c r="BN2601" s="115"/>
      <c r="BO2601" s="115"/>
      <c r="BP2601" s="115"/>
      <c r="BQ2601" s="115"/>
      <c r="BR2601" s="115"/>
      <c r="BS2601" s="115"/>
      <c r="BT2601" s="115"/>
      <c r="BU2601" s="115"/>
      <c r="BV2601" s="115"/>
      <c r="BW2601" s="115"/>
      <c r="BX2601" s="115"/>
      <c r="BY2601" s="115"/>
      <c r="BZ2601" s="115"/>
      <c r="CA2601" s="115"/>
      <c r="CB2601" s="115"/>
      <c r="CC2601" s="115"/>
      <c r="CD2601" s="115"/>
      <c r="CE2601" s="115"/>
      <c r="CF2601" s="115"/>
      <c r="CG2601" s="115"/>
      <c r="CH2601" s="115"/>
      <c r="CI2601" s="115"/>
      <c r="CJ2601" s="115"/>
      <c r="CK2601" s="115"/>
      <c r="CL2601" s="115"/>
      <c r="CM2601" s="115"/>
      <c r="CN2601" s="115"/>
      <c r="CO2601" s="115"/>
      <c r="CP2601" s="115"/>
      <c r="CQ2601" s="115"/>
      <c r="CR2601" s="115"/>
      <c r="CS2601" s="115"/>
      <c r="CT2601" s="115"/>
      <c r="CU2601" s="115"/>
      <c r="CV2601" s="115"/>
      <c r="CW2601" s="115"/>
      <c r="CX2601" s="115"/>
      <c r="CY2601" s="115"/>
      <c r="CZ2601" s="115"/>
      <c r="DA2601" s="115"/>
      <c r="DB2601" s="115"/>
      <c r="DC2601" s="115"/>
      <c r="DD2601" s="115"/>
      <c r="DE2601" s="115"/>
      <c r="DF2601" s="115"/>
      <c r="DG2601" s="115"/>
    </row>
    <row r="2602" spans="55:111" hidden="1">
      <c r="BC2602" s="115"/>
      <c r="BD2602" s="115"/>
      <c r="BE2602" s="115"/>
      <c r="BF2602" s="115"/>
      <c r="BG2602" s="115"/>
      <c r="BH2602" s="115"/>
      <c r="BI2602" s="115"/>
      <c r="BJ2602" s="115"/>
      <c r="BK2602" s="115"/>
      <c r="BL2602" s="115"/>
      <c r="BM2602" s="115"/>
      <c r="BN2602" s="115"/>
      <c r="BO2602" s="115"/>
      <c r="BP2602" s="115"/>
      <c r="BQ2602" s="115"/>
      <c r="BR2602" s="115"/>
      <c r="BS2602" s="115"/>
      <c r="BT2602" s="115"/>
      <c r="BU2602" s="115"/>
      <c r="BV2602" s="115"/>
      <c r="BW2602" s="115"/>
      <c r="BX2602" s="115"/>
      <c r="BY2602" s="115"/>
      <c r="BZ2602" s="115"/>
      <c r="CA2602" s="115"/>
      <c r="CB2602" s="115"/>
      <c r="CC2602" s="115"/>
      <c r="CD2602" s="115"/>
      <c r="CE2602" s="115"/>
      <c r="CF2602" s="115"/>
      <c r="CG2602" s="115"/>
      <c r="CH2602" s="115"/>
      <c r="CI2602" s="115"/>
      <c r="CJ2602" s="115"/>
      <c r="CK2602" s="115"/>
      <c r="CL2602" s="115"/>
      <c r="CM2602" s="115"/>
      <c r="CN2602" s="115"/>
      <c r="CO2602" s="115"/>
      <c r="CP2602" s="115"/>
      <c r="CQ2602" s="115"/>
      <c r="CR2602" s="115"/>
      <c r="CS2602" s="115"/>
      <c r="CT2602" s="115"/>
      <c r="CU2602" s="115"/>
      <c r="CV2602" s="115"/>
      <c r="CW2602" s="115"/>
      <c r="CX2602" s="115"/>
      <c r="CY2602" s="115"/>
      <c r="CZ2602" s="115"/>
      <c r="DA2602" s="115"/>
      <c r="DB2602" s="115"/>
      <c r="DC2602" s="115"/>
      <c r="DD2602" s="115"/>
      <c r="DE2602" s="115"/>
      <c r="DF2602" s="115"/>
      <c r="DG2602" s="115"/>
    </row>
    <row r="2603" spans="55:111" hidden="1">
      <c r="BC2603" s="115"/>
      <c r="BD2603" s="115"/>
      <c r="BE2603" s="115"/>
      <c r="BF2603" s="115"/>
      <c r="BG2603" s="115"/>
      <c r="BH2603" s="115"/>
      <c r="BI2603" s="115"/>
      <c r="BJ2603" s="115"/>
      <c r="BK2603" s="115"/>
      <c r="BL2603" s="115"/>
      <c r="BM2603" s="115"/>
      <c r="BN2603" s="115"/>
      <c r="BO2603" s="115"/>
      <c r="BP2603" s="115"/>
      <c r="BQ2603" s="115"/>
      <c r="BR2603" s="115"/>
      <c r="BS2603" s="115"/>
      <c r="BT2603" s="115"/>
      <c r="BU2603" s="115"/>
      <c r="BV2603" s="115"/>
      <c r="BW2603" s="115"/>
      <c r="BX2603" s="115"/>
      <c r="BY2603" s="115"/>
      <c r="BZ2603" s="115"/>
      <c r="CA2603" s="115"/>
      <c r="CB2603" s="115"/>
      <c r="CC2603" s="115"/>
      <c r="CD2603" s="115"/>
      <c r="CE2603" s="115"/>
      <c r="CF2603" s="115"/>
      <c r="CG2603" s="115"/>
      <c r="CH2603" s="115"/>
      <c r="CI2603" s="115"/>
      <c r="CJ2603" s="115"/>
      <c r="CK2603" s="115"/>
      <c r="CL2603" s="115"/>
      <c r="CM2603" s="115"/>
      <c r="CN2603" s="115"/>
      <c r="CO2603" s="115"/>
      <c r="CP2603" s="115"/>
      <c r="CQ2603" s="115"/>
      <c r="CR2603" s="115"/>
      <c r="CS2603" s="115"/>
      <c r="CT2603" s="115"/>
      <c r="CU2603" s="115"/>
      <c r="CV2603" s="115"/>
      <c r="CW2603" s="115"/>
      <c r="CX2603" s="115"/>
      <c r="CY2603" s="115"/>
      <c r="CZ2603" s="115"/>
      <c r="DA2603" s="115"/>
      <c r="DB2603" s="115"/>
      <c r="DC2603" s="115"/>
      <c r="DD2603" s="115"/>
      <c r="DE2603" s="115"/>
      <c r="DF2603" s="115"/>
      <c r="DG2603" s="115"/>
    </row>
    <row r="2604" spans="55:111" hidden="1">
      <c r="BC2604" s="115"/>
      <c r="BD2604" s="115"/>
      <c r="BE2604" s="115"/>
      <c r="BF2604" s="115"/>
      <c r="BG2604" s="115"/>
      <c r="BH2604" s="115"/>
      <c r="BI2604" s="115"/>
      <c r="BJ2604" s="115"/>
      <c r="BK2604" s="115"/>
      <c r="BL2604" s="115"/>
      <c r="BM2604" s="115"/>
      <c r="BN2604" s="115"/>
      <c r="BO2604" s="115"/>
      <c r="BP2604" s="115"/>
      <c r="BQ2604" s="115"/>
      <c r="BR2604" s="115"/>
      <c r="BS2604" s="115"/>
      <c r="BT2604" s="115"/>
      <c r="BU2604" s="115"/>
      <c r="BV2604" s="115"/>
      <c r="BW2604" s="115"/>
      <c r="BX2604" s="115"/>
      <c r="BY2604" s="115"/>
      <c r="BZ2604" s="115"/>
      <c r="CA2604" s="115"/>
      <c r="CB2604" s="115"/>
      <c r="CC2604" s="115"/>
      <c r="CD2604" s="115"/>
      <c r="CE2604" s="115"/>
      <c r="CF2604" s="115"/>
      <c r="CG2604" s="115"/>
      <c r="CH2604" s="115"/>
      <c r="CI2604" s="115"/>
      <c r="CJ2604" s="115"/>
      <c r="CK2604" s="115"/>
      <c r="CL2604" s="115"/>
      <c r="CM2604" s="115"/>
      <c r="CN2604" s="115"/>
      <c r="CO2604" s="115"/>
      <c r="CP2604" s="115"/>
      <c r="CQ2604" s="115"/>
      <c r="CR2604" s="115"/>
      <c r="CS2604" s="115"/>
      <c r="CT2604" s="115"/>
      <c r="CU2604" s="115"/>
      <c r="CV2604" s="115"/>
      <c r="CW2604" s="115"/>
      <c r="CX2604" s="115"/>
      <c r="CY2604" s="115"/>
      <c r="CZ2604" s="115"/>
      <c r="DA2604" s="115"/>
      <c r="DB2604" s="115"/>
      <c r="DC2604" s="115"/>
      <c r="DD2604" s="115"/>
      <c r="DE2604" s="115"/>
      <c r="DF2604" s="115"/>
      <c r="DG2604" s="115"/>
    </row>
    <row r="2605" spans="55:111" hidden="1">
      <c r="BC2605" s="115"/>
      <c r="BD2605" s="115"/>
      <c r="BE2605" s="115"/>
      <c r="BF2605" s="115"/>
      <c r="BG2605" s="115"/>
      <c r="BH2605" s="115"/>
      <c r="BI2605" s="115"/>
      <c r="BJ2605" s="115"/>
      <c r="BK2605" s="115"/>
      <c r="BL2605" s="115"/>
      <c r="BM2605" s="115"/>
      <c r="BN2605" s="115"/>
      <c r="BO2605" s="115"/>
      <c r="BP2605" s="115"/>
      <c r="BQ2605" s="115"/>
      <c r="BR2605" s="115"/>
      <c r="BS2605" s="115"/>
      <c r="BT2605" s="115"/>
      <c r="BU2605" s="115"/>
      <c r="BV2605" s="115"/>
      <c r="BW2605" s="115"/>
      <c r="BX2605" s="115"/>
      <c r="BY2605" s="115"/>
      <c r="BZ2605" s="115"/>
      <c r="CA2605" s="115"/>
      <c r="CB2605" s="115"/>
      <c r="CC2605" s="115"/>
      <c r="CD2605" s="115"/>
      <c r="CE2605" s="115"/>
      <c r="CF2605" s="115"/>
      <c r="CG2605" s="115"/>
      <c r="CH2605" s="115"/>
      <c r="CI2605" s="115"/>
      <c r="CJ2605" s="115"/>
      <c r="CK2605" s="115"/>
      <c r="CL2605" s="115"/>
      <c r="CM2605" s="115"/>
      <c r="CN2605" s="115"/>
      <c r="CO2605" s="115"/>
      <c r="CP2605" s="115"/>
      <c r="CQ2605" s="115"/>
      <c r="CR2605" s="115"/>
      <c r="CS2605" s="115"/>
      <c r="CT2605" s="115"/>
      <c r="CU2605" s="115"/>
      <c r="CV2605" s="115"/>
      <c r="CW2605" s="115"/>
      <c r="CX2605" s="115"/>
      <c r="CY2605" s="115"/>
      <c r="CZ2605" s="115"/>
      <c r="DA2605" s="115"/>
      <c r="DB2605" s="115"/>
      <c r="DC2605" s="115"/>
      <c r="DD2605" s="115"/>
      <c r="DE2605" s="115"/>
      <c r="DF2605" s="115"/>
      <c r="DG2605" s="115"/>
    </row>
    <row r="2606" spans="55:111" hidden="1">
      <c r="BC2606" s="115"/>
      <c r="BD2606" s="115"/>
      <c r="BE2606" s="115"/>
      <c r="BF2606" s="115"/>
      <c r="BG2606" s="115"/>
      <c r="BH2606" s="115"/>
      <c r="BI2606" s="115"/>
      <c r="BJ2606" s="115"/>
      <c r="BK2606" s="115"/>
      <c r="BL2606" s="115"/>
      <c r="BM2606" s="115"/>
      <c r="BN2606" s="115"/>
      <c r="BO2606" s="115"/>
      <c r="BP2606" s="115"/>
      <c r="BQ2606" s="115"/>
      <c r="BR2606" s="115"/>
      <c r="BS2606" s="115"/>
      <c r="BT2606" s="115"/>
      <c r="BU2606" s="115"/>
      <c r="BV2606" s="115"/>
      <c r="BW2606" s="115"/>
      <c r="BX2606" s="115"/>
      <c r="BY2606" s="115"/>
      <c r="BZ2606" s="115"/>
      <c r="CA2606" s="115"/>
      <c r="CB2606" s="115"/>
      <c r="CC2606" s="115"/>
      <c r="CD2606" s="115"/>
      <c r="CE2606" s="115"/>
      <c r="CF2606" s="115"/>
      <c r="CG2606" s="115"/>
      <c r="CH2606" s="115"/>
      <c r="CI2606" s="115"/>
      <c r="CJ2606" s="115"/>
      <c r="CK2606" s="115"/>
      <c r="CL2606" s="115"/>
      <c r="CM2606" s="115"/>
      <c r="CN2606" s="115"/>
      <c r="CO2606" s="115"/>
      <c r="CP2606" s="115"/>
      <c r="CQ2606" s="115"/>
      <c r="CR2606" s="115"/>
      <c r="CS2606" s="115"/>
      <c r="CT2606" s="115"/>
      <c r="CU2606" s="115"/>
      <c r="CV2606" s="115"/>
      <c r="CW2606" s="115"/>
      <c r="CX2606" s="115"/>
      <c r="CY2606" s="115"/>
      <c r="CZ2606" s="115"/>
      <c r="DA2606" s="115"/>
      <c r="DB2606" s="115"/>
      <c r="DC2606" s="115"/>
      <c r="DD2606" s="115"/>
      <c r="DE2606" s="115"/>
      <c r="DF2606" s="115"/>
      <c r="DG2606" s="115"/>
    </row>
    <row r="2607" spans="55:111" hidden="1">
      <c r="BC2607" s="115"/>
      <c r="BD2607" s="115"/>
      <c r="BE2607" s="115"/>
      <c r="BF2607" s="115"/>
      <c r="BG2607" s="115"/>
      <c r="BH2607" s="115"/>
      <c r="BI2607" s="115"/>
      <c r="BJ2607" s="115"/>
      <c r="BK2607" s="115"/>
      <c r="BL2607" s="115"/>
      <c r="BM2607" s="115"/>
      <c r="BN2607" s="115"/>
      <c r="BO2607" s="115"/>
      <c r="BP2607" s="115"/>
      <c r="BQ2607" s="115"/>
      <c r="BR2607" s="115"/>
      <c r="BS2607" s="115"/>
      <c r="BT2607" s="115"/>
      <c r="BU2607" s="115"/>
      <c r="BV2607" s="115"/>
      <c r="BW2607" s="115"/>
      <c r="BX2607" s="115"/>
      <c r="BY2607" s="115"/>
      <c r="BZ2607" s="115"/>
      <c r="CA2607" s="115"/>
      <c r="CB2607" s="115"/>
      <c r="CC2607" s="115"/>
      <c r="CD2607" s="115"/>
      <c r="CE2607" s="115"/>
      <c r="CF2607" s="115"/>
      <c r="CG2607" s="115"/>
      <c r="CH2607" s="115"/>
      <c r="CI2607" s="115"/>
      <c r="CJ2607" s="115"/>
      <c r="CK2607" s="115"/>
      <c r="CL2607" s="115"/>
      <c r="CM2607" s="115"/>
      <c r="CN2607" s="115"/>
      <c r="CO2607" s="115"/>
      <c r="CP2607" s="115"/>
      <c r="CQ2607" s="115"/>
      <c r="CR2607" s="115"/>
      <c r="CS2607" s="115"/>
      <c r="CT2607" s="115"/>
      <c r="CU2607" s="115"/>
      <c r="CV2607" s="115"/>
      <c r="CW2607" s="115"/>
      <c r="CX2607" s="115"/>
      <c r="CY2607" s="115"/>
      <c r="CZ2607" s="115"/>
      <c r="DA2607" s="115"/>
      <c r="DB2607" s="115"/>
      <c r="DC2607" s="115"/>
      <c r="DD2607" s="115"/>
      <c r="DE2607" s="115"/>
      <c r="DF2607" s="115"/>
      <c r="DG2607" s="115"/>
    </row>
    <row r="2608" spans="55:111" hidden="1">
      <c r="BC2608" s="115"/>
      <c r="BD2608" s="115"/>
      <c r="BE2608" s="115"/>
      <c r="BF2608" s="115"/>
      <c r="BG2608" s="115"/>
      <c r="BH2608" s="115"/>
      <c r="BI2608" s="115"/>
      <c r="BJ2608" s="115"/>
      <c r="BK2608" s="115"/>
      <c r="BL2608" s="115"/>
      <c r="BM2608" s="115"/>
      <c r="BN2608" s="115"/>
      <c r="BO2608" s="115"/>
      <c r="BP2608" s="115"/>
      <c r="BQ2608" s="115"/>
      <c r="BR2608" s="115"/>
      <c r="BS2608" s="115"/>
      <c r="BT2608" s="115"/>
      <c r="BU2608" s="115"/>
      <c r="BV2608" s="115"/>
      <c r="BW2608" s="115"/>
      <c r="BX2608" s="115"/>
      <c r="BY2608" s="115"/>
      <c r="BZ2608" s="115"/>
      <c r="CA2608" s="115"/>
      <c r="CB2608" s="115"/>
      <c r="CC2608" s="115"/>
      <c r="CD2608" s="115"/>
      <c r="CE2608" s="115"/>
      <c r="CF2608" s="115"/>
      <c r="CG2608" s="115"/>
      <c r="CH2608" s="115"/>
      <c r="CI2608" s="115"/>
      <c r="CJ2608" s="115"/>
      <c r="CK2608" s="115"/>
      <c r="CL2608" s="115"/>
      <c r="CM2608" s="115"/>
      <c r="CN2608" s="115"/>
      <c r="CO2608" s="115"/>
      <c r="CP2608" s="115"/>
      <c r="CQ2608" s="115"/>
      <c r="CR2608" s="115"/>
      <c r="CS2608" s="115"/>
      <c r="CT2608" s="115"/>
      <c r="CU2608" s="115"/>
      <c r="CV2608" s="115"/>
      <c r="CW2608" s="115"/>
      <c r="CX2608" s="115"/>
      <c r="CY2608" s="115"/>
      <c r="CZ2608" s="115"/>
      <c r="DA2608" s="115"/>
      <c r="DB2608" s="115"/>
      <c r="DC2608" s="115"/>
      <c r="DD2608" s="115"/>
      <c r="DE2608" s="115"/>
      <c r="DF2608" s="115"/>
      <c r="DG2608" s="115"/>
    </row>
    <row r="2609" spans="55:111" hidden="1">
      <c r="BC2609" s="115"/>
      <c r="BD2609" s="115"/>
      <c r="BE2609" s="115"/>
      <c r="BF2609" s="115"/>
      <c r="BG2609" s="115"/>
      <c r="BH2609" s="115"/>
      <c r="BI2609" s="115"/>
      <c r="BJ2609" s="115"/>
      <c r="BK2609" s="115"/>
      <c r="BL2609" s="115"/>
      <c r="BM2609" s="115"/>
      <c r="BN2609" s="115"/>
      <c r="BO2609" s="115"/>
      <c r="BP2609" s="115"/>
      <c r="BQ2609" s="115"/>
      <c r="BR2609" s="115"/>
      <c r="BS2609" s="115"/>
      <c r="BT2609" s="115"/>
      <c r="BU2609" s="115"/>
      <c r="BV2609" s="115"/>
      <c r="BW2609" s="115"/>
      <c r="BX2609" s="115"/>
      <c r="BY2609" s="115"/>
      <c r="BZ2609" s="115"/>
      <c r="CA2609" s="115"/>
      <c r="CB2609" s="115"/>
      <c r="CC2609" s="115"/>
      <c r="CD2609" s="115"/>
      <c r="CE2609" s="115"/>
      <c r="CF2609" s="115"/>
      <c r="CG2609" s="115"/>
      <c r="CH2609" s="115"/>
      <c r="CI2609" s="115"/>
      <c r="CJ2609" s="115"/>
      <c r="CK2609" s="115"/>
      <c r="CL2609" s="115"/>
      <c r="CM2609" s="115"/>
      <c r="CN2609" s="115"/>
      <c r="CO2609" s="115"/>
      <c r="CP2609" s="115"/>
      <c r="CQ2609" s="115"/>
      <c r="CR2609" s="115"/>
      <c r="CS2609" s="115"/>
      <c r="CT2609" s="115"/>
      <c r="CU2609" s="115"/>
      <c r="CV2609" s="115"/>
      <c r="CW2609" s="115"/>
      <c r="CX2609" s="115"/>
      <c r="CY2609" s="115"/>
      <c r="CZ2609" s="115"/>
      <c r="DA2609" s="115"/>
      <c r="DB2609" s="115"/>
      <c r="DC2609" s="115"/>
      <c r="DD2609" s="115"/>
      <c r="DE2609" s="115"/>
      <c r="DF2609" s="115"/>
      <c r="DG2609" s="115"/>
    </row>
    <row r="2610" spans="55:111" hidden="1">
      <c r="BC2610" s="115"/>
      <c r="BD2610" s="115"/>
      <c r="BE2610" s="115"/>
      <c r="BF2610" s="115"/>
      <c r="BG2610" s="115"/>
      <c r="BH2610" s="115"/>
      <c r="BI2610" s="115"/>
      <c r="BJ2610" s="115"/>
      <c r="BK2610" s="115"/>
      <c r="BL2610" s="115"/>
      <c r="BM2610" s="115"/>
      <c r="BN2610" s="115"/>
      <c r="BO2610" s="115"/>
      <c r="BP2610" s="115"/>
      <c r="BQ2610" s="115"/>
      <c r="BR2610" s="115"/>
      <c r="BS2610" s="115"/>
      <c r="BT2610" s="115"/>
      <c r="BU2610" s="115"/>
      <c r="BV2610" s="115"/>
      <c r="BW2610" s="115"/>
      <c r="BX2610" s="115"/>
      <c r="BY2610" s="115"/>
      <c r="BZ2610" s="115"/>
      <c r="CA2610" s="115"/>
      <c r="CB2610" s="115"/>
      <c r="CC2610" s="115"/>
      <c r="CD2610" s="115"/>
      <c r="CE2610" s="115"/>
      <c r="CF2610" s="115"/>
      <c r="CG2610" s="115"/>
      <c r="CH2610" s="115"/>
      <c r="CI2610" s="115"/>
      <c r="CJ2610" s="115"/>
      <c r="CK2610" s="115"/>
      <c r="CL2610" s="115"/>
      <c r="CM2610" s="115"/>
      <c r="CN2610" s="115"/>
      <c r="CO2610" s="115"/>
      <c r="CP2610" s="115"/>
      <c r="CQ2610" s="115"/>
      <c r="CR2610" s="115"/>
      <c r="CS2610" s="115"/>
      <c r="CT2610" s="115"/>
      <c r="CU2610" s="115"/>
      <c r="CV2610" s="115"/>
      <c r="CW2610" s="115"/>
      <c r="CX2610" s="115"/>
      <c r="CY2610" s="115"/>
      <c r="CZ2610" s="115"/>
      <c r="DA2610" s="115"/>
      <c r="DB2610" s="115"/>
      <c r="DC2610" s="115"/>
      <c r="DD2610" s="115"/>
      <c r="DE2610" s="115"/>
      <c r="DF2610" s="115"/>
      <c r="DG2610" s="115"/>
    </row>
    <row r="2611" spans="55:111" hidden="1">
      <c r="BC2611" s="115"/>
      <c r="BD2611" s="115"/>
      <c r="BE2611" s="115"/>
      <c r="BF2611" s="115"/>
      <c r="BG2611" s="115"/>
      <c r="BH2611" s="115"/>
      <c r="BI2611" s="115"/>
      <c r="BJ2611" s="115"/>
      <c r="BK2611" s="115"/>
      <c r="BL2611" s="115"/>
      <c r="BM2611" s="115"/>
      <c r="BN2611" s="115"/>
      <c r="BO2611" s="115"/>
      <c r="BP2611" s="115"/>
      <c r="BQ2611" s="115"/>
      <c r="BR2611" s="115"/>
      <c r="BS2611" s="115"/>
      <c r="BT2611" s="115"/>
      <c r="BU2611" s="115"/>
      <c r="BV2611" s="115"/>
      <c r="BW2611" s="115"/>
      <c r="BX2611" s="115"/>
      <c r="BY2611" s="115"/>
      <c r="BZ2611" s="115"/>
      <c r="CA2611" s="115"/>
      <c r="CB2611" s="115"/>
      <c r="CC2611" s="115"/>
      <c r="CD2611" s="115"/>
      <c r="CE2611" s="115"/>
      <c r="CF2611" s="115"/>
      <c r="CG2611" s="115"/>
      <c r="CH2611" s="115"/>
      <c r="CI2611" s="115"/>
      <c r="CJ2611" s="115"/>
      <c r="CK2611" s="115"/>
      <c r="CL2611" s="115"/>
      <c r="CM2611" s="115"/>
      <c r="CN2611" s="115"/>
      <c r="CO2611" s="115"/>
      <c r="CP2611" s="115"/>
      <c r="CQ2611" s="115"/>
      <c r="CR2611" s="115"/>
      <c r="CS2611" s="115"/>
      <c r="CT2611" s="115"/>
      <c r="CU2611" s="115"/>
      <c r="CV2611" s="115"/>
      <c r="CW2611" s="115"/>
      <c r="CX2611" s="115"/>
      <c r="CY2611" s="115"/>
      <c r="CZ2611" s="115"/>
      <c r="DA2611" s="115"/>
      <c r="DB2611" s="115"/>
      <c r="DC2611" s="115"/>
      <c r="DD2611" s="115"/>
      <c r="DE2611" s="115"/>
      <c r="DF2611" s="115"/>
      <c r="DG2611" s="115"/>
    </row>
    <row r="2612" spans="55:111" hidden="1">
      <c r="BC2612" s="115"/>
      <c r="BD2612" s="115"/>
      <c r="BE2612" s="115"/>
      <c r="BF2612" s="115"/>
      <c r="BG2612" s="115"/>
      <c r="BH2612" s="115"/>
      <c r="BI2612" s="115"/>
      <c r="BJ2612" s="115"/>
      <c r="BK2612" s="115"/>
      <c r="BL2612" s="115"/>
      <c r="BM2612" s="115"/>
      <c r="BN2612" s="115"/>
      <c r="BO2612" s="115"/>
      <c r="BP2612" s="115"/>
      <c r="BQ2612" s="115"/>
      <c r="BR2612" s="115"/>
      <c r="BS2612" s="115"/>
      <c r="BT2612" s="115"/>
      <c r="BU2612" s="115"/>
      <c r="BV2612" s="115"/>
      <c r="BW2612" s="115"/>
      <c r="BX2612" s="115"/>
      <c r="BY2612" s="115"/>
      <c r="BZ2612" s="115"/>
      <c r="CA2612" s="115"/>
      <c r="CB2612" s="115"/>
      <c r="CC2612" s="115"/>
      <c r="CD2612" s="115"/>
      <c r="CE2612" s="115"/>
      <c r="CF2612" s="115"/>
      <c r="CG2612" s="115"/>
      <c r="CH2612" s="115"/>
      <c r="CI2612" s="115"/>
      <c r="CJ2612" s="115"/>
      <c r="CK2612" s="115"/>
      <c r="CL2612" s="115"/>
      <c r="CM2612" s="115"/>
      <c r="CN2612" s="115"/>
      <c r="CO2612" s="115"/>
      <c r="CP2612" s="115"/>
      <c r="CQ2612" s="115"/>
      <c r="CR2612" s="115"/>
      <c r="CS2612" s="115"/>
      <c r="CT2612" s="115"/>
      <c r="CU2612" s="115"/>
      <c r="CV2612" s="115"/>
      <c r="CW2612" s="115"/>
      <c r="CX2612" s="115"/>
      <c r="CY2612" s="115"/>
      <c r="CZ2612" s="115"/>
      <c r="DA2612" s="115"/>
      <c r="DB2612" s="115"/>
      <c r="DC2612" s="115"/>
      <c r="DD2612" s="115"/>
      <c r="DE2612" s="115"/>
      <c r="DF2612" s="115"/>
      <c r="DG2612" s="115"/>
    </row>
    <row r="2613" spans="55:111" hidden="1">
      <c r="BC2613" s="115"/>
      <c r="BD2613" s="115"/>
      <c r="BE2613" s="115"/>
      <c r="BF2613" s="115"/>
      <c r="BG2613" s="115"/>
      <c r="BH2613" s="115"/>
      <c r="BI2613" s="115"/>
      <c r="BJ2613" s="115"/>
      <c r="BK2613" s="115"/>
      <c r="BL2613" s="115"/>
      <c r="BM2613" s="115"/>
      <c r="BN2613" s="115"/>
      <c r="BO2613" s="115"/>
      <c r="BP2613" s="115"/>
      <c r="BQ2613" s="115"/>
      <c r="BR2613" s="115"/>
      <c r="BS2613" s="115"/>
      <c r="BT2613" s="115"/>
      <c r="BU2613" s="115"/>
      <c r="BV2613" s="115"/>
      <c r="BW2613" s="115"/>
      <c r="BX2613" s="115"/>
      <c r="BY2613" s="115"/>
      <c r="BZ2613" s="115"/>
      <c r="CA2613" s="115"/>
      <c r="CB2613" s="115"/>
      <c r="CC2613" s="115"/>
      <c r="CD2613" s="115"/>
      <c r="CE2613" s="115"/>
      <c r="CF2613" s="115"/>
      <c r="CG2613" s="115"/>
      <c r="CH2613" s="115"/>
      <c r="CI2613" s="115"/>
      <c r="CJ2613" s="115"/>
      <c r="CK2613" s="115"/>
      <c r="CL2613" s="115"/>
      <c r="CM2613" s="115"/>
      <c r="CN2613" s="115"/>
      <c r="CO2613" s="115"/>
      <c r="CP2613" s="115"/>
      <c r="CQ2613" s="115"/>
      <c r="CR2613" s="115"/>
      <c r="CS2613" s="115"/>
      <c r="CT2613" s="115"/>
      <c r="CU2613" s="115"/>
      <c r="CV2613" s="115"/>
      <c r="CW2613" s="115"/>
      <c r="CX2613" s="115"/>
      <c r="CY2613" s="115"/>
      <c r="CZ2613" s="115"/>
      <c r="DA2613" s="115"/>
      <c r="DB2613" s="115"/>
      <c r="DC2613" s="115"/>
      <c r="DD2613" s="115"/>
      <c r="DE2613" s="115"/>
      <c r="DF2613" s="115"/>
      <c r="DG2613" s="115"/>
    </row>
    <row r="2614" spans="55:111" hidden="1">
      <c r="BC2614" s="115"/>
      <c r="BD2614" s="115"/>
      <c r="BE2614" s="115"/>
      <c r="BF2614" s="115"/>
      <c r="BG2614" s="115"/>
      <c r="BH2614" s="115"/>
      <c r="BI2614" s="115"/>
      <c r="BJ2614" s="115"/>
      <c r="BK2614" s="115"/>
      <c r="BL2614" s="115"/>
      <c r="BM2614" s="115"/>
      <c r="BN2614" s="115"/>
      <c r="BO2614" s="115"/>
      <c r="BP2614" s="115"/>
      <c r="BQ2614" s="115"/>
      <c r="BR2614" s="115"/>
      <c r="BS2614" s="115"/>
      <c r="BT2614" s="115"/>
      <c r="BU2614" s="115"/>
      <c r="BV2614" s="115"/>
      <c r="BW2614" s="115"/>
      <c r="BX2614" s="115"/>
      <c r="BY2614" s="115"/>
      <c r="BZ2614" s="115"/>
      <c r="CA2614" s="115"/>
      <c r="CB2614" s="115"/>
      <c r="CC2614" s="115"/>
      <c r="CD2614" s="115"/>
      <c r="CE2614" s="115"/>
      <c r="CF2614" s="115"/>
      <c r="CG2614" s="115"/>
      <c r="CH2614" s="115"/>
      <c r="CI2614" s="115"/>
      <c r="CJ2614" s="115"/>
      <c r="CK2614" s="115"/>
      <c r="CL2614" s="115"/>
      <c r="CM2614" s="115"/>
      <c r="CN2614" s="115"/>
      <c r="CO2614" s="115"/>
      <c r="CP2614" s="115"/>
      <c r="CQ2614" s="115"/>
      <c r="CR2614" s="115"/>
      <c r="CS2614" s="115"/>
      <c r="CT2614" s="115"/>
      <c r="CU2614" s="115"/>
      <c r="CV2614" s="115"/>
      <c r="CW2614" s="115"/>
      <c r="CX2614" s="115"/>
      <c r="CY2614" s="115"/>
      <c r="CZ2614" s="115"/>
      <c r="DA2614" s="115"/>
      <c r="DB2614" s="115"/>
      <c r="DC2614" s="115"/>
      <c r="DD2614" s="115"/>
      <c r="DE2614" s="115"/>
      <c r="DF2614" s="115"/>
      <c r="DG2614" s="115"/>
    </row>
    <row r="2615" spans="55:111" hidden="1">
      <c r="BC2615" s="115"/>
      <c r="BD2615" s="115"/>
      <c r="BE2615" s="115"/>
      <c r="BF2615" s="115"/>
      <c r="BG2615" s="115"/>
      <c r="BH2615" s="115"/>
      <c r="BI2615" s="115"/>
      <c r="BJ2615" s="115"/>
      <c r="BK2615" s="115"/>
      <c r="BL2615" s="115"/>
      <c r="BM2615" s="115"/>
      <c r="BN2615" s="115"/>
      <c r="BO2615" s="115"/>
      <c r="BP2615" s="115"/>
      <c r="BQ2615" s="115"/>
      <c r="BR2615" s="115"/>
      <c r="BS2615" s="115"/>
      <c r="BT2615" s="115"/>
      <c r="BU2615" s="115"/>
      <c r="BV2615" s="115"/>
      <c r="BW2615" s="115"/>
      <c r="BX2615" s="115"/>
      <c r="BY2615" s="115"/>
      <c r="BZ2615" s="115"/>
      <c r="CA2615" s="115"/>
      <c r="CB2615" s="115"/>
      <c r="CC2615" s="115"/>
      <c r="CD2615" s="115"/>
      <c r="CE2615" s="115"/>
      <c r="CF2615" s="115"/>
      <c r="CG2615" s="115"/>
      <c r="CH2615" s="115"/>
      <c r="CI2615" s="115"/>
      <c r="CJ2615" s="115"/>
      <c r="CK2615" s="115"/>
      <c r="CL2615" s="115"/>
      <c r="CM2615" s="115"/>
      <c r="CN2615" s="115"/>
      <c r="CO2615" s="115"/>
      <c r="CP2615" s="115"/>
      <c r="CQ2615" s="115"/>
      <c r="CR2615" s="115"/>
      <c r="CS2615" s="115"/>
      <c r="CT2615" s="115"/>
      <c r="CU2615" s="115"/>
      <c r="CV2615" s="115"/>
      <c r="CW2615" s="115"/>
      <c r="CX2615" s="115"/>
      <c r="CY2615" s="115"/>
      <c r="CZ2615" s="115"/>
      <c r="DA2615" s="115"/>
      <c r="DB2615" s="115"/>
      <c r="DC2615" s="115"/>
      <c r="DD2615" s="115"/>
      <c r="DE2615" s="115"/>
      <c r="DF2615" s="115"/>
      <c r="DG2615" s="115"/>
    </row>
    <row r="2616" spans="55:111" hidden="1">
      <c r="BC2616" s="115"/>
      <c r="BD2616" s="115"/>
      <c r="BE2616" s="115"/>
      <c r="BF2616" s="115"/>
      <c r="BG2616" s="115"/>
      <c r="BH2616" s="115"/>
      <c r="BI2616" s="115"/>
      <c r="BJ2616" s="115"/>
      <c r="BK2616" s="115"/>
      <c r="BL2616" s="115"/>
      <c r="BM2616" s="115"/>
      <c r="BN2616" s="115"/>
      <c r="BO2616" s="115"/>
      <c r="BP2616" s="115"/>
      <c r="BQ2616" s="115"/>
      <c r="BR2616" s="115"/>
      <c r="BS2616" s="115"/>
      <c r="BT2616" s="115"/>
      <c r="BU2616" s="115"/>
      <c r="BV2616" s="115"/>
      <c r="BW2616" s="115"/>
      <c r="BX2616" s="115"/>
      <c r="BY2616" s="115"/>
      <c r="BZ2616" s="115"/>
      <c r="CA2616" s="115"/>
      <c r="CB2616" s="115"/>
      <c r="CC2616" s="115"/>
      <c r="CD2616" s="115"/>
      <c r="CE2616" s="115"/>
      <c r="CF2616" s="115"/>
      <c r="CG2616" s="115"/>
      <c r="CH2616" s="115"/>
      <c r="CI2616" s="115"/>
      <c r="CJ2616" s="115"/>
      <c r="CK2616" s="115"/>
      <c r="CL2616" s="115"/>
      <c r="CM2616" s="115"/>
      <c r="CN2616" s="115"/>
      <c r="CO2616" s="115"/>
      <c r="CP2616" s="115"/>
      <c r="CQ2616" s="115"/>
      <c r="CR2616" s="115"/>
      <c r="CS2616" s="115"/>
      <c r="CT2616" s="115"/>
      <c r="CU2616" s="115"/>
      <c r="CV2616" s="115"/>
      <c r="CW2616" s="115"/>
      <c r="CX2616" s="115"/>
      <c r="CY2616" s="115"/>
      <c r="CZ2616" s="115"/>
      <c r="DA2616" s="115"/>
      <c r="DB2616" s="115"/>
      <c r="DC2616" s="115"/>
      <c r="DD2616" s="115"/>
      <c r="DE2616" s="115"/>
      <c r="DF2616" s="115"/>
      <c r="DG2616" s="115"/>
    </row>
    <row r="2617" spans="55:111" hidden="1">
      <c r="BC2617" s="115"/>
      <c r="BD2617" s="115"/>
      <c r="BE2617" s="115"/>
      <c r="BF2617" s="115"/>
      <c r="BG2617" s="115"/>
      <c r="BH2617" s="115"/>
      <c r="BI2617" s="115"/>
      <c r="BJ2617" s="115"/>
      <c r="BK2617" s="115"/>
      <c r="BL2617" s="115"/>
      <c r="BM2617" s="115"/>
      <c r="BN2617" s="115"/>
      <c r="BO2617" s="115"/>
      <c r="BP2617" s="115"/>
      <c r="BQ2617" s="115"/>
      <c r="BR2617" s="115"/>
      <c r="BS2617" s="115"/>
      <c r="BT2617" s="115"/>
      <c r="BU2617" s="115"/>
      <c r="BV2617" s="115"/>
      <c r="BW2617" s="115"/>
      <c r="BX2617" s="115"/>
      <c r="BY2617" s="115"/>
      <c r="BZ2617" s="115"/>
      <c r="CA2617" s="115"/>
      <c r="CB2617" s="115"/>
      <c r="CC2617" s="115"/>
      <c r="CD2617" s="115"/>
      <c r="CE2617" s="115"/>
      <c r="CF2617" s="115"/>
      <c r="CG2617" s="115"/>
      <c r="CH2617" s="115"/>
      <c r="CI2617" s="115"/>
      <c r="CJ2617" s="115"/>
      <c r="CK2617" s="115"/>
      <c r="CL2617" s="115"/>
      <c r="CM2617" s="115"/>
      <c r="CN2617" s="115"/>
      <c r="CO2617" s="115"/>
      <c r="CP2617" s="115"/>
      <c r="CQ2617" s="115"/>
      <c r="CR2617" s="115"/>
      <c r="CS2617" s="115"/>
      <c r="CT2617" s="115"/>
      <c r="CU2617" s="115"/>
      <c r="CV2617" s="115"/>
      <c r="CW2617" s="115"/>
      <c r="CX2617" s="115"/>
      <c r="CY2617" s="115"/>
      <c r="CZ2617" s="115"/>
      <c r="DA2617" s="115"/>
      <c r="DB2617" s="115"/>
      <c r="DC2617" s="115"/>
      <c r="DD2617" s="115"/>
      <c r="DE2617" s="115"/>
      <c r="DF2617" s="115"/>
      <c r="DG2617" s="115"/>
    </row>
    <row r="2618" spans="55:111" hidden="1">
      <c r="BC2618" s="115"/>
      <c r="BD2618" s="115"/>
      <c r="BE2618" s="115"/>
      <c r="BF2618" s="115"/>
      <c r="BG2618" s="115"/>
      <c r="BH2618" s="115"/>
      <c r="BI2618" s="115"/>
      <c r="BJ2618" s="115"/>
      <c r="BK2618" s="115"/>
      <c r="BL2618" s="115"/>
      <c r="BM2618" s="115"/>
      <c r="BN2618" s="115"/>
      <c r="BO2618" s="115"/>
      <c r="BP2618" s="115"/>
      <c r="BQ2618" s="115"/>
      <c r="BR2618" s="115"/>
      <c r="BS2618" s="115"/>
      <c r="BT2618" s="115"/>
      <c r="BU2618" s="115"/>
      <c r="BV2618" s="115"/>
      <c r="BW2618" s="115"/>
      <c r="BX2618" s="115"/>
      <c r="BY2618" s="115"/>
      <c r="BZ2618" s="115"/>
      <c r="CA2618" s="115"/>
      <c r="CB2618" s="115"/>
      <c r="CC2618" s="115"/>
      <c r="CD2618" s="115"/>
      <c r="CE2618" s="115"/>
      <c r="CF2618" s="115"/>
      <c r="CG2618" s="115"/>
      <c r="CH2618" s="115"/>
      <c r="CI2618" s="115"/>
      <c r="CJ2618" s="115"/>
      <c r="CK2618" s="115"/>
      <c r="CL2618" s="115"/>
      <c r="CM2618" s="115"/>
      <c r="CN2618" s="115"/>
      <c r="CO2618" s="115"/>
      <c r="CP2618" s="115"/>
      <c r="CQ2618" s="115"/>
      <c r="CR2618" s="115"/>
      <c r="CS2618" s="115"/>
      <c r="CT2618" s="115"/>
      <c r="CU2618" s="115"/>
      <c r="CV2618" s="115"/>
      <c r="CW2618" s="115"/>
      <c r="CX2618" s="115"/>
      <c r="CY2618" s="115"/>
      <c r="CZ2618" s="115"/>
      <c r="DA2618" s="115"/>
      <c r="DB2618" s="115"/>
      <c r="DC2618" s="115"/>
      <c r="DD2618" s="115"/>
      <c r="DE2618" s="115"/>
      <c r="DF2618" s="115"/>
      <c r="DG2618" s="115"/>
    </row>
    <row r="2619" spans="55:111" hidden="1">
      <c r="BC2619" s="115"/>
      <c r="BD2619" s="115"/>
      <c r="BE2619" s="115"/>
      <c r="BF2619" s="115"/>
      <c r="BG2619" s="115"/>
      <c r="BH2619" s="115"/>
      <c r="BI2619" s="115"/>
      <c r="BJ2619" s="115"/>
      <c r="BK2619" s="115"/>
      <c r="BL2619" s="115"/>
      <c r="BM2619" s="115"/>
      <c r="BN2619" s="115"/>
      <c r="BO2619" s="115"/>
      <c r="BP2619" s="115"/>
      <c r="BQ2619" s="115"/>
      <c r="BR2619" s="115"/>
      <c r="BS2619" s="115"/>
      <c r="BT2619" s="115"/>
      <c r="BU2619" s="115"/>
      <c r="BV2619" s="115"/>
      <c r="BW2619" s="115"/>
      <c r="BX2619" s="115"/>
      <c r="BY2619" s="115"/>
      <c r="BZ2619" s="115"/>
      <c r="CA2619" s="115"/>
      <c r="CB2619" s="115"/>
      <c r="CC2619" s="115"/>
      <c r="CD2619" s="115"/>
      <c r="CE2619" s="115"/>
      <c r="CF2619" s="115"/>
      <c r="CG2619" s="115"/>
      <c r="CH2619" s="115"/>
      <c r="CI2619" s="115"/>
      <c r="CJ2619" s="115"/>
      <c r="CK2619" s="115"/>
      <c r="CL2619" s="115"/>
      <c r="CM2619" s="115"/>
      <c r="CN2619" s="115"/>
      <c r="CO2619" s="115"/>
      <c r="CP2619" s="115"/>
      <c r="CQ2619" s="115"/>
      <c r="CR2619" s="115"/>
      <c r="CS2619" s="115"/>
      <c r="CT2619" s="115"/>
      <c r="CU2619" s="115"/>
      <c r="CV2619" s="115"/>
      <c r="CW2619" s="115"/>
      <c r="CX2619" s="115"/>
      <c r="CY2619" s="115"/>
      <c r="CZ2619" s="115"/>
      <c r="DA2619" s="115"/>
      <c r="DB2619" s="115"/>
      <c r="DC2619" s="115"/>
      <c r="DD2619" s="115"/>
      <c r="DE2619" s="115"/>
      <c r="DF2619" s="115"/>
      <c r="DG2619" s="115"/>
    </row>
    <row r="2620" spans="55:111" hidden="1">
      <c r="BC2620" s="115"/>
      <c r="BD2620" s="115"/>
      <c r="BE2620" s="115"/>
      <c r="BF2620" s="115"/>
      <c r="BG2620" s="115"/>
      <c r="BH2620" s="115"/>
      <c r="BI2620" s="115"/>
      <c r="BJ2620" s="115"/>
      <c r="BK2620" s="115"/>
      <c r="BL2620" s="115"/>
      <c r="BM2620" s="115"/>
      <c r="BN2620" s="115"/>
      <c r="BO2620" s="115"/>
      <c r="BP2620" s="115"/>
      <c r="BQ2620" s="115"/>
      <c r="BR2620" s="115"/>
      <c r="BS2620" s="115"/>
      <c r="BT2620" s="115"/>
      <c r="BU2620" s="115"/>
      <c r="BV2620" s="115"/>
      <c r="BW2620" s="115"/>
      <c r="BX2620" s="115"/>
      <c r="BY2620" s="115"/>
      <c r="BZ2620" s="115"/>
      <c r="CA2620" s="115"/>
      <c r="CB2620" s="115"/>
      <c r="CC2620" s="115"/>
      <c r="CD2620" s="115"/>
      <c r="CE2620" s="115"/>
      <c r="CF2620" s="115"/>
      <c r="CG2620" s="115"/>
      <c r="CH2620" s="115"/>
      <c r="CI2620" s="115"/>
      <c r="CJ2620" s="115"/>
      <c r="CK2620" s="115"/>
      <c r="CL2620" s="115"/>
      <c r="CM2620" s="115"/>
      <c r="CN2620" s="115"/>
      <c r="CO2620" s="115"/>
      <c r="CP2620" s="115"/>
      <c r="CQ2620" s="115"/>
      <c r="CR2620" s="115"/>
      <c r="CS2620" s="115"/>
      <c r="CT2620" s="115"/>
      <c r="CU2620" s="115"/>
      <c r="CV2620" s="115"/>
      <c r="CW2620" s="115"/>
      <c r="CX2620" s="115"/>
      <c r="CY2620" s="115"/>
      <c r="CZ2620" s="115"/>
      <c r="DA2620" s="115"/>
      <c r="DB2620" s="115"/>
      <c r="DC2620" s="115"/>
      <c r="DD2620" s="115"/>
      <c r="DE2620" s="115"/>
      <c r="DF2620" s="115"/>
      <c r="DG2620" s="115"/>
    </row>
    <row r="2621" spans="55:111" hidden="1">
      <c r="BC2621" s="115"/>
      <c r="BD2621" s="115"/>
      <c r="BE2621" s="115"/>
      <c r="BF2621" s="115"/>
      <c r="BG2621" s="115"/>
      <c r="BH2621" s="115"/>
      <c r="BI2621" s="115"/>
      <c r="BJ2621" s="115"/>
      <c r="BK2621" s="115"/>
      <c r="BL2621" s="115"/>
      <c r="BM2621" s="115"/>
      <c r="BN2621" s="115"/>
      <c r="BO2621" s="115"/>
      <c r="BP2621" s="115"/>
      <c r="BQ2621" s="115"/>
      <c r="BR2621" s="115"/>
      <c r="BS2621" s="115"/>
      <c r="BT2621" s="115"/>
      <c r="BU2621" s="115"/>
      <c r="BV2621" s="115"/>
      <c r="BW2621" s="115"/>
      <c r="BX2621" s="115"/>
      <c r="BY2621" s="115"/>
      <c r="BZ2621" s="115"/>
      <c r="CA2621" s="115"/>
      <c r="CB2621" s="115"/>
      <c r="CC2621" s="115"/>
      <c r="CD2621" s="115"/>
      <c r="CE2621" s="115"/>
      <c r="CF2621" s="115"/>
      <c r="CG2621" s="115"/>
      <c r="CH2621" s="115"/>
      <c r="CI2621" s="115"/>
      <c r="CJ2621" s="115"/>
      <c r="CK2621" s="115"/>
      <c r="CL2621" s="115"/>
      <c r="CM2621" s="115"/>
      <c r="CN2621" s="115"/>
      <c r="CO2621" s="115"/>
      <c r="CP2621" s="115"/>
      <c r="CQ2621" s="115"/>
      <c r="CR2621" s="115"/>
      <c r="CS2621" s="115"/>
      <c r="CT2621" s="115"/>
      <c r="CU2621" s="115"/>
      <c r="CV2621" s="115"/>
      <c r="CW2621" s="115"/>
      <c r="CX2621" s="115"/>
      <c r="CY2621" s="115"/>
      <c r="CZ2621" s="115"/>
      <c r="DA2621" s="115"/>
      <c r="DB2621" s="115"/>
      <c r="DC2621" s="115"/>
      <c r="DD2621" s="115"/>
      <c r="DE2621" s="115"/>
      <c r="DF2621" s="115"/>
      <c r="DG2621" s="115"/>
    </row>
    <row r="2622" spans="55:111" hidden="1">
      <c r="BC2622" s="115"/>
      <c r="BD2622" s="115"/>
      <c r="BE2622" s="115"/>
      <c r="BF2622" s="115"/>
      <c r="BG2622" s="115"/>
      <c r="BH2622" s="115"/>
      <c r="BI2622" s="115"/>
      <c r="BJ2622" s="115"/>
      <c r="BK2622" s="115"/>
      <c r="BL2622" s="115"/>
      <c r="BM2622" s="115"/>
      <c r="BN2622" s="115"/>
      <c r="BO2622" s="115"/>
      <c r="BP2622" s="115"/>
      <c r="BQ2622" s="115"/>
      <c r="BR2622" s="115"/>
      <c r="BS2622" s="115"/>
      <c r="BT2622" s="115"/>
      <c r="BU2622" s="115"/>
      <c r="BV2622" s="115"/>
      <c r="BW2622" s="115"/>
      <c r="BX2622" s="115"/>
      <c r="BY2622" s="115"/>
      <c r="BZ2622" s="115"/>
      <c r="CA2622" s="115"/>
      <c r="CB2622" s="115"/>
      <c r="CC2622" s="115"/>
      <c r="CD2622" s="115"/>
      <c r="CE2622" s="115"/>
      <c r="CF2622" s="115"/>
      <c r="CG2622" s="115"/>
      <c r="CH2622" s="115"/>
      <c r="CI2622" s="115"/>
      <c r="CJ2622" s="115"/>
      <c r="CK2622" s="115"/>
      <c r="CL2622" s="115"/>
      <c r="CM2622" s="115"/>
      <c r="CN2622" s="115"/>
      <c r="CO2622" s="115"/>
      <c r="CP2622" s="115"/>
      <c r="CQ2622" s="115"/>
      <c r="CR2622" s="115"/>
      <c r="CS2622" s="115"/>
      <c r="CT2622" s="115"/>
      <c r="CU2622" s="115"/>
      <c r="CV2622" s="115"/>
      <c r="CW2622" s="115"/>
      <c r="CX2622" s="115"/>
      <c r="CY2622" s="115"/>
      <c r="CZ2622" s="115"/>
      <c r="DA2622" s="115"/>
      <c r="DB2622" s="115"/>
      <c r="DC2622" s="115"/>
      <c r="DD2622" s="115"/>
      <c r="DE2622" s="115"/>
      <c r="DF2622" s="115"/>
      <c r="DG2622" s="115"/>
    </row>
    <row r="2623" spans="55:111" hidden="1">
      <c r="BC2623" s="115"/>
      <c r="BD2623" s="115"/>
      <c r="BE2623" s="115"/>
      <c r="BF2623" s="115"/>
      <c r="BG2623" s="115"/>
      <c r="BH2623" s="115"/>
      <c r="BI2623" s="115"/>
      <c r="BJ2623" s="115"/>
      <c r="BK2623" s="115"/>
      <c r="BL2623" s="115"/>
      <c r="BM2623" s="115"/>
      <c r="BN2623" s="115"/>
      <c r="BO2623" s="115"/>
      <c r="BP2623" s="115"/>
      <c r="BQ2623" s="115"/>
      <c r="BR2623" s="115"/>
      <c r="BS2623" s="115"/>
      <c r="BT2623" s="115"/>
      <c r="BU2623" s="115"/>
      <c r="BV2623" s="115"/>
      <c r="BW2623" s="115"/>
      <c r="BX2623" s="115"/>
      <c r="BY2623" s="115"/>
      <c r="BZ2623" s="115"/>
      <c r="CA2623" s="115"/>
      <c r="CB2623" s="115"/>
      <c r="CC2623" s="115"/>
      <c r="CD2623" s="115"/>
      <c r="CE2623" s="115"/>
      <c r="CF2623" s="115"/>
      <c r="CG2623" s="115"/>
      <c r="CH2623" s="115"/>
      <c r="CI2623" s="115"/>
      <c r="CJ2623" s="115"/>
      <c r="CK2623" s="115"/>
      <c r="CL2623" s="115"/>
      <c r="CM2623" s="115"/>
      <c r="CN2623" s="115"/>
      <c r="CO2623" s="115"/>
      <c r="CP2623" s="115"/>
      <c r="CQ2623" s="115"/>
      <c r="CR2623" s="115"/>
      <c r="CS2623" s="115"/>
      <c r="CT2623" s="115"/>
      <c r="CU2623" s="115"/>
      <c r="CV2623" s="115"/>
      <c r="CW2623" s="115"/>
      <c r="CX2623" s="115"/>
      <c r="CY2623" s="115"/>
      <c r="CZ2623" s="115"/>
      <c r="DA2623" s="115"/>
      <c r="DB2623" s="115"/>
      <c r="DC2623" s="115"/>
      <c r="DD2623" s="115"/>
      <c r="DE2623" s="115"/>
      <c r="DF2623" s="115"/>
      <c r="DG2623" s="115"/>
    </row>
    <row r="2624" spans="55:111" hidden="1">
      <c r="BC2624" s="115"/>
      <c r="BD2624" s="115"/>
      <c r="BE2624" s="115"/>
      <c r="BF2624" s="115"/>
      <c r="BG2624" s="115"/>
      <c r="BH2624" s="115"/>
      <c r="BI2624" s="115"/>
      <c r="BJ2624" s="115"/>
      <c r="BK2624" s="115"/>
      <c r="BL2624" s="115"/>
      <c r="BM2624" s="115"/>
      <c r="BN2624" s="115"/>
      <c r="BO2624" s="115"/>
      <c r="BP2624" s="115"/>
      <c r="BQ2624" s="115"/>
      <c r="BR2624" s="115"/>
      <c r="BS2624" s="115"/>
      <c r="BT2624" s="115"/>
      <c r="BU2624" s="115"/>
      <c r="BV2624" s="115"/>
      <c r="BW2624" s="115"/>
      <c r="BX2624" s="115"/>
      <c r="BY2624" s="115"/>
      <c r="BZ2624" s="115"/>
      <c r="CA2624" s="115"/>
      <c r="CB2624" s="115"/>
      <c r="CC2624" s="115"/>
      <c r="CD2624" s="115"/>
      <c r="CE2624" s="115"/>
      <c r="CF2624" s="115"/>
      <c r="CG2624" s="115"/>
      <c r="CH2624" s="115"/>
      <c r="CI2624" s="115"/>
      <c r="CJ2624" s="115"/>
      <c r="CK2624" s="115"/>
      <c r="CL2624" s="115"/>
      <c r="CM2624" s="115"/>
      <c r="CN2624" s="115"/>
      <c r="CO2624" s="115"/>
      <c r="CP2624" s="115"/>
      <c r="CQ2624" s="115"/>
      <c r="CR2624" s="115"/>
      <c r="CS2624" s="115"/>
      <c r="CT2624" s="115"/>
      <c r="CU2624" s="115"/>
      <c r="CV2624" s="115"/>
      <c r="CW2624" s="115"/>
      <c r="CX2624" s="115"/>
      <c r="CY2624" s="115"/>
      <c r="CZ2624" s="115"/>
      <c r="DA2624" s="115"/>
      <c r="DB2624" s="115"/>
      <c r="DC2624" s="115"/>
      <c r="DD2624" s="115"/>
      <c r="DE2624" s="115"/>
      <c r="DF2624" s="115"/>
      <c r="DG2624" s="115"/>
    </row>
    <row r="2625" spans="55:111" hidden="1">
      <c r="BC2625" s="115"/>
      <c r="BD2625" s="115"/>
      <c r="BE2625" s="115"/>
      <c r="BF2625" s="115"/>
      <c r="BG2625" s="115"/>
      <c r="BH2625" s="115"/>
      <c r="BI2625" s="115"/>
      <c r="BJ2625" s="115"/>
      <c r="BK2625" s="115"/>
      <c r="BL2625" s="115"/>
      <c r="BM2625" s="115"/>
      <c r="BN2625" s="115"/>
      <c r="BO2625" s="115"/>
      <c r="BP2625" s="115"/>
      <c r="BQ2625" s="115"/>
      <c r="BR2625" s="115"/>
      <c r="BS2625" s="115"/>
      <c r="BT2625" s="115"/>
      <c r="BU2625" s="115"/>
      <c r="BV2625" s="115"/>
      <c r="BW2625" s="115"/>
      <c r="BX2625" s="115"/>
      <c r="BY2625" s="115"/>
      <c r="BZ2625" s="115"/>
      <c r="CA2625" s="115"/>
      <c r="CB2625" s="115"/>
      <c r="CC2625" s="115"/>
      <c r="CD2625" s="115"/>
      <c r="CE2625" s="115"/>
      <c r="CF2625" s="115"/>
      <c r="CG2625" s="115"/>
      <c r="CH2625" s="115"/>
      <c r="CI2625" s="115"/>
      <c r="CJ2625" s="115"/>
      <c r="CK2625" s="115"/>
      <c r="CL2625" s="115"/>
      <c r="CM2625" s="115"/>
      <c r="CN2625" s="115"/>
      <c r="CO2625" s="115"/>
      <c r="CP2625" s="115"/>
      <c r="CQ2625" s="115"/>
      <c r="CR2625" s="115"/>
      <c r="CS2625" s="115"/>
      <c r="CT2625" s="115"/>
      <c r="CU2625" s="115"/>
      <c r="CV2625" s="115"/>
      <c r="CW2625" s="115"/>
      <c r="CX2625" s="115"/>
      <c r="CY2625" s="115"/>
      <c r="CZ2625" s="115"/>
      <c r="DA2625" s="115"/>
      <c r="DB2625" s="115"/>
      <c r="DC2625" s="115"/>
      <c r="DD2625" s="115"/>
      <c r="DE2625" s="115"/>
      <c r="DF2625" s="115"/>
      <c r="DG2625" s="115"/>
    </row>
    <row r="2626" spans="55:111" hidden="1">
      <c r="BC2626" s="115"/>
      <c r="BD2626" s="115"/>
      <c r="BE2626" s="115"/>
      <c r="BF2626" s="115"/>
      <c r="BG2626" s="115"/>
      <c r="BH2626" s="115"/>
      <c r="BI2626" s="115"/>
      <c r="BJ2626" s="115"/>
      <c r="BK2626" s="115"/>
      <c r="BL2626" s="115"/>
      <c r="BM2626" s="115"/>
      <c r="BN2626" s="115"/>
      <c r="BO2626" s="115"/>
      <c r="BP2626" s="115"/>
      <c r="BQ2626" s="115"/>
      <c r="BR2626" s="115"/>
      <c r="BS2626" s="115"/>
      <c r="BT2626" s="115"/>
      <c r="BU2626" s="115"/>
      <c r="BV2626" s="115"/>
      <c r="BW2626" s="115"/>
      <c r="BX2626" s="115"/>
      <c r="BY2626" s="115"/>
      <c r="BZ2626" s="115"/>
      <c r="CA2626" s="115"/>
      <c r="CB2626" s="115"/>
      <c r="CC2626" s="115"/>
      <c r="CD2626" s="115"/>
      <c r="CE2626" s="115"/>
      <c r="CF2626" s="115"/>
      <c r="CG2626" s="115"/>
      <c r="CH2626" s="115"/>
      <c r="CI2626" s="115"/>
      <c r="CJ2626" s="115"/>
      <c r="CK2626" s="115"/>
      <c r="CL2626" s="115"/>
      <c r="CM2626" s="115"/>
      <c r="CN2626" s="115"/>
      <c r="CO2626" s="115"/>
      <c r="CP2626" s="115"/>
      <c r="CQ2626" s="115"/>
      <c r="CR2626" s="115"/>
      <c r="CS2626" s="115"/>
      <c r="CT2626" s="115"/>
      <c r="CU2626" s="115"/>
      <c r="CV2626" s="115"/>
      <c r="CW2626" s="115"/>
      <c r="CX2626" s="115"/>
      <c r="CY2626" s="115"/>
      <c r="CZ2626" s="115"/>
      <c r="DA2626" s="115"/>
      <c r="DB2626" s="115"/>
      <c r="DC2626" s="115"/>
      <c r="DD2626" s="115"/>
      <c r="DE2626" s="115"/>
      <c r="DF2626" s="115"/>
      <c r="DG2626" s="115"/>
    </row>
    <row r="2627" spans="55:111" hidden="1">
      <c r="BC2627" s="115"/>
      <c r="BD2627" s="115"/>
      <c r="BE2627" s="115"/>
      <c r="BF2627" s="115"/>
      <c r="BG2627" s="115"/>
      <c r="BH2627" s="115"/>
      <c r="BI2627" s="115"/>
      <c r="BJ2627" s="115"/>
      <c r="BK2627" s="115"/>
      <c r="BL2627" s="115"/>
      <c r="BM2627" s="115"/>
      <c r="BN2627" s="115"/>
      <c r="BO2627" s="115"/>
      <c r="BP2627" s="115"/>
      <c r="BQ2627" s="115"/>
      <c r="BR2627" s="115"/>
      <c r="BS2627" s="115"/>
      <c r="BT2627" s="115"/>
      <c r="BU2627" s="115"/>
      <c r="BV2627" s="115"/>
      <c r="BW2627" s="115"/>
      <c r="BX2627" s="115"/>
      <c r="BY2627" s="115"/>
      <c r="BZ2627" s="115"/>
      <c r="CA2627" s="115"/>
      <c r="CB2627" s="115"/>
      <c r="CC2627" s="115"/>
      <c r="CD2627" s="115"/>
      <c r="CE2627" s="115"/>
      <c r="CF2627" s="115"/>
      <c r="CG2627" s="115"/>
      <c r="CH2627" s="115"/>
      <c r="CI2627" s="115"/>
      <c r="CJ2627" s="115"/>
      <c r="CK2627" s="115"/>
      <c r="CL2627" s="115"/>
      <c r="CM2627" s="115"/>
      <c r="CN2627" s="115"/>
      <c r="CO2627" s="115"/>
      <c r="CP2627" s="115"/>
      <c r="CQ2627" s="115"/>
      <c r="CR2627" s="115"/>
      <c r="CS2627" s="115"/>
      <c r="CT2627" s="115"/>
      <c r="CU2627" s="115"/>
      <c r="CV2627" s="115"/>
      <c r="CW2627" s="115"/>
      <c r="CX2627" s="115"/>
      <c r="CY2627" s="115"/>
      <c r="CZ2627" s="115"/>
      <c r="DA2627" s="115"/>
      <c r="DB2627" s="115"/>
      <c r="DC2627" s="115"/>
      <c r="DD2627" s="115"/>
      <c r="DE2627" s="115"/>
      <c r="DF2627" s="115"/>
      <c r="DG2627" s="115"/>
    </row>
    <row r="2628" spans="55:111" hidden="1">
      <c r="BC2628" s="115"/>
      <c r="BD2628" s="115"/>
      <c r="BE2628" s="115"/>
      <c r="BF2628" s="115"/>
      <c r="BG2628" s="115"/>
      <c r="BH2628" s="115"/>
      <c r="BI2628" s="115"/>
      <c r="BJ2628" s="115"/>
      <c r="BK2628" s="115"/>
      <c r="BL2628" s="115"/>
      <c r="BM2628" s="115"/>
      <c r="BN2628" s="115"/>
      <c r="BO2628" s="115"/>
      <c r="BP2628" s="115"/>
      <c r="BQ2628" s="115"/>
      <c r="BR2628" s="115"/>
      <c r="BS2628" s="115"/>
      <c r="BT2628" s="115"/>
      <c r="BU2628" s="115"/>
      <c r="BV2628" s="115"/>
      <c r="BW2628" s="115"/>
      <c r="BX2628" s="115"/>
      <c r="BY2628" s="115"/>
      <c r="BZ2628" s="115"/>
      <c r="CA2628" s="115"/>
      <c r="CB2628" s="115"/>
      <c r="CC2628" s="115"/>
      <c r="CD2628" s="115"/>
      <c r="CE2628" s="115"/>
      <c r="CF2628" s="115"/>
      <c r="CG2628" s="115"/>
      <c r="CH2628" s="115"/>
      <c r="CI2628" s="115"/>
      <c r="CJ2628" s="115"/>
      <c r="CK2628" s="115"/>
      <c r="CL2628" s="115"/>
      <c r="CM2628" s="115"/>
      <c r="CN2628" s="115"/>
      <c r="CO2628" s="115"/>
      <c r="CP2628" s="115"/>
      <c r="CQ2628" s="115"/>
      <c r="CR2628" s="115"/>
      <c r="CS2628" s="115"/>
      <c r="CT2628" s="115"/>
      <c r="CU2628" s="115"/>
      <c r="CV2628" s="115"/>
      <c r="CW2628" s="115"/>
      <c r="CX2628" s="115"/>
      <c r="CY2628" s="115"/>
      <c r="CZ2628" s="115"/>
      <c r="DA2628" s="115"/>
      <c r="DB2628" s="115"/>
      <c r="DC2628" s="115"/>
      <c r="DD2628" s="115"/>
      <c r="DE2628" s="115"/>
      <c r="DF2628" s="115"/>
      <c r="DG2628" s="115"/>
    </row>
    <row r="2629" spans="55:111" hidden="1">
      <c r="BC2629" s="115"/>
      <c r="BD2629" s="115"/>
      <c r="BE2629" s="115"/>
      <c r="BF2629" s="115"/>
      <c r="BG2629" s="115"/>
      <c r="BH2629" s="115"/>
      <c r="BI2629" s="115"/>
      <c r="BJ2629" s="115"/>
      <c r="BK2629" s="115"/>
      <c r="BL2629" s="115"/>
      <c r="BM2629" s="115"/>
      <c r="BN2629" s="115"/>
      <c r="BO2629" s="115"/>
      <c r="BP2629" s="115"/>
      <c r="BQ2629" s="115"/>
      <c r="BR2629" s="115"/>
      <c r="BS2629" s="115"/>
      <c r="BT2629" s="115"/>
      <c r="BU2629" s="115"/>
      <c r="BV2629" s="115"/>
      <c r="BW2629" s="115"/>
      <c r="BX2629" s="115"/>
      <c r="BY2629" s="115"/>
      <c r="BZ2629" s="115"/>
      <c r="CA2629" s="115"/>
      <c r="CB2629" s="115"/>
      <c r="CC2629" s="115"/>
      <c r="CD2629" s="115"/>
      <c r="CE2629" s="115"/>
      <c r="CF2629" s="115"/>
      <c r="CG2629" s="115"/>
      <c r="CH2629" s="115"/>
      <c r="CI2629" s="115"/>
      <c r="CJ2629" s="115"/>
      <c r="CK2629" s="115"/>
      <c r="CL2629" s="115"/>
      <c r="CM2629" s="115"/>
      <c r="CN2629" s="115"/>
      <c r="CO2629" s="115"/>
      <c r="CP2629" s="115"/>
      <c r="CQ2629" s="115"/>
      <c r="CR2629" s="115"/>
      <c r="CS2629" s="115"/>
      <c r="CT2629" s="115"/>
      <c r="CU2629" s="115"/>
      <c r="CV2629" s="115"/>
      <c r="CW2629" s="115"/>
      <c r="CX2629" s="115"/>
      <c r="CY2629" s="115"/>
      <c r="CZ2629" s="115"/>
      <c r="DA2629" s="115"/>
      <c r="DB2629" s="115"/>
      <c r="DC2629" s="115"/>
      <c r="DD2629" s="115"/>
      <c r="DE2629" s="115"/>
      <c r="DF2629" s="115"/>
      <c r="DG2629" s="115"/>
    </row>
    <row r="2630" spans="55:111" hidden="1">
      <c r="BC2630" s="115"/>
      <c r="BD2630" s="115"/>
      <c r="BE2630" s="115"/>
      <c r="BF2630" s="115"/>
      <c r="BG2630" s="115"/>
      <c r="BH2630" s="115"/>
      <c r="BI2630" s="115"/>
      <c r="BJ2630" s="115"/>
      <c r="BK2630" s="115"/>
      <c r="BL2630" s="115"/>
      <c r="BM2630" s="115"/>
      <c r="BN2630" s="115"/>
      <c r="BO2630" s="115"/>
      <c r="BP2630" s="115"/>
      <c r="BQ2630" s="115"/>
      <c r="BR2630" s="115"/>
      <c r="BS2630" s="115"/>
      <c r="BT2630" s="115"/>
      <c r="BU2630" s="115"/>
      <c r="BV2630" s="115"/>
      <c r="BW2630" s="115"/>
      <c r="BX2630" s="115"/>
      <c r="BY2630" s="115"/>
      <c r="BZ2630" s="115"/>
      <c r="CA2630" s="115"/>
      <c r="CB2630" s="115"/>
      <c r="CC2630" s="115"/>
      <c r="CD2630" s="115"/>
      <c r="CE2630" s="115"/>
      <c r="CF2630" s="115"/>
      <c r="CG2630" s="115"/>
      <c r="CH2630" s="115"/>
      <c r="CI2630" s="115"/>
      <c r="CJ2630" s="115"/>
      <c r="CK2630" s="115"/>
      <c r="CL2630" s="115"/>
      <c r="CM2630" s="115"/>
      <c r="CN2630" s="115"/>
      <c r="CO2630" s="115"/>
      <c r="CP2630" s="115"/>
      <c r="CQ2630" s="115"/>
      <c r="CR2630" s="115"/>
      <c r="CS2630" s="115"/>
      <c r="CT2630" s="115"/>
      <c r="CU2630" s="115"/>
      <c r="CV2630" s="115"/>
      <c r="CW2630" s="115"/>
      <c r="CX2630" s="115"/>
      <c r="CY2630" s="115"/>
      <c r="CZ2630" s="115"/>
      <c r="DA2630" s="115"/>
      <c r="DB2630" s="115"/>
      <c r="DC2630" s="115"/>
      <c r="DD2630" s="115"/>
      <c r="DE2630" s="115"/>
      <c r="DF2630" s="115"/>
      <c r="DG2630" s="115"/>
    </row>
    <row r="2631" spans="55:111" hidden="1">
      <c r="BC2631" s="115"/>
      <c r="BD2631" s="115"/>
      <c r="BE2631" s="115"/>
      <c r="BF2631" s="115"/>
      <c r="BG2631" s="115"/>
      <c r="BH2631" s="115"/>
      <c r="BI2631" s="115"/>
      <c r="BJ2631" s="115"/>
      <c r="BK2631" s="115"/>
      <c r="BL2631" s="115"/>
      <c r="BM2631" s="115"/>
      <c r="BN2631" s="115"/>
      <c r="BO2631" s="115"/>
      <c r="BP2631" s="115"/>
      <c r="BQ2631" s="115"/>
      <c r="BR2631" s="115"/>
      <c r="BS2631" s="115"/>
      <c r="BT2631" s="115"/>
      <c r="BU2631" s="115"/>
      <c r="BV2631" s="115"/>
      <c r="BW2631" s="115"/>
      <c r="BX2631" s="115"/>
      <c r="BY2631" s="115"/>
      <c r="BZ2631" s="115"/>
      <c r="CA2631" s="115"/>
      <c r="CB2631" s="115"/>
      <c r="CC2631" s="115"/>
      <c r="CD2631" s="115"/>
      <c r="CE2631" s="115"/>
      <c r="CF2631" s="115"/>
      <c r="CG2631" s="115"/>
      <c r="CH2631" s="115"/>
      <c r="CI2631" s="115"/>
      <c r="CJ2631" s="115"/>
      <c r="CK2631" s="115"/>
      <c r="CL2631" s="115"/>
      <c r="CM2631" s="115"/>
      <c r="CN2631" s="115"/>
      <c r="CO2631" s="115"/>
      <c r="CP2631" s="115"/>
      <c r="CQ2631" s="115"/>
      <c r="CR2631" s="115"/>
      <c r="CS2631" s="115"/>
      <c r="CT2631" s="115"/>
      <c r="CU2631" s="115"/>
      <c r="CV2631" s="115"/>
      <c r="CW2631" s="115"/>
      <c r="CX2631" s="115"/>
      <c r="CY2631" s="115"/>
      <c r="CZ2631" s="115"/>
      <c r="DA2631" s="115"/>
      <c r="DB2631" s="115"/>
      <c r="DC2631" s="115"/>
      <c r="DD2631" s="115"/>
      <c r="DE2631" s="115"/>
      <c r="DF2631" s="115"/>
      <c r="DG2631" s="115"/>
    </row>
    <row r="2632" spans="55:111" hidden="1">
      <c r="BC2632" s="115"/>
      <c r="BD2632" s="115"/>
      <c r="BE2632" s="115"/>
      <c r="BF2632" s="115"/>
      <c r="BG2632" s="115"/>
      <c r="BH2632" s="115"/>
      <c r="BI2632" s="115"/>
      <c r="BJ2632" s="115"/>
      <c r="BK2632" s="115"/>
      <c r="BL2632" s="115"/>
      <c r="BM2632" s="115"/>
      <c r="BN2632" s="115"/>
      <c r="BO2632" s="115"/>
      <c r="BP2632" s="115"/>
      <c r="BQ2632" s="115"/>
      <c r="BR2632" s="115"/>
      <c r="BS2632" s="115"/>
      <c r="BT2632" s="115"/>
      <c r="BU2632" s="115"/>
      <c r="BV2632" s="115"/>
      <c r="BW2632" s="115"/>
      <c r="BX2632" s="115"/>
      <c r="BY2632" s="115"/>
      <c r="BZ2632" s="115"/>
      <c r="CA2632" s="115"/>
      <c r="CB2632" s="115"/>
      <c r="CC2632" s="115"/>
      <c r="CD2632" s="115"/>
      <c r="CE2632" s="115"/>
      <c r="CF2632" s="115"/>
      <c r="CG2632" s="115"/>
      <c r="CH2632" s="115"/>
      <c r="CI2632" s="115"/>
      <c r="CJ2632" s="115"/>
      <c r="CK2632" s="115"/>
      <c r="CL2632" s="115"/>
      <c r="CM2632" s="115"/>
      <c r="CN2632" s="115"/>
      <c r="CO2632" s="115"/>
      <c r="CP2632" s="115"/>
      <c r="CQ2632" s="115"/>
      <c r="CR2632" s="115"/>
      <c r="CS2632" s="115"/>
      <c r="CT2632" s="115"/>
      <c r="CU2632" s="115"/>
      <c r="CV2632" s="115"/>
      <c r="CW2632" s="115"/>
      <c r="CX2632" s="115"/>
      <c r="CY2632" s="115"/>
      <c r="CZ2632" s="115"/>
      <c r="DA2632" s="115"/>
      <c r="DB2632" s="115"/>
      <c r="DC2632" s="115"/>
      <c r="DD2632" s="115"/>
      <c r="DE2632" s="115"/>
      <c r="DF2632" s="115"/>
      <c r="DG2632" s="115"/>
    </row>
    <row r="2633" spans="55:111" hidden="1">
      <c r="BC2633" s="115"/>
      <c r="BD2633" s="115"/>
      <c r="BE2633" s="115"/>
      <c r="BF2633" s="115"/>
      <c r="BG2633" s="115"/>
      <c r="BH2633" s="115"/>
      <c r="BI2633" s="115"/>
      <c r="BJ2633" s="115"/>
      <c r="BK2633" s="115"/>
      <c r="BL2633" s="115"/>
      <c r="BM2633" s="115"/>
      <c r="BN2633" s="115"/>
      <c r="BO2633" s="115"/>
      <c r="BP2633" s="115"/>
      <c r="BQ2633" s="115"/>
      <c r="BR2633" s="115"/>
      <c r="BS2633" s="115"/>
      <c r="BT2633" s="115"/>
      <c r="BU2633" s="115"/>
      <c r="BV2633" s="115"/>
      <c r="BW2633" s="115"/>
      <c r="BX2633" s="115"/>
      <c r="BY2633" s="115"/>
      <c r="BZ2633" s="115"/>
      <c r="CA2633" s="115"/>
      <c r="CB2633" s="115"/>
      <c r="CC2633" s="115"/>
      <c r="CD2633" s="115"/>
      <c r="CE2633" s="115"/>
      <c r="CF2633" s="115"/>
      <c r="CG2633" s="115"/>
      <c r="CH2633" s="115"/>
      <c r="CI2633" s="115"/>
      <c r="CJ2633" s="115"/>
      <c r="CK2633" s="115"/>
      <c r="CL2633" s="115"/>
      <c r="CM2633" s="115"/>
      <c r="CN2633" s="115"/>
      <c r="CO2633" s="115"/>
      <c r="CP2633" s="115"/>
      <c r="CQ2633" s="115"/>
      <c r="CR2633" s="115"/>
      <c r="CS2633" s="115"/>
      <c r="CT2633" s="115"/>
      <c r="CU2633" s="115"/>
      <c r="CV2633" s="115"/>
      <c r="CW2633" s="115"/>
      <c r="CX2633" s="115"/>
      <c r="CY2633" s="115"/>
      <c r="CZ2633" s="115"/>
      <c r="DA2633" s="115"/>
      <c r="DB2633" s="115"/>
      <c r="DC2633" s="115"/>
      <c r="DD2633" s="115"/>
      <c r="DE2633" s="115"/>
      <c r="DF2633" s="115"/>
      <c r="DG2633" s="115"/>
    </row>
    <row r="2634" spans="55:111" hidden="1">
      <c r="BC2634" s="115"/>
      <c r="BD2634" s="115"/>
      <c r="BE2634" s="115"/>
      <c r="BF2634" s="115"/>
      <c r="BG2634" s="115"/>
      <c r="BH2634" s="115"/>
      <c r="BI2634" s="115"/>
      <c r="BJ2634" s="115"/>
      <c r="BK2634" s="115"/>
      <c r="BL2634" s="115"/>
      <c r="BM2634" s="115"/>
      <c r="BN2634" s="115"/>
      <c r="BO2634" s="115"/>
      <c r="BP2634" s="115"/>
      <c r="BQ2634" s="115"/>
      <c r="BR2634" s="115"/>
      <c r="BS2634" s="115"/>
      <c r="BT2634" s="115"/>
      <c r="BU2634" s="115"/>
      <c r="BV2634" s="115"/>
      <c r="BW2634" s="115"/>
      <c r="BX2634" s="115"/>
      <c r="BY2634" s="115"/>
      <c r="BZ2634" s="115"/>
      <c r="CA2634" s="115"/>
      <c r="CB2634" s="115"/>
      <c r="CC2634" s="115"/>
      <c r="CD2634" s="115"/>
      <c r="CE2634" s="115"/>
      <c r="CF2634" s="115"/>
      <c r="CG2634" s="115"/>
      <c r="CH2634" s="115"/>
      <c r="CI2634" s="115"/>
      <c r="CJ2634" s="115"/>
      <c r="CK2634" s="115"/>
      <c r="CL2634" s="115"/>
      <c r="CM2634" s="115"/>
      <c r="CN2634" s="115"/>
      <c r="CO2634" s="115"/>
      <c r="CP2634" s="115"/>
      <c r="CQ2634" s="115"/>
      <c r="CR2634" s="115"/>
      <c r="CS2634" s="115"/>
      <c r="CT2634" s="115"/>
      <c r="CU2634" s="115"/>
      <c r="CV2634" s="115"/>
      <c r="CW2634" s="115"/>
      <c r="CX2634" s="115"/>
      <c r="CY2634" s="115"/>
      <c r="CZ2634" s="115"/>
      <c r="DA2634" s="115"/>
      <c r="DB2634" s="115"/>
      <c r="DC2634" s="115"/>
      <c r="DD2634" s="115"/>
      <c r="DE2634" s="115"/>
      <c r="DF2634" s="115"/>
      <c r="DG2634" s="115"/>
    </row>
    <row r="2635" spans="55:111" hidden="1">
      <c r="BC2635" s="115"/>
      <c r="BD2635" s="115"/>
      <c r="BE2635" s="115"/>
      <c r="BF2635" s="115"/>
      <c r="BG2635" s="115"/>
      <c r="BH2635" s="115"/>
      <c r="BI2635" s="115"/>
      <c r="BJ2635" s="115"/>
      <c r="BK2635" s="115"/>
      <c r="BL2635" s="115"/>
      <c r="BM2635" s="115"/>
      <c r="BN2635" s="115"/>
      <c r="BO2635" s="115"/>
      <c r="BP2635" s="115"/>
      <c r="BQ2635" s="115"/>
      <c r="BR2635" s="115"/>
      <c r="BS2635" s="115"/>
      <c r="BT2635" s="115"/>
      <c r="BU2635" s="115"/>
      <c r="BV2635" s="115"/>
      <c r="BW2635" s="115"/>
      <c r="BX2635" s="115"/>
      <c r="BY2635" s="115"/>
      <c r="BZ2635" s="115"/>
      <c r="CA2635" s="115"/>
      <c r="CB2635" s="115"/>
      <c r="CC2635" s="115"/>
      <c r="CD2635" s="115"/>
      <c r="CE2635" s="115"/>
      <c r="CF2635" s="115"/>
      <c r="CG2635" s="115"/>
      <c r="CH2635" s="115"/>
      <c r="CI2635" s="115"/>
      <c r="CJ2635" s="115"/>
      <c r="CK2635" s="115"/>
      <c r="CL2635" s="115"/>
      <c r="CM2635" s="115"/>
      <c r="CN2635" s="115"/>
      <c r="CO2635" s="115"/>
      <c r="CP2635" s="115"/>
      <c r="CQ2635" s="115"/>
      <c r="CR2635" s="115"/>
      <c r="CS2635" s="115"/>
      <c r="CT2635" s="115"/>
      <c r="CU2635" s="115"/>
      <c r="CV2635" s="115"/>
      <c r="CW2635" s="115"/>
      <c r="CX2635" s="115"/>
      <c r="CY2635" s="115"/>
      <c r="CZ2635" s="115"/>
      <c r="DA2635" s="115"/>
      <c r="DB2635" s="115"/>
      <c r="DC2635" s="115"/>
      <c r="DD2635" s="115"/>
      <c r="DE2635" s="115"/>
      <c r="DF2635" s="115"/>
      <c r="DG2635" s="115"/>
    </row>
    <row r="2636" spans="55:111" hidden="1">
      <c r="BC2636" s="115"/>
      <c r="BD2636" s="115"/>
      <c r="BE2636" s="115"/>
      <c r="BF2636" s="115"/>
      <c r="BG2636" s="115"/>
      <c r="BH2636" s="115"/>
      <c r="BI2636" s="115"/>
      <c r="BJ2636" s="115"/>
      <c r="BK2636" s="115"/>
      <c r="BL2636" s="115"/>
      <c r="BM2636" s="115"/>
      <c r="BN2636" s="115"/>
      <c r="BO2636" s="115"/>
      <c r="BP2636" s="115"/>
      <c r="BQ2636" s="115"/>
      <c r="BR2636" s="115"/>
      <c r="BS2636" s="115"/>
      <c r="BT2636" s="115"/>
      <c r="BU2636" s="115"/>
      <c r="BV2636" s="115"/>
      <c r="BW2636" s="115"/>
      <c r="BX2636" s="115"/>
      <c r="BY2636" s="115"/>
      <c r="BZ2636" s="115"/>
      <c r="CA2636" s="115"/>
      <c r="CB2636" s="115"/>
      <c r="CC2636" s="115"/>
      <c r="CD2636" s="115"/>
      <c r="CE2636" s="115"/>
      <c r="CF2636" s="115"/>
      <c r="CG2636" s="115"/>
      <c r="CH2636" s="115"/>
      <c r="CI2636" s="115"/>
      <c r="CJ2636" s="115"/>
      <c r="CK2636" s="115"/>
      <c r="CL2636" s="115"/>
      <c r="CM2636" s="115"/>
      <c r="CN2636" s="115"/>
      <c r="CO2636" s="115"/>
      <c r="CP2636" s="115"/>
      <c r="CQ2636" s="115"/>
      <c r="CR2636" s="115"/>
      <c r="CS2636" s="115"/>
      <c r="CT2636" s="115"/>
      <c r="CU2636" s="115"/>
      <c r="CV2636" s="115"/>
      <c r="CW2636" s="115"/>
      <c r="CX2636" s="115"/>
      <c r="CY2636" s="115"/>
      <c r="CZ2636" s="115"/>
      <c r="DA2636" s="115"/>
      <c r="DB2636" s="115"/>
      <c r="DC2636" s="115"/>
      <c r="DD2636" s="115"/>
      <c r="DE2636" s="115"/>
      <c r="DF2636" s="115"/>
      <c r="DG2636" s="115"/>
    </row>
    <row r="2637" spans="55:111" hidden="1">
      <c r="BC2637" s="115"/>
      <c r="BD2637" s="115"/>
      <c r="BE2637" s="115"/>
      <c r="BF2637" s="115"/>
      <c r="BG2637" s="115"/>
      <c r="BH2637" s="115"/>
      <c r="BI2637" s="115"/>
      <c r="BJ2637" s="115"/>
      <c r="BK2637" s="115"/>
      <c r="BL2637" s="115"/>
      <c r="BM2637" s="115"/>
      <c r="BN2637" s="115"/>
      <c r="BO2637" s="115"/>
      <c r="BP2637" s="115"/>
      <c r="BQ2637" s="115"/>
      <c r="BR2637" s="115"/>
      <c r="BS2637" s="115"/>
      <c r="BT2637" s="115"/>
      <c r="BU2637" s="115"/>
      <c r="BV2637" s="115"/>
      <c r="BW2637" s="115"/>
      <c r="BX2637" s="115"/>
      <c r="BY2637" s="115"/>
      <c r="BZ2637" s="115"/>
      <c r="CA2637" s="115"/>
      <c r="CB2637" s="115"/>
      <c r="CC2637" s="115"/>
      <c r="CD2637" s="115"/>
      <c r="CE2637" s="115"/>
      <c r="CF2637" s="115"/>
      <c r="CG2637" s="115"/>
      <c r="CH2637" s="115"/>
      <c r="CI2637" s="115"/>
      <c r="CJ2637" s="115"/>
      <c r="CK2637" s="115"/>
      <c r="CL2637" s="115"/>
      <c r="CM2637" s="115"/>
      <c r="CN2637" s="115"/>
      <c r="CO2637" s="115"/>
      <c r="CP2637" s="115"/>
      <c r="CQ2637" s="115"/>
      <c r="CR2637" s="115"/>
      <c r="CS2637" s="115"/>
      <c r="CT2637" s="115"/>
      <c r="CU2637" s="115"/>
      <c r="CV2637" s="115"/>
      <c r="CW2637" s="115"/>
      <c r="CX2637" s="115"/>
      <c r="CY2637" s="115"/>
      <c r="CZ2637" s="115"/>
      <c r="DA2637" s="115"/>
      <c r="DB2637" s="115"/>
      <c r="DC2637" s="115"/>
      <c r="DD2637" s="115"/>
      <c r="DE2637" s="115"/>
      <c r="DF2637" s="115"/>
      <c r="DG2637" s="115"/>
    </row>
    <row r="2638" spans="55:111" hidden="1">
      <c r="BC2638" s="115"/>
      <c r="BD2638" s="115"/>
      <c r="BE2638" s="115"/>
      <c r="BF2638" s="115"/>
      <c r="BG2638" s="115"/>
      <c r="BH2638" s="115"/>
      <c r="BI2638" s="115"/>
      <c r="BJ2638" s="115"/>
      <c r="BK2638" s="115"/>
      <c r="BL2638" s="115"/>
      <c r="BM2638" s="115"/>
      <c r="BN2638" s="115"/>
      <c r="BO2638" s="115"/>
      <c r="BP2638" s="115"/>
      <c r="BQ2638" s="115"/>
      <c r="BR2638" s="115"/>
      <c r="BS2638" s="115"/>
      <c r="BT2638" s="115"/>
      <c r="BU2638" s="115"/>
      <c r="BV2638" s="115"/>
      <c r="BW2638" s="115"/>
      <c r="BX2638" s="115"/>
      <c r="BY2638" s="115"/>
      <c r="BZ2638" s="115"/>
      <c r="CA2638" s="115"/>
      <c r="CB2638" s="115"/>
      <c r="CC2638" s="115"/>
      <c r="CD2638" s="115"/>
      <c r="CE2638" s="115"/>
      <c r="CF2638" s="115"/>
      <c r="CG2638" s="115"/>
      <c r="CH2638" s="115"/>
      <c r="CI2638" s="115"/>
      <c r="CJ2638" s="115"/>
      <c r="CK2638" s="115"/>
      <c r="CL2638" s="115"/>
      <c r="CM2638" s="115"/>
      <c r="CN2638" s="115"/>
      <c r="CO2638" s="115"/>
      <c r="CP2638" s="115"/>
      <c r="CQ2638" s="115"/>
      <c r="CR2638" s="115"/>
      <c r="CS2638" s="115"/>
      <c r="CT2638" s="115"/>
      <c r="CU2638" s="115"/>
      <c r="CV2638" s="115"/>
      <c r="CW2638" s="115"/>
      <c r="CX2638" s="115"/>
      <c r="CY2638" s="115"/>
      <c r="CZ2638" s="115"/>
      <c r="DA2638" s="115"/>
      <c r="DB2638" s="115"/>
      <c r="DC2638" s="115"/>
      <c r="DD2638" s="115"/>
      <c r="DE2638" s="115"/>
      <c r="DF2638" s="115"/>
      <c r="DG2638" s="115"/>
    </row>
    <row r="2639" spans="55:111" hidden="1">
      <c r="BC2639" s="115"/>
      <c r="BD2639" s="115"/>
      <c r="BE2639" s="115"/>
      <c r="BF2639" s="115"/>
      <c r="BG2639" s="115"/>
      <c r="BH2639" s="115"/>
      <c r="BI2639" s="115"/>
      <c r="BJ2639" s="115"/>
      <c r="BK2639" s="115"/>
      <c r="BL2639" s="115"/>
      <c r="BM2639" s="115"/>
      <c r="BN2639" s="115"/>
      <c r="BO2639" s="115"/>
      <c r="BP2639" s="115"/>
      <c r="BQ2639" s="115"/>
      <c r="BR2639" s="115"/>
      <c r="BS2639" s="115"/>
      <c r="BT2639" s="115"/>
      <c r="BU2639" s="115"/>
      <c r="BV2639" s="115"/>
      <c r="BW2639" s="115"/>
      <c r="BX2639" s="115"/>
      <c r="BY2639" s="115"/>
      <c r="BZ2639" s="115"/>
      <c r="CA2639" s="115"/>
      <c r="CB2639" s="115"/>
      <c r="CC2639" s="115"/>
      <c r="CD2639" s="115"/>
      <c r="CE2639" s="115"/>
      <c r="CF2639" s="115"/>
      <c r="CG2639" s="115"/>
      <c r="CH2639" s="115"/>
      <c r="CI2639" s="115"/>
      <c r="CJ2639" s="115"/>
      <c r="CK2639" s="115"/>
      <c r="CL2639" s="115"/>
      <c r="CM2639" s="115"/>
      <c r="CN2639" s="115"/>
      <c r="CO2639" s="115"/>
      <c r="CP2639" s="115"/>
      <c r="CQ2639" s="115"/>
      <c r="CR2639" s="115"/>
      <c r="CS2639" s="115"/>
      <c r="CT2639" s="115"/>
      <c r="CU2639" s="115"/>
      <c r="CV2639" s="115"/>
      <c r="CW2639" s="115"/>
      <c r="CX2639" s="115"/>
      <c r="CY2639" s="115"/>
      <c r="CZ2639" s="115"/>
      <c r="DA2639" s="115"/>
      <c r="DB2639" s="115"/>
      <c r="DC2639" s="115"/>
      <c r="DD2639" s="115"/>
      <c r="DE2639" s="115"/>
      <c r="DF2639" s="115"/>
      <c r="DG2639" s="115"/>
    </row>
    <row r="2640" spans="55:111" hidden="1">
      <c r="BC2640" s="115"/>
      <c r="BD2640" s="115"/>
      <c r="BE2640" s="115"/>
      <c r="BF2640" s="115"/>
      <c r="BG2640" s="115"/>
      <c r="BH2640" s="115"/>
      <c r="BI2640" s="115"/>
      <c r="BJ2640" s="115"/>
      <c r="BK2640" s="115"/>
      <c r="BL2640" s="115"/>
      <c r="BM2640" s="115"/>
      <c r="BN2640" s="115"/>
      <c r="BO2640" s="115"/>
      <c r="BP2640" s="115"/>
      <c r="BQ2640" s="115"/>
      <c r="BR2640" s="115"/>
      <c r="BS2640" s="115"/>
      <c r="BT2640" s="115"/>
      <c r="BU2640" s="115"/>
      <c r="BV2640" s="115"/>
      <c r="BW2640" s="115"/>
      <c r="BX2640" s="115"/>
      <c r="BY2640" s="115"/>
      <c r="BZ2640" s="115"/>
      <c r="CA2640" s="115"/>
      <c r="CB2640" s="115"/>
      <c r="CC2640" s="115"/>
      <c r="CD2640" s="115"/>
      <c r="CE2640" s="115"/>
      <c r="CF2640" s="115"/>
      <c r="CG2640" s="115"/>
      <c r="CH2640" s="115"/>
      <c r="CI2640" s="115"/>
      <c r="CJ2640" s="115"/>
      <c r="CK2640" s="115"/>
      <c r="CL2640" s="115"/>
      <c r="CM2640" s="115"/>
      <c r="CN2640" s="115"/>
      <c r="CO2640" s="115"/>
      <c r="CP2640" s="115"/>
      <c r="CQ2640" s="115"/>
      <c r="CR2640" s="115"/>
      <c r="CS2640" s="115"/>
      <c r="CT2640" s="115"/>
      <c r="CU2640" s="115"/>
      <c r="CV2640" s="115"/>
      <c r="CW2640" s="115"/>
      <c r="CX2640" s="115"/>
      <c r="CY2640" s="115"/>
      <c r="CZ2640" s="115"/>
      <c r="DA2640" s="115"/>
      <c r="DB2640" s="115"/>
      <c r="DC2640" s="115"/>
      <c r="DD2640" s="115"/>
      <c r="DE2640" s="115"/>
      <c r="DF2640" s="115"/>
      <c r="DG2640" s="115"/>
    </row>
    <row r="2641" spans="55:111" hidden="1">
      <c r="BC2641" s="115"/>
      <c r="BD2641" s="115"/>
      <c r="BE2641" s="115"/>
      <c r="BF2641" s="115"/>
      <c r="BG2641" s="115"/>
      <c r="BH2641" s="115"/>
      <c r="BI2641" s="115"/>
      <c r="BJ2641" s="115"/>
      <c r="BK2641" s="115"/>
      <c r="BL2641" s="115"/>
      <c r="BM2641" s="115"/>
      <c r="BN2641" s="115"/>
      <c r="BO2641" s="115"/>
      <c r="BP2641" s="115"/>
      <c r="BQ2641" s="115"/>
      <c r="BR2641" s="115"/>
      <c r="BS2641" s="115"/>
      <c r="BT2641" s="115"/>
      <c r="BU2641" s="115"/>
      <c r="BV2641" s="115"/>
      <c r="BW2641" s="115"/>
      <c r="BX2641" s="115"/>
      <c r="BY2641" s="115"/>
      <c r="BZ2641" s="115"/>
      <c r="CA2641" s="115"/>
      <c r="CB2641" s="115"/>
      <c r="CC2641" s="115"/>
      <c r="CD2641" s="115"/>
      <c r="CE2641" s="115"/>
      <c r="CF2641" s="115"/>
      <c r="CG2641" s="115"/>
      <c r="CH2641" s="115"/>
      <c r="CI2641" s="115"/>
      <c r="CJ2641" s="115"/>
      <c r="CK2641" s="115"/>
      <c r="CL2641" s="115"/>
      <c r="CM2641" s="115"/>
      <c r="CN2641" s="115"/>
      <c r="CO2641" s="115"/>
      <c r="CP2641" s="115"/>
      <c r="CQ2641" s="115"/>
      <c r="CR2641" s="115"/>
      <c r="CS2641" s="115"/>
      <c r="CT2641" s="115"/>
      <c r="CU2641" s="115"/>
      <c r="CV2641" s="115"/>
      <c r="CW2641" s="115"/>
      <c r="CX2641" s="115"/>
      <c r="CY2641" s="115"/>
      <c r="CZ2641" s="115"/>
      <c r="DA2641" s="115"/>
      <c r="DB2641" s="115"/>
      <c r="DC2641" s="115"/>
      <c r="DD2641" s="115"/>
      <c r="DE2641" s="115"/>
      <c r="DF2641" s="115"/>
      <c r="DG2641" s="115"/>
    </row>
    <row r="2642" spans="55:111" hidden="1">
      <c r="BC2642" s="115"/>
      <c r="BD2642" s="115"/>
      <c r="BE2642" s="115"/>
      <c r="BF2642" s="115"/>
      <c r="BG2642" s="115"/>
      <c r="BH2642" s="115"/>
      <c r="BI2642" s="115"/>
      <c r="BJ2642" s="115"/>
      <c r="BK2642" s="115"/>
      <c r="BL2642" s="115"/>
      <c r="BM2642" s="115"/>
      <c r="BN2642" s="115"/>
      <c r="BO2642" s="115"/>
      <c r="BP2642" s="115"/>
      <c r="BQ2642" s="115"/>
      <c r="BR2642" s="115"/>
      <c r="BS2642" s="115"/>
      <c r="BT2642" s="115"/>
      <c r="BU2642" s="115"/>
      <c r="BV2642" s="115"/>
      <c r="BW2642" s="115"/>
      <c r="BX2642" s="115"/>
      <c r="BY2642" s="115"/>
      <c r="BZ2642" s="115"/>
      <c r="CA2642" s="115"/>
      <c r="CB2642" s="115"/>
      <c r="CC2642" s="115"/>
      <c r="CD2642" s="115"/>
      <c r="CE2642" s="115"/>
      <c r="CF2642" s="115"/>
      <c r="CG2642" s="115"/>
      <c r="CH2642" s="115"/>
      <c r="CI2642" s="115"/>
      <c r="CJ2642" s="115"/>
      <c r="CK2642" s="115"/>
      <c r="CL2642" s="115"/>
      <c r="CM2642" s="115"/>
      <c r="CN2642" s="115"/>
      <c r="CO2642" s="115"/>
      <c r="CP2642" s="115"/>
      <c r="CQ2642" s="115"/>
      <c r="CR2642" s="115"/>
      <c r="CS2642" s="115"/>
      <c r="CT2642" s="115"/>
      <c r="CU2642" s="115"/>
      <c r="CV2642" s="115"/>
      <c r="CW2642" s="115"/>
      <c r="CX2642" s="115"/>
      <c r="CY2642" s="115"/>
      <c r="CZ2642" s="115"/>
      <c r="DA2642" s="115"/>
      <c r="DB2642" s="115"/>
      <c r="DC2642" s="115"/>
      <c r="DD2642" s="115"/>
      <c r="DE2642" s="115"/>
      <c r="DF2642" s="115"/>
      <c r="DG2642" s="115"/>
    </row>
    <row r="2643" spans="55:111" hidden="1">
      <c r="BC2643" s="115"/>
      <c r="BD2643" s="115"/>
      <c r="BE2643" s="115"/>
      <c r="BF2643" s="115"/>
      <c r="BG2643" s="115"/>
      <c r="BH2643" s="115"/>
      <c r="BI2643" s="115"/>
      <c r="BJ2643" s="115"/>
      <c r="BK2643" s="115"/>
      <c r="BL2643" s="115"/>
      <c r="BM2643" s="115"/>
      <c r="BN2643" s="115"/>
      <c r="BO2643" s="115"/>
      <c r="BP2643" s="115"/>
      <c r="BQ2643" s="115"/>
      <c r="BR2643" s="115"/>
      <c r="BS2643" s="115"/>
      <c r="BT2643" s="115"/>
      <c r="BU2643" s="115"/>
      <c r="BV2643" s="115"/>
      <c r="BW2643" s="115"/>
      <c r="BX2643" s="115"/>
      <c r="BY2643" s="115"/>
      <c r="BZ2643" s="115"/>
      <c r="CA2643" s="115"/>
      <c r="CB2643" s="115"/>
      <c r="CC2643" s="115"/>
      <c r="CD2643" s="115"/>
      <c r="CE2643" s="115"/>
      <c r="CF2643" s="115"/>
      <c r="CG2643" s="115"/>
      <c r="CH2643" s="115"/>
      <c r="CI2643" s="115"/>
      <c r="CJ2643" s="115"/>
      <c r="CK2643" s="115"/>
      <c r="CL2643" s="115"/>
      <c r="CM2643" s="115"/>
      <c r="CN2643" s="115"/>
      <c r="CO2643" s="115"/>
      <c r="CP2643" s="115"/>
      <c r="CQ2643" s="115"/>
      <c r="CR2643" s="115"/>
      <c r="CS2643" s="115"/>
      <c r="CT2643" s="115"/>
      <c r="CU2643" s="115"/>
      <c r="CV2643" s="115"/>
      <c r="CW2643" s="115"/>
      <c r="CX2643" s="115"/>
      <c r="CY2643" s="115"/>
      <c r="CZ2643" s="115"/>
      <c r="DA2643" s="115"/>
      <c r="DB2643" s="115"/>
      <c r="DC2643" s="115"/>
      <c r="DD2643" s="115"/>
      <c r="DE2643" s="115"/>
      <c r="DF2643" s="115"/>
      <c r="DG2643" s="115"/>
    </row>
    <row r="2644" spans="55:111" hidden="1">
      <c r="BC2644" s="115"/>
      <c r="BD2644" s="115"/>
      <c r="BE2644" s="115"/>
      <c r="BF2644" s="115"/>
      <c r="BG2644" s="115"/>
      <c r="BH2644" s="115"/>
      <c r="BI2644" s="115"/>
      <c r="BJ2644" s="115"/>
      <c r="BK2644" s="115"/>
      <c r="BL2644" s="115"/>
      <c r="BM2644" s="115"/>
      <c r="BN2644" s="115"/>
      <c r="BO2644" s="115"/>
      <c r="BP2644" s="115"/>
      <c r="BQ2644" s="115"/>
      <c r="BR2644" s="115"/>
      <c r="BS2644" s="115"/>
      <c r="BT2644" s="115"/>
      <c r="BU2644" s="115"/>
      <c r="BV2644" s="115"/>
      <c r="BW2644" s="115"/>
      <c r="BX2644" s="115"/>
      <c r="BY2644" s="115"/>
      <c r="BZ2644" s="115"/>
      <c r="CA2644" s="115"/>
      <c r="CB2644" s="115"/>
      <c r="CC2644" s="115"/>
      <c r="CD2644" s="115"/>
      <c r="CE2644" s="115"/>
      <c r="CF2644" s="115"/>
      <c r="CG2644" s="115"/>
      <c r="CH2644" s="115"/>
      <c r="CI2644" s="115"/>
      <c r="CJ2644" s="115"/>
      <c r="CK2644" s="115"/>
      <c r="CL2644" s="115"/>
      <c r="CM2644" s="115"/>
      <c r="CN2644" s="115"/>
      <c r="CO2644" s="115"/>
      <c r="CP2644" s="115"/>
      <c r="CQ2644" s="115"/>
      <c r="CR2644" s="115"/>
      <c r="CS2644" s="115"/>
      <c r="CT2644" s="115"/>
      <c r="CU2644" s="115"/>
      <c r="CV2644" s="115"/>
      <c r="CW2644" s="115"/>
      <c r="CX2644" s="115"/>
      <c r="CY2644" s="115"/>
      <c r="CZ2644" s="115"/>
      <c r="DA2644" s="115"/>
      <c r="DB2644" s="115"/>
      <c r="DC2644" s="115"/>
      <c r="DD2644" s="115"/>
      <c r="DE2644" s="115"/>
      <c r="DF2644" s="115"/>
      <c r="DG2644" s="115"/>
    </row>
    <row r="2645" spans="55:111" hidden="1">
      <c r="BC2645" s="115"/>
      <c r="BD2645" s="115"/>
      <c r="BE2645" s="115"/>
      <c r="BF2645" s="115"/>
      <c r="BG2645" s="115"/>
      <c r="BH2645" s="115"/>
      <c r="BI2645" s="115"/>
      <c r="BJ2645" s="115"/>
      <c r="BK2645" s="115"/>
      <c r="BL2645" s="115"/>
      <c r="BM2645" s="115"/>
      <c r="BN2645" s="115"/>
      <c r="BO2645" s="115"/>
      <c r="BP2645" s="115"/>
      <c r="BQ2645" s="115"/>
      <c r="BR2645" s="115"/>
      <c r="BS2645" s="115"/>
      <c r="BT2645" s="115"/>
      <c r="BU2645" s="115"/>
      <c r="BV2645" s="115"/>
      <c r="BW2645" s="115"/>
      <c r="BX2645" s="115"/>
      <c r="BY2645" s="115"/>
      <c r="BZ2645" s="115"/>
      <c r="CA2645" s="115"/>
      <c r="CB2645" s="115"/>
      <c r="CC2645" s="115"/>
      <c r="CD2645" s="115"/>
      <c r="CE2645" s="115"/>
      <c r="CF2645" s="115"/>
      <c r="CG2645" s="115"/>
      <c r="CH2645" s="115"/>
      <c r="CI2645" s="115"/>
      <c r="CJ2645" s="115"/>
      <c r="CK2645" s="115"/>
      <c r="CL2645" s="115"/>
      <c r="CM2645" s="115"/>
      <c r="CN2645" s="115"/>
      <c r="CO2645" s="115"/>
      <c r="CP2645" s="115"/>
      <c r="CQ2645" s="115"/>
      <c r="CR2645" s="115"/>
      <c r="CS2645" s="115"/>
      <c r="CT2645" s="115"/>
      <c r="CU2645" s="115"/>
      <c r="CV2645" s="115"/>
      <c r="CW2645" s="115"/>
      <c r="CX2645" s="115"/>
      <c r="CY2645" s="115"/>
      <c r="CZ2645" s="115"/>
      <c r="DA2645" s="115"/>
      <c r="DB2645" s="115"/>
      <c r="DC2645" s="115"/>
      <c r="DD2645" s="115"/>
      <c r="DE2645" s="115"/>
      <c r="DF2645" s="115"/>
      <c r="DG2645" s="115"/>
    </row>
    <row r="2646" spans="55:111" hidden="1">
      <c r="BC2646" s="115"/>
      <c r="BD2646" s="115"/>
      <c r="BE2646" s="115"/>
      <c r="BF2646" s="115"/>
      <c r="BG2646" s="115"/>
      <c r="BH2646" s="115"/>
      <c r="BI2646" s="115"/>
      <c r="BJ2646" s="115"/>
      <c r="BK2646" s="115"/>
      <c r="BL2646" s="115"/>
      <c r="BM2646" s="115"/>
      <c r="BN2646" s="115"/>
      <c r="BO2646" s="115"/>
      <c r="BP2646" s="115"/>
      <c r="BQ2646" s="115"/>
      <c r="BR2646" s="115"/>
      <c r="BS2646" s="115"/>
      <c r="BT2646" s="115"/>
      <c r="BU2646" s="115"/>
      <c r="BV2646" s="115"/>
      <c r="BW2646" s="115"/>
      <c r="BX2646" s="115"/>
      <c r="BY2646" s="115"/>
      <c r="BZ2646" s="115"/>
      <c r="CA2646" s="115"/>
      <c r="CB2646" s="115"/>
      <c r="CC2646" s="115"/>
      <c r="CD2646" s="115"/>
      <c r="CE2646" s="115"/>
      <c r="CF2646" s="115"/>
      <c r="CG2646" s="115"/>
      <c r="CH2646" s="115"/>
      <c r="CI2646" s="115"/>
      <c r="CJ2646" s="115"/>
      <c r="CK2646" s="115"/>
      <c r="CL2646" s="115"/>
      <c r="CM2646" s="115"/>
      <c r="CN2646" s="115"/>
      <c r="CO2646" s="115"/>
      <c r="CP2646" s="115"/>
      <c r="CQ2646" s="115"/>
      <c r="CR2646" s="115"/>
      <c r="CS2646" s="115"/>
      <c r="CT2646" s="115"/>
      <c r="CU2646" s="115"/>
      <c r="CV2646" s="115"/>
      <c r="CW2646" s="115"/>
      <c r="CX2646" s="115"/>
      <c r="CY2646" s="115"/>
      <c r="CZ2646" s="115"/>
      <c r="DA2646" s="115"/>
      <c r="DB2646" s="115"/>
      <c r="DC2646" s="115"/>
      <c r="DD2646" s="115"/>
      <c r="DE2646" s="115"/>
      <c r="DF2646" s="115"/>
      <c r="DG2646" s="115"/>
    </row>
    <row r="2647" spans="55:111" hidden="1">
      <c r="BC2647" s="115"/>
      <c r="BD2647" s="115"/>
      <c r="BE2647" s="115"/>
      <c r="BF2647" s="115"/>
      <c r="BG2647" s="115"/>
      <c r="BH2647" s="115"/>
      <c r="BI2647" s="115"/>
      <c r="BJ2647" s="115"/>
      <c r="BK2647" s="115"/>
      <c r="BL2647" s="115"/>
      <c r="BM2647" s="115"/>
      <c r="BN2647" s="115"/>
      <c r="BO2647" s="115"/>
      <c r="BP2647" s="115"/>
      <c r="BQ2647" s="115"/>
      <c r="BR2647" s="115"/>
      <c r="BS2647" s="115"/>
      <c r="BT2647" s="115"/>
      <c r="BU2647" s="115"/>
      <c r="BV2647" s="115"/>
      <c r="BW2647" s="115"/>
      <c r="BX2647" s="115"/>
      <c r="BY2647" s="115"/>
      <c r="BZ2647" s="115"/>
      <c r="CA2647" s="115"/>
      <c r="CB2647" s="115"/>
      <c r="CC2647" s="115"/>
      <c r="CD2647" s="115"/>
      <c r="CE2647" s="115"/>
      <c r="CF2647" s="115"/>
      <c r="CG2647" s="115"/>
      <c r="CH2647" s="115"/>
      <c r="CI2647" s="115"/>
      <c r="CJ2647" s="115"/>
      <c r="CK2647" s="115"/>
      <c r="CL2647" s="115"/>
      <c r="CM2647" s="115"/>
      <c r="CN2647" s="115"/>
      <c r="CO2647" s="115"/>
      <c r="CP2647" s="115"/>
      <c r="CQ2647" s="115"/>
      <c r="CR2647" s="115"/>
      <c r="CS2647" s="115"/>
      <c r="CT2647" s="115"/>
      <c r="CU2647" s="115"/>
      <c r="CV2647" s="115"/>
      <c r="CW2647" s="115"/>
      <c r="CX2647" s="115"/>
      <c r="CY2647" s="115"/>
      <c r="CZ2647" s="115"/>
      <c r="DA2647" s="115"/>
      <c r="DB2647" s="115"/>
      <c r="DC2647" s="115"/>
      <c r="DD2647" s="115"/>
      <c r="DE2647" s="115"/>
      <c r="DF2647" s="115"/>
      <c r="DG2647" s="115"/>
    </row>
    <row r="2648" spans="55:111" hidden="1">
      <c r="BC2648" s="115"/>
      <c r="BD2648" s="115"/>
      <c r="BE2648" s="115"/>
      <c r="BF2648" s="115"/>
      <c r="BG2648" s="115"/>
      <c r="BH2648" s="115"/>
      <c r="BI2648" s="115"/>
      <c r="BJ2648" s="115"/>
      <c r="BK2648" s="115"/>
      <c r="BL2648" s="115"/>
      <c r="BM2648" s="115"/>
      <c r="BN2648" s="115"/>
      <c r="BO2648" s="115"/>
      <c r="BP2648" s="115"/>
      <c r="BQ2648" s="115"/>
      <c r="BR2648" s="115"/>
      <c r="BS2648" s="115"/>
      <c r="BT2648" s="115"/>
      <c r="BU2648" s="115"/>
      <c r="BV2648" s="115"/>
      <c r="BW2648" s="115"/>
      <c r="BX2648" s="115"/>
      <c r="BY2648" s="115"/>
      <c r="BZ2648" s="115"/>
      <c r="CA2648" s="115"/>
      <c r="CB2648" s="115"/>
      <c r="CC2648" s="115"/>
      <c r="CD2648" s="115"/>
      <c r="CE2648" s="115"/>
      <c r="CF2648" s="115"/>
      <c r="CG2648" s="115"/>
      <c r="CH2648" s="115"/>
      <c r="CI2648" s="115"/>
      <c r="CJ2648" s="115"/>
      <c r="CK2648" s="115"/>
      <c r="CL2648" s="115"/>
      <c r="CM2648" s="115"/>
      <c r="CN2648" s="115"/>
      <c r="CO2648" s="115"/>
      <c r="CP2648" s="115"/>
      <c r="CQ2648" s="115"/>
      <c r="CR2648" s="115"/>
      <c r="CS2648" s="115"/>
      <c r="CT2648" s="115"/>
      <c r="CU2648" s="115"/>
      <c r="CV2648" s="115"/>
      <c r="CW2648" s="115"/>
      <c r="CX2648" s="115"/>
      <c r="CY2648" s="115"/>
      <c r="CZ2648" s="115"/>
      <c r="DA2648" s="115"/>
      <c r="DB2648" s="115"/>
      <c r="DC2648" s="115"/>
      <c r="DD2648" s="115"/>
      <c r="DE2648" s="115"/>
      <c r="DF2648" s="115"/>
      <c r="DG2648" s="115"/>
    </row>
    <row r="2649" spans="55:111" hidden="1">
      <c r="BC2649" s="115"/>
      <c r="BD2649" s="115"/>
      <c r="BE2649" s="115"/>
      <c r="BF2649" s="115"/>
      <c r="BG2649" s="115"/>
      <c r="BH2649" s="115"/>
      <c r="BI2649" s="115"/>
      <c r="BJ2649" s="115"/>
      <c r="BK2649" s="115"/>
      <c r="BL2649" s="115"/>
      <c r="BM2649" s="115"/>
      <c r="BN2649" s="115"/>
      <c r="BO2649" s="115"/>
      <c r="BP2649" s="115"/>
      <c r="BQ2649" s="115"/>
      <c r="BR2649" s="115"/>
      <c r="BS2649" s="115"/>
      <c r="BT2649" s="115"/>
      <c r="BU2649" s="115"/>
      <c r="BV2649" s="115"/>
      <c r="BW2649" s="115"/>
      <c r="BX2649" s="115"/>
      <c r="BY2649" s="115"/>
      <c r="BZ2649" s="115"/>
      <c r="CA2649" s="115"/>
      <c r="CB2649" s="115"/>
      <c r="CC2649" s="115"/>
      <c r="CD2649" s="115"/>
      <c r="CE2649" s="115"/>
      <c r="CF2649" s="115"/>
      <c r="CG2649" s="115"/>
      <c r="CH2649" s="115"/>
      <c r="CI2649" s="115"/>
      <c r="CJ2649" s="115"/>
      <c r="CK2649" s="115"/>
      <c r="CL2649" s="115"/>
      <c r="CM2649" s="115"/>
      <c r="CN2649" s="115"/>
      <c r="CO2649" s="115"/>
      <c r="CP2649" s="115"/>
      <c r="CQ2649" s="115"/>
      <c r="CR2649" s="115"/>
      <c r="CS2649" s="115"/>
      <c r="CT2649" s="115"/>
      <c r="CU2649" s="115"/>
      <c r="CV2649" s="115"/>
      <c r="CW2649" s="115"/>
      <c r="CX2649" s="115"/>
      <c r="CY2649" s="115"/>
      <c r="CZ2649" s="115"/>
      <c r="DA2649" s="115"/>
      <c r="DB2649" s="115"/>
      <c r="DC2649" s="115"/>
      <c r="DD2649" s="115"/>
      <c r="DE2649" s="115"/>
      <c r="DF2649" s="115"/>
      <c r="DG2649" s="115"/>
    </row>
    <row r="2650" spans="55:111" hidden="1">
      <c r="BC2650" s="115"/>
      <c r="BD2650" s="115"/>
      <c r="BE2650" s="115"/>
      <c r="BF2650" s="115"/>
      <c r="BG2650" s="115"/>
      <c r="BH2650" s="115"/>
      <c r="BI2650" s="115"/>
      <c r="BJ2650" s="115"/>
      <c r="BK2650" s="115"/>
      <c r="BL2650" s="115"/>
      <c r="BM2650" s="115"/>
      <c r="BN2650" s="115"/>
      <c r="BO2650" s="115"/>
      <c r="BP2650" s="115"/>
      <c r="BQ2650" s="115"/>
      <c r="BR2650" s="115"/>
      <c r="BS2650" s="115"/>
      <c r="BT2650" s="115"/>
      <c r="BU2650" s="115"/>
      <c r="BV2650" s="115"/>
      <c r="BW2650" s="115"/>
      <c r="BX2650" s="115"/>
      <c r="BY2650" s="115"/>
      <c r="BZ2650" s="115"/>
      <c r="CA2650" s="115"/>
      <c r="CB2650" s="115"/>
      <c r="CC2650" s="115"/>
      <c r="CD2650" s="115"/>
      <c r="CE2650" s="115"/>
      <c r="CF2650" s="115"/>
      <c r="CG2650" s="115"/>
      <c r="CH2650" s="115"/>
      <c r="CI2650" s="115"/>
      <c r="CJ2650" s="115"/>
      <c r="CK2650" s="115"/>
      <c r="CL2650" s="115"/>
      <c r="CM2650" s="115"/>
      <c r="CN2650" s="115"/>
      <c r="CO2650" s="115"/>
      <c r="CP2650" s="115"/>
      <c r="CQ2650" s="115"/>
      <c r="CR2650" s="115"/>
      <c r="CS2650" s="115"/>
      <c r="CT2650" s="115"/>
      <c r="CU2650" s="115"/>
      <c r="CV2650" s="115"/>
      <c r="CW2650" s="115"/>
      <c r="CX2650" s="115"/>
      <c r="CY2650" s="115"/>
      <c r="CZ2650" s="115"/>
      <c r="DA2650" s="115"/>
      <c r="DB2650" s="115"/>
      <c r="DC2650" s="115"/>
      <c r="DD2650" s="115"/>
      <c r="DE2650" s="115"/>
      <c r="DF2650" s="115"/>
      <c r="DG2650" s="115"/>
    </row>
    <row r="2651" spans="55:111" hidden="1">
      <c r="BC2651" s="115"/>
      <c r="BD2651" s="115"/>
      <c r="BE2651" s="115"/>
      <c r="BF2651" s="115"/>
      <c r="BG2651" s="115"/>
      <c r="BH2651" s="115"/>
      <c r="BI2651" s="115"/>
      <c r="BJ2651" s="115"/>
      <c r="BK2651" s="115"/>
      <c r="BL2651" s="115"/>
      <c r="BM2651" s="115"/>
      <c r="BN2651" s="115"/>
      <c r="BO2651" s="115"/>
      <c r="BP2651" s="115"/>
      <c r="BQ2651" s="115"/>
      <c r="BR2651" s="115"/>
      <c r="BS2651" s="115"/>
      <c r="BT2651" s="115"/>
      <c r="BU2651" s="115"/>
      <c r="BV2651" s="115"/>
      <c r="BW2651" s="115"/>
      <c r="BX2651" s="115"/>
      <c r="BY2651" s="115"/>
      <c r="BZ2651" s="115"/>
      <c r="CA2651" s="115"/>
      <c r="CB2651" s="115"/>
      <c r="CC2651" s="115"/>
      <c r="CD2651" s="115"/>
      <c r="CE2651" s="115"/>
      <c r="CF2651" s="115"/>
      <c r="CG2651" s="115"/>
      <c r="CH2651" s="115"/>
      <c r="CI2651" s="115"/>
      <c r="CJ2651" s="115"/>
      <c r="CK2651" s="115"/>
      <c r="CL2651" s="115"/>
      <c r="CM2651" s="115"/>
      <c r="CN2651" s="115"/>
      <c r="CO2651" s="115"/>
      <c r="CP2651" s="115"/>
      <c r="CQ2651" s="115"/>
      <c r="CR2651" s="115"/>
      <c r="CS2651" s="115"/>
      <c r="CT2651" s="115"/>
      <c r="CU2651" s="115"/>
      <c r="CV2651" s="115"/>
      <c r="CW2651" s="115"/>
      <c r="CX2651" s="115"/>
      <c r="CY2651" s="115"/>
      <c r="CZ2651" s="115"/>
      <c r="DA2651" s="115"/>
      <c r="DB2651" s="115"/>
      <c r="DC2651" s="115"/>
      <c r="DD2651" s="115"/>
      <c r="DE2651" s="115"/>
      <c r="DF2651" s="115"/>
      <c r="DG2651" s="115"/>
    </row>
    <row r="2652" spans="55:111" hidden="1">
      <c r="BC2652" s="115"/>
      <c r="BD2652" s="115"/>
      <c r="BE2652" s="115"/>
      <c r="BF2652" s="115"/>
      <c r="BG2652" s="115"/>
      <c r="BH2652" s="115"/>
      <c r="BI2652" s="115"/>
      <c r="BJ2652" s="115"/>
      <c r="BK2652" s="115"/>
      <c r="BL2652" s="115"/>
      <c r="BM2652" s="115"/>
      <c r="BN2652" s="115"/>
      <c r="BO2652" s="115"/>
      <c r="BP2652" s="115"/>
      <c r="BQ2652" s="115"/>
      <c r="BR2652" s="115"/>
      <c r="BS2652" s="115"/>
      <c r="BT2652" s="115"/>
      <c r="BU2652" s="115"/>
      <c r="BV2652" s="115"/>
      <c r="BW2652" s="115"/>
      <c r="BX2652" s="115"/>
      <c r="BY2652" s="115"/>
      <c r="BZ2652" s="115"/>
      <c r="CA2652" s="115"/>
      <c r="CB2652" s="115"/>
      <c r="CC2652" s="115"/>
      <c r="CD2652" s="115"/>
      <c r="CE2652" s="115"/>
      <c r="CF2652" s="115"/>
      <c r="CG2652" s="115"/>
      <c r="CH2652" s="115"/>
      <c r="CI2652" s="115"/>
      <c r="CJ2652" s="115"/>
      <c r="CK2652" s="115"/>
      <c r="CL2652" s="115"/>
      <c r="CM2652" s="115"/>
      <c r="CN2652" s="115"/>
      <c r="CO2652" s="115"/>
      <c r="CP2652" s="115"/>
      <c r="CQ2652" s="115"/>
      <c r="CR2652" s="115"/>
      <c r="CS2652" s="115"/>
      <c r="CT2652" s="115"/>
      <c r="CU2652" s="115"/>
      <c r="CV2652" s="115"/>
      <c r="CW2652" s="115"/>
      <c r="CX2652" s="115"/>
      <c r="CY2652" s="115"/>
      <c r="CZ2652" s="115"/>
      <c r="DA2652" s="115"/>
      <c r="DB2652" s="115"/>
      <c r="DC2652" s="115"/>
      <c r="DD2652" s="115"/>
      <c r="DE2652" s="115"/>
      <c r="DF2652" s="115"/>
      <c r="DG2652" s="115"/>
    </row>
    <row r="2653" spans="55:111" hidden="1">
      <c r="BC2653" s="115"/>
      <c r="BD2653" s="115"/>
      <c r="BE2653" s="115"/>
      <c r="BF2653" s="115"/>
      <c r="BG2653" s="115"/>
      <c r="BH2653" s="115"/>
      <c r="BI2653" s="115"/>
      <c r="BJ2653" s="115"/>
      <c r="BK2653" s="115"/>
      <c r="BL2653" s="115"/>
      <c r="BM2653" s="115"/>
      <c r="BN2653" s="115"/>
      <c r="BO2653" s="115"/>
      <c r="BP2653" s="115"/>
      <c r="BQ2653" s="115"/>
      <c r="BR2653" s="115"/>
      <c r="BS2653" s="115"/>
      <c r="BT2653" s="115"/>
      <c r="BU2653" s="115"/>
      <c r="BV2653" s="115"/>
      <c r="BW2653" s="115"/>
      <c r="BX2653" s="115"/>
      <c r="BY2653" s="115"/>
      <c r="BZ2653" s="115"/>
      <c r="CA2653" s="115"/>
      <c r="CB2653" s="115"/>
      <c r="CC2653" s="115"/>
      <c r="CD2653" s="115"/>
      <c r="CE2653" s="115"/>
      <c r="CF2653" s="115"/>
      <c r="CG2653" s="115"/>
      <c r="CH2653" s="115"/>
      <c r="CI2653" s="115"/>
      <c r="CJ2653" s="115"/>
      <c r="CK2653" s="115"/>
      <c r="CL2653" s="115"/>
      <c r="CM2653" s="115"/>
      <c r="CN2653" s="115"/>
      <c r="CO2653" s="115"/>
      <c r="CP2653" s="115"/>
      <c r="CQ2653" s="115"/>
      <c r="CR2653" s="115"/>
      <c r="CS2653" s="115"/>
      <c r="CT2653" s="115"/>
      <c r="CU2653" s="115"/>
      <c r="CV2653" s="115"/>
      <c r="CW2653" s="115"/>
      <c r="CX2653" s="115"/>
      <c r="CY2653" s="115"/>
      <c r="CZ2653" s="115"/>
      <c r="DA2653" s="115"/>
      <c r="DB2653" s="115"/>
      <c r="DC2653" s="115"/>
      <c r="DD2653" s="115"/>
      <c r="DE2653" s="115"/>
      <c r="DF2653" s="115"/>
      <c r="DG2653" s="115"/>
    </row>
    <row r="2654" spans="55:111" hidden="1">
      <c r="BC2654" s="115"/>
      <c r="BD2654" s="115"/>
      <c r="BE2654" s="115"/>
      <c r="BF2654" s="115"/>
      <c r="BG2654" s="115"/>
      <c r="BH2654" s="115"/>
      <c r="BI2654" s="115"/>
      <c r="BJ2654" s="115"/>
      <c r="BK2654" s="115"/>
      <c r="BL2654" s="115"/>
      <c r="BM2654" s="115"/>
      <c r="BN2654" s="115"/>
      <c r="BO2654" s="115"/>
      <c r="BP2654" s="115"/>
      <c r="BQ2654" s="115"/>
      <c r="BR2654" s="115"/>
      <c r="BS2654" s="115"/>
      <c r="BT2654" s="115"/>
      <c r="BU2654" s="115"/>
      <c r="BV2654" s="115"/>
      <c r="BW2654" s="115"/>
      <c r="BX2654" s="115"/>
      <c r="BY2654" s="115"/>
      <c r="BZ2654" s="115"/>
      <c r="CA2654" s="115"/>
      <c r="CB2654" s="115"/>
      <c r="CC2654" s="115"/>
      <c r="CD2654" s="115"/>
      <c r="CE2654" s="115"/>
      <c r="CF2654" s="115"/>
      <c r="CG2654" s="115"/>
      <c r="CH2654" s="115"/>
      <c r="CI2654" s="115"/>
      <c r="CJ2654" s="115"/>
      <c r="CK2654" s="115"/>
      <c r="CL2654" s="115"/>
      <c r="CM2654" s="115"/>
      <c r="CN2654" s="115"/>
      <c r="CO2654" s="115"/>
      <c r="CP2654" s="115"/>
      <c r="CQ2654" s="115"/>
      <c r="CR2654" s="115"/>
      <c r="CS2654" s="115"/>
      <c r="CT2654" s="115"/>
      <c r="CU2654" s="115"/>
      <c r="CV2654" s="115"/>
      <c r="CW2654" s="115"/>
      <c r="CX2654" s="115"/>
      <c r="CY2654" s="115"/>
      <c r="CZ2654" s="115"/>
      <c r="DA2654" s="115"/>
      <c r="DB2654" s="115"/>
      <c r="DC2654" s="115"/>
      <c r="DD2654" s="115"/>
      <c r="DE2654" s="115"/>
      <c r="DF2654" s="115"/>
      <c r="DG2654" s="115"/>
    </row>
    <row r="2655" spans="55:111" hidden="1">
      <c r="BC2655" s="115"/>
      <c r="BD2655" s="115"/>
      <c r="BE2655" s="115"/>
      <c r="BF2655" s="115"/>
      <c r="BG2655" s="115"/>
      <c r="BH2655" s="115"/>
      <c r="BI2655" s="115"/>
      <c r="BJ2655" s="115"/>
      <c r="BK2655" s="115"/>
      <c r="BL2655" s="115"/>
      <c r="BM2655" s="115"/>
      <c r="BN2655" s="115"/>
      <c r="BO2655" s="115"/>
      <c r="BP2655" s="115"/>
      <c r="BQ2655" s="115"/>
      <c r="BR2655" s="115"/>
      <c r="BS2655" s="115"/>
      <c r="BT2655" s="115"/>
      <c r="BU2655" s="115"/>
      <c r="BV2655" s="115"/>
      <c r="BW2655" s="115"/>
      <c r="BX2655" s="115"/>
      <c r="BY2655" s="115"/>
      <c r="BZ2655" s="115"/>
      <c r="CA2655" s="115"/>
      <c r="CB2655" s="115"/>
      <c r="CC2655" s="115"/>
      <c r="CD2655" s="115"/>
      <c r="CE2655" s="115"/>
      <c r="CF2655" s="115"/>
      <c r="CG2655" s="115"/>
      <c r="CH2655" s="115"/>
      <c r="CI2655" s="115"/>
      <c r="CJ2655" s="115"/>
      <c r="CK2655" s="115"/>
      <c r="CL2655" s="115"/>
      <c r="CM2655" s="115"/>
      <c r="CN2655" s="115"/>
      <c r="CO2655" s="115"/>
      <c r="CP2655" s="115"/>
      <c r="CQ2655" s="115"/>
      <c r="CR2655" s="115"/>
      <c r="CS2655" s="115"/>
      <c r="CT2655" s="115"/>
      <c r="CU2655" s="115"/>
      <c r="CV2655" s="115"/>
      <c r="CW2655" s="115"/>
      <c r="CX2655" s="115"/>
      <c r="CY2655" s="115"/>
      <c r="CZ2655" s="115"/>
      <c r="DA2655" s="115"/>
      <c r="DB2655" s="115"/>
      <c r="DC2655" s="115"/>
      <c r="DD2655" s="115"/>
      <c r="DE2655" s="115"/>
      <c r="DF2655" s="115"/>
      <c r="DG2655" s="115"/>
    </row>
    <row r="2656" spans="55:111" hidden="1">
      <c r="BC2656" s="115"/>
      <c r="BD2656" s="115"/>
      <c r="BE2656" s="115"/>
      <c r="BF2656" s="115"/>
      <c r="BG2656" s="115"/>
      <c r="BH2656" s="115"/>
      <c r="BI2656" s="115"/>
      <c r="BJ2656" s="115"/>
      <c r="BK2656" s="115"/>
      <c r="BL2656" s="115"/>
      <c r="BM2656" s="115"/>
      <c r="BN2656" s="115"/>
      <c r="BO2656" s="115"/>
      <c r="BP2656" s="115"/>
      <c r="BQ2656" s="115"/>
      <c r="BR2656" s="115"/>
      <c r="BS2656" s="115"/>
      <c r="BT2656" s="115"/>
      <c r="BU2656" s="115"/>
      <c r="BV2656" s="115"/>
      <c r="BW2656" s="115"/>
      <c r="BX2656" s="115"/>
      <c r="BY2656" s="115"/>
      <c r="BZ2656" s="115"/>
      <c r="CA2656" s="115"/>
      <c r="CB2656" s="115"/>
      <c r="CC2656" s="115"/>
      <c r="CD2656" s="115"/>
      <c r="CE2656" s="115"/>
      <c r="CF2656" s="115"/>
      <c r="CG2656" s="115"/>
      <c r="CH2656" s="115"/>
      <c r="CI2656" s="115"/>
      <c r="CJ2656" s="115"/>
      <c r="CK2656" s="115"/>
      <c r="CL2656" s="115"/>
      <c r="CM2656" s="115"/>
      <c r="CN2656" s="115"/>
      <c r="CO2656" s="115"/>
      <c r="CP2656" s="115"/>
      <c r="CQ2656" s="115"/>
      <c r="CR2656" s="115"/>
      <c r="CS2656" s="115"/>
      <c r="CT2656" s="115"/>
      <c r="CU2656" s="115"/>
      <c r="CV2656" s="115"/>
      <c r="CW2656" s="115"/>
      <c r="CX2656" s="115"/>
      <c r="CY2656" s="115"/>
      <c r="CZ2656" s="115"/>
      <c r="DA2656" s="115"/>
      <c r="DB2656" s="115"/>
      <c r="DC2656" s="115"/>
      <c r="DD2656" s="115"/>
      <c r="DE2656" s="115"/>
      <c r="DF2656" s="115"/>
      <c r="DG2656" s="115"/>
    </row>
    <row r="2657" spans="55:111" hidden="1">
      <c r="BC2657" s="115"/>
      <c r="BD2657" s="115"/>
      <c r="BE2657" s="115"/>
      <c r="BF2657" s="115"/>
      <c r="BG2657" s="115"/>
      <c r="BH2657" s="115"/>
      <c r="BI2657" s="115"/>
      <c r="BJ2657" s="115"/>
      <c r="BK2657" s="115"/>
      <c r="BL2657" s="115"/>
      <c r="BM2657" s="115"/>
      <c r="BN2657" s="115"/>
      <c r="BO2657" s="115"/>
      <c r="BP2657" s="115"/>
      <c r="BQ2657" s="115"/>
      <c r="BR2657" s="115"/>
      <c r="BS2657" s="115"/>
      <c r="BT2657" s="115"/>
      <c r="BU2657" s="115"/>
      <c r="BV2657" s="115"/>
      <c r="BW2657" s="115"/>
      <c r="BX2657" s="115"/>
      <c r="BY2657" s="115"/>
      <c r="BZ2657" s="115"/>
      <c r="CA2657" s="115"/>
      <c r="CB2657" s="115"/>
      <c r="CC2657" s="115"/>
      <c r="CD2657" s="115"/>
      <c r="CE2657" s="115"/>
      <c r="CF2657" s="115"/>
      <c r="CG2657" s="115"/>
      <c r="CH2657" s="115"/>
      <c r="CI2657" s="115"/>
      <c r="CJ2657" s="115"/>
      <c r="CK2657" s="115"/>
      <c r="CL2657" s="115"/>
      <c r="CM2657" s="115"/>
      <c r="CN2657" s="115"/>
      <c r="CO2657" s="115"/>
      <c r="CP2657" s="115"/>
      <c r="CQ2657" s="115"/>
      <c r="CR2657" s="115"/>
      <c r="CS2657" s="115"/>
      <c r="CT2657" s="115"/>
      <c r="CU2657" s="115"/>
      <c r="CV2657" s="115"/>
      <c r="CW2657" s="115"/>
      <c r="CX2657" s="115"/>
      <c r="CY2657" s="115"/>
      <c r="CZ2657" s="115"/>
      <c r="DA2657" s="115"/>
      <c r="DB2657" s="115"/>
      <c r="DC2657" s="115"/>
      <c r="DD2657" s="115"/>
      <c r="DE2657" s="115"/>
      <c r="DF2657" s="115"/>
      <c r="DG2657" s="115"/>
    </row>
    <row r="2658" spans="55:111" hidden="1">
      <c r="BC2658" s="115"/>
      <c r="BD2658" s="115"/>
      <c r="BE2658" s="115"/>
      <c r="BF2658" s="115"/>
      <c r="BG2658" s="115"/>
      <c r="BH2658" s="115"/>
      <c r="BI2658" s="115"/>
      <c r="BJ2658" s="115"/>
      <c r="BK2658" s="115"/>
      <c r="BL2658" s="115"/>
      <c r="BM2658" s="115"/>
      <c r="BN2658" s="115"/>
      <c r="BO2658" s="115"/>
      <c r="BP2658" s="115"/>
      <c r="BQ2658" s="115"/>
      <c r="BR2658" s="115"/>
      <c r="BS2658" s="115"/>
      <c r="BT2658" s="115"/>
      <c r="BU2658" s="115"/>
      <c r="BV2658" s="115"/>
      <c r="BW2658" s="115"/>
      <c r="BX2658" s="115"/>
      <c r="BY2658" s="115"/>
      <c r="BZ2658" s="115"/>
      <c r="CA2658" s="115"/>
      <c r="CB2658" s="115"/>
      <c r="CC2658" s="115"/>
      <c r="CD2658" s="115"/>
      <c r="CE2658" s="115"/>
      <c r="CF2658" s="115"/>
      <c r="CG2658" s="115"/>
      <c r="CH2658" s="115"/>
      <c r="CI2658" s="115"/>
      <c r="CJ2658" s="115"/>
      <c r="CK2658" s="115"/>
      <c r="CL2658" s="115"/>
      <c r="CM2658" s="115"/>
      <c r="CN2658" s="115"/>
      <c r="CO2658" s="115"/>
      <c r="CP2658" s="115"/>
      <c r="CQ2658" s="115"/>
      <c r="CR2658" s="115"/>
      <c r="CS2658" s="115"/>
      <c r="CT2658" s="115"/>
      <c r="CU2658" s="115"/>
      <c r="CV2658" s="115"/>
      <c r="CW2658" s="115"/>
      <c r="CX2658" s="115"/>
      <c r="CY2658" s="115"/>
      <c r="CZ2658" s="115"/>
      <c r="DA2658" s="115"/>
      <c r="DB2658" s="115"/>
      <c r="DC2658" s="115"/>
      <c r="DD2658" s="115"/>
      <c r="DE2658" s="115"/>
      <c r="DF2658" s="115"/>
      <c r="DG2658" s="115"/>
    </row>
    <row r="2659" spans="55:111" hidden="1">
      <c r="BC2659" s="115"/>
      <c r="BD2659" s="115"/>
      <c r="BE2659" s="115"/>
      <c r="BF2659" s="115"/>
      <c r="BG2659" s="115"/>
      <c r="BH2659" s="115"/>
      <c r="BI2659" s="115"/>
      <c r="BJ2659" s="115"/>
      <c r="BK2659" s="115"/>
      <c r="BL2659" s="115"/>
      <c r="BM2659" s="115"/>
      <c r="BN2659" s="115"/>
      <c r="BO2659" s="115"/>
      <c r="BP2659" s="115"/>
      <c r="BQ2659" s="115"/>
      <c r="BR2659" s="115"/>
      <c r="BS2659" s="115"/>
      <c r="BT2659" s="115"/>
      <c r="BU2659" s="115"/>
      <c r="BV2659" s="115"/>
      <c r="BW2659" s="115"/>
      <c r="BX2659" s="115"/>
      <c r="BY2659" s="115"/>
      <c r="BZ2659" s="115"/>
      <c r="CA2659" s="115"/>
      <c r="CB2659" s="115"/>
      <c r="CC2659" s="115"/>
      <c r="CD2659" s="115"/>
      <c r="CE2659" s="115"/>
      <c r="CF2659" s="115"/>
      <c r="CG2659" s="115"/>
      <c r="CH2659" s="115"/>
      <c r="CI2659" s="115"/>
      <c r="CJ2659" s="115"/>
      <c r="CK2659" s="115"/>
      <c r="CL2659" s="115"/>
      <c r="CM2659" s="115"/>
      <c r="CN2659" s="115"/>
      <c r="CO2659" s="115"/>
      <c r="CP2659" s="115"/>
      <c r="CQ2659" s="115"/>
      <c r="CR2659" s="115"/>
      <c r="CS2659" s="115"/>
      <c r="CT2659" s="115"/>
      <c r="CU2659" s="115"/>
      <c r="CV2659" s="115"/>
      <c r="CW2659" s="115"/>
      <c r="CX2659" s="115"/>
      <c r="CY2659" s="115"/>
      <c r="CZ2659" s="115"/>
      <c r="DA2659" s="115"/>
      <c r="DB2659" s="115"/>
      <c r="DC2659" s="115"/>
      <c r="DD2659" s="115"/>
      <c r="DE2659" s="115"/>
      <c r="DF2659" s="115"/>
      <c r="DG2659" s="115"/>
    </row>
    <row r="2660" spans="55:111" hidden="1">
      <c r="BC2660" s="115"/>
      <c r="BD2660" s="115"/>
      <c r="BE2660" s="115"/>
      <c r="BF2660" s="115"/>
      <c r="BG2660" s="115"/>
      <c r="BH2660" s="115"/>
      <c r="BI2660" s="115"/>
      <c r="BJ2660" s="115"/>
      <c r="BK2660" s="115"/>
      <c r="BL2660" s="115"/>
      <c r="BM2660" s="115"/>
      <c r="BN2660" s="115"/>
      <c r="BO2660" s="115"/>
      <c r="BP2660" s="115"/>
      <c r="BQ2660" s="115"/>
      <c r="BR2660" s="115"/>
      <c r="BS2660" s="115"/>
      <c r="BT2660" s="115"/>
      <c r="BU2660" s="115"/>
      <c r="BV2660" s="115"/>
      <c r="BW2660" s="115"/>
      <c r="BX2660" s="115"/>
      <c r="BY2660" s="115"/>
      <c r="BZ2660" s="115"/>
      <c r="CA2660" s="115"/>
      <c r="CB2660" s="115"/>
      <c r="CC2660" s="115"/>
      <c r="CD2660" s="115"/>
      <c r="CE2660" s="115"/>
      <c r="CF2660" s="115"/>
      <c r="CG2660" s="115"/>
      <c r="CH2660" s="115"/>
      <c r="CI2660" s="115"/>
      <c r="CJ2660" s="115"/>
      <c r="CK2660" s="115"/>
      <c r="CL2660" s="115"/>
      <c r="CM2660" s="115"/>
      <c r="CN2660" s="115"/>
      <c r="CO2660" s="115"/>
      <c r="CP2660" s="115"/>
      <c r="CQ2660" s="115"/>
      <c r="CR2660" s="115"/>
      <c r="CS2660" s="115"/>
      <c r="CT2660" s="115"/>
      <c r="CU2660" s="115"/>
      <c r="CV2660" s="115"/>
      <c r="CW2660" s="115"/>
      <c r="CX2660" s="115"/>
      <c r="CY2660" s="115"/>
      <c r="CZ2660" s="115"/>
      <c r="DA2660" s="115"/>
      <c r="DB2660" s="115"/>
      <c r="DC2660" s="115"/>
      <c r="DD2660" s="115"/>
      <c r="DE2660" s="115"/>
      <c r="DF2660" s="115"/>
      <c r="DG2660" s="115"/>
    </row>
    <row r="2661" spans="55:111" hidden="1">
      <c r="BC2661" s="115"/>
      <c r="BD2661" s="115"/>
      <c r="BE2661" s="115"/>
      <c r="BF2661" s="115"/>
      <c r="BG2661" s="115"/>
      <c r="BH2661" s="115"/>
      <c r="BI2661" s="115"/>
      <c r="BJ2661" s="115"/>
      <c r="BK2661" s="115"/>
      <c r="BL2661" s="115"/>
      <c r="BM2661" s="115"/>
      <c r="BN2661" s="115"/>
      <c r="BO2661" s="115"/>
      <c r="BP2661" s="115"/>
      <c r="BQ2661" s="115"/>
      <c r="BR2661" s="115"/>
      <c r="BS2661" s="115"/>
      <c r="BT2661" s="115"/>
      <c r="BU2661" s="115"/>
      <c r="BV2661" s="115"/>
      <c r="BW2661" s="115"/>
      <c r="BX2661" s="115"/>
      <c r="BY2661" s="115"/>
      <c r="BZ2661" s="115"/>
      <c r="CA2661" s="115"/>
      <c r="CB2661" s="115"/>
      <c r="CC2661" s="115"/>
      <c r="CD2661" s="115"/>
      <c r="CE2661" s="115"/>
      <c r="CF2661" s="115"/>
      <c r="CG2661" s="115"/>
      <c r="CH2661" s="115"/>
      <c r="CI2661" s="115"/>
      <c r="CJ2661" s="115"/>
      <c r="CK2661" s="115"/>
      <c r="CL2661" s="115"/>
      <c r="CM2661" s="115"/>
      <c r="CN2661" s="115"/>
      <c r="CO2661" s="115"/>
      <c r="CP2661" s="115"/>
      <c r="CQ2661" s="115"/>
      <c r="CR2661" s="115"/>
      <c r="CS2661" s="115"/>
      <c r="CT2661" s="115"/>
      <c r="CU2661" s="115"/>
      <c r="CV2661" s="115"/>
      <c r="CW2661" s="115"/>
      <c r="CX2661" s="115"/>
      <c r="CY2661" s="115"/>
      <c r="CZ2661" s="115"/>
      <c r="DA2661" s="115"/>
      <c r="DB2661" s="115"/>
      <c r="DC2661" s="115"/>
      <c r="DD2661" s="115"/>
      <c r="DE2661" s="115"/>
      <c r="DF2661" s="115"/>
      <c r="DG2661" s="115"/>
    </row>
    <row r="2662" spans="55:111" hidden="1">
      <c r="BC2662" s="115"/>
      <c r="BD2662" s="115"/>
      <c r="BE2662" s="115"/>
      <c r="BF2662" s="115"/>
      <c r="BG2662" s="115"/>
      <c r="BH2662" s="115"/>
      <c r="BI2662" s="115"/>
      <c r="BJ2662" s="115"/>
      <c r="BK2662" s="115"/>
      <c r="BL2662" s="115"/>
      <c r="BM2662" s="115"/>
      <c r="BN2662" s="115"/>
      <c r="BO2662" s="115"/>
      <c r="BP2662" s="115"/>
      <c r="BQ2662" s="115"/>
      <c r="BR2662" s="115"/>
      <c r="BS2662" s="115"/>
      <c r="BT2662" s="115"/>
      <c r="BU2662" s="115"/>
      <c r="BV2662" s="115"/>
      <c r="BW2662" s="115"/>
      <c r="BX2662" s="115"/>
      <c r="BY2662" s="115"/>
      <c r="BZ2662" s="115"/>
      <c r="CA2662" s="115"/>
      <c r="CB2662" s="115"/>
      <c r="CC2662" s="115"/>
      <c r="CD2662" s="115"/>
      <c r="CE2662" s="115"/>
      <c r="CF2662" s="115"/>
      <c r="CG2662" s="115"/>
      <c r="CH2662" s="115"/>
      <c r="CI2662" s="115"/>
      <c r="CJ2662" s="115"/>
      <c r="CK2662" s="115"/>
      <c r="CL2662" s="115"/>
      <c r="CM2662" s="115"/>
      <c r="CN2662" s="115"/>
      <c r="CO2662" s="115"/>
      <c r="CP2662" s="115"/>
      <c r="CQ2662" s="115"/>
      <c r="CR2662" s="115"/>
      <c r="CS2662" s="115"/>
      <c r="CT2662" s="115"/>
      <c r="CU2662" s="115"/>
      <c r="CV2662" s="115"/>
      <c r="CW2662" s="115"/>
      <c r="CX2662" s="115"/>
      <c r="CY2662" s="115"/>
      <c r="CZ2662" s="115"/>
      <c r="DA2662" s="115"/>
      <c r="DB2662" s="115"/>
      <c r="DC2662" s="115"/>
      <c r="DD2662" s="115"/>
      <c r="DE2662" s="115"/>
      <c r="DF2662" s="115"/>
      <c r="DG2662" s="115"/>
    </row>
    <row r="2663" spans="55:111" hidden="1">
      <c r="BC2663" s="115"/>
      <c r="BD2663" s="115"/>
      <c r="BE2663" s="115"/>
      <c r="BF2663" s="115"/>
      <c r="BG2663" s="115"/>
      <c r="BH2663" s="115"/>
      <c r="BI2663" s="115"/>
      <c r="BJ2663" s="115"/>
      <c r="BK2663" s="115"/>
      <c r="BL2663" s="115"/>
      <c r="BM2663" s="115"/>
      <c r="BN2663" s="115"/>
      <c r="BO2663" s="115"/>
      <c r="BP2663" s="115"/>
      <c r="BQ2663" s="115"/>
      <c r="BR2663" s="115"/>
      <c r="BS2663" s="115"/>
      <c r="BT2663" s="115"/>
      <c r="BU2663" s="115"/>
      <c r="BV2663" s="115"/>
      <c r="BW2663" s="115"/>
      <c r="BX2663" s="115"/>
      <c r="BY2663" s="115"/>
      <c r="BZ2663" s="115"/>
      <c r="CA2663" s="115"/>
      <c r="CB2663" s="115"/>
      <c r="CC2663" s="115"/>
      <c r="CD2663" s="115"/>
      <c r="CE2663" s="115"/>
      <c r="CF2663" s="115"/>
      <c r="CG2663" s="115"/>
      <c r="CH2663" s="115"/>
      <c r="CI2663" s="115"/>
      <c r="CJ2663" s="115"/>
      <c r="CK2663" s="115"/>
      <c r="CL2663" s="115"/>
      <c r="CM2663" s="115"/>
      <c r="CN2663" s="115"/>
      <c r="CO2663" s="115"/>
      <c r="CP2663" s="115"/>
      <c r="CQ2663" s="115"/>
      <c r="CR2663" s="115"/>
      <c r="CS2663" s="115"/>
      <c r="CT2663" s="115"/>
      <c r="CU2663" s="115"/>
      <c r="CV2663" s="115"/>
      <c r="CW2663" s="115"/>
      <c r="CX2663" s="115"/>
      <c r="CY2663" s="115"/>
      <c r="CZ2663" s="115"/>
      <c r="DA2663" s="115"/>
      <c r="DB2663" s="115"/>
      <c r="DC2663" s="115"/>
      <c r="DD2663" s="115"/>
      <c r="DE2663" s="115"/>
      <c r="DF2663" s="115"/>
      <c r="DG2663" s="115"/>
    </row>
    <row r="2664" spans="55:111" hidden="1">
      <c r="BC2664" s="115"/>
      <c r="BD2664" s="115"/>
      <c r="BE2664" s="115"/>
      <c r="BF2664" s="115"/>
      <c r="BG2664" s="115"/>
      <c r="BH2664" s="115"/>
      <c r="BI2664" s="115"/>
      <c r="BJ2664" s="115"/>
      <c r="BK2664" s="115"/>
      <c r="BL2664" s="115"/>
      <c r="BM2664" s="115"/>
      <c r="BN2664" s="115"/>
      <c r="BO2664" s="115"/>
      <c r="BP2664" s="115"/>
      <c r="BQ2664" s="115"/>
      <c r="BR2664" s="115"/>
      <c r="BS2664" s="115"/>
      <c r="BT2664" s="115"/>
      <c r="BU2664" s="115"/>
      <c r="BV2664" s="115"/>
      <c r="BW2664" s="115"/>
      <c r="BX2664" s="115"/>
      <c r="BY2664" s="115"/>
      <c r="BZ2664" s="115"/>
      <c r="CA2664" s="115"/>
      <c r="CB2664" s="115"/>
      <c r="CC2664" s="115"/>
      <c r="CD2664" s="115"/>
      <c r="CE2664" s="115"/>
      <c r="CF2664" s="115"/>
      <c r="CG2664" s="115"/>
      <c r="CH2664" s="115"/>
      <c r="CI2664" s="115"/>
      <c r="CJ2664" s="115"/>
      <c r="CK2664" s="115"/>
      <c r="CL2664" s="115"/>
      <c r="CM2664" s="115"/>
      <c r="CN2664" s="115"/>
      <c r="CO2664" s="115"/>
      <c r="CP2664" s="115"/>
      <c r="CQ2664" s="115"/>
      <c r="CR2664" s="115"/>
      <c r="CS2664" s="115"/>
      <c r="CT2664" s="115"/>
      <c r="CU2664" s="115"/>
      <c r="CV2664" s="115"/>
      <c r="CW2664" s="115"/>
      <c r="CX2664" s="115"/>
      <c r="CY2664" s="115"/>
      <c r="CZ2664" s="115"/>
      <c r="DA2664" s="115"/>
      <c r="DB2664" s="115"/>
      <c r="DC2664" s="115"/>
      <c r="DD2664" s="115"/>
      <c r="DE2664" s="115"/>
      <c r="DF2664" s="115"/>
      <c r="DG2664" s="115"/>
    </row>
    <row r="2665" spans="55:111" hidden="1">
      <c r="BC2665" s="115"/>
      <c r="BD2665" s="115"/>
      <c r="BE2665" s="115"/>
      <c r="BF2665" s="115"/>
      <c r="BG2665" s="115"/>
      <c r="BH2665" s="115"/>
      <c r="BI2665" s="115"/>
      <c r="BJ2665" s="115"/>
      <c r="BK2665" s="115"/>
      <c r="BL2665" s="115"/>
      <c r="BM2665" s="115"/>
      <c r="BN2665" s="115"/>
      <c r="BO2665" s="115"/>
      <c r="BP2665" s="115"/>
      <c r="BQ2665" s="115"/>
      <c r="BR2665" s="115"/>
      <c r="BS2665" s="115"/>
      <c r="BT2665" s="115"/>
      <c r="BU2665" s="115"/>
      <c r="BV2665" s="115"/>
      <c r="BW2665" s="115"/>
      <c r="BX2665" s="115"/>
      <c r="BY2665" s="115"/>
      <c r="BZ2665" s="115"/>
      <c r="CA2665" s="115"/>
      <c r="CB2665" s="115"/>
      <c r="CC2665" s="115"/>
      <c r="CD2665" s="115"/>
      <c r="CE2665" s="115"/>
      <c r="CF2665" s="115"/>
      <c r="CG2665" s="115"/>
      <c r="CH2665" s="115"/>
      <c r="CI2665" s="115"/>
      <c r="CJ2665" s="115"/>
      <c r="CK2665" s="115"/>
      <c r="CL2665" s="115"/>
      <c r="CM2665" s="115"/>
      <c r="CN2665" s="115"/>
      <c r="CO2665" s="115"/>
      <c r="CP2665" s="115"/>
      <c r="CQ2665" s="115"/>
      <c r="CR2665" s="115"/>
      <c r="CS2665" s="115"/>
      <c r="CT2665" s="115"/>
      <c r="CU2665" s="115"/>
      <c r="CV2665" s="115"/>
      <c r="CW2665" s="115"/>
      <c r="CX2665" s="115"/>
      <c r="CY2665" s="115"/>
      <c r="CZ2665" s="115"/>
      <c r="DA2665" s="115"/>
      <c r="DB2665" s="115"/>
      <c r="DC2665" s="115"/>
      <c r="DD2665" s="115"/>
      <c r="DE2665" s="115"/>
      <c r="DF2665" s="115"/>
      <c r="DG2665" s="115"/>
    </row>
    <row r="2666" spans="55:111" hidden="1">
      <c r="BC2666" s="115"/>
      <c r="BD2666" s="115"/>
      <c r="BE2666" s="115"/>
      <c r="BF2666" s="115"/>
      <c r="BG2666" s="115"/>
      <c r="BH2666" s="115"/>
      <c r="BI2666" s="115"/>
      <c r="BJ2666" s="115"/>
      <c r="BK2666" s="115"/>
      <c r="BL2666" s="115"/>
      <c r="BM2666" s="115"/>
      <c r="BN2666" s="115"/>
      <c r="BO2666" s="115"/>
      <c r="BP2666" s="115"/>
      <c r="BQ2666" s="115"/>
      <c r="BR2666" s="115"/>
      <c r="BS2666" s="115"/>
      <c r="BT2666" s="115"/>
      <c r="BU2666" s="115"/>
      <c r="BV2666" s="115"/>
      <c r="BW2666" s="115"/>
      <c r="BX2666" s="115"/>
      <c r="BY2666" s="115"/>
      <c r="BZ2666" s="115"/>
      <c r="CA2666" s="115"/>
      <c r="CB2666" s="115"/>
      <c r="CC2666" s="115"/>
      <c r="CD2666" s="115"/>
      <c r="CE2666" s="115"/>
      <c r="CF2666" s="115"/>
      <c r="CG2666" s="115"/>
      <c r="CH2666" s="115"/>
      <c r="CI2666" s="115"/>
      <c r="CJ2666" s="115"/>
      <c r="CK2666" s="115"/>
      <c r="CL2666" s="115"/>
      <c r="CM2666" s="115"/>
      <c r="CN2666" s="115"/>
      <c r="CO2666" s="115"/>
      <c r="CP2666" s="115"/>
      <c r="CQ2666" s="115"/>
      <c r="CR2666" s="115"/>
      <c r="CS2666" s="115"/>
      <c r="CT2666" s="115"/>
      <c r="CU2666" s="115"/>
      <c r="CV2666" s="115"/>
      <c r="CW2666" s="115"/>
      <c r="CX2666" s="115"/>
      <c r="CY2666" s="115"/>
      <c r="CZ2666" s="115"/>
      <c r="DA2666" s="115"/>
      <c r="DB2666" s="115"/>
      <c r="DC2666" s="115"/>
      <c r="DD2666" s="115"/>
      <c r="DE2666" s="115"/>
      <c r="DF2666" s="115"/>
      <c r="DG2666" s="115"/>
    </row>
    <row r="2667" spans="55:111" hidden="1">
      <c r="BC2667" s="115"/>
      <c r="BD2667" s="115"/>
      <c r="BE2667" s="115"/>
      <c r="BF2667" s="115"/>
      <c r="BG2667" s="115"/>
      <c r="BH2667" s="115"/>
      <c r="BI2667" s="115"/>
      <c r="BJ2667" s="115"/>
      <c r="BK2667" s="115"/>
      <c r="BL2667" s="115"/>
      <c r="BM2667" s="115"/>
      <c r="BN2667" s="115"/>
      <c r="BO2667" s="115"/>
      <c r="BP2667" s="115"/>
      <c r="BQ2667" s="115"/>
      <c r="BR2667" s="115"/>
      <c r="BS2667" s="115"/>
      <c r="BT2667" s="115"/>
      <c r="BU2667" s="115"/>
      <c r="BV2667" s="115"/>
      <c r="BW2667" s="115"/>
      <c r="BX2667" s="115"/>
      <c r="BY2667" s="115"/>
      <c r="BZ2667" s="115"/>
      <c r="CA2667" s="115"/>
      <c r="CB2667" s="115"/>
      <c r="CC2667" s="115"/>
      <c r="CD2667" s="115"/>
      <c r="CE2667" s="115"/>
      <c r="CF2667" s="115"/>
      <c r="CG2667" s="115"/>
      <c r="CH2667" s="115"/>
      <c r="CI2667" s="115"/>
      <c r="CJ2667" s="115"/>
      <c r="CK2667" s="115"/>
      <c r="CL2667" s="115"/>
      <c r="CM2667" s="115"/>
      <c r="CN2667" s="115"/>
      <c r="CO2667" s="115"/>
      <c r="CP2667" s="115"/>
      <c r="CQ2667" s="115"/>
      <c r="CR2667" s="115"/>
      <c r="CS2667" s="115"/>
      <c r="CT2667" s="115"/>
      <c r="CU2667" s="115"/>
      <c r="CV2667" s="115"/>
      <c r="CW2667" s="115"/>
      <c r="CX2667" s="115"/>
      <c r="CY2667" s="115"/>
      <c r="CZ2667" s="115"/>
      <c r="DA2667" s="115"/>
      <c r="DB2667" s="115"/>
      <c r="DC2667" s="115"/>
      <c r="DD2667" s="115"/>
      <c r="DE2667" s="115"/>
      <c r="DF2667" s="115"/>
      <c r="DG2667" s="115"/>
    </row>
    <row r="2668" spans="55:111" hidden="1">
      <c r="BC2668" s="115"/>
      <c r="BD2668" s="115"/>
      <c r="BE2668" s="115"/>
      <c r="BF2668" s="115"/>
      <c r="BG2668" s="115"/>
      <c r="BH2668" s="115"/>
      <c r="BI2668" s="115"/>
      <c r="BJ2668" s="115"/>
      <c r="BK2668" s="115"/>
      <c r="BL2668" s="115"/>
      <c r="BM2668" s="115"/>
      <c r="BN2668" s="115"/>
      <c r="BO2668" s="115"/>
      <c r="BP2668" s="115"/>
      <c r="BQ2668" s="115"/>
      <c r="BR2668" s="115"/>
      <c r="BS2668" s="115"/>
      <c r="BT2668" s="115"/>
      <c r="BU2668" s="115"/>
      <c r="BV2668" s="115"/>
      <c r="BW2668" s="115"/>
      <c r="BX2668" s="115"/>
      <c r="BY2668" s="115"/>
      <c r="BZ2668" s="115"/>
      <c r="CA2668" s="115"/>
      <c r="CB2668" s="115"/>
      <c r="CC2668" s="115"/>
      <c r="CD2668" s="115"/>
      <c r="CE2668" s="115"/>
      <c r="CF2668" s="115"/>
      <c r="CG2668" s="115"/>
      <c r="CH2668" s="115"/>
      <c r="CI2668" s="115"/>
      <c r="CJ2668" s="115"/>
      <c r="CK2668" s="115"/>
      <c r="CL2668" s="115"/>
      <c r="CM2668" s="115"/>
      <c r="CN2668" s="115"/>
      <c r="CO2668" s="115"/>
      <c r="CP2668" s="115"/>
      <c r="CQ2668" s="115"/>
      <c r="CR2668" s="115"/>
      <c r="CS2668" s="115"/>
      <c r="CT2668" s="115"/>
      <c r="CU2668" s="115"/>
      <c r="CV2668" s="115"/>
      <c r="CW2668" s="115"/>
      <c r="CX2668" s="115"/>
      <c r="CY2668" s="115"/>
      <c r="CZ2668" s="115"/>
      <c r="DA2668" s="115"/>
      <c r="DB2668" s="115"/>
      <c r="DC2668" s="115"/>
      <c r="DD2668" s="115"/>
      <c r="DE2668" s="115"/>
      <c r="DF2668" s="115"/>
      <c r="DG2668" s="115"/>
    </row>
    <row r="2669" spans="55:111" hidden="1">
      <c r="BC2669" s="115"/>
      <c r="BD2669" s="115"/>
      <c r="BE2669" s="115"/>
      <c r="BF2669" s="115"/>
      <c r="BG2669" s="115"/>
      <c r="BH2669" s="115"/>
      <c r="BI2669" s="115"/>
      <c r="BJ2669" s="115"/>
      <c r="BK2669" s="115"/>
      <c r="BL2669" s="115"/>
      <c r="BM2669" s="115"/>
      <c r="BN2669" s="115"/>
      <c r="BO2669" s="115"/>
      <c r="BP2669" s="115"/>
      <c r="BQ2669" s="115"/>
      <c r="BR2669" s="115"/>
      <c r="BS2669" s="115"/>
      <c r="BT2669" s="115"/>
      <c r="BU2669" s="115"/>
      <c r="BV2669" s="115"/>
      <c r="BW2669" s="115"/>
      <c r="BX2669" s="115"/>
      <c r="BY2669" s="115"/>
      <c r="BZ2669" s="115"/>
      <c r="CA2669" s="115"/>
      <c r="CB2669" s="115"/>
      <c r="CC2669" s="115"/>
      <c r="CD2669" s="115"/>
      <c r="CE2669" s="115"/>
      <c r="CF2669" s="115"/>
      <c r="CG2669" s="115"/>
      <c r="CH2669" s="115"/>
      <c r="CI2669" s="115"/>
      <c r="CJ2669" s="115"/>
      <c r="CK2669" s="115"/>
      <c r="CL2669" s="115"/>
      <c r="CM2669" s="115"/>
      <c r="CN2669" s="115"/>
      <c r="CO2669" s="115"/>
      <c r="CP2669" s="115"/>
      <c r="CQ2669" s="115"/>
      <c r="CR2669" s="115"/>
      <c r="CS2669" s="115"/>
      <c r="CT2669" s="115"/>
      <c r="CU2669" s="115"/>
      <c r="CV2669" s="115"/>
      <c r="CW2669" s="115"/>
      <c r="CX2669" s="115"/>
      <c r="CY2669" s="115"/>
      <c r="CZ2669" s="115"/>
      <c r="DA2669" s="115"/>
      <c r="DB2669" s="115"/>
      <c r="DC2669" s="115"/>
      <c r="DD2669" s="115"/>
      <c r="DE2669" s="115"/>
      <c r="DF2669" s="115"/>
      <c r="DG2669" s="115"/>
    </row>
    <row r="2670" spans="55:111" hidden="1">
      <c r="BC2670" s="115"/>
      <c r="BD2670" s="115"/>
      <c r="BE2670" s="115"/>
      <c r="BF2670" s="115"/>
      <c r="BG2670" s="115"/>
      <c r="BH2670" s="115"/>
      <c r="BI2670" s="115"/>
      <c r="BJ2670" s="115"/>
      <c r="BK2670" s="115"/>
      <c r="BL2670" s="115"/>
      <c r="BM2670" s="115"/>
      <c r="BN2670" s="115"/>
      <c r="BO2670" s="115"/>
      <c r="BP2670" s="115"/>
      <c r="BQ2670" s="115"/>
      <c r="BR2670" s="115"/>
      <c r="BS2670" s="115"/>
      <c r="BT2670" s="115"/>
      <c r="BU2670" s="115"/>
      <c r="BV2670" s="115"/>
      <c r="BW2670" s="115"/>
      <c r="BX2670" s="115"/>
      <c r="BY2670" s="115"/>
      <c r="BZ2670" s="115"/>
      <c r="CA2670" s="115"/>
      <c r="CB2670" s="115"/>
      <c r="CC2670" s="115"/>
      <c r="CD2670" s="115"/>
      <c r="CE2670" s="115"/>
      <c r="CF2670" s="115"/>
      <c r="CG2670" s="115"/>
      <c r="CH2670" s="115"/>
      <c r="CI2670" s="115"/>
      <c r="CJ2670" s="115"/>
      <c r="CK2670" s="115"/>
      <c r="CL2670" s="115"/>
      <c r="CM2670" s="115"/>
      <c r="CN2670" s="115"/>
      <c r="CO2670" s="115"/>
      <c r="CP2670" s="115"/>
      <c r="CQ2670" s="115"/>
      <c r="CR2670" s="115"/>
      <c r="CS2670" s="115"/>
      <c r="CT2670" s="115"/>
      <c r="CU2670" s="115"/>
      <c r="CV2670" s="115"/>
      <c r="CW2670" s="115"/>
      <c r="CX2670" s="115"/>
      <c r="CY2670" s="115"/>
      <c r="CZ2670" s="115"/>
      <c r="DA2670" s="115"/>
      <c r="DB2670" s="115"/>
      <c r="DC2670" s="115"/>
      <c r="DD2670" s="115"/>
      <c r="DE2670" s="115"/>
      <c r="DF2670" s="115"/>
      <c r="DG2670" s="115"/>
    </row>
    <row r="2671" spans="55:111" hidden="1">
      <c r="BC2671" s="115"/>
      <c r="BD2671" s="115"/>
      <c r="BE2671" s="115"/>
      <c r="BF2671" s="115"/>
      <c r="BG2671" s="115"/>
      <c r="BH2671" s="115"/>
      <c r="BI2671" s="115"/>
      <c r="BJ2671" s="115"/>
      <c r="BK2671" s="115"/>
      <c r="BL2671" s="115"/>
      <c r="BM2671" s="115"/>
      <c r="BN2671" s="115"/>
      <c r="BO2671" s="115"/>
      <c r="BP2671" s="115"/>
      <c r="BQ2671" s="115"/>
      <c r="BR2671" s="115"/>
      <c r="BS2671" s="115"/>
      <c r="BT2671" s="115"/>
      <c r="BU2671" s="115"/>
      <c r="BV2671" s="115"/>
      <c r="BW2671" s="115"/>
      <c r="BX2671" s="115"/>
      <c r="BY2671" s="115"/>
      <c r="BZ2671" s="115"/>
      <c r="CA2671" s="115"/>
      <c r="CB2671" s="115"/>
      <c r="CC2671" s="115"/>
      <c r="CD2671" s="115"/>
      <c r="CE2671" s="115"/>
      <c r="CF2671" s="115"/>
      <c r="CG2671" s="115"/>
      <c r="CH2671" s="115"/>
      <c r="CI2671" s="115"/>
      <c r="CJ2671" s="115"/>
      <c r="CK2671" s="115"/>
      <c r="CL2671" s="115"/>
      <c r="CM2671" s="115"/>
      <c r="CN2671" s="115"/>
      <c r="CO2671" s="115"/>
      <c r="CP2671" s="115"/>
      <c r="CQ2671" s="115"/>
      <c r="CR2671" s="115"/>
      <c r="CS2671" s="115"/>
      <c r="CT2671" s="115"/>
      <c r="CU2671" s="115"/>
      <c r="CV2671" s="115"/>
      <c r="CW2671" s="115"/>
      <c r="CX2671" s="115"/>
      <c r="CY2671" s="115"/>
      <c r="CZ2671" s="115"/>
      <c r="DA2671" s="115"/>
      <c r="DB2671" s="115"/>
      <c r="DC2671" s="115"/>
      <c r="DD2671" s="115"/>
      <c r="DE2671" s="115"/>
      <c r="DF2671" s="115"/>
      <c r="DG2671" s="115"/>
    </row>
    <row r="2672" spans="55:111" hidden="1">
      <c r="BC2672" s="115"/>
      <c r="BD2672" s="115"/>
      <c r="BE2672" s="115"/>
      <c r="BF2672" s="115"/>
      <c r="BG2672" s="115"/>
      <c r="BH2672" s="115"/>
      <c r="BI2672" s="115"/>
      <c r="BJ2672" s="115"/>
      <c r="BK2672" s="115"/>
      <c r="BL2672" s="115"/>
      <c r="BM2672" s="115"/>
      <c r="BN2672" s="115"/>
      <c r="BO2672" s="115"/>
      <c r="BP2672" s="115"/>
      <c r="BQ2672" s="115"/>
      <c r="BR2672" s="115"/>
      <c r="BS2672" s="115"/>
      <c r="BT2672" s="115"/>
      <c r="BU2672" s="115"/>
      <c r="BV2672" s="115"/>
      <c r="BW2672" s="115"/>
      <c r="BX2672" s="115"/>
      <c r="BY2672" s="115"/>
      <c r="BZ2672" s="115"/>
      <c r="CA2672" s="115"/>
      <c r="CB2672" s="115"/>
      <c r="CC2672" s="115"/>
      <c r="CD2672" s="115"/>
      <c r="CE2672" s="115"/>
      <c r="CF2672" s="115"/>
      <c r="CG2672" s="115"/>
      <c r="CH2672" s="115"/>
      <c r="CI2672" s="115"/>
      <c r="CJ2672" s="115"/>
      <c r="CK2672" s="115"/>
      <c r="CL2672" s="115"/>
      <c r="CM2672" s="115"/>
      <c r="CN2672" s="115"/>
      <c r="CO2672" s="115"/>
      <c r="CP2672" s="115"/>
      <c r="CQ2672" s="115"/>
      <c r="CR2672" s="115"/>
      <c r="CS2672" s="115"/>
      <c r="CT2672" s="115"/>
      <c r="CU2672" s="115"/>
      <c r="CV2672" s="115"/>
      <c r="CW2672" s="115"/>
      <c r="CX2672" s="115"/>
      <c r="CY2672" s="115"/>
      <c r="CZ2672" s="115"/>
      <c r="DA2672" s="115"/>
      <c r="DB2672" s="115"/>
      <c r="DC2672" s="115"/>
      <c r="DD2672" s="115"/>
      <c r="DE2672" s="115"/>
      <c r="DF2672" s="115"/>
      <c r="DG2672" s="115"/>
    </row>
    <row r="2673" spans="55:111" hidden="1">
      <c r="BC2673" s="115"/>
      <c r="BD2673" s="115"/>
      <c r="BE2673" s="115"/>
      <c r="BF2673" s="115"/>
      <c r="BG2673" s="115"/>
      <c r="BH2673" s="115"/>
      <c r="BI2673" s="115"/>
      <c r="BJ2673" s="115"/>
      <c r="BK2673" s="115"/>
      <c r="BL2673" s="115"/>
      <c r="BM2673" s="115"/>
      <c r="BN2673" s="115"/>
      <c r="BO2673" s="115"/>
      <c r="BP2673" s="115"/>
      <c r="BQ2673" s="115"/>
      <c r="BR2673" s="115"/>
      <c r="BS2673" s="115"/>
      <c r="BT2673" s="115"/>
      <c r="BU2673" s="115"/>
      <c r="BV2673" s="115"/>
      <c r="BW2673" s="115"/>
      <c r="BX2673" s="115"/>
      <c r="BY2673" s="115"/>
      <c r="BZ2673" s="115"/>
      <c r="CA2673" s="115"/>
      <c r="CB2673" s="115"/>
      <c r="CC2673" s="115"/>
      <c r="CD2673" s="115"/>
      <c r="CE2673" s="115"/>
      <c r="CF2673" s="115"/>
      <c r="CG2673" s="115"/>
      <c r="CH2673" s="115"/>
      <c r="CI2673" s="115"/>
      <c r="CJ2673" s="115"/>
      <c r="CK2673" s="115"/>
      <c r="CL2673" s="115"/>
      <c r="CM2673" s="115"/>
      <c r="CN2673" s="115"/>
      <c r="CO2673" s="115"/>
      <c r="CP2673" s="115"/>
      <c r="CQ2673" s="115"/>
      <c r="CR2673" s="115"/>
      <c r="CS2673" s="115"/>
      <c r="CT2673" s="115"/>
      <c r="CU2673" s="115"/>
      <c r="CV2673" s="115"/>
      <c r="CW2673" s="115"/>
      <c r="CX2673" s="115"/>
      <c r="CY2673" s="115"/>
      <c r="CZ2673" s="115"/>
      <c r="DA2673" s="115"/>
      <c r="DB2673" s="115"/>
      <c r="DC2673" s="115"/>
      <c r="DD2673" s="115"/>
      <c r="DE2673" s="115"/>
      <c r="DF2673" s="115"/>
      <c r="DG2673" s="115"/>
    </row>
    <row r="2674" spans="55:111" hidden="1">
      <c r="BC2674" s="115"/>
      <c r="BD2674" s="115"/>
      <c r="BE2674" s="115"/>
      <c r="BF2674" s="115"/>
      <c r="BG2674" s="115"/>
      <c r="BH2674" s="115"/>
      <c r="BI2674" s="115"/>
      <c r="BJ2674" s="115"/>
      <c r="BK2674" s="115"/>
      <c r="BL2674" s="115"/>
      <c r="BM2674" s="115"/>
      <c r="BN2674" s="115"/>
      <c r="BO2674" s="115"/>
      <c r="BP2674" s="115"/>
      <c r="BQ2674" s="115"/>
      <c r="BR2674" s="115"/>
      <c r="BS2674" s="115"/>
      <c r="BT2674" s="115"/>
      <c r="BU2674" s="115"/>
      <c r="BV2674" s="115"/>
      <c r="BW2674" s="115"/>
      <c r="BX2674" s="115"/>
      <c r="BY2674" s="115"/>
      <c r="BZ2674" s="115"/>
      <c r="CA2674" s="115"/>
      <c r="CB2674" s="115"/>
      <c r="CC2674" s="115"/>
      <c r="CD2674" s="115"/>
      <c r="CE2674" s="115"/>
      <c r="CF2674" s="115"/>
      <c r="CG2674" s="115"/>
      <c r="CH2674" s="115"/>
      <c r="CI2674" s="115"/>
      <c r="CJ2674" s="115"/>
      <c r="CK2674" s="115"/>
      <c r="CL2674" s="115"/>
      <c r="CM2674" s="115"/>
      <c r="CN2674" s="115"/>
      <c r="CO2674" s="115"/>
      <c r="CP2674" s="115"/>
      <c r="CQ2674" s="115"/>
      <c r="CR2674" s="115"/>
      <c r="CS2674" s="115"/>
      <c r="CT2674" s="115"/>
      <c r="CU2674" s="115"/>
      <c r="CV2674" s="115"/>
      <c r="CW2674" s="115"/>
      <c r="CX2674" s="115"/>
      <c r="CY2674" s="115"/>
      <c r="CZ2674" s="115"/>
      <c r="DA2674" s="115"/>
      <c r="DB2674" s="115"/>
      <c r="DC2674" s="115"/>
      <c r="DD2674" s="115"/>
      <c r="DE2674" s="115"/>
      <c r="DF2674" s="115"/>
      <c r="DG2674" s="115"/>
    </row>
    <row r="2675" spans="55:111" hidden="1">
      <c r="BC2675" s="115"/>
      <c r="BD2675" s="115"/>
      <c r="BE2675" s="115"/>
      <c r="BF2675" s="115"/>
      <c r="BG2675" s="115"/>
      <c r="BH2675" s="115"/>
      <c r="BI2675" s="115"/>
      <c r="BJ2675" s="115"/>
      <c r="BK2675" s="115"/>
      <c r="BL2675" s="115"/>
      <c r="BM2675" s="115"/>
      <c r="BN2675" s="115"/>
      <c r="BO2675" s="115"/>
      <c r="BP2675" s="115"/>
      <c r="BQ2675" s="115"/>
      <c r="BR2675" s="115"/>
      <c r="BS2675" s="115"/>
      <c r="BT2675" s="115"/>
      <c r="BU2675" s="115"/>
      <c r="BV2675" s="115"/>
      <c r="BW2675" s="115"/>
      <c r="BX2675" s="115"/>
      <c r="BY2675" s="115"/>
      <c r="BZ2675" s="115"/>
      <c r="CA2675" s="115"/>
      <c r="CB2675" s="115"/>
      <c r="CC2675" s="115"/>
      <c r="CD2675" s="115"/>
      <c r="CE2675" s="115"/>
      <c r="CF2675" s="115"/>
      <c r="CG2675" s="115"/>
      <c r="CH2675" s="115"/>
      <c r="CI2675" s="115"/>
      <c r="CJ2675" s="115"/>
      <c r="CK2675" s="115"/>
      <c r="CL2675" s="115"/>
      <c r="CM2675" s="115"/>
      <c r="CN2675" s="115"/>
      <c r="CO2675" s="115"/>
      <c r="CP2675" s="115"/>
      <c r="CQ2675" s="115"/>
      <c r="CR2675" s="115"/>
      <c r="CS2675" s="115"/>
      <c r="CT2675" s="115"/>
      <c r="CU2675" s="115"/>
      <c r="CV2675" s="115"/>
      <c r="CW2675" s="115"/>
      <c r="CX2675" s="115"/>
      <c r="CY2675" s="115"/>
      <c r="CZ2675" s="115"/>
      <c r="DA2675" s="115"/>
      <c r="DB2675" s="115"/>
      <c r="DC2675" s="115"/>
      <c r="DD2675" s="115"/>
      <c r="DE2675" s="115"/>
      <c r="DF2675" s="115"/>
      <c r="DG2675" s="115"/>
    </row>
    <row r="2676" spans="55:111" hidden="1">
      <c r="BC2676" s="115"/>
      <c r="BD2676" s="115"/>
      <c r="BE2676" s="115"/>
      <c r="BF2676" s="115"/>
      <c r="BG2676" s="115"/>
      <c r="BH2676" s="115"/>
      <c r="BI2676" s="115"/>
      <c r="BJ2676" s="115"/>
      <c r="BK2676" s="115"/>
      <c r="BL2676" s="115"/>
      <c r="BM2676" s="115"/>
      <c r="BN2676" s="115"/>
      <c r="BO2676" s="115"/>
      <c r="BP2676" s="115"/>
      <c r="BQ2676" s="115"/>
      <c r="BR2676" s="115"/>
      <c r="BS2676" s="115"/>
      <c r="BT2676" s="115"/>
      <c r="BU2676" s="115"/>
      <c r="BV2676" s="115"/>
      <c r="BW2676" s="115"/>
      <c r="BX2676" s="115"/>
      <c r="BY2676" s="115"/>
      <c r="BZ2676" s="115"/>
      <c r="CA2676" s="115"/>
      <c r="CB2676" s="115"/>
      <c r="CC2676" s="115"/>
      <c r="CD2676" s="115"/>
      <c r="CE2676" s="115"/>
      <c r="CF2676" s="115"/>
      <c r="CG2676" s="115"/>
      <c r="CH2676" s="115"/>
      <c r="CI2676" s="115"/>
      <c r="CJ2676" s="115"/>
      <c r="CK2676" s="115"/>
      <c r="CL2676" s="115"/>
      <c r="CM2676" s="115"/>
      <c r="CN2676" s="115"/>
      <c r="CO2676" s="115"/>
      <c r="CP2676" s="115"/>
      <c r="CQ2676" s="115"/>
      <c r="CR2676" s="115"/>
      <c r="CS2676" s="115"/>
      <c r="CT2676" s="115"/>
      <c r="CU2676" s="115"/>
      <c r="CV2676" s="115"/>
      <c r="CW2676" s="115"/>
      <c r="CX2676" s="115"/>
      <c r="CY2676" s="115"/>
      <c r="CZ2676" s="115"/>
      <c r="DA2676" s="115"/>
      <c r="DB2676" s="115"/>
      <c r="DC2676" s="115"/>
      <c r="DD2676" s="115"/>
      <c r="DE2676" s="115"/>
      <c r="DF2676" s="115"/>
      <c r="DG2676" s="115"/>
    </row>
    <row r="2677" spans="55:111" hidden="1">
      <c r="BC2677" s="115"/>
      <c r="BD2677" s="115"/>
      <c r="BE2677" s="115"/>
      <c r="BF2677" s="115"/>
      <c r="BG2677" s="115"/>
      <c r="BH2677" s="115"/>
      <c r="BI2677" s="115"/>
      <c r="BJ2677" s="115"/>
      <c r="BK2677" s="115"/>
      <c r="BL2677" s="115"/>
      <c r="BM2677" s="115"/>
      <c r="BN2677" s="115"/>
      <c r="BO2677" s="115"/>
      <c r="BP2677" s="115"/>
      <c r="BQ2677" s="115"/>
      <c r="BR2677" s="115"/>
      <c r="BS2677" s="115"/>
      <c r="BT2677" s="115"/>
      <c r="BU2677" s="115"/>
      <c r="BV2677" s="115"/>
      <c r="BW2677" s="115"/>
      <c r="BX2677" s="115"/>
      <c r="BY2677" s="115"/>
      <c r="BZ2677" s="115"/>
      <c r="CA2677" s="115"/>
      <c r="CB2677" s="115"/>
      <c r="CC2677" s="115"/>
      <c r="CD2677" s="115"/>
      <c r="CE2677" s="115"/>
      <c r="CF2677" s="115"/>
      <c r="CG2677" s="115"/>
      <c r="CH2677" s="115"/>
      <c r="CI2677" s="115"/>
      <c r="CJ2677" s="115"/>
      <c r="CK2677" s="115"/>
      <c r="CL2677" s="115"/>
      <c r="CM2677" s="115"/>
      <c r="CN2677" s="115"/>
      <c r="CO2677" s="115"/>
      <c r="CP2677" s="115"/>
      <c r="CQ2677" s="115"/>
      <c r="CR2677" s="115"/>
      <c r="CS2677" s="115"/>
      <c r="CT2677" s="115"/>
      <c r="CU2677" s="115"/>
      <c r="CV2677" s="115"/>
      <c r="CW2677" s="115"/>
      <c r="CX2677" s="115"/>
      <c r="CY2677" s="115"/>
      <c r="CZ2677" s="115"/>
      <c r="DA2677" s="115"/>
      <c r="DB2677" s="115"/>
      <c r="DC2677" s="115"/>
      <c r="DD2677" s="115"/>
      <c r="DE2677" s="115"/>
      <c r="DF2677" s="115"/>
      <c r="DG2677" s="115"/>
    </row>
    <row r="2678" spans="55:111" hidden="1">
      <c r="BC2678" s="115"/>
      <c r="BD2678" s="115"/>
      <c r="BE2678" s="115"/>
      <c r="BF2678" s="115"/>
      <c r="BG2678" s="115"/>
      <c r="BH2678" s="115"/>
      <c r="BI2678" s="115"/>
      <c r="BJ2678" s="115"/>
      <c r="BK2678" s="115"/>
      <c r="BL2678" s="115"/>
      <c r="BM2678" s="115"/>
      <c r="BN2678" s="115"/>
      <c r="BO2678" s="115"/>
      <c r="BP2678" s="115"/>
      <c r="BQ2678" s="115"/>
      <c r="BR2678" s="115"/>
      <c r="BS2678" s="115"/>
      <c r="BT2678" s="115"/>
      <c r="BU2678" s="115"/>
      <c r="BV2678" s="115"/>
      <c r="BW2678" s="115"/>
      <c r="BX2678" s="115"/>
      <c r="BY2678" s="115"/>
      <c r="BZ2678" s="115"/>
      <c r="CA2678" s="115"/>
      <c r="CB2678" s="115"/>
      <c r="CC2678" s="115"/>
      <c r="CD2678" s="115"/>
      <c r="CE2678" s="115"/>
      <c r="CF2678" s="115"/>
      <c r="CG2678" s="115"/>
      <c r="CH2678" s="115"/>
      <c r="CI2678" s="115"/>
      <c r="CJ2678" s="115"/>
      <c r="CK2678" s="115"/>
      <c r="CL2678" s="115"/>
      <c r="CM2678" s="115"/>
      <c r="CN2678" s="115"/>
      <c r="CO2678" s="115"/>
      <c r="CP2678" s="115"/>
      <c r="CQ2678" s="115"/>
      <c r="CR2678" s="115"/>
      <c r="CS2678" s="115"/>
      <c r="CT2678" s="115"/>
      <c r="CU2678" s="115"/>
      <c r="CV2678" s="115"/>
      <c r="CW2678" s="115"/>
      <c r="CX2678" s="115"/>
      <c r="CY2678" s="115"/>
      <c r="CZ2678" s="115"/>
      <c r="DA2678" s="115"/>
      <c r="DB2678" s="115"/>
      <c r="DC2678" s="115"/>
      <c r="DD2678" s="115"/>
      <c r="DE2678" s="115"/>
      <c r="DF2678" s="115"/>
      <c r="DG2678" s="115"/>
    </row>
    <row r="2679" spans="55:111" hidden="1">
      <c r="BC2679" s="115"/>
      <c r="BD2679" s="115"/>
      <c r="BE2679" s="115"/>
      <c r="BF2679" s="115"/>
      <c r="BG2679" s="115"/>
      <c r="BH2679" s="115"/>
      <c r="BI2679" s="115"/>
      <c r="BJ2679" s="115"/>
      <c r="BK2679" s="115"/>
      <c r="BL2679" s="115"/>
      <c r="BM2679" s="115"/>
      <c r="BN2679" s="115"/>
      <c r="BO2679" s="115"/>
      <c r="BP2679" s="115"/>
      <c r="BQ2679" s="115"/>
      <c r="BR2679" s="115"/>
      <c r="BS2679" s="115"/>
      <c r="BT2679" s="115"/>
      <c r="BU2679" s="115"/>
      <c r="BV2679" s="115"/>
      <c r="BW2679" s="115"/>
      <c r="BX2679" s="115"/>
      <c r="BY2679" s="115"/>
      <c r="BZ2679" s="115"/>
      <c r="CA2679" s="115"/>
      <c r="CB2679" s="115"/>
      <c r="CC2679" s="115"/>
      <c r="CD2679" s="115"/>
      <c r="CE2679" s="115"/>
      <c r="CF2679" s="115"/>
      <c r="CG2679" s="115"/>
      <c r="CH2679" s="115"/>
      <c r="CI2679" s="115"/>
      <c r="CJ2679" s="115"/>
      <c r="CK2679" s="115"/>
      <c r="CL2679" s="115"/>
      <c r="CM2679" s="115"/>
      <c r="CN2679" s="115"/>
      <c r="CO2679" s="115"/>
      <c r="CP2679" s="115"/>
      <c r="CQ2679" s="115"/>
      <c r="CR2679" s="115"/>
      <c r="CS2679" s="115"/>
      <c r="CT2679" s="115"/>
      <c r="CU2679" s="115"/>
      <c r="CV2679" s="115"/>
      <c r="CW2679" s="115"/>
      <c r="CX2679" s="115"/>
      <c r="CY2679" s="115"/>
      <c r="CZ2679" s="115"/>
      <c r="DA2679" s="115"/>
      <c r="DB2679" s="115"/>
      <c r="DC2679" s="115"/>
      <c r="DD2679" s="115"/>
      <c r="DE2679" s="115"/>
      <c r="DF2679" s="115"/>
      <c r="DG2679" s="115"/>
    </row>
    <row r="2680" spans="55:111" hidden="1">
      <c r="BC2680" s="115"/>
      <c r="BD2680" s="115"/>
      <c r="BE2680" s="115"/>
      <c r="BF2680" s="115"/>
      <c r="BG2680" s="115"/>
      <c r="BH2680" s="115"/>
      <c r="BI2680" s="115"/>
      <c r="BJ2680" s="115"/>
      <c r="BK2680" s="115"/>
      <c r="BL2680" s="115"/>
      <c r="BM2680" s="115"/>
      <c r="BN2680" s="115"/>
      <c r="BO2680" s="115"/>
      <c r="BP2680" s="115"/>
      <c r="BQ2680" s="115"/>
      <c r="BR2680" s="115"/>
      <c r="BS2680" s="115"/>
      <c r="BT2680" s="115"/>
      <c r="BU2680" s="115"/>
      <c r="BV2680" s="115"/>
      <c r="BW2680" s="115"/>
      <c r="BX2680" s="115"/>
      <c r="BY2680" s="115"/>
      <c r="BZ2680" s="115"/>
      <c r="CA2680" s="115"/>
      <c r="CB2680" s="115"/>
      <c r="CC2680" s="115"/>
      <c r="CD2680" s="115"/>
      <c r="CE2680" s="115"/>
      <c r="CF2680" s="115"/>
      <c r="CG2680" s="115"/>
      <c r="CH2680" s="115"/>
      <c r="CI2680" s="115"/>
      <c r="CJ2680" s="115"/>
      <c r="CK2680" s="115"/>
      <c r="CL2680" s="115"/>
      <c r="CM2680" s="115"/>
      <c r="CN2680" s="115"/>
      <c r="CO2680" s="115"/>
      <c r="CP2680" s="115"/>
      <c r="CQ2680" s="115"/>
      <c r="CR2680" s="115"/>
      <c r="CS2680" s="115"/>
      <c r="CT2680" s="115"/>
      <c r="CU2680" s="115"/>
      <c r="CV2680" s="115"/>
      <c r="CW2680" s="115"/>
      <c r="CX2680" s="115"/>
      <c r="CY2680" s="115"/>
      <c r="CZ2680" s="115"/>
      <c r="DA2680" s="115"/>
      <c r="DB2680" s="115"/>
      <c r="DC2680" s="115"/>
      <c r="DD2680" s="115"/>
      <c r="DE2680" s="115"/>
      <c r="DF2680" s="115"/>
      <c r="DG2680" s="115"/>
    </row>
    <row r="2681" spans="55:111" hidden="1">
      <c r="BC2681" s="115"/>
      <c r="BD2681" s="115"/>
      <c r="BE2681" s="115"/>
      <c r="BF2681" s="115"/>
      <c r="BG2681" s="115"/>
      <c r="BH2681" s="115"/>
      <c r="BI2681" s="115"/>
      <c r="BJ2681" s="115"/>
      <c r="BK2681" s="115"/>
      <c r="BL2681" s="115"/>
      <c r="BM2681" s="115"/>
      <c r="BN2681" s="115"/>
      <c r="BO2681" s="115"/>
      <c r="BP2681" s="115"/>
      <c r="BQ2681" s="115"/>
      <c r="BR2681" s="115"/>
      <c r="BS2681" s="115"/>
      <c r="BT2681" s="115"/>
      <c r="BU2681" s="115"/>
      <c r="BV2681" s="115"/>
      <c r="BW2681" s="115"/>
      <c r="BX2681" s="115"/>
      <c r="BY2681" s="115"/>
      <c r="BZ2681" s="115"/>
      <c r="CA2681" s="115"/>
      <c r="CB2681" s="115"/>
      <c r="CC2681" s="115"/>
      <c r="CD2681" s="115"/>
      <c r="CE2681" s="115"/>
      <c r="CF2681" s="115"/>
      <c r="CG2681" s="115"/>
      <c r="CH2681" s="115"/>
      <c r="CI2681" s="115"/>
      <c r="CJ2681" s="115"/>
      <c r="CK2681" s="115"/>
      <c r="CL2681" s="115"/>
      <c r="CM2681" s="115"/>
      <c r="CN2681" s="115"/>
      <c r="CO2681" s="115"/>
      <c r="CP2681" s="115"/>
      <c r="CQ2681" s="115"/>
      <c r="CR2681" s="115"/>
      <c r="CS2681" s="115"/>
      <c r="CT2681" s="115"/>
      <c r="CU2681" s="115"/>
      <c r="CV2681" s="115"/>
      <c r="CW2681" s="115"/>
      <c r="CX2681" s="115"/>
      <c r="CY2681" s="115"/>
      <c r="CZ2681" s="115"/>
      <c r="DA2681" s="115"/>
      <c r="DB2681" s="115"/>
      <c r="DC2681" s="115"/>
      <c r="DD2681" s="115"/>
      <c r="DE2681" s="115"/>
      <c r="DF2681" s="115"/>
      <c r="DG2681" s="115"/>
    </row>
    <row r="2682" spans="55:111" hidden="1">
      <c r="BC2682" s="115"/>
      <c r="BD2682" s="115"/>
      <c r="BE2682" s="115"/>
      <c r="BF2682" s="115"/>
      <c r="BG2682" s="115"/>
      <c r="BH2682" s="115"/>
      <c r="BI2682" s="115"/>
      <c r="BJ2682" s="115"/>
      <c r="BK2682" s="115"/>
      <c r="BL2682" s="115"/>
      <c r="BM2682" s="115"/>
      <c r="BN2682" s="115"/>
      <c r="BO2682" s="115"/>
      <c r="BP2682" s="115"/>
      <c r="BQ2682" s="115"/>
      <c r="BR2682" s="115"/>
      <c r="BS2682" s="115"/>
      <c r="BT2682" s="115"/>
      <c r="BU2682" s="115"/>
      <c r="BV2682" s="115"/>
      <c r="BW2682" s="115"/>
      <c r="BX2682" s="115"/>
      <c r="BY2682" s="115"/>
      <c r="BZ2682" s="115"/>
      <c r="CA2682" s="115"/>
      <c r="CB2682" s="115"/>
      <c r="CC2682" s="115"/>
      <c r="CD2682" s="115"/>
      <c r="CE2682" s="115"/>
      <c r="CF2682" s="115"/>
      <c r="CG2682" s="115"/>
      <c r="CH2682" s="115"/>
      <c r="CI2682" s="115"/>
      <c r="CJ2682" s="115"/>
      <c r="CK2682" s="115"/>
      <c r="CL2682" s="115"/>
      <c r="CM2682" s="115"/>
      <c r="CN2682" s="115"/>
      <c r="CO2682" s="115"/>
      <c r="CP2682" s="115"/>
      <c r="CQ2682" s="115"/>
      <c r="CR2682" s="115"/>
      <c r="CS2682" s="115"/>
      <c r="CT2682" s="115"/>
      <c r="CU2682" s="115"/>
      <c r="CV2682" s="115"/>
      <c r="CW2682" s="115"/>
      <c r="CX2682" s="115"/>
      <c r="CY2682" s="115"/>
      <c r="CZ2682" s="115"/>
      <c r="DA2682" s="115"/>
      <c r="DB2682" s="115"/>
      <c r="DC2682" s="115"/>
      <c r="DD2682" s="115"/>
      <c r="DE2682" s="115"/>
      <c r="DF2682" s="115"/>
      <c r="DG2682" s="115"/>
    </row>
    <row r="2683" spans="55:111" hidden="1">
      <c r="BC2683" s="115"/>
      <c r="BD2683" s="115"/>
      <c r="BE2683" s="115"/>
      <c r="BF2683" s="115"/>
      <c r="BG2683" s="115"/>
      <c r="BH2683" s="115"/>
      <c r="BI2683" s="115"/>
      <c r="BJ2683" s="115"/>
      <c r="BK2683" s="115"/>
      <c r="BL2683" s="115"/>
      <c r="BM2683" s="115"/>
      <c r="BN2683" s="115"/>
      <c r="BO2683" s="115"/>
      <c r="BP2683" s="115"/>
      <c r="BQ2683" s="115"/>
      <c r="BR2683" s="115"/>
      <c r="BS2683" s="115"/>
      <c r="BT2683" s="115"/>
      <c r="BU2683" s="115"/>
      <c r="BV2683" s="115"/>
      <c r="BW2683" s="115"/>
      <c r="BX2683" s="115"/>
      <c r="BY2683" s="115"/>
      <c r="BZ2683" s="115"/>
      <c r="CA2683" s="115"/>
      <c r="CB2683" s="115"/>
      <c r="CC2683" s="115"/>
      <c r="CD2683" s="115"/>
      <c r="CE2683" s="115"/>
      <c r="CF2683" s="115"/>
      <c r="CG2683" s="115"/>
      <c r="CH2683" s="115"/>
      <c r="CI2683" s="115"/>
      <c r="CJ2683" s="115"/>
      <c r="CK2683" s="115"/>
      <c r="CL2683" s="115"/>
      <c r="CM2683" s="115"/>
      <c r="CN2683" s="115"/>
      <c r="CO2683" s="115"/>
      <c r="CP2683" s="115"/>
      <c r="CQ2683" s="115"/>
      <c r="CR2683" s="115"/>
      <c r="CS2683" s="115"/>
      <c r="CT2683" s="115"/>
      <c r="CU2683" s="115"/>
      <c r="CV2683" s="115"/>
      <c r="CW2683" s="115"/>
      <c r="CX2683" s="115"/>
      <c r="CY2683" s="115"/>
      <c r="CZ2683" s="115"/>
      <c r="DA2683" s="115"/>
      <c r="DB2683" s="115"/>
      <c r="DC2683" s="115"/>
      <c r="DD2683" s="115"/>
      <c r="DE2683" s="115"/>
      <c r="DF2683" s="115"/>
      <c r="DG2683" s="115"/>
    </row>
    <row r="2684" spans="55:111" hidden="1">
      <c r="BC2684" s="115"/>
      <c r="BD2684" s="115"/>
      <c r="BE2684" s="115"/>
      <c r="BF2684" s="115"/>
      <c r="BG2684" s="115"/>
      <c r="BH2684" s="115"/>
      <c r="BI2684" s="115"/>
      <c r="BJ2684" s="115"/>
      <c r="BK2684" s="115"/>
      <c r="BL2684" s="115"/>
      <c r="BM2684" s="115"/>
      <c r="BN2684" s="115"/>
      <c r="BO2684" s="115"/>
      <c r="BP2684" s="115"/>
      <c r="BQ2684" s="115"/>
      <c r="BR2684" s="115"/>
      <c r="BS2684" s="115"/>
      <c r="BT2684" s="115"/>
      <c r="BU2684" s="115"/>
      <c r="BV2684" s="115"/>
      <c r="BW2684" s="115"/>
      <c r="BX2684" s="115"/>
      <c r="BY2684" s="115"/>
      <c r="BZ2684" s="115"/>
      <c r="CA2684" s="115"/>
      <c r="CB2684" s="115"/>
      <c r="CC2684" s="115"/>
      <c r="CD2684" s="115"/>
      <c r="CE2684" s="115"/>
      <c r="CF2684" s="115"/>
      <c r="CG2684" s="115"/>
      <c r="CH2684" s="115"/>
      <c r="CI2684" s="115"/>
      <c r="CJ2684" s="115"/>
      <c r="CK2684" s="115"/>
      <c r="CL2684" s="115"/>
      <c r="CM2684" s="115"/>
      <c r="CN2684" s="115"/>
      <c r="CO2684" s="115"/>
      <c r="CP2684" s="115"/>
      <c r="CQ2684" s="115"/>
      <c r="CR2684" s="115"/>
      <c r="CS2684" s="115"/>
      <c r="CT2684" s="115"/>
      <c r="CU2684" s="115"/>
      <c r="CV2684" s="115"/>
      <c r="CW2684" s="115"/>
      <c r="CX2684" s="115"/>
      <c r="CY2684" s="115"/>
      <c r="CZ2684" s="115"/>
      <c r="DA2684" s="115"/>
      <c r="DB2684" s="115"/>
      <c r="DC2684" s="115"/>
      <c r="DD2684" s="115"/>
      <c r="DE2684" s="115"/>
      <c r="DF2684" s="115"/>
      <c r="DG2684" s="115"/>
    </row>
    <row r="2685" spans="55:111" hidden="1">
      <c r="BC2685" s="115"/>
      <c r="BD2685" s="115"/>
      <c r="BE2685" s="115"/>
      <c r="BF2685" s="115"/>
      <c r="BG2685" s="115"/>
      <c r="BH2685" s="115"/>
      <c r="BI2685" s="115"/>
      <c r="BJ2685" s="115"/>
      <c r="BK2685" s="115"/>
      <c r="BL2685" s="115"/>
      <c r="BM2685" s="115"/>
      <c r="BN2685" s="115"/>
      <c r="BO2685" s="115"/>
      <c r="BP2685" s="115"/>
      <c r="BQ2685" s="115"/>
      <c r="BR2685" s="115"/>
      <c r="BS2685" s="115"/>
      <c r="BT2685" s="115"/>
      <c r="BU2685" s="115"/>
      <c r="BV2685" s="115"/>
      <c r="BW2685" s="115"/>
      <c r="BX2685" s="115"/>
      <c r="BY2685" s="115"/>
      <c r="BZ2685" s="115"/>
      <c r="CA2685" s="115"/>
      <c r="CB2685" s="115"/>
      <c r="CC2685" s="115"/>
      <c r="CD2685" s="115"/>
      <c r="CE2685" s="115"/>
      <c r="CF2685" s="115"/>
      <c r="CG2685" s="115"/>
      <c r="CH2685" s="115"/>
      <c r="CI2685" s="115"/>
      <c r="CJ2685" s="115"/>
      <c r="CK2685" s="115"/>
      <c r="CL2685" s="115"/>
      <c r="CM2685" s="115"/>
      <c r="CN2685" s="115"/>
      <c r="CO2685" s="115"/>
      <c r="CP2685" s="115"/>
      <c r="CQ2685" s="115"/>
      <c r="CR2685" s="115"/>
      <c r="CS2685" s="115"/>
      <c r="CT2685" s="115"/>
      <c r="CU2685" s="115"/>
      <c r="CV2685" s="115"/>
      <c r="CW2685" s="115"/>
      <c r="CX2685" s="115"/>
      <c r="CY2685" s="115"/>
      <c r="CZ2685" s="115"/>
      <c r="DA2685" s="115"/>
      <c r="DB2685" s="115"/>
      <c r="DC2685" s="115"/>
      <c r="DD2685" s="115"/>
      <c r="DE2685" s="115"/>
      <c r="DF2685" s="115"/>
      <c r="DG2685" s="115"/>
    </row>
    <row r="2686" spans="55:111" hidden="1">
      <c r="BC2686" s="115"/>
      <c r="BD2686" s="115"/>
      <c r="BE2686" s="115"/>
      <c r="BF2686" s="115"/>
      <c r="BG2686" s="115"/>
      <c r="BH2686" s="115"/>
      <c r="BI2686" s="115"/>
      <c r="BJ2686" s="115"/>
      <c r="BK2686" s="115"/>
      <c r="BL2686" s="115"/>
      <c r="BM2686" s="115"/>
      <c r="BN2686" s="115"/>
      <c r="BO2686" s="115"/>
      <c r="BP2686" s="115"/>
      <c r="BQ2686" s="115"/>
      <c r="BR2686" s="115"/>
      <c r="BS2686" s="115"/>
      <c r="BT2686" s="115"/>
      <c r="BU2686" s="115"/>
      <c r="BV2686" s="115"/>
      <c r="BW2686" s="115"/>
      <c r="BX2686" s="115"/>
      <c r="BY2686" s="115"/>
      <c r="BZ2686" s="115"/>
      <c r="CA2686" s="115"/>
      <c r="CB2686" s="115"/>
      <c r="CC2686" s="115"/>
      <c r="CD2686" s="115"/>
      <c r="CE2686" s="115"/>
      <c r="CF2686" s="115"/>
      <c r="CG2686" s="115"/>
      <c r="CH2686" s="115"/>
      <c r="CI2686" s="115"/>
      <c r="CJ2686" s="115"/>
      <c r="CK2686" s="115"/>
      <c r="CL2686" s="115"/>
      <c r="CM2686" s="115"/>
      <c r="CN2686" s="115"/>
      <c r="CO2686" s="115"/>
      <c r="CP2686" s="115"/>
      <c r="CQ2686" s="115"/>
      <c r="CR2686" s="115"/>
      <c r="CS2686" s="115"/>
      <c r="CT2686" s="115"/>
      <c r="CU2686" s="115"/>
      <c r="CV2686" s="115"/>
      <c r="CW2686" s="115"/>
      <c r="CX2686" s="115"/>
      <c r="CY2686" s="115"/>
      <c r="CZ2686" s="115"/>
      <c r="DA2686" s="115"/>
      <c r="DB2686" s="115"/>
      <c r="DC2686" s="115"/>
      <c r="DD2686" s="115"/>
      <c r="DE2686" s="115"/>
      <c r="DF2686" s="115"/>
      <c r="DG2686" s="115"/>
    </row>
    <row r="2687" spans="55:111" hidden="1">
      <c r="BC2687" s="115"/>
      <c r="BD2687" s="115"/>
      <c r="BE2687" s="115"/>
      <c r="BF2687" s="115"/>
      <c r="BG2687" s="115"/>
      <c r="BH2687" s="115"/>
      <c r="BI2687" s="115"/>
      <c r="BJ2687" s="115"/>
      <c r="BK2687" s="115"/>
      <c r="BL2687" s="115"/>
      <c r="BM2687" s="115"/>
      <c r="BN2687" s="115"/>
      <c r="BO2687" s="115"/>
      <c r="BP2687" s="115"/>
      <c r="BQ2687" s="115"/>
      <c r="BR2687" s="115"/>
      <c r="BS2687" s="115"/>
      <c r="BT2687" s="115"/>
      <c r="BU2687" s="115"/>
      <c r="BV2687" s="115"/>
      <c r="BW2687" s="115"/>
      <c r="BX2687" s="115"/>
      <c r="BY2687" s="115"/>
      <c r="BZ2687" s="115"/>
      <c r="CA2687" s="115"/>
      <c r="CB2687" s="115"/>
      <c r="CC2687" s="115"/>
      <c r="CD2687" s="115"/>
      <c r="CE2687" s="115"/>
      <c r="CF2687" s="115"/>
      <c r="CG2687" s="115"/>
      <c r="CH2687" s="115"/>
      <c r="CI2687" s="115"/>
      <c r="CJ2687" s="115"/>
      <c r="CK2687" s="115"/>
      <c r="CL2687" s="115"/>
      <c r="CM2687" s="115"/>
      <c r="CN2687" s="115"/>
      <c r="CO2687" s="115"/>
      <c r="CP2687" s="115"/>
      <c r="CQ2687" s="115"/>
      <c r="CR2687" s="115"/>
      <c r="CS2687" s="115"/>
      <c r="CT2687" s="115"/>
      <c r="CU2687" s="115"/>
      <c r="CV2687" s="115"/>
      <c r="CW2687" s="115"/>
      <c r="CX2687" s="115"/>
      <c r="CY2687" s="115"/>
      <c r="CZ2687" s="115"/>
      <c r="DA2687" s="115"/>
      <c r="DB2687" s="115"/>
      <c r="DC2687" s="115"/>
      <c r="DD2687" s="115"/>
      <c r="DE2687" s="115"/>
      <c r="DF2687" s="115"/>
      <c r="DG2687" s="115"/>
    </row>
    <row r="2688" spans="55:111" hidden="1">
      <c r="BC2688" s="115"/>
      <c r="BD2688" s="115"/>
      <c r="BE2688" s="115"/>
      <c r="BF2688" s="115"/>
      <c r="BG2688" s="115"/>
      <c r="BH2688" s="115"/>
      <c r="BI2688" s="115"/>
      <c r="BJ2688" s="115"/>
      <c r="BK2688" s="115"/>
      <c r="BL2688" s="115"/>
      <c r="BM2688" s="115"/>
      <c r="BN2688" s="115"/>
      <c r="BO2688" s="115"/>
      <c r="BP2688" s="115"/>
      <c r="BQ2688" s="115"/>
      <c r="BR2688" s="115"/>
      <c r="BS2688" s="115"/>
      <c r="BT2688" s="115"/>
      <c r="BU2688" s="115"/>
      <c r="BV2688" s="115"/>
      <c r="BW2688" s="115"/>
      <c r="BX2688" s="115"/>
      <c r="BY2688" s="115"/>
      <c r="BZ2688" s="115"/>
      <c r="CA2688" s="115"/>
      <c r="CB2688" s="115"/>
      <c r="CC2688" s="115"/>
      <c r="CD2688" s="115"/>
      <c r="CE2688" s="115"/>
      <c r="CF2688" s="115"/>
      <c r="CG2688" s="115"/>
      <c r="CH2688" s="115"/>
      <c r="CI2688" s="115"/>
      <c r="CJ2688" s="115"/>
      <c r="CK2688" s="115"/>
      <c r="CL2688" s="115"/>
      <c r="CM2688" s="115"/>
      <c r="CN2688" s="115"/>
      <c r="CO2688" s="115"/>
      <c r="CP2688" s="115"/>
      <c r="CQ2688" s="115"/>
      <c r="CR2688" s="115"/>
      <c r="CS2688" s="115"/>
      <c r="CT2688" s="115"/>
      <c r="CU2688" s="115"/>
      <c r="CV2688" s="115"/>
      <c r="CW2688" s="115"/>
      <c r="CX2688" s="115"/>
      <c r="CY2688" s="115"/>
      <c r="CZ2688" s="115"/>
      <c r="DA2688" s="115"/>
      <c r="DB2688" s="115"/>
      <c r="DC2688" s="115"/>
      <c r="DD2688" s="115"/>
      <c r="DE2688" s="115"/>
      <c r="DF2688" s="115"/>
      <c r="DG2688" s="115"/>
    </row>
    <row r="2689" spans="55:111" hidden="1">
      <c r="BC2689" s="115"/>
      <c r="BD2689" s="115"/>
      <c r="BE2689" s="115"/>
      <c r="BF2689" s="115"/>
      <c r="BG2689" s="115"/>
      <c r="BH2689" s="115"/>
      <c r="BI2689" s="115"/>
      <c r="BJ2689" s="115"/>
      <c r="BK2689" s="115"/>
      <c r="BL2689" s="115"/>
      <c r="BM2689" s="115"/>
      <c r="BN2689" s="115"/>
      <c r="BO2689" s="115"/>
      <c r="BP2689" s="115"/>
      <c r="BQ2689" s="115"/>
      <c r="BR2689" s="115"/>
      <c r="BS2689" s="115"/>
      <c r="BT2689" s="115"/>
      <c r="BU2689" s="115"/>
      <c r="BV2689" s="115"/>
      <c r="BW2689" s="115"/>
      <c r="BX2689" s="115"/>
      <c r="BY2689" s="115"/>
      <c r="BZ2689" s="115"/>
      <c r="CA2689" s="115"/>
      <c r="CB2689" s="115"/>
      <c r="CC2689" s="115"/>
      <c r="CD2689" s="115"/>
      <c r="CE2689" s="115"/>
      <c r="CF2689" s="115"/>
      <c r="CG2689" s="115"/>
      <c r="CH2689" s="115"/>
      <c r="CI2689" s="115"/>
      <c r="CJ2689" s="115"/>
      <c r="CK2689" s="115"/>
      <c r="CL2689" s="115"/>
      <c r="CM2689" s="115"/>
      <c r="CN2689" s="115"/>
      <c r="CO2689" s="115"/>
      <c r="CP2689" s="115"/>
      <c r="CQ2689" s="115"/>
      <c r="CR2689" s="115"/>
      <c r="CS2689" s="115"/>
      <c r="CT2689" s="115"/>
      <c r="CU2689" s="115"/>
      <c r="CV2689" s="115"/>
      <c r="CW2689" s="115"/>
      <c r="CX2689" s="115"/>
      <c r="CY2689" s="115"/>
      <c r="CZ2689" s="115"/>
      <c r="DA2689" s="115"/>
      <c r="DB2689" s="115"/>
      <c r="DC2689" s="115"/>
      <c r="DD2689" s="115"/>
      <c r="DE2689" s="115"/>
      <c r="DF2689" s="115"/>
      <c r="DG2689" s="115"/>
    </row>
    <row r="2690" spans="55:111" hidden="1">
      <c r="BC2690" s="115"/>
      <c r="BD2690" s="115"/>
      <c r="BE2690" s="115"/>
      <c r="BF2690" s="115"/>
      <c r="BG2690" s="115"/>
      <c r="BH2690" s="115"/>
      <c r="BI2690" s="115"/>
      <c r="BJ2690" s="115"/>
      <c r="BK2690" s="115"/>
      <c r="BL2690" s="115"/>
      <c r="BM2690" s="115"/>
      <c r="BN2690" s="115"/>
      <c r="BO2690" s="115"/>
      <c r="BP2690" s="115"/>
      <c r="BQ2690" s="115"/>
      <c r="BR2690" s="115"/>
      <c r="BS2690" s="115"/>
      <c r="BT2690" s="115"/>
      <c r="BU2690" s="115"/>
      <c r="BV2690" s="115"/>
      <c r="BW2690" s="115"/>
      <c r="BX2690" s="115"/>
      <c r="BY2690" s="115"/>
      <c r="BZ2690" s="115"/>
      <c r="CA2690" s="115"/>
      <c r="CB2690" s="115"/>
      <c r="CC2690" s="115"/>
      <c r="CD2690" s="115"/>
      <c r="CE2690" s="115"/>
      <c r="CF2690" s="115"/>
      <c r="CG2690" s="115"/>
      <c r="CH2690" s="115"/>
      <c r="CI2690" s="115"/>
      <c r="CJ2690" s="115"/>
      <c r="CK2690" s="115"/>
      <c r="CL2690" s="115"/>
      <c r="CM2690" s="115"/>
      <c r="CN2690" s="115"/>
      <c r="CO2690" s="115"/>
      <c r="CP2690" s="115"/>
      <c r="CQ2690" s="115"/>
      <c r="CR2690" s="115"/>
      <c r="CS2690" s="115"/>
      <c r="CT2690" s="115"/>
      <c r="CU2690" s="115"/>
      <c r="CV2690" s="115"/>
      <c r="CW2690" s="115"/>
      <c r="CX2690" s="115"/>
      <c r="CY2690" s="115"/>
      <c r="CZ2690" s="115"/>
      <c r="DA2690" s="115"/>
      <c r="DB2690" s="115"/>
      <c r="DC2690" s="115"/>
      <c r="DD2690" s="115"/>
      <c r="DE2690" s="115"/>
      <c r="DF2690" s="115"/>
      <c r="DG2690" s="115"/>
    </row>
    <row r="2691" spans="55:111" hidden="1">
      <c r="BC2691" s="115"/>
      <c r="BD2691" s="115"/>
      <c r="BE2691" s="115"/>
      <c r="BF2691" s="115"/>
      <c r="BG2691" s="115"/>
      <c r="BH2691" s="115"/>
      <c r="BI2691" s="115"/>
      <c r="BJ2691" s="115"/>
      <c r="BK2691" s="115"/>
      <c r="BL2691" s="115"/>
      <c r="BM2691" s="115"/>
      <c r="BN2691" s="115"/>
      <c r="BO2691" s="115"/>
      <c r="BP2691" s="115"/>
      <c r="BQ2691" s="115"/>
      <c r="BR2691" s="115"/>
      <c r="BS2691" s="115"/>
      <c r="BT2691" s="115"/>
      <c r="BU2691" s="115"/>
      <c r="BV2691" s="115"/>
      <c r="BW2691" s="115"/>
      <c r="BX2691" s="115"/>
      <c r="BY2691" s="115"/>
      <c r="BZ2691" s="115"/>
      <c r="CA2691" s="115"/>
      <c r="CB2691" s="115"/>
      <c r="CC2691" s="115"/>
      <c r="CD2691" s="115"/>
      <c r="CE2691" s="115"/>
      <c r="CF2691" s="115"/>
      <c r="CG2691" s="115"/>
      <c r="CH2691" s="115"/>
      <c r="CI2691" s="115"/>
      <c r="CJ2691" s="115"/>
      <c r="CK2691" s="115"/>
      <c r="CL2691" s="115"/>
      <c r="CM2691" s="115"/>
      <c r="CN2691" s="115"/>
      <c r="CO2691" s="115"/>
      <c r="CP2691" s="115"/>
      <c r="CQ2691" s="115"/>
      <c r="CR2691" s="115"/>
      <c r="CS2691" s="115"/>
      <c r="CT2691" s="115"/>
      <c r="CU2691" s="115"/>
      <c r="CV2691" s="115"/>
      <c r="CW2691" s="115"/>
      <c r="CX2691" s="115"/>
      <c r="CY2691" s="115"/>
      <c r="CZ2691" s="115"/>
      <c r="DA2691" s="115"/>
      <c r="DB2691" s="115"/>
      <c r="DC2691" s="115"/>
      <c r="DD2691" s="115"/>
      <c r="DE2691" s="115"/>
      <c r="DF2691" s="115"/>
      <c r="DG2691" s="115"/>
    </row>
    <row r="2692" spans="55:111" hidden="1">
      <c r="BC2692" s="115"/>
      <c r="BD2692" s="115"/>
      <c r="BE2692" s="115"/>
      <c r="BF2692" s="115"/>
      <c r="BG2692" s="115"/>
      <c r="BH2692" s="115"/>
      <c r="BI2692" s="115"/>
      <c r="BJ2692" s="115"/>
      <c r="BK2692" s="115"/>
      <c r="BL2692" s="115"/>
      <c r="BM2692" s="115"/>
      <c r="BN2692" s="115"/>
      <c r="BO2692" s="115"/>
      <c r="BP2692" s="115"/>
      <c r="BQ2692" s="115"/>
      <c r="BR2692" s="115"/>
      <c r="BS2692" s="115"/>
      <c r="BT2692" s="115"/>
      <c r="BU2692" s="115"/>
      <c r="BV2692" s="115"/>
      <c r="BW2692" s="115"/>
      <c r="BX2692" s="115"/>
      <c r="BY2692" s="115"/>
      <c r="BZ2692" s="115"/>
      <c r="CA2692" s="115"/>
      <c r="CB2692" s="115"/>
      <c r="CC2692" s="115"/>
      <c r="CD2692" s="115"/>
      <c r="CE2692" s="115"/>
      <c r="CF2692" s="115"/>
      <c r="CG2692" s="115"/>
      <c r="CH2692" s="115"/>
      <c r="CI2692" s="115"/>
      <c r="CJ2692" s="115"/>
      <c r="CK2692" s="115"/>
      <c r="CL2692" s="115"/>
      <c r="CM2692" s="115"/>
      <c r="CN2692" s="115"/>
      <c r="CO2692" s="115"/>
      <c r="CP2692" s="115"/>
      <c r="CQ2692" s="115"/>
      <c r="CR2692" s="115"/>
      <c r="CS2692" s="115"/>
      <c r="CT2692" s="115"/>
      <c r="CU2692" s="115"/>
      <c r="CV2692" s="115"/>
      <c r="CW2692" s="115"/>
      <c r="CX2692" s="115"/>
      <c r="CY2692" s="115"/>
      <c r="CZ2692" s="115"/>
      <c r="DA2692" s="115"/>
      <c r="DB2692" s="115"/>
      <c r="DC2692" s="115"/>
      <c r="DD2692" s="115"/>
      <c r="DE2692" s="115"/>
      <c r="DF2692" s="115"/>
      <c r="DG2692" s="115"/>
    </row>
    <row r="2693" spans="55:111" hidden="1">
      <c r="BC2693" s="115"/>
      <c r="BD2693" s="115"/>
      <c r="BE2693" s="115"/>
      <c r="BF2693" s="115"/>
      <c r="BG2693" s="115"/>
      <c r="BH2693" s="115"/>
      <c r="BI2693" s="115"/>
      <c r="BJ2693" s="115"/>
      <c r="BK2693" s="115"/>
      <c r="BL2693" s="115"/>
      <c r="BM2693" s="115"/>
      <c r="BN2693" s="115"/>
      <c r="BO2693" s="115"/>
      <c r="BP2693" s="115"/>
      <c r="BQ2693" s="115"/>
      <c r="BR2693" s="115"/>
      <c r="BS2693" s="115"/>
      <c r="BT2693" s="115"/>
      <c r="BU2693" s="115"/>
      <c r="BV2693" s="115"/>
      <c r="BW2693" s="115"/>
      <c r="BX2693" s="115"/>
      <c r="BY2693" s="115"/>
      <c r="BZ2693" s="115"/>
      <c r="CA2693" s="115"/>
      <c r="CB2693" s="115"/>
      <c r="CC2693" s="115"/>
      <c r="CD2693" s="115"/>
      <c r="CE2693" s="115"/>
      <c r="CF2693" s="115"/>
      <c r="CG2693" s="115"/>
      <c r="CH2693" s="115"/>
      <c r="CI2693" s="115"/>
      <c r="CJ2693" s="115"/>
      <c r="CK2693" s="115"/>
      <c r="CL2693" s="115"/>
      <c r="CM2693" s="115"/>
      <c r="CN2693" s="115"/>
      <c r="CO2693" s="115"/>
      <c r="CP2693" s="115"/>
      <c r="CQ2693" s="115"/>
      <c r="CR2693" s="115"/>
      <c r="CS2693" s="115"/>
      <c r="CT2693" s="115"/>
      <c r="CU2693" s="115"/>
      <c r="CV2693" s="115"/>
      <c r="CW2693" s="115"/>
      <c r="CX2693" s="115"/>
      <c r="CY2693" s="115"/>
      <c r="CZ2693" s="115"/>
      <c r="DA2693" s="115"/>
      <c r="DB2693" s="115"/>
      <c r="DC2693" s="115"/>
      <c r="DD2693" s="115"/>
      <c r="DE2693" s="115"/>
      <c r="DF2693" s="115"/>
      <c r="DG2693" s="115"/>
    </row>
    <row r="2694" spans="55:111" hidden="1">
      <c r="BC2694" s="115"/>
      <c r="BD2694" s="115"/>
      <c r="BE2694" s="115"/>
      <c r="BF2694" s="115"/>
      <c r="BG2694" s="115"/>
      <c r="BH2694" s="115"/>
      <c r="BI2694" s="115"/>
      <c r="BJ2694" s="115"/>
      <c r="BK2694" s="115"/>
      <c r="BL2694" s="115"/>
      <c r="BM2694" s="115"/>
      <c r="BN2694" s="115"/>
      <c r="BO2694" s="115"/>
      <c r="BP2694" s="115"/>
      <c r="BQ2694" s="115"/>
      <c r="BR2694" s="115"/>
      <c r="BS2694" s="115"/>
      <c r="BT2694" s="115"/>
      <c r="BU2694" s="115"/>
      <c r="BV2694" s="115"/>
      <c r="BW2694" s="115"/>
      <c r="BX2694" s="115"/>
      <c r="BY2694" s="115"/>
      <c r="BZ2694" s="115"/>
      <c r="CA2694" s="115"/>
      <c r="CB2694" s="115"/>
      <c r="CC2694" s="115"/>
      <c r="CD2694" s="115"/>
      <c r="CE2694" s="115"/>
      <c r="CF2694" s="115"/>
      <c r="CG2694" s="115"/>
      <c r="CH2694" s="115"/>
      <c r="CI2694" s="115"/>
      <c r="CJ2694" s="115"/>
      <c r="CK2694" s="115"/>
      <c r="CL2694" s="115"/>
      <c r="CM2694" s="115"/>
      <c r="CN2694" s="115"/>
      <c r="CO2694" s="115"/>
      <c r="CP2694" s="115"/>
      <c r="CQ2694" s="115"/>
      <c r="CR2694" s="115"/>
      <c r="CS2694" s="115"/>
      <c r="CT2694" s="115"/>
      <c r="CU2694" s="115"/>
      <c r="CV2694" s="115"/>
      <c r="CW2694" s="115"/>
      <c r="CX2694" s="115"/>
      <c r="CY2694" s="115"/>
      <c r="CZ2694" s="115"/>
      <c r="DA2694" s="115"/>
      <c r="DB2694" s="115"/>
      <c r="DC2694" s="115"/>
      <c r="DD2694" s="115"/>
      <c r="DE2694" s="115"/>
      <c r="DF2694" s="115"/>
      <c r="DG2694" s="115"/>
    </row>
    <row r="2695" spans="55:111" hidden="1">
      <c r="BC2695" s="115"/>
      <c r="BD2695" s="115"/>
      <c r="BE2695" s="115"/>
      <c r="BF2695" s="115"/>
      <c r="BG2695" s="115"/>
      <c r="BH2695" s="115"/>
      <c r="BI2695" s="115"/>
      <c r="BJ2695" s="115"/>
      <c r="BK2695" s="115"/>
      <c r="BL2695" s="115"/>
      <c r="BM2695" s="115"/>
      <c r="BN2695" s="115"/>
      <c r="BO2695" s="115"/>
      <c r="BP2695" s="115"/>
      <c r="BQ2695" s="115"/>
      <c r="BR2695" s="115"/>
      <c r="BS2695" s="115"/>
      <c r="BT2695" s="115"/>
      <c r="BU2695" s="115"/>
      <c r="BV2695" s="115"/>
      <c r="BW2695" s="115"/>
      <c r="BX2695" s="115"/>
      <c r="BY2695" s="115"/>
      <c r="BZ2695" s="115"/>
      <c r="CA2695" s="115"/>
      <c r="CB2695" s="115"/>
      <c r="CC2695" s="115"/>
      <c r="CD2695" s="115"/>
      <c r="CE2695" s="115"/>
      <c r="CF2695" s="115"/>
      <c r="CG2695" s="115"/>
      <c r="CH2695" s="115"/>
      <c r="CI2695" s="115"/>
      <c r="CJ2695" s="115"/>
      <c r="CK2695" s="115"/>
      <c r="CL2695" s="115"/>
      <c r="CM2695" s="115"/>
      <c r="CN2695" s="115"/>
      <c r="CO2695" s="115"/>
      <c r="CP2695" s="115"/>
      <c r="CQ2695" s="115"/>
      <c r="CR2695" s="115"/>
      <c r="CS2695" s="115"/>
      <c r="CT2695" s="115"/>
      <c r="CU2695" s="115"/>
      <c r="CV2695" s="115"/>
      <c r="CW2695" s="115"/>
      <c r="CX2695" s="115"/>
      <c r="CY2695" s="115"/>
      <c r="CZ2695" s="115"/>
      <c r="DA2695" s="115"/>
      <c r="DB2695" s="115"/>
      <c r="DC2695" s="115"/>
      <c r="DD2695" s="115"/>
      <c r="DE2695" s="115"/>
      <c r="DF2695" s="115"/>
      <c r="DG2695" s="115"/>
    </row>
    <row r="2696" spans="55:111" hidden="1">
      <c r="BC2696" s="115"/>
      <c r="BD2696" s="115"/>
      <c r="BE2696" s="115"/>
      <c r="BF2696" s="115"/>
      <c r="BG2696" s="115"/>
      <c r="BH2696" s="115"/>
      <c r="BI2696" s="115"/>
      <c r="BJ2696" s="115"/>
      <c r="BK2696" s="115"/>
      <c r="BL2696" s="115"/>
      <c r="BM2696" s="115"/>
      <c r="BN2696" s="115"/>
      <c r="BO2696" s="115"/>
      <c r="BP2696" s="115"/>
      <c r="BQ2696" s="115"/>
      <c r="BR2696" s="115"/>
      <c r="BS2696" s="115"/>
      <c r="BT2696" s="115"/>
      <c r="BU2696" s="115"/>
      <c r="BV2696" s="115"/>
      <c r="BW2696" s="115"/>
      <c r="BX2696" s="115"/>
      <c r="BY2696" s="115"/>
      <c r="BZ2696" s="115"/>
      <c r="CA2696" s="115"/>
      <c r="CB2696" s="115"/>
      <c r="CC2696" s="115"/>
      <c r="CD2696" s="115"/>
      <c r="CE2696" s="115"/>
      <c r="CF2696" s="115"/>
      <c r="CG2696" s="115"/>
      <c r="CH2696" s="115"/>
      <c r="CI2696" s="115"/>
      <c r="CJ2696" s="115"/>
      <c r="CK2696" s="115"/>
      <c r="CL2696" s="115"/>
      <c r="CM2696" s="115"/>
      <c r="CN2696" s="115"/>
      <c r="CO2696" s="115"/>
      <c r="CP2696" s="115"/>
      <c r="CQ2696" s="115"/>
      <c r="CR2696" s="115"/>
      <c r="CS2696" s="115"/>
      <c r="CT2696" s="115"/>
      <c r="CU2696" s="115"/>
      <c r="CV2696" s="115"/>
      <c r="CW2696" s="115"/>
      <c r="CX2696" s="115"/>
      <c r="CY2696" s="115"/>
      <c r="CZ2696" s="115"/>
      <c r="DA2696" s="115"/>
      <c r="DB2696" s="115"/>
      <c r="DC2696" s="115"/>
      <c r="DD2696" s="115"/>
      <c r="DE2696" s="115"/>
      <c r="DF2696" s="115"/>
      <c r="DG2696" s="115"/>
    </row>
    <row r="2697" spans="55:111" hidden="1">
      <c r="BC2697" s="115"/>
      <c r="BD2697" s="115"/>
      <c r="BE2697" s="115"/>
      <c r="BF2697" s="115"/>
      <c r="BG2697" s="115"/>
      <c r="BH2697" s="115"/>
      <c r="BI2697" s="115"/>
      <c r="BJ2697" s="115"/>
      <c r="BK2697" s="115"/>
      <c r="BL2697" s="115"/>
      <c r="BM2697" s="115"/>
      <c r="BN2697" s="115"/>
      <c r="BO2697" s="115"/>
      <c r="BP2697" s="115"/>
      <c r="BQ2697" s="115"/>
      <c r="BR2697" s="115"/>
      <c r="BS2697" s="115"/>
      <c r="BT2697" s="115"/>
      <c r="BU2697" s="115"/>
      <c r="BV2697" s="115"/>
      <c r="BW2697" s="115"/>
      <c r="BX2697" s="115"/>
      <c r="BY2697" s="115"/>
      <c r="BZ2697" s="115"/>
      <c r="CA2697" s="115"/>
      <c r="CB2697" s="115"/>
      <c r="CC2697" s="115"/>
      <c r="CD2697" s="115"/>
      <c r="CE2697" s="115"/>
      <c r="CF2697" s="115"/>
      <c r="CG2697" s="115"/>
      <c r="CH2697" s="115"/>
      <c r="CI2697" s="115"/>
      <c r="CJ2697" s="115"/>
      <c r="CK2697" s="115"/>
      <c r="CL2697" s="115"/>
      <c r="CM2697" s="115"/>
      <c r="CN2697" s="115"/>
      <c r="CO2697" s="115"/>
      <c r="CP2697" s="115"/>
      <c r="CQ2697" s="115"/>
      <c r="CR2697" s="115"/>
      <c r="CS2697" s="115"/>
      <c r="CT2697" s="115"/>
      <c r="CU2697" s="115"/>
      <c r="CV2697" s="115"/>
      <c r="CW2697" s="115"/>
      <c r="CX2697" s="115"/>
      <c r="CY2697" s="115"/>
      <c r="CZ2697" s="115"/>
      <c r="DA2697" s="115"/>
      <c r="DB2697" s="115"/>
      <c r="DC2697" s="115"/>
      <c r="DD2697" s="115"/>
      <c r="DE2697" s="115"/>
      <c r="DF2697" s="115"/>
      <c r="DG2697" s="115"/>
    </row>
    <row r="2698" spans="55:111" hidden="1">
      <c r="BC2698" s="115"/>
      <c r="BD2698" s="115"/>
      <c r="BE2698" s="115"/>
      <c r="BF2698" s="115"/>
      <c r="BG2698" s="115"/>
      <c r="BH2698" s="115"/>
      <c r="BI2698" s="115"/>
      <c r="BJ2698" s="115"/>
      <c r="BK2698" s="115"/>
      <c r="BL2698" s="115"/>
      <c r="BM2698" s="115"/>
      <c r="BN2698" s="115"/>
      <c r="BO2698" s="115"/>
      <c r="BP2698" s="115"/>
      <c r="BQ2698" s="115"/>
      <c r="BR2698" s="115"/>
      <c r="BS2698" s="115"/>
      <c r="BT2698" s="115"/>
      <c r="BU2698" s="115"/>
      <c r="BV2698" s="115"/>
      <c r="BW2698" s="115"/>
      <c r="BX2698" s="115"/>
      <c r="BY2698" s="115"/>
      <c r="BZ2698" s="115"/>
      <c r="CA2698" s="115"/>
      <c r="CB2698" s="115"/>
      <c r="CC2698" s="115"/>
      <c r="CD2698" s="115"/>
      <c r="CE2698" s="115"/>
      <c r="CF2698" s="115"/>
      <c r="CG2698" s="115"/>
      <c r="CH2698" s="115"/>
      <c r="CI2698" s="115"/>
      <c r="CJ2698" s="115"/>
      <c r="CK2698" s="115"/>
      <c r="CL2698" s="115"/>
      <c r="CM2698" s="115"/>
      <c r="CN2698" s="115"/>
      <c r="CO2698" s="115"/>
      <c r="CP2698" s="115"/>
      <c r="CQ2698" s="115"/>
      <c r="CR2698" s="115"/>
      <c r="CS2698" s="115"/>
      <c r="CT2698" s="115"/>
      <c r="CU2698" s="115"/>
      <c r="CV2698" s="115"/>
      <c r="CW2698" s="115"/>
      <c r="CX2698" s="115"/>
      <c r="CY2698" s="115"/>
      <c r="CZ2698" s="115"/>
      <c r="DA2698" s="115"/>
      <c r="DB2698" s="115"/>
      <c r="DC2698" s="115"/>
      <c r="DD2698" s="115"/>
      <c r="DE2698" s="115"/>
      <c r="DF2698" s="115"/>
      <c r="DG2698" s="115"/>
    </row>
    <row r="2699" spans="55:111" hidden="1">
      <c r="BC2699" s="115"/>
      <c r="BD2699" s="115"/>
      <c r="BE2699" s="115"/>
      <c r="BF2699" s="115"/>
      <c r="BG2699" s="115"/>
      <c r="BH2699" s="115"/>
      <c r="BI2699" s="115"/>
      <c r="BJ2699" s="115"/>
      <c r="BK2699" s="115"/>
      <c r="BL2699" s="115"/>
      <c r="BM2699" s="115"/>
      <c r="BN2699" s="115"/>
      <c r="BO2699" s="115"/>
      <c r="BP2699" s="115"/>
      <c r="BQ2699" s="115"/>
      <c r="BR2699" s="115"/>
      <c r="BS2699" s="115"/>
      <c r="BT2699" s="115"/>
      <c r="BU2699" s="115"/>
      <c r="BV2699" s="115"/>
      <c r="BW2699" s="115"/>
      <c r="BX2699" s="115"/>
      <c r="BY2699" s="115"/>
      <c r="BZ2699" s="115"/>
      <c r="CA2699" s="115"/>
      <c r="CB2699" s="115"/>
      <c r="CC2699" s="115"/>
      <c r="CD2699" s="115"/>
      <c r="CE2699" s="115"/>
      <c r="CF2699" s="115"/>
      <c r="CG2699" s="115"/>
      <c r="CH2699" s="115"/>
      <c r="CI2699" s="115"/>
      <c r="CJ2699" s="115"/>
      <c r="CK2699" s="115"/>
      <c r="CL2699" s="115"/>
      <c r="CM2699" s="115"/>
      <c r="CN2699" s="115"/>
      <c r="CO2699" s="115"/>
      <c r="CP2699" s="115"/>
      <c r="CQ2699" s="115"/>
      <c r="CR2699" s="115"/>
      <c r="CS2699" s="115"/>
      <c r="CT2699" s="115"/>
      <c r="CU2699" s="115"/>
      <c r="CV2699" s="115"/>
      <c r="CW2699" s="115"/>
      <c r="CX2699" s="115"/>
      <c r="CY2699" s="115"/>
      <c r="CZ2699" s="115"/>
      <c r="DA2699" s="115"/>
      <c r="DB2699" s="115"/>
      <c r="DC2699" s="115"/>
      <c r="DD2699" s="115"/>
      <c r="DE2699" s="115"/>
      <c r="DF2699" s="115"/>
      <c r="DG2699" s="115"/>
    </row>
    <row r="2700" spans="55:111" hidden="1">
      <c r="BC2700" s="115"/>
      <c r="BD2700" s="115"/>
      <c r="BE2700" s="115"/>
      <c r="BF2700" s="115"/>
      <c r="BG2700" s="115"/>
      <c r="BH2700" s="115"/>
      <c r="BI2700" s="115"/>
      <c r="BJ2700" s="115"/>
      <c r="BK2700" s="115"/>
      <c r="BL2700" s="115"/>
      <c r="BM2700" s="115"/>
      <c r="BN2700" s="115"/>
      <c r="BO2700" s="115"/>
      <c r="BP2700" s="115"/>
      <c r="BQ2700" s="115"/>
      <c r="BR2700" s="115"/>
      <c r="BS2700" s="115"/>
      <c r="BT2700" s="115"/>
      <c r="BU2700" s="115"/>
      <c r="BV2700" s="115"/>
      <c r="BW2700" s="115"/>
      <c r="BX2700" s="115"/>
      <c r="BY2700" s="115"/>
      <c r="BZ2700" s="115"/>
      <c r="CA2700" s="115"/>
      <c r="CB2700" s="115"/>
      <c r="CC2700" s="115"/>
      <c r="CD2700" s="115"/>
      <c r="CE2700" s="115"/>
      <c r="CF2700" s="115"/>
      <c r="CG2700" s="115"/>
      <c r="CH2700" s="115"/>
      <c r="CI2700" s="115"/>
      <c r="CJ2700" s="115"/>
      <c r="CK2700" s="115"/>
      <c r="CL2700" s="115"/>
      <c r="CM2700" s="115"/>
      <c r="CN2700" s="115"/>
      <c r="CO2700" s="115"/>
      <c r="CP2700" s="115"/>
      <c r="CQ2700" s="115"/>
      <c r="CR2700" s="115"/>
      <c r="CS2700" s="115"/>
      <c r="CT2700" s="115"/>
      <c r="CU2700" s="115"/>
      <c r="CV2700" s="115"/>
      <c r="CW2700" s="115"/>
      <c r="CX2700" s="115"/>
      <c r="CY2700" s="115"/>
      <c r="CZ2700" s="115"/>
      <c r="DA2700" s="115"/>
      <c r="DB2700" s="115"/>
      <c r="DC2700" s="115"/>
      <c r="DD2700" s="115"/>
      <c r="DE2700" s="115"/>
      <c r="DF2700" s="115"/>
      <c r="DG2700" s="115"/>
    </row>
    <row r="2701" spans="55:111" hidden="1">
      <c r="BC2701" s="115"/>
      <c r="BD2701" s="115"/>
      <c r="BE2701" s="115"/>
      <c r="BF2701" s="115"/>
      <c r="BG2701" s="115"/>
      <c r="BH2701" s="115"/>
      <c r="BI2701" s="115"/>
      <c r="BJ2701" s="115"/>
      <c r="BK2701" s="115"/>
      <c r="BL2701" s="115"/>
      <c r="BM2701" s="115"/>
      <c r="BN2701" s="115"/>
      <c r="BO2701" s="115"/>
      <c r="BP2701" s="115"/>
      <c r="BQ2701" s="115"/>
      <c r="BR2701" s="115"/>
      <c r="BS2701" s="115"/>
      <c r="BT2701" s="115"/>
      <c r="BU2701" s="115"/>
      <c r="BV2701" s="115"/>
      <c r="BW2701" s="115"/>
      <c r="BX2701" s="115"/>
      <c r="BY2701" s="115"/>
      <c r="BZ2701" s="115"/>
      <c r="CA2701" s="115"/>
      <c r="CB2701" s="115"/>
      <c r="CC2701" s="115"/>
      <c r="CD2701" s="115"/>
      <c r="CE2701" s="115"/>
      <c r="CF2701" s="115"/>
      <c r="CG2701" s="115"/>
      <c r="CH2701" s="115"/>
      <c r="CI2701" s="115"/>
      <c r="CJ2701" s="115"/>
      <c r="CK2701" s="115"/>
      <c r="CL2701" s="115"/>
      <c r="CM2701" s="115"/>
      <c r="CN2701" s="115"/>
      <c r="CO2701" s="115"/>
      <c r="CP2701" s="115"/>
      <c r="CQ2701" s="115"/>
      <c r="CR2701" s="115"/>
      <c r="CS2701" s="115"/>
      <c r="CT2701" s="115"/>
      <c r="CU2701" s="115"/>
      <c r="CV2701" s="115"/>
      <c r="CW2701" s="115"/>
      <c r="CX2701" s="115"/>
      <c r="CY2701" s="115"/>
      <c r="CZ2701" s="115"/>
      <c r="DA2701" s="115"/>
      <c r="DB2701" s="115"/>
      <c r="DC2701" s="115"/>
      <c r="DD2701" s="115"/>
      <c r="DE2701" s="115"/>
      <c r="DF2701" s="115"/>
      <c r="DG2701" s="115"/>
    </row>
    <row r="2702" spans="55:111" hidden="1">
      <c r="BC2702" s="115"/>
      <c r="BD2702" s="115"/>
      <c r="BE2702" s="115"/>
      <c r="BF2702" s="115"/>
      <c r="BG2702" s="115"/>
      <c r="BH2702" s="115"/>
      <c r="BI2702" s="115"/>
      <c r="BJ2702" s="115"/>
      <c r="BK2702" s="115"/>
      <c r="BL2702" s="115"/>
      <c r="BM2702" s="115"/>
      <c r="BN2702" s="115"/>
      <c r="BO2702" s="115"/>
      <c r="BP2702" s="115"/>
      <c r="BQ2702" s="115"/>
      <c r="BR2702" s="115"/>
      <c r="BS2702" s="115"/>
      <c r="BT2702" s="115"/>
      <c r="BU2702" s="115"/>
      <c r="BV2702" s="115"/>
      <c r="BW2702" s="115"/>
      <c r="BX2702" s="115"/>
      <c r="BY2702" s="115"/>
      <c r="BZ2702" s="115"/>
      <c r="CA2702" s="115"/>
      <c r="CB2702" s="115"/>
      <c r="CC2702" s="115"/>
      <c r="CD2702" s="115"/>
      <c r="CE2702" s="115"/>
      <c r="CF2702" s="115"/>
      <c r="CG2702" s="115"/>
      <c r="CH2702" s="115"/>
      <c r="CI2702" s="115"/>
      <c r="CJ2702" s="115"/>
      <c r="CK2702" s="115"/>
      <c r="CL2702" s="115"/>
      <c r="CM2702" s="115"/>
      <c r="CN2702" s="115"/>
      <c r="CO2702" s="115"/>
      <c r="CP2702" s="115"/>
      <c r="CQ2702" s="115"/>
      <c r="CR2702" s="115"/>
      <c r="CS2702" s="115"/>
      <c r="CT2702" s="115"/>
      <c r="CU2702" s="115"/>
      <c r="CV2702" s="115"/>
      <c r="CW2702" s="115"/>
      <c r="CX2702" s="115"/>
      <c r="CY2702" s="115"/>
      <c r="CZ2702" s="115"/>
      <c r="DA2702" s="115"/>
      <c r="DB2702" s="115"/>
      <c r="DC2702" s="115"/>
      <c r="DD2702" s="115"/>
      <c r="DE2702" s="115"/>
      <c r="DF2702" s="115"/>
      <c r="DG2702" s="115"/>
    </row>
    <row r="2703" spans="55:111" hidden="1">
      <c r="BC2703" s="115"/>
      <c r="BD2703" s="115"/>
      <c r="BE2703" s="115"/>
      <c r="BF2703" s="115"/>
      <c r="BG2703" s="115"/>
      <c r="BH2703" s="115"/>
      <c r="BI2703" s="115"/>
      <c r="BJ2703" s="115"/>
      <c r="BK2703" s="115"/>
      <c r="BL2703" s="115"/>
      <c r="BM2703" s="115"/>
      <c r="BN2703" s="115"/>
      <c r="BO2703" s="115"/>
      <c r="BP2703" s="115"/>
      <c r="BQ2703" s="115"/>
      <c r="BR2703" s="115"/>
      <c r="BS2703" s="115"/>
      <c r="BT2703" s="115"/>
      <c r="BU2703" s="115"/>
      <c r="BV2703" s="115"/>
      <c r="BW2703" s="115"/>
      <c r="BX2703" s="115"/>
      <c r="BY2703" s="115"/>
      <c r="BZ2703" s="115"/>
      <c r="CA2703" s="115"/>
      <c r="CB2703" s="115"/>
      <c r="CC2703" s="115"/>
      <c r="CD2703" s="115"/>
      <c r="CE2703" s="115"/>
      <c r="CF2703" s="115"/>
      <c r="CG2703" s="115"/>
      <c r="CH2703" s="115"/>
      <c r="CI2703" s="115"/>
      <c r="CJ2703" s="115"/>
      <c r="CK2703" s="115"/>
      <c r="CL2703" s="115"/>
      <c r="CM2703" s="115"/>
      <c r="CN2703" s="115"/>
      <c r="CO2703" s="115"/>
      <c r="CP2703" s="115"/>
      <c r="CQ2703" s="115"/>
      <c r="CR2703" s="115"/>
      <c r="CS2703" s="115"/>
      <c r="CT2703" s="115"/>
      <c r="CU2703" s="115"/>
      <c r="CV2703" s="115"/>
      <c r="CW2703" s="115"/>
      <c r="CX2703" s="115"/>
      <c r="CY2703" s="115"/>
      <c r="CZ2703" s="115"/>
      <c r="DA2703" s="115"/>
      <c r="DB2703" s="115"/>
      <c r="DC2703" s="115"/>
      <c r="DD2703" s="115"/>
      <c r="DE2703" s="115"/>
      <c r="DF2703" s="115"/>
      <c r="DG2703" s="115"/>
    </row>
    <row r="2704" spans="55:111" hidden="1">
      <c r="BC2704" s="115"/>
      <c r="BD2704" s="115"/>
      <c r="BE2704" s="115"/>
      <c r="BF2704" s="115"/>
      <c r="BG2704" s="115"/>
      <c r="BH2704" s="115"/>
      <c r="BI2704" s="115"/>
      <c r="BJ2704" s="115"/>
      <c r="BK2704" s="115"/>
      <c r="BL2704" s="115"/>
      <c r="BM2704" s="115"/>
      <c r="BN2704" s="115"/>
      <c r="BO2704" s="115"/>
      <c r="BP2704" s="115"/>
      <c r="BQ2704" s="115"/>
      <c r="BR2704" s="115"/>
      <c r="BS2704" s="115"/>
      <c r="BT2704" s="115"/>
      <c r="BU2704" s="115"/>
      <c r="BV2704" s="115"/>
      <c r="BW2704" s="115"/>
      <c r="BX2704" s="115"/>
      <c r="BY2704" s="115"/>
      <c r="BZ2704" s="115"/>
      <c r="CA2704" s="115"/>
      <c r="CB2704" s="115"/>
      <c r="CC2704" s="115"/>
      <c r="CD2704" s="115"/>
      <c r="CE2704" s="115"/>
      <c r="CF2704" s="115"/>
      <c r="CG2704" s="115"/>
      <c r="CH2704" s="115"/>
      <c r="CI2704" s="115"/>
      <c r="CJ2704" s="115"/>
      <c r="CK2704" s="115"/>
      <c r="CL2704" s="115"/>
      <c r="CM2704" s="115"/>
      <c r="CN2704" s="115"/>
      <c r="CO2704" s="115"/>
      <c r="CP2704" s="115"/>
      <c r="CQ2704" s="115"/>
      <c r="CR2704" s="115"/>
      <c r="CS2704" s="115"/>
      <c r="CT2704" s="115"/>
      <c r="CU2704" s="115"/>
      <c r="CV2704" s="115"/>
      <c r="CW2704" s="115"/>
      <c r="CX2704" s="115"/>
      <c r="CY2704" s="115"/>
      <c r="CZ2704" s="115"/>
      <c r="DA2704" s="115"/>
      <c r="DB2704" s="115"/>
      <c r="DC2704" s="115"/>
      <c r="DD2704" s="115"/>
      <c r="DE2704" s="115"/>
      <c r="DF2704" s="115"/>
      <c r="DG2704" s="115"/>
    </row>
    <row r="2705" spans="55:111" hidden="1">
      <c r="BC2705" s="115"/>
      <c r="BD2705" s="115"/>
      <c r="BE2705" s="115"/>
      <c r="BF2705" s="115"/>
      <c r="BG2705" s="115"/>
      <c r="BH2705" s="115"/>
      <c r="BI2705" s="115"/>
      <c r="BJ2705" s="115"/>
      <c r="BK2705" s="115"/>
      <c r="BL2705" s="115"/>
      <c r="BM2705" s="115"/>
      <c r="BN2705" s="115"/>
      <c r="BO2705" s="115"/>
      <c r="BP2705" s="115"/>
      <c r="BQ2705" s="115"/>
      <c r="BR2705" s="115"/>
      <c r="BS2705" s="115"/>
      <c r="BT2705" s="115"/>
      <c r="BU2705" s="115"/>
      <c r="BV2705" s="115"/>
      <c r="BW2705" s="115"/>
      <c r="BX2705" s="115"/>
      <c r="BY2705" s="115"/>
      <c r="BZ2705" s="115"/>
      <c r="CA2705" s="115"/>
      <c r="CB2705" s="115"/>
      <c r="CC2705" s="115"/>
      <c r="CD2705" s="115"/>
      <c r="CE2705" s="115"/>
      <c r="CF2705" s="115"/>
      <c r="CG2705" s="115"/>
      <c r="CH2705" s="115"/>
      <c r="CI2705" s="115"/>
      <c r="CJ2705" s="115"/>
      <c r="CK2705" s="115"/>
      <c r="CL2705" s="115"/>
      <c r="CM2705" s="115"/>
      <c r="CN2705" s="115"/>
      <c r="CO2705" s="115"/>
      <c r="CP2705" s="115"/>
      <c r="CQ2705" s="115"/>
      <c r="CR2705" s="115"/>
      <c r="CS2705" s="115"/>
      <c r="CT2705" s="115"/>
      <c r="CU2705" s="115"/>
      <c r="CV2705" s="115"/>
      <c r="CW2705" s="115"/>
      <c r="CX2705" s="115"/>
      <c r="CY2705" s="115"/>
      <c r="CZ2705" s="115"/>
      <c r="DA2705" s="115"/>
      <c r="DB2705" s="115"/>
      <c r="DC2705" s="115"/>
      <c r="DD2705" s="115"/>
      <c r="DE2705" s="115"/>
      <c r="DF2705" s="115"/>
      <c r="DG2705" s="115"/>
    </row>
    <row r="2706" spans="55:111" hidden="1">
      <c r="BC2706" s="115"/>
      <c r="BD2706" s="115"/>
      <c r="BE2706" s="115"/>
      <c r="BF2706" s="115"/>
      <c r="BG2706" s="115"/>
      <c r="BH2706" s="115"/>
      <c r="BI2706" s="115"/>
      <c r="BJ2706" s="115"/>
      <c r="BK2706" s="115"/>
      <c r="BL2706" s="115"/>
      <c r="BM2706" s="115"/>
      <c r="BN2706" s="115"/>
      <c r="BO2706" s="115"/>
      <c r="BP2706" s="115"/>
      <c r="BQ2706" s="115"/>
      <c r="BR2706" s="115"/>
      <c r="BS2706" s="115"/>
      <c r="BT2706" s="115"/>
      <c r="BU2706" s="115"/>
      <c r="BV2706" s="115"/>
      <c r="BW2706" s="115"/>
      <c r="BX2706" s="115"/>
      <c r="BY2706" s="115"/>
      <c r="BZ2706" s="115"/>
      <c r="CA2706" s="115"/>
      <c r="CB2706" s="115"/>
      <c r="CC2706" s="115"/>
      <c r="CD2706" s="115"/>
      <c r="CE2706" s="115"/>
      <c r="CF2706" s="115"/>
      <c r="CG2706" s="115"/>
      <c r="CH2706" s="115"/>
      <c r="CI2706" s="115"/>
      <c r="CJ2706" s="115"/>
      <c r="CK2706" s="115"/>
      <c r="CL2706" s="115"/>
      <c r="CM2706" s="115"/>
      <c r="CN2706" s="115"/>
      <c r="CO2706" s="115"/>
      <c r="CP2706" s="115"/>
      <c r="CQ2706" s="115"/>
      <c r="CR2706" s="115"/>
      <c r="CS2706" s="115"/>
      <c r="CT2706" s="115"/>
      <c r="CU2706" s="115"/>
      <c r="CV2706" s="115"/>
      <c r="CW2706" s="115"/>
      <c r="CX2706" s="115"/>
      <c r="CY2706" s="115"/>
      <c r="CZ2706" s="115"/>
      <c r="DA2706" s="115"/>
      <c r="DB2706" s="115"/>
      <c r="DC2706" s="115"/>
      <c r="DD2706" s="115"/>
      <c r="DE2706" s="115"/>
      <c r="DF2706" s="115"/>
      <c r="DG2706" s="115"/>
    </row>
    <row r="2707" spans="55:111" hidden="1">
      <c r="BC2707" s="115"/>
      <c r="BD2707" s="115"/>
      <c r="BE2707" s="115"/>
      <c r="BF2707" s="115"/>
      <c r="BG2707" s="115"/>
      <c r="BH2707" s="115"/>
      <c r="BI2707" s="115"/>
      <c r="BJ2707" s="115"/>
      <c r="BK2707" s="115"/>
      <c r="BL2707" s="115"/>
      <c r="BM2707" s="115"/>
      <c r="BN2707" s="115"/>
      <c r="BO2707" s="115"/>
      <c r="BP2707" s="115"/>
      <c r="BQ2707" s="115"/>
      <c r="BR2707" s="115"/>
      <c r="BS2707" s="115"/>
      <c r="BT2707" s="115"/>
      <c r="BU2707" s="115"/>
      <c r="BV2707" s="115"/>
      <c r="BW2707" s="115"/>
      <c r="BX2707" s="115"/>
      <c r="BY2707" s="115"/>
      <c r="BZ2707" s="115"/>
      <c r="CA2707" s="115"/>
      <c r="CB2707" s="115"/>
      <c r="CC2707" s="115"/>
      <c r="CD2707" s="115"/>
      <c r="CE2707" s="115"/>
      <c r="CF2707" s="115"/>
      <c r="CG2707" s="115"/>
      <c r="CH2707" s="115"/>
      <c r="CI2707" s="115"/>
      <c r="CJ2707" s="115"/>
      <c r="CK2707" s="115"/>
      <c r="CL2707" s="115"/>
      <c r="CM2707" s="115"/>
      <c r="CN2707" s="115"/>
      <c r="CO2707" s="115"/>
      <c r="CP2707" s="115"/>
      <c r="CQ2707" s="115"/>
      <c r="CR2707" s="115"/>
      <c r="CS2707" s="115"/>
      <c r="CT2707" s="115"/>
      <c r="CU2707" s="115"/>
      <c r="CV2707" s="115"/>
      <c r="CW2707" s="115"/>
      <c r="CX2707" s="115"/>
      <c r="CY2707" s="115"/>
      <c r="CZ2707" s="115"/>
      <c r="DA2707" s="115"/>
      <c r="DB2707" s="115"/>
      <c r="DC2707" s="115"/>
      <c r="DD2707" s="115"/>
      <c r="DE2707" s="115"/>
      <c r="DF2707" s="115"/>
      <c r="DG2707" s="115"/>
    </row>
    <row r="2708" spans="55:111" hidden="1">
      <c r="BC2708" s="115"/>
      <c r="BD2708" s="115"/>
      <c r="BE2708" s="115"/>
      <c r="BF2708" s="115"/>
      <c r="BG2708" s="115"/>
      <c r="BH2708" s="115"/>
      <c r="BI2708" s="115"/>
      <c r="BJ2708" s="115"/>
      <c r="BK2708" s="115"/>
      <c r="BL2708" s="115"/>
      <c r="BM2708" s="115"/>
      <c r="BN2708" s="115"/>
      <c r="BO2708" s="115"/>
      <c r="BP2708" s="115"/>
      <c r="BQ2708" s="115"/>
      <c r="BR2708" s="115"/>
      <c r="BS2708" s="115"/>
      <c r="BT2708" s="115"/>
      <c r="BU2708" s="115"/>
      <c r="BV2708" s="115"/>
      <c r="BW2708" s="115"/>
      <c r="BX2708" s="115"/>
      <c r="BY2708" s="115"/>
      <c r="BZ2708" s="115"/>
      <c r="CA2708" s="115"/>
      <c r="CB2708" s="115"/>
      <c r="CC2708" s="115"/>
      <c r="CD2708" s="115"/>
      <c r="CE2708" s="115"/>
      <c r="CF2708" s="115"/>
      <c r="CG2708" s="115"/>
      <c r="CH2708" s="115"/>
      <c r="CI2708" s="115"/>
      <c r="CJ2708" s="115"/>
      <c r="CK2708" s="115"/>
      <c r="CL2708" s="115"/>
      <c r="CM2708" s="115"/>
      <c r="CN2708" s="115"/>
      <c r="CO2708" s="115"/>
      <c r="CP2708" s="115"/>
      <c r="CQ2708" s="115"/>
      <c r="CR2708" s="115"/>
      <c r="CS2708" s="115"/>
      <c r="CT2708" s="115"/>
      <c r="CU2708" s="115"/>
      <c r="CV2708" s="115"/>
      <c r="CW2708" s="115"/>
      <c r="CX2708" s="115"/>
      <c r="CY2708" s="115"/>
      <c r="CZ2708" s="115"/>
      <c r="DA2708" s="115"/>
      <c r="DB2708" s="115"/>
      <c r="DC2708" s="115"/>
      <c r="DD2708" s="115"/>
      <c r="DE2708" s="115"/>
      <c r="DF2708" s="115"/>
      <c r="DG2708" s="115"/>
    </row>
    <row r="2709" spans="55:111" hidden="1">
      <c r="BC2709" s="115"/>
      <c r="BD2709" s="115"/>
      <c r="BE2709" s="115"/>
      <c r="BF2709" s="115"/>
      <c r="BG2709" s="115"/>
      <c r="BH2709" s="115"/>
      <c r="BI2709" s="115"/>
      <c r="BJ2709" s="115"/>
      <c r="BK2709" s="115"/>
      <c r="BL2709" s="115"/>
      <c r="BM2709" s="115"/>
      <c r="BN2709" s="115"/>
      <c r="BO2709" s="115"/>
      <c r="BP2709" s="115"/>
      <c r="BQ2709" s="115"/>
      <c r="BR2709" s="115"/>
      <c r="BS2709" s="115"/>
      <c r="BT2709" s="115"/>
      <c r="BU2709" s="115"/>
      <c r="BV2709" s="115"/>
      <c r="BW2709" s="115"/>
      <c r="BX2709" s="115"/>
      <c r="BY2709" s="115"/>
      <c r="BZ2709" s="115"/>
      <c r="CA2709" s="115"/>
      <c r="CB2709" s="115"/>
      <c r="CC2709" s="115"/>
      <c r="CD2709" s="115"/>
      <c r="CE2709" s="115"/>
      <c r="CF2709" s="115"/>
      <c r="CG2709" s="115"/>
      <c r="CH2709" s="115"/>
      <c r="CI2709" s="115"/>
      <c r="CJ2709" s="115"/>
      <c r="CK2709" s="115"/>
      <c r="CL2709" s="115"/>
      <c r="CM2709" s="115"/>
      <c r="CN2709" s="115"/>
      <c r="CO2709" s="115"/>
      <c r="CP2709" s="115"/>
      <c r="CQ2709" s="115"/>
      <c r="CR2709" s="115"/>
      <c r="CS2709" s="115"/>
      <c r="CT2709" s="115"/>
      <c r="CU2709" s="115"/>
      <c r="CV2709" s="115"/>
      <c r="CW2709" s="115"/>
      <c r="CX2709" s="115"/>
      <c r="CY2709" s="115"/>
      <c r="CZ2709" s="115"/>
      <c r="DA2709" s="115"/>
      <c r="DB2709" s="115"/>
      <c r="DC2709" s="115"/>
      <c r="DD2709" s="115"/>
      <c r="DE2709" s="115"/>
      <c r="DF2709" s="115"/>
      <c r="DG2709" s="115"/>
    </row>
    <row r="2710" spans="55:111" hidden="1">
      <c r="BC2710" s="115"/>
      <c r="BD2710" s="115"/>
      <c r="BE2710" s="115"/>
      <c r="BF2710" s="115"/>
      <c r="BG2710" s="115"/>
      <c r="BH2710" s="115"/>
      <c r="BI2710" s="115"/>
      <c r="BJ2710" s="115"/>
      <c r="BK2710" s="115"/>
      <c r="BL2710" s="115"/>
      <c r="BM2710" s="115"/>
      <c r="BN2710" s="115"/>
      <c r="BO2710" s="115"/>
      <c r="BP2710" s="115"/>
      <c r="BQ2710" s="115"/>
      <c r="BR2710" s="115"/>
      <c r="BS2710" s="115"/>
      <c r="BT2710" s="115"/>
      <c r="BU2710" s="115"/>
      <c r="BV2710" s="115"/>
      <c r="BW2710" s="115"/>
      <c r="BX2710" s="115"/>
      <c r="BY2710" s="115"/>
      <c r="BZ2710" s="115"/>
      <c r="CA2710" s="115"/>
      <c r="CB2710" s="115"/>
      <c r="CC2710" s="115"/>
      <c r="CD2710" s="115"/>
      <c r="CE2710" s="115"/>
      <c r="CF2710" s="115"/>
      <c r="CG2710" s="115"/>
      <c r="CH2710" s="115"/>
      <c r="CI2710" s="115"/>
      <c r="CJ2710" s="115"/>
      <c r="CK2710" s="115"/>
      <c r="CL2710" s="115"/>
      <c r="CM2710" s="115"/>
      <c r="CN2710" s="115"/>
      <c r="CO2710" s="115"/>
      <c r="CP2710" s="115"/>
      <c r="CQ2710" s="115"/>
      <c r="CR2710" s="115"/>
      <c r="CS2710" s="115"/>
      <c r="CT2710" s="115"/>
      <c r="CU2710" s="115"/>
      <c r="CV2710" s="115"/>
      <c r="CW2710" s="115"/>
      <c r="CX2710" s="115"/>
      <c r="CY2710" s="115"/>
      <c r="CZ2710" s="115"/>
      <c r="DA2710" s="115"/>
      <c r="DB2710" s="115"/>
      <c r="DC2710" s="115"/>
      <c r="DD2710" s="115"/>
      <c r="DE2710" s="115"/>
      <c r="DF2710" s="115"/>
      <c r="DG2710" s="115"/>
    </row>
    <row r="2711" spans="55:111" hidden="1">
      <c r="BC2711" s="115"/>
      <c r="BD2711" s="115"/>
      <c r="BE2711" s="115"/>
      <c r="BF2711" s="115"/>
      <c r="BG2711" s="115"/>
      <c r="BH2711" s="115"/>
      <c r="BI2711" s="115"/>
      <c r="BJ2711" s="115"/>
      <c r="BK2711" s="115"/>
      <c r="BL2711" s="115"/>
      <c r="BM2711" s="115"/>
      <c r="BN2711" s="115"/>
      <c r="BO2711" s="115"/>
      <c r="BP2711" s="115"/>
      <c r="BQ2711" s="115"/>
      <c r="BR2711" s="115"/>
      <c r="BS2711" s="115"/>
      <c r="BT2711" s="115"/>
      <c r="BU2711" s="115"/>
      <c r="BV2711" s="115"/>
      <c r="BW2711" s="115"/>
      <c r="BX2711" s="115"/>
      <c r="BY2711" s="115"/>
      <c r="BZ2711" s="115"/>
      <c r="CA2711" s="115"/>
      <c r="CB2711" s="115"/>
      <c r="CC2711" s="115"/>
      <c r="CD2711" s="115"/>
      <c r="CE2711" s="115"/>
      <c r="CF2711" s="115"/>
      <c r="CG2711" s="115"/>
      <c r="CH2711" s="115"/>
      <c r="CI2711" s="115"/>
      <c r="CJ2711" s="115"/>
      <c r="CK2711" s="115"/>
      <c r="CL2711" s="115"/>
      <c r="CM2711" s="115"/>
      <c r="CN2711" s="115"/>
      <c r="CO2711" s="115"/>
      <c r="CP2711" s="115"/>
      <c r="CQ2711" s="115"/>
      <c r="CR2711" s="115"/>
      <c r="CS2711" s="115"/>
      <c r="CT2711" s="115"/>
      <c r="CU2711" s="115"/>
      <c r="CV2711" s="115"/>
      <c r="CW2711" s="115"/>
      <c r="CX2711" s="115"/>
      <c r="CY2711" s="115"/>
      <c r="CZ2711" s="115"/>
      <c r="DA2711" s="115"/>
      <c r="DB2711" s="115"/>
      <c r="DC2711" s="115"/>
      <c r="DD2711" s="115"/>
      <c r="DE2711" s="115"/>
      <c r="DF2711" s="115"/>
      <c r="DG2711" s="115"/>
    </row>
    <row r="2712" spans="55:111" hidden="1">
      <c r="BC2712" s="115"/>
      <c r="BD2712" s="115"/>
      <c r="BE2712" s="115"/>
      <c r="BF2712" s="115"/>
      <c r="BG2712" s="115"/>
      <c r="BH2712" s="115"/>
      <c r="BI2712" s="115"/>
      <c r="BJ2712" s="115"/>
      <c r="BK2712" s="115"/>
      <c r="BL2712" s="115"/>
      <c r="BM2712" s="115"/>
      <c r="BN2712" s="115"/>
      <c r="BO2712" s="115"/>
      <c r="BP2712" s="115"/>
      <c r="BQ2712" s="115"/>
      <c r="BR2712" s="115"/>
      <c r="BS2712" s="115"/>
      <c r="BT2712" s="115"/>
      <c r="BU2712" s="115"/>
      <c r="BV2712" s="115"/>
      <c r="BW2712" s="115"/>
      <c r="BX2712" s="115"/>
      <c r="BY2712" s="115"/>
      <c r="BZ2712" s="115"/>
      <c r="CA2712" s="115"/>
      <c r="CB2712" s="115"/>
      <c r="CC2712" s="115"/>
      <c r="CD2712" s="115"/>
      <c r="CE2712" s="115"/>
      <c r="CF2712" s="115"/>
      <c r="CG2712" s="115"/>
      <c r="CH2712" s="115"/>
      <c r="CI2712" s="115"/>
      <c r="CJ2712" s="115"/>
      <c r="CK2712" s="115"/>
      <c r="CL2712" s="115"/>
      <c r="CM2712" s="115"/>
      <c r="CN2712" s="115"/>
      <c r="CO2712" s="115"/>
      <c r="CP2712" s="115"/>
      <c r="CQ2712" s="115"/>
      <c r="CR2712" s="115"/>
      <c r="CS2712" s="115"/>
      <c r="CT2712" s="115"/>
      <c r="CU2712" s="115"/>
      <c r="CV2712" s="115"/>
      <c r="CW2712" s="115"/>
      <c r="CX2712" s="115"/>
      <c r="CY2712" s="115"/>
      <c r="CZ2712" s="115"/>
      <c r="DA2712" s="115"/>
      <c r="DB2712" s="115"/>
      <c r="DC2712" s="115"/>
      <c r="DD2712" s="115"/>
      <c r="DE2712" s="115"/>
      <c r="DF2712" s="115"/>
      <c r="DG2712" s="115"/>
    </row>
    <row r="2713" spans="55:111" hidden="1">
      <c r="BC2713" s="115"/>
      <c r="BD2713" s="115"/>
      <c r="BE2713" s="115"/>
      <c r="BF2713" s="115"/>
      <c r="BG2713" s="115"/>
      <c r="BH2713" s="115"/>
      <c r="BI2713" s="115"/>
      <c r="BJ2713" s="115"/>
      <c r="BK2713" s="115"/>
      <c r="BL2713" s="115"/>
      <c r="BM2713" s="115"/>
      <c r="BN2713" s="115"/>
      <c r="BO2713" s="115"/>
      <c r="BP2713" s="115"/>
      <c r="BQ2713" s="115"/>
      <c r="BR2713" s="115"/>
      <c r="BS2713" s="115"/>
      <c r="BT2713" s="115"/>
      <c r="BU2713" s="115"/>
      <c r="BV2713" s="115"/>
      <c r="BW2713" s="115"/>
      <c r="BX2713" s="115"/>
      <c r="BY2713" s="115"/>
      <c r="BZ2713" s="115"/>
      <c r="CA2713" s="115"/>
      <c r="CB2713" s="115"/>
      <c r="CC2713" s="115"/>
      <c r="CD2713" s="115"/>
      <c r="CE2713" s="115"/>
      <c r="CF2713" s="115"/>
      <c r="CG2713" s="115"/>
      <c r="CH2713" s="115"/>
      <c r="CI2713" s="115"/>
      <c r="CJ2713" s="115"/>
      <c r="CK2713" s="115"/>
      <c r="CL2713" s="115"/>
      <c r="CM2713" s="115"/>
      <c r="CN2713" s="115"/>
      <c r="CO2713" s="115"/>
      <c r="CP2713" s="115"/>
      <c r="CQ2713" s="115"/>
      <c r="CR2713" s="115"/>
      <c r="CS2713" s="115"/>
      <c r="CT2713" s="115"/>
      <c r="CU2713" s="115"/>
      <c r="CV2713" s="115"/>
      <c r="CW2713" s="115"/>
      <c r="CX2713" s="115"/>
      <c r="CY2713" s="115"/>
      <c r="CZ2713" s="115"/>
      <c r="DA2713" s="115"/>
      <c r="DB2713" s="115"/>
      <c r="DC2713" s="115"/>
      <c r="DD2713" s="115"/>
      <c r="DE2713" s="115"/>
      <c r="DF2713" s="115"/>
      <c r="DG2713" s="115"/>
    </row>
    <row r="2714" spans="55:111" hidden="1">
      <c r="BC2714" s="115"/>
      <c r="BD2714" s="115"/>
      <c r="BE2714" s="115"/>
      <c r="BF2714" s="115"/>
      <c r="BG2714" s="115"/>
      <c r="BH2714" s="115"/>
      <c r="BI2714" s="115"/>
      <c r="BJ2714" s="115"/>
      <c r="BK2714" s="115"/>
      <c r="BL2714" s="115"/>
      <c r="BM2714" s="115"/>
      <c r="BN2714" s="115"/>
      <c r="BO2714" s="115"/>
      <c r="BP2714" s="115"/>
      <c r="BQ2714" s="115"/>
      <c r="BR2714" s="115"/>
      <c r="BS2714" s="115"/>
      <c r="BT2714" s="115"/>
      <c r="BU2714" s="115"/>
      <c r="BV2714" s="115"/>
      <c r="BW2714" s="115"/>
      <c r="BX2714" s="115"/>
      <c r="BY2714" s="115"/>
      <c r="BZ2714" s="115"/>
      <c r="CA2714" s="115"/>
      <c r="CB2714" s="115"/>
      <c r="CC2714" s="115"/>
      <c r="CD2714" s="115"/>
      <c r="CE2714" s="115"/>
      <c r="CF2714" s="115"/>
      <c r="CG2714" s="115"/>
      <c r="CH2714" s="115"/>
      <c r="CI2714" s="115"/>
      <c r="CJ2714" s="115"/>
      <c r="CK2714" s="115"/>
      <c r="CL2714" s="115"/>
      <c r="CM2714" s="115"/>
      <c r="CN2714" s="115"/>
      <c r="CO2714" s="115"/>
      <c r="CP2714" s="115"/>
      <c r="CQ2714" s="115"/>
      <c r="CR2714" s="115"/>
      <c r="CS2714" s="115"/>
      <c r="CT2714" s="115"/>
      <c r="CU2714" s="115"/>
      <c r="CV2714" s="115"/>
      <c r="CW2714" s="115"/>
      <c r="CX2714" s="115"/>
      <c r="CY2714" s="115"/>
      <c r="CZ2714" s="115"/>
      <c r="DA2714" s="115"/>
      <c r="DB2714" s="115"/>
      <c r="DC2714" s="115"/>
      <c r="DD2714" s="115"/>
      <c r="DE2714" s="115"/>
      <c r="DF2714" s="115"/>
      <c r="DG2714" s="115"/>
    </row>
    <row r="2715" spans="55:111" hidden="1">
      <c r="BC2715" s="115"/>
      <c r="BD2715" s="115"/>
      <c r="BE2715" s="115"/>
      <c r="BF2715" s="115"/>
      <c r="BG2715" s="115"/>
      <c r="BH2715" s="115"/>
      <c r="BI2715" s="115"/>
      <c r="BJ2715" s="115"/>
      <c r="BK2715" s="115"/>
      <c r="BL2715" s="115"/>
      <c r="BM2715" s="115"/>
      <c r="BN2715" s="115"/>
      <c r="BO2715" s="115"/>
      <c r="BP2715" s="115"/>
      <c r="BQ2715" s="115"/>
      <c r="BR2715" s="115"/>
      <c r="BS2715" s="115"/>
      <c r="BT2715" s="115"/>
      <c r="BU2715" s="115"/>
      <c r="BV2715" s="115"/>
      <c r="BW2715" s="115"/>
      <c r="BX2715" s="115"/>
      <c r="BY2715" s="115"/>
      <c r="BZ2715" s="115"/>
      <c r="CA2715" s="115"/>
      <c r="CB2715" s="115"/>
      <c r="CC2715" s="115"/>
      <c r="CD2715" s="115"/>
      <c r="CE2715" s="115"/>
      <c r="CF2715" s="115"/>
      <c r="CG2715" s="115"/>
      <c r="CH2715" s="115"/>
      <c r="CI2715" s="115"/>
      <c r="CJ2715" s="115"/>
      <c r="CK2715" s="115"/>
      <c r="CL2715" s="115"/>
      <c r="CM2715" s="115"/>
      <c r="CN2715" s="115"/>
      <c r="CO2715" s="115"/>
      <c r="CP2715" s="115"/>
      <c r="CQ2715" s="115"/>
      <c r="CR2715" s="115"/>
      <c r="CS2715" s="115"/>
      <c r="CT2715" s="115"/>
      <c r="CU2715" s="115"/>
      <c r="CV2715" s="115"/>
      <c r="CW2715" s="115"/>
      <c r="CX2715" s="115"/>
      <c r="CY2715" s="115"/>
      <c r="CZ2715" s="115"/>
      <c r="DA2715" s="115"/>
      <c r="DB2715" s="115"/>
      <c r="DC2715" s="115"/>
      <c r="DD2715" s="115"/>
      <c r="DE2715" s="115"/>
      <c r="DF2715" s="115"/>
      <c r="DG2715" s="115"/>
    </row>
    <row r="2716" spans="55:111" hidden="1">
      <c r="BC2716" s="115"/>
      <c r="BD2716" s="115"/>
      <c r="BE2716" s="115"/>
      <c r="BF2716" s="115"/>
      <c r="BG2716" s="115"/>
      <c r="BH2716" s="115"/>
      <c r="BI2716" s="115"/>
      <c r="BJ2716" s="115"/>
      <c r="BK2716" s="115"/>
      <c r="BL2716" s="115"/>
      <c r="BM2716" s="115"/>
      <c r="BN2716" s="115"/>
      <c r="BO2716" s="115"/>
      <c r="BP2716" s="115"/>
      <c r="BQ2716" s="115"/>
      <c r="BR2716" s="115"/>
      <c r="BS2716" s="115"/>
      <c r="BT2716" s="115"/>
      <c r="BU2716" s="115"/>
      <c r="BV2716" s="115"/>
      <c r="BW2716" s="115"/>
      <c r="BX2716" s="115"/>
      <c r="BY2716" s="115"/>
      <c r="BZ2716" s="115"/>
      <c r="CA2716" s="115"/>
      <c r="CB2716" s="115"/>
      <c r="CC2716" s="115"/>
      <c r="CD2716" s="115"/>
      <c r="CE2716" s="115"/>
      <c r="CF2716" s="115"/>
      <c r="CG2716" s="115"/>
      <c r="CH2716" s="115"/>
      <c r="CI2716" s="115"/>
      <c r="CJ2716" s="115"/>
      <c r="CK2716" s="115"/>
      <c r="CL2716" s="115"/>
      <c r="CM2716" s="115"/>
      <c r="CN2716" s="115"/>
      <c r="CO2716" s="115"/>
      <c r="CP2716" s="115"/>
      <c r="CQ2716" s="115"/>
      <c r="CR2716" s="115"/>
      <c r="CS2716" s="115"/>
      <c r="CT2716" s="115"/>
      <c r="CU2716" s="115"/>
      <c r="CV2716" s="115"/>
      <c r="CW2716" s="115"/>
      <c r="CX2716" s="115"/>
      <c r="CY2716" s="115"/>
      <c r="CZ2716" s="115"/>
      <c r="DA2716" s="115"/>
      <c r="DB2716" s="115"/>
      <c r="DC2716" s="115"/>
      <c r="DD2716" s="115"/>
      <c r="DE2716" s="115"/>
      <c r="DF2716" s="115"/>
      <c r="DG2716" s="115"/>
    </row>
    <row r="2717" spans="55:111" hidden="1">
      <c r="BC2717" s="115"/>
      <c r="BD2717" s="115"/>
      <c r="BE2717" s="115"/>
      <c r="BF2717" s="115"/>
      <c r="BG2717" s="115"/>
      <c r="BH2717" s="115"/>
      <c r="BI2717" s="115"/>
      <c r="BJ2717" s="115"/>
      <c r="BK2717" s="115"/>
      <c r="BL2717" s="115"/>
      <c r="BM2717" s="115"/>
      <c r="BN2717" s="115"/>
      <c r="BO2717" s="115"/>
      <c r="BP2717" s="115"/>
      <c r="BQ2717" s="115"/>
      <c r="BR2717" s="115"/>
      <c r="BS2717" s="115"/>
      <c r="BT2717" s="115"/>
      <c r="BU2717" s="115"/>
      <c r="BV2717" s="115"/>
      <c r="BW2717" s="115"/>
      <c r="BX2717" s="115"/>
      <c r="BY2717" s="115"/>
      <c r="BZ2717" s="115"/>
      <c r="CA2717" s="115"/>
      <c r="CB2717" s="115"/>
      <c r="CC2717" s="115"/>
      <c r="CD2717" s="115"/>
      <c r="CE2717" s="115"/>
      <c r="CF2717" s="115"/>
      <c r="CG2717" s="115"/>
      <c r="CH2717" s="115"/>
      <c r="CI2717" s="115"/>
      <c r="CJ2717" s="115"/>
      <c r="CK2717" s="115"/>
      <c r="CL2717" s="115"/>
      <c r="CM2717" s="115"/>
      <c r="CN2717" s="115"/>
      <c r="CO2717" s="115"/>
      <c r="CP2717" s="115"/>
      <c r="CQ2717" s="115"/>
      <c r="CR2717" s="115"/>
      <c r="CS2717" s="115"/>
      <c r="CT2717" s="115"/>
      <c r="CU2717" s="115"/>
      <c r="CV2717" s="115"/>
      <c r="CW2717" s="115"/>
      <c r="CX2717" s="115"/>
      <c r="CY2717" s="115"/>
      <c r="CZ2717" s="115"/>
      <c r="DA2717" s="115"/>
      <c r="DB2717" s="115"/>
      <c r="DC2717" s="115"/>
      <c r="DD2717" s="115"/>
      <c r="DE2717" s="115"/>
      <c r="DF2717" s="115"/>
      <c r="DG2717" s="115"/>
    </row>
    <row r="2718" spans="55:111" hidden="1">
      <c r="BC2718" s="115"/>
      <c r="BD2718" s="115"/>
      <c r="BE2718" s="115"/>
      <c r="BF2718" s="115"/>
      <c r="BG2718" s="115"/>
      <c r="BH2718" s="115"/>
      <c r="BI2718" s="115"/>
      <c r="BJ2718" s="115"/>
      <c r="BK2718" s="115"/>
      <c r="BL2718" s="115"/>
      <c r="BM2718" s="115"/>
      <c r="BN2718" s="115"/>
      <c r="BO2718" s="115"/>
      <c r="BP2718" s="115"/>
      <c r="BQ2718" s="115"/>
      <c r="BR2718" s="115"/>
      <c r="BS2718" s="115"/>
      <c r="BT2718" s="115"/>
      <c r="BU2718" s="115"/>
      <c r="BV2718" s="115"/>
      <c r="BW2718" s="115"/>
      <c r="BX2718" s="115"/>
      <c r="BY2718" s="115"/>
      <c r="BZ2718" s="115"/>
      <c r="CA2718" s="115"/>
      <c r="CB2718" s="115"/>
      <c r="CC2718" s="115"/>
      <c r="CD2718" s="115"/>
      <c r="CE2718" s="115"/>
      <c r="CF2718" s="115"/>
      <c r="CG2718" s="115"/>
      <c r="CH2718" s="115"/>
      <c r="CI2718" s="115"/>
      <c r="CJ2718" s="115"/>
      <c r="CK2718" s="115"/>
      <c r="CL2718" s="115"/>
      <c r="CM2718" s="115"/>
      <c r="CN2718" s="115"/>
      <c r="CO2718" s="115"/>
      <c r="CP2718" s="115"/>
      <c r="CQ2718" s="115"/>
      <c r="CR2718" s="115"/>
      <c r="CS2718" s="115"/>
      <c r="CT2718" s="115"/>
      <c r="CU2718" s="115"/>
      <c r="CV2718" s="115"/>
      <c r="CW2718" s="115"/>
      <c r="CX2718" s="115"/>
      <c r="CY2718" s="115"/>
      <c r="CZ2718" s="115"/>
      <c r="DA2718" s="115"/>
      <c r="DB2718" s="115"/>
      <c r="DC2718" s="115"/>
      <c r="DD2718" s="115"/>
      <c r="DE2718" s="115"/>
      <c r="DF2718" s="115"/>
      <c r="DG2718" s="115"/>
    </row>
    <row r="2719" spans="55:111" hidden="1">
      <c r="BC2719" s="115"/>
      <c r="BD2719" s="115"/>
      <c r="BE2719" s="115"/>
      <c r="BF2719" s="115"/>
      <c r="BG2719" s="115"/>
      <c r="BH2719" s="115"/>
      <c r="BI2719" s="115"/>
      <c r="BJ2719" s="115"/>
      <c r="BK2719" s="115"/>
      <c r="BL2719" s="115"/>
      <c r="BM2719" s="115"/>
      <c r="BN2719" s="115"/>
      <c r="BO2719" s="115"/>
      <c r="BP2719" s="115"/>
      <c r="BQ2719" s="115"/>
      <c r="BR2719" s="115"/>
      <c r="BS2719" s="115"/>
      <c r="BT2719" s="115"/>
      <c r="BU2719" s="115"/>
      <c r="BV2719" s="115"/>
      <c r="BW2719" s="115"/>
      <c r="BX2719" s="115"/>
      <c r="BY2719" s="115"/>
      <c r="BZ2719" s="115"/>
      <c r="CA2719" s="115"/>
      <c r="CB2719" s="115"/>
      <c r="CC2719" s="115"/>
      <c r="CD2719" s="115"/>
      <c r="CE2719" s="115"/>
      <c r="CF2719" s="115"/>
      <c r="CG2719" s="115"/>
      <c r="CH2719" s="115"/>
      <c r="CI2719" s="115"/>
      <c r="CJ2719" s="115"/>
      <c r="CK2719" s="115"/>
      <c r="CL2719" s="115"/>
      <c r="CM2719" s="115"/>
      <c r="CN2719" s="115"/>
      <c r="CO2719" s="115"/>
      <c r="CP2719" s="115"/>
      <c r="CQ2719" s="115"/>
      <c r="CR2719" s="115"/>
      <c r="CS2719" s="115"/>
      <c r="CT2719" s="115"/>
      <c r="CU2719" s="115"/>
      <c r="CV2719" s="115"/>
      <c r="CW2719" s="115"/>
      <c r="CX2719" s="115"/>
      <c r="CY2719" s="115"/>
      <c r="CZ2719" s="115"/>
      <c r="DA2719" s="115"/>
      <c r="DB2719" s="115"/>
      <c r="DC2719" s="115"/>
      <c r="DD2719" s="115"/>
      <c r="DE2719" s="115"/>
      <c r="DF2719" s="115"/>
      <c r="DG2719" s="115"/>
    </row>
    <row r="2720" spans="55:111" hidden="1">
      <c r="BC2720" s="115"/>
      <c r="BD2720" s="115"/>
      <c r="BE2720" s="115"/>
      <c r="BF2720" s="115"/>
      <c r="BG2720" s="115"/>
      <c r="BH2720" s="115"/>
      <c r="BI2720" s="115"/>
      <c r="BJ2720" s="115"/>
      <c r="BK2720" s="115"/>
      <c r="BL2720" s="115"/>
      <c r="BM2720" s="115"/>
      <c r="BN2720" s="115"/>
      <c r="BO2720" s="115"/>
      <c r="BP2720" s="115"/>
      <c r="BQ2720" s="115"/>
      <c r="BR2720" s="115"/>
      <c r="BS2720" s="115"/>
      <c r="BT2720" s="115"/>
      <c r="BU2720" s="115"/>
      <c r="BV2720" s="115"/>
      <c r="BW2720" s="115"/>
      <c r="BX2720" s="115"/>
      <c r="BY2720" s="115"/>
      <c r="BZ2720" s="115"/>
      <c r="CA2720" s="115"/>
      <c r="CB2720" s="115"/>
      <c r="CC2720" s="115"/>
      <c r="CD2720" s="115"/>
      <c r="CE2720" s="115"/>
      <c r="CF2720" s="115"/>
      <c r="CG2720" s="115"/>
      <c r="CH2720" s="115"/>
      <c r="CI2720" s="115"/>
      <c r="CJ2720" s="115"/>
      <c r="CK2720" s="115"/>
      <c r="CL2720" s="115"/>
      <c r="CM2720" s="115"/>
      <c r="CN2720" s="115"/>
      <c r="CO2720" s="115"/>
      <c r="CP2720" s="115"/>
      <c r="CQ2720" s="115"/>
      <c r="CR2720" s="115"/>
      <c r="CS2720" s="115"/>
      <c r="CT2720" s="115"/>
      <c r="CU2720" s="115"/>
      <c r="CV2720" s="115"/>
      <c r="CW2720" s="115"/>
      <c r="CX2720" s="115"/>
      <c r="CY2720" s="115"/>
      <c r="CZ2720" s="115"/>
      <c r="DA2720" s="115"/>
      <c r="DB2720" s="115"/>
      <c r="DC2720" s="115"/>
      <c r="DD2720" s="115"/>
      <c r="DE2720" s="115"/>
      <c r="DF2720" s="115"/>
      <c r="DG2720" s="115"/>
    </row>
    <row r="2721" spans="55:111" hidden="1">
      <c r="BC2721" s="115"/>
      <c r="BD2721" s="115"/>
      <c r="BE2721" s="115"/>
      <c r="BF2721" s="115"/>
      <c r="BG2721" s="115"/>
      <c r="BH2721" s="115"/>
      <c r="BI2721" s="115"/>
      <c r="BJ2721" s="115"/>
      <c r="BK2721" s="115"/>
      <c r="BL2721" s="115"/>
      <c r="BM2721" s="115"/>
      <c r="BN2721" s="115"/>
      <c r="BO2721" s="115"/>
      <c r="BP2721" s="115"/>
      <c r="BQ2721" s="115"/>
      <c r="BR2721" s="115"/>
      <c r="BS2721" s="115"/>
      <c r="BT2721" s="115"/>
      <c r="BU2721" s="115"/>
      <c r="BV2721" s="115"/>
      <c r="BW2721" s="115"/>
      <c r="BX2721" s="115"/>
      <c r="BY2721" s="115"/>
      <c r="BZ2721" s="115"/>
      <c r="CA2721" s="115"/>
      <c r="CB2721" s="115"/>
      <c r="CC2721" s="115"/>
      <c r="CD2721" s="115"/>
      <c r="CE2721" s="115"/>
      <c r="CF2721" s="115"/>
      <c r="CG2721" s="115"/>
      <c r="CH2721" s="115"/>
      <c r="CI2721" s="115"/>
      <c r="CJ2721" s="115"/>
      <c r="CK2721" s="115"/>
      <c r="CL2721" s="115"/>
      <c r="CM2721" s="115"/>
      <c r="CN2721" s="115"/>
      <c r="CO2721" s="115"/>
      <c r="CP2721" s="115"/>
      <c r="CQ2721" s="115"/>
      <c r="CR2721" s="115"/>
      <c r="CS2721" s="115"/>
      <c r="CT2721" s="115"/>
      <c r="CU2721" s="115"/>
      <c r="CV2721" s="115"/>
      <c r="CW2721" s="115"/>
      <c r="CX2721" s="115"/>
      <c r="CY2721" s="115"/>
      <c r="CZ2721" s="115"/>
      <c r="DA2721" s="115"/>
      <c r="DB2721" s="115"/>
      <c r="DC2721" s="115"/>
      <c r="DD2721" s="115"/>
      <c r="DE2721" s="115"/>
      <c r="DF2721" s="115"/>
      <c r="DG2721" s="115"/>
    </row>
    <row r="2722" spans="55:111" hidden="1">
      <c r="BC2722" s="115"/>
      <c r="BD2722" s="115"/>
      <c r="BE2722" s="115"/>
      <c r="BF2722" s="115"/>
      <c r="BG2722" s="115"/>
      <c r="BH2722" s="115"/>
      <c r="BI2722" s="115"/>
      <c r="BJ2722" s="115"/>
      <c r="BK2722" s="115"/>
      <c r="BL2722" s="115"/>
      <c r="BM2722" s="115"/>
      <c r="BN2722" s="115"/>
      <c r="BO2722" s="115"/>
      <c r="BP2722" s="115"/>
      <c r="BQ2722" s="115"/>
      <c r="BR2722" s="115"/>
      <c r="BS2722" s="115"/>
      <c r="BT2722" s="115"/>
      <c r="BU2722" s="115"/>
      <c r="BV2722" s="115"/>
      <c r="BW2722" s="115"/>
      <c r="BX2722" s="115"/>
      <c r="BY2722" s="115"/>
      <c r="BZ2722" s="115"/>
      <c r="CA2722" s="115"/>
      <c r="CB2722" s="115"/>
      <c r="CC2722" s="115"/>
      <c r="CD2722" s="115"/>
      <c r="CE2722" s="115"/>
      <c r="CF2722" s="115"/>
      <c r="CG2722" s="115"/>
      <c r="CH2722" s="115"/>
      <c r="CI2722" s="115"/>
      <c r="CJ2722" s="115"/>
      <c r="CK2722" s="115"/>
      <c r="CL2722" s="115"/>
      <c r="CM2722" s="115"/>
      <c r="CN2722" s="115"/>
      <c r="CO2722" s="115"/>
      <c r="CP2722" s="115"/>
      <c r="CQ2722" s="115"/>
      <c r="CR2722" s="115"/>
      <c r="CS2722" s="115"/>
      <c r="CT2722" s="115"/>
      <c r="CU2722" s="115"/>
      <c r="CV2722" s="115"/>
      <c r="CW2722" s="115"/>
      <c r="CX2722" s="115"/>
      <c r="CY2722" s="115"/>
      <c r="CZ2722" s="115"/>
      <c r="DA2722" s="115"/>
      <c r="DB2722" s="115"/>
      <c r="DC2722" s="115"/>
      <c r="DD2722" s="115"/>
      <c r="DE2722" s="115"/>
      <c r="DF2722" s="115"/>
      <c r="DG2722" s="115"/>
    </row>
    <row r="2723" spans="55:111" hidden="1">
      <c r="BC2723" s="115"/>
      <c r="BD2723" s="115"/>
      <c r="BE2723" s="115"/>
      <c r="BF2723" s="115"/>
      <c r="BG2723" s="115"/>
      <c r="BH2723" s="115"/>
      <c r="BI2723" s="115"/>
      <c r="BJ2723" s="115"/>
      <c r="BK2723" s="115"/>
      <c r="BL2723" s="115"/>
      <c r="BM2723" s="115"/>
      <c r="BN2723" s="115"/>
      <c r="BO2723" s="115"/>
      <c r="BP2723" s="115"/>
      <c r="BQ2723" s="115"/>
      <c r="BR2723" s="115"/>
      <c r="BS2723" s="115"/>
      <c r="BT2723" s="115"/>
      <c r="BU2723" s="115"/>
      <c r="BV2723" s="115"/>
      <c r="BW2723" s="115"/>
      <c r="BX2723" s="115"/>
      <c r="BY2723" s="115"/>
      <c r="BZ2723" s="115"/>
      <c r="CA2723" s="115"/>
      <c r="CB2723" s="115"/>
      <c r="CC2723" s="115"/>
      <c r="CD2723" s="115"/>
      <c r="CE2723" s="115"/>
      <c r="CF2723" s="115"/>
      <c r="CG2723" s="115"/>
      <c r="CH2723" s="115"/>
      <c r="CI2723" s="115"/>
      <c r="CJ2723" s="115"/>
      <c r="CK2723" s="115"/>
      <c r="CL2723" s="115"/>
      <c r="CM2723" s="115"/>
      <c r="CN2723" s="115"/>
      <c r="CO2723" s="115"/>
      <c r="CP2723" s="115"/>
      <c r="CQ2723" s="115"/>
      <c r="CR2723" s="115"/>
      <c r="CS2723" s="115"/>
      <c r="CT2723" s="115"/>
      <c r="CU2723" s="115"/>
      <c r="CV2723" s="115"/>
      <c r="CW2723" s="115"/>
      <c r="CX2723" s="115"/>
      <c r="CY2723" s="115"/>
      <c r="CZ2723" s="115"/>
      <c r="DA2723" s="115"/>
      <c r="DB2723" s="115"/>
      <c r="DC2723" s="115"/>
      <c r="DD2723" s="115"/>
      <c r="DE2723" s="115"/>
      <c r="DF2723" s="115"/>
      <c r="DG2723" s="115"/>
    </row>
    <row r="2724" spans="55:111" hidden="1">
      <c r="BC2724" s="115"/>
      <c r="BD2724" s="115"/>
      <c r="BE2724" s="115"/>
      <c r="BF2724" s="115"/>
      <c r="BG2724" s="115"/>
      <c r="BH2724" s="115"/>
      <c r="BI2724" s="115"/>
      <c r="BJ2724" s="115"/>
      <c r="BK2724" s="115"/>
      <c r="BL2724" s="115"/>
      <c r="BM2724" s="115"/>
      <c r="BN2724" s="115"/>
      <c r="BO2724" s="115"/>
      <c r="BP2724" s="115"/>
      <c r="BQ2724" s="115"/>
      <c r="BR2724" s="115"/>
      <c r="BS2724" s="115"/>
      <c r="BT2724" s="115"/>
      <c r="BU2724" s="115"/>
      <c r="BV2724" s="115"/>
      <c r="BW2724" s="115"/>
      <c r="BX2724" s="115"/>
      <c r="BY2724" s="115"/>
      <c r="BZ2724" s="115"/>
      <c r="CA2724" s="115"/>
      <c r="CB2724" s="115"/>
      <c r="CC2724" s="115"/>
      <c r="CD2724" s="115"/>
      <c r="CE2724" s="115"/>
      <c r="CF2724" s="115"/>
      <c r="CG2724" s="115"/>
      <c r="CH2724" s="115"/>
      <c r="CI2724" s="115"/>
      <c r="CJ2724" s="115"/>
      <c r="CK2724" s="115"/>
      <c r="CL2724" s="115"/>
      <c r="CM2724" s="115"/>
      <c r="CN2724" s="115"/>
      <c r="CO2724" s="115"/>
      <c r="CP2724" s="115"/>
      <c r="CQ2724" s="115"/>
      <c r="CR2724" s="115"/>
      <c r="CS2724" s="115"/>
      <c r="CT2724" s="115"/>
      <c r="CU2724" s="115"/>
      <c r="CV2724" s="115"/>
      <c r="CW2724" s="115"/>
      <c r="CX2724" s="115"/>
      <c r="CY2724" s="115"/>
      <c r="CZ2724" s="115"/>
      <c r="DA2724" s="115"/>
      <c r="DB2724" s="115"/>
      <c r="DC2724" s="115"/>
      <c r="DD2724" s="115"/>
      <c r="DE2724" s="115"/>
      <c r="DF2724" s="115"/>
      <c r="DG2724" s="115"/>
    </row>
    <row r="2725" spans="55:111" hidden="1">
      <c r="BC2725" s="115"/>
      <c r="BD2725" s="115"/>
      <c r="BE2725" s="115"/>
      <c r="BF2725" s="115"/>
      <c r="BG2725" s="115"/>
      <c r="BH2725" s="115"/>
      <c r="BI2725" s="115"/>
      <c r="BJ2725" s="115"/>
      <c r="BK2725" s="115"/>
      <c r="BL2725" s="115"/>
      <c r="BM2725" s="115"/>
      <c r="BN2725" s="115"/>
      <c r="BO2725" s="115"/>
      <c r="BP2725" s="115"/>
      <c r="BQ2725" s="115"/>
      <c r="BR2725" s="115"/>
      <c r="BS2725" s="115"/>
      <c r="BT2725" s="115"/>
      <c r="BU2725" s="115"/>
      <c r="BV2725" s="115"/>
      <c r="BW2725" s="115"/>
      <c r="BX2725" s="115"/>
      <c r="BY2725" s="115"/>
      <c r="BZ2725" s="115"/>
      <c r="CA2725" s="115"/>
      <c r="CB2725" s="115"/>
      <c r="CC2725" s="115"/>
      <c r="CD2725" s="115"/>
      <c r="CE2725" s="115"/>
      <c r="CF2725" s="115"/>
      <c r="CG2725" s="115"/>
      <c r="CH2725" s="115"/>
      <c r="CI2725" s="115"/>
      <c r="CJ2725" s="115"/>
      <c r="CK2725" s="115"/>
      <c r="CL2725" s="115"/>
      <c r="CM2725" s="115"/>
      <c r="CN2725" s="115"/>
      <c r="CO2725" s="115"/>
      <c r="CP2725" s="115"/>
      <c r="CQ2725" s="115"/>
      <c r="CR2725" s="115"/>
      <c r="CS2725" s="115"/>
      <c r="CT2725" s="115"/>
      <c r="CU2725" s="115"/>
      <c r="CV2725" s="115"/>
      <c r="CW2725" s="115"/>
      <c r="CX2725" s="115"/>
      <c r="CY2725" s="115"/>
      <c r="CZ2725" s="115"/>
      <c r="DA2725" s="115"/>
      <c r="DB2725" s="115"/>
      <c r="DC2725" s="115"/>
      <c r="DD2725" s="115"/>
      <c r="DE2725" s="115"/>
      <c r="DF2725" s="115"/>
      <c r="DG2725" s="115"/>
    </row>
    <row r="2726" spans="55:111" hidden="1">
      <c r="BC2726" s="115"/>
      <c r="BD2726" s="115"/>
      <c r="BE2726" s="115"/>
      <c r="BF2726" s="115"/>
      <c r="BG2726" s="115"/>
      <c r="BH2726" s="115"/>
      <c r="BI2726" s="115"/>
      <c r="BJ2726" s="115"/>
      <c r="BK2726" s="115"/>
      <c r="BL2726" s="115"/>
      <c r="BM2726" s="115"/>
      <c r="BN2726" s="115"/>
      <c r="BO2726" s="115"/>
      <c r="BP2726" s="115"/>
      <c r="BQ2726" s="115"/>
      <c r="BR2726" s="115"/>
      <c r="BS2726" s="115"/>
      <c r="BT2726" s="115"/>
      <c r="BU2726" s="115"/>
      <c r="BV2726" s="115"/>
      <c r="BW2726" s="115"/>
      <c r="BX2726" s="115"/>
      <c r="BY2726" s="115"/>
      <c r="BZ2726" s="115"/>
      <c r="CA2726" s="115"/>
      <c r="CB2726" s="115"/>
      <c r="CC2726" s="115"/>
      <c r="CD2726" s="115"/>
      <c r="CE2726" s="115"/>
      <c r="CF2726" s="115"/>
      <c r="CG2726" s="115"/>
      <c r="CH2726" s="115"/>
      <c r="CI2726" s="115"/>
      <c r="CJ2726" s="115"/>
      <c r="CK2726" s="115"/>
      <c r="CL2726" s="115"/>
      <c r="CM2726" s="115"/>
      <c r="CN2726" s="115"/>
      <c r="CO2726" s="115"/>
      <c r="CP2726" s="115"/>
      <c r="CQ2726" s="115"/>
      <c r="CR2726" s="115"/>
      <c r="CS2726" s="115"/>
      <c r="CT2726" s="115"/>
      <c r="CU2726" s="115"/>
      <c r="CV2726" s="115"/>
      <c r="CW2726" s="115"/>
      <c r="CX2726" s="115"/>
      <c r="CY2726" s="115"/>
      <c r="CZ2726" s="115"/>
      <c r="DA2726" s="115"/>
      <c r="DB2726" s="115"/>
      <c r="DC2726" s="115"/>
      <c r="DD2726" s="115"/>
      <c r="DE2726" s="115"/>
      <c r="DF2726" s="115"/>
      <c r="DG2726" s="115"/>
    </row>
    <row r="2727" spans="55:111" hidden="1">
      <c r="BC2727" s="115"/>
      <c r="BD2727" s="115"/>
      <c r="BE2727" s="115"/>
      <c r="BF2727" s="115"/>
      <c r="BG2727" s="115"/>
      <c r="BH2727" s="115"/>
      <c r="BI2727" s="115"/>
      <c r="BJ2727" s="115"/>
      <c r="BK2727" s="115"/>
      <c r="BL2727" s="115"/>
      <c r="BM2727" s="115"/>
      <c r="BN2727" s="115"/>
      <c r="BO2727" s="115"/>
      <c r="BP2727" s="115"/>
      <c r="BQ2727" s="115"/>
      <c r="BR2727" s="115"/>
      <c r="BS2727" s="115"/>
      <c r="BT2727" s="115"/>
      <c r="BU2727" s="115"/>
      <c r="BV2727" s="115"/>
      <c r="BW2727" s="115"/>
      <c r="BX2727" s="115"/>
      <c r="BY2727" s="115"/>
      <c r="BZ2727" s="115"/>
      <c r="CA2727" s="115"/>
      <c r="CB2727" s="115"/>
      <c r="CC2727" s="115"/>
      <c r="CD2727" s="115"/>
      <c r="CE2727" s="115"/>
      <c r="CF2727" s="115"/>
      <c r="CG2727" s="115"/>
      <c r="CH2727" s="115"/>
      <c r="CI2727" s="115"/>
      <c r="CJ2727" s="115"/>
      <c r="CK2727" s="115"/>
      <c r="CL2727" s="115"/>
      <c r="CM2727" s="115"/>
      <c r="CN2727" s="115"/>
      <c r="CO2727" s="115"/>
      <c r="CP2727" s="115"/>
      <c r="CQ2727" s="115"/>
      <c r="CR2727" s="115"/>
      <c r="CS2727" s="115"/>
      <c r="CT2727" s="115"/>
      <c r="CU2727" s="115"/>
      <c r="CV2727" s="115"/>
      <c r="CW2727" s="115"/>
      <c r="CX2727" s="115"/>
      <c r="CY2727" s="115"/>
      <c r="CZ2727" s="115"/>
      <c r="DA2727" s="115"/>
      <c r="DB2727" s="115"/>
      <c r="DC2727" s="115"/>
      <c r="DD2727" s="115"/>
      <c r="DE2727" s="115"/>
      <c r="DF2727" s="115"/>
      <c r="DG2727" s="115"/>
    </row>
    <row r="2728" spans="55:111" hidden="1">
      <c r="BC2728" s="115"/>
      <c r="BD2728" s="115"/>
      <c r="BE2728" s="115"/>
      <c r="BF2728" s="115"/>
      <c r="BG2728" s="115"/>
      <c r="BH2728" s="115"/>
      <c r="BI2728" s="115"/>
      <c r="BJ2728" s="115"/>
      <c r="BK2728" s="115"/>
      <c r="BL2728" s="115"/>
      <c r="BM2728" s="115"/>
      <c r="BN2728" s="115"/>
      <c r="BO2728" s="115"/>
      <c r="BP2728" s="115"/>
      <c r="BQ2728" s="115"/>
      <c r="BR2728" s="115"/>
      <c r="BS2728" s="115"/>
      <c r="BT2728" s="115"/>
      <c r="BU2728" s="115"/>
      <c r="BV2728" s="115"/>
      <c r="BW2728" s="115"/>
      <c r="BX2728" s="115"/>
      <c r="BY2728" s="115"/>
      <c r="BZ2728" s="115"/>
      <c r="CA2728" s="115"/>
      <c r="CB2728" s="115"/>
      <c r="CC2728" s="115"/>
      <c r="CD2728" s="115"/>
      <c r="CE2728" s="115"/>
      <c r="CF2728" s="115"/>
      <c r="CG2728" s="115"/>
      <c r="CH2728" s="115"/>
      <c r="CI2728" s="115"/>
      <c r="CJ2728" s="115"/>
      <c r="CK2728" s="115"/>
      <c r="CL2728" s="115"/>
      <c r="CM2728" s="115"/>
      <c r="CN2728" s="115"/>
      <c r="CO2728" s="115"/>
      <c r="CP2728" s="115"/>
      <c r="CQ2728" s="115"/>
      <c r="CR2728" s="115"/>
      <c r="CS2728" s="115"/>
      <c r="CT2728" s="115"/>
      <c r="CU2728" s="115"/>
      <c r="CV2728" s="115"/>
      <c r="CW2728" s="115"/>
      <c r="CX2728" s="115"/>
      <c r="CY2728" s="115"/>
      <c r="CZ2728" s="115"/>
      <c r="DA2728" s="115"/>
      <c r="DB2728" s="115"/>
      <c r="DC2728" s="115"/>
      <c r="DD2728" s="115"/>
      <c r="DE2728" s="115"/>
      <c r="DF2728" s="115"/>
      <c r="DG2728" s="115"/>
    </row>
    <row r="2729" spans="55:111" hidden="1">
      <c r="BC2729" s="115"/>
      <c r="BD2729" s="115"/>
      <c r="BE2729" s="115"/>
      <c r="BF2729" s="115"/>
      <c r="BG2729" s="115"/>
      <c r="BH2729" s="115"/>
      <c r="BI2729" s="115"/>
      <c r="BJ2729" s="115"/>
      <c r="BK2729" s="115"/>
      <c r="BL2729" s="115"/>
      <c r="BM2729" s="115"/>
      <c r="BN2729" s="115"/>
      <c r="BO2729" s="115"/>
      <c r="BP2729" s="115"/>
      <c r="BQ2729" s="115"/>
      <c r="BR2729" s="115"/>
      <c r="BS2729" s="115"/>
      <c r="BT2729" s="115"/>
      <c r="BU2729" s="115"/>
      <c r="BV2729" s="115"/>
      <c r="BW2729" s="115"/>
      <c r="BX2729" s="115"/>
      <c r="BY2729" s="115"/>
      <c r="BZ2729" s="115"/>
      <c r="CA2729" s="115"/>
      <c r="CB2729" s="115"/>
      <c r="CC2729" s="115"/>
      <c r="CD2729" s="115"/>
      <c r="CE2729" s="115"/>
      <c r="CF2729" s="115"/>
      <c r="CG2729" s="115"/>
      <c r="CH2729" s="115"/>
      <c r="CI2729" s="115"/>
      <c r="CJ2729" s="115"/>
      <c r="CK2729" s="115"/>
      <c r="CL2729" s="115"/>
      <c r="CM2729" s="115"/>
      <c r="CN2729" s="115"/>
      <c r="CO2729" s="115"/>
      <c r="CP2729" s="115"/>
      <c r="CQ2729" s="115"/>
      <c r="CR2729" s="115"/>
      <c r="CS2729" s="115"/>
      <c r="CT2729" s="115"/>
      <c r="CU2729" s="115"/>
      <c r="CV2729" s="115"/>
      <c r="CW2729" s="115"/>
      <c r="CX2729" s="115"/>
      <c r="CY2729" s="115"/>
      <c r="CZ2729" s="115"/>
      <c r="DA2729" s="115"/>
      <c r="DB2729" s="115"/>
      <c r="DC2729" s="115"/>
      <c r="DD2729" s="115"/>
      <c r="DE2729" s="115"/>
      <c r="DF2729" s="115"/>
      <c r="DG2729" s="115"/>
    </row>
    <row r="2730" spans="55:111" hidden="1">
      <c r="BC2730" s="115"/>
      <c r="BD2730" s="115"/>
      <c r="BE2730" s="115"/>
      <c r="BF2730" s="115"/>
      <c r="BG2730" s="115"/>
      <c r="BH2730" s="115"/>
      <c r="BI2730" s="115"/>
      <c r="BJ2730" s="115"/>
      <c r="BK2730" s="115"/>
      <c r="BL2730" s="115"/>
      <c r="BM2730" s="115"/>
      <c r="BN2730" s="115"/>
      <c r="BO2730" s="115"/>
      <c r="BP2730" s="115"/>
      <c r="BQ2730" s="115"/>
      <c r="BR2730" s="115"/>
      <c r="BS2730" s="115"/>
      <c r="BT2730" s="115"/>
      <c r="BU2730" s="115"/>
      <c r="BV2730" s="115"/>
      <c r="BW2730" s="115"/>
      <c r="BX2730" s="115"/>
      <c r="BY2730" s="115"/>
      <c r="BZ2730" s="115"/>
      <c r="CA2730" s="115"/>
      <c r="CB2730" s="115"/>
      <c r="CC2730" s="115"/>
      <c r="CD2730" s="115"/>
      <c r="CE2730" s="115"/>
      <c r="CF2730" s="115"/>
      <c r="CG2730" s="115"/>
      <c r="CH2730" s="115"/>
      <c r="CI2730" s="115"/>
      <c r="CJ2730" s="115"/>
      <c r="CK2730" s="115"/>
      <c r="CL2730" s="115"/>
      <c r="CM2730" s="115"/>
      <c r="CN2730" s="115"/>
      <c r="CO2730" s="115"/>
      <c r="CP2730" s="115"/>
      <c r="CQ2730" s="115"/>
      <c r="CR2730" s="115"/>
      <c r="CS2730" s="115"/>
      <c r="CT2730" s="115"/>
      <c r="CU2730" s="115"/>
      <c r="CV2730" s="115"/>
      <c r="CW2730" s="115"/>
      <c r="CX2730" s="115"/>
      <c r="CY2730" s="115"/>
      <c r="CZ2730" s="115"/>
      <c r="DA2730" s="115"/>
      <c r="DB2730" s="115"/>
      <c r="DC2730" s="115"/>
      <c r="DD2730" s="115"/>
      <c r="DE2730" s="115"/>
      <c r="DF2730" s="115"/>
      <c r="DG2730" s="115"/>
    </row>
    <row r="2731" spans="55:111" hidden="1">
      <c r="BC2731" s="115"/>
      <c r="BD2731" s="115"/>
      <c r="BE2731" s="115"/>
      <c r="BF2731" s="115"/>
      <c r="BG2731" s="115"/>
      <c r="BH2731" s="115"/>
      <c r="BI2731" s="115"/>
      <c r="BJ2731" s="115"/>
      <c r="BK2731" s="115"/>
      <c r="BL2731" s="115"/>
      <c r="BM2731" s="115"/>
      <c r="BN2731" s="115"/>
      <c r="BO2731" s="115"/>
      <c r="BP2731" s="115"/>
      <c r="BQ2731" s="115"/>
      <c r="BR2731" s="115"/>
      <c r="BS2731" s="115"/>
      <c r="BT2731" s="115"/>
      <c r="BU2731" s="115"/>
      <c r="BV2731" s="115"/>
      <c r="BW2731" s="115"/>
      <c r="BX2731" s="115"/>
      <c r="BY2731" s="115"/>
      <c r="BZ2731" s="115"/>
      <c r="CA2731" s="115"/>
      <c r="CB2731" s="115"/>
      <c r="CC2731" s="115"/>
      <c r="CD2731" s="115"/>
      <c r="CE2731" s="115"/>
      <c r="CF2731" s="115"/>
      <c r="CG2731" s="115"/>
      <c r="CH2731" s="115"/>
      <c r="CI2731" s="115"/>
      <c r="CJ2731" s="115"/>
      <c r="CK2731" s="115"/>
      <c r="CL2731" s="115"/>
      <c r="CM2731" s="115"/>
      <c r="CN2731" s="115"/>
      <c r="CO2731" s="115"/>
      <c r="CP2731" s="115"/>
      <c r="CQ2731" s="115"/>
      <c r="CR2731" s="115"/>
      <c r="CS2731" s="115"/>
      <c r="CT2731" s="115"/>
      <c r="CU2731" s="115"/>
      <c r="CV2731" s="115"/>
      <c r="CW2731" s="115"/>
      <c r="CX2731" s="115"/>
      <c r="CY2731" s="115"/>
      <c r="CZ2731" s="115"/>
      <c r="DA2731" s="115"/>
      <c r="DB2731" s="115"/>
      <c r="DC2731" s="115"/>
      <c r="DD2731" s="115"/>
      <c r="DE2731" s="115"/>
      <c r="DF2731" s="115"/>
      <c r="DG2731" s="115"/>
    </row>
    <row r="2732" spans="55:111" hidden="1">
      <c r="BC2732" s="115"/>
      <c r="BD2732" s="115"/>
      <c r="BE2732" s="115"/>
      <c r="BF2732" s="115"/>
      <c r="BG2732" s="115"/>
      <c r="BH2732" s="115"/>
      <c r="BI2732" s="115"/>
      <c r="BJ2732" s="115"/>
      <c r="BK2732" s="115"/>
      <c r="BL2732" s="115"/>
      <c r="BM2732" s="115"/>
      <c r="BN2732" s="115"/>
      <c r="BO2732" s="115"/>
      <c r="BP2732" s="115"/>
      <c r="BQ2732" s="115"/>
      <c r="BR2732" s="115"/>
      <c r="BS2732" s="115"/>
      <c r="BT2732" s="115"/>
      <c r="BU2732" s="115"/>
      <c r="BV2732" s="115"/>
      <c r="BW2732" s="115"/>
      <c r="BX2732" s="115"/>
      <c r="BY2732" s="115"/>
      <c r="BZ2732" s="115"/>
      <c r="CA2732" s="115"/>
      <c r="CB2732" s="115"/>
      <c r="CC2732" s="115"/>
      <c r="CD2732" s="115"/>
      <c r="CE2732" s="115"/>
      <c r="CF2732" s="115"/>
      <c r="CG2732" s="115"/>
      <c r="CH2732" s="115"/>
      <c r="CI2732" s="115"/>
      <c r="CJ2732" s="115"/>
      <c r="CK2732" s="115"/>
      <c r="CL2732" s="115"/>
      <c r="CM2732" s="115"/>
      <c r="CN2732" s="115"/>
      <c r="CO2732" s="115"/>
      <c r="CP2732" s="115"/>
      <c r="CQ2732" s="115"/>
      <c r="CR2732" s="115"/>
      <c r="CS2732" s="115"/>
      <c r="CT2732" s="115"/>
      <c r="CU2732" s="115"/>
      <c r="CV2732" s="115"/>
      <c r="CW2732" s="115"/>
      <c r="CX2732" s="115"/>
      <c r="CY2732" s="115"/>
      <c r="CZ2732" s="115"/>
      <c r="DA2732" s="115"/>
      <c r="DB2732" s="115"/>
      <c r="DC2732" s="115"/>
      <c r="DD2732" s="115"/>
      <c r="DE2732" s="115"/>
      <c r="DF2732" s="115"/>
      <c r="DG2732" s="115"/>
    </row>
    <row r="2733" spans="55:111" hidden="1">
      <c r="BC2733" s="115"/>
      <c r="BD2733" s="115"/>
      <c r="BE2733" s="115"/>
      <c r="BF2733" s="115"/>
      <c r="BG2733" s="115"/>
      <c r="BH2733" s="115"/>
      <c r="BI2733" s="115"/>
      <c r="BJ2733" s="115"/>
      <c r="BK2733" s="115"/>
      <c r="BL2733" s="115"/>
      <c r="BM2733" s="115"/>
      <c r="BN2733" s="115"/>
      <c r="BO2733" s="115"/>
      <c r="BP2733" s="115"/>
      <c r="BQ2733" s="115"/>
      <c r="BR2733" s="115"/>
      <c r="BS2733" s="115"/>
      <c r="BT2733" s="115"/>
      <c r="BU2733" s="115"/>
      <c r="BV2733" s="115"/>
      <c r="BW2733" s="115"/>
      <c r="BX2733" s="115"/>
      <c r="BY2733" s="115"/>
      <c r="BZ2733" s="115"/>
      <c r="CA2733" s="115"/>
      <c r="CB2733" s="115"/>
      <c r="CC2733" s="115"/>
      <c r="CD2733" s="115"/>
      <c r="CE2733" s="115"/>
      <c r="CF2733" s="115"/>
      <c r="CG2733" s="115"/>
      <c r="CH2733" s="115"/>
      <c r="CI2733" s="115"/>
      <c r="CJ2733" s="115"/>
      <c r="CK2733" s="115"/>
      <c r="CL2733" s="115"/>
      <c r="CM2733" s="115"/>
      <c r="CN2733" s="115"/>
      <c r="CO2733" s="115"/>
      <c r="CP2733" s="115"/>
      <c r="CQ2733" s="115"/>
      <c r="CR2733" s="115"/>
      <c r="CS2733" s="115"/>
      <c r="CT2733" s="115"/>
      <c r="CU2733" s="115"/>
      <c r="CV2733" s="115"/>
      <c r="CW2733" s="115"/>
      <c r="CX2733" s="115"/>
      <c r="CY2733" s="115"/>
      <c r="CZ2733" s="115"/>
      <c r="DA2733" s="115"/>
      <c r="DB2733" s="115"/>
      <c r="DC2733" s="115"/>
      <c r="DD2733" s="115"/>
      <c r="DE2733" s="115"/>
      <c r="DF2733" s="115"/>
      <c r="DG2733" s="115"/>
    </row>
    <row r="2734" spans="55:111" hidden="1">
      <c r="BC2734" s="115"/>
      <c r="BD2734" s="115"/>
      <c r="BE2734" s="115"/>
      <c r="BF2734" s="115"/>
      <c r="BG2734" s="115"/>
      <c r="BH2734" s="115"/>
      <c r="BI2734" s="115"/>
      <c r="BJ2734" s="115"/>
      <c r="BK2734" s="115"/>
      <c r="BL2734" s="115"/>
      <c r="BM2734" s="115"/>
      <c r="BN2734" s="115"/>
      <c r="BO2734" s="115"/>
      <c r="BP2734" s="115"/>
      <c r="BQ2734" s="115"/>
      <c r="BR2734" s="115"/>
      <c r="BS2734" s="115"/>
      <c r="BT2734" s="115"/>
      <c r="BU2734" s="115"/>
      <c r="BV2734" s="115"/>
      <c r="BW2734" s="115"/>
      <c r="BX2734" s="115"/>
      <c r="BY2734" s="115"/>
      <c r="BZ2734" s="115"/>
      <c r="CA2734" s="115"/>
      <c r="CB2734" s="115"/>
      <c r="CC2734" s="115"/>
      <c r="CD2734" s="115"/>
      <c r="CE2734" s="115"/>
      <c r="CF2734" s="115"/>
      <c r="CG2734" s="115"/>
      <c r="CH2734" s="115"/>
      <c r="CI2734" s="115"/>
      <c r="CJ2734" s="115"/>
      <c r="CK2734" s="115"/>
      <c r="CL2734" s="115"/>
      <c r="CM2734" s="115"/>
      <c r="CN2734" s="115"/>
      <c r="CO2734" s="115"/>
      <c r="CP2734" s="115"/>
      <c r="CQ2734" s="115"/>
      <c r="CR2734" s="115"/>
      <c r="CS2734" s="115"/>
      <c r="CT2734" s="115"/>
      <c r="CU2734" s="115"/>
      <c r="CV2734" s="115"/>
      <c r="CW2734" s="115"/>
      <c r="CX2734" s="115"/>
      <c r="CY2734" s="115"/>
      <c r="CZ2734" s="115"/>
      <c r="DA2734" s="115"/>
      <c r="DB2734" s="115"/>
      <c r="DC2734" s="115"/>
      <c r="DD2734" s="115"/>
      <c r="DE2734" s="115"/>
      <c r="DF2734" s="115"/>
      <c r="DG2734" s="115"/>
    </row>
    <row r="2735" spans="55:111" hidden="1">
      <c r="BC2735" s="115"/>
      <c r="BD2735" s="115"/>
      <c r="BE2735" s="115"/>
      <c r="BF2735" s="115"/>
      <c r="BG2735" s="115"/>
      <c r="BH2735" s="115"/>
      <c r="BI2735" s="115"/>
      <c r="BJ2735" s="115"/>
      <c r="BK2735" s="115"/>
      <c r="BL2735" s="115"/>
      <c r="BM2735" s="115"/>
      <c r="BN2735" s="115"/>
      <c r="BO2735" s="115"/>
      <c r="BP2735" s="115"/>
      <c r="BQ2735" s="115"/>
      <c r="BR2735" s="115"/>
      <c r="BS2735" s="115"/>
      <c r="BT2735" s="115"/>
      <c r="BU2735" s="115"/>
      <c r="BV2735" s="115"/>
      <c r="BW2735" s="115"/>
      <c r="BX2735" s="115"/>
      <c r="BY2735" s="115"/>
      <c r="BZ2735" s="115"/>
      <c r="CA2735" s="115"/>
      <c r="CB2735" s="115"/>
      <c r="CC2735" s="115"/>
      <c r="CD2735" s="115"/>
      <c r="CE2735" s="115"/>
      <c r="CF2735" s="115"/>
      <c r="CG2735" s="115"/>
      <c r="CH2735" s="115"/>
      <c r="CI2735" s="115"/>
      <c r="CJ2735" s="115"/>
      <c r="CK2735" s="115"/>
      <c r="CL2735" s="115"/>
      <c r="CM2735" s="115"/>
      <c r="CN2735" s="115"/>
      <c r="CO2735" s="115"/>
      <c r="CP2735" s="115"/>
      <c r="CQ2735" s="115"/>
      <c r="CR2735" s="115"/>
      <c r="CS2735" s="115"/>
      <c r="CT2735" s="115"/>
      <c r="CU2735" s="115"/>
      <c r="CV2735" s="115"/>
      <c r="CW2735" s="115"/>
      <c r="CX2735" s="115"/>
      <c r="CY2735" s="115"/>
      <c r="CZ2735" s="115"/>
      <c r="DA2735" s="115"/>
      <c r="DB2735" s="115"/>
      <c r="DC2735" s="115"/>
      <c r="DD2735" s="115"/>
      <c r="DE2735" s="115"/>
      <c r="DF2735" s="115"/>
      <c r="DG2735" s="115"/>
    </row>
    <row r="2736" spans="55:111" hidden="1">
      <c r="BC2736" s="115"/>
      <c r="BD2736" s="115"/>
      <c r="BE2736" s="115"/>
      <c r="BF2736" s="115"/>
      <c r="BG2736" s="115"/>
      <c r="BH2736" s="115"/>
      <c r="BI2736" s="115"/>
      <c r="BJ2736" s="115"/>
      <c r="BK2736" s="115"/>
      <c r="BL2736" s="115"/>
      <c r="BM2736" s="115"/>
      <c r="BN2736" s="115"/>
      <c r="BO2736" s="115"/>
      <c r="BP2736" s="115"/>
      <c r="BQ2736" s="115"/>
      <c r="BR2736" s="115"/>
      <c r="BS2736" s="115"/>
      <c r="BT2736" s="115"/>
      <c r="BU2736" s="115"/>
      <c r="BV2736" s="115"/>
      <c r="BW2736" s="115"/>
      <c r="BX2736" s="115"/>
      <c r="BY2736" s="115"/>
      <c r="BZ2736" s="115"/>
      <c r="CA2736" s="115"/>
      <c r="CB2736" s="115"/>
      <c r="CC2736" s="115"/>
      <c r="CD2736" s="115"/>
      <c r="CE2736" s="115"/>
      <c r="CF2736" s="115"/>
      <c r="CG2736" s="115"/>
      <c r="CH2736" s="115"/>
      <c r="CI2736" s="115"/>
      <c r="CJ2736" s="115"/>
      <c r="CK2736" s="115"/>
      <c r="CL2736" s="115"/>
      <c r="CM2736" s="115"/>
      <c r="CN2736" s="115"/>
      <c r="CO2736" s="115"/>
      <c r="CP2736" s="115"/>
      <c r="CQ2736" s="115"/>
      <c r="CR2736" s="115"/>
      <c r="CS2736" s="115"/>
      <c r="CT2736" s="115"/>
      <c r="CU2736" s="115"/>
      <c r="CV2736" s="115"/>
      <c r="CW2736" s="115"/>
      <c r="CX2736" s="115"/>
      <c r="CY2736" s="115"/>
      <c r="CZ2736" s="115"/>
      <c r="DA2736" s="115"/>
      <c r="DB2736" s="115"/>
      <c r="DC2736" s="115"/>
      <c r="DD2736" s="115"/>
      <c r="DE2736" s="115"/>
      <c r="DF2736" s="115"/>
      <c r="DG2736" s="115"/>
    </row>
    <row r="2737" spans="55:111" hidden="1">
      <c r="BC2737" s="115"/>
      <c r="BD2737" s="115"/>
      <c r="BE2737" s="115"/>
      <c r="BF2737" s="115"/>
      <c r="BG2737" s="115"/>
      <c r="BH2737" s="115"/>
      <c r="BI2737" s="115"/>
      <c r="BJ2737" s="115"/>
      <c r="BK2737" s="115"/>
      <c r="BL2737" s="115"/>
      <c r="BM2737" s="115"/>
      <c r="BN2737" s="115"/>
      <c r="BO2737" s="115"/>
      <c r="BP2737" s="115"/>
      <c r="BQ2737" s="115"/>
      <c r="BR2737" s="115"/>
      <c r="BS2737" s="115"/>
      <c r="BT2737" s="115"/>
      <c r="BU2737" s="115"/>
      <c r="BV2737" s="115"/>
      <c r="BW2737" s="115"/>
      <c r="BX2737" s="115"/>
      <c r="BY2737" s="115"/>
      <c r="BZ2737" s="115"/>
      <c r="CA2737" s="115"/>
      <c r="CB2737" s="115"/>
      <c r="CC2737" s="115"/>
      <c r="CD2737" s="115"/>
      <c r="CE2737" s="115"/>
      <c r="CF2737" s="115"/>
      <c r="CG2737" s="115"/>
      <c r="CH2737" s="115"/>
      <c r="CI2737" s="115"/>
      <c r="CJ2737" s="115"/>
      <c r="CK2737" s="115"/>
      <c r="CL2737" s="115"/>
      <c r="CM2737" s="115"/>
      <c r="CN2737" s="115"/>
      <c r="CO2737" s="115"/>
      <c r="CP2737" s="115"/>
      <c r="CQ2737" s="115"/>
      <c r="CR2737" s="115"/>
      <c r="CS2737" s="115"/>
      <c r="CT2737" s="115"/>
      <c r="CU2737" s="115"/>
      <c r="CV2737" s="115"/>
      <c r="CW2737" s="115"/>
      <c r="CX2737" s="115"/>
      <c r="CY2737" s="115"/>
      <c r="CZ2737" s="115"/>
      <c r="DA2737" s="115"/>
      <c r="DB2737" s="115"/>
      <c r="DC2737" s="115"/>
      <c r="DD2737" s="115"/>
      <c r="DE2737" s="115"/>
      <c r="DF2737" s="115"/>
      <c r="DG2737" s="115"/>
    </row>
    <row r="2738" spans="55:111" hidden="1">
      <c r="BC2738" s="115"/>
      <c r="BD2738" s="115"/>
      <c r="BE2738" s="115"/>
      <c r="BF2738" s="115"/>
      <c r="BG2738" s="115"/>
      <c r="BH2738" s="115"/>
      <c r="BI2738" s="115"/>
      <c r="BJ2738" s="115"/>
      <c r="BK2738" s="115"/>
      <c r="BL2738" s="115"/>
      <c r="BM2738" s="115"/>
      <c r="BN2738" s="115"/>
      <c r="BO2738" s="115"/>
      <c r="BP2738" s="115"/>
      <c r="BQ2738" s="115"/>
      <c r="BR2738" s="115"/>
      <c r="BS2738" s="115"/>
      <c r="BT2738" s="115"/>
      <c r="BU2738" s="115"/>
      <c r="BV2738" s="115"/>
      <c r="BW2738" s="115"/>
      <c r="BX2738" s="115"/>
      <c r="BY2738" s="115"/>
      <c r="BZ2738" s="115"/>
      <c r="CA2738" s="115"/>
      <c r="CB2738" s="115"/>
      <c r="CC2738" s="115"/>
      <c r="CD2738" s="115"/>
      <c r="CE2738" s="115"/>
      <c r="CF2738" s="115"/>
      <c r="CG2738" s="115"/>
      <c r="CH2738" s="115"/>
      <c r="CI2738" s="115"/>
      <c r="CJ2738" s="115"/>
      <c r="CK2738" s="115"/>
      <c r="CL2738" s="115"/>
      <c r="CM2738" s="115"/>
      <c r="CN2738" s="115"/>
      <c r="CO2738" s="115"/>
      <c r="CP2738" s="115"/>
      <c r="CQ2738" s="115"/>
      <c r="CR2738" s="115"/>
      <c r="CS2738" s="115"/>
      <c r="CT2738" s="115"/>
      <c r="CU2738" s="115"/>
      <c r="CV2738" s="115"/>
      <c r="CW2738" s="115"/>
      <c r="CX2738" s="115"/>
      <c r="CY2738" s="115"/>
      <c r="CZ2738" s="115"/>
      <c r="DA2738" s="115"/>
      <c r="DB2738" s="115"/>
      <c r="DC2738" s="115"/>
      <c r="DD2738" s="115"/>
      <c r="DE2738" s="115"/>
      <c r="DF2738" s="115"/>
      <c r="DG2738" s="115"/>
    </row>
    <row r="2739" spans="55:111" hidden="1">
      <c r="BC2739" s="115"/>
      <c r="BD2739" s="115"/>
      <c r="BE2739" s="115"/>
      <c r="BF2739" s="115"/>
      <c r="BG2739" s="115"/>
      <c r="BH2739" s="115"/>
      <c r="BI2739" s="115"/>
      <c r="BJ2739" s="115"/>
      <c r="BK2739" s="115"/>
      <c r="BL2739" s="115"/>
      <c r="BM2739" s="115"/>
      <c r="BN2739" s="115"/>
      <c r="BO2739" s="115"/>
      <c r="BP2739" s="115"/>
      <c r="BQ2739" s="115"/>
      <c r="BR2739" s="115"/>
      <c r="BS2739" s="115"/>
      <c r="BT2739" s="115"/>
      <c r="BU2739" s="115"/>
      <c r="BV2739" s="115"/>
      <c r="BW2739" s="115"/>
      <c r="BX2739" s="115"/>
      <c r="BY2739" s="115"/>
      <c r="BZ2739" s="115"/>
      <c r="CA2739" s="115"/>
      <c r="CB2739" s="115"/>
      <c r="CC2739" s="115"/>
      <c r="CD2739" s="115"/>
      <c r="CE2739" s="115"/>
      <c r="CF2739" s="115"/>
      <c r="CG2739" s="115"/>
      <c r="CH2739" s="115"/>
      <c r="CI2739" s="115"/>
      <c r="CJ2739" s="115"/>
      <c r="CK2739" s="115"/>
      <c r="CL2739" s="115"/>
      <c r="CM2739" s="115"/>
      <c r="CN2739" s="115"/>
      <c r="CO2739" s="115"/>
      <c r="CP2739" s="115"/>
      <c r="CQ2739" s="115"/>
      <c r="CR2739" s="115"/>
      <c r="CS2739" s="115"/>
      <c r="CT2739" s="115"/>
      <c r="CU2739" s="115"/>
      <c r="CV2739" s="115"/>
      <c r="CW2739" s="115"/>
      <c r="CX2739" s="115"/>
      <c r="CY2739" s="115"/>
      <c r="CZ2739" s="115"/>
      <c r="DA2739" s="115"/>
      <c r="DB2739" s="115"/>
      <c r="DC2739" s="115"/>
      <c r="DD2739" s="115"/>
      <c r="DE2739" s="115"/>
      <c r="DF2739" s="115"/>
      <c r="DG2739" s="115"/>
    </row>
    <row r="2740" spans="55:111" hidden="1">
      <c r="BC2740" s="115"/>
      <c r="BD2740" s="115"/>
      <c r="BE2740" s="115"/>
      <c r="BF2740" s="115"/>
      <c r="BG2740" s="115"/>
      <c r="BH2740" s="115"/>
      <c r="BI2740" s="115"/>
      <c r="BJ2740" s="115"/>
      <c r="BK2740" s="115"/>
      <c r="BL2740" s="115"/>
      <c r="BM2740" s="115"/>
      <c r="BN2740" s="115"/>
      <c r="BO2740" s="115"/>
      <c r="BP2740" s="115"/>
      <c r="BQ2740" s="115"/>
      <c r="BR2740" s="115"/>
      <c r="BS2740" s="115"/>
      <c r="BT2740" s="115"/>
      <c r="BU2740" s="115"/>
      <c r="BV2740" s="115"/>
      <c r="BW2740" s="115"/>
      <c r="BX2740" s="115"/>
      <c r="BY2740" s="115"/>
      <c r="BZ2740" s="115"/>
      <c r="CA2740" s="115"/>
      <c r="CB2740" s="115"/>
      <c r="CC2740" s="115"/>
      <c r="CD2740" s="115"/>
      <c r="CE2740" s="115"/>
      <c r="CF2740" s="115"/>
      <c r="CG2740" s="115"/>
      <c r="CH2740" s="115"/>
      <c r="CI2740" s="115"/>
      <c r="CJ2740" s="115"/>
      <c r="CK2740" s="115"/>
      <c r="CL2740" s="115"/>
      <c r="CM2740" s="115"/>
      <c r="CN2740" s="115"/>
      <c r="CO2740" s="115"/>
      <c r="CP2740" s="115"/>
      <c r="CQ2740" s="115"/>
      <c r="CR2740" s="115"/>
      <c r="CS2740" s="115"/>
      <c r="CT2740" s="115"/>
      <c r="CU2740" s="115"/>
      <c r="CV2740" s="115"/>
      <c r="CW2740" s="115"/>
      <c r="CX2740" s="115"/>
      <c r="CY2740" s="115"/>
      <c r="CZ2740" s="115"/>
      <c r="DA2740" s="115"/>
      <c r="DB2740" s="115"/>
      <c r="DC2740" s="115"/>
      <c r="DD2740" s="115"/>
      <c r="DE2740" s="115"/>
      <c r="DF2740" s="115"/>
      <c r="DG2740" s="115"/>
    </row>
    <row r="2741" spans="55:111" hidden="1">
      <c r="BC2741" s="115"/>
      <c r="BD2741" s="115"/>
      <c r="BE2741" s="115"/>
      <c r="BF2741" s="115"/>
      <c r="BG2741" s="115"/>
      <c r="BH2741" s="115"/>
      <c r="BI2741" s="115"/>
      <c r="BJ2741" s="115"/>
      <c r="BK2741" s="115"/>
      <c r="BL2741" s="115"/>
      <c r="BM2741" s="115"/>
      <c r="BN2741" s="115"/>
      <c r="BO2741" s="115"/>
      <c r="BP2741" s="115"/>
      <c r="BQ2741" s="115"/>
      <c r="BR2741" s="115"/>
      <c r="BS2741" s="115"/>
      <c r="BT2741" s="115"/>
      <c r="BU2741" s="115"/>
      <c r="BV2741" s="115"/>
      <c r="BW2741" s="115"/>
      <c r="BX2741" s="115"/>
      <c r="BY2741" s="115"/>
      <c r="BZ2741" s="115"/>
      <c r="CA2741" s="115"/>
      <c r="CB2741" s="115"/>
      <c r="CC2741" s="115"/>
      <c r="CD2741" s="115"/>
      <c r="CE2741" s="115"/>
      <c r="CF2741" s="115"/>
      <c r="CG2741" s="115"/>
      <c r="CH2741" s="115"/>
      <c r="CI2741" s="115"/>
      <c r="CJ2741" s="115"/>
      <c r="CK2741" s="115"/>
      <c r="CL2741" s="115"/>
      <c r="CM2741" s="115"/>
      <c r="CN2741" s="115"/>
      <c r="CO2741" s="115"/>
      <c r="CP2741" s="115"/>
      <c r="CQ2741" s="115"/>
      <c r="CR2741" s="115"/>
      <c r="CS2741" s="115"/>
      <c r="CT2741" s="115"/>
      <c r="CU2741" s="115"/>
      <c r="CV2741" s="115"/>
      <c r="CW2741" s="115"/>
      <c r="CX2741" s="115"/>
      <c r="CY2741" s="115"/>
      <c r="CZ2741" s="115"/>
      <c r="DA2741" s="115"/>
      <c r="DB2741" s="115"/>
      <c r="DC2741" s="115"/>
      <c r="DD2741" s="115"/>
      <c r="DE2741" s="115"/>
      <c r="DF2741" s="115"/>
      <c r="DG2741" s="115"/>
    </row>
    <row r="2742" spans="55:111" hidden="1">
      <c r="BC2742" s="115"/>
      <c r="BD2742" s="115"/>
      <c r="BE2742" s="115"/>
      <c r="BF2742" s="115"/>
      <c r="BG2742" s="115"/>
      <c r="BH2742" s="115"/>
      <c r="BI2742" s="115"/>
      <c r="BJ2742" s="115"/>
      <c r="BK2742" s="115"/>
      <c r="BL2742" s="115"/>
      <c r="BM2742" s="115"/>
      <c r="BN2742" s="115"/>
      <c r="BO2742" s="115"/>
      <c r="BP2742" s="115"/>
      <c r="BQ2742" s="115"/>
      <c r="BR2742" s="115"/>
      <c r="BS2742" s="115"/>
      <c r="BT2742" s="115"/>
      <c r="BU2742" s="115"/>
      <c r="BV2742" s="115"/>
      <c r="BW2742" s="115"/>
      <c r="BX2742" s="115"/>
      <c r="BY2742" s="115"/>
      <c r="BZ2742" s="115"/>
      <c r="CA2742" s="115"/>
      <c r="CB2742" s="115"/>
      <c r="CC2742" s="115"/>
      <c r="CD2742" s="115"/>
      <c r="CE2742" s="115"/>
      <c r="CF2742" s="115"/>
      <c r="CG2742" s="115"/>
      <c r="CH2742" s="115"/>
      <c r="CI2742" s="115"/>
      <c r="CJ2742" s="115"/>
      <c r="CK2742" s="115"/>
      <c r="CL2742" s="115"/>
      <c r="CM2742" s="115"/>
      <c r="CN2742" s="115"/>
      <c r="CO2742" s="115"/>
      <c r="CP2742" s="115"/>
      <c r="CQ2742" s="115"/>
      <c r="CR2742" s="115"/>
      <c r="CS2742" s="115"/>
      <c r="CT2742" s="115"/>
      <c r="CU2742" s="115"/>
      <c r="CV2742" s="115"/>
      <c r="CW2742" s="115"/>
      <c r="CX2742" s="115"/>
      <c r="CY2742" s="115"/>
      <c r="CZ2742" s="115"/>
      <c r="DA2742" s="115"/>
      <c r="DB2742" s="115"/>
      <c r="DC2742" s="115"/>
      <c r="DD2742" s="115"/>
      <c r="DE2742" s="115"/>
      <c r="DF2742" s="115"/>
      <c r="DG2742" s="115"/>
    </row>
    <row r="2743" spans="55:111" hidden="1">
      <c r="BC2743" s="115"/>
      <c r="BD2743" s="115"/>
      <c r="BE2743" s="115"/>
      <c r="BF2743" s="115"/>
      <c r="BG2743" s="115"/>
      <c r="BH2743" s="115"/>
      <c r="BI2743" s="115"/>
      <c r="BJ2743" s="115"/>
      <c r="BK2743" s="115"/>
      <c r="BL2743" s="115"/>
      <c r="BM2743" s="115"/>
      <c r="BN2743" s="115"/>
      <c r="BO2743" s="115"/>
      <c r="BP2743" s="115"/>
      <c r="BQ2743" s="115"/>
      <c r="BR2743" s="115"/>
      <c r="BS2743" s="115"/>
      <c r="BT2743" s="115"/>
      <c r="BU2743" s="115"/>
      <c r="BV2743" s="115"/>
      <c r="BW2743" s="115"/>
      <c r="BX2743" s="115"/>
      <c r="BY2743" s="115"/>
      <c r="BZ2743" s="115"/>
      <c r="CA2743" s="115"/>
      <c r="CB2743" s="115"/>
      <c r="CC2743" s="115"/>
      <c r="CD2743" s="115"/>
      <c r="CE2743" s="115"/>
      <c r="CF2743" s="115"/>
      <c r="CG2743" s="115"/>
      <c r="CH2743" s="115"/>
      <c r="CI2743" s="115"/>
      <c r="CJ2743" s="115"/>
      <c r="CK2743" s="115"/>
      <c r="CL2743" s="115"/>
      <c r="CM2743" s="115"/>
      <c r="CN2743" s="115"/>
      <c r="CO2743" s="115"/>
      <c r="CP2743" s="115"/>
      <c r="CQ2743" s="115"/>
      <c r="CR2743" s="115"/>
      <c r="CS2743" s="115"/>
      <c r="CT2743" s="115"/>
      <c r="CU2743" s="115"/>
      <c r="CV2743" s="115"/>
      <c r="CW2743" s="115"/>
      <c r="CX2743" s="115"/>
      <c r="CY2743" s="115"/>
      <c r="CZ2743" s="115"/>
      <c r="DA2743" s="115"/>
      <c r="DB2743" s="115"/>
      <c r="DC2743" s="115"/>
      <c r="DD2743" s="115"/>
      <c r="DE2743" s="115"/>
      <c r="DF2743" s="115"/>
      <c r="DG2743" s="115"/>
    </row>
    <row r="2744" spans="55:111" hidden="1">
      <c r="BC2744" s="115"/>
      <c r="BD2744" s="115"/>
      <c r="BE2744" s="115"/>
      <c r="BF2744" s="115"/>
      <c r="BG2744" s="115"/>
      <c r="BH2744" s="115"/>
      <c r="BI2744" s="115"/>
      <c r="BJ2744" s="115"/>
      <c r="BK2744" s="115"/>
      <c r="BL2744" s="115"/>
      <c r="BM2744" s="115"/>
      <c r="BN2744" s="115"/>
      <c r="BO2744" s="115"/>
      <c r="BP2744" s="115"/>
      <c r="BQ2744" s="115"/>
      <c r="BR2744" s="115"/>
      <c r="BS2744" s="115"/>
      <c r="BT2744" s="115"/>
      <c r="BU2744" s="115"/>
      <c r="BV2744" s="115"/>
      <c r="BW2744" s="115"/>
      <c r="BX2744" s="115"/>
      <c r="BY2744" s="115"/>
      <c r="BZ2744" s="115"/>
      <c r="CA2744" s="115"/>
      <c r="CB2744" s="115"/>
      <c r="CC2744" s="115"/>
      <c r="CD2744" s="115"/>
      <c r="CE2744" s="115"/>
      <c r="CF2744" s="115"/>
      <c r="CG2744" s="115"/>
      <c r="CH2744" s="115"/>
      <c r="CI2744" s="115"/>
      <c r="CJ2744" s="115"/>
      <c r="CK2744" s="115"/>
      <c r="CL2744" s="115"/>
      <c r="CM2744" s="115"/>
      <c r="CN2744" s="115"/>
      <c r="CO2744" s="115"/>
      <c r="CP2744" s="115"/>
      <c r="CQ2744" s="115"/>
      <c r="CR2744" s="115"/>
      <c r="CS2744" s="115"/>
      <c r="CT2744" s="115"/>
      <c r="CU2744" s="115"/>
      <c r="CV2744" s="115"/>
      <c r="CW2744" s="115"/>
      <c r="CX2744" s="115"/>
      <c r="CY2744" s="115"/>
      <c r="CZ2744" s="115"/>
      <c r="DA2744" s="115"/>
      <c r="DB2744" s="115"/>
      <c r="DC2744" s="115"/>
      <c r="DD2744" s="115"/>
      <c r="DE2744" s="115"/>
      <c r="DF2744" s="115"/>
      <c r="DG2744" s="115"/>
    </row>
    <row r="2745" spans="55:111" hidden="1">
      <c r="BC2745" s="115"/>
      <c r="BD2745" s="115"/>
      <c r="BE2745" s="115"/>
      <c r="BF2745" s="115"/>
      <c r="BG2745" s="115"/>
      <c r="BH2745" s="115"/>
      <c r="BI2745" s="115"/>
      <c r="BJ2745" s="115"/>
      <c r="BK2745" s="115"/>
      <c r="BL2745" s="115"/>
      <c r="BM2745" s="115"/>
      <c r="BN2745" s="115"/>
      <c r="BO2745" s="115"/>
      <c r="BP2745" s="115"/>
      <c r="BQ2745" s="115"/>
      <c r="BR2745" s="115"/>
      <c r="BS2745" s="115"/>
      <c r="BT2745" s="115"/>
      <c r="BU2745" s="115"/>
      <c r="BV2745" s="115"/>
      <c r="BW2745" s="115"/>
      <c r="BX2745" s="115"/>
      <c r="BY2745" s="115"/>
      <c r="BZ2745" s="115"/>
      <c r="CA2745" s="115"/>
      <c r="CB2745" s="115"/>
      <c r="CC2745" s="115"/>
      <c r="CD2745" s="115"/>
      <c r="CE2745" s="115"/>
      <c r="CF2745" s="115"/>
      <c r="CG2745" s="115"/>
      <c r="CH2745" s="115"/>
      <c r="CI2745" s="115"/>
      <c r="CJ2745" s="115"/>
      <c r="CK2745" s="115"/>
      <c r="CL2745" s="115"/>
      <c r="CM2745" s="115"/>
      <c r="CN2745" s="115"/>
      <c r="CO2745" s="115"/>
      <c r="CP2745" s="115"/>
      <c r="CQ2745" s="115"/>
      <c r="CR2745" s="115"/>
      <c r="CS2745" s="115"/>
      <c r="CT2745" s="115"/>
      <c r="CU2745" s="115"/>
      <c r="CV2745" s="115"/>
      <c r="CW2745" s="115"/>
      <c r="CX2745" s="115"/>
      <c r="CY2745" s="115"/>
      <c r="CZ2745" s="115"/>
      <c r="DA2745" s="115"/>
      <c r="DB2745" s="115"/>
      <c r="DC2745" s="115"/>
      <c r="DD2745" s="115"/>
      <c r="DE2745" s="115"/>
      <c r="DF2745" s="115"/>
      <c r="DG2745" s="115"/>
    </row>
    <row r="2746" spans="55:111" hidden="1">
      <c r="BC2746" s="115"/>
      <c r="BD2746" s="115"/>
      <c r="BE2746" s="115"/>
      <c r="BF2746" s="115"/>
      <c r="BG2746" s="115"/>
      <c r="BH2746" s="115"/>
      <c r="BI2746" s="115"/>
      <c r="BJ2746" s="115"/>
      <c r="BK2746" s="115"/>
      <c r="BL2746" s="115"/>
      <c r="BM2746" s="115"/>
      <c r="BN2746" s="115"/>
      <c r="BO2746" s="115"/>
      <c r="BP2746" s="115"/>
      <c r="BQ2746" s="115"/>
      <c r="BR2746" s="115"/>
      <c r="BS2746" s="115"/>
      <c r="BT2746" s="115"/>
      <c r="BU2746" s="115"/>
      <c r="BV2746" s="115"/>
      <c r="BW2746" s="115"/>
      <c r="BX2746" s="115"/>
      <c r="BY2746" s="115"/>
      <c r="BZ2746" s="115"/>
      <c r="CA2746" s="115"/>
      <c r="CB2746" s="115"/>
      <c r="CC2746" s="115"/>
      <c r="CD2746" s="115"/>
      <c r="CE2746" s="115"/>
      <c r="CF2746" s="115"/>
      <c r="CG2746" s="115"/>
      <c r="CH2746" s="115"/>
      <c r="CI2746" s="115"/>
      <c r="CJ2746" s="115"/>
      <c r="CK2746" s="115"/>
      <c r="CL2746" s="115"/>
      <c r="CM2746" s="115"/>
      <c r="CN2746" s="115"/>
      <c r="CO2746" s="115"/>
      <c r="CP2746" s="115"/>
      <c r="CQ2746" s="115"/>
      <c r="CR2746" s="115"/>
      <c r="CS2746" s="115"/>
      <c r="CT2746" s="115"/>
      <c r="CU2746" s="115"/>
      <c r="CV2746" s="115"/>
      <c r="CW2746" s="115"/>
      <c r="CX2746" s="115"/>
      <c r="CY2746" s="115"/>
      <c r="CZ2746" s="115"/>
      <c r="DA2746" s="115"/>
      <c r="DB2746" s="115"/>
      <c r="DC2746" s="115"/>
      <c r="DD2746" s="115"/>
      <c r="DE2746" s="115"/>
      <c r="DF2746" s="115"/>
      <c r="DG2746" s="115"/>
    </row>
    <row r="2747" spans="55:111" hidden="1">
      <c r="BC2747" s="115"/>
      <c r="BD2747" s="115"/>
      <c r="BE2747" s="115"/>
      <c r="BF2747" s="115"/>
      <c r="BG2747" s="115"/>
      <c r="BH2747" s="115"/>
      <c r="BI2747" s="115"/>
      <c r="BJ2747" s="115"/>
      <c r="BK2747" s="115"/>
      <c r="BL2747" s="115"/>
      <c r="BM2747" s="115"/>
      <c r="BN2747" s="115"/>
      <c r="BO2747" s="115"/>
      <c r="BP2747" s="115"/>
      <c r="BQ2747" s="115"/>
      <c r="BR2747" s="115"/>
      <c r="BS2747" s="115"/>
      <c r="BT2747" s="115"/>
      <c r="BU2747" s="115"/>
      <c r="BV2747" s="115"/>
      <c r="BW2747" s="115"/>
      <c r="BX2747" s="115"/>
      <c r="BY2747" s="115"/>
      <c r="BZ2747" s="115"/>
      <c r="CA2747" s="115"/>
      <c r="CB2747" s="115"/>
      <c r="CC2747" s="115"/>
      <c r="CD2747" s="115"/>
      <c r="CE2747" s="115"/>
      <c r="CF2747" s="115"/>
      <c r="CG2747" s="115"/>
      <c r="CH2747" s="115"/>
      <c r="CI2747" s="115"/>
      <c r="CJ2747" s="115"/>
      <c r="CK2747" s="115"/>
      <c r="CL2747" s="115"/>
      <c r="CM2747" s="115"/>
      <c r="CN2747" s="115"/>
      <c r="CO2747" s="115"/>
      <c r="CP2747" s="115"/>
      <c r="CQ2747" s="115"/>
      <c r="CR2747" s="115"/>
      <c r="CS2747" s="115"/>
      <c r="CT2747" s="115"/>
      <c r="CU2747" s="115"/>
      <c r="CV2747" s="115"/>
      <c r="CW2747" s="115"/>
      <c r="CX2747" s="115"/>
      <c r="CY2747" s="115"/>
      <c r="CZ2747" s="115"/>
      <c r="DA2747" s="115"/>
      <c r="DB2747" s="115"/>
      <c r="DC2747" s="115"/>
      <c r="DD2747" s="115"/>
      <c r="DE2747" s="115"/>
      <c r="DF2747" s="115"/>
      <c r="DG2747" s="115"/>
    </row>
    <row r="2748" spans="55:111" hidden="1">
      <c r="BC2748" s="115"/>
      <c r="BD2748" s="115"/>
      <c r="BE2748" s="115"/>
      <c r="BF2748" s="115"/>
      <c r="BG2748" s="115"/>
      <c r="BH2748" s="115"/>
      <c r="BI2748" s="115"/>
      <c r="BJ2748" s="115"/>
      <c r="BK2748" s="115"/>
      <c r="BL2748" s="115"/>
      <c r="BM2748" s="115"/>
      <c r="BN2748" s="115"/>
      <c r="BO2748" s="115"/>
      <c r="BP2748" s="115"/>
      <c r="BQ2748" s="115"/>
      <c r="BR2748" s="115"/>
      <c r="BS2748" s="115"/>
      <c r="BT2748" s="115"/>
      <c r="BU2748" s="115"/>
      <c r="BV2748" s="115"/>
      <c r="BW2748" s="115"/>
      <c r="BX2748" s="115"/>
      <c r="BY2748" s="115"/>
      <c r="BZ2748" s="115"/>
      <c r="CA2748" s="115"/>
      <c r="CB2748" s="115"/>
      <c r="CC2748" s="115"/>
      <c r="CD2748" s="115"/>
      <c r="CE2748" s="115"/>
      <c r="CF2748" s="115"/>
      <c r="CG2748" s="115"/>
      <c r="CH2748" s="115"/>
      <c r="CI2748" s="115"/>
      <c r="CJ2748" s="115"/>
      <c r="CK2748" s="115"/>
      <c r="CL2748" s="115"/>
      <c r="CM2748" s="115"/>
      <c r="CN2748" s="115"/>
      <c r="CO2748" s="115"/>
      <c r="CP2748" s="115"/>
      <c r="CQ2748" s="115"/>
      <c r="CR2748" s="115"/>
      <c r="CS2748" s="115"/>
      <c r="CT2748" s="115"/>
      <c r="CU2748" s="115"/>
      <c r="CV2748" s="115"/>
      <c r="CW2748" s="115"/>
      <c r="CX2748" s="115"/>
      <c r="CY2748" s="115"/>
      <c r="CZ2748" s="115"/>
      <c r="DA2748" s="115"/>
      <c r="DB2748" s="115"/>
      <c r="DC2748" s="115"/>
      <c r="DD2748" s="115"/>
      <c r="DE2748" s="115"/>
      <c r="DF2748" s="115"/>
      <c r="DG2748" s="115"/>
    </row>
    <row r="2749" spans="55:111" hidden="1">
      <c r="BC2749" s="115"/>
      <c r="BD2749" s="115"/>
      <c r="BE2749" s="115"/>
      <c r="BF2749" s="115"/>
      <c r="BG2749" s="115"/>
      <c r="BH2749" s="115"/>
      <c r="BI2749" s="115"/>
      <c r="BJ2749" s="115"/>
      <c r="BK2749" s="115"/>
      <c r="BL2749" s="115"/>
      <c r="BM2749" s="115"/>
      <c r="BN2749" s="115"/>
      <c r="BO2749" s="115"/>
      <c r="BP2749" s="115"/>
      <c r="BQ2749" s="115"/>
      <c r="BR2749" s="115"/>
      <c r="BS2749" s="115"/>
      <c r="BT2749" s="115"/>
      <c r="BU2749" s="115"/>
      <c r="BV2749" s="115"/>
      <c r="BW2749" s="115"/>
      <c r="BX2749" s="115"/>
      <c r="BY2749" s="115"/>
      <c r="BZ2749" s="115"/>
      <c r="CA2749" s="115"/>
      <c r="CB2749" s="115"/>
      <c r="CC2749" s="115"/>
      <c r="CD2749" s="115"/>
      <c r="CE2749" s="115"/>
      <c r="CF2749" s="115"/>
      <c r="CG2749" s="115"/>
      <c r="CH2749" s="115"/>
      <c r="CI2749" s="115"/>
      <c r="CJ2749" s="115"/>
      <c r="CK2749" s="115"/>
      <c r="CL2749" s="115"/>
      <c r="CM2749" s="115"/>
      <c r="CN2749" s="115"/>
      <c r="CO2749" s="115"/>
      <c r="CP2749" s="115"/>
      <c r="CQ2749" s="115"/>
      <c r="CR2749" s="115"/>
      <c r="CS2749" s="115"/>
      <c r="CT2749" s="115"/>
      <c r="CU2749" s="115"/>
      <c r="CV2749" s="115"/>
      <c r="CW2749" s="115"/>
      <c r="CX2749" s="115"/>
      <c r="CY2749" s="115"/>
      <c r="CZ2749" s="115"/>
      <c r="DA2749" s="115"/>
      <c r="DB2749" s="115"/>
      <c r="DC2749" s="115"/>
      <c r="DD2749" s="115"/>
      <c r="DE2749" s="115"/>
      <c r="DF2749" s="115"/>
      <c r="DG2749" s="115"/>
    </row>
    <row r="2750" spans="55:111" hidden="1">
      <c r="BC2750" s="115"/>
      <c r="BD2750" s="115"/>
      <c r="BE2750" s="115"/>
      <c r="BF2750" s="115"/>
      <c r="BG2750" s="115"/>
      <c r="BH2750" s="115"/>
      <c r="BI2750" s="115"/>
      <c r="BJ2750" s="115"/>
      <c r="BK2750" s="115"/>
      <c r="BL2750" s="115"/>
      <c r="BM2750" s="115"/>
      <c r="BN2750" s="115"/>
      <c r="BO2750" s="115"/>
      <c r="BP2750" s="115"/>
      <c r="BQ2750" s="115"/>
      <c r="BR2750" s="115"/>
      <c r="BS2750" s="115"/>
      <c r="BT2750" s="115"/>
      <c r="BU2750" s="115"/>
      <c r="BV2750" s="115"/>
      <c r="BW2750" s="115"/>
      <c r="BX2750" s="115"/>
      <c r="BY2750" s="115"/>
      <c r="BZ2750" s="115"/>
      <c r="CA2750" s="115"/>
      <c r="CB2750" s="115"/>
      <c r="CC2750" s="115"/>
      <c r="CD2750" s="115"/>
      <c r="CE2750" s="115"/>
      <c r="CF2750" s="115"/>
      <c r="CG2750" s="115"/>
      <c r="CH2750" s="115"/>
      <c r="CI2750" s="115"/>
      <c r="CJ2750" s="115"/>
      <c r="CK2750" s="115"/>
      <c r="CL2750" s="115"/>
      <c r="CM2750" s="115"/>
      <c r="CN2750" s="115"/>
      <c r="CO2750" s="115"/>
      <c r="CP2750" s="115"/>
      <c r="CQ2750" s="115"/>
      <c r="CR2750" s="115"/>
      <c r="CS2750" s="115"/>
      <c r="CT2750" s="115"/>
      <c r="CU2750" s="115"/>
      <c r="CV2750" s="115"/>
      <c r="CW2750" s="115"/>
      <c r="CX2750" s="115"/>
      <c r="CY2750" s="115"/>
      <c r="CZ2750" s="115"/>
      <c r="DA2750" s="115"/>
      <c r="DB2750" s="115"/>
      <c r="DC2750" s="115"/>
      <c r="DD2750" s="115"/>
      <c r="DE2750" s="115"/>
      <c r="DF2750" s="115"/>
      <c r="DG2750" s="115"/>
    </row>
    <row r="2751" spans="55:111" hidden="1">
      <c r="BC2751" s="115"/>
      <c r="BD2751" s="115"/>
      <c r="BE2751" s="115"/>
      <c r="BF2751" s="115"/>
      <c r="BG2751" s="115"/>
      <c r="BH2751" s="115"/>
      <c r="BI2751" s="115"/>
      <c r="BJ2751" s="115"/>
      <c r="BK2751" s="115"/>
      <c r="BL2751" s="115"/>
      <c r="BM2751" s="115"/>
      <c r="BN2751" s="115"/>
      <c r="BO2751" s="115"/>
      <c r="BP2751" s="115"/>
      <c r="BQ2751" s="115"/>
      <c r="BR2751" s="115"/>
      <c r="BS2751" s="115"/>
      <c r="BT2751" s="115"/>
      <c r="BU2751" s="115"/>
      <c r="BV2751" s="115"/>
      <c r="BW2751" s="115"/>
      <c r="BX2751" s="115"/>
      <c r="BY2751" s="115"/>
      <c r="BZ2751" s="115"/>
      <c r="CA2751" s="115"/>
      <c r="CB2751" s="115"/>
      <c r="CC2751" s="115"/>
      <c r="CD2751" s="115"/>
      <c r="CE2751" s="115"/>
      <c r="CF2751" s="115"/>
      <c r="CG2751" s="115"/>
      <c r="CH2751" s="115"/>
      <c r="CI2751" s="115"/>
      <c r="CJ2751" s="115"/>
      <c r="CK2751" s="115"/>
      <c r="CL2751" s="115"/>
      <c r="CM2751" s="115"/>
      <c r="CN2751" s="115"/>
      <c r="CO2751" s="115"/>
      <c r="CP2751" s="115"/>
      <c r="CQ2751" s="115"/>
      <c r="CR2751" s="115"/>
      <c r="CS2751" s="115"/>
      <c r="CT2751" s="115"/>
      <c r="CU2751" s="115"/>
      <c r="CV2751" s="115"/>
      <c r="CW2751" s="115"/>
      <c r="CX2751" s="115"/>
      <c r="CY2751" s="115"/>
      <c r="CZ2751" s="115"/>
      <c r="DA2751" s="115"/>
      <c r="DB2751" s="115"/>
      <c r="DC2751" s="115"/>
      <c r="DD2751" s="115"/>
      <c r="DE2751" s="115"/>
      <c r="DF2751" s="115"/>
      <c r="DG2751" s="115"/>
    </row>
    <row r="2752" spans="55:111" hidden="1">
      <c r="BC2752" s="115"/>
      <c r="BD2752" s="115"/>
      <c r="BE2752" s="115"/>
      <c r="BF2752" s="115"/>
      <c r="BG2752" s="115"/>
      <c r="BH2752" s="115"/>
      <c r="BI2752" s="115"/>
      <c r="BJ2752" s="115"/>
      <c r="BK2752" s="115"/>
      <c r="BL2752" s="115"/>
      <c r="BM2752" s="115"/>
      <c r="BN2752" s="115"/>
      <c r="BO2752" s="115"/>
      <c r="BP2752" s="115"/>
      <c r="BQ2752" s="115"/>
      <c r="BR2752" s="115"/>
      <c r="BS2752" s="115"/>
      <c r="BT2752" s="115"/>
      <c r="BU2752" s="115"/>
      <c r="BV2752" s="115"/>
      <c r="BW2752" s="115"/>
      <c r="BX2752" s="115"/>
      <c r="BY2752" s="115"/>
      <c r="BZ2752" s="115"/>
      <c r="CA2752" s="115"/>
      <c r="CB2752" s="115"/>
      <c r="CC2752" s="115"/>
      <c r="CD2752" s="115"/>
      <c r="CE2752" s="115"/>
      <c r="CF2752" s="115"/>
      <c r="CG2752" s="115"/>
      <c r="CH2752" s="115"/>
      <c r="CI2752" s="115"/>
      <c r="CJ2752" s="115"/>
      <c r="CK2752" s="115"/>
      <c r="CL2752" s="115"/>
      <c r="CM2752" s="115"/>
      <c r="CN2752" s="115"/>
      <c r="CO2752" s="115"/>
      <c r="CP2752" s="115"/>
      <c r="CQ2752" s="115"/>
      <c r="CR2752" s="115"/>
      <c r="CS2752" s="115"/>
      <c r="CT2752" s="115"/>
      <c r="CU2752" s="115"/>
      <c r="CV2752" s="115"/>
      <c r="CW2752" s="115"/>
      <c r="CX2752" s="115"/>
      <c r="CY2752" s="115"/>
      <c r="CZ2752" s="115"/>
      <c r="DA2752" s="115"/>
      <c r="DB2752" s="115"/>
      <c r="DC2752" s="115"/>
      <c r="DD2752" s="115"/>
      <c r="DE2752" s="115"/>
      <c r="DF2752" s="115"/>
      <c r="DG2752" s="115"/>
    </row>
    <row r="2753" spans="55:111" hidden="1">
      <c r="BC2753" s="115"/>
      <c r="BD2753" s="115"/>
      <c r="BE2753" s="115"/>
      <c r="BF2753" s="115"/>
      <c r="BG2753" s="115"/>
      <c r="BH2753" s="115"/>
      <c r="BI2753" s="115"/>
      <c r="BJ2753" s="115"/>
      <c r="BK2753" s="115"/>
      <c r="BL2753" s="115"/>
      <c r="BM2753" s="115"/>
      <c r="BN2753" s="115"/>
      <c r="BO2753" s="115"/>
      <c r="BP2753" s="115"/>
      <c r="BQ2753" s="115"/>
      <c r="BR2753" s="115"/>
      <c r="BS2753" s="115"/>
      <c r="BT2753" s="115"/>
      <c r="BU2753" s="115"/>
      <c r="BV2753" s="115"/>
      <c r="BW2753" s="115"/>
      <c r="BX2753" s="115"/>
      <c r="BY2753" s="115"/>
      <c r="BZ2753" s="115"/>
      <c r="CA2753" s="115"/>
      <c r="CB2753" s="115"/>
      <c r="CC2753" s="115"/>
      <c r="CD2753" s="115"/>
      <c r="CE2753" s="115"/>
      <c r="CF2753" s="115"/>
      <c r="CG2753" s="115"/>
      <c r="CH2753" s="115"/>
      <c r="CI2753" s="115"/>
      <c r="CJ2753" s="115"/>
      <c r="CK2753" s="115"/>
      <c r="CL2753" s="115"/>
      <c r="CM2753" s="115"/>
      <c r="CN2753" s="115"/>
      <c r="CO2753" s="115"/>
      <c r="CP2753" s="115"/>
      <c r="CQ2753" s="115"/>
      <c r="CR2753" s="115"/>
      <c r="CS2753" s="115"/>
      <c r="CT2753" s="115"/>
      <c r="CU2753" s="115"/>
      <c r="CV2753" s="115"/>
      <c r="CW2753" s="115"/>
      <c r="CX2753" s="115"/>
      <c r="CY2753" s="115"/>
      <c r="CZ2753" s="115"/>
      <c r="DA2753" s="115"/>
      <c r="DB2753" s="115"/>
      <c r="DC2753" s="115"/>
      <c r="DD2753" s="115"/>
      <c r="DE2753" s="115"/>
      <c r="DF2753" s="115"/>
      <c r="DG2753" s="115"/>
    </row>
    <row r="2754" spans="55:111" hidden="1">
      <c r="BC2754" s="115"/>
      <c r="BD2754" s="115"/>
      <c r="BE2754" s="115"/>
      <c r="BF2754" s="115"/>
      <c r="BG2754" s="115"/>
      <c r="BH2754" s="115"/>
      <c r="BI2754" s="115"/>
      <c r="BJ2754" s="115"/>
      <c r="BK2754" s="115"/>
      <c r="BL2754" s="115"/>
      <c r="BM2754" s="115"/>
      <c r="BN2754" s="115"/>
      <c r="BO2754" s="115"/>
      <c r="BP2754" s="115"/>
      <c r="BQ2754" s="115"/>
      <c r="BR2754" s="115"/>
      <c r="BS2754" s="115"/>
      <c r="BT2754" s="115"/>
      <c r="BU2754" s="115"/>
      <c r="BV2754" s="115"/>
      <c r="BW2754" s="115"/>
      <c r="BX2754" s="115"/>
      <c r="BY2754" s="115"/>
      <c r="BZ2754" s="115"/>
      <c r="CA2754" s="115"/>
      <c r="CB2754" s="115"/>
      <c r="CC2754" s="115"/>
      <c r="CD2754" s="115"/>
      <c r="CE2754" s="115"/>
      <c r="CF2754" s="115"/>
      <c r="CG2754" s="115"/>
      <c r="CH2754" s="115"/>
      <c r="CI2754" s="115"/>
      <c r="CJ2754" s="115"/>
      <c r="CK2754" s="115"/>
      <c r="CL2754" s="115"/>
      <c r="CM2754" s="115"/>
      <c r="CN2754" s="115"/>
      <c r="CO2754" s="115"/>
      <c r="CP2754" s="115"/>
      <c r="CQ2754" s="115"/>
      <c r="CR2754" s="115"/>
      <c r="CS2754" s="115"/>
      <c r="CT2754" s="115"/>
      <c r="CU2754" s="115"/>
      <c r="CV2754" s="115"/>
      <c r="CW2754" s="115"/>
      <c r="CX2754" s="115"/>
      <c r="CY2754" s="115"/>
      <c r="CZ2754" s="115"/>
      <c r="DA2754" s="115"/>
      <c r="DB2754" s="115"/>
      <c r="DC2754" s="115"/>
      <c r="DD2754" s="115"/>
      <c r="DE2754" s="115"/>
      <c r="DF2754" s="115"/>
      <c r="DG2754" s="115"/>
    </row>
    <row r="2755" spans="55:111" hidden="1">
      <c r="BC2755" s="115"/>
      <c r="BD2755" s="115"/>
      <c r="BE2755" s="115"/>
      <c r="BF2755" s="115"/>
      <c r="BG2755" s="115"/>
      <c r="BH2755" s="115"/>
      <c r="BI2755" s="115"/>
      <c r="BJ2755" s="115"/>
      <c r="BK2755" s="115"/>
      <c r="BL2755" s="115"/>
      <c r="BM2755" s="115"/>
      <c r="BN2755" s="115"/>
      <c r="BO2755" s="115"/>
      <c r="BP2755" s="115"/>
      <c r="BQ2755" s="115"/>
      <c r="BR2755" s="115"/>
      <c r="BS2755" s="115"/>
      <c r="BT2755" s="115"/>
      <c r="BU2755" s="115"/>
      <c r="BV2755" s="115"/>
      <c r="BW2755" s="115"/>
      <c r="BX2755" s="115"/>
      <c r="BY2755" s="115"/>
      <c r="BZ2755" s="115"/>
      <c r="CA2755" s="115"/>
      <c r="CB2755" s="115"/>
      <c r="CC2755" s="115"/>
      <c r="CD2755" s="115"/>
      <c r="CE2755" s="115"/>
      <c r="CF2755" s="115"/>
      <c r="CG2755" s="115"/>
      <c r="CH2755" s="115"/>
      <c r="CI2755" s="115"/>
      <c r="CJ2755" s="115"/>
      <c r="CK2755" s="115"/>
      <c r="CL2755" s="115"/>
      <c r="CM2755" s="115"/>
      <c r="CN2755" s="115"/>
      <c r="CO2755" s="115"/>
      <c r="CP2755" s="115"/>
      <c r="CQ2755" s="115"/>
      <c r="CR2755" s="115"/>
      <c r="CS2755" s="115"/>
      <c r="CT2755" s="115"/>
      <c r="CU2755" s="115"/>
      <c r="CV2755" s="115"/>
      <c r="CW2755" s="115"/>
      <c r="CX2755" s="115"/>
      <c r="CY2755" s="115"/>
      <c r="CZ2755" s="115"/>
      <c r="DA2755" s="115"/>
      <c r="DB2755" s="115"/>
      <c r="DC2755" s="115"/>
      <c r="DD2755" s="115"/>
      <c r="DE2755" s="115"/>
      <c r="DF2755" s="115"/>
      <c r="DG2755" s="115"/>
    </row>
    <row r="2756" spans="55:111" hidden="1">
      <c r="BC2756" s="115"/>
      <c r="BD2756" s="115"/>
      <c r="BE2756" s="115"/>
      <c r="BF2756" s="115"/>
      <c r="BG2756" s="115"/>
      <c r="BH2756" s="115"/>
      <c r="BI2756" s="115"/>
      <c r="BJ2756" s="115"/>
      <c r="BK2756" s="115"/>
      <c r="BL2756" s="115"/>
      <c r="BM2756" s="115"/>
      <c r="BN2756" s="115"/>
      <c r="BO2756" s="115"/>
      <c r="BP2756" s="115"/>
      <c r="BQ2756" s="115"/>
      <c r="BR2756" s="115"/>
      <c r="BS2756" s="115"/>
      <c r="BT2756" s="115"/>
      <c r="BU2756" s="115"/>
      <c r="BV2756" s="115"/>
      <c r="BW2756" s="115"/>
      <c r="BX2756" s="115"/>
      <c r="BY2756" s="115"/>
      <c r="BZ2756" s="115"/>
      <c r="CA2756" s="115"/>
      <c r="CB2756" s="115"/>
      <c r="CC2756" s="115"/>
      <c r="CD2756" s="115"/>
      <c r="CE2756" s="115"/>
      <c r="CF2756" s="115"/>
      <c r="CG2756" s="115"/>
      <c r="CH2756" s="115"/>
      <c r="CI2756" s="115"/>
      <c r="CJ2756" s="115"/>
      <c r="CK2756" s="115"/>
      <c r="CL2756" s="115"/>
      <c r="CM2756" s="115"/>
      <c r="CN2756" s="115"/>
      <c r="CO2756" s="115"/>
      <c r="CP2756" s="115"/>
      <c r="CQ2756" s="115"/>
      <c r="CR2756" s="115"/>
      <c r="CS2756" s="115"/>
      <c r="CT2756" s="115"/>
      <c r="CU2756" s="115"/>
      <c r="CV2756" s="115"/>
      <c r="CW2756" s="115"/>
      <c r="CX2756" s="115"/>
      <c r="CY2756" s="115"/>
      <c r="CZ2756" s="115"/>
      <c r="DA2756" s="115"/>
      <c r="DB2756" s="115"/>
      <c r="DC2756" s="115"/>
      <c r="DD2756" s="115"/>
      <c r="DE2756" s="115"/>
      <c r="DF2756" s="115"/>
      <c r="DG2756" s="115"/>
    </row>
    <row r="2757" spans="55:111" hidden="1">
      <c r="BC2757" s="115"/>
      <c r="BD2757" s="115"/>
      <c r="BE2757" s="115"/>
      <c r="BF2757" s="115"/>
      <c r="BG2757" s="115"/>
      <c r="BH2757" s="115"/>
      <c r="BI2757" s="115"/>
      <c r="BJ2757" s="115"/>
      <c r="BK2757" s="115"/>
      <c r="BL2757" s="115"/>
      <c r="BM2757" s="115"/>
      <c r="BN2757" s="115"/>
      <c r="BO2757" s="115"/>
      <c r="BP2757" s="115"/>
      <c r="BQ2757" s="115"/>
      <c r="BR2757" s="115"/>
      <c r="BS2757" s="115"/>
      <c r="BT2757" s="115"/>
      <c r="BU2757" s="115"/>
      <c r="BV2757" s="115"/>
      <c r="BW2757" s="115"/>
      <c r="BX2757" s="115"/>
      <c r="BY2757" s="115"/>
      <c r="BZ2757" s="115"/>
      <c r="CA2757" s="115"/>
      <c r="CB2757" s="115"/>
      <c r="CC2757" s="115"/>
      <c r="CD2757" s="115"/>
      <c r="CE2757" s="115"/>
      <c r="CF2757" s="115"/>
      <c r="CG2757" s="115"/>
      <c r="CH2757" s="115"/>
      <c r="CI2757" s="115"/>
      <c r="CJ2757" s="115"/>
      <c r="CK2757" s="115"/>
      <c r="CL2757" s="115"/>
      <c r="CM2757" s="115"/>
      <c r="CN2757" s="115"/>
      <c r="CO2757" s="115"/>
      <c r="CP2757" s="115"/>
      <c r="CQ2757" s="115"/>
      <c r="CR2757" s="115"/>
      <c r="CS2757" s="115"/>
      <c r="CT2757" s="115"/>
      <c r="CU2757" s="115"/>
      <c r="CV2757" s="115"/>
      <c r="CW2757" s="115"/>
      <c r="CX2757" s="115"/>
      <c r="CY2757" s="115"/>
      <c r="CZ2757" s="115"/>
      <c r="DA2757" s="115"/>
      <c r="DB2757" s="115"/>
      <c r="DC2757" s="115"/>
      <c r="DD2757" s="115"/>
      <c r="DE2757" s="115"/>
      <c r="DF2757" s="115"/>
      <c r="DG2757" s="115"/>
    </row>
    <row r="2758" spans="55:111" hidden="1">
      <c r="BC2758" s="115"/>
      <c r="BD2758" s="115"/>
      <c r="BE2758" s="115"/>
      <c r="BF2758" s="115"/>
      <c r="BG2758" s="115"/>
      <c r="BH2758" s="115"/>
      <c r="BI2758" s="115"/>
      <c r="BJ2758" s="115"/>
      <c r="BK2758" s="115"/>
      <c r="BL2758" s="115"/>
      <c r="BM2758" s="115"/>
      <c r="BN2758" s="115"/>
      <c r="BO2758" s="115"/>
      <c r="BP2758" s="115"/>
      <c r="BQ2758" s="115"/>
      <c r="BR2758" s="115"/>
      <c r="BS2758" s="115"/>
      <c r="BT2758" s="115"/>
      <c r="BU2758" s="115"/>
      <c r="BV2758" s="115"/>
      <c r="BW2758" s="115"/>
      <c r="BX2758" s="115"/>
      <c r="BY2758" s="115"/>
      <c r="BZ2758" s="115"/>
      <c r="CA2758" s="115"/>
      <c r="CB2758" s="115"/>
      <c r="CC2758" s="115"/>
      <c r="CD2758" s="115"/>
      <c r="CE2758" s="115"/>
      <c r="CF2758" s="115"/>
      <c r="CG2758" s="115"/>
      <c r="CH2758" s="115"/>
      <c r="CI2758" s="115"/>
      <c r="CJ2758" s="115"/>
      <c r="CK2758" s="115"/>
      <c r="CL2758" s="115"/>
      <c r="CM2758" s="115"/>
      <c r="CN2758" s="115"/>
      <c r="CO2758" s="115"/>
      <c r="CP2758" s="115"/>
      <c r="CQ2758" s="115"/>
      <c r="CR2758" s="115"/>
      <c r="CS2758" s="115"/>
      <c r="CT2758" s="115"/>
      <c r="CU2758" s="115"/>
      <c r="CV2758" s="115"/>
      <c r="CW2758" s="115"/>
      <c r="CX2758" s="115"/>
      <c r="CY2758" s="115"/>
      <c r="CZ2758" s="115"/>
      <c r="DA2758" s="115"/>
      <c r="DB2758" s="115"/>
      <c r="DC2758" s="115"/>
      <c r="DD2758" s="115"/>
      <c r="DE2758" s="115"/>
      <c r="DF2758" s="115"/>
      <c r="DG2758" s="115"/>
    </row>
    <row r="2759" spans="55:111" hidden="1">
      <c r="BC2759" s="115"/>
      <c r="BD2759" s="115"/>
      <c r="BE2759" s="115"/>
      <c r="BF2759" s="115"/>
      <c r="BG2759" s="115"/>
      <c r="BH2759" s="115"/>
      <c r="BI2759" s="115"/>
      <c r="BJ2759" s="115"/>
      <c r="BK2759" s="115"/>
      <c r="BL2759" s="115"/>
      <c r="BM2759" s="115"/>
      <c r="BN2759" s="115"/>
      <c r="BO2759" s="115"/>
      <c r="BP2759" s="115"/>
      <c r="BQ2759" s="115"/>
      <c r="BR2759" s="115"/>
      <c r="BS2759" s="115"/>
      <c r="BT2759" s="115"/>
      <c r="BU2759" s="115"/>
      <c r="BV2759" s="115"/>
      <c r="BW2759" s="115"/>
      <c r="BX2759" s="115"/>
      <c r="BY2759" s="115"/>
      <c r="BZ2759" s="115"/>
      <c r="CA2759" s="115"/>
      <c r="CB2759" s="115"/>
      <c r="CC2759" s="115"/>
      <c r="CD2759" s="115"/>
      <c r="CE2759" s="115"/>
      <c r="CF2759" s="115"/>
      <c r="CG2759" s="115"/>
      <c r="CH2759" s="115"/>
      <c r="CI2759" s="115"/>
      <c r="CJ2759" s="115"/>
      <c r="CK2759" s="115"/>
      <c r="CL2759" s="115"/>
      <c r="CM2759" s="115"/>
      <c r="CN2759" s="115"/>
      <c r="CO2759" s="115"/>
      <c r="CP2759" s="115"/>
      <c r="CQ2759" s="115"/>
      <c r="CR2759" s="115"/>
      <c r="CS2759" s="115"/>
      <c r="CT2759" s="115"/>
      <c r="CU2759" s="115"/>
      <c r="CV2759" s="115"/>
      <c r="CW2759" s="115"/>
      <c r="CX2759" s="115"/>
      <c r="CY2759" s="115"/>
      <c r="CZ2759" s="115"/>
      <c r="DA2759" s="115"/>
      <c r="DB2759" s="115"/>
      <c r="DC2759" s="115"/>
      <c r="DD2759" s="115"/>
      <c r="DE2759" s="115"/>
      <c r="DF2759" s="115"/>
      <c r="DG2759" s="115"/>
    </row>
    <row r="2760" spans="55:111" hidden="1">
      <c r="BC2760" s="115"/>
      <c r="BD2760" s="115"/>
      <c r="BE2760" s="115"/>
      <c r="BF2760" s="115"/>
      <c r="BG2760" s="115"/>
      <c r="BH2760" s="115"/>
      <c r="BI2760" s="115"/>
      <c r="BJ2760" s="115"/>
      <c r="BK2760" s="115"/>
      <c r="BL2760" s="115"/>
      <c r="BM2760" s="115"/>
      <c r="BN2760" s="115"/>
      <c r="BO2760" s="115"/>
      <c r="BP2760" s="115"/>
      <c r="BQ2760" s="115"/>
      <c r="BR2760" s="115"/>
      <c r="BS2760" s="115"/>
      <c r="BT2760" s="115"/>
      <c r="BU2760" s="115"/>
      <c r="BV2760" s="115"/>
      <c r="BW2760" s="115"/>
      <c r="BX2760" s="115"/>
      <c r="BY2760" s="115"/>
      <c r="BZ2760" s="115"/>
      <c r="CA2760" s="115"/>
      <c r="CB2760" s="115"/>
      <c r="CC2760" s="115"/>
      <c r="CD2760" s="115"/>
      <c r="CE2760" s="115"/>
      <c r="CF2760" s="115"/>
      <c r="CG2760" s="115"/>
      <c r="CH2760" s="115"/>
      <c r="CI2760" s="115"/>
      <c r="CJ2760" s="115"/>
      <c r="CK2760" s="115"/>
      <c r="CL2760" s="115"/>
      <c r="CM2760" s="115"/>
      <c r="CN2760" s="115"/>
      <c r="CO2760" s="115"/>
      <c r="CP2760" s="115"/>
      <c r="CQ2760" s="115"/>
      <c r="CR2760" s="115"/>
      <c r="CS2760" s="115"/>
      <c r="CT2760" s="115"/>
      <c r="CU2760" s="115"/>
      <c r="CV2760" s="115"/>
      <c r="CW2760" s="115"/>
      <c r="CX2760" s="115"/>
      <c r="CY2760" s="115"/>
      <c r="CZ2760" s="115"/>
      <c r="DA2760" s="115"/>
      <c r="DB2760" s="115"/>
      <c r="DC2760" s="115"/>
      <c r="DD2760" s="115"/>
      <c r="DE2760" s="115"/>
      <c r="DF2760" s="115"/>
      <c r="DG2760" s="115"/>
    </row>
    <row r="2761" spans="55:111" hidden="1">
      <c r="BC2761" s="115"/>
      <c r="BD2761" s="115"/>
      <c r="BE2761" s="115"/>
      <c r="BF2761" s="115"/>
      <c r="BG2761" s="115"/>
      <c r="BH2761" s="115"/>
      <c r="BI2761" s="115"/>
      <c r="BJ2761" s="115"/>
      <c r="BK2761" s="115"/>
      <c r="BL2761" s="115"/>
      <c r="BM2761" s="115"/>
      <c r="BN2761" s="115"/>
      <c r="BO2761" s="115"/>
      <c r="BP2761" s="115"/>
      <c r="BQ2761" s="115"/>
      <c r="BR2761" s="115"/>
      <c r="BS2761" s="115"/>
      <c r="BT2761" s="115"/>
      <c r="BU2761" s="115"/>
      <c r="BV2761" s="115"/>
      <c r="BW2761" s="115"/>
      <c r="BX2761" s="115"/>
      <c r="BY2761" s="115"/>
      <c r="BZ2761" s="115"/>
      <c r="CA2761" s="115"/>
      <c r="CB2761" s="115"/>
      <c r="CC2761" s="115"/>
      <c r="CD2761" s="115"/>
      <c r="CE2761" s="115"/>
      <c r="CF2761" s="115"/>
      <c r="CG2761" s="115"/>
      <c r="CH2761" s="115"/>
      <c r="CI2761" s="115"/>
      <c r="CJ2761" s="115"/>
      <c r="CK2761" s="115"/>
      <c r="CL2761" s="115"/>
      <c r="CM2761" s="115"/>
      <c r="CN2761" s="115"/>
      <c r="CO2761" s="115"/>
      <c r="CP2761" s="115"/>
      <c r="CQ2761" s="115"/>
      <c r="CR2761" s="115"/>
      <c r="CS2761" s="115"/>
      <c r="CT2761" s="115"/>
      <c r="CU2761" s="115"/>
      <c r="CV2761" s="115"/>
      <c r="CW2761" s="115"/>
      <c r="CX2761" s="115"/>
      <c r="CY2761" s="115"/>
      <c r="CZ2761" s="115"/>
      <c r="DA2761" s="115"/>
      <c r="DB2761" s="115"/>
      <c r="DC2761" s="115"/>
      <c r="DD2761" s="115"/>
      <c r="DE2761" s="115"/>
      <c r="DF2761" s="115"/>
      <c r="DG2761" s="115"/>
    </row>
    <row r="2762" spans="55:111" hidden="1">
      <c r="BC2762" s="115"/>
      <c r="BD2762" s="115"/>
      <c r="BE2762" s="115"/>
      <c r="BF2762" s="115"/>
      <c r="BG2762" s="115"/>
      <c r="BH2762" s="115"/>
      <c r="BI2762" s="115"/>
      <c r="BJ2762" s="115"/>
      <c r="BK2762" s="115"/>
      <c r="BL2762" s="115"/>
      <c r="BM2762" s="115"/>
      <c r="BN2762" s="115"/>
      <c r="BO2762" s="115"/>
      <c r="BP2762" s="115"/>
      <c r="BQ2762" s="115"/>
      <c r="BR2762" s="115"/>
      <c r="BS2762" s="115"/>
      <c r="BT2762" s="115"/>
      <c r="BU2762" s="115"/>
      <c r="BV2762" s="115"/>
      <c r="BW2762" s="115"/>
      <c r="BX2762" s="115"/>
      <c r="BY2762" s="115"/>
      <c r="BZ2762" s="115"/>
      <c r="CA2762" s="115"/>
      <c r="CB2762" s="115"/>
      <c r="CC2762" s="115"/>
      <c r="CD2762" s="115"/>
      <c r="CE2762" s="115"/>
      <c r="CF2762" s="115"/>
      <c r="CG2762" s="115"/>
      <c r="CH2762" s="115"/>
      <c r="CI2762" s="115"/>
      <c r="CJ2762" s="115"/>
      <c r="CK2762" s="115"/>
      <c r="CL2762" s="115"/>
      <c r="CM2762" s="115"/>
      <c r="CN2762" s="115"/>
      <c r="CO2762" s="115"/>
      <c r="CP2762" s="115"/>
      <c r="CQ2762" s="115"/>
      <c r="CR2762" s="115"/>
      <c r="CS2762" s="115"/>
      <c r="CT2762" s="115"/>
      <c r="CU2762" s="115"/>
      <c r="CV2762" s="115"/>
      <c r="CW2762" s="115"/>
      <c r="CX2762" s="115"/>
      <c r="CY2762" s="115"/>
      <c r="CZ2762" s="115"/>
      <c r="DA2762" s="115"/>
      <c r="DB2762" s="115"/>
      <c r="DC2762" s="115"/>
      <c r="DD2762" s="115"/>
      <c r="DE2762" s="115"/>
      <c r="DF2762" s="115"/>
      <c r="DG2762" s="115"/>
    </row>
    <row r="2763" spans="55:111" hidden="1">
      <c r="BC2763" s="115"/>
      <c r="BD2763" s="115"/>
      <c r="BE2763" s="115"/>
      <c r="BF2763" s="115"/>
      <c r="BG2763" s="115"/>
      <c r="BH2763" s="115"/>
      <c r="BI2763" s="115"/>
      <c r="BJ2763" s="115"/>
      <c r="BK2763" s="115"/>
      <c r="BL2763" s="115"/>
      <c r="BM2763" s="115"/>
      <c r="BN2763" s="115"/>
      <c r="BO2763" s="115"/>
      <c r="BP2763" s="115"/>
      <c r="BQ2763" s="115"/>
      <c r="BR2763" s="115"/>
      <c r="BS2763" s="115"/>
      <c r="BT2763" s="115"/>
      <c r="BU2763" s="115"/>
      <c r="BV2763" s="115"/>
      <c r="BW2763" s="115"/>
      <c r="BX2763" s="115"/>
      <c r="BY2763" s="115"/>
      <c r="BZ2763" s="115"/>
      <c r="CA2763" s="115"/>
      <c r="CB2763" s="115"/>
      <c r="CC2763" s="115"/>
      <c r="CD2763" s="115"/>
      <c r="CE2763" s="115"/>
      <c r="CF2763" s="115"/>
      <c r="CG2763" s="115"/>
      <c r="CH2763" s="115"/>
      <c r="CI2763" s="115"/>
      <c r="CJ2763" s="115"/>
      <c r="CK2763" s="115"/>
      <c r="CL2763" s="115"/>
      <c r="CM2763" s="115"/>
      <c r="CN2763" s="115"/>
      <c r="CO2763" s="115"/>
      <c r="CP2763" s="115"/>
      <c r="CQ2763" s="115"/>
      <c r="CR2763" s="115"/>
      <c r="CS2763" s="115"/>
      <c r="CT2763" s="115"/>
      <c r="CU2763" s="115"/>
      <c r="CV2763" s="115"/>
      <c r="CW2763" s="115"/>
      <c r="CX2763" s="115"/>
      <c r="CY2763" s="115"/>
      <c r="CZ2763" s="115"/>
      <c r="DA2763" s="115"/>
      <c r="DB2763" s="115"/>
      <c r="DC2763" s="115"/>
      <c r="DD2763" s="115"/>
      <c r="DE2763" s="115"/>
      <c r="DF2763" s="115"/>
      <c r="DG2763" s="115"/>
    </row>
    <row r="2764" spans="55:111" hidden="1">
      <c r="BC2764" s="115"/>
      <c r="BD2764" s="115"/>
      <c r="BE2764" s="115"/>
      <c r="BF2764" s="115"/>
      <c r="BG2764" s="115"/>
      <c r="BH2764" s="115"/>
      <c r="BI2764" s="115"/>
      <c r="BJ2764" s="115"/>
      <c r="BK2764" s="115"/>
      <c r="BL2764" s="115"/>
      <c r="BM2764" s="115"/>
      <c r="BN2764" s="115"/>
      <c r="BO2764" s="115"/>
      <c r="BP2764" s="115"/>
      <c r="BQ2764" s="115"/>
      <c r="BR2764" s="115"/>
      <c r="BS2764" s="115"/>
      <c r="BT2764" s="115"/>
      <c r="BU2764" s="115"/>
      <c r="BV2764" s="115"/>
      <c r="BW2764" s="115"/>
      <c r="BX2764" s="115"/>
      <c r="BY2764" s="115"/>
      <c r="BZ2764" s="115"/>
      <c r="CA2764" s="115"/>
      <c r="CB2764" s="115"/>
      <c r="CC2764" s="115"/>
      <c r="CD2764" s="115"/>
      <c r="CE2764" s="115"/>
      <c r="CF2764" s="115"/>
      <c r="CG2764" s="115"/>
      <c r="CH2764" s="115"/>
      <c r="CI2764" s="115"/>
      <c r="CJ2764" s="115"/>
      <c r="CK2764" s="115"/>
      <c r="CL2764" s="115"/>
      <c r="CM2764" s="115"/>
      <c r="CN2764" s="115"/>
      <c r="CO2764" s="115"/>
      <c r="CP2764" s="115"/>
      <c r="CQ2764" s="115"/>
      <c r="CR2764" s="115"/>
      <c r="CS2764" s="115"/>
      <c r="CT2764" s="115"/>
      <c r="CU2764" s="115"/>
      <c r="CV2764" s="115"/>
      <c r="CW2764" s="115"/>
      <c r="CX2764" s="115"/>
      <c r="CY2764" s="115"/>
      <c r="CZ2764" s="115"/>
      <c r="DA2764" s="115"/>
      <c r="DB2764" s="115"/>
      <c r="DC2764" s="115"/>
      <c r="DD2764" s="115"/>
      <c r="DE2764" s="115"/>
      <c r="DF2764" s="115"/>
      <c r="DG2764" s="115"/>
    </row>
    <row r="2765" spans="55:111" hidden="1">
      <c r="BC2765" s="115"/>
      <c r="BD2765" s="115"/>
      <c r="BE2765" s="115"/>
      <c r="BF2765" s="115"/>
      <c r="BG2765" s="115"/>
      <c r="BH2765" s="115"/>
      <c r="BI2765" s="115"/>
      <c r="BJ2765" s="115"/>
      <c r="BK2765" s="115"/>
      <c r="BL2765" s="115"/>
      <c r="BM2765" s="115"/>
      <c r="BN2765" s="115"/>
      <c r="BO2765" s="115"/>
      <c r="BP2765" s="115"/>
      <c r="BQ2765" s="115"/>
      <c r="BR2765" s="115"/>
      <c r="BS2765" s="115"/>
      <c r="BT2765" s="115"/>
      <c r="BU2765" s="115"/>
      <c r="BV2765" s="115"/>
      <c r="BW2765" s="115"/>
      <c r="BX2765" s="115"/>
      <c r="BY2765" s="115"/>
      <c r="BZ2765" s="115"/>
      <c r="CA2765" s="115"/>
      <c r="CB2765" s="115"/>
      <c r="CC2765" s="115"/>
      <c r="CD2765" s="115"/>
      <c r="CE2765" s="115"/>
      <c r="CF2765" s="115"/>
      <c r="CG2765" s="115"/>
      <c r="CH2765" s="115"/>
      <c r="CI2765" s="115"/>
      <c r="CJ2765" s="115"/>
      <c r="CK2765" s="115"/>
      <c r="CL2765" s="115"/>
      <c r="CM2765" s="115"/>
      <c r="CN2765" s="115"/>
      <c r="CO2765" s="115"/>
      <c r="CP2765" s="115"/>
      <c r="CQ2765" s="115"/>
      <c r="CR2765" s="115"/>
      <c r="CS2765" s="115"/>
      <c r="CT2765" s="115"/>
      <c r="CU2765" s="115"/>
      <c r="CV2765" s="115"/>
      <c r="CW2765" s="115"/>
      <c r="CX2765" s="115"/>
      <c r="CY2765" s="115"/>
      <c r="CZ2765" s="115"/>
      <c r="DA2765" s="115"/>
      <c r="DB2765" s="115"/>
      <c r="DC2765" s="115"/>
      <c r="DD2765" s="115"/>
      <c r="DE2765" s="115"/>
      <c r="DF2765" s="115"/>
      <c r="DG2765" s="115"/>
    </row>
    <row r="2766" spans="55:111" hidden="1">
      <c r="BC2766" s="115"/>
      <c r="BD2766" s="115"/>
      <c r="BE2766" s="115"/>
      <c r="BF2766" s="115"/>
      <c r="BG2766" s="115"/>
      <c r="BH2766" s="115"/>
      <c r="BI2766" s="115"/>
      <c r="BJ2766" s="115"/>
      <c r="BK2766" s="115"/>
      <c r="BL2766" s="115"/>
      <c r="BM2766" s="115"/>
      <c r="BN2766" s="115"/>
      <c r="BO2766" s="115"/>
      <c r="BP2766" s="115"/>
      <c r="BQ2766" s="115"/>
      <c r="BR2766" s="115"/>
      <c r="BS2766" s="115"/>
      <c r="BT2766" s="115"/>
      <c r="BU2766" s="115"/>
      <c r="BV2766" s="115"/>
      <c r="BW2766" s="115"/>
      <c r="BX2766" s="115"/>
      <c r="BY2766" s="115"/>
      <c r="BZ2766" s="115"/>
      <c r="CA2766" s="115"/>
      <c r="CB2766" s="115"/>
      <c r="CC2766" s="115"/>
      <c r="CD2766" s="115"/>
      <c r="CE2766" s="115"/>
      <c r="CF2766" s="115"/>
      <c r="CG2766" s="115"/>
      <c r="CH2766" s="115"/>
      <c r="CI2766" s="115"/>
      <c r="CJ2766" s="115"/>
      <c r="CK2766" s="115"/>
      <c r="CL2766" s="115"/>
      <c r="CM2766" s="115"/>
      <c r="CN2766" s="115"/>
      <c r="CO2766" s="115"/>
      <c r="CP2766" s="115"/>
      <c r="CQ2766" s="115"/>
      <c r="CR2766" s="115"/>
      <c r="CS2766" s="115"/>
      <c r="CT2766" s="115"/>
      <c r="CU2766" s="115"/>
      <c r="CV2766" s="115"/>
      <c r="CW2766" s="115"/>
      <c r="CX2766" s="115"/>
      <c r="CY2766" s="115"/>
      <c r="CZ2766" s="115"/>
      <c r="DA2766" s="115"/>
      <c r="DB2766" s="115"/>
      <c r="DC2766" s="115"/>
      <c r="DD2766" s="115"/>
      <c r="DE2766" s="115"/>
      <c r="DF2766" s="115"/>
      <c r="DG2766" s="115"/>
    </row>
    <row r="2767" spans="55:111" hidden="1">
      <c r="BC2767" s="115"/>
      <c r="BD2767" s="115"/>
      <c r="BE2767" s="115"/>
      <c r="BF2767" s="115"/>
      <c r="BG2767" s="115"/>
      <c r="BH2767" s="115"/>
      <c r="BI2767" s="115"/>
      <c r="BJ2767" s="115"/>
      <c r="BK2767" s="115"/>
      <c r="BL2767" s="115"/>
      <c r="BM2767" s="115"/>
      <c r="BN2767" s="115"/>
      <c r="BO2767" s="115"/>
      <c r="BP2767" s="115"/>
      <c r="BQ2767" s="115"/>
      <c r="BR2767" s="115"/>
      <c r="BS2767" s="115"/>
      <c r="BT2767" s="115"/>
      <c r="BU2767" s="115"/>
      <c r="BV2767" s="115"/>
      <c r="BW2767" s="115"/>
      <c r="BX2767" s="115"/>
      <c r="BY2767" s="115"/>
      <c r="BZ2767" s="115"/>
      <c r="CA2767" s="115"/>
      <c r="CB2767" s="115"/>
      <c r="CC2767" s="115"/>
      <c r="CD2767" s="115"/>
      <c r="CE2767" s="115"/>
      <c r="CF2767" s="115"/>
      <c r="CG2767" s="115"/>
      <c r="CH2767" s="115"/>
      <c r="CI2767" s="115"/>
      <c r="CJ2767" s="115"/>
      <c r="CK2767" s="115"/>
      <c r="CL2767" s="115"/>
      <c r="CM2767" s="115"/>
      <c r="CN2767" s="115"/>
      <c r="CO2767" s="115"/>
      <c r="CP2767" s="115"/>
      <c r="CQ2767" s="115"/>
      <c r="CR2767" s="115"/>
      <c r="CS2767" s="115"/>
      <c r="CT2767" s="115"/>
      <c r="CU2767" s="115"/>
      <c r="CV2767" s="115"/>
      <c r="CW2767" s="115"/>
      <c r="CX2767" s="115"/>
      <c r="CY2767" s="115"/>
      <c r="CZ2767" s="115"/>
      <c r="DA2767" s="115"/>
      <c r="DB2767" s="115"/>
      <c r="DC2767" s="115"/>
      <c r="DD2767" s="115"/>
      <c r="DE2767" s="115"/>
      <c r="DF2767" s="115"/>
      <c r="DG2767" s="115"/>
    </row>
    <row r="2768" spans="55:111" hidden="1">
      <c r="BC2768" s="115"/>
      <c r="BD2768" s="115"/>
      <c r="BE2768" s="115"/>
      <c r="BF2768" s="115"/>
      <c r="BG2768" s="115"/>
      <c r="BH2768" s="115"/>
      <c r="BI2768" s="115"/>
      <c r="BJ2768" s="115"/>
      <c r="BK2768" s="115"/>
      <c r="BL2768" s="115"/>
      <c r="BM2768" s="115"/>
      <c r="BN2768" s="115"/>
      <c r="BO2768" s="115"/>
      <c r="BP2768" s="115"/>
      <c r="BQ2768" s="115"/>
      <c r="BR2768" s="115"/>
      <c r="BS2768" s="115"/>
      <c r="BT2768" s="115"/>
      <c r="BU2768" s="115"/>
      <c r="BV2768" s="115"/>
      <c r="BW2768" s="115"/>
      <c r="BX2768" s="115"/>
      <c r="BY2768" s="115"/>
      <c r="BZ2768" s="115"/>
      <c r="CA2768" s="115"/>
      <c r="CB2768" s="115"/>
      <c r="CC2768" s="115"/>
      <c r="CD2768" s="115"/>
      <c r="CE2768" s="115"/>
      <c r="CF2768" s="115"/>
      <c r="CG2768" s="115"/>
      <c r="CH2768" s="115"/>
      <c r="CI2768" s="115"/>
      <c r="CJ2768" s="115"/>
      <c r="CK2768" s="115"/>
      <c r="CL2768" s="115"/>
      <c r="CM2768" s="115"/>
      <c r="CN2768" s="115"/>
      <c r="CO2768" s="115"/>
      <c r="CP2768" s="115"/>
      <c r="CQ2768" s="115"/>
      <c r="CR2768" s="115"/>
      <c r="CS2768" s="115"/>
      <c r="CT2768" s="115"/>
      <c r="CU2768" s="115"/>
      <c r="CV2768" s="115"/>
      <c r="CW2768" s="115"/>
      <c r="CX2768" s="115"/>
      <c r="CY2768" s="115"/>
      <c r="CZ2768" s="115"/>
      <c r="DA2768" s="115"/>
      <c r="DB2768" s="115"/>
      <c r="DC2768" s="115"/>
      <c r="DD2768" s="115"/>
      <c r="DE2768" s="115"/>
      <c r="DF2768" s="115"/>
      <c r="DG2768" s="115"/>
    </row>
    <row r="2769" spans="55:111" hidden="1">
      <c r="BC2769" s="115"/>
      <c r="BD2769" s="115"/>
      <c r="BE2769" s="115"/>
      <c r="BF2769" s="115"/>
      <c r="BG2769" s="115"/>
      <c r="BH2769" s="115"/>
      <c r="BI2769" s="115"/>
      <c r="BJ2769" s="115"/>
      <c r="BK2769" s="115"/>
      <c r="BL2769" s="115"/>
      <c r="BM2769" s="115"/>
      <c r="BN2769" s="115"/>
      <c r="BO2769" s="115"/>
      <c r="BP2769" s="115"/>
      <c r="BQ2769" s="115"/>
      <c r="BR2769" s="115"/>
      <c r="BS2769" s="115"/>
      <c r="BT2769" s="115"/>
      <c r="BU2769" s="115"/>
      <c r="BV2769" s="115"/>
      <c r="BW2769" s="115"/>
      <c r="BX2769" s="115"/>
      <c r="BY2769" s="115"/>
      <c r="BZ2769" s="115"/>
      <c r="CA2769" s="115"/>
      <c r="CB2769" s="115"/>
      <c r="CC2769" s="115"/>
      <c r="CD2769" s="115"/>
      <c r="CE2769" s="115"/>
      <c r="CF2769" s="115"/>
      <c r="CG2769" s="115"/>
      <c r="CH2769" s="115"/>
      <c r="CI2769" s="115"/>
      <c r="CJ2769" s="115"/>
      <c r="CK2769" s="115"/>
      <c r="CL2769" s="115"/>
      <c r="CM2769" s="115"/>
      <c r="CN2769" s="115"/>
      <c r="CO2769" s="115"/>
      <c r="CP2769" s="115"/>
      <c r="CQ2769" s="115"/>
      <c r="CR2769" s="115"/>
      <c r="CS2769" s="115"/>
      <c r="CT2769" s="115"/>
      <c r="CU2769" s="115"/>
      <c r="CV2769" s="115"/>
      <c r="CW2769" s="115"/>
      <c r="CX2769" s="115"/>
      <c r="CY2769" s="115"/>
      <c r="CZ2769" s="115"/>
      <c r="DA2769" s="115"/>
      <c r="DB2769" s="115"/>
      <c r="DC2769" s="115"/>
      <c r="DD2769" s="115"/>
      <c r="DE2769" s="115"/>
      <c r="DF2769" s="115"/>
      <c r="DG2769" s="115"/>
    </row>
    <row r="2770" spans="55:111" hidden="1">
      <c r="BC2770" s="115"/>
      <c r="BD2770" s="115"/>
      <c r="BE2770" s="115"/>
      <c r="BF2770" s="115"/>
      <c r="BG2770" s="115"/>
      <c r="BH2770" s="115"/>
      <c r="BI2770" s="115"/>
      <c r="BJ2770" s="115"/>
      <c r="BK2770" s="115"/>
      <c r="BL2770" s="115"/>
      <c r="BM2770" s="115"/>
      <c r="BN2770" s="115"/>
      <c r="BO2770" s="115"/>
      <c r="BP2770" s="115"/>
      <c r="BQ2770" s="115"/>
      <c r="BR2770" s="115"/>
      <c r="BS2770" s="115"/>
      <c r="BT2770" s="115"/>
      <c r="BU2770" s="115"/>
      <c r="BV2770" s="115"/>
      <c r="BW2770" s="115"/>
      <c r="BX2770" s="115"/>
      <c r="BY2770" s="115"/>
      <c r="BZ2770" s="115"/>
      <c r="CA2770" s="115"/>
      <c r="CB2770" s="115"/>
      <c r="CC2770" s="115"/>
      <c r="CD2770" s="115"/>
      <c r="CE2770" s="115"/>
      <c r="CF2770" s="115"/>
      <c r="CG2770" s="115"/>
      <c r="CH2770" s="115"/>
      <c r="CI2770" s="115"/>
      <c r="CJ2770" s="115"/>
      <c r="CK2770" s="115"/>
      <c r="CL2770" s="115"/>
      <c r="CM2770" s="115"/>
      <c r="CN2770" s="115"/>
      <c r="CO2770" s="115"/>
      <c r="CP2770" s="115"/>
      <c r="CQ2770" s="115"/>
      <c r="CR2770" s="115"/>
      <c r="CS2770" s="115"/>
      <c r="CT2770" s="115"/>
      <c r="CU2770" s="115"/>
      <c r="CV2770" s="115"/>
      <c r="CW2770" s="115"/>
      <c r="CX2770" s="115"/>
      <c r="CY2770" s="115"/>
      <c r="CZ2770" s="115"/>
      <c r="DA2770" s="115"/>
      <c r="DB2770" s="115"/>
      <c r="DC2770" s="115"/>
      <c r="DD2770" s="115"/>
      <c r="DE2770" s="115"/>
      <c r="DF2770" s="115"/>
      <c r="DG2770" s="115"/>
    </row>
    <row r="2771" spans="55:111" hidden="1">
      <c r="BC2771" s="115"/>
      <c r="BD2771" s="115"/>
      <c r="BE2771" s="115"/>
      <c r="BF2771" s="115"/>
      <c r="BG2771" s="115"/>
      <c r="BH2771" s="115"/>
      <c r="BI2771" s="115"/>
      <c r="BJ2771" s="115"/>
      <c r="BK2771" s="115"/>
      <c r="BL2771" s="115"/>
      <c r="BM2771" s="115"/>
      <c r="BN2771" s="115"/>
      <c r="BO2771" s="115"/>
      <c r="BP2771" s="115"/>
      <c r="BQ2771" s="115"/>
      <c r="BR2771" s="115"/>
      <c r="BS2771" s="115"/>
      <c r="BT2771" s="115"/>
      <c r="BU2771" s="115"/>
      <c r="BV2771" s="115"/>
      <c r="BW2771" s="115"/>
      <c r="BX2771" s="115"/>
      <c r="BY2771" s="115"/>
      <c r="BZ2771" s="115"/>
      <c r="CA2771" s="115"/>
      <c r="CB2771" s="115"/>
      <c r="CC2771" s="115"/>
      <c r="CD2771" s="115"/>
      <c r="CE2771" s="115"/>
      <c r="CF2771" s="115"/>
      <c r="CG2771" s="115"/>
      <c r="CH2771" s="115"/>
      <c r="CI2771" s="115"/>
      <c r="CJ2771" s="115"/>
      <c r="CK2771" s="115"/>
      <c r="CL2771" s="115"/>
      <c r="CM2771" s="115"/>
      <c r="CN2771" s="115"/>
      <c r="CO2771" s="115"/>
      <c r="CP2771" s="115"/>
      <c r="CQ2771" s="115"/>
      <c r="CR2771" s="115"/>
      <c r="CS2771" s="115"/>
      <c r="CT2771" s="115"/>
      <c r="CU2771" s="115"/>
      <c r="CV2771" s="115"/>
      <c r="CW2771" s="115"/>
      <c r="CX2771" s="115"/>
      <c r="CY2771" s="115"/>
      <c r="CZ2771" s="115"/>
      <c r="DA2771" s="115"/>
      <c r="DB2771" s="115"/>
      <c r="DC2771" s="115"/>
      <c r="DD2771" s="115"/>
      <c r="DE2771" s="115"/>
      <c r="DF2771" s="115"/>
      <c r="DG2771" s="115"/>
    </row>
    <row r="2772" spans="55:111" hidden="1">
      <c r="BC2772" s="115"/>
      <c r="BD2772" s="115"/>
      <c r="BE2772" s="115"/>
      <c r="BF2772" s="115"/>
      <c r="BG2772" s="115"/>
      <c r="BH2772" s="115"/>
      <c r="BI2772" s="115"/>
      <c r="BJ2772" s="115"/>
      <c r="BK2772" s="115"/>
      <c r="BL2772" s="115"/>
      <c r="BM2772" s="115"/>
      <c r="BN2772" s="115"/>
      <c r="BO2772" s="115"/>
      <c r="BP2772" s="115"/>
      <c r="BQ2772" s="115"/>
      <c r="BR2772" s="115"/>
      <c r="BS2772" s="115"/>
      <c r="BT2772" s="115"/>
      <c r="BU2772" s="115"/>
      <c r="BV2772" s="115"/>
      <c r="BW2772" s="115"/>
      <c r="BX2772" s="115"/>
      <c r="BY2772" s="115"/>
      <c r="BZ2772" s="115"/>
      <c r="CA2772" s="115"/>
      <c r="CB2772" s="115"/>
      <c r="CC2772" s="115"/>
      <c r="CD2772" s="115"/>
      <c r="CE2772" s="115"/>
      <c r="CF2772" s="115"/>
      <c r="CG2772" s="115"/>
      <c r="CH2772" s="115"/>
      <c r="CI2772" s="115"/>
      <c r="CJ2772" s="115"/>
      <c r="CK2772" s="115"/>
      <c r="CL2772" s="115"/>
      <c r="CM2772" s="115"/>
      <c r="CN2772" s="115"/>
      <c r="CO2772" s="115"/>
      <c r="CP2772" s="115"/>
      <c r="CQ2772" s="115"/>
      <c r="CR2772" s="115"/>
      <c r="CS2772" s="115"/>
      <c r="CT2772" s="115"/>
      <c r="CU2772" s="115"/>
      <c r="CV2772" s="115"/>
      <c r="CW2772" s="115"/>
      <c r="CX2772" s="115"/>
      <c r="CY2772" s="115"/>
      <c r="CZ2772" s="115"/>
      <c r="DA2772" s="115"/>
      <c r="DB2772" s="115"/>
      <c r="DC2772" s="115"/>
      <c r="DD2772" s="115"/>
      <c r="DE2772" s="115"/>
      <c r="DF2772" s="115"/>
      <c r="DG2772" s="115"/>
    </row>
    <row r="2773" spans="55:111" hidden="1">
      <c r="BC2773" s="115"/>
      <c r="BD2773" s="115"/>
      <c r="BE2773" s="115"/>
      <c r="BF2773" s="115"/>
      <c r="BG2773" s="115"/>
      <c r="BH2773" s="115"/>
      <c r="BI2773" s="115"/>
      <c r="BJ2773" s="115"/>
      <c r="BK2773" s="115"/>
      <c r="BL2773" s="115"/>
      <c r="BM2773" s="115"/>
      <c r="BN2773" s="115"/>
      <c r="BO2773" s="115"/>
      <c r="BP2773" s="115"/>
      <c r="BQ2773" s="115"/>
      <c r="BR2773" s="115"/>
      <c r="BS2773" s="115"/>
      <c r="BT2773" s="115"/>
      <c r="BU2773" s="115"/>
      <c r="BV2773" s="115"/>
      <c r="BW2773" s="115"/>
      <c r="BX2773" s="115"/>
      <c r="BY2773" s="115"/>
      <c r="BZ2773" s="115"/>
      <c r="CA2773" s="115"/>
      <c r="CB2773" s="115"/>
      <c r="CC2773" s="115"/>
      <c r="CD2773" s="115"/>
      <c r="CE2773" s="115"/>
      <c r="CF2773" s="115"/>
      <c r="CG2773" s="115"/>
      <c r="CH2773" s="115"/>
      <c r="CI2773" s="115"/>
      <c r="CJ2773" s="115"/>
      <c r="CK2773" s="115"/>
      <c r="CL2773" s="115"/>
      <c r="CM2773" s="115"/>
      <c r="CN2773" s="115"/>
      <c r="CO2773" s="115"/>
      <c r="CP2773" s="115"/>
      <c r="CQ2773" s="115"/>
      <c r="CR2773" s="115"/>
      <c r="CS2773" s="115"/>
      <c r="CT2773" s="115"/>
      <c r="CU2773" s="115"/>
      <c r="CV2773" s="115"/>
      <c r="CW2773" s="115"/>
      <c r="CX2773" s="115"/>
      <c r="CY2773" s="115"/>
      <c r="CZ2773" s="115"/>
      <c r="DA2773" s="115"/>
      <c r="DB2773" s="115"/>
      <c r="DC2773" s="115"/>
      <c r="DD2773" s="115"/>
      <c r="DE2773" s="115"/>
      <c r="DF2773" s="115"/>
      <c r="DG2773" s="115"/>
    </row>
    <row r="2774" spans="55:111" hidden="1">
      <c r="BC2774" s="115"/>
      <c r="BD2774" s="115"/>
      <c r="BE2774" s="115"/>
      <c r="BF2774" s="115"/>
      <c r="BG2774" s="115"/>
      <c r="BH2774" s="115"/>
      <c r="BI2774" s="115"/>
      <c r="BJ2774" s="115"/>
      <c r="BK2774" s="115"/>
      <c r="BL2774" s="115"/>
      <c r="BM2774" s="115"/>
      <c r="BN2774" s="115"/>
      <c r="BO2774" s="115"/>
      <c r="BP2774" s="115"/>
      <c r="BQ2774" s="115"/>
      <c r="BR2774" s="115"/>
      <c r="BS2774" s="115"/>
      <c r="BT2774" s="115"/>
      <c r="BU2774" s="115"/>
      <c r="BV2774" s="115"/>
      <c r="BW2774" s="115"/>
      <c r="BX2774" s="115"/>
      <c r="BY2774" s="115"/>
      <c r="BZ2774" s="115"/>
      <c r="CA2774" s="115"/>
      <c r="CB2774" s="115"/>
      <c r="CC2774" s="115"/>
      <c r="CD2774" s="115"/>
      <c r="CE2774" s="115"/>
      <c r="CF2774" s="115"/>
      <c r="CG2774" s="115"/>
      <c r="CH2774" s="115"/>
      <c r="CI2774" s="115"/>
      <c r="CJ2774" s="115"/>
      <c r="CK2774" s="115"/>
      <c r="CL2774" s="115"/>
      <c r="CM2774" s="115"/>
      <c r="CN2774" s="115"/>
      <c r="CO2774" s="115"/>
      <c r="CP2774" s="115"/>
      <c r="CQ2774" s="115"/>
      <c r="CR2774" s="115"/>
      <c r="CS2774" s="115"/>
      <c r="CT2774" s="115"/>
      <c r="CU2774" s="115"/>
      <c r="CV2774" s="115"/>
      <c r="CW2774" s="115"/>
      <c r="CX2774" s="115"/>
      <c r="CY2774" s="115"/>
      <c r="CZ2774" s="115"/>
      <c r="DA2774" s="115"/>
      <c r="DB2774" s="115"/>
      <c r="DC2774" s="115"/>
      <c r="DD2774" s="115"/>
      <c r="DE2774" s="115"/>
      <c r="DF2774" s="115"/>
      <c r="DG2774" s="115"/>
    </row>
    <row r="2775" spans="55:111" hidden="1">
      <c r="BC2775" s="115"/>
      <c r="BD2775" s="115"/>
      <c r="BE2775" s="115"/>
      <c r="BF2775" s="115"/>
      <c r="BG2775" s="115"/>
      <c r="BH2775" s="115"/>
      <c r="BI2775" s="115"/>
      <c r="BJ2775" s="115"/>
      <c r="BK2775" s="115"/>
      <c r="BL2775" s="115"/>
      <c r="BM2775" s="115"/>
      <c r="BN2775" s="115"/>
      <c r="BO2775" s="115"/>
      <c r="BP2775" s="115"/>
      <c r="BQ2775" s="115"/>
      <c r="BR2775" s="115"/>
      <c r="BS2775" s="115"/>
      <c r="BT2775" s="115"/>
      <c r="BU2775" s="115"/>
      <c r="BV2775" s="115"/>
      <c r="BW2775" s="115"/>
      <c r="BX2775" s="115"/>
      <c r="BY2775" s="115"/>
      <c r="BZ2775" s="115"/>
      <c r="CA2775" s="115"/>
      <c r="CB2775" s="115"/>
      <c r="CC2775" s="115"/>
      <c r="CD2775" s="115"/>
      <c r="CE2775" s="115"/>
      <c r="CF2775" s="115"/>
      <c r="CG2775" s="115"/>
      <c r="CH2775" s="115"/>
      <c r="CI2775" s="115"/>
      <c r="CJ2775" s="115"/>
      <c r="CK2775" s="115"/>
      <c r="CL2775" s="115"/>
      <c r="CM2775" s="115"/>
      <c r="CN2775" s="115"/>
      <c r="CO2775" s="115"/>
      <c r="CP2775" s="115"/>
      <c r="CQ2775" s="115"/>
      <c r="CR2775" s="115"/>
      <c r="CS2775" s="115"/>
      <c r="CT2775" s="115"/>
      <c r="CU2775" s="115"/>
      <c r="CV2775" s="115"/>
      <c r="CW2775" s="115"/>
      <c r="CX2775" s="115"/>
      <c r="CY2775" s="115"/>
      <c r="CZ2775" s="115"/>
      <c r="DA2775" s="115"/>
      <c r="DB2775" s="115"/>
      <c r="DC2775" s="115"/>
      <c r="DD2775" s="115"/>
      <c r="DE2775" s="115"/>
      <c r="DF2775" s="115"/>
      <c r="DG2775" s="115"/>
    </row>
    <row r="2776" spans="55:111" hidden="1">
      <c r="BC2776" s="115"/>
      <c r="BD2776" s="115"/>
      <c r="BE2776" s="115"/>
      <c r="BF2776" s="115"/>
      <c r="BG2776" s="115"/>
      <c r="BH2776" s="115"/>
      <c r="BI2776" s="115"/>
      <c r="BJ2776" s="115"/>
      <c r="BK2776" s="115"/>
      <c r="BL2776" s="115"/>
      <c r="BM2776" s="115"/>
      <c r="BN2776" s="115"/>
      <c r="BO2776" s="115"/>
      <c r="BP2776" s="115"/>
      <c r="BQ2776" s="115"/>
      <c r="BR2776" s="115"/>
      <c r="BS2776" s="115"/>
      <c r="BT2776" s="115"/>
      <c r="BU2776" s="115"/>
      <c r="BV2776" s="115"/>
      <c r="BW2776" s="115"/>
      <c r="BX2776" s="115"/>
      <c r="BY2776" s="115"/>
      <c r="BZ2776" s="115"/>
      <c r="CA2776" s="115"/>
      <c r="CB2776" s="115"/>
      <c r="CC2776" s="115"/>
      <c r="CD2776" s="115"/>
      <c r="CE2776" s="115"/>
      <c r="CF2776" s="115"/>
      <c r="CG2776" s="115"/>
      <c r="CH2776" s="115"/>
      <c r="CI2776" s="115"/>
      <c r="CJ2776" s="115"/>
      <c r="CK2776" s="115"/>
      <c r="CL2776" s="115"/>
      <c r="CM2776" s="115"/>
      <c r="CN2776" s="115"/>
      <c r="CO2776" s="115"/>
      <c r="CP2776" s="115"/>
      <c r="CQ2776" s="115"/>
      <c r="CR2776" s="115"/>
      <c r="CS2776" s="115"/>
      <c r="CT2776" s="115"/>
      <c r="CU2776" s="115"/>
      <c r="CV2776" s="115"/>
      <c r="CW2776" s="115"/>
      <c r="CX2776" s="115"/>
      <c r="CY2776" s="115"/>
      <c r="CZ2776" s="115"/>
      <c r="DA2776" s="115"/>
      <c r="DB2776" s="115"/>
      <c r="DC2776" s="115"/>
      <c r="DD2776" s="115"/>
      <c r="DE2776" s="115"/>
      <c r="DF2776" s="115"/>
      <c r="DG2776" s="115"/>
    </row>
    <row r="2777" spans="55:111" hidden="1">
      <c r="BC2777" s="115"/>
      <c r="BD2777" s="115"/>
      <c r="BE2777" s="115"/>
      <c r="BF2777" s="115"/>
      <c r="BG2777" s="115"/>
      <c r="BH2777" s="115"/>
      <c r="BI2777" s="115"/>
      <c r="BJ2777" s="115"/>
      <c r="BK2777" s="115"/>
      <c r="BL2777" s="115"/>
      <c r="BM2777" s="115"/>
      <c r="BN2777" s="115"/>
      <c r="BO2777" s="115"/>
      <c r="BP2777" s="115"/>
      <c r="BQ2777" s="115"/>
      <c r="BR2777" s="115"/>
      <c r="BS2777" s="115"/>
      <c r="BT2777" s="115"/>
      <c r="BU2777" s="115"/>
      <c r="BV2777" s="115"/>
      <c r="BW2777" s="115"/>
      <c r="BX2777" s="115"/>
      <c r="BY2777" s="115"/>
      <c r="BZ2777" s="115"/>
      <c r="CA2777" s="115"/>
      <c r="CB2777" s="115"/>
      <c r="CC2777" s="115"/>
      <c r="CD2777" s="115"/>
      <c r="CE2777" s="115"/>
      <c r="CF2777" s="115"/>
      <c r="CG2777" s="115"/>
      <c r="CH2777" s="115"/>
      <c r="CI2777" s="115"/>
      <c r="CJ2777" s="115"/>
      <c r="CK2777" s="115"/>
      <c r="CL2777" s="115"/>
      <c r="CM2777" s="115"/>
      <c r="CN2777" s="115"/>
      <c r="CO2777" s="115"/>
      <c r="CP2777" s="115"/>
      <c r="CQ2777" s="115"/>
      <c r="CR2777" s="115"/>
      <c r="CS2777" s="115"/>
      <c r="CT2777" s="115"/>
      <c r="CU2777" s="115"/>
      <c r="CV2777" s="115"/>
      <c r="CW2777" s="115"/>
      <c r="CX2777" s="115"/>
      <c r="CY2777" s="115"/>
      <c r="CZ2777" s="115"/>
      <c r="DA2777" s="115"/>
      <c r="DB2777" s="115"/>
      <c r="DC2777" s="115"/>
      <c r="DD2777" s="115"/>
      <c r="DE2777" s="115"/>
      <c r="DF2777" s="115"/>
      <c r="DG2777" s="115"/>
    </row>
    <row r="2778" spans="55:111" hidden="1">
      <c r="BC2778" s="115"/>
      <c r="BD2778" s="115"/>
      <c r="BE2778" s="115"/>
      <c r="BF2778" s="115"/>
      <c r="BG2778" s="115"/>
      <c r="BH2778" s="115"/>
      <c r="BI2778" s="115"/>
      <c r="BJ2778" s="115"/>
      <c r="BK2778" s="115"/>
      <c r="BL2778" s="115"/>
      <c r="BM2778" s="115"/>
      <c r="BN2778" s="115"/>
      <c r="BO2778" s="115"/>
      <c r="BP2778" s="115"/>
      <c r="BQ2778" s="115"/>
      <c r="BR2778" s="115"/>
      <c r="BS2778" s="115"/>
      <c r="BT2778" s="115"/>
      <c r="BU2778" s="115"/>
      <c r="BV2778" s="115"/>
      <c r="BW2778" s="115"/>
      <c r="BX2778" s="115"/>
      <c r="BY2778" s="115"/>
      <c r="BZ2778" s="115"/>
      <c r="CA2778" s="115"/>
      <c r="CB2778" s="115"/>
      <c r="CC2778" s="115"/>
      <c r="CD2778" s="115"/>
      <c r="CE2778" s="115"/>
      <c r="CF2778" s="115"/>
      <c r="CG2778" s="115"/>
      <c r="CH2778" s="115"/>
      <c r="CI2778" s="115"/>
      <c r="CJ2778" s="115"/>
      <c r="CK2778" s="115"/>
      <c r="CL2778" s="115"/>
      <c r="CM2778" s="115"/>
      <c r="CN2778" s="115"/>
      <c r="CO2778" s="115"/>
      <c r="CP2778" s="115"/>
      <c r="CQ2778" s="115"/>
      <c r="CR2778" s="115"/>
      <c r="CS2778" s="115"/>
      <c r="CT2778" s="115"/>
      <c r="CU2778" s="115"/>
      <c r="CV2778" s="115"/>
      <c r="CW2778" s="115"/>
      <c r="CX2778" s="115"/>
      <c r="CY2778" s="115"/>
      <c r="CZ2778" s="115"/>
      <c r="DA2778" s="115"/>
      <c r="DB2778" s="115"/>
      <c r="DC2778" s="115"/>
      <c r="DD2778" s="115"/>
      <c r="DE2778" s="115"/>
      <c r="DF2778" s="115"/>
      <c r="DG2778" s="115"/>
    </row>
    <row r="2779" spans="55:111" hidden="1">
      <c r="BC2779" s="115"/>
      <c r="BD2779" s="115"/>
      <c r="BE2779" s="115"/>
      <c r="BF2779" s="115"/>
      <c r="BG2779" s="115"/>
      <c r="BH2779" s="115"/>
      <c r="BI2779" s="115"/>
      <c r="BJ2779" s="115"/>
      <c r="BK2779" s="115"/>
      <c r="BL2779" s="115"/>
      <c r="BM2779" s="115"/>
      <c r="BN2779" s="115"/>
      <c r="BO2779" s="115"/>
      <c r="BP2779" s="115"/>
      <c r="BQ2779" s="115"/>
      <c r="BR2779" s="115"/>
      <c r="BS2779" s="115"/>
      <c r="BT2779" s="115"/>
      <c r="BU2779" s="115"/>
      <c r="BV2779" s="115"/>
      <c r="BW2779" s="115"/>
      <c r="BX2779" s="115"/>
      <c r="BY2779" s="115"/>
      <c r="BZ2779" s="115"/>
      <c r="CA2779" s="115"/>
      <c r="CB2779" s="115"/>
      <c r="CC2779" s="115"/>
      <c r="CD2779" s="115"/>
      <c r="CE2779" s="115"/>
      <c r="CF2779" s="115"/>
      <c r="CG2779" s="115"/>
      <c r="CH2779" s="115"/>
      <c r="CI2779" s="115"/>
      <c r="CJ2779" s="115"/>
      <c r="CK2779" s="115"/>
      <c r="CL2779" s="115"/>
      <c r="CM2779" s="115"/>
      <c r="CN2779" s="115"/>
      <c r="CO2779" s="115"/>
      <c r="CP2779" s="115"/>
      <c r="CQ2779" s="115"/>
      <c r="CR2779" s="115"/>
      <c r="CS2779" s="115"/>
      <c r="CT2779" s="115"/>
      <c r="CU2779" s="115"/>
      <c r="CV2779" s="115"/>
      <c r="CW2779" s="115"/>
      <c r="CX2779" s="115"/>
      <c r="CY2779" s="115"/>
      <c r="CZ2779" s="115"/>
      <c r="DA2779" s="115"/>
      <c r="DB2779" s="115"/>
      <c r="DC2779" s="115"/>
      <c r="DD2779" s="115"/>
      <c r="DE2779" s="115"/>
      <c r="DF2779" s="115"/>
      <c r="DG2779" s="115"/>
    </row>
    <row r="2780" spans="55:111" hidden="1">
      <c r="BC2780" s="115"/>
      <c r="BD2780" s="115"/>
      <c r="BE2780" s="115"/>
      <c r="BF2780" s="115"/>
      <c r="BG2780" s="115"/>
      <c r="BH2780" s="115"/>
      <c r="BI2780" s="115"/>
      <c r="BJ2780" s="115"/>
      <c r="BK2780" s="115"/>
      <c r="BL2780" s="115"/>
      <c r="BM2780" s="115"/>
      <c r="BN2780" s="115"/>
      <c r="BO2780" s="115"/>
      <c r="BP2780" s="115"/>
      <c r="BQ2780" s="115"/>
      <c r="BR2780" s="115"/>
      <c r="BS2780" s="115"/>
      <c r="BT2780" s="115"/>
      <c r="BU2780" s="115"/>
      <c r="BV2780" s="115"/>
      <c r="BW2780" s="115"/>
      <c r="BX2780" s="115"/>
      <c r="BY2780" s="115"/>
      <c r="BZ2780" s="115"/>
      <c r="CA2780" s="115"/>
      <c r="CB2780" s="115"/>
      <c r="CC2780" s="115"/>
      <c r="CD2780" s="115"/>
      <c r="CE2780" s="115"/>
      <c r="CF2780" s="115"/>
      <c r="CG2780" s="115"/>
      <c r="CH2780" s="115"/>
      <c r="CI2780" s="115"/>
      <c r="CJ2780" s="115"/>
      <c r="CK2780" s="115"/>
      <c r="CL2780" s="115"/>
      <c r="CM2780" s="115"/>
      <c r="CN2780" s="115"/>
      <c r="CO2780" s="115"/>
      <c r="CP2780" s="115"/>
      <c r="CQ2780" s="115"/>
      <c r="CR2780" s="115"/>
      <c r="CS2780" s="115"/>
      <c r="CT2780" s="115"/>
      <c r="CU2780" s="115"/>
      <c r="CV2780" s="115"/>
      <c r="CW2780" s="115"/>
      <c r="CX2780" s="115"/>
      <c r="CY2780" s="115"/>
      <c r="CZ2780" s="115"/>
      <c r="DA2780" s="115"/>
      <c r="DB2780" s="115"/>
      <c r="DC2780" s="115"/>
      <c r="DD2780" s="115"/>
      <c r="DE2780" s="115"/>
      <c r="DF2780" s="115"/>
      <c r="DG2780" s="115"/>
    </row>
    <row r="2781" spans="55:111" hidden="1">
      <c r="BC2781" s="115"/>
      <c r="BD2781" s="115"/>
      <c r="BE2781" s="115"/>
      <c r="BF2781" s="115"/>
      <c r="BG2781" s="115"/>
      <c r="BH2781" s="115"/>
      <c r="BI2781" s="115"/>
      <c r="BJ2781" s="115"/>
      <c r="BK2781" s="115"/>
      <c r="BL2781" s="115"/>
      <c r="BM2781" s="115"/>
      <c r="BN2781" s="115"/>
      <c r="BO2781" s="115"/>
      <c r="BP2781" s="115"/>
      <c r="BQ2781" s="115"/>
      <c r="BR2781" s="115"/>
      <c r="BS2781" s="115"/>
      <c r="BT2781" s="115"/>
      <c r="BU2781" s="115"/>
      <c r="BV2781" s="115"/>
      <c r="BW2781" s="115"/>
      <c r="BX2781" s="115"/>
      <c r="BY2781" s="115"/>
      <c r="BZ2781" s="115"/>
      <c r="CA2781" s="115"/>
      <c r="CB2781" s="115"/>
      <c r="CC2781" s="115"/>
      <c r="CD2781" s="115"/>
      <c r="CE2781" s="115"/>
      <c r="CF2781" s="115"/>
      <c r="CG2781" s="115"/>
      <c r="CH2781" s="115"/>
      <c r="CI2781" s="115"/>
      <c r="CJ2781" s="115"/>
      <c r="CK2781" s="115"/>
      <c r="CL2781" s="115"/>
      <c r="CM2781" s="115"/>
      <c r="CN2781" s="115"/>
      <c r="CO2781" s="115"/>
      <c r="CP2781" s="115"/>
      <c r="CQ2781" s="115"/>
      <c r="CR2781" s="115"/>
      <c r="CS2781" s="115"/>
      <c r="CT2781" s="115"/>
      <c r="CU2781" s="115"/>
      <c r="CV2781" s="115"/>
      <c r="CW2781" s="115"/>
      <c r="CX2781" s="115"/>
      <c r="CY2781" s="115"/>
      <c r="CZ2781" s="115"/>
      <c r="DA2781" s="115"/>
      <c r="DB2781" s="115"/>
      <c r="DC2781" s="115"/>
      <c r="DD2781" s="115"/>
      <c r="DE2781" s="115"/>
      <c r="DF2781" s="115"/>
      <c r="DG2781" s="115"/>
    </row>
    <row r="2782" spans="55:111" hidden="1">
      <c r="BC2782" s="115"/>
      <c r="BD2782" s="115"/>
      <c r="BE2782" s="115"/>
      <c r="BF2782" s="115"/>
      <c r="BG2782" s="115"/>
      <c r="BH2782" s="115"/>
      <c r="BI2782" s="115"/>
      <c r="BJ2782" s="115"/>
      <c r="BK2782" s="115"/>
      <c r="BL2782" s="115"/>
      <c r="BM2782" s="115"/>
      <c r="BN2782" s="115"/>
      <c r="BO2782" s="115"/>
      <c r="BP2782" s="115"/>
      <c r="BQ2782" s="115"/>
      <c r="BR2782" s="115"/>
      <c r="BS2782" s="115"/>
      <c r="BT2782" s="115"/>
      <c r="BU2782" s="115"/>
      <c r="BV2782" s="115"/>
      <c r="BW2782" s="115"/>
      <c r="BX2782" s="115"/>
      <c r="BY2782" s="115"/>
      <c r="BZ2782" s="115"/>
      <c r="CA2782" s="115"/>
      <c r="CB2782" s="115"/>
      <c r="CC2782" s="115"/>
      <c r="CD2782" s="115"/>
      <c r="CE2782" s="115"/>
      <c r="CF2782" s="115"/>
      <c r="CG2782" s="115"/>
      <c r="CH2782" s="115"/>
      <c r="CI2782" s="115"/>
      <c r="CJ2782" s="115"/>
      <c r="CK2782" s="115"/>
      <c r="CL2782" s="115"/>
      <c r="CM2782" s="115"/>
      <c r="CN2782" s="115"/>
      <c r="CO2782" s="115"/>
      <c r="CP2782" s="115"/>
      <c r="CQ2782" s="115"/>
      <c r="CR2782" s="115"/>
      <c r="CS2782" s="115"/>
      <c r="CT2782" s="115"/>
      <c r="CU2782" s="115"/>
      <c r="CV2782" s="115"/>
      <c r="CW2782" s="115"/>
      <c r="CX2782" s="115"/>
      <c r="CY2782" s="115"/>
      <c r="CZ2782" s="115"/>
      <c r="DA2782" s="115"/>
      <c r="DB2782" s="115"/>
      <c r="DC2782" s="115"/>
      <c r="DD2782" s="115"/>
      <c r="DE2782" s="115"/>
      <c r="DF2782" s="115"/>
      <c r="DG2782" s="115"/>
    </row>
    <row r="2783" spans="55:111" hidden="1">
      <c r="BC2783" s="115"/>
      <c r="BD2783" s="115"/>
      <c r="BE2783" s="115"/>
      <c r="BF2783" s="115"/>
      <c r="BG2783" s="115"/>
      <c r="BH2783" s="115"/>
      <c r="BI2783" s="115"/>
      <c r="BJ2783" s="115"/>
      <c r="BK2783" s="115"/>
      <c r="BL2783" s="115"/>
      <c r="BM2783" s="115"/>
      <c r="BN2783" s="115"/>
      <c r="BO2783" s="115"/>
      <c r="BP2783" s="115"/>
      <c r="BQ2783" s="115"/>
      <c r="BR2783" s="115"/>
      <c r="BS2783" s="115"/>
      <c r="BT2783" s="115"/>
      <c r="BU2783" s="115"/>
      <c r="BV2783" s="115"/>
      <c r="BW2783" s="115"/>
      <c r="BX2783" s="115"/>
      <c r="BY2783" s="115"/>
      <c r="BZ2783" s="115"/>
      <c r="CA2783" s="115"/>
      <c r="CB2783" s="115"/>
      <c r="CC2783" s="115"/>
      <c r="CD2783" s="115"/>
      <c r="CE2783" s="115"/>
      <c r="CF2783" s="115"/>
      <c r="CG2783" s="115"/>
      <c r="CH2783" s="115"/>
      <c r="CI2783" s="115"/>
      <c r="CJ2783" s="115"/>
      <c r="CK2783" s="115"/>
      <c r="CL2783" s="115"/>
      <c r="CM2783" s="115"/>
      <c r="CN2783" s="115"/>
      <c r="CO2783" s="115"/>
      <c r="CP2783" s="115"/>
      <c r="CQ2783" s="115"/>
      <c r="CR2783" s="115"/>
      <c r="CS2783" s="115"/>
      <c r="CT2783" s="115"/>
      <c r="CU2783" s="115"/>
      <c r="CV2783" s="115"/>
      <c r="CW2783" s="115"/>
      <c r="CX2783" s="115"/>
      <c r="CY2783" s="115"/>
      <c r="CZ2783" s="115"/>
      <c r="DA2783" s="115"/>
      <c r="DB2783" s="115"/>
      <c r="DC2783" s="115"/>
      <c r="DD2783" s="115"/>
      <c r="DE2783" s="115"/>
      <c r="DF2783" s="115"/>
      <c r="DG2783" s="115"/>
    </row>
    <row r="2784" spans="55:111" hidden="1">
      <c r="BC2784" s="115"/>
      <c r="BD2784" s="115"/>
      <c r="BE2784" s="115"/>
      <c r="BF2784" s="115"/>
      <c r="BG2784" s="115"/>
      <c r="BH2784" s="115"/>
      <c r="BI2784" s="115"/>
      <c r="BJ2784" s="115"/>
      <c r="BK2784" s="115"/>
      <c r="BL2784" s="115"/>
      <c r="BM2784" s="115"/>
      <c r="BN2784" s="115"/>
      <c r="BO2784" s="115"/>
      <c r="BP2784" s="115"/>
      <c r="BQ2784" s="115"/>
      <c r="BR2784" s="115"/>
      <c r="BS2784" s="115"/>
      <c r="BT2784" s="115"/>
      <c r="BU2784" s="115"/>
      <c r="BV2784" s="115"/>
      <c r="BW2784" s="115"/>
      <c r="BX2784" s="115"/>
      <c r="BY2784" s="115"/>
      <c r="BZ2784" s="115"/>
      <c r="CA2784" s="115"/>
      <c r="CB2784" s="115"/>
      <c r="CC2784" s="115"/>
      <c r="CD2784" s="115"/>
      <c r="CE2784" s="115"/>
      <c r="CF2784" s="115"/>
      <c r="CG2784" s="115"/>
      <c r="CH2784" s="115"/>
      <c r="CI2784" s="115"/>
      <c r="CJ2784" s="115"/>
      <c r="CK2784" s="115"/>
      <c r="CL2784" s="115"/>
      <c r="CM2784" s="115"/>
      <c r="CN2784" s="115"/>
      <c r="CO2784" s="115"/>
      <c r="CP2784" s="115"/>
      <c r="CQ2784" s="115"/>
      <c r="CR2784" s="115"/>
      <c r="CS2784" s="115"/>
      <c r="CT2784" s="115"/>
      <c r="CU2784" s="115"/>
      <c r="CV2784" s="115"/>
      <c r="CW2784" s="115"/>
      <c r="CX2784" s="115"/>
      <c r="CY2784" s="115"/>
      <c r="CZ2784" s="115"/>
      <c r="DA2784" s="115"/>
      <c r="DB2784" s="115"/>
      <c r="DC2784" s="115"/>
      <c r="DD2784" s="115"/>
      <c r="DE2784" s="115"/>
      <c r="DF2784" s="115"/>
      <c r="DG2784" s="115"/>
    </row>
    <row r="2785" spans="55:111" hidden="1">
      <c r="BC2785" s="115"/>
      <c r="BD2785" s="115"/>
      <c r="BE2785" s="115"/>
      <c r="BF2785" s="115"/>
      <c r="BG2785" s="115"/>
      <c r="BH2785" s="115"/>
      <c r="BI2785" s="115"/>
      <c r="BJ2785" s="115"/>
      <c r="BK2785" s="115"/>
      <c r="BL2785" s="115"/>
      <c r="BM2785" s="115"/>
      <c r="BN2785" s="115"/>
      <c r="BO2785" s="115"/>
      <c r="BP2785" s="115"/>
      <c r="BQ2785" s="115"/>
      <c r="BR2785" s="115"/>
      <c r="BS2785" s="115"/>
      <c r="BT2785" s="115"/>
      <c r="BU2785" s="115"/>
      <c r="BV2785" s="115"/>
      <c r="BW2785" s="115"/>
      <c r="BX2785" s="115"/>
      <c r="BY2785" s="115"/>
      <c r="BZ2785" s="115"/>
      <c r="CA2785" s="115"/>
      <c r="CB2785" s="115"/>
      <c r="CC2785" s="115"/>
      <c r="CD2785" s="115"/>
      <c r="CE2785" s="115"/>
      <c r="CF2785" s="115"/>
      <c r="CG2785" s="115"/>
      <c r="CH2785" s="115"/>
      <c r="CI2785" s="115"/>
      <c r="CJ2785" s="115"/>
      <c r="CK2785" s="115"/>
      <c r="CL2785" s="115"/>
      <c r="CM2785" s="115"/>
      <c r="CN2785" s="115"/>
      <c r="CO2785" s="115"/>
      <c r="CP2785" s="115"/>
      <c r="CQ2785" s="115"/>
      <c r="CR2785" s="115"/>
      <c r="CS2785" s="115"/>
      <c r="CT2785" s="115"/>
      <c r="CU2785" s="115"/>
      <c r="CV2785" s="115"/>
      <c r="CW2785" s="115"/>
      <c r="CX2785" s="115"/>
      <c r="CY2785" s="115"/>
      <c r="CZ2785" s="115"/>
      <c r="DA2785" s="115"/>
      <c r="DB2785" s="115"/>
      <c r="DC2785" s="115"/>
      <c r="DD2785" s="115"/>
      <c r="DE2785" s="115"/>
      <c r="DF2785" s="115"/>
      <c r="DG2785" s="115"/>
    </row>
    <row r="2786" spans="55:111" hidden="1">
      <c r="BC2786" s="115"/>
      <c r="BD2786" s="115"/>
      <c r="BE2786" s="115"/>
      <c r="BF2786" s="115"/>
      <c r="BG2786" s="115"/>
      <c r="BH2786" s="115"/>
      <c r="BI2786" s="115"/>
      <c r="BJ2786" s="115"/>
      <c r="BK2786" s="115"/>
      <c r="BL2786" s="115"/>
      <c r="BM2786" s="115"/>
      <c r="BN2786" s="115"/>
      <c r="BO2786" s="115"/>
      <c r="BP2786" s="115"/>
      <c r="BQ2786" s="115"/>
      <c r="BR2786" s="115"/>
      <c r="BS2786" s="115"/>
      <c r="BT2786" s="115"/>
      <c r="BU2786" s="115"/>
      <c r="BV2786" s="115"/>
      <c r="BW2786" s="115"/>
      <c r="BX2786" s="115"/>
      <c r="BY2786" s="115"/>
      <c r="BZ2786" s="115"/>
      <c r="CA2786" s="115"/>
      <c r="CB2786" s="115"/>
      <c r="CC2786" s="115"/>
      <c r="CD2786" s="115"/>
      <c r="CE2786" s="115"/>
      <c r="CF2786" s="115"/>
      <c r="CG2786" s="115"/>
      <c r="CH2786" s="115"/>
      <c r="CI2786" s="115"/>
      <c r="CJ2786" s="115"/>
      <c r="CK2786" s="115"/>
      <c r="CL2786" s="115"/>
      <c r="CM2786" s="115"/>
      <c r="CN2786" s="115"/>
      <c r="CO2786" s="115"/>
      <c r="CP2786" s="115"/>
      <c r="CQ2786" s="115"/>
      <c r="CR2786" s="115"/>
      <c r="CS2786" s="115"/>
      <c r="CT2786" s="115"/>
      <c r="CU2786" s="115"/>
      <c r="CV2786" s="115"/>
      <c r="CW2786" s="115"/>
      <c r="CX2786" s="115"/>
      <c r="CY2786" s="115"/>
      <c r="CZ2786" s="115"/>
      <c r="DA2786" s="115"/>
      <c r="DB2786" s="115"/>
      <c r="DC2786" s="115"/>
      <c r="DD2786" s="115"/>
      <c r="DE2786" s="115"/>
      <c r="DF2786" s="115"/>
      <c r="DG2786" s="115"/>
    </row>
    <row r="2787" spans="55:111" hidden="1">
      <c r="BC2787" s="115"/>
      <c r="BD2787" s="115"/>
      <c r="BE2787" s="115"/>
      <c r="BF2787" s="115"/>
      <c r="BG2787" s="115"/>
      <c r="BH2787" s="115"/>
      <c r="BI2787" s="115"/>
      <c r="BJ2787" s="115"/>
      <c r="BK2787" s="115"/>
      <c r="BL2787" s="115"/>
      <c r="BM2787" s="115"/>
      <c r="BN2787" s="115"/>
      <c r="BO2787" s="115"/>
      <c r="BP2787" s="115"/>
      <c r="BQ2787" s="115"/>
      <c r="BR2787" s="115"/>
      <c r="BS2787" s="115"/>
      <c r="BT2787" s="115"/>
      <c r="BU2787" s="115"/>
      <c r="BV2787" s="115"/>
      <c r="BW2787" s="115"/>
      <c r="BX2787" s="115"/>
      <c r="BY2787" s="115"/>
      <c r="BZ2787" s="115"/>
      <c r="CA2787" s="115"/>
      <c r="CB2787" s="115"/>
      <c r="CC2787" s="115"/>
      <c r="CD2787" s="115"/>
      <c r="CE2787" s="115"/>
      <c r="CF2787" s="115"/>
      <c r="CG2787" s="115"/>
      <c r="CH2787" s="115"/>
      <c r="CI2787" s="115"/>
      <c r="CJ2787" s="115"/>
      <c r="CK2787" s="115"/>
      <c r="CL2787" s="115"/>
      <c r="CM2787" s="115"/>
      <c r="CN2787" s="115"/>
      <c r="CO2787" s="115"/>
      <c r="CP2787" s="115"/>
      <c r="CQ2787" s="115"/>
      <c r="CR2787" s="115"/>
      <c r="CS2787" s="115"/>
      <c r="CT2787" s="115"/>
      <c r="CU2787" s="115"/>
      <c r="CV2787" s="115"/>
      <c r="CW2787" s="115"/>
      <c r="CX2787" s="115"/>
      <c r="CY2787" s="115"/>
      <c r="CZ2787" s="115"/>
      <c r="DA2787" s="115"/>
      <c r="DB2787" s="115"/>
      <c r="DC2787" s="115"/>
      <c r="DD2787" s="115"/>
      <c r="DE2787" s="115"/>
      <c r="DF2787" s="115"/>
      <c r="DG2787" s="115"/>
    </row>
    <row r="2788" spans="55:111" hidden="1">
      <c r="BC2788" s="115"/>
      <c r="BD2788" s="115"/>
      <c r="BE2788" s="115"/>
      <c r="BF2788" s="115"/>
      <c r="BG2788" s="115"/>
      <c r="BH2788" s="115"/>
      <c r="BI2788" s="115"/>
      <c r="BJ2788" s="115"/>
      <c r="BK2788" s="115"/>
      <c r="BL2788" s="115"/>
      <c r="BM2788" s="115"/>
      <c r="BN2788" s="115"/>
      <c r="BO2788" s="115"/>
      <c r="BP2788" s="115"/>
      <c r="BQ2788" s="115"/>
      <c r="BR2788" s="115"/>
      <c r="BS2788" s="115"/>
      <c r="BT2788" s="115"/>
      <c r="BU2788" s="115"/>
      <c r="BV2788" s="115"/>
      <c r="BW2788" s="115"/>
      <c r="BX2788" s="115"/>
      <c r="BY2788" s="115"/>
      <c r="BZ2788" s="115"/>
      <c r="CA2788" s="115"/>
      <c r="CB2788" s="115"/>
      <c r="CC2788" s="115"/>
      <c r="CD2788" s="115"/>
      <c r="CE2788" s="115"/>
      <c r="CF2788" s="115"/>
      <c r="CG2788" s="115"/>
      <c r="CH2788" s="115"/>
      <c r="CI2788" s="115"/>
      <c r="CJ2788" s="115"/>
      <c r="CK2788" s="115"/>
      <c r="CL2788" s="115"/>
      <c r="CM2788" s="115"/>
      <c r="CN2788" s="115"/>
      <c r="CO2788" s="115"/>
      <c r="CP2788" s="115"/>
      <c r="CQ2788" s="115"/>
      <c r="CR2788" s="115"/>
      <c r="CS2788" s="115"/>
      <c r="CT2788" s="115"/>
      <c r="CU2788" s="115"/>
      <c r="CV2788" s="115"/>
      <c r="CW2788" s="115"/>
      <c r="CX2788" s="115"/>
      <c r="CY2788" s="115"/>
      <c r="CZ2788" s="115"/>
      <c r="DA2788" s="115"/>
      <c r="DB2788" s="115"/>
      <c r="DC2788" s="115"/>
      <c r="DD2788" s="115"/>
      <c r="DE2788" s="115"/>
      <c r="DF2788" s="115"/>
      <c r="DG2788" s="115"/>
    </row>
    <row r="2789" spans="55:111" hidden="1">
      <c r="BC2789" s="115"/>
      <c r="BD2789" s="115"/>
      <c r="BE2789" s="115"/>
      <c r="BF2789" s="115"/>
      <c r="BG2789" s="115"/>
      <c r="BH2789" s="115"/>
      <c r="BI2789" s="115"/>
      <c r="BJ2789" s="115"/>
      <c r="BK2789" s="115"/>
      <c r="BL2789" s="115"/>
      <c r="BM2789" s="115"/>
      <c r="BN2789" s="115"/>
      <c r="BO2789" s="115"/>
      <c r="BP2789" s="115"/>
      <c r="BQ2789" s="115"/>
      <c r="BR2789" s="115"/>
      <c r="BS2789" s="115"/>
      <c r="BT2789" s="115"/>
      <c r="BU2789" s="115"/>
      <c r="BV2789" s="115"/>
      <c r="BW2789" s="115"/>
      <c r="BX2789" s="115"/>
      <c r="BY2789" s="115"/>
      <c r="BZ2789" s="115"/>
      <c r="CA2789" s="115"/>
      <c r="CB2789" s="115"/>
      <c r="CC2789" s="115"/>
      <c r="CD2789" s="115"/>
      <c r="CE2789" s="115"/>
      <c r="CF2789" s="115"/>
      <c r="CG2789" s="115"/>
      <c r="CH2789" s="115"/>
      <c r="CI2789" s="115"/>
      <c r="CJ2789" s="115"/>
      <c r="CK2789" s="115"/>
      <c r="CL2789" s="115"/>
      <c r="CM2789" s="115"/>
      <c r="CN2789" s="115"/>
      <c r="CO2789" s="115"/>
      <c r="CP2789" s="115"/>
      <c r="CQ2789" s="115"/>
      <c r="CR2789" s="115"/>
      <c r="CS2789" s="115"/>
      <c r="CT2789" s="115"/>
      <c r="CU2789" s="115"/>
      <c r="CV2789" s="115"/>
      <c r="CW2789" s="115"/>
      <c r="CX2789" s="115"/>
      <c r="CY2789" s="115"/>
      <c r="CZ2789" s="115"/>
      <c r="DA2789" s="115"/>
      <c r="DB2789" s="115"/>
      <c r="DC2789" s="115"/>
      <c r="DD2789" s="115"/>
      <c r="DE2789" s="115"/>
      <c r="DF2789" s="115"/>
      <c r="DG2789" s="115"/>
    </row>
    <row r="2790" spans="55:111" hidden="1">
      <c r="BC2790" s="115"/>
      <c r="BD2790" s="115"/>
      <c r="BE2790" s="115"/>
      <c r="BF2790" s="115"/>
      <c r="BG2790" s="115"/>
      <c r="BH2790" s="115"/>
      <c r="BI2790" s="115"/>
      <c r="BJ2790" s="115"/>
      <c r="BK2790" s="115"/>
      <c r="BL2790" s="115"/>
      <c r="BM2790" s="115"/>
      <c r="BN2790" s="115"/>
      <c r="BO2790" s="115"/>
      <c r="BP2790" s="115"/>
      <c r="BQ2790" s="115"/>
      <c r="BR2790" s="115"/>
      <c r="BS2790" s="115"/>
      <c r="BT2790" s="115"/>
      <c r="BU2790" s="115"/>
      <c r="BV2790" s="115"/>
      <c r="BW2790" s="115"/>
      <c r="BX2790" s="115"/>
      <c r="BY2790" s="115"/>
      <c r="BZ2790" s="115"/>
      <c r="CA2790" s="115"/>
      <c r="CB2790" s="115"/>
      <c r="CC2790" s="115"/>
      <c r="CD2790" s="115"/>
      <c r="CE2790" s="115"/>
      <c r="CF2790" s="115"/>
      <c r="CG2790" s="115"/>
      <c r="CH2790" s="115"/>
      <c r="CI2790" s="115"/>
      <c r="CJ2790" s="115"/>
      <c r="CK2790" s="115"/>
      <c r="CL2790" s="115"/>
      <c r="CM2790" s="115"/>
      <c r="CN2790" s="115"/>
      <c r="CO2790" s="115"/>
      <c r="CP2790" s="115"/>
      <c r="CQ2790" s="115"/>
      <c r="CR2790" s="115"/>
      <c r="CS2790" s="115"/>
      <c r="CT2790" s="115"/>
      <c r="CU2790" s="115"/>
      <c r="CV2790" s="115"/>
      <c r="CW2790" s="115"/>
      <c r="CX2790" s="115"/>
      <c r="CY2790" s="115"/>
      <c r="CZ2790" s="115"/>
      <c r="DA2790" s="115"/>
      <c r="DB2790" s="115"/>
      <c r="DC2790" s="115"/>
      <c r="DD2790" s="115"/>
      <c r="DE2790" s="115"/>
      <c r="DF2790" s="115"/>
      <c r="DG2790" s="115"/>
    </row>
    <row r="2791" spans="55:111" hidden="1">
      <c r="BC2791" s="115"/>
      <c r="BD2791" s="115"/>
      <c r="BE2791" s="115"/>
      <c r="BF2791" s="115"/>
      <c r="BG2791" s="115"/>
      <c r="BH2791" s="115"/>
      <c r="BI2791" s="115"/>
      <c r="BJ2791" s="115"/>
      <c r="BK2791" s="115"/>
      <c r="BL2791" s="115"/>
      <c r="BM2791" s="115"/>
      <c r="BN2791" s="115"/>
      <c r="BO2791" s="115"/>
      <c r="BP2791" s="115"/>
      <c r="BQ2791" s="115"/>
      <c r="BR2791" s="115"/>
      <c r="BS2791" s="115"/>
      <c r="BT2791" s="115"/>
      <c r="BU2791" s="115"/>
      <c r="BV2791" s="115"/>
      <c r="BW2791" s="115"/>
      <c r="BX2791" s="115"/>
      <c r="BY2791" s="115"/>
      <c r="BZ2791" s="115"/>
      <c r="CA2791" s="115"/>
      <c r="CB2791" s="115"/>
      <c r="CC2791" s="115"/>
      <c r="CD2791" s="115"/>
      <c r="CE2791" s="115"/>
      <c r="CF2791" s="115"/>
      <c r="CG2791" s="115"/>
      <c r="CH2791" s="115"/>
      <c r="CI2791" s="115"/>
      <c r="CJ2791" s="115"/>
      <c r="CK2791" s="115"/>
      <c r="CL2791" s="115"/>
      <c r="CM2791" s="115"/>
      <c r="CN2791" s="115"/>
      <c r="CO2791" s="115"/>
      <c r="CP2791" s="115"/>
      <c r="CQ2791" s="115"/>
      <c r="CR2791" s="115"/>
      <c r="CS2791" s="115"/>
      <c r="CT2791" s="115"/>
      <c r="CU2791" s="115"/>
      <c r="CV2791" s="115"/>
      <c r="CW2791" s="115"/>
      <c r="CX2791" s="115"/>
      <c r="CY2791" s="115"/>
      <c r="CZ2791" s="115"/>
      <c r="DA2791" s="115"/>
      <c r="DB2791" s="115"/>
      <c r="DC2791" s="115"/>
      <c r="DD2791" s="115"/>
      <c r="DE2791" s="115"/>
      <c r="DF2791" s="115"/>
      <c r="DG2791" s="115"/>
    </row>
    <row r="2792" spans="55:111" hidden="1">
      <c r="BC2792" s="115"/>
      <c r="BD2792" s="115"/>
      <c r="BE2792" s="115"/>
      <c r="BF2792" s="115"/>
      <c r="BG2792" s="115"/>
      <c r="BH2792" s="115"/>
      <c r="BI2792" s="115"/>
      <c r="BJ2792" s="115"/>
      <c r="BK2792" s="115"/>
      <c r="BL2792" s="115"/>
      <c r="BM2792" s="115"/>
      <c r="BN2792" s="115"/>
      <c r="BO2792" s="115"/>
      <c r="BP2792" s="115"/>
      <c r="BQ2792" s="115"/>
      <c r="BR2792" s="115"/>
      <c r="BS2792" s="115"/>
      <c r="BT2792" s="115"/>
      <c r="BU2792" s="115"/>
      <c r="BV2792" s="115"/>
      <c r="BW2792" s="115"/>
      <c r="BX2792" s="115"/>
      <c r="BY2792" s="115"/>
      <c r="BZ2792" s="115"/>
      <c r="CA2792" s="115"/>
      <c r="CB2792" s="115"/>
      <c r="CC2792" s="115"/>
      <c r="CD2792" s="115"/>
      <c r="CE2792" s="115"/>
      <c r="CF2792" s="115"/>
      <c r="CG2792" s="115"/>
      <c r="CH2792" s="115"/>
      <c r="CI2792" s="115"/>
      <c r="CJ2792" s="115"/>
      <c r="CK2792" s="115"/>
      <c r="CL2792" s="115"/>
      <c r="CM2792" s="115"/>
      <c r="CN2792" s="115"/>
      <c r="CO2792" s="115"/>
      <c r="CP2792" s="115"/>
      <c r="CQ2792" s="115"/>
      <c r="CR2792" s="115"/>
      <c r="CS2792" s="115"/>
      <c r="CT2792" s="115"/>
      <c r="CU2792" s="115"/>
      <c r="CV2792" s="115"/>
      <c r="CW2792" s="115"/>
      <c r="CX2792" s="115"/>
      <c r="CY2792" s="115"/>
      <c r="CZ2792" s="115"/>
      <c r="DA2792" s="115"/>
      <c r="DB2792" s="115"/>
      <c r="DC2792" s="115"/>
      <c r="DD2792" s="115"/>
      <c r="DE2792" s="115"/>
      <c r="DF2792" s="115"/>
      <c r="DG2792" s="115"/>
    </row>
    <row r="2793" spans="55:111" hidden="1">
      <c r="BC2793" s="115"/>
      <c r="BD2793" s="115"/>
      <c r="BE2793" s="115"/>
      <c r="BF2793" s="115"/>
      <c r="BG2793" s="115"/>
      <c r="BH2793" s="115"/>
      <c r="BI2793" s="115"/>
      <c r="BJ2793" s="115"/>
      <c r="BK2793" s="115"/>
      <c r="BL2793" s="115"/>
      <c r="BM2793" s="115"/>
      <c r="BN2793" s="115"/>
      <c r="BO2793" s="115"/>
      <c r="BP2793" s="115"/>
      <c r="BQ2793" s="115"/>
      <c r="BR2793" s="115"/>
      <c r="BS2793" s="115"/>
      <c r="BT2793" s="115"/>
      <c r="BU2793" s="115"/>
      <c r="BV2793" s="115"/>
      <c r="BW2793" s="115"/>
      <c r="BX2793" s="115"/>
      <c r="BY2793" s="115"/>
      <c r="BZ2793" s="115"/>
      <c r="CA2793" s="115"/>
      <c r="CB2793" s="115"/>
      <c r="CC2793" s="115"/>
      <c r="CD2793" s="115"/>
      <c r="CE2793" s="115"/>
      <c r="CF2793" s="115"/>
      <c r="CG2793" s="115"/>
      <c r="CH2793" s="115"/>
      <c r="CI2793" s="115"/>
      <c r="CJ2793" s="115"/>
      <c r="CK2793" s="115"/>
      <c r="CL2793" s="115"/>
      <c r="CM2793" s="115"/>
      <c r="CN2793" s="115"/>
      <c r="CO2793" s="115"/>
      <c r="CP2793" s="115"/>
      <c r="CQ2793" s="115"/>
      <c r="CR2793" s="115"/>
      <c r="CS2793" s="115"/>
      <c r="CT2793" s="115"/>
      <c r="CU2793" s="115"/>
      <c r="CV2793" s="115"/>
      <c r="CW2793" s="115"/>
      <c r="CX2793" s="115"/>
      <c r="CY2793" s="115"/>
      <c r="CZ2793" s="115"/>
      <c r="DA2793" s="115"/>
      <c r="DB2793" s="115"/>
      <c r="DC2793" s="115"/>
      <c r="DD2793" s="115"/>
      <c r="DE2793" s="115"/>
      <c r="DF2793" s="115"/>
      <c r="DG2793" s="115"/>
    </row>
    <row r="2794" spans="55:111" hidden="1">
      <c r="BC2794" s="115"/>
      <c r="BD2794" s="115"/>
      <c r="BE2794" s="115"/>
      <c r="BF2794" s="115"/>
      <c r="BG2794" s="115"/>
      <c r="BH2794" s="115"/>
      <c r="BI2794" s="115"/>
      <c r="BJ2794" s="115"/>
      <c r="BK2794" s="115"/>
      <c r="BL2794" s="115"/>
      <c r="BM2794" s="115"/>
      <c r="BN2794" s="115"/>
      <c r="BO2794" s="115"/>
      <c r="BP2794" s="115"/>
      <c r="BQ2794" s="115"/>
      <c r="BR2794" s="115"/>
      <c r="BS2794" s="115"/>
      <c r="BT2794" s="115"/>
      <c r="BU2794" s="115"/>
      <c r="BV2794" s="115"/>
      <c r="BW2794" s="115"/>
      <c r="BX2794" s="115"/>
      <c r="BY2794" s="115"/>
      <c r="BZ2794" s="115"/>
      <c r="CA2794" s="115"/>
      <c r="CB2794" s="115"/>
      <c r="CC2794" s="115"/>
      <c r="CD2794" s="115"/>
      <c r="CE2794" s="115"/>
      <c r="CF2794" s="115"/>
      <c r="CG2794" s="115"/>
      <c r="CH2794" s="115"/>
      <c r="CI2794" s="115"/>
      <c r="CJ2794" s="115"/>
      <c r="CK2794" s="115"/>
      <c r="CL2794" s="115"/>
      <c r="CM2794" s="115"/>
      <c r="CN2794" s="115"/>
      <c r="CO2794" s="115"/>
      <c r="CP2794" s="115"/>
      <c r="CQ2794" s="115"/>
      <c r="CR2794" s="115"/>
      <c r="CS2794" s="115"/>
      <c r="CT2794" s="115"/>
      <c r="CU2794" s="115"/>
      <c r="CV2794" s="115"/>
      <c r="CW2794" s="115"/>
      <c r="CX2794" s="115"/>
      <c r="CY2794" s="115"/>
      <c r="CZ2794" s="115"/>
      <c r="DA2794" s="115"/>
      <c r="DB2794" s="115"/>
      <c r="DC2794" s="115"/>
      <c r="DD2794" s="115"/>
      <c r="DE2794" s="115"/>
      <c r="DF2794" s="115"/>
      <c r="DG2794" s="115"/>
    </row>
    <row r="2795" spans="55:111" hidden="1">
      <c r="BC2795" s="115"/>
      <c r="BD2795" s="115"/>
      <c r="BE2795" s="115"/>
      <c r="BF2795" s="115"/>
      <c r="BG2795" s="115"/>
      <c r="BH2795" s="115"/>
      <c r="BI2795" s="115"/>
      <c r="BJ2795" s="115"/>
      <c r="BK2795" s="115"/>
      <c r="BL2795" s="115"/>
      <c r="BM2795" s="115"/>
      <c r="BN2795" s="115"/>
      <c r="BO2795" s="115"/>
      <c r="BP2795" s="115"/>
      <c r="BQ2795" s="115"/>
      <c r="BR2795" s="115"/>
      <c r="BS2795" s="115"/>
      <c r="BT2795" s="115"/>
      <c r="BU2795" s="115"/>
      <c r="BV2795" s="115"/>
      <c r="BW2795" s="115"/>
      <c r="BX2795" s="115"/>
      <c r="BY2795" s="115"/>
      <c r="BZ2795" s="115"/>
      <c r="CA2795" s="115"/>
      <c r="CB2795" s="115"/>
      <c r="CC2795" s="115"/>
      <c r="CD2795" s="115"/>
      <c r="CE2795" s="115"/>
      <c r="CF2795" s="115"/>
      <c r="CG2795" s="115"/>
      <c r="CH2795" s="115"/>
      <c r="CI2795" s="115"/>
      <c r="CJ2795" s="115"/>
      <c r="CK2795" s="115"/>
      <c r="CL2795" s="115"/>
      <c r="CM2795" s="115"/>
      <c r="CN2795" s="115"/>
      <c r="CO2795" s="115"/>
      <c r="CP2795" s="115"/>
      <c r="CQ2795" s="115"/>
      <c r="CR2795" s="115"/>
      <c r="CS2795" s="115"/>
      <c r="CT2795" s="115"/>
      <c r="CU2795" s="115"/>
      <c r="CV2795" s="115"/>
      <c r="CW2795" s="115"/>
      <c r="CX2795" s="115"/>
      <c r="CY2795" s="115"/>
      <c r="CZ2795" s="115"/>
      <c r="DA2795" s="115"/>
      <c r="DB2795" s="115"/>
      <c r="DC2795" s="115"/>
      <c r="DD2795" s="115"/>
      <c r="DE2795" s="115"/>
      <c r="DF2795" s="115"/>
      <c r="DG2795" s="115"/>
    </row>
    <row r="2796" spans="55:111" hidden="1">
      <c r="BC2796" s="115"/>
      <c r="BD2796" s="115"/>
      <c r="BE2796" s="115"/>
      <c r="BF2796" s="115"/>
      <c r="BG2796" s="115"/>
      <c r="BH2796" s="115"/>
      <c r="BI2796" s="115"/>
      <c r="BJ2796" s="115"/>
      <c r="BK2796" s="115"/>
      <c r="BL2796" s="115"/>
      <c r="BM2796" s="115"/>
      <c r="BN2796" s="115"/>
      <c r="BO2796" s="115"/>
      <c r="BP2796" s="115"/>
      <c r="BQ2796" s="115"/>
      <c r="BR2796" s="115"/>
      <c r="BS2796" s="115"/>
      <c r="BT2796" s="115"/>
      <c r="BU2796" s="115"/>
      <c r="BV2796" s="115"/>
      <c r="BW2796" s="115"/>
      <c r="BX2796" s="115"/>
      <c r="BY2796" s="115"/>
      <c r="BZ2796" s="115"/>
      <c r="CA2796" s="115"/>
      <c r="CB2796" s="115"/>
      <c r="CC2796" s="115"/>
      <c r="CD2796" s="115"/>
      <c r="CE2796" s="115"/>
      <c r="CF2796" s="115"/>
      <c r="CG2796" s="115"/>
      <c r="CH2796" s="115"/>
      <c r="CI2796" s="115"/>
      <c r="CJ2796" s="115"/>
      <c r="CK2796" s="115"/>
      <c r="CL2796" s="115"/>
      <c r="CM2796" s="115"/>
      <c r="CN2796" s="115"/>
      <c r="CO2796" s="115"/>
      <c r="CP2796" s="115"/>
      <c r="CQ2796" s="115"/>
      <c r="CR2796" s="115"/>
      <c r="CS2796" s="115"/>
      <c r="CT2796" s="115"/>
      <c r="CU2796" s="115"/>
      <c r="CV2796" s="115"/>
      <c r="CW2796" s="115"/>
      <c r="CX2796" s="115"/>
      <c r="CY2796" s="115"/>
      <c r="CZ2796" s="115"/>
      <c r="DA2796" s="115"/>
      <c r="DB2796" s="115"/>
      <c r="DC2796" s="115"/>
      <c r="DD2796" s="115"/>
      <c r="DE2796" s="115"/>
      <c r="DF2796" s="115"/>
      <c r="DG2796" s="115"/>
    </row>
    <row r="2797" spans="55:111" hidden="1">
      <c r="BC2797" s="115"/>
      <c r="BD2797" s="115"/>
      <c r="BE2797" s="115"/>
      <c r="BF2797" s="115"/>
      <c r="BG2797" s="115"/>
      <c r="BH2797" s="115"/>
      <c r="BI2797" s="115"/>
      <c r="BJ2797" s="115"/>
      <c r="BK2797" s="115"/>
      <c r="BL2797" s="115"/>
      <c r="BM2797" s="115"/>
      <c r="BN2797" s="115"/>
      <c r="BO2797" s="115"/>
      <c r="BP2797" s="115"/>
      <c r="BQ2797" s="115"/>
      <c r="BR2797" s="115"/>
      <c r="BS2797" s="115"/>
      <c r="BT2797" s="115"/>
      <c r="BU2797" s="115"/>
      <c r="BV2797" s="115"/>
      <c r="BW2797" s="115"/>
      <c r="BX2797" s="115"/>
      <c r="BY2797" s="115"/>
      <c r="BZ2797" s="115"/>
      <c r="CA2797" s="115"/>
      <c r="CB2797" s="115"/>
      <c r="CC2797" s="115"/>
      <c r="CD2797" s="115"/>
      <c r="CE2797" s="115"/>
      <c r="CF2797" s="115"/>
      <c r="CG2797" s="115"/>
      <c r="CH2797" s="115"/>
      <c r="CI2797" s="115"/>
      <c r="CJ2797" s="115"/>
      <c r="CK2797" s="115"/>
      <c r="CL2797" s="115"/>
      <c r="CM2797" s="115"/>
      <c r="CN2797" s="115"/>
      <c r="CO2797" s="115"/>
      <c r="CP2797" s="115"/>
      <c r="CQ2797" s="115"/>
      <c r="CR2797" s="115"/>
      <c r="CS2797" s="115"/>
      <c r="CT2797" s="115"/>
      <c r="CU2797" s="115"/>
      <c r="CV2797" s="115"/>
      <c r="CW2797" s="115"/>
      <c r="CX2797" s="115"/>
      <c r="CY2797" s="115"/>
      <c r="CZ2797" s="115"/>
      <c r="DA2797" s="115"/>
      <c r="DB2797" s="115"/>
      <c r="DC2797" s="115"/>
      <c r="DD2797" s="115"/>
      <c r="DE2797" s="115"/>
      <c r="DF2797" s="115"/>
      <c r="DG2797" s="115"/>
    </row>
    <row r="2798" spans="55:111" hidden="1">
      <c r="BC2798" s="115"/>
      <c r="BD2798" s="115"/>
      <c r="BE2798" s="115"/>
      <c r="BF2798" s="115"/>
      <c r="BG2798" s="115"/>
      <c r="BH2798" s="115"/>
      <c r="BI2798" s="115"/>
      <c r="BJ2798" s="115"/>
      <c r="BK2798" s="115"/>
      <c r="BL2798" s="115"/>
      <c r="BM2798" s="115"/>
      <c r="BN2798" s="115"/>
      <c r="BO2798" s="115"/>
      <c r="BP2798" s="115"/>
      <c r="BQ2798" s="115"/>
      <c r="BR2798" s="115"/>
      <c r="BS2798" s="115"/>
      <c r="BT2798" s="115"/>
      <c r="BU2798" s="115"/>
      <c r="BV2798" s="115"/>
      <c r="BW2798" s="115"/>
      <c r="BX2798" s="115"/>
      <c r="BY2798" s="115"/>
      <c r="BZ2798" s="115"/>
      <c r="CA2798" s="115"/>
      <c r="CB2798" s="115"/>
      <c r="CC2798" s="115"/>
      <c r="CD2798" s="115"/>
      <c r="CE2798" s="115"/>
      <c r="CF2798" s="115"/>
      <c r="CG2798" s="115"/>
      <c r="CH2798" s="115"/>
      <c r="CI2798" s="115"/>
      <c r="CJ2798" s="115"/>
      <c r="CK2798" s="115"/>
      <c r="CL2798" s="115"/>
      <c r="CM2798" s="115"/>
      <c r="CN2798" s="115"/>
      <c r="CO2798" s="115"/>
      <c r="CP2798" s="115"/>
      <c r="CQ2798" s="115"/>
      <c r="CR2798" s="115"/>
      <c r="CS2798" s="115"/>
      <c r="CT2798" s="115"/>
      <c r="CU2798" s="115"/>
      <c r="CV2798" s="115"/>
      <c r="CW2798" s="115"/>
      <c r="CX2798" s="115"/>
      <c r="CY2798" s="115"/>
      <c r="CZ2798" s="115"/>
      <c r="DA2798" s="115"/>
      <c r="DB2798" s="115"/>
      <c r="DC2798" s="115"/>
      <c r="DD2798" s="115"/>
      <c r="DE2798" s="115"/>
      <c r="DF2798" s="115"/>
      <c r="DG2798" s="115"/>
    </row>
    <row r="2799" spans="55:111" hidden="1">
      <c r="BC2799" s="115"/>
      <c r="BD2799" s="115"/>
      <c r="BE2799" s="115"/>
      <c r="BF2799" s="115"/>
      <c r="BG2799" s="115"/>
      <c r="BH2799" s="115"/>
      <c r="BI2799" s="115"/>
      <c r="BJ2799" s="115"/>
      <c r="BK2799" s="115"/>
      <c r="BL2799" s="115"/>
      <c r="BM2799" s="115"/>
      <c r="BN2799" s="115"/>
      <c r="BO2799" s="115"/>
      <c r="BP2799" s="115"/>
      <c r="BQ2799" s="115"/>
      <c r="BR2799" s="115"/>
      <c r="BS2799" s="115"/>
      <c r="BT2799" s="115"/>
      <c r="BU2799" s="115"/>
      <c r="BV2799" s="115"/>
      <c r="BW2799" s="115"/>
      <c r="BX2799" s="115"/>
      <c r="BY2799" s="115"/>
      <c r="BZ2799" s="115"/>
      <c r="CA2799" s="115"/>
      <c r="CB2799" s="115"/>
      <c r="CC2799" s="115"/>
      <c r="CD2799" s="115"/>
      <c r="CE2799" s="115"/>
      <c r="CF2799" s="115"/>
      <c r="CG2799" s="115"/>
      <c r="CH2799" s="115"/>
      <c r="CI2799" s="115"/>
      <c r="CJ2799" s="115"/>
      <c r="CK2799" s="115"/>
      <c r="CL2799" s="115"/>
      <c r="CM2799" s="115"/>
      <c r="CN2799" s="115"/>
      <c r="CO2799" s="115"/>
      <c r="CP2799" s="115"/>
      <c r="CQ2799" s="115"/>
      <c r="CR2799" s="115"/>
      <c r="CS2799" s="115"/>
      <c r="CT2799" s="115"/>
      <c r="CU2799" s="115"/>
      <c r="CV2799" s="115"/>
      <c r="CW2799" s="115"/>
      <c r="CX2799" s="115"/>
      <c r="CY2799" s="115"/>
      <c r="CZ2799" s="115"/>
      <c r="DA2799" s="115"/>
      <c r="DB2799" s="115"/>
      <c r="DC2799" s="115"/>
      <c r="DD2799" s="115"/>
      <c r="DE2799" s="115"/>
      <c r="DF2799" s="115"/>
      <c r="DG2799" s="115"/>
    </row>
    <row r="2800" spans="55:111" hidden="1">
      <c r="BC2800" s="115"/>
      <c r="BD2800" s="115"/>
      <c r="BE2800" s="115"/>
      <c r="BF2800" s="115"/>
      <c r="BG2800" s="115"/>
      <c r="BH2800" s="115"/>
      <c r="BI2800" s="115"/>
      <c r="BJ2800" s="115"/>
      <c r="BK2800" s="115"/>
      <c r="BL2800" s="115"/>
      <c r="BM2800" s="115"/>
      <c r="BN2800" s="115"/>
      <c r="BO2800" s="115"/>
      <c r="BP2800" s="115"/>
      <c r="BQ2800" s="115"/>
      <c r="BR2800" s="115"/>
      <c r="BS2800" s="115"/>
      <c r="BT2800" s="115"/>
      <c r="BU2800" s="115"/>
      <c r="BV2800" s="115"/>
      <c r="BW2800" s="115"/>
      <c r="BX2800" s="115"/>
      <c r="BY2800" s="115"/>
      <c r="BZ2800" s="115"/>
      <c r="CA2800" s="115"/>
      <c r="CB2800" s="115"/>
      <c r="CC2800" s="115"/>
      <c r="CD2800" s="115"/>
      <c r="CE2800" s="115"/>
      <c r="CF2800" s="115"/>
      <c r="CG2800" s="115"/>
      <c r="CH2800" s="115"/>
      <c r="CI2800" s="115"/>
      <c r="CJ2800" s="115"/>
      <c r="CK2800" s="115"/>
      <c r="CL2800" s="115"/>
      <c r="CM2800" s="115"/>
      <c r="CN2800" s="115"/>
      <c r="CO2800" s="115"/>
      <c r="CP2800" s="115"/>
      <c r="CQ2800" s="115"/>
      <c r="CR2800" s="115"/>
      <c r="CS2800" s="115"/>
      <c r="CT2800" s="115"/>
      <c r="CU2800" s="115"/>
      <c r="CV2800" s="115"/>
      <c r="CW2800" s="115"/>
      <c r="CX2800" s="115"/>
      <c r="CY2800" s="115"/>
      <c r="CZ2800" s="115"/>
      <c r="DA2800" s="115"/>
      <c r="DB2800" s="115"/>
      <c r="DC2800" s="115"/>
      <c r="DD2800" s="115"/>
      <c r="DE2800" s="115"/>
      <c r="DF2800" s="115"/>
      <c r="DG2800" s="115"/>
    </row>
    <row r="2801" spans="55:111" hidden="1">
      <c r="BC2801" s="115"/>
      <c r="BD2801" s="115"/>
      <c r="BE2801" s="115"/>
      <c r="BF2801" s="115"/>
      <c r="BG2801" s="115"/>
      <c r="BH2801" s="115"/>
      <c r="BI2801" s="115"/>
      <c r="BJ2801" s="115"/>
      <c r="BK2801" s="115"/>
      <c r="BL2801" s="115"/>
      <c r="BM2801" s="115"/>
      <c r="BN2801" s="115"/>
      <c r="BO2801" s="115"/>
      <c r="BP2801" s="115"/>
      <c r="BQ2801" s="115"/>
      <c r="BR2801" s="115"/>
      <c r="BS2801" s="115"/>
      <c r="BT2801" s="115"/>
      <c r="BU2801" s="115"/>
      <c r="BV2801" s="115"/>
      <c r="BW2801" s="115"/>
      <c r="BX2801" s="115"/>
      <c r="BY2801" s="115"/>
      <c r="BZ2801" s="115"/>
      <c r="CA2801" s="115"/>
      <c r="CB2801" s="115"/>
      <c r="CC2801" s="115"/>
      <c r="CD2801" s="115"/>
      <c r="CE2801" s="115"/>
      <c r="CF2801" s="115"/>
      <c r="CG2801" s="115"/>
      <c r="CH2801" s="115"/>
      <c r="CI2801" s="115"/>
      <c r="CJ2801" s="115"/>
      <c r="CK2801" s="115"/>
      <c r="CL2801" s="115"/>
      <c r="CM2801" s="115"/>
      <c r="CN2801" s="115"/>
      <c r="CO2801" s="115"/>
      <c r="CP2801" s="115"/>
      <c r="CQ2801" s="115"/>
      <c r="CR2801" s="115"/>
      <c r="CS2801" s="115"/>
      <c r="CT2801" s="115"/>
      <c r="CU2801" s="115"/>
      <c r="CV2801" s="115"/>
      <c r="CW2801" s="115"/>
      <c r="CX2801" s="115"/>
      <c r="CY2801" s="115"/>
      <c r="CZ2801" s="115"/>
      <c r="DA2801" s="115"/>
      <c r="DB2801" s="115"/>
      <c r="DC2801" s="115"/>
      <c r="DD2801" s="115"/>
      <c r="DE2801" s="115"/>
      <c r="DF2801" s="115"/>
      <c r="DG2801" s="115"/>
    </row>
    <row r="2802" spans="55:111" hidden="1">
      <c r="BC2802" s="115"/>
      <c r="BD2802" s="115"/>
      <c r="BE2802" s="115"/>
      <c r="BF2802" s="115"/>
      <c r="BG2802" s="115"/>
      <c r="BH2802" s="115"/>
      <c r="BI2802" s="115"/>
      <c r="BJ2802" s="115"/>
      <c r="BK2802" s="115"/>
      <c r="BL2802" s="115"/>
      <c r="BM2802" s="115"/>
      <c r="BN2802" s="115"/>
      <c r="BO2802" s="115"/>
      <c r="BP2802" s="115"/>
      <c r="BQ2802" s="115"/>
      <c r="BR2802" s="115"/>
      <c r="BS2802" s="115"/>
      <c r="BT2802" s="115"/>
      <c r="BU2802" s="115"/>
      <c r="BV2802" s="115"/>
      <c r="BW2802" s="115"/>
      <c r="BX2802" s="115"/>
      <c r="BY2802" s="115"/>
      <c r="BZ2802" s="115"/>
      <c r="CA2802" s="115"/>
      <c r="CB2802" s="115"/>
      <c r="CC2802" s="115"/>
      <c r="CD2802" s="115"/>
      <c r="CE2802" s="115"/>
      <c r="CF2802" s="115"/>
      <c r="CG2802" s="115"/>
      <c r="CH2802" s="115"/>
      <c r="CI2802" s="115"/>
      <c r="CJ2802" s="115"/>
      <c r="CK2802" s="115"/>
      <c r="CL2802" s="115"/>
      <c r="CM2802" s="115"/>
      <c r="CN2802" s="115"/>
      <c r="CO2802" s="115"/>
      <c r="CP2802" s="115"/>
      <c r="CQ2802" s="115"/>
      <c r="CR2802" s="115"/>
      <c r="CS2802" s="115"/>
      <c r="CT2802" s="115"/>
      <c r="CU2802" s="115"/>
      <c r="CV2802" s="115"/>
      <c r="CW2802" s="115"/>
      <c r="CX2802" s="115"/>
      <c r="CY2802" s="115"/>
      <c r="CZ2802" s="115"/>
      <c r="DA2802" s="115"/>
      <c r="DB2802" s="115"/>
      <c r="DC2802" s="115"/>
      <c r="DD2802" s="115"/>
      <c r="DE2802" s="115"/>
      <c r="DF2802" s="115"/>
      <c r="DG2802" s="115"/>
    </row>
    <row r="2803" spans="55:111" hidden="1">
      <c r="BC2803" s="115"/>
      <c r="BD2803" s="115"/>
      <c r="BE2803" s="115"/>
      <c r="BF2803" s="115"/>
      <c r="BG2803" s="115"/>
      <c r="BH2803" s="115"/>
      <c r="BI2803" s="115"/>
      <c r="BJ2803" s="115"/>
      <c r="BK2803" s="115"/>
      <c r="BL2803" s="115"/>
      <c r="BM2803" s="115"/>
      <c r="BN2803" s="115"/>
      <c r="BO2803" s="115"/>
      <c r="BP2803" s="115"/>
      <c r="BQ2803" s="115"/>
      <c r="BR2803" s="115"/>
      <c r="BS2803" s="115"/>
      <c r="BT2803" s="115"/>
      <c r="BU2803" s="115"/>
      <c r="BV2803" s="115"/>
      <c r="BW2803" s="115"/>
      <c r="BX2803" s="115"/>
      <c r="BY2803" s="115"/>
      <c r="BZ2803" s="115"/>
      <c r="CA2803" s="115"/>
      <c r="CB2803" s="115"/>
      <c r="CC2803" s="115"/>
      <c r="CD2803" s="115"/>
      <c r="CE2803" s="115"/>
      <c r="CF2803" s="115"/>
      <c r="CG2803" s="115"/>
      <c r="CH2803" s="115"/>
      <c r="CI2803" s="115"/>
      <c r="CJ2803" s="115"/>
      <c r="CK2803" s="115"/>
      <c r="CL2803" s="115"/>
      <c r="CM2803" s="115"/>
      <c r="CN2803" s="115"/>
      <c r="CO2803" s="115"/>
      <c r="CP2803" s="115"/>
      <c r="CQ2803" s="115"/>
      <c r="CR2803" s="115"/>
      <c r="CS2803" s="115"/>
      <c r="CT2803" s="115"/>
      <c r="CU2803" s="115"/>
      <c r="CV2803" s="115"/>
      <c r="CW2803" s="115"/>
      <c r="CX2803" s="115"/>
      <c r="CY2803" s="115"/>
      <c r="CZ2803" s="115"/>
      <c r="DA2803" s="115"/>
      <c r="DB2803" s="115"/>
      <c r="DC2803" s="115"/>
      <c r="DD2803" s="115"/>
      <c r="DE2803" s="115"/>
      <c r="DF2803" s="115"/>
      <c r="DG2803" s="115"/>
    </row>
    <row r="2804" spans="55:111" hidden="1">
      <c r="BC2804" s="115"/>
      <c r="BD2804" s="115"/>
      <c r="BE2804" s="115"/>
      <c r="BF2804" s="115"/>
      <c r="BG2804" s="115"/>
      <c r="BH2804" s="115"/>
      <c r="BI2804" s="115"/>
      <c r="BJ2804" s="115"/>
      <c r="BK2804" s="115"/>
      <c r="BL2804" s="115"/>
      <c r="BM2804" s="115"/>
      <c r="BN2804" s="115"/>
      <c r="BO2804" s="115"/>
      <c r="BP2804" s="115"/>
      <c r="BQ2804" s="115"/>
      <c r="BR2804" s="115"/>
      <c r="BS2804" s="115"/>
      <c r="BT2804" s="115"/>
      <c r="BU2804" s="115"/>
      <c r="BV2804" s="115"/>
      <c r="BW2804" s="115"/>
      <c r="BX2804" s="115"/>
      <c r="BY2804" s="115"/>
      <c r="BZ2804" s="115"/>
      <c r="CA2804" s="115"/>
      <c r="CB2804" s="115"/>
      <c r="CC2804" s="115"/>
      <c r="CD2804" s="115"/>
      <c r="CE2804" s="115"/>
      <c r="CF2804" s="115"/>
      <c r="CG2804" s="115"/>
      <c r="CH2804" s="115"/>
      <c r="CI2804" s="115"/>
      <c r="CJ2804" s="115"/>
      <c r="CK2804" s="115"/>
      <c r="CL2804" s="115"/>
      <c r="CM2804" s="115"/>
      <c r="CN2804" s="115"/>
      <c r="CO2804" s="115"/>
      <c r="CP2804" s="115"/>
      <c r="CQ2804" s="115"/>
      <c r="CR2804" s="115"/>
      <c r="CS2804" s="115"/>
      <c r="CT2804" s="115"/>
      <c r="CU2804" s="115"/>
      <c r="CV2804" s="115"/>
      <c r="CW2804" s="115"/>
      <c r="CX2804" s="115"/>
      <c r="CY2804" s="115"/>
      <c r="CZ2804" s="115"/>
      <c r="DA2804" s="115"/>
      <c r="DB2804" s="115"/>
      <c r="DC2804" s="115"/>
      <c r="DD2804" s="115"/>
      <c r="DE2804" s="115"/>
      <c r="DF2804" s="115"/>
      <c r="DG2804" s="115"/>
    </row>
    <row r="2805" spans="55:111" hidden="1">
      <c r="BC2805" s="115"/>
      <c r="BD2805" s="115"/>
      <c r="BE2805" s="115"/>
      <c r="BF2805" s="115"/>
      <c r="BG2805" s="115"/>
      <c r="BH2805" s="115"/>
      <c r="BI2805" s="115"/>
      <c r="BJ2805" s="115"/>
      <c r="BK2805" s="115"/>
      <c r="BL2805" s="115"/>
      <c r="BM2805" s="115"/>
      <c r="BN2805" s="115"/>
      <c r="BO2805" s="115"/>
      <c r="BP2805" s="115"/>
      <c r="BQ2805" s="115"/>
      <c r="BR2805" s="115"/>
      <c r="BS2805" s="115"/>
      <c r="BT2805" s="115"/>
      <c r="BU2805" s="115"/>
      <c r="BV2805" s="115"/>
      <c r="BW2805" s="115"/>
      <c r="BX2805" s="115"/>
      <c r="BY2805" s="115"/>
      <c r="BZ2805" s="115"/>
      <c r="CA2805" s="115"/>
      <c r="CB2805" s="115"/>
      <c r="CC2805" s="115"/>
      <c r="CD2805" s="115"/>
      <c r="CE2805" s="115"/>
      <c r="CF2805" s="115"/>
      <c r="CG2805" s="115"/>
      <c r="CH2805" s="115"/>
      <c r="CI2805" s="115"/>
      <c r="CJ2805" s="115"/>
      <c r="CK2805" s="115"/>
      <c r="CL2805" s="115"/>
      <c r="CM2805" s="115"/>
      <c r="CN2805" s="115"/>
      <c r="CO2805" s="115"/>
      <c r="CP2805" s="115"/>
      <c r="CQ2805" s="115"/>
      <c r="CR2805" s="115"/>
      <c r="CS2805" s="115"/>
      <c r="CT2805" s="115"/>
      <c r="CU2805" s="115"/>
      <c r="CV2805" s="115"/>
      <c r="CW2805" s="115"/>
      <c r="CX2805" s="115"/>
      <c r="CY2805" s="115"/>
      <c r="CZ2805" s="115"/>
      <c r="DA2805" s="115"/>
      <c r="DB2805" s="115"/>
      <c r="DC2805" s="115"/>
      <c r="DD2805" s="115"/>
      <c r="DE2805" s="115"/>
      <c r="DF2805" s="115"/>
      <c r="DG2805" s="115"/>
    </row>
    <row r="2806" spans="55:111" hidden="1">
      <c r="BC2806" s="115"/>
      <c r="BD2806" s="115"/>
      <c r="BE2806" s="115"/>
      <c r="BF2806" s="115"/>
      <c r="BG2806" s="115"/>
      <c r="BH2806" s="115"/>
      <c r="BI2806" s="115"/>
      <c r="BJ2806" s="115"/>
      <c r="BK2806" s="115"/>
      <c r="BL2806" s="115"/>
      <c r="BM2806" s="115"/>
      <c r="BN2806" s="115"/>
      <c r="BO2806" s="115"/>
      <c r="BP2806" s="115"/>
      <c r="BQ2806" s="115"/>
      <c r="BR2806" s="115"/>
      <c r="BS2806" s="115"/>
      <c r="BT2806" s="115"/>
      <c r="BU2806" s="115"/>
      <c r="BV2806" s="115"/>
      <c r="BW2806" s="115"/>
      <c r="BX2806" s="115"/>
      <c r="BY2806" s="115"/>
      <c r="BZ2806" s="115"/>
      <c r="CA2806" s="115"/>
      <c r="CB2806" s="115"/>
      <c r="CC2806" s="115"/>
      <c r="CD2806" s="115"/>
      <c r="CE2806" s="115"/>
      <c r="CF2806" s="115"/>
      <c r="CG2806" s="115"/>
      <c r="CH2806" s="115"/>
      <c r="CI2806" s="115"/>
      <c r="CJ2806" s="115"/>
      <c r="CK2806" s="115"/>
      <c r="CL2806" s="115"/>
      <c r="CM2806" s="115"/>
      <c r="CN2806" s="115"/>
      <c r="CO2806" s="115"/>
      <c r="CP2806" s="115"/>
      <c r="CQ2806" s="115"/>
      <c r="CR2806" s="115"/>
      <c r="CS2806" s="115"/>
      <c r="CT2806" s="115"/>
      <c r="CU2806" s="115"/>
      <c r="CV2806" s="115"/>
      <c r="CW2806" s="115"/>
      <c r="CX2806" s="115"/>
      <c r="CY2806" s="115"/>
      <c r="CZ2806" s="115"/>
      <c r="DA2806" s="115"/>
      <c r="DB2806" s="115"/>
      <c r="DC2806" s="115"/>
      <c r="DD2806" s="115"/>
      <c r="DE2806" s="115"/>
      <c r="DF2806" s="115"/>
      <c r="DG2806" s="115"/>
    </row>
    <row r="2807" spans="55:111" hidden="1">
      <c r="BC2807" s="115"/>
      <c r="BD2807" s="115"/>
      <c r="BE2807" s="115"/>
      <c r="BF2807" s="115"/>
      <c r="BG2807" s="115"/>
      <c r="BH2807" s="115"/>
      <c r="BI2807" s="115"/>
      <c r="BJ2807" s="115"/>
      <c r="BK2807" s="115"/>
      <c r="BL2807" s="115"/>
      <c r="BM2807" s="115"/>
      <c r="BN2807" s="115"/>
      <c r="BO2807" s="115"/>
      <c r="BP2807" s="115"/>
      <c r="BQ2807" s="115"/>
      <c r="BR2807" s="115"/>
      <c r="BS2807" s="115"/>
      <c r="BT2807" s="115"/>
      <c r="BU2807" s="115"/>
      <c r="BV2807" s="115"/>
      <c r="BW2807" s="115"/>
      <c r="BX2807" s="115"/>
      <c r="BY2807" s="115"/>
      <c r="BZ2807" s="115"/>
      <c r="CA2807" s="115"/>
      <c r="CB2807" s="115"/>
      <c r="CC2807" s="115"/>
      <c r="CD2807" s="115"/>
      <c r="CE2807" s="115"/>
      <c r="CF2807" s="115"/>
      <c r="CG2807" s="115"/>
      <c r="CH2807" s="115"/>
      <c r="CI2807" s="115"/>
      <c r="CJ2807" s="115"/>
      <c r="CK2807" s="115"/>
      <c r="CL2807" s="115"/>
      <c r="CM2807" s="115"/>
      <c r="CN2807" s="115"/>
      <c r="CO2807" s="115"/>
      <c r="CP2807" s="115"/>
      <c r="CQ2807" s="115"/>
      <c r="CR2807" s="115"/>
      <c r="CS2807" s="115"/>
      <c r="CT2807" s="115"/>
      <c r="CU2807" s="115"/>
      <c r="CV2807" s="115"/>
      <c r="CW2807" s="115"/>
      <c r="CX2807" s="115"/>
      <c r="CY2807" s="115"/>
      <c r="CZ2807" s="115"/>
      <c r="DA2807" s="115"/>
      <c r="DB2807" s="115"/>
      <c r="DC2807" s="115"/>
      <c r="DD2807" s="115"/>
      <c r="DE2807" s="115"/>
      <c r="DF2807" s="115"/>
      <c r="DG2807" s="115"/>
    </row>
    <row r="2808" spans="55:111" hidden="1">
      <c r="BC2808" s="115"/>
      <c r="BD2808" s="115"/>
      <c r="BE2808" s="115"/>
      <c r="BF2808" s="115"/>
      <c r="BG2808" s="115"/>
      <c r="BH2808" s="115"/>
      <c r="BI2808" s="115"/>
      <c r="BJ2808" s="115"/>
      <c r="BK2808" s="115"/>
      <c r="BL2808" s="115"/>
      <c r="BM2808" s="115"/>
      <c r="BN2808" s="115"/>
      <c r="BO2808" s="115"/>
      <c r="BP2808" s="115"/>
      <c r="BQ2808" s="115"/>
      <c r="BR2808" s="115"/>
      <c r="BS2808" s="115"/>
      <c r="BT2808" s="115"/>
      <c r="BU2808" s="115"/>
      <c r="BV2808" s="115"/>
      <c r="BW2808" s="115"/>
      <c r="BX2808" s="115"/>
      <c r="BY2808" s="115"/>
      <c r="BZ2808" s="115"/>
      <c r="CA2808" s="115"/>
      <c r="CB2808" s="115"/>
      <c r="CC2808" s="115"/>
      <c r="CD2808" s="115"/>
      <c r="CE2808" s="115"/>
      <c r="CF2808" s="115"/>
      <c r="CG2808" s="115"/>
      <c r="CH2808" s="115"/>
      <c r="CI2808" s="115"/>
      <c r="CJ2808" s="115"/>
      <c r="CK2808" s="115"/>
      <c r="CL2808" s="115"/>
      <c r="CM2808" s="115"/>
      <c r="CN2808" s="115"/>
      <c r="CO2808" s="115"/>
      <c r="CP2808" s="115"/>
      <c r="CQ2808" s="115"/>
      <c r="CR2808" s="115"/>
      <c r="CS2808" s="115"/>
      <c r="CT2808" s="115"/>
      <c r="CU2808" s="115"/>
      <c r="CV2808" s="115"/>
      <c r="CW2808" s="115"/>
      <c r="CX2808" s="115"/>
      <c r="CY2808" s="115"/>
      <c r="CZ2808" s="115"/>
      <c r="DA2808" s="115"/>
      <c r="DB2808" s="115"/>
      <c r="DC2808" s="115"/>
      <c r="DD2808" s="115"/>
      <c r="DE2808" s="115"/>
      <c r="DF2808" s="115"/>
      <c r="DG2808" s="115"/>
    </row>
    <row r="2809" spans="55:111" hidden="1">
      <c r="BC2809" s="115"/>
      <c r="BD2809" s="115"/>
      <c r="BE2809" s="115"/>
      <c r="BF2809" s="115"/>
      <c r="BG2809" s="115"/>
      <c r="BH2809" s="115"/>
      <c r="BI2809" s="115"/>
      <c r="BJ2809" s="115"/>
      <c r="BK2809" s="115"/>
      <c r="BL2809" s="115"/>
      <c r="BM2809" s="115"/>
      <c r="BN2809" s="115"/>
      <c r="BO2809" s="115"/>
      <c r="BP2809" s="115"/>
      <c r="BQ2809" s="115"/>
      <c r="BR2809" s="115"/>
      <c r="BS2809" s="115"/>
      <c r="BT2809" s="115"/>
      <c r="BU2809" s="115"/>
      <c r="BV2809" s="115"/>
      <c r="BW2809" s="115"/>
      <c r="BX2809" s="115"/>
      <c r="BY2809" s="115"/>
      <c r="BZ2809" s="115"/>
      <c r="CA2809" s="115"/>
      <c r="CB2809" s="115"/>
      <c r="CC2809" s="115"/>
      <c r="CD2809" s="115"/>
      <c r="CE2809" s="115"/>
      <c r="CF2809" s="115"/>
      <c r="CG2809" s="115"/>
      <c r="CH2809" s="115"/>
      <c r="CI2809" s="115"/>
      <c r="CJ2809" s="115"/>
      <c r="CK2809" s="115"/>
      <c r="CL2809" s="115"/>
      <c r="CM2809" s="115"/>
      <c r="CN2809" s="115"/>
      <c r="CO2809" s="115"/>
      <c r="CP2809" s="115"/>
      <c r="CQ2809" s="115"/>
      <c r="CR2809" s="115"/>
      <c r="CS2809" s="115"/>
      <c r="CT2809" s="115"/>
      <c r="CU2809" s="115"/>
      <c r="CV2809" s="115"/>
      <c r="CW2809" s="115"/>
      <c r="CX2809" s="115"/>
      <c r="CY2809" s="115"/>
      <c r="CZ2809" s="115"/>
      <c r="DA2809" s="115"/>
      <c r="DB2809" s="115"/>
      <c r="DC2809" s="115"/>
      <c r="DD2809" s="115"/>
      <c r="DE2809" s="115"/>
      <c r="DF2809" s="115"/>
      <c r="DG2809" s="115"/>
    </row>
    <row r="2810" spans="55:111" hidden="1">
      <c r="BC2810" s="115"/>
      <c r="BD2810" s="115"/>
      <c r="BE2810" s="115"/>
      <c r="BF2810" s="115"/>
      <c r="BG2810" s="115"/>
      <c r="BH2810" s="115"/>
      <c r="BI2810" s="115"/>
      <c r="BJ2810" s="115"/>
      <c r="BK2810" s="115"/>
      <c r="BL2810" s="115"/>
      <c r="BM2810" s="115"/>
      <c r="BN2810" s="115"/>
      <c r="BO2810" s="115"/>
      <c r="BP2810" s="115"/>
      <c r="BQ2810" s="115"/>
      <c r="BR2810" s="115"/>
      <c r="BS2810" s="115"/>
      <c r="BT2810" s="115"/>
      <c r="BU2810" s="115"/>
      <c r="BV2810" s="115"/>
      <c r="BW2810" s="115"/>
      <c r="BX2810" s="115"/>
      <c r="BY2810" s="115"/>
      <c r="BZ2810" s="115"/>
      <c r="CA2810" s="115"/>
      <c r="CB2810" s="115"/>
      <c r="CC2810" s="115"/>
      <c r="CD2810" s="115"/>
      <c r="CE2810" s="115"/>
      <c r="CF2810" s="115"/>
      <c r="CG2810" s="115"/>
      <c r="CH2810" s="115"/>
      <c r="CI2810" s="115"/>
      <c r="CJ2810" s="115"/>
      <c r="CK2810" s="115"/>
      <c r="CL2810" s="115"/>
      <c r="CM2810" s="115"/>
      <c r="CN2810" s="115"/>
      <c r="CO2810" s="115"/>
      <c r="CP2810" s="115"/>
      <c r="CQ2810" s="115"/>
      <c r="CR2810" s="115"/>
      <c r="CS2810" s="115"/>
      <c r="CT2810" s="115"/>
      <c r="CU2810" s="115"/>
      <c r="CV2810" s="115"/>
      <c r="CW2810" s="115"/>
      <c r="CX2810" s="115"/>
      <c r="CY2810" s="115"/>
      <c r="CZ2810" s="115"/>
      <c r="DA2810" s="115"/>
      <c r="DB2810" s="115"/>
      <c r="DC2810" s="115"/>
      <c r="DD2810" s="115"/>
      <c r="DE2810" s="115"/>
      <c r="DF2810" s="115"/>
      <c r="DG2810" s="115"/>
    </row>
    <row r="2811" spans="55:111" hidden="1">
      <c r="BC2811" s="115"/>
      <c r="BD2811" s="115"/>
      <c r="BE2811" s="115"/>
      <c r="BF2811" s="115"/>
      <c r="BG2811" s="115"/>
      <c r="BH2811" s="115"/>
      <c r="BI2811" s="115"/>
      <c r="BJ2811" s="115"/>
      <c r="BK2811" s="115"/>
      <c r="BL2811" s="115"/>
      <c r="BM2811" s="115"/>
      <c r="BN2811" s="115"/>
      <c r="BO2811" s="115"/>
      <c r="BP2811" s="115"/>
      <c r="BQ2811" s="115"/>
      <c r="BR2811" s="115"/>
      <c r="BS2811" s="115"/>
      <c r="BT2811" s="115"/>
      <c r="BU2811" s="115"/>
      <c r="BV2811" s="115"/>
      <c r="BW2811" s="115"/>
      <c r="BX2811" s="115"/>
      <c r="BY2811" s="115"/>
      <c r="BZ2811" s="115"/>
      <c r="CA2811" s="115"/>
      <c r="CB2811" s="115"/>
      <c r="CC2811" s="115"/>
      <c r="CD2811" s="115"/>
      <c r="CE2811" s="115"/>
      <c r="CF2811" s="115"/>
      <c r="CG2811" s="115"/>
      <c r="CH2811" s="115"/>
      <c r="CI2811" s="115"/>
      <c r="CJ2811" s="115"/>
      <c r="CK2811" s="115"/>
      <c r="CL2811" s="115"/>
      <c r="CM2811" s="115"/>
      <c r="CN2811" s="115"/>
      <c r="CO2811" s="115"/>
      <c r="CP2811" s="115"/>
      <c r="CQ2811" s="115"/>
      <c r="CR2811" s="115"/>
      <c r="CS2811" s="115"/>
      <c r="CT2811" s="115"/>
      <c r="CU2811" s="115"/>
      <c r="CV2811" s="115"/>
      <c r="CW2811" s="115"/>
      <c r="CX2811" s="115"/>
      <c r="CY2811" s="115"/>
      <c r="CZ2811" s="115"/>
      <c r="DA2811" s="115"/>
      <c r="DB2811" s="115"/>
      <c r="DC2811" s="115"/>
      <c r="DD2811" s="115"/>
      <c r="DE2811" s="115"/>
      <c r="DF2811" s="115"/>
      <c r="DG2811" s="115"/>
    </row>
    <row r="2812" spans="55:111" hidden="1">
      <c r="BC2812" s="115"/>
      <c r="BD2812" s="115"/>
      <c r="BE2812" s="115"/>
      <c r="BF2812" s="115"/>
      <c r="BG2812" s="115"/>
      <c r="BH2812" s="115"/>
      <c r="BI2812" s="115"/>
      <c r="BJ2812" s="115"/>
      <c r="BK2812" s="115"/>
      <c r="BL2812" s="115"/>
      <c r="BM2812" s="115"/>
      <c r="BN2812" s="115"/>
      <c r="BO2812" s="115"/>
      <c r="BP2812" s="115"/>
      <c r="BQ2812" s="115"/>
      <c r="BR2812" s="115"/>
      <c r="BS2812" s="115"/>
      <c r="BT2812" s="115"/>
      <c r="BU2812" s="115"/>
      <c r="BV2812" s="115"/>
      <c r="BW2812" s="115"/>
      <c r="BX2812" s="115"/>
      <c r="BY2812" s="115"/>
      <c r="BZ2812" s="115"/>
      <c r="CA2812" s="115"/>
      <c r="CB2812" s="115"/>
      <c r="CC2812" s="115"/>
      <c r="CD2812" s="115"/>
      <c r="CE2812" s="115"/>
      <c r="CF2812" s="115"/>
      <c r="CG2812" s="115"/>
      <c r="CH2812" s="115"/>
      <c r="CI2812" s="115"/>
      <c r="CJ2812" s="115"/>
      <c r="CK2812" s="115"/>
      <c r="CL2812" s="115"/>
      <c r="CM2812" s="115"/>
      <c r="CN2812" s="115"/>
      <c r="CO2812" s="115"/>
      <c r="CP2812" s="115"/>
      <c r="CQ2812" s="115"/>
      <c r="CR2812" s="115"/>
      <c r="CS2812" s="115"/>
      <c r="CT2812" s="115"/>
      <c r="CU2812" s="115"/>
      <c r="CV2812" s="115"/>
      <c r="CW2812" s="115"/>
      <c r="CX2812" s="115"/>
      <c r="CY2812" s="115"/>
      <c r="CZ2812" s="115"/>
      <c r="DA2812" s="115"/>
      <c r="DB2812" s="115"/>
      <c r="DC2812" s="115"/>
      <c r="DD2812" s="115"/>
      <c r="DE2812" s="115"/>
      <c r="DF2812" s="115"/>
      <c r="DG2812" s="115"/>
    </row>
    <row r="2813" spans="55:111" hidden="1">
      <c r="BC2813" s="115"/>
      <c r="BD2813" s="115"/>
      <c r="BE2813" s="115"/>
      <c r="BF2813" s="115"/>
      <c r="BG2813" s="115"/>
      <c r="BH2813" s="115"/>
      <c r="BI2813" s="115"/>
      <c r="BJ2813" s="115"/>
      <c r="BK2813" s="115"/>
      <c r="BL2813" s="115"/>
      <c r="BM2813" s="115"/>
      <c r="BN2813" s="115"/>
      <c r="BO2813" s="115"/>
      <c r="BP2813" s="115"/>
      <c r="BQ2813" s="115"/>
      <c r="BR2813" s="115"/>
      <c r="BS2813" s="115"/>
      <c r="BT2813" s="115"/>
      <c r="BU2813" s="115"/>
      <c r="BV2813" s="115"/>
      <c r="BW2813" s="115"/>
      <c r="BX2813" s="115"/>
      <c r="BY2813" s="115"/>
      <c r="BZ2813" s="115"/>
      <c r="CA2813" s="115"/>
      <c r="CB2813" s="115"/>
      <c r="CC2813" s="115"/>
      <c r="CD2813" s="115"/>
      <c r="CE2813" s="115"/>
      <c r="CF2813" s="115"/>
      <c r="CG2813" s="115"/>
      <c r="CH2813" s="115"/>
      <c r="CI2813" s="115"/>
      <c r="CJ2813" s="115"/>
      <c r="CK2813" s="115"/>
      <c r="CL2813" s="115"/>
      <c r="CM2813" s="115"/>
      <c r="CN2813" s="115"/>
      <c r="CO2813" s="115"/>
      <c r="CP2813" s="115"/>
      <c r="CQ2813" s="115"/>
      <c r="CR2813" s="115"/>
      <c r="CS2813" s="115"/>
      <c r="CT2813" s="115"/>
      <c r="CU2813" s="115"/>
      <c r="CV2813" s="115"/>
      <c r="CW2813" s="115"/>
      <c r="CX2813" s="115"/>
      <c r="CY2813" s="115"/>
      <c r="CZ2813" s="115"/>
      <c r="DA2813" s="115"/>
      <c r="DB2813" s="115"/>
      <c r="DC2813" s="115"/>
      <c r="DD2813" s="115"/>
      <c r="DE2813" s="115"/>
      <c r="DF2813" s="115"/>
      <c r="DG2813" s="115"/>
    </row>
    <row r="2814" spans="55:111" hidden="1">
      <c r="BC2814" s="115"/>
      <c r="BD2814" s="115"/>
      <c r="BE2814" s="115"/>
      <c r="BF2814" s="115"/>
      <c r="BG2814" s="115"/>
      <c r="BH2814" s="115"/>
      <c r="BI2814" s="115"/>
      <c r="BJ2814" s="115"/>
      <c r="BK2814" s="115"/>
      <c r="BL2814" s="115"/>
      <c r="BM2814" s="115"/>
      <c r="BN2814" s="115"/>
      <c r="BO2814" s="115"/>
      <c r="BP2814" s="115"/>
      <c r="BQ2814" s="115"/>
      <c r="BR2814" s="115"/>
      <c r="BS2814" s="115"/>
      <c r="BT2814" s="115"/>
      <c r="BU2814" s="115"/>
      <c r="BV2814" s="115"/>
      <c r="BW2814" s="115"/>
      <c r="BX2814" s="115"/>
      <c r="BY2814" s="115"/>
      <c r="BZ2814" s="115"/>
      <c r="CA2814" s="115"/>
      <c r="CB2814" s="115"/>
      <c r="CC2814" s="115"/>
      <c r="CD2814" s="115"/>
      <c r="CE2814" s="115"/>
      <c r="CF2814" s="115"/>
      <c r="CG2814" s="115"/>
      <c r="CH2814" s="115"/>
      <c r="CI2814" s="115"/>
      <c r="CJ2814" s="115"/>
      <c r="CK2814" s="115"/>
      <c r="CL2814" s="115"/>
      <c r="CM2814" s="115"/>
      <c r="CN2814" s="115"/>
      <c r="CO2814" s="115"/>
      <c r="CP2814" s="115"/>
      <c r="CQ2814" s="115"/>
      <c r="CR2814" s="115"/>
      <c r="CS2814" s="115"/>
      <c r="CT2814" s="115"/>
      <c r="CU2814" s="115"/>
      <c r="CV2814" s="115"/>
      <c r="CW2814" s="115"/>
      <c r="CX2814" s="115"/>
      <c r="CY2814" s="115"/>
      <c r="CZ2814" s="115"/>
      <c r="DA2814" s="115"/>
      <c r="DB2814" s="115"/>
      <c r="DC2814" s="115"/>
      <c r="DD2814" s="115"/>
      <c r="DE2814" s="115"/>
      <c r="DF2814" s="115"/>
      <c r="DG2814" s="115"/>
    </row>
    <row r="2815" spans="55:111" hidden="1">
      <c r="BC2815" s="115"/>
      <c r="BD2815" s="115"/>
      <c r="BE2815" s="115"/>
      <c r="BF2815" s="115"/>
      <c r="BG2815" s="115"/>
      <c r="BH2815" s="115"/>
      <c r="BI2815" s="115"/>
      <c r="BJ2815" s="115"/>
      <c r="BK2815" s="115"/>
      <c r="BL2815" s="115"/>
      <c r="BM2815" s="115"/>
      <c r="BN2815" s="115"/>
      <c r="BO2815" s="115"/>
      <c r="BP2815" s="115"/>
      <c r="BQ2815" s="115"/>
      <c r="BR2815" s="115"/>
      <c r="BS2815" s="115"/>
      <c r="BT2815" s="115"/>
      <c r="BU2815" s="115"/>
      <c r="BV2815" s="115"/>
      <c r="BW2815" s="115"/>
      <c r="BX2815" s="115"/>
      <c r="BY2815" s="115"/>
      <c r="BZ2815" s="115"/>
      <c r="CA2815" s="115"/>
      <c r="CB2815" s="115"/>
      <c r="CC2815" s="115"/>
      <c r="CD2815" s="115"/>
      <c r="CE2815" s="115"/>
      <c r="CF2815" s="115"/>
      <c r="CG2815" s="115"/>
      <c r="CH2815" s="115"/>
      <c r="CI2815" s="115"/>
      <c r="CJ2815" s="115"/>
      <c r="CK2815" s="115"/>
      <c r="CL2815" s="115"/>
      <c r="CM2815" s="115"/>
      <c r="CN2815" s="115"/>
      <c r="CO2815" s="115"/>
      <c r="CP2815" s="115"/>
      <c r="CQ2815" s="115"/>
      <c r="CR2815" s="115"/>
      <c r="CS2815" s="115"/>
      <c r="CT2815" s="115"/>
      <c r="CU2815" s="115"/>
      <c r="CV2815" s="115"/>
      <c r="CW2815" s="115"/>
      <c r="CX2815" s="115"/>
      <c r="CY2815" s="115"/>
      <c r="CZ2815" s="115"/>
      <c r="DA2815" s="115"/>
      <c r="DB2815" s="115"/>
      <c r="DC2815" s="115"/>
      <c r="DD2815" s="115"/>
      <c r="DE2815" s="115"/>
      <c r="DF2815" s="115"/>
      <c r="DG2815" s="115"/>
    </row>
    <row r="2816" spans="55:111" hidden="1">
      <c r="BC2816" s="115"/>
      <c r="BD2816" s="115"/>
      <c r="BE2816" s="115"/>
      <c r="BF2816" s="115"/>
      <c r="BG2816" s="115"/>
      <c r="BH2816" s="115"/>
      <c r="BI2816" s="115"/>
      <c r="BJ2816" s="115"/>
      <c r="BK2816" s="115"/>
      <c r="BL2816" s="115"/>
      <c r="BM2816" s="115"/>
      <c r="BN2816" s="115"/>
      <c r="BO2816" s="115"/>
      <c r="BP2816" s="115"/>
      <c r="BQ2816" s="115"/>
      <c r="BR2816" s="115"/>
      <c r="BS2816" s="115"/>
      <c r="BT2816" s="115"/>
      <c r="BU2816" s="115"/>
      <c r="BV2816" s="115"/>
      <c r="BW2816" s="115"/>
      <c r="BX2816" s="115"/>
      <c r="BY2816" s="115"/>
      <c r="BZ2816" s="115"/>
      <c r="CA2816" s="115"/>
      <c r="CB2816" s="115"/>
      <c r="CC2816" s="115"/>
      <c r="CD2816" s="115"/>
      <c r="CE2816" s="115"/>
      <c r="CF2816" s="115"/>
      <c r="CG2816" s="115"/>
      <c r="CH2816" s="115"/>
      <c r="CI2816" s="115"/>
      <c r="CJ2816" s="115"/>
      <c r="CK2816" s="115"/>
      <c r="CL2816" s="115"/>
      <c r="CM2816" s="115"/>
      <c r="CN2816" s="115"/>
      <c r="CO2816" s="115"/>
      <c r="CP2816" s="115"/>
      <c r="CQ2816" s="115"/>
      <c r="CR2816" s="115"/>
      <c r="CS2816" s="115"/>
      <c r="CT2816" s="115"/>
      <c r="CU2816" s="115"/>
      <c r="CV2816" s="115"/>
      <c r="CW2816" s="115"/>
      <c r="CX2816" s="115"/>
      <c r="CY2816" s="115"/>
      <c r="CZ2816" s="115"/>
      <c r="DA2816" s="115"/>
      <c r="DB2816" s="115"/>
      <c r="DC2816" s="115"/>
      <c r="DD2816" s="115"/>
      <c r="DE2816" s="115"/>
      <c r="DF2816" s="115"/>
      <c r="DG2816" s="115"/>
    </row>
    <row r="2817" spans="55:111" hidden="1">
      <c r="BC2817" s="115"/>
      <c r="BD2817" s="115"/>
      <c r="BE2817" s="115"/>
      <c r="BF2817" s="115"/>
      <c r="BG2817" s="115"/>
      <c r="BH2817" s="115"/>
      <c r="BI2817" s="115"/>
      <c r="BJ2817" s="115"/>
      <c r="BK2817" s="115"/>
      <c r="BL2817" s="115"/>
      <c r="BM2817" s="115"/>
      <c r="BN2817" s="115"/>
      <c r="BO2817" s="115"/>
      <c r="BP2817" s="115"/>
      <c r="BQ2817" s="115"/>
      <c r="BR2817" s="115"/>
      <c r="BS2817" s="115"/>
      <c r="BT2817" s="115"/>
      <c r="BU2817" s="115"/>
      <c r="BV2817" s="115"/>
      <c r="BW2817" s="115"/>
      <c r="BX2817" s="115"/>
      <c r="BY2817" s="115"/>
      <c r="BZ2817" s="115"/>
      <c r="CA2817" s="115"/>
      <c r="CB2817" s="115"/>
      <c r="CC2817" s="115"/>
      <c r="CD2817" s="115"/>
      <c r="CE2817" s="115"/>
      <c r="CF2817" s="115"/>
      <c r="CG2817" s="115"/>
      <c r="CH2817" s="115"/>
      <c r="CI2817" s="115"/>
      <c r="CJ2817" s="115"/>
      <c r="CK2817" s="115"/>
      <c r="CL2817" s="115"/>
      <c r="CM2817" s="115"/>
      <c r="CN2817" s="115"/>
      <c r="CO2817" s="115"/>
      <c r="CP2817" s="115"/>
      <c r="CQ2817" s="115"/>
      <c r="CR2817" s="115"/>
      <c r="CS2817" s="115"/>
      <c r="CT2817" s="115"/>
      <c r="CU2817" s="115"/>
      <c r="CV2817" s="115"/>
      <c r="CW2817" s="115"/>
      <c r="CX2817" s="115"/>
      <c r="CY2817" s="115"/>
      <c r="CZ2817" s="115"/>
      <c r="DA2817" s="115"/>
      <c r="DB2817" s="115"/>
      <c r="DC2817" s="115"/>
      <c r="DD2817" s="115"/>
      <c r="DE2817" s="115"/>
      <c r="DF2817" s="115"/>
      <c r="DG2817" s="115"/>
    </row>
    <row r="2818" spans="55:111" hidden="1">
      <c r="BC2818" s="115"/>
      <c r="BD2818" s="115"/>
      <c r="BE2818" s="115"/>
      <c r="BF2818" s="115"/>
      <c r="BG2818" s="115"/>
      <c r="BH2818" s="115"/>
      <c r="BI2818" s="115"/>
      <c r="BJ2818" s="115"/>
      <c r="BK2818" s="115"/>
      <c r="BL2818" s="115"/>
      <c r="BM2818" s="115"/>
      <c r="BN2818" s="115"/>
      <c r="BO2818" s="115"/>
      <c r="BP2818" s="115"/>
      <c r="BQ2818" s="115"/>
      <c r="BR2818" s="115"/>
      <c r="BS2818" s="115"/>
      <c r="BT2818" s="115"/>
      <c r="BU2818" s="115"/>
      <c r="BV2818" s="115"/>
      <c r="BW2818" s="115"/>
      <c r="BX2818" s="115"/>
      <c r="BY2818" s="115"/>
      <c r="BZ2818" s="115"/>
      <c r="CA2818" s="115"/>
      <c r="CB2818" s="115"/>
      <c r="CC2818" s="115"/>
      <c r="CD2818" s="115"/>
      <c r="CE2818" s="115"/>
      <c r="CF2818" s="115"/>
      <c r="CG2818" s="115"/>
      <c r="CH2818" s="115"/>
      <c r="CI2818" s="115"/>
      <c r="CJ2818" s="115"/>
      <c r="CK2818" s="115"/>
      <c r="CL2818" s="115"/>
      <c r="CM2818" s="115"/>
      <c r="CN2818" s="115"/>
      <c r="CO2818" s="115"/>
      <c r="CP2818" s="115"/>
      <c r="CQ2818" s="115"/>
      <c r="CR2818" s="115"/>
      <c r="CS2818" s="115"/>
      <c r="CT2818" s="115"/>
      <c r="CU2818" s="115"/>
      <c r="CV2818" s="115"/>
      <c r="CW2818" s="115"/>
      <c r="CX2818" s="115"/>
      <c r="CY2818" s="115"/>
      <c r="CZ2818" s="115"/>
      <c r="DA2818" s="115"/>
      <c r="DB2818" s="115"/>
      <c r="DC2818" s="115"/>
      <c r="DD2818" s="115"/>
      <c r="DE2818" s="115"/>
      <c r="DF2818" s="115"/>
      <c r="DG2818" s="115"/>
    </row>
    <row r="2819" spans="55:111" hidden="1">
      <c r="BC2819" s="115"/>
      <c r="BD2819" s="115"/>
      <c r="BE2819" s="115"/>
      <c r="BF2819" s="115"/>
      <c r="BG2819" s="115"/>
      <c r="BH2819" s="115"/>
      <c r="BI2819" s="115"/>
      <c r="BJ2819" s="115"/>
      <c r="BK2819" s="115"/>
      <c r="BL2819" s="115"/>
      <c r="BM2819" s="115"/>
      <c r="BN2819" s="115"/>
      <c r="BO2819" s="115"/>
      <c r="BP2819" s="115"/>
      <c r="BQ2819" s="115"/>
      <c r="BR2819" s="115"/>
      <c r="BS2819" s="115"/>
      <c r="BT2819" s="115"/>
      <c r="BU2819" s="115"/>
      <c r="BV2819" s="115"/>
      <c r="BW2819" s="115"/>
      <c r="BX2819" s="115"/>
      <c r="BY2819" s="115"/>
      <c r="BZ2819" s="115"/>
      <c r="CA2819" s="115"/>
      <c r="CB2819" s="115"/>
      <c r="CC2819" s="115"/>
      <c r="CD2819" s="115"/>
      <c r="CE2819" s="115"/>
      <c r="CF2819" s="115"/>
      <c r="CG2819" s="115"/>
      <c r="CH2819" s="115"/>
      <c r="CI2819" s="115"/>
      <c r="CJ2819" s="115"/>
      <c r="CK2819" s="115"/>
      <c r="CL2819" s="115"/>
      <c r="CM2819" s="115"/>
      <c r="CN2819" s="115"/>
      <c r="CO2819" s="115"/>
      <c r="CP2819" s="115"/>
      <c r="CQ2819" s="115"/>
      <c r="CR2819" s="115"/>
      <c r="CS2819" s="115"/>
      <c r="CT2819" s="115"/>
      <c r="CU2819" s="115"/>
      <c r="CV2819" s="115"/>
      <c r="CW2819" s="115"/>
      <c r="CX2819" s="115"/>
      <c r="CY2819" s="115"/>
      <c r="CZ2819" s="115"/>
      <c r="DA2819" s="115"/>
      <c r="DB2819" s="115"/>
      <c r="DC2819" s="115"/>
      <c r="DD2819" s="115"/>
      <c r="DE2819" s="115"/>
      <c r="DF2819" s="115"/>
      <c r="DG2819" s="115"/>
    </row>
    <row r="2820" spans="55:111" hidden="1">
      <c r="BC2820" s="115"/>
      <c r="BD2820" s="115"/>
      <c r="BE2820" s="115"/>
      <c r="BF2820" s="115"/>
      <c r="BG2820" s="115"/>
      <c r="BH2820" s="115"/>
      <c r="BI2820" s="115"/>
      <c r="BJ2820" s="115"/>
      <c r="BK2820" s="115"/>
      <c r="BL2820" s="115"/>
      <c r="BM2820" s="115"/>
      <c r="BN2820" s="115"/>
      <c r="BO2820" s="115"/>
      <c r="BP2820" s="115"/>
      <c r="BQ2820" s="115"/>
      <c r="BR2820" s="115"/>
      <c r="BS2820" s="115"/>
      <c r="BT2820" s="115"/>
      <c r="BU2820" s="115"/>
      <c r="BV2820" s="115"/>
      <c r="BW2820" s="115"/>
      <c r="BX2820" s="115"/>
      <c r="BY2820" s="115"/>
      <c r="BZ2820" s="115"/>
      <c r="CA2820" s="115"/>
      <c r="CB2820" s="115"/>
      <c r="CC2820" s="115"/>
      <c r="CD2820" s="115"/>
      <c r="CE2820" s="115"/>
      <c r="CF2820" s="115"/>
      <c r="CG2820" s="115"/>
      <c r="CH2820" s="115"/>
      <c r="CI2820" s="115"/>
      <c r="CJ2820" s="115"/>
      <c r="CK2820" s="115"/>
      <c r="CL2820" s="115"/>
      <c r="CM2820" s="115"/>
      <c r="CN2820" s="115"/>
      <c r="CO2820" s="115"/>
      <c r="CP2820" s="115"/>
      <c r="CQ2820" s="115"/>
      <c r="CR2820" s="115"/>
      <c r="CS2820" s="115"/>
      <c r="CT2820" s="115"/>
      <c r="CU2820" s="115"/>
      <c r="CV2820" s="115"/>
      <c r="CW2820" s="115"/>
      <c r="CX2820" s="115"/>
      <c r="CY2820" s="115"/>
      <c r="CZ2820" s="115"/>
      <c r="DA2820" s="115"/>
      <c r="DB2820" s="115"/>
      <c r="DC2820" s="115"/>
      <c r="DD2820" s="115"/>
      <c r="DE2820" s="115"/>
      <c r="DF2820" s="115"/>
      <c r="DG2820" s="115"/>
    </row>
    <row r="2821" spans="55:111" hidden="1">
      <c r="BC2821" s="115"/>
      <c r="BD2821" s="115"/>
      <c r="BE2821" s="115"/>
      <c r="BF2821" s="115"/>
      <c r="BG2821" s="115"/>
      <c r="BH2821" s="115"/>
      <c r="BI2821" s="115"/>
      <c r="BJ2821" s="115"/>
      <c r="BK2821" s="115"/>
      <c r="BL2821" s="115"/>
      <c r="BM2821" s="115"/>
      <c r="BN2821" s="115"/>
      <c r="BO2821" s="115"/>
      <c r="BP2821" s="115"/>
      <c r="BQ2821" s="115"/>
      <c r="BR2821" s="115"/>
      <c r="BS2821" s="115"/>
      <c r="BT2821" s="115"/>
      <c r="BU2821" s="115"/>
      <c r="BV2821" s="115"/>
      <c r="BW2821" s="115"/>
      <c r="BX2821" s="115"/>
      <c r="BY2821" s="115"/>
      <c r="BZ2821" s="115"/>
      <c r="CA2821" s="115"/>
      <c r="CB2821" s="115"/>
      <c r="CC2821" s="115"/>
      <c r="CD2821" s="115"/>
      <c r="CE2821" s="115"/>
      <c r="CF2821" s="115"/>
      <c r="CG2821" s="115"/>
      <c r="CH2821" s="115"/>
      <c r="CI2821" s="115"/>
      <c r="CJ2821" s="115"/>
      <c r="CK2821" s="115"/>
      <c r="CL2821" s="115"/>
      <c r="CM2821" s="115"/>
      <c r="CN2821" s="115"/>
      <c r="CO2821" s="115"/>
      <c r="CP2821" s="115"/>
      <c r="CQ2821" s="115"/>
      <c r="CR2821" s="115"/>
      <c r="CS2821" s="115"/>
      <c r="CT2821" s="115"/>
      <c r="CU2821" s="115"/>
      <c r="CV2821" s="115"/>
      <c r="CW2821" s="115"/>
      <c r="CX2821" s="115"/>
      <c r="CY2821" s="115"/>
      <c r="CZ2821" s="115"/>
      <c r="DA2821" s="115"/>
      <c r="DB2821" s="115"/>
      <c r="DC2821" s="115"/>
      <c r="DD2821" s="115"/>
      <c r="DE2821" s="115"/>
      <c r="DF2821" s="115"/>
      <c r="DG2821" s="115"/>
    </row>
    <row r="2822" spans="55:111" hidden="1">
      <c r="BC2822" s="115"/>
      <c r="BD2822" s="115"/>
      <c r="BE2822" s="115"/>
      <c r="BF2822" s="115"/>
      <c r="BG2822" s="115"/>
      <c r="BH2822" s="115"/>
      <c r="BI2822" s="115"/>
      <c r="BJ2822" s="115"/>
      <c r="BK2822" s="115"/>
      <c r="BL2822" s="115"/>
      <c r="BM2822" s="115"/>
      <c r="BN2822" s="115"/>
      <c r="BO2822" s="115"/>
      <c r="BP2822" s="115"/>
      <c r="BQ2822" s="115"/>
      <c r="BR2822" s="115"/>
      <c r="BS2822" s="115"/>
      <c r="BT2822" s="115"/>
      <c r="BU2822" s="115"/>
      <c r="BV2822" s="115"/>
      <c r="BW2822" s="115"/>
      <c r="BX2822" s="115"/>
      <c r="BY2822" s="115"/>
      <c r="BZ2822" s="115"/>
      <c r="CA2822" s="115"/>
      <c r="CB2822" s="115"/>
      <c r="CC2822" s="115"/>
      <c r="CD2822" s="115"/>
      <c r="CE2822" s="115"/>
      <c r="CF2822" s="115"/>
      <c r="CG2822" s="115"/>
      <c r="CH2822" s="115"/>
      <c r="CI2822" s="115"/>
      <c r="CJ2822" s="115"/>
      <c r="CK2822" s="115"/>
      <c r="CL2822" s="115"/>
      <c r="CM2822" s="115"/>
      <c r="CN2822" s="115"/>
      <c r="CO2822" s="115"/>
      <c r="CP2822" s="115"/>
      <c r="CQ2822" s="115"/>
      <c r="CR2822" s="115"/>
      <c r="CS2822" s="115"/>
      <c r="CT2822" s="115"/>
      <c r="CU2822" s="115"/>
      <c r="CV2822" s="115"/>
      <c r="CW2822" s="115"/>
      <c r="CX2822" s="115"/>
      <c r="CY2822" s="115"/>
      <c r="CZ2822" s="115"/>
      <c r="DA2822" s="115"/>
      <c r="DB2822" s="115"/>
      <c r="DC2822" s="115"/>
      <c r="DD2822" s="115"/>
      <c r="DE2822" s="115"/>
      <c r="DF2822" s="115"/>
      <c r="DG2822" s="115"/>
    </row>
    <row r="2823" spans="55:111" hidden="1">
      <c r="BC2823" s="115"/>
      <c r="BD2823" s="115"/>
      <c r="BE2823" s="115"/>
      <c r="BF2823" s="115"/>
      <c r="BG2823" s="115"/>
      <c r="BH2823" s="115"/>
      <c r="BI2823" s="115"/>
      <c r="BJ2823" s="115"/>
      <c r="BK2823" s="115"/>
      <c r="BL2823" s="115"/>
      <c r="BM2823" s="115"/>
      <c r="BN2823" s="115"/>
      <c r="BO2823" s="115"/>
      <c r="BP2823" s="115"/>
      <c r="BQ2823" s="115"/>
      <c r="BR2823" s="115"/>
      <c r="BS2823" s="115"/>
      <c r="BT2823" s="115"/>
      <c r="BU2823" s="115"/>
      <c r="BV2823" s="115"/>
      <c r="BW2823" s="115"/>
      <c r="BX2823" s="115"/>
      <c r="BY2823" s="115"/>
      <c r="BZ2823" s="115"/>
      <c r="CA2823" s="115"/>
      <c r="CB2823" s="115"/>
      <c r="CC2823" s="115"/>
      <c r="CD2823" s="115"/>
      <c r="CE2823" s="115"/>
      <c r="CF2823" s="115"/>
      <c r="CG2823" s="115"/>
      <c r="CH2823" s="115"/>
      <c r="CI2823" s="115"/>
      <c r="CJ2823" s="115"/>
      <c r="CK2823" s="115"/>
      <c r="CL2823" s="115"/>
      <c r="CM2823" s="115"/>
      <c r="CN2823" s="115"/>
      <c r="CO2823" s="115"/>
      <c r="CP2823" s="115"/>
      <c r="CQ2823" s="115"/>
      <c r="CR2823" s="115"/>
      <c r="CS2823" s="115"/>
      <c r="CT2823" s="115"/>
      <c r="CU2823" s="115"/>
      <c r="CV2823" s="115"/>
      <c r="CW2823" s="115"/>
      <c r="CX2823" s="115"/>
      <c r="CY2823" s="115"/>
      <c r="CZ2823" s="115"/>
      <c r="DA2823" s="115"/>
      <c r="DB2823" s="115"/>
      <c r="DC2823" s="115"/>
      <c r="DD2823" s="115"/>
      <c r="DE2823" s="115"/>
      <c r="DF2823" s="115"/>
      <c r="DG2823" s="115"/>
    </row>
    <row r="2824" spans="55:111" hidden="1">
      <c r="BC2824" s="115"/>
      <c r="BD2824" s="115"/>
      <c r="BE2824" s="115"/>
      <c r="BF2824" s="115"/>
      <c r="BG2824" s="115"/>
      <c r="BH2824" s="115"/>
      <c r="BI2824" s="115"/>
      <c r="BJ2824" s="115"/>
      <c r="BK2824" s="115"/>
      <c r="BL2824" s="115"/>
      <c r="BM2824" s="115"/>
      <c r="BN2824" s="115"/>
      <c r="BO2824" s="115"/>
      <c r="BP2824" s="115"/>
      <c r="BQ2824" s="115"/>
      <c r="BR2824" s="115"/>
      <c r="BS2824" s="115"/>
      <c r="BT2824" s="115"/>
      <c r="BU2824" s="115"/>
      <c r="BV2824" s="115"/>
      <c r="BW2824" s="115"/>
      <c r="BX2824" s="115"/>
      <c r="BY2824" s="115"/>
      <c r="BZ2824" s="115"/>
      <c r="CA2824" s="115"/>
      <c r="CB2824" s="115"/>
      <c r="CC2824" s="115"/>
      <c r="CD2824" s="115"/>
      <c r="CE2824" s="115"/>
      <c r="CF2824" s="115"/>
      <c r="CG2824" s="115"/>
      <c r="CH2824" s="115"/>
      <c r="CI2824" s="115"/>
      <c r="CJ2824" s="115"/>
      <c r="CK2824" s="115"/>
      <c r="CL2824" s="115"/>
      <c r="CM2824" s="115"/>
      <c r="CN2824" s="115"/>
      <c r="CO2824" s="115"/>
      <c r="CP2824" s="115"/>
      <c r="CQ2824" s="115"/>
      <c r="CR2824" s="115"/>
      <c r="CS2824" s="115"/>
      <c r="CT2824" s="115"/>
      <c r="CU2824" s="115"/>
      <c r="CV2824" s="115"/>
      <c r="CW2824" s="115"/>
      <c r="CX2824" s="115"/>
      <c r="CY2824" s="115"/>
      <c r="CZ2824" s="115"/>
      <c r="DA2824" s="115"/>
      <c r="DB2824" s="115"/>
      <c r="DC2824" s="115"/>
      <c r="DD2824" s="115"/>
      <c r="DE2824" s="115"/>
      <c r="DF2824" s="115"/>
      <c r="DG2824" s="115"/>
    </row>
    <row r="2825" spans="55:111" hidden="1">
      <c r="BC2825" s="115"/>
      <c r="BD2825" s="115"/>
      <c r="BE2825" s="115"/>
      <c r="BF2825" s="115"/>
      <c r="BG2825" s="115"/>
      <c r="BH2825" s="115"/>
      <c r="BI2825" s="115"/>
      <c r="BJ2825" s="115"/>
      <c r="BK2825" s="115"/>
      <c r="BL2825" s="115"/>
      <c r="BM2825" s="115"/>
      <c r="BN2825" s="115"/>
      <c r="BO2825" s="115"/>
      <c r="BP2825" s="115"/>
      <c r="BQ2825" s="115"/>
      <c r="BR2825" s="115"/>
      <c r="BS2825" s="115"/>
      <c r="BT2825" s="115"/>
      <c r="BU2825" s="115"/>
      <c r="BV2825" s="115"/>
      <c r="BW2825" s="115"/>
      <c r="BX2825" s="115"/>
      <c r="BY2825" s="115"/>
      <c r="BZ2825" s="115"/>
      <c r="CA2825" s="115"/>
      <c r="CB2825" s="115"/>
      <c r="CC2825" s="115"/>
      <c r="CD2825" s="115"/>
      <c r="CE2825" s="115"/>
      <c r="CF2825" s="115"/>
      <c r="CG2825" s="115"/>
      <c r="CH2825" s="115"/>
      <c r="CI2825" s="115"/>
      <c r="CJ2825" s="115"/>
      <c r="CK2825" s="115"/>
      <c r="CL2825" s="115"/>
      <c r="CM2825" s="115"/>
      <c r="CN2825" s="115"/>
      <c r="CO2825" s="115"/>
      <c r="CP2825" s="115"/>
      <c r="CQ2825" s="115"/>
      <c r="CR2825" s="115"/>
      <c r="CS2825" s="115"/>
      <c r="CT2825" s="115"/>
      <c r="CU2825" s="115"/>
      <c r="CV2825" s="115"/>
      <c r="CW2825" s="115"/>
      <c r="CX2825" s="115"/>
      <c r="CY2825" s="115"/>
      <c r="CZ2825" s="115"/>
      <c r="DA2825" s="115"/>
      <c r="DB2825" s="115"/>
      <c r="DC2825" s="115"/>
      <c r="DD2825" s="115"/>
      <c r="DE2825" s="115"/>
      <c r="DF2825" s="115"/>
      <c r="DG2825" s="115"/>
    </row>
    <row r="2826" spans="55:111" hidden="1">
      <c r="BC2826" s="115"/>
      <c r="BD2826" s="115"/>
      <c r="BE2826" s="115"/>
      <c r="BF2826" s="115"/>
      <c r="BG2826" s="115"/>
      <c r="BH2826" s="115"/>
      <c r="BI2826" s="115"/>
      <c r="BJ2826" s="115"/>
      <c r="BK2826" s="115"/>
      <c r="BL2826" s="115"/>
      <c r="BM2826" s="115"/>
      <c r="BN2826" s="115"/>
      <c r="BO2826" s="115"/>
      <c r="BP2826" s="115"/>
      <c r="BQ2826" s="115"/>
      <c r="BR2826" s="115"/>
      <c r="BS2826" s="115"/>
      <c r="BT2826" s="115"/>
      <c r="BU2826" s="115"/>
      <c r="BV2826" s="115"/>
      <c r="BW2826" s="115"/>
      <c r="BX2826" s="115"/>
      <c r="BY2826" s="115"/>
      <c r="BZ2826" s="115"/>
      <c r="CA2826" s="115"/>
      <c r="CB2826" s="115"/>
      <c r="CC2826" s="115"/>
      <c r="CD2826" s="115"/>
      <c r="CE2826" s="115"/>
      <c r="CF2826" s="115"/>
      <c r="CG2826" s="115"/>
      <c r="CH2826" s="115"/>
      <c r="CI2826" s="115"/>
      <c r="CJ2826" s="115"/>
      <c r="CK2826" s="115"/>
      <c r="CL2826" s="115"/>
      <c r="CM2826" s="115"/>
      <c r="CN2826" s="115"/>
      <c r="CO2826" s="115"/>
      <c r="CP2826" s="115"/>
      <c r="CQ2826" s="115"/>
      <c r="CR2826" s="115"/>
      <c r="CS2826" s="115"/>
      <c r="CT2826" s="115"/>
      <c r="CU2826" s="115"/>
      <c r="CV2826" s="115"/>
      <c r="CW2826" s="115"/>
      <c r="CX2826" s="115"/>
      <c r="CY2826" s="115"/>
      <c r="CZ2826" s="115"/>
      <c r="DA2826" s="115"/>
      <c r="DB2826" s="115"/>
      <c r="DC2826" s="115"/>
      <c r="DD2826" s="115"/>
      <c r="DE2826" s="115"/>
      <c r="DF2826" s="115"/>
      <c r="DG2826" s="115"/>
    </row>
    <row r="2827" spans="55:111" hidden="1">
      <c r="BC2827" s="115"/>
      <c r="BD2827" s="115"/>
      <c r="BE2827" s="115"/>
      <c r="BF2827" s="115"/>
      <c r="BG2827" s="115"/>
      <c r="BH2827" s="115"/>
      <c r="BI2827" s="115"/>
      <c r="BJ2827" s="115"/>
      <c r="BK2827" s="115"/>
      <c r="BL2827" s="115"/>
      <c r="BM2827" s="115"/>
      <c r="BN2827" s="115"/>
      <c r="BO2827" s="115"/>
      <c r="BP2827" s="115"/>
      <c r="BQ2827" s="115"/>
      <c r="BR2827" s="115"/>
      <c r="BS2827" s="115"/>
      <c r="BT2827" s="115"/>
      <c r="BU2827" s="115"/>
      <c r="BV2827" s="115"/>
      <c r="BW2827" s="115"/>
      <c r="BX2827" s="115"/>
      <c r="BY2827" s="115"/>
      <c r="BZ2827" s="115"/>
      <c r="CA2827" s="115"/>
      <c r="CB2827" s="115"/>
      <c r="CC2827" s="115"/>
      <c r="CD2827" s="115"/>
      <c r="CE2827" s="115"/>
      <c r="CF2827" s="115"/>
      <c r="CG2827" s="115"/>
      <c r="CH2827" s="115"/>
      <c r="CI2827" s="115"/>
      <c r="CJ2827" s="115"/>
      <c r="CK2827" s="115"/>
      <c r="CL2827" s="115"/>
      <c r="CM2827" s="115"/>
      <c r="CN2827" s="115"/>
      <c r="CO2827" s="115"/>
      <c r="CP2827" s="115"/>
      <c r="CQ2827" s="115"/>
      <c r="CR2827" s="115"/>
      <c r="CS2827" s="115"/>
      <c r="CT2827" s="115"/>
      <c r="CU2827" s="115"/>
      <c r="CV2827" s="115"/>
      <c r="CW2827" s="115"/>
      <c r="CX2827" s="115"/>
      <c r="CY2827" s="115"/>
      <c r="CZ2827" s="115"/>
      <c r="DA2827" s="115"/>
      <c r="DB2827" s="115"/>
      <c r="DC2827" s="115"/>
      <c r="DD2827" s="115"/>
      <c r="DE2827" s="115"/>
      <c r="DF2827" s="115"/>
      <c r="DG2827" s="115"/>
    </row>
    <row r="2828" spans="55:111" hidden="1">
      <c r="BC2828" s="115"/>
      <c r="BD2828" s="115"/>
      <c r="BE2828" s="115"/>
      <c r="BF2828" s="115"/>
      <c r="BG2828" s="115"/>
      <c r="BH2828" s="115"/>
      <c r="BI2828" s="115"/>
      <c r="BJ2828" s="115"/>
      <c r="BK2828" s="115"/>
      <c r="BL2828" s="115"/>
      <c r="BM2828" s="115"/>
      <c r="BN2828" s="115"/>
      <c r="BO2828" s="115"/>
      <c r="BP2828" s="115"/>
      <c r="BQ2828" s="115"/>
      <c r="BR2828" s="115"/>
      <c r="BS2828" s="115"/>
      <c r="BT2828" s="115"/>
      <c r="BU2828" s="115"/>
      <c r="BV2828" s="115"/>
      <c r="BW2828" s="115"/>
      <c r="BX2828" s="115"/>
      <c r="BY2828" s="115"/>
      <c r="BZ2828" s="115"/>
      <c r="CA2828" s="115"/>
      <c r="CB2828" s="115"/>
      <c r="CC2828" s="115"/>
      <c r="CD2828" s="115"/>
      <c r="CE2828" s="115"/>
      <c r="CF2828" s="115"/>
      <c r="CG2828" s="115"/>
      <c r="CH2828" s="115"/>
      <c r="CI2828" s="115"/>
      <c r="CJ2828" s="115"/>
      <c r="CK2828" s="115"/>
      <c r="CL2828" s="115"/>
      <c r="CM2828" s="115"/>
      <c r="CN2828" s="115"/>
      <c r="CO2828" s="115"/>
      <c r="CP2828" s="115"/>
      <c r="CQ2828" s="115"/>
      <c r="CR2828" s="115"/>
      <c r="CS2828" s="115"/>
      <c r="CT2828" s="115"/>
      <c r="CU2828" s="115"/>
      <c r="CV2828" s="115"/>
      <c r="CW2828" s="115"/>
      <c r="CX2828" s="115"/>
      <c r="CY2828" s="115"/>
      <c r="CZ2828" s="115"/>
      <c r="DA2828" s="115"/>
      <c r="DB2828" s="115"/>
      <c r="DC2828" s="115"/>
      <c r="DD2828" s="115"/>
      <c r="DE2828" s="115"/>
      <c r="DF2828" s="115"/>
      <c r="DG2828" s="115"/>
    </row>
    <row r="2829" spans="55:111" hidden="1">
      <c r="BC2829" s="115"/>
      <c r="BD2829" s="115"/>
      <c r="BE2829" s="115"/>
      <c r="BF2829" s="115"/>
      <c r="BG2829" s="115"/>
      <c r="BH2829" s="115"/>
      <c r="BI2829" s="115"/>
      <c r="BJ2829" s="115"/>
      <c r="BK2829" s="115"/>
      <c r="BL2829" s="115"/>
      <c r="BM2829" s="115"/>
      <c r="BN2829" s="115"/>
      <c r="BO2829" s="115"/>
      <c r="BP2829" s="115"/>
      <c r="BQ2829" s="115"/>
      <c r="BR2829" s="115"/>
      <c r="BS2829" s="115"/>
      <c r="BT2829" s="115"/>
      <c r="BU2829" s="115"/>
      <c r="BV2829" s="115"/>
      <c r="BW2829" s="115"/>
      <c r="BX2829" s="115"/>
      <c r="BY2829" s="115"/>
      <c r="BZ2829" s="115"/>
      <c r="CA2829" s="115"/>
      <c r="CB2829" s="115"/>
      <c r="CC2829" s="115"/>
      <c r="CD2829" s="115"/>
      <c r="CE2829" s="115"/>
      <c r="CF2829" s="115"/>
      <c r="CG2829" s="115"/>
      <c r="CH2829" s="115"/>
      <c r="CI2829" s="115"/>
      <c r="CJ2829" s="115"/>
      <c r="CK2829" s="115"/>
      <c r="CL2829" s="115"/>
      <c r="CM2829" s="115"/>
      <c r="CN2829" s="115"/>
      <c r="CO2829" s="115"/>
      <c r="CP2829" s="115"/>
      <c r="CQ2829" s="115"/>
      <c r="CR2829" s="115"/>
      <c r="CS2829" s="115"/>
      <c r="CT2829" s="115"/>
      <c r="CU2829" s="115"/>
      <c r="CV2829" s="115"/>
      <c r="CW2829" s="115"/>
      <c r="CX2829" s="115"/>
      <c r="CY2829" s="115"/>
      <c r="CZ2829" s="115"/>
      <c r="DA2829" s="115"/>
      <c r="DB2829" s="115"/>
      <c r="DC2829" s="115"/>
      <c r="DD2829" s="115"/>
      <c r="DE2829" s="115"/>
      <c r="DF2829" s="115"/>
      <c r="DG2829" s="115"/>
    </row>
    <row r="2830" spans="55:111" hidden="1">
      <c r="BC2830" s="115"/>
      <c r="BD2830" s="115"/>
      <c r="BE2830" s="115"/>
      <c r="BF2830" s="115"/>
      <c r="BG2830" s="115"/>
      <c r="BH2830" s="115"/>
      <c r="BI2830" s="115"/>
      <c r="BJ2830" s="115"/>
      <c r="BK2830" s="115"/>
      <c r="BL2830" s="115"/>
      <c r="BM2830" s="115"/>
      <c r="BN2830" s="115"/>
      <c r="BO2830" s="115"/>
      <c r="BP2830" s="115"/>
      <c r="BQ2830" s="115"/>
      <c r="BR2830" s="115"/>
      <c r="BS2830" s="115"/>
      <c r="BT2830" s="115"/>
      <c r="BU2830" s="115"/>
      <c r="BV2830" s="115"/>
      <c r="BW2830" s="115"/>
      <c r="BX2830" s="115"/>
      <c r="BY2830" s="115"/>
      <c r="BZ2830" s="115"/>
      <c r="CA2830" s="115"/>
      <c r="CB2830" s="115"/>
      <c r="CC2830" s="115"/>
      <c r="CD2830" s="115"/>
      <c r="CE2830" s="115"/>
      <c r="CF2830" s="115"/>
      <c r="CG2830" s="115"/>
      <c r="CH2830" s="115"/>
      <c r="CI2830" s="115"/>
      <c r="CJ2830" s="115"/>
      <c r="CK2830" s="115"/>
      <c r="CL2830" s="115"/>
      <c r="CM2830" s="115"/>
      <c r="CN2830" s="115"/>
      <c r="CO2830" s="115"/>
      <c r="CP2830" s="115"/>
      <c r="CQ2830" s="115"/>
      <c r="CR2830" s="115"/>
      <c r="CS2830" s="115"/>
      <c r="CT2830" s="115"/>
      <c r="CU2830" s="115"/>
      <c r="CV2830" s="115"/>
      <c r="CW2830" s="115"/>
      <c r="CX2830" s="115"/>
      <c r="CY2830" s="115"/>
      <c r="CZ2830" s="115"/>
      <c r="DA2830" s="115"/>
      <c r="DB2830" s="115"/>
      <c r="DC2830" s="115"/>
      <c r="DD2830" s="115"/>
      <c r="DE2830" s="115"/>
      <c r="DF2830" s="115"/>
      <c r="DG2830" s="115"/>
    </row>
    <row r="2831" spans="55:111" hidden="1">
      <c r="BC2831" s="115"/>
      <c r="BD2831" s="115"/>
      <c r="BE2831" s="115"/>
      <c r="BF2831" s="115"/>
      <c r="BG2831" s="115"/>
      <c r="BH2831" s="115"/>
      <c r="BI2831" s="115"/>
      <c r="BJ2831" s="115"/>
      <c r="BK2831" s="115"/>
      <c r="BL2831" s="115"/>
      <c r="BM2831" s="115"/>
      <c r="BN2831" s="115"/>
      <c r="BO2831" s="115"/>
      <c r="BP2831" s="115"/>
      <c r="BQ2831" s="115"/>
      <c r="BR2831" s="115"/>
      <c r="BS2831" s="115"/>
      <c r="BT2831" s="115"/>
      <c r="BU2831" s="115"/>
      <c r="BV2831" s="115"/>
      <c r="BW2831" s="115"/>
      <c r="BX2831" s="115"/>
      <c r="BY2831" s="115"/>
      <c r="BZ2831" s="115"/>
      <c r="CA2831" s="115"/>
      <c r="CB2831" s="115"/>
      <c r="CC2831" s="115"/>
      <c r="CD2831" s="115"/>
      <c r="CE2831" s="115"/>
      <c r="CF2831" s="115"/>
      <c r="CG2831" s="115"/>
      <c r="CH2831" s="115"/>
      <c r="CI2831" s="115"/>
      <c r="CJ2831" s="115"/>
      <c r="CK2831" s="115"/>
      <c r="CL2831" s="115"/>
      <c r="CM2831" s="115"/>
      <c r="CN2831" s="115"/>
      <c r="CO2831" s="115"/>
      <c r="CP2831" s="115"/>
      <c r="CQ2831" s="115"/>
      <c r="CR2831" s="115"/>
      <c r="CS2831" s="115"/>
      <c r="CT2831" s="115"/>
      <c r="CU2831" s="115"/>
      <c r="CV2831" s="115"/>
      <c r="CW2831" s="115"/>
      <c r="CX2831" s="115"/>
      <c r="CY2831" s="115"/>
      <c r="CZ2831" s="115"/>
      <c r="DA2831" s="115"/>
      <c r="DB2831" s="115"/>
      <c r="DC2831" s="115"/>
      <c r="DD2831" s="115"/>
      <c r="DE2831" s="115"/>
      <c r="DF2831" s="115"/>
      <c r="DG2831" s="115"/>
    </row>
    <row r="2832" spans="55:111" hidden="1">
      <c r="BC2832" s="115"/>
      <c r="BD2832" s="115"/>
      <c r="BE2832" s="115"/>
      <c r="BF2832" s="115"/>
      <c r="BG2832" s="115"/>
      <c r="BH2832" s="115"/>
      <c r="BI2832" s="115"/>
      <c r="BJ2832" s="115"/>
      <c r="BK2832" s="115"/>
      <c r="BL2832" s="115"/>
      <c r="BM2832" s="115"/>
      <c r="BN2832" s="115"/>
      <c r="BO2832" s="115"/>
      <c r="BP2832" s="115"/>
      <c r="BQ2832" s="115"/>
      <c r="BR2832" s="115"/>
      <c r="BS2832" s="115"/>
      <c r="BT2832" s="115"/>
      <c r="BU2832" s="115"/>
      <c r="BV2832" s="115"/>
      <c r="BW2832" s="115"/>
      <c r="BX2832" s="115"/>
      <c r="BY2832" s="115"/>
      <c r="BZ2832" s="115"/>
      <c r="CA2832" s="115"/>
      <c r="CB2832" s="115"/>
      <c r="CC2832" s="115"/>
      <c r="CD2832" s="115"/>
      <c r="CE2832" s="115"/>
      <c r="CF2832" s="115"/>
      <c r="CG2832" s="115"/>
      <c r="CH2832" s="115"/>
      <c r="CI2832" s="115"/>
      <c r="CJ2832" s="115"/>
      <c r="CK2832" s="115"/>
      <c r="CL2832" s="115"/>
      <c r="CM2832" s="115"/>
      <c r="CN2832" s="115"/>
      <c r="CO2832" s="115"/>
      <c r="CP2832" s="115"/>
      <c r="CQ2832" s="115"/>
      <c r="CR2832" s="115"/>
      <c r="CS2832" s="115"/>
      <c r="CT2832" s="115"/>
      <c r="CU2832" s="115"/>
      <c r="CV2832" s="115"/>
      <c r="CW2832" s="115"/>
      <c r="CX2832" s="115"/>
      <c r="CY2832" s="115"/>
      <c r="CZ2832" s="115"/>
      <c r="DA2832" s="115"/>
      <c r="DB2832" s="115"/>
      <c r="DC2832" s="115"/>
      <c r="DD2832" s="115"/>
      <c r="DE2832" s="115"/>
      <c r="DF2832" s="115"/>
      <c r="DG2832" s="115"/>
    </row>
    <row r="2833" spans="55:111" hidden="1">
      <c r="BC2833" s="115"/>
      <c r="BD2833" s="115"/>
      <c r="BE2833" s="115"/>
      <c r="BF2833" s="115"/>
      <c r="BG2833" s="115"/>
      <c r="BH2833" s="115"/>
      <c r="BI2833" s="115"/>
      <c r="BJ2833" s="115"/>
      <c r="BK2833" s="115"/>
      <c r="BL2833" s="115"/>
      <c r="BM2833" s="115"/>
      <c r="BN2833" s="115"/>
      <c r="BO2833" s="115"/>
      <c r="BP2833" s="115"/>
      <c r="BQ2833" s="115"/>
      <c r="BR2833" s="115"/>
      <c r="BS2833" s="115"/>
      <c r="BT2833" s="115"/>
      <c r="BU2833" s="115"/>
      <c r="BV2833" s="115"/>
      <c r="BW2833" s="115"/>
      <c r="BX2833" s="115"/>
      <c r="BY2833" s="115"/>
      <c r="BZ2833" s="115"/>
      <c r="CA2833" s="115"/>
      <c r="CB2833" s="115"/>
      <c r="CC2833" s="115"/>
      <c r="CD2833" s="115"/>
      <c r="CE2833" s="115"/>
      <c r="CF2833" s="115"/>
      <c r="CG2833" s="115"/>
      <c r="CH2833" s="115"/>
      <c r="CI2833" s="115"/>
      <c r="CJ2833" s="115"/>
      <c r="CK2833" s="115"/>
      <c r="CL2833" s="115"/>
      <c r="CM2833" s="115"/>
      <c r="CN2833" s="115"/>
      <c r="CO2833" s="115"/>
      <c r="CP2833" s="115"/>
      <c r="CQ2833" s="115"/>
      <c r="CR2833" s="115"/>
      <c r="CS2833" s="115"/>
      <c r="CT2833" s="115"/>
      <c r="CU2833" s="115"/>
      <c r="CV2833" s="115"/>
      <c r="CW2833" s="115"/>
      <c r="CX2833" s="115"/>
      <c r="CY2833" s="115"/>
      <c r="CZ2833" s="115"/>
      <c r="DA2833" s="115"/>
      <c r="DB2833" s="115"/>
      <c r="DC2833" s="115"/>
      <c r="DD2833" s="115"/>
      <c r="DE2833" s="115"/>
      <c r="DF2833" s="115"/>
      <c r="DG2833" s="115"/>
    </row>
    <row r="2834" spans="55:111" hidden="1">
      <c r="BC2834" s="115"/>
      <c r="BD2834" s="115"/>
      <c r="BE2834" s="115"/>
      <c r="BF2834" s="115"/>
      <c r="BG2834" s="115"/>
      <c r="BH2834" s="115"/>
      <c r="BI2834" s="115"/>
      <c r="BJ2834" s="115"/>
      <c r="BK2834" s="115"/>
      <c r="BL2834" s="115"/>
      <c r="BM2834" s="115"/>
      <c r="BN2834" s="115"/>
      <c r="BO2834" s="115"/>
      <c r="BP2834" s="115"/>
      <c r="BQ2834" s="115"/>
      <c r="BR2834" s="115"/>
      <c r="BS2834" s="115"/>
      <c r="BT2834" s="115"/>
      <c r="BU2834" s="115"/>
      <c r="BV2834" s="115"/>
      <c r="BW2834" s="115"/>
      <c r="BX2834" s="115"/>
      <c r="BY2834" s="115"/>
      <c r="BZ2834" s="115"/>
      <c r="CA2834" s="115"/>
      <c r="CB2834" s="115"/>
      <c r="CC2834" s="115"/>
      <c r="CD2834" s="115"/>
      <c r="CE2834" s="115"/>
      <c r="CF2834" s="115"/>
      <c r="CG2834" s="115"/>
      <c r="CH2834" s="115"/>
      <c r="CI2834" s="115"/>
      <c r="CJ2834" s="115"/>
      <c r="CK2834" s="115"/>
      <c r="CL2834" s="115"/>
      <c r="CM2834" s="115"/>
      <c r="CN2834" s="115"/>
      <c r="CO2834" s="115"/>
      <c r="CP2834" s="115"/>
      <c r="CQ2834" s="115"/>
      <c r="CR2834" s="115"/>
      <c r="CS2834" s="115"/>
      <c r="CT2834" s="115"/>
      <c r="CU2834" s="115"/>
      <c r="CV2834" s="115"/>
      <c r="CW2834" s="115"/>
      <c r="CX2834" s="115"/>
      <c r="CY2834" s="115"/>
      <c r="CZ2834" s="115"/>
      <c r="DA2834" s="115"/>
      <c r="DB2834" s="115"/>
      <c r="DC2834" s="115"/>
      <c r="DD2834" s="115"/>
      <c r="DE2834" s="115"/>
      <c r="DF2834" s="115"/>
      <c r="DG2834" s="115"/>
    </row>
    <row r="2835" spans="55:111" hidden="1">
      <c r="BC2835" s="115"/>
      <c r="BD2835" s="115"/>
      <c r="BE2835" s="115"/>
      <c r="BF2835" s="115"/>
      <c r="BG2835" s="115"/>
      <c r="BH2835" s="115"/>
      <c r="BI2835" s="115"/>
      <c r="BJ2835" s="115"/>
      <c r="BK2835" s="115"/>
      <c r="BL2835" s="115"/>
      <c r="BM2835" s="115"/>
      <c r="BN2835" s="115"/>
      <c r="BO2835" s="115"/>
      <c r="BP2835" s="115"/>
      <c r="BQ2835" s="115"/>
      <c r="BR2835" s="115"/>
      <c r="BS2835" s="115"/>
      <c r="BT2835" s="115"/>
      <c r="BU2835" s="115"/>
      <c r="BV2835" s="115"/>
      <c r="BW2835" s="115"/>
      <c r="BX2835" s="115"/>
      <c r="BY2835" s="115"/>
      <c r="BZ2835" s="115"/>
      <c r="CA2835" s="115"/>
      <c r="CB2835" s="115"/>
      <c r="CC2835" s="115"/>
      <c r="CD2835" s="115"/>
      <c r="CE2835" s="115"/>
      <c r="CF2835" s="115"/>
      <c r="CG2835" s="115"/>
      <c r="CH2835" s="115"/>
      <c r="CI2835" s="115"/>
      <c r="CJ2835" s="115"/>
      <c r="CK2835" s="115"/>
      <c r="CL2835" s="115"/>
      <c r="CM2835" s="115"/>
      <c r="CN2835" s="115"/>
      <c r="CO2835" s="115"/>
      <c r="CP2835" s="115"/>
      <c r="CQ2835" s="115"/>
      <c r="CR2835" s="115"/>
      <c r="CS2835" s="115"/>
      <c r="CT2835" s="115"/>
      <c r="CU2835" s="115"/>
      <c r="CV2835" s="115"/>
      <c r="CW2835" s="115"/>
      <c r="CX2835" s="115"/>
      <c r="CY2835" s="115"/>
      <c r="CZ2835" s="115"/>
      <c r="DA2835" s="115"/>
      <c r="DB2835" s="115"/>
      <c r="DC2835" s="115"/>
      <c r="DD2835" s="115"/>
      <c r="DE2835" s="115"/>
      <c r="DF2835" s="115"/>
      <c r="DG2835" s="115"/>
    </row>
    <row r="2836" spans="55:111" hidden="1">
      <c r="BC2836" s="115"/>
      <c r="BD2836" s="115"/>
      <c r="BE2836" s="115"/>
      <c r="BF2836" s="115"/>
      <c r="BG2836" s="115"/>
      <c r="BH2836" s="115"/>
      <c r="BI2836" s="115"/>
      <c r="BJ2836" s="115"/>
      <c r="BK2836" s="115"/>
      <c r="BL2836" s="115"/>
      <c r="BM2836" s="115"/>
      <c r="BN2836" s="115"/>
      <c r="BO2836" s="115"/>
      <c r="BP2836" s="115"/>
      <c r="BQ2836" s="115"/>
      <c r="BR2836" s="115"/>
      <c r="BS2836" s="115"/>
      <c r="BT2836" s="115"/>
      <c r="BU2836" s="115"/>
      <c r="BV2836" s="115"/>
      <c r="BW2836" s="115"/>
      <c r="BX2836" s="115"/>
      <c r="BY2836" s="115"/>
      <c r="BZ2836" s="115"/>
      <c r="CA2836" s="115"/>
      <c r="CB2836" s="115"/>
      <c r="CC2836" s="115"/>
      <c r="CD2836" s="115"/>
      <c r="CE2836" s="115"/>
      <c r="CF2836" s="115"/>
      <c r="CG2836" s="115"/>
      <c r="CH2836" s="115"/>
      <c r="CI2836" s="115"/>
      <c r="CJ2836" s="115"/>
      <c r="CK2836" s="115"/>
      <c r="CL2836" s="115"/>
      <c r="CM2836" s="115"/>
      <c r="CN2836" s="115"/>
      <c r="CO2836" s="115"/>
      <c r="CP2836" s="115"/>
      <c r="CQ2836" s="115"/>
      <c r="CR2836" s="115"/>
      <c r="CS2836" s="115"/>
      <c r="CT2836" s="115"/>
      <c r="CU2836" s="115"/>
      <c r="CV2836" s="115"/>
      <c r="CW2836" s="115"/>
      <c r="CX2836" s="115"/>
      <c r="CY2836" s="115"/>
      <c r="CZ2836" s="115"/>
      <c r="DA2836" s="115"/>
      <c r="DB2836" s="115"/>
      <c r="DC2836" s="115"/>
      <c r="DD2836" s="115"/>
      <c r="DE2836" s="115"/>
      <c r="DF2836" s="115"/>
      <c r="DG2836" s="115"/>
    </row>
    <row r="2837" spans="55:111" hidden="1">
      <c r="BC2837" s="115"/>
      <c r="BD2837" s="115"/>
      <c r="BE2837" s="115"/>
      <c r="BF2837" s="115"/>
      <c r="BG2837" s="115"/>
      <c r="BH2837" s="115"/>
      <c r="BI2837" s="115"/>
      <c r="BJ2837" s="115"/>
      <c r="BK2837" s="115"/>
      <c r="BL2837" s="115"/>
      <c r="BM2837" s="115"/>
      <c r="BN2837" s="115"/>
      <c r="BO2837" s="115"/>
      <c r="BP2837" s="115"/>
      <c r="BQ2837" s="115"/>
      <c r="BR2837" s="115"/>
      <c r="BS2837" s="115"/>
      <c r="BT2837" s="115"/>
      <c r="BU2837" s="115"/>
      <c r="BV2837" s="115"/>
      <c r="BW2837" s="115"/>
      <c r="BX2837" s="115"/>
      <c r="BY2837" s="115"/>
      <c r="BZ2837" s="115"/>
      <c r="CA2837" s="115"/>
      <c r="CB2837" s="115"/>
      <c r="CC2837" s="115"/>
      <c r="CD2837" s="115"/>
      <c r="CE2837" s="115"/>
      <c r="CF2837" s="115"/>
      <c r="CG2837" s="115"/>
      <c r="CH2837" s="115"/>
      <c r="CI2837" s="115"/>
      <c r="CJ2837" s="115"/>
      <c r="CK2837" s="115"/>
      <c r="CL2837" s="115"/>
      <c r="CM2837" s="115"/>
      <c r="CN2837" s="115"/>
      <c r="CO2837" s="115"/>
      <c r="CP2837" s="115"/>
      <c r="CQ2837" s="115"/>
      <c r="CR2837" s="115"/>
      <c r="CS2837" s="115"/>
      <c r="CT2837" s="115"/>
      <c r="CU2837" s="115"/>
      <c r="CV2837" s="115"/>
      <c r="CW2837" s="115"/>
      <c r="CX2837" s="115"/>
      <c r="CY2837" s="115"/>
      <c r="CZ2837" s="115"/>
      <c r="DA2837" s="115"/>
      <c r="DB2837" s="115"/>
      <c r="DC2837" s="115"/>
      <c r="DD2837" s="115"/>
      <c r="DE2837" s="115"/>
      <c r="DF2837" s="115"/>
      <c r="DG2837" s="115"/>
    </row>
    <row r="2838" spans="55:111" hidden="1">
      <c r="BC2838" s="115"/>
      <c r="BD2838" s="115"/>
      <c r="BE2838" s="115"/>
      <c r="BF2838" s="115"/>
      <c r="BG2838" s="115"/>
      <c r="BH2838" s="115"/>
      <c r="BI2838" s="115"/>
      <c r="BJ2838" s="115"/>
      <c r="BK2838" s="115"/>
      <c r="BL2838" s="115"/>
      <c r="BM2838" s="115"/>
      <c r="BN2838" s="115"/>
      <c r="BO2838" s="115"/>
      <c r="BP2838" s="115"/>
      <c r="BQ2838" s="115"/>
      <c r="BR2838" s="115"/>
      <c r="BS2838" s="115"/>
      <c r="BT2838" s="115"/>
      <c r="BU2838" s="115"/>
      <c r="BV2838" s="115"/>
      <c r="BW2838" s="115"/>
      <c r="BX2838" s="115"/>
      <c r="BY2838" s="115"/>
      <c r="BZ2838" s="115"/>
      <c r="CA2838" s="115"/>
      <c r="CB2838" s="115"/>
      <c r="CC2838" s="115"/>
      <c r="CD2838" s="115"/>
      <c r="CE2838" s="115"/>
      <c r="CF2838" s="115"/>
      <c r="CG2838" s="115"/>
      <c r="CH2838" s="115"/>
      <c r="CI2838" s="115"/>
      <c r="CJ2838" s="115"/>
      <c r="CK2838" s="115"/>
      <c r="CL2838" s="115"/>
      <c r="CM2838" s="115"/>
      <c r="CN2838" s="115"/>
      <c r="CO2838" s="115"/>
      <c r="CP2838" s="115"/>
      <c r="CQ2838" s="115"/>
      <c r="CR2838" s="115"/>
      <c r="CS2838" s="115"/>
      <c r="CT2838" s="115"/>
      <c r="CU2838" s="115"/>
      <c r="CV2838" s="115"/>
      <c r="CW2838" s="115"/>
      <c r="CX2838" s="115"/>
      <c r="CY2838" s="115"/>
      <c r="CZ2838" s="115"/>
      <c r="DA2838" s="115"/>
      <c r="DB2838" s="115"/>
      <c r="DC2838" s="115"/>
      <c r="DD2838" s="115"/>
      <c r="DE2838" s="115"/>
      <c r="DF2838" s="115"/>
      <c r="DG2838" s="115"/>
    </row>
    <row r="2839" spans="55:111" hidden="1">
      <c r="BC2839" s="115"/>
      <c r="BD2839" s="115"/>
      <c r="BE2839" s="115"/>
      <c r="BF2839" s="115"/>
      <c r="BG2839" s="115"/>
      <c r="BH2839" s="115"/>
      <c r="BI2839" s="115"/>
      <c r="BJ2839" s="115"/>
      <c r="BK2839" s="115"/>
      <c r="BL2839" s="115"/>
      <c r="BM2839" s="115"/>
      <c r="BN2839" s="115"/>
      <c r="BO2839" s="115"/>
      <c r="BP2839" s="115"/>
      <c r="BQ2839" s="115"/>
      <c r="BR2839" s="115"/>
      <c r="BS2839" s="115"/>
      <c r="BT2839" s="115"/>
      <c r="BU2839" s="115"/>
      <c r="BV2839" s="115"/>
      <c r="BW2839" s="115"/>
      <c r="BX2839" s="115"/>
      <c r="BY2839" s="115"/>
      <c r="BZ2839" s="115"/>
      <c r="CA2839" s="115"/>
      <c r="CB2839" s="115"/>
      <c r="CC2839" s="115"/>
      <c r="CD2839" s="115"/>
      <c r="CE2839" s="115"/>
      <c r="CF2839" s="115"/>
      <c r="CG2839" s="115"/>
      <c r="CH2839" s="115"/>
      <c r="CI2839" s="115"/>
      <c r="CJ2839" s="115"/>
      <c r="CK2839" s="115"/>
      <c r="CL2839" s="115"/>
      <c r="CM2839" s="115"/>
      <c r="CN2839" s="115"/>
      <c r="CO2839" s="115"/>
      <c r="CP2839" s="115"/>
      <c r="CQ2839" s="115"/>
      <c r="CR2839" s="115"/>
      <c r="CS2839" s="115"/>
      <c r="CT2839" s="115"/>
      <c r="CU2839" s="115"/>
      <c r="CV2839" s="115"/>
      <c r="CW2839" s="115"/>
      <c r="CX2839" s="115"/>
      <c r="CY2839" s="115"/>
      <c r="CZ2839" s="115"/>
      <c r="DA2839" s="115"/>
      <c r="DB2839" s="115"/>
      <c r="DC2839" s="115"/>
      <c r="DD2839" s="115"/>
      <c r="DE2839" s="115"/>
      <c r="DF2839" s="115"/>
      <c r="DG2839" s="115"/>
    </row>
    <row r="2840" spans="55:111" hidden="1">
      <c r="BC2840" s="115"/>
      <c r="BD2840" s="115"/>
      <c r="BE2840" s="115"/>
      <c r="BF2840" s="115"/>
      <c r="BG2840" s="115"/>
      <c r="BH2840" s="115"/>
      <c r="BI2840" s="115"/>
      <c r="BJ2840" s="115"/>
      <c r="BK2840" s="115"/>
      <c r="BL2840" s="115"/>
      <c r="BM2840" s="115"/>
      <c r="BN2840" s="115"/>
      <c r="BO2840" s="115"/>
      <c r="BP2840" s="115"/>
      <c r="BQ2840" s="115"/>
      <c r="BR2840" s="115"/>
      <c r="BS2840" s="115"/>
      <c r="BT2840" s="115"/>
      <c r="BU2840" s="115"/>
      <c r="BV2840" s="115"/>
      <c r="BW2840" s="115"/>
      <c r="BX2840" s="115"/>
      <c r="BY2840" s="115"/>
      <c r="BZ2840" s="115"/>
      <c r="CA2840" s="115"/>
      <c r="CB2840" s="115"/>
      <c r="CC2840" s="115"/>
      <c r="CD2840" s="115"/>
      <c r="CE2840" s="115"/>
      <c r="CF2840" s="115"/>
      <c r="CG2840" s="115"/>
      <c r="CH2840" s="115"/>
      <c r="CI2840" s="115"/>
      <c r="CJ2840" s="115"/>
      <c r="CK2840" s="115"/>
      <c r="CL2840" s="115"/>
      <c r="CM2840" s="115"/>
      <c r="CN2840" s="115"/>
      <c r="CO2840" s="115"/>
      <c r="CP2840" s="115"/>
      <c r="CQ2840" s="115"/>
      <c r="CR2840" s="115"/>
      <c r="CS2840" s="115"/>
      <c r="CT2840" s="115"/>
      <c r="CU2840" s="115"/>
      <c r="CV2840" s="115"/>
      <c r="CW2840" s="115"/>
      <c r="CX2840" s="115"/>
      <c r="CY2840" s="115"/>
      <c r="CZ2840" s="115"/>
      <c r="DA2840" s="115"/>
      <c r="DB2840" s="115"/>
      <c r="DC2840" s="115"/>
      <c r="DD2840" s="115"/>
      <c r="DE2840" s="115"/>
      <c r="DF2840" s="115"/>
      <c r="DG2840" s="115"/>
    </row>
    <row r="2841" spans="55:111" hidden="1">
      <c r="BC2841" s="115"/>
      <c r="BD2841" s="115"/>
      <c r="BE2841" s="115"/>
      <c r="BF2841" s="115"/>
      <c r="BG2841" s="115"/>
      <c r="BH2841" s="115"/>
      <c r="BI2841" s="115"/>
      <c r="BJ2841" s="115"/>
      <c r="BK2841" s="115"/>
      <c r="BL2841" s="115"/>
      <c r="BM2841" s="115"/>
      <c r="BN2841" s="115"/>
      <c r="BO2841" s="115"/>
      <c r="BP2841" s="115"/>
      <c r="BQ2841" s="115"/>
      <c r="BR2841" s="115"/>
      <c r="BS2841" s="115"/>
      <c r="BT2841" s="115"/>
      <c r="BU2841" s="115"/>
      <c r="BV2841" s="115"/>
      <c r="BW2841" s="115"/>
      <c r="BX2841" s="115"/>
      <c r="BY2841" s="115"/>
      <c r="BZ2841" s="115"/>
      <c r="CA2841" s="115"/>
      <c r="CB2841" s="115"/>
      <c r="CC2841" s="115"/>
      <c r="CD2841" s="115"/>
      <c r="CE2841" s="115"/>
      <c r="CF2841" s="115"/>
      <c r="CG2841" s="115"/>
      <c r="CH2841" s="115"/>
      <c r="CI2841" s="115"/>
      <c r="CJ2841" s="115"/>
      <c r="CK2841" s="115"/>
      <c r="CL2841" s="115"/>
      <c r="CM2841" s="115"/>
      <c r="CN2841" s="115"/>
      <c r="CO2841" s="115"/>
      <c r="CP2841" s="115"/>
      <c r="CQ2841" s="115"/>
      <c r="CR2841" s="115"/>
      <c r="CS2841" s="115"/>
      <c r="CT2841" s="115"/>
      <c r="CU2841" s="115"/>
      <c r="CV2841" s="115"/>
      <c r="CW2841" s="115"/>
      <c r="CX2841" s="115"/>
      <c r="CY2841" s="115"/>
      <c r="CZ2841" s="115"/>
      <c r="DA2841" s="115"/>
      <c r="DB2841" s="115"/>
      <c r="DC2841" s="115"/>
      <c r="DD2841" s="115"/>
      <c r="DE2841" s="115"/>
      <c r="DF2841" s="115"/>
      <c r="DG2841" s="115"/>
    </row>
    <row r="2842" spans="55:111" hidden="1">
      <c r="BC2842" s="115"/>
      <c r="BD2842" s="115"/>
      <c r="BE2842" s="115"/>
      <c r="BF2842" s="115"/>
      <c r="BG2842" s="115"/>
      <c r="BH2842" s="115"/>
      <c r="BI2842" s="115"/>
      <c r="BJ2842" s="115"/>
      <c r="BK2842" s="115"/>
      <c r="BL2842" s="115"/>
      <c r="BM2842" s="115"/>
      <c r="BN2842" s="115"/>
      <c r="BO2842" s="115"/>
      <c r="BP2842" s="115"/>
      <c r="BQ2842" s="115"/>
      <c r="BR2842" s="115"/>
      <c r="BS2842" s="115"/>
      <c r="BT2842" s="115"/>
      <c r="BU2842" s="115"/>
      <c r="BV2842" s="115"/>
      <c r="BW2842" s="115"/>
      <c r="BX2842" s="115"/>
      <c r="BY2842" s="115"/>
      <c r="BZ2842" s="115"/>
      <c r="CA2842" s="115"/>
      <c r="CB2842" s="115"/>
      <c r="CC2842" s="115"/>
      <c r="CD2842" s="115"/>
      <c r="CE2842" s="115"/>
      <c r="CF2842" s="115"/>
      <c r="CG2842" s="115"/>
      <c r="CH2842" s="115"/>
      <c r="CI2842" s="115"/>
      <c r="CJ2842" s="115"/>
      <c r="CK2842" s="115"/>
      <c r="CL2842" s="115"/>
      <c r="CM2842" s="115"/>
      <c r="CN2842" s="115"/>
      <c r="CO2842" s="115"/>
      <c r="CP2842" s="115"/>
      <c r="CQ2842" s="115"/>
      <c r="CR2842" s="115"/>
      <c r="CS2842" s="115"/>
      <c r="CT2842" s="115"/>
      <c r="CU2842" s="115"/>
      <c r="CV2842" s="115"/>
      <c r="CW2842" s="115"/>
      <c r="CX2842" s="115"/>
      <c r="CY2842" s="115"/>
      <c r="CZ2842" s="115"/>
      <c r="DA2842" s="115"/>
      <c r="DB2842" s="115"/>
      <c r="DC2842" s="115"/>
      <c r="DD2842" s="115"/>
      <c r="DE2842" s="115"/>
      <c r="DF2842" s="115"/>
      <c r="DG2842" s="115"/>
    </row>
    <row r="2843" spans="55:111" hidden="1">
      <c r="BC2843" s="115"/>
      <c r="BD2843" s="115"/>
      <c r="BE2843" s="115"/>
      <c r="BF2843" s="115"/>
      <c r="BG2843" s="115"/>
      <c r="BH2843" s="115"/>
      <c r="BI2843" s="115"/>
      <c r="BJ2843" s="115"/>
      <c r="BK2843" s="115"/>
      <c r="BL2843" s="115"/>
      <c r="BM2843" s="115"/>
      <c r="BN2843" s="115"/>
      <c r="BO2843" s="115"/>
      <c r="BP2843" s="115"/>
      <c r="BQ2843" s="115"/>
      <c r="BR2843" s="115"/>
      <c r="BS2843" s="115"/>
      <c r="BT2843" s="115"/>
      <c r="BU2843" s="115"/>
      <c r="BV2843" s="115"/>
      <c r="BW2843" s="115"/>
      <c r="BX2843" s="115"/>
      <c r="BY2843" s="115"/>
      <c r="BZ2843" s="115"/>
      <c r="CA2843" s="115"/>
      <c r="CB2843" s="115"/>
      <c r="CC2843" s="115"/>
      <c r="CD2843" s="115"/>
      <c r="CE2843" s="115"/>
      <c r="CF2843" s="115"/>
      <c r="CG2843" s="115"/>
      <c r="CH2843" s="115"/>
      <c r="CI2843" s="115"/>
      <c r="CJ2843" s="115"/>
      <c r="CK2843" s="115"/>
      <c r="CL2843" s="115"/>
      <c r="CM2843" s="115"/>
      <c r="CN2843" s="115"/>
      <c r="CO2843" s="115"/>
      <c r="CP2843" s="115"/>
      <c r="CQ2843" s="115"/>
      <c r="CR2843" s="115"/>
      <c r="CS2843" s="115"/>
      <c r="CT2843" s="115"/>
      <c r="CU2843" s="115"/>
      <c r="CV2843" s="115"/>
      <c r="CW2843" s="115"/>
      <c r="CX2843" s="115"/>
      <c r="CY2843" s="115"/>
      <c r="CZ2843" s="115"/>
      <c r="DA2843" s="115"/>
      <c r="DB2843" s="115"/>
      <c r="DC2843" s="115"/>
      <c r="DD2843" s="115"/>
      <c r="DE2843" s="115"/>
      <c r="DF2843" s="115"/>
      <c r="DG2843" s="115"/>
    </row>
    <row r="2844" spans="55:111" hidden="1">
      <c r="BC2844" s="115"/>
      <c r="BD2844" s="115"/>
      <c r="BE2844" s="115"/>
      <c r="BF2844" s="115"/>
      <c r="BG2844" s="115"/>
      <c r="BH2844" s="115"/>
      <c r="BI2844" s="115"/>
      <c r="BJ2844" s="115"/>
      <c r="BK2844" s="115"/>
      <c r="BL2844" s="115"/>
      <c r="BM2844" s="115"/>
      <c r="BN2844" s="115"/>
      <c r="BO2844" s="115"/>
      <c r="BP2844" s="115"/>
      <c r="BQ2844" s="115"/>
      <c r="BR2844" s="115"/>
      <c r="BS2844" s="115"/>
      <c r="BT2844" s="115"/>
      <c r="BU2844" s="115"/>
      <c r="BV2844" s="115"/>
      <c r="BW2844" s="115"/>
      <c r="BX2844" s="115"/>
      <c r="BY2844" s="115"/>
      <c r="BZ2844" s="115"/>
      <c r="CA2844" s="115"/>
      <c r="CB2844" s="115"/>
      <c r="CC2844" s="115"/>
      <c r="CD2844" s="115"/>
      <c r="CE2844" s="115"/>
      <c r="CF2844" s="115"/>
      <c r="CG2844" s="115"/>
      <c r="CH2844" s="115"/>
      <c r="CI2844" s="115"/>
      <c r="CJ2844" s="115"/>
      <c r="CK2844" s="115"/>
      <c r="CL2844" s="115"/>
      <c r="CM2844" s="115"/>
      <c r="CN2844" s="115"/>
      <c r="CO2844" s="115"/>
      <c r="CP2844" s="115"/>
      <c r="CQ2844" s="115"/>
      <c r="CR2844" s="115"/>
      <c r="CS2844" s="115"/>
      <c r="CT2844" s="115"/>
      <c r="CU2844" s="115"/>
      <c r="CV2844" s="115"/>
      <c r="CW2844" s="115"/>
      <c r="CX2844" s="115"/>
      <c r="CY2844" s="115"/>
      <c r="CZ2844" s="115"/>
      <c r="DA2844" s="115"/>
      <c r="DB2844" s="115"/>
      <c r="DC2844" s="115"/>
      <c r="DD2844" s="115"/>
      <c r="DE2844" s="115"/>
      <c r="DF2844" s="115"/>
      <c r="DG2844" s="115"/>
    </row>
    <row r="2845" spans="55:111" hidden="1">
      <c r="BC2845" s="115"/>
      <c r="BD2845" s="115"/>
      <c r="BE2845" s="115"/>
      <c r="BF2845" s="115"/>
      <c r="BG2845" s="115"/>
      <c r="BH2845" s="115"/>
      <c r="BI2845" s="115"/>
      <c r="BJ2845" s="115"/>
      <c r="BK2845" s="115"/>
      <c r="BL2845" s="115"/>
      <c r="BM2845" s="115"/>
      <c r="BN2845" s="115"/>
      <c r="BO2845" s="115"/>
      <c r="BP2845" s="115"/>
      <c r="BQ2845" s="115"/>
      <c r="BR2845" s="115"/>
      <c r="BS2845" s="115"/>
      <c r="BT2845" s="115"/>
      <c r="BU2845" s="115"/>
      <c r="BV2845" s="115"/>
      <c r="BW2845" s="115"/>
      <c r="BX2845" s="115"/>
      <c r="BY2845" s="115"/>
      <c r="BZ2845" s="115"/>
      <c r="CA2845" s="115"/>
      <c r="CB2845" s="115"/>
      <c r="CC2845" s="115"/>
      <c r="CD2845" s="115"/>
      <c r="CE2845" s="115"/>
      <c r="CF2845" s="115"/>
      <c r="CG2845" s="115"/>
      <c r="CH2845" s="115"/>
      <c r="CI2845" s="115"/>
      <c r="CJ2845" s="115"/>
      <c r="CK2845" s="115"/>
      <c r="CL2845" s="115"/>
      <c r="CM2845" s="115"/>
      <c r="CN2845" s="115"/>
      <c r="CO2845" s="115"/>
      <c r="CP2845" s="115"/>
      <c r="CQ2845" s="115"/>
      <c r="CR2845" s="115"/>
      <c r="CS2845" s="115"/>
      <c r="CT2845" s="115"/>
      <c r="CU2845" s="115"/>
      <c r="CV2845" s="115"/>
      <c r="CW2845" s="115"/>
      <c r="CX2845" s="115"/>
      <c r="CY2845" s="115"/>
      <c r="CZ2845" s="115"/>
      <c r="DA2845" s="115"/>
      <c r="DB2845" s="115"/>
      <c r="DC2845" s="115"/>
      <c r="DD2845" s="115"/>
      <c r="DE2845" s="115"/>
      <c r="DF2845" s="115"/>
      <c r="DG2845" s="115"/>
    </row>
    <row r="2846" spans="55:111" hidden="1">
      <c r="BC2846" s="115"/>
      <c r="BD2846" s="115"/>
      <c r="BE2846" s="115"/>
      <c r="BF2846" s="115"/>
      <c r="BG2846" s="115"/>
      <c r="BH2846" s="115"/>
      <c r="BI2846" s="115"/>
      <c r="BJ2846" s="115"/>
      <c r="BK2846" s="115"/>
      <c r="BL2846" s="115"/>
      <c r="BM2846" s="115"/>
      <c r="BN2846" s="115"/>
      <c r="BO2846" s="115"/>
      <c r="BP2846" s="115"/>
      <c r="BQ2846" s="115"/>
      <c r="BR2846" s="115"/>
      <c r="BS2846" s="115"/>
      <c r="BT2846" s="115"/>
      <c r="BU2846" s="115"/>
      <c r="BV2846" s="115"/>
      <c r="BW2846" s="115"/>
      <c r="BX2846" s="115"/>
      <c r="BY2846" s="115"/>
      <c r="BZ2846" s="115"/>
      <c r="CA2846" s="115"/>
      <c r="CB2846" s="115"/>
      <c r="CC2846" s="115"/>
      <c r="CD2846" s="115"/>
      <c r="CE2846" s="115"/>
      <c r="CF2846" s="115"/>
      <c r="CG2846" s="115"/>
      <c r="CH2846" s="115"/>
      <c r="CI2846" s="115"/>
      <c r="CJ2846" s="115"/>
      <c r="CK2846" s="115"/>
      <c r="CL2846" s="115"/>
      <c r="CM2846" s="115"/>
      <c r="CN2846" s="115"/>
      <c r="CO2846" s="115"/>
      <c r="CP2846" s="115"/>
      <c r="CQ2846" s="115"/>
      <c r="CR2846" s="115"/>
      <c r="CS2846" s="115"/>
      <c r="CT2846" s="115"/>
      <c r="CU2846" s="115"/>
      <c r="CV2846" s="115"/>
      <c r="CW2846" s="115"/>
      <c r="CX2846" s="115"/>
      <c r="CY2846" s="115"/>
      <c r="CZ2846" s="115"/>
      <c r="DA2846" s="115"/>
      <c r="DB2846" s="115"/>
      <c r="DC2846" s="115"/>
      <c r="DD2846" s="115"/>
      <c r="DE2846" s="115"/>
      <c r="DF2846" s="115"/>
      <c r="DG2846" s="115"/>
    </row>
    <row r="2847" spans="55:111" hidden="1">
      <c r="BC2847" s="115"/>
      <c r="BD2847" s="115"/>
      <c r="BE2847" s="115"/>
      <c r="BF2847" s="115"/>
      <c r="BG2847" s="115"/>
      <c r="BH2847" s="115"/>
      <c r="BI2847" s="115"/>
      <c r="BJ2847" s="115"/>
      <c r="BK2847" s="115"/>
      <c r="BL2847" s="115"/>
      <c r="BM2847" s="115"/>
      <c r="BN2847" s="115"/>
      <c r="BO2847" s="115"/>
      <c r="BP2847" s="115"/>
      <c r="BQ2847" s="115"/>
      <c r="BR2847" s="115"/>
      <c r="BS2847" s="115"/>
      <c r="BT2847" s="115"/>
      <c r="BU2847" s="115"/>
      <c r="BV2847" s="115"/>
      <c r="BW2847" s="115"/>
      <c r="BX2847" s="115"/>
      <c r="BY2847" s="115"/>
      <c r="BZ2847" s="115"/>
      <c r="CA2847" s="115"/>
      <c r="CB2847" s="115"/>
      <c r="CC2847" s="115"/>
      <c r="CD2847" s="115"/>
      <c r="CE2847" s="115"/>
      <c r="CF2847" s="115"/>
      <c r="CG2847" s="115"/>
      <c r="CH2847" s="115"/>
      <c r="CI2847" s="115"/>
      <c r="CJ2847" s="115"/>
      <c r="CK2847" s="115"/>
      <c r="CL2847" s="115"/>
      <c r="CM2847" s="115"/>
      <c r="CN2847" s="115"/>
      <c r="CO2847" s="115"/>
      <c r="CP2847" s="115"/>
      <c r="CQ2847" s="115"/>
      <c r="CR2847" s="115"/>
      <c r="CS2847" s="115"/>
      <c r="CT2847" s="115"/>
      <c r="CU2847" s="115"/>
      <c r="CV2847" s="115"/>
      <c r="CW2847" s="115"/>
      <c r="CX2847" s="115"/>
      <c r="CY2847" s="115"/>
      <c r="CZ2847" s="115"/>
      <c r="DA2847" s="115"/>
      <c r="DB2847" s="115"/>
      <c r="DC2847" s="115"/>
      <c r="DD2847" s="115"/>
      <c r="DE2847" s="115"/>
      <c r="DF2847" s="115"/>
      <c r="DG2847" s="115"/>
    </row>
    <row r="2848" spans="55:111" hidden="1">
      <c r="BC2848" s="115"/>
      <c r="BD2848" s="115"/>
      <c r="BE2848" s="115"/>
      <c r="BF2848" s="115"/>
      <c r="BG2848" s="115"/>
      <c r="BH2848" s="115"/>
      <c r="BI2848" s="115"/>
      <c r="BJ2848" s="115"/>
      <c r="BK2848" s="115"/>
      <c r="BL2848" s="115"/>
      <c r="BM2848" s="115"/>
      <c r="BN2848" s="115"/>
      <c r="BO2848" s="115"/>
      <c r="BP2848" s="115"/>
      <c r="BQ2848" s="115"/>
      <c r="BR2848" s="115"/>
      <c r="BS2848" s="115"/>
      <c r="BT2848" s="115"/>
      <c r="BU2848" s="115"/>
      <c r="BV2848" s="115"/>
      <c r="BW2848" s="115"/>
      <c r="BX2848" s="115"/>
      <c r="BY2848" s="115"/>
      <c r="BZ2848" s="115"/>
      <c r="CA2848" s="115"/>
      <c r="CB2848" s="115"/>
      <c r="CC2848" s="115"/>
      <c r="CD2848" s="115"/>
      <c r="CE2848" s="115"/>
      <c r="CF2848" s="115"/>
      <c r="CG2848" s="115"/>
      <c r="CH2848" s="115"/>
      <c r="CI2848" s="115"/>
      <c r="CJ2848" s="115"/>
      <c r="CK2848" s="115"/>
      <c r="CL2848" s="115"/>
      <c r="CM2848" s="115"/>
      <c r="CN2848" s="115"/>
      <c r="CO2848" s="115"/>
      <c r="CP2848" s="115"/>
      <c r="CQ2848" s="115"/>
      <c r="CR2848" s="115"/>
      <c r="CS2848" s="115"/>
      <c r="CT2848" s="115"/>
      <c r="CU2848" s="115"/>
      <c r="CV2848" s="115"/>
      <c r="CW2848" s="115"/>
      <c r="CX2848" s="115"/>
      <c r="CY2848" s="115"/>
      <c r="CZ2848" s="115"/>
      <c r="DA2848" s="115"/>
      <c r="DB2848" s="115"/>
      <c r="DC2848" s="115"/>
      <c r="DD2848" s="115"/>
      <c r="DE2848" s="115"/>
      <c r="DF2848" s="115"/>
      <c r="DG2848" s="115"/>
    </row>
    <row r="2849" spans="55:111" hidden="1">
      <c r="BC2849" s="115"/>
      <c r="BD2849" s="115"/>
      <c r="BE2849" s="115"/>
      <c r="BF2849" s="115"/>
      <c r="BG2849" s="115"/>
      <c r="BH2849" s="115"/>
      <c r="BI2849" s="115"/>
      <c r="BJ2849" s="115"/>
      <c r="BK2849" s="115"/>
      <c r="BL2849" s="115"/>
      <c r="BM2849" s="115"/>
      <c r="BN2849" s="115"/>
      <c r="BO2849" s="115"/>
      <c r="BP2849" s="115"/>
      <c r="BQ2849" s="115"/>
      <c r="BR2849" s="115"/>
      <c r="BS2849" s="115"/>
      <c r="BT2849" s="115"/>
      <c r="BU2849" s="115"/>
      <c r="BV2849" s="115"/>
      <c r="BW2849" s="115"/>
      <c r="BX2849" s="115"/>
      <c r="BY2849" s="115"/>
      <c r="BZ2849" s="115"/>
      <c r="CA2849" s="115"/>
      <c r="CB2849" s="115"/>
      <c r="CC2849" s="115"/>
      <c r="CD2849" s="115"/>
      <c r="CE2849" s="115"/>
      <c r="CF2849" s="115"/>
      <c r="CG2849" s="115"/>
      <c r="CH2849" s="115"/>
      <c r="CI2849" s="115"/>
      <c r="CJ2849" s="115"/>
      <c r="CK2849" s="115"/>
      <c r="CL2849" s="115"/>
      <c r="CM2849" s="115"/>
      <c r="CN2849" s="115"/>
      <c r="CO2849" s="115"/>
      <c r="CP2849" s="115"/>
      <c r="CQ2849" s="115"/>
      <c r="CR2849" s="115"/>
      <c r="CS2849" s="115"/>
      <c r="CT2849" s="115"/>
      <c r="CU2849" s="115"/>
      <c r="CV2849" s="115"/>
      <c r="CW2849" s="115"/>
      <c r="CX2849" s="115"/>
      <c r="CY2849" s="115"/>
      <c r="CZ2849" s="115"/>
      <c r="DA2849" s="115"/>
      <c r="DB2849" s="115"/>
      <c r="DC2849" s="115"/>
      <c r="DD2849" s="115"/>
      <c r="DE2849" s="115"/>
      <c r="DF2849" s="115"/>
      <c r="DG2849" s="115"/>
    </row>
    <row r="2850" spans="55:111" hidden="1">
      <c r="BC2850" s="115"/>
      <c r="BD2850" s="115"/>
      <c r="BE2850" s="115"/>
      <c r="BF2850" s="115"/>
      <c r="BG2850" s="115"/>
      <c r="BH2850" s="115"/>
      <c r="BI2850" s="115"/>
      <c r="BJ2850" s="115"/>
      <c r="BK2850" s="115"/>
      <c r="BL2850" s="115"/>
      <c r="BM2850" s="115"/>
      <c r="BN2850" s="115"/>
      <c r="BO2850" s="115"/>
      <c r="BP2850" s="115"/>
      <c r="BQ2850" s="115"/>
      <c r="BR2850" s="115"/>
      <c r="BS2850" s="115"/>
      <c r="BT2850" s="115"/>
      <c r="BU2850" s="115"/>
      <c r="BV2850" s="115"/>
      <c r="BW2850" s="115"/>
      <c r="BX2850" s="115"/>
      <c r="BY2850" s="115"/>
      <c r="BZ2850" s="115"/>
      <c r="CA2850" s="115"/>
      <c r="CB2850" s="115"/>
      <c r="CC2850" s="115"/>
      <c r="CD2850" s="115"/>
      <c r="CE2850" s="115"/>
      <c r="CF2850" s="115"/>
      <c r="CG2850" s="115"/>
      <c r="CH2850" s="115"/>
      <c r="CI2850" s="115"/>
      <c r="CJ2850" s="115"/>
      <c r="CK2850" s="115"/>
      <c r="CL2850" s="115"/>
      <c r="CM2850" s="115"/>
      <c r="CN2850" s="115"/>
      <c r="CO2850" s="115"/>
      <c r="CP2850" s="115"/>
      <c r="CQ2850" s="115"/>
      <c r="CR2850" s="115"/>
      <c r="CS2850" s="115"/>
      <c r="CT2850" s="115"/>
      <c r="CU2850" s="115"/>
      <c r="CV2850" s="115"/>
      <c r="CW2850" s="115"/>
      <c r="CX2850" s="115"/>
      <c r="CY2850" s="115"/>
      <c r="CZ2850" s="115"/>
      <c r="DA2850" s="115"/>
      <c r="DB2850" s="115"/>
      <c r="DC2850" s="115"/>
      <c r="DD2850" s="115"/>
      <c r="DE2850" s="115"/>
      <c r="DF2850" s="115"/>
      <c r="DG2850" s="115"/>
    </row>
    <row r="2851" spans="55:111" hidden="1">
      <c r="BC2851" s="115"/>
      <c r="BD2851" s="115"/>
      <c r="BE2851" s="115"/>
      <c r="BF2851" s="115"/>
      <c r="BG2851" s="115"/>
      <c r="BH2851" s="115"/>
      <c r="BI2851" s="115"/>
      <c r="BJ2851" s="115"/>
      <c r="BK2851" s="115"/>
      <c r="BL2851" s="115"/>
      <c r="BM2851" s="115"/>
      <c r="BN2851" s="115"/>
      <c r="BO2851" s="115"/>
      <c r="BP2851" s="115"/>
      <c r="BQ2851" s="115"/>
      <c r="BR2851" s="115"/>
      <c r="BS2851" s="115"/>
      <c r="BT2851" s="115"/>
      <c r="BU2851" s="115"/>
      <c r="BV2851" s="115"/>
      <c r="BW2851" s="115"/>
      <c r="BX2851" s="115"/>
      <c r="BY2851" s="115"/>
      <c r="BZ2851" s="115"/>
      <c r="CA2851" s="115"/>
      <c r="CB2851" s="115"/>
      <c r="CC2851" s="115"/>
      <c r="CD2851" s="115"/>
      <c r="CE2851" s="115"/>
      <c r="CF2851" s="115"/>
      <c r="CG2851" s="115"/>
      <c r="CH2851" s="115"/>
      <c r="CI2851" s="115"/>
      <c r="CJ2851" s="115"/>
      <c r="CK2851" s="115"/>
      <c r="CL2851" s="115"/>
      <c r="CM2851" s="115"/>
      <c r="CN2851" s="115"/>
      <c r="CO2851" s="115"/>
      <c r="CP2851" s="115"/>
      <c r="CQ2851" s="115"/>
      <c r="CR2851" s="115"/>
      <c r="CS2851" s="115"/>
      <c r="CT2851" s="115"/>
      <c r="CU2851" s="115"/>
      <c r="CV2851" s="115"/>
      <c r="CW2851" s="115"/>
      <c r="CX2851" s="115"/>
      <c r="CY2851" s="115"/>
      <c r="CZ2851" s="115"/>
      <c r="DA2851" s="115"/>
      <c r="DB2851" s="115"/>
      <c r="DC2851" s="115"/>
      <c r="DD2851" s="115"/>
      <c r="DE2851" s="115"/>
      <c r="DF2851" s="115"/>
      <c r="DG2851" s="115"/>
    </row>
    <row r="2852" spans="55:111" hidden="1">
      <c r="BC2852" s="115"/>
      <c r="BD2852" s="115"/>
      <c r="BE2852" s="115"/>
      <c r="BF2852" s="115"/>
      <c r="BG2852" s="115"/>
      <c r="BH2852" s="115"/>
      <c r="BI2852" s="115"/>
      <c r="BJ2852" s="115"/>
      <c r="BK2852" s="115"/>
      <c r="BL2852" s="115"/>
      <c r="BM2852" s="115"/>
      <c r="BN2852" s="115"/>
      <c r="BO2852" s="115"/>
      <c r="BP2852" s="115"/>
      <c r="BQ2852" s="115"/>
      <c r="BR2852" s="115"/>
      <c r="BS2852" s="115"/>
      <c r="BT2852" s="115"/>
      <c r="BU2852" s="115"/>
      <c r="BV2852" s="115"/>
      <c r="BW2852" s="115"/>
      <c r="BX2852" s="115"/>
      <c r="BY2852" s="115"/>
      <c r="BZ2852" s="115"/>
      <c r="CA2852" s="115"/>
      <c r="CB2852" s="115"/>
      <c r="CC2852" s="115"/>
      <c r="CD2852" s="115"/>
      <c r="CE2852" s="115"/>
      <c r="CF2852" s="115"/>
      <c r="CG2852" s="115"/>
      <c r="CH2852" s="115"/>
      <c r="CI2852" s="115"/>
      <c r="CJ2852" s="115"/>
      <c r="CK2852" s="115"/>
      <c r="CL2852" s="115"/>
      <c r="CM2852" s="115"/>
      <c r="CN2852" s="115"/>
      <c r="CO2852" s="115"/>
      <c r="CP2852" s="115"/>
      <c r="CQ2852" s="115"/>
      <c r="CR2852" s="115"/>
      <c r="CS2852" s="115"/>
      <c r="CT2852" s="115"/>
      <c r="CU2852" s="115"/>
      <c r="CV2852" s="115"/>
      <c r="CW2852" s="115"/>
      <c r="CX2852" s="115"/>
      <c r="CY2852" s="115"/>
      <c r="CZ2852" s="115"/>
      <c r="DA2852" s="115"/>
      <c r="DB2852" s="115"/>
      <c r="DC2852" s="115"/>
      <c r="DD2852" s="115"/>
      <c r="DE2852" s="115"/>
      <c r="DF2852" s="115"/>
      <c r="DG2852" s="115"/>
    </row>
    <row r="2853" spans="55:111" hidden="1">
      <c r="BC2853" s="115"/>
      <c r="BD2853" s="115"/>
      <c r="BE2853" s="115"/>
      <c r="BF2853" s="115"/>
      <c r="BG2853" s="115"/>
      <c r="BH2853" s="115"/>
      <c r="BI2853" s="115"/>
      <c r="BJ2853" s="115"/>
      <c r="BK2853" s="115"/>
      <c r="BL2853" s="115"/>
      <c r="BM2853" s="115"/>
      <c r="BN2853" s="115"/>
      <c r="BO2853" s="115"/>
      <c r="BP2853" s="115"/>
      <c r="BQ2853" s="115"/>
      <c r="BR2853" s="115"/>
      <c r="BS2853" s="115"/>
      <c r="BT2853" s="115"/>
      <c r="BU2853" s="115"/>
      <c r="BV2853" s="115"/>
      <c r="BW2853" s="115"/>
      <c r="BX2853" s="115"/>
      <c r="BY2853" s="115"/>
      <c r="BZ2853" s="115"/>
      <c r="CA2853" s="115"/>
      <c r="CB2853" s="115"/>
      <c r="CC2853" s="115"/>
      <c r="CD2853" s="115"/>
      <c r="CE2853" s="115"/>
      <c r="CF2853" s="115"/>
      <c r="CG2853" s="115"/>
      <c r="CH2853" s="115"/>
      <c r="CI2853" s="115"/>
      <c r="CJ2853" s="115"/>
      <c r="CK2853" s="115"/>
      <c r="CL2853" s="115"/>
      <c r="CM2853" s="115"/>
      <c r="CN2853" s="115"/>
      <c r="CO2853" s="115"/>
      <c r="CP2853" s="115"/>
      <c r="CQ2853" s="115"/>
      <c r="CR2853" s="115"/>
      <c r="CS2853" s="115"/>
      <c r="CT2853" s="115"/>
      <c r="CU2853" s="115"/>
      <c r="CV2853" s="115"/>
      <c r="CW2853" s="115"/>
      <c r="CX2853" s="115"/>
      <c r="CY2853" s="115"/>
      <c r="CZ2853" s="115"/>
      <c r="DA2853" s="115"/>
      <c r="DB2853" s="115"/>
      <c r="DC2853" s="115"/>
      <c r="DD2853" s="115"/>
      <c r="DE2853" s="115"/>
      <c r="DF2853" s="115"/>
      <c r="DG2853" s="115"/>
    </row>
    <row r="2854" spans="55:111" hidden="1">
      <c r="BC2854" s="115"/>
      <c r="BD2854" s="115"/>
      <c r="BE2854" s="115"/>
      <c r="BF2854" s="115"/>
      <c r="BG2854" s="115"/>
      <c r="BH2854" s="115"/>
      <c r="BI2854" s="115"/>
      <c r="BJ2854" s="115"/>
      <c r="BK2854" s="115"/>
      <c r="BL2854" s="115"/>
      <c r="BM2854" s="115"/>
      <c r="BN2854" s="115"/>
      <c r="BO2854" s="115"/>
      <c r="BP2854" s="115"/>
      <c r="BQ2854" s="115"/>
      <c r="BR2854" s="115"/>
      <c r="BS2854" s="115"/>
      <c r="BT2854" s="115"/>
      <c r="BU2854" s="115"/>
      <c r="BV2854" s="115"/>
      <c r="BW2854" s="115"/>
      <c r="BX2854" s="115"/>
      <c r="BY2854" s="115"/>
      <c r="BZ2854" s="115"/>
      <c r="CA2854" s="115"/>
      <c r="CB2854" s="115"/>
      <c r="CC2854" s="115"/>
      <c r="CD2854" s="115"/>
      <c r="CE2854" s="115"/>
      <c r="CF2854" s="115"/>
      <c r="CG2854" s="115"/>
      <c r="CH2854" s="115"/>
      <c r="CI2854" s="115"/>
      <c r="CJ2854" s="115"/>
      <c r="CK2854" s="115"/>
      <c r="CL2854" s="115"/>
      <c r="CM2854" s="115"/>
      <c r="CN2854" s="115"/>
      <c r="CO2854" s="115"/>
      <c r="CP2854" s="115"/>
      <c r="CQ2854" s="115"/>
      <c r="CR2854" s="115"/>
      <c r="CS2854" s="115"/>
      <c r="CT2854" s="115"/>
      <c r="CU2854" s="115"/>
      <c r="CV2854" s="115"/>
      <c r="CW2854" s="115"/>
      <c r="CX2854" s="115"/>
      <c r="CY2854" s="115"/>
      <c r="CZ2854" s="115"/>
      <c r="DA2854" s="115"/>
      <c r="DB2854" s="115"/>
      <c r="DC2854" s="115"/>
      <c r="DD2854" s="115"/>
      <c r="DE2854" s="115"/>
      <c r="DF2854" s="115"/>
      <c r="DG2854" s="115"/>
    </row>
    <row r="2855" spans="55:111" hidden="1">
      <c r="BC2855" s="115"/>
      <c r="BD2855" s="115"/>
      <c r="BE2855" s="115"/>
      <c r="BF2855" s="115"/>
      <c r="BG2855" s="115"/>
      <c r="BH2855" s="115"/>
      <c r="BI2855" s="115"/>
      <c r="BJ2855" s="115"/>
      <c r="BK2855" s="115"/>
      <c r="BL2855" s="115"/>
      <c r="BM2855" s="115"/>
      <c r="BN2855" s="115"/>
      <c r="BO2855" s="115"/>
      <c r="BP2855" s="115"/>
      <c r="BQ2855" s="115"/>
      <c r="BR2855" s="115"/>
      <c r="BS2855" s="115"/>
      <c r="BT2855" s="115"/>
      <c r="BU2855" s="115"/>
      <c r="BV2855" s="115"/>
      <c r="BW2855" s="115"/>
      <c r="BX2855" s="115"/>
      <c r="BY2855" s="115"/>
      <c r="BZ2855" s="115"/>
      <c r="CA2855" s="115"/>
      <c r="CB2855" s="115"/>
      <c r="CC2855" s="115"/>
      <c r="CD2855" s="115"/>
      <c r="CE2855" s="115"/>
      <c r="CF2855" s="115"/>
      <c r="CG2855" s="115"/>
      <c r="CH2855" s="115"/>
      <c r="CI2855" s="115"/>
      <c r="CJ2855" s="115"/>
      <c r="CK2855" s="115"/>
      <c r="CL2855" s="115"/>
      <c r="CM2855" s="115"/>
      <c r="CN2855" s="115"/>
      <c r="CO2855" s="115"/>
      <c r="CP2855" s="115"/>
      <c r="CQ2855" s="115"/>
      <c r="CR2855" s="115"/>
      <c r="CS2855" s="115"/>
      <c r="CT2855" s="115"/>
      <c r="CU2855" s="115"/>
      <c r="CV2855" s="115"/>
      <c r="CW2855" s="115"/>
      <c r="CX2855" s="115"/>
      <c r="CY2855" s="115"/>
      <c r="CZ2855" s="115"/>
      <c r="DA2855" s="115"/>
      <c r="DB2855" s="115"/>
      <c r="DC2855" s="115"/>
      <c r="DD2855" s="115"/>
      <c r="DE2855" s="115"/>
      <c r="DF2855" s="115"/>
      <c r="DG2855" s="115"/>
    </row>
    <row r="2856" spans="55:111" hidden="1">
      <c r="BC2856" s="115"/>
      <c r="BD2856" s="115"/>
      <c r="BE2856" s="115"/>
      <c r="BF2856" s="115"/>
      <c r="BG2856" s="115"/>
      <c r="BH2856" s="115"/>
      <c r="BI2856" s="115"/>
      <c r="BJ2856" s="115"/>
      <c r="BK2856" s="115"/>
      <c r="BL2856" s="115"/>
      <c r="BM2856" s="115"/>
      <c r="BN2856" s="115"/>
      <c r="BO2856" s="115"/>
      <c r="BP2856" s="115"/>
      <c r="BQ2856" s="115"/>
      <c r="BR2856" s="115"/>
      <c r="BS2856" s="115"/>
      <c r="BT2856" s="115"/>
      <c r="BU2856" s="115"/>
      <c r="BV2856" s="115"/>
      <c r="BW2856" s="115"/>
      <c r="BX2856" s="115"/>
      <c r="BY2856" s="115"/>
      <c r="BZ2856" s="115"/>
      <c r="CA2856" s="115"/>
      <c r="CB2856" s="115"/>
      <c r="CC2856" s="115"/>
      <c r="CD2856" s="115"/>
      <c r="CE2856" s="115"/>
      <c r="CF2856" s="115"/>
      <c r="CG2856" s="115"/>
      <c r="CH2856" s="115"/>
      <c r="CI2856" s="115"/>
      <c r="CJ2856" s="115"/>
      <c r="CK2856" s="115"/>
      <c r="CL2856" s="115"/>
      <c r="CM2856" s="115"/>
      <c r="CN2856" s="115"/>
      <c r="CO2856" s="115"/>
      <c r="CP2856" s="115"/>
      <c r="CQ2856" s="115"/>
      <c r="CR2856" s="115"/>
      <c r="CS2856" s="115"/>
      <c r="CT2856" s="115"/>
      <c r="CU2856" s="115"/>
      <c r="CV2856" s="115"/>
      <c r="CW2856" s="115"/>
      <c r="CX2856" s="115"/>
      <c r="CY2856" s="115"/>
      <c r="CZ2856" s="115"/>
      <c r="DA2856" s="115"/>
      <c r="DB2856" s="115"/>
      <c r="DC2856" s="115"/>
      <c r="DD2856" s="115"/>
      <c r="DE2856" s="115"/>
      <c r="DF2856" s="115"/>
      <c r="DG2856" s="115"/>
    </row>
    <row r="2857" spans="55:111" hidden="1">
      <c r="BC2857" s="115"/>
      <c r="BD2857" s="115"/>
      <c r="BE2857" s="115"/>
      <c r="BF2857" s="115"/>
      <c r="BG2857" s="115"/>
      <c r="BH2857" s="115"/>
      <c r="BI2857" s="115"/>
      <c r="BJ2857" s="115"/>
      <c r="BK2857" s="115"/>
      <c r="BL2857" s="115"/>
      <c r="BM2857" s="115"/>
      <c r="BN2857" s="115"/>
      <c r="BO2857" s="115"/>
      <c r="BP2857" s="115"/>
      <c r="BQ2857" s="115"/>
      <c r="BR2857" s="115"/>
      <c r="BS2857" s="115"/>
      <c r="BT2857" s="115"/>
      <c r="BU2857" s="115"/>
      <c r="BV2857" s="115"/>
      <c r="BW2857" s="115"/>
      <c r="BX2857" s="115"/>
      <c r="BY2857" s="115"/>
      <c r="BZ2857" s="115"/>
      <c r="CA2857" s="115"/>
      <c r="CB2857" s="115"/>
      <c r="CC2857" s="115"/>
      <c r="CD2857" s="115"/>
      <c r="CE2857" s="115"/>
      <c r="CF2857" s="115"/>
      <c r="CG2857" s="115"/>
      <c r="CH2857" s="115"/>
      <c r="CI2857" s="115"/>
      <c r="CJ2857" s="115"/>
      <c r="CK2857" s="115"/>
      <c r="CL2857" s="115"/>
      <c r="CM2857" s="115"/>
      <c r="CN2857" s="115"/>
      <c r="CO2857" s="115"/>
      <c r="CP2857" s="115"/>
      <c r="CQ2857" s="115"/>
      <c r="CR2857" s="115"/>
      <c r="CS2857" s="115"/>
      <c r="CT2857" s="115"/>
      <c r="CU2857" s="115"/>
      <c r="CV2857" s="115"/>
      <c r="CW2857" s="115"/>
      <c r="CX2857" s="115"/>
      <c r="CY2857" s="115"/>
      <c r="CZ2857" s="115"/>
      <c r="DA2857" s="115"/>
      <c r="DB2857" s="115"/>
      <c r="DC2857" s="115"/>
      <c r="DD2857" s="115"/>
      <c r="DE2857" s="115"/>
      <c r="DF2857" s="115"/>
      <c r="DG2857" s="115"/>
    </row>
    <row r="2858" spans="55:111" hidden="1">
      <c r="BC2858" s="115"/>
      <c r="BD2858" s="115"/>
      <c r="BE2858" s="115"/>
      <c r="BF2858" s="115"/>
      <c r="BG2858" s="115"/>
      <c r="BH2858" s="115"/>
      <c r="BI2858" s="115"/>
      <c r="BJ2858" s="115"/>
      <c r="BK2858" s="115"/>
      <c r="BL2858" s="115"/>
      <c r="BM2858" s="115"/>
      <c r="BN2858" s="115"/>
      <c r="BO2858" s="115"/>
      <c r="BP2858" s="115"/>
      <c r="BQ2858" s="115"/>
      <c r="BR2858" s="115"/>
      <c r="BS2858" s="115"/>
      <c r="BT2858" s="115"/>
      <c r="BU2858" s="115"/>
      <c r="BV2858" s="115"/>
      <c r="BW2858" s="115"/>
      <c r="BX2858" s="115"/>
      <c r="BY2858" s="115"/>
      <c r="BZ2858" s="115"/>
      <c r="CA2858" s="115"/>
      <c r="CB2858" s="115"/>
      <c r="CC2858" s="115"/>
      <c r="CD2858" s="115"/>
      <c r="CE2858" s="115"/>
      <c r="CF2858" s="115"/>
      <c r="CG2858" s="115"/>
      <c r="CH2858" s="115"/>
      <c r="CI2858" s="115"/>
      <c r="CJ2858" s="115"/>
      <c r="CK2858" s="115"/>
      <c r="CL2858" s="115"/>
      <c r="CM2858" s="115"/>
      <c r="CN2858" s="115"/>
      <c r="CO2858" s="115"/>
      <c r="CP2858" s="115"/>
      <c r="CQ2858" s="115"/>
      <c r="CR2858" s="115"/>
      <c r="CS2858" s="115"/>
      <c r="CT2858" s="115"/>
      <c r="CU2858" s="115"/>
      <c r="CV2858" s="115"/>
      <c r="CW2858" s="115"/>
      <c r="CX2858" s="115"/>
      <c r="CY2858" s="115"/>
      <c r="CZ2858" s="115"/>
      <c r="DA2858" s="115"/>
      <c r="DB2858" s="115"/>
      <c r="DC2858" s="115"/>
      <c r="DD2858" s="115"/>
      <c r="DE2858" s="115"/>
      <c r="DF2858" s="115"/>
      <c r="DG2858" s="115"/>
    </row>
    <row r="2859" spans="55:111" hidden="1">
      <c r="BC2859" s="115"/>
      <c r="BD2859" s="115"/>
      <c r="BE2859" s="115"/>
      <c r="BF2859" s="115"/>
      <c r="BG2859" s="115"/>
      <c r="BH2859" s="115"/>
      <c r="BI2859" s="115"/>
      <c r="BJ2859" s="115"/>
      <c r="BK2859" s="115"/>
      <c r="BL2859" s="115"/>
      <c r="BM2859" s="115"/>
      <c r="BN2859" s="115"/>
      <c r="BO2859" s="115"/>
      <c r="BP2859" s="115"/>
      <c r="BQ2859" s="115"/>
      <c r="BR2859" s="115"/>
      <c r="BS2859" s="115"/>
      <c r="BT2859" s="115"/>
      <c r="BU2859" s="115"/>
      <c r="BV2859" s="115"/>
      <c r="BW2859" s="115"/>
      <c r="BX2859" s="115"/>
      <c r="BY2859" s="115"/>
      <c r="BZ2859" s="115"/>
      <c r="CA2859" s="115"/>
      <c r="CB2859" s="115"/>
      <c r="CC2859" s="115"/>
      <c r="CD2859" s="115"/>
      <c r="CE2859" s="115"/>
      <c r="CF2859" s="115"/>
      <c r="CG2859" s="115"/>
      <c r="CH2859" s="115"/>
      <c r="CI2859" s="115"/>
      <c r="CJ2859" s="115"/>
      <c r="CK2859" s="115"/>
      <c r="CL2859" s="115"/>
      <c r="CM2859" s="115"/>
      <c r="CN2859" s="115"/>
      <c r="CO2859" s="115"/>
      <c r="CP2859" s="115"/>
      <c r="CQ2859" s="115"/>
      <c r="CR2859" s="115"/>
      <c r="CS2859" s="115"/>
      <c r="CT2859" s="115"/>
      <c r="CU2859" s="115"/>
      <c r="CV2859" s="115"/>
      <c r="CW2859" s="115"/>
      <c r="CX2859" s="115"/>
      <c r="CY2859" s="115"/>
      <c r="CZ2859" s="115"/>
      <c r="DA2859" s="115"/>
      <c r="DB2859" s="115"/>
      <c r="DC2859" s="115"/>
      <c r="DD2859" s="115"/>
      <c r="DE2859" s="115"/>
      <c r="DF2859" s="115"/>
      <c r="DG2859" s="115"/>
    </row>
    <row r="2860" spans="55:111" hidden="1">
      <c r="BC2860" s="115"/>
      <c r="BD2860" s="115"/>
      <c r="BE2860" s="115"/>
      <c r="BF2860" s="115"/>
      <c r="BG2860" s="115"/>
      <c r="BH2860" s="115"/>
      <c r="BI2860" s="115"/>
      <c r="BJ2860" s="115"/>
      <c r="BK2860" s="115"/>
      <c r="BL2860" s="115"/>
      <c r="BM2860" s="115"/>
      <c r="BN2860" s="115"/>
      <c r="BO2860" s="115"/>
      <c r="BP2860" s="115"/>
      <c r="BQ2860" s="115"/>
      <c r="BR2860" s="115"/>
      <c r="BS2860" s="115"/>
      <c r="BT2860" s="115"/>
      <c r="BU2860" s="115"/>
      <c r="BV2860" s="115"/>
      <c r="BW2860" s="115"/>
      <c r="BX2860" s="115"/>
      <c r="BY2860" s="115"/>
      <c r="BZ2860" s="115"/>
      <c r="CA2860" s="115"/>
      <c r="CB2860" s="115"/>
      <c r="CC2860" s="115"/>
      <c r="CD2860" s="115"/>
      <c r="CE2860" s="115"/>
      <c r="CF2860" s="115"/>
      <c r="CG2860" s="115"/>
      <c r="CH2860" s="115"/>
      <c r="CI2860" s="115"/>
      <c r="CJ2860" s="115"/>
      <c r="CK2860" s="115"/>
      <c r="CL2860" s="115"/>
      <c r="CM2860" s="115"/>
      <c r="CN2860" s="115"/>
      <c r="CO2860" s="115"/>
      <c r="CP2860" s="115"/>
      <c r="CQ2860" s="115"/>
      <c r="CR2860" s="115"/>
      <c r="CS2860" s="115"/>
      <c r="CT2860" s="115"/>
      <c r="CU2860" s="115"/>
      <c r="CV2860" s="115"/>
      <c r="CW2860" s="115"/>
      <c r="CX2860" s="115"/>
      <c r="CY2860" s="115"/>
      <c r="CZ2860" s="115"/>
      <c r="DA2860" s="115"/>
      <c r="DB2860" s="115"/>
      <c r="DC2860" s="115"/>
      <c r="DD2860" s="115"/>
      <c r="DE2860" s="115"/>
      <c r="DF2860" s="115"/>
      <c r="DG2860" s="115"/>
    </row>
    <row r="2861" spans="55:111" hidden="1">
      <c r="BC2861" s="115"/>
      <c r="BD2861" s="115"/>
      <c r="BE2861" s="115"/>
      <c r="BF2861" s="115"/>
      <c r="BG2861" s="115"/>
      <c r="BH2861" s="115"/>
      <c r="BI2861" s="115"/>
      <c r="BJ2861" s="115"/>
      <c r="BK2861" s="115"/>
      <c r="BL2861" s="115"/>
      <c r="BM2861" s="115"/>
      <c r="BN2861" s="115"/>
      <c r="BO2861" s="115"/>
      <c r="BP2861" s="115"/>
      <c r="BQ2861" s="115"/>
      <c r="BR2861" s="115"/>
      <c r="BS2861" s="115"/>
      <c r="BT2861" s="115"/>
      <c r="BU2861" s="115"/>
      <c r="BV2861" s="115"/>
      <c r="BW2861" s="115"/>
      <c r="BX2861" s="115"/>
      <c r="BY2861" s="115"/>
      <c r="BZ2861" s="115"/>
      <c r="CA2861" s="115"/>
      <c r="CB2861" s="115"/>
      <c r="CC2861" s="115"/>
      <c r="CD2861" s="115"/>
      <c r="CE2861" s="115"/>
      <c r="CF2861" s="115"/>
      <c r="CG2861" s="115"/>
      <c r="CH2861" s="115"/>
      <c r="CI2861" s="115"/>
      <c r="CJ2861" s="115"/>
      <c r="CK2861" s="115"/>
      <c r="CL2861" s="115"/>
      <c r="CM2861" s="115"/>
      <c r="CN2861" s="115"/>
      <c r="CO2861" s="115"/>
      <c r="CP2861" s="115"/>
      <c r="CQ2861" s="115"/>
      <c r="CR2861" s="115"/>
      <c r="CS2861" s="115"/>
      <c r="CT2861" s="115"/>
      <c r="CU2861" s="115"/>
      <c r="CV2861" s="115"/>
      <c r="CW2861" s="115"/>
      <c r="CX2861" s="115"/>
      <c r="CY2861" s="115"/>
      <c r="CZ2861" s="115"/>
      <c r="DA2861" s="115"/>
      <c r="DB2861" s="115"/>
      <c r="DC2861" s="115"/>
      <c r="DD2861" s="115"/>
      <c r="DE2861" s="115"/>
      <c r="DF2861" s="115"/>
      <c r="DG2861" s="115"/>
    </row>
    <row r="2862" spans="55:111" hidden="1">
      <c r="BC2862" s="115"/>
      <c r="BD2862" s="115"/>
      <c r="BE2862" s="115"/>
      <c r="BF2862" s="115"/>
      <c r="BG2862" s="115"/>
      <c r="BH2862" s="115"/>
      <c r="BI2862" s="115"/>
      <c r="BJ2862" s="115"/>
      <c r="BK2862" s="115"/>
      <c r="BL2862" s="115"/>
      <c r="BM2862" s="115"/>
      <c r="BN2862" s="115"/>
      <c r="BO2862" s="115"/>
      <c r="BP2862" s="115"/>
      <c r="BQ2862" s="115"/>
      <c r="BR2862" s="115"/>
      <c r="BS2862" s="115"/>
      <c r="BT2862" s="115"/>
      <c r="BU2862" s="115"/>
      <c r="BV2862" s="115"/>
      <c r="BW2862" s="115"/>
      <c r="BX2862" s="115"/>
      <c r="BY2862" s="115"/>
      <c r="BZ2862" s="115"/>
      <c r="CA2862" s="115"/>
      <c r="CB2862" s="115"/>
      <c r="CC2862" s="115"/>
      <c r="CD2862" s="115"/>
      <c r="CE2862" s="115"/>
      <c r="CF2862" s="115"/>
      <c r="CG2862" s="115"/>
      <c r="CH2862" s="115"/>
      <c r="CI2862" s="115"/>
      <c r="CJ2862" s="115"/>
      <c r="CK2862" s="115"/>
      <c r="CL2862" s="115"/>
      <c r="CM2862" s="115"/>
      <c r="CN2862" s="115"/>
      <c r="CO2862" s="115"/>
      <c r="CP2862" s="115"/>
      <c r="CQ2862" s="115"/>
      <c r="CR2862" s="115"/>
      <c r="CS2862" s="115"/>
      <c r="CT2862" s="115"/>
      <c r="CU2862" s="115"/>
      <c r="CV2862" s="115"/>
      <c r="CW2862" s="115"/>
      <c r="CX2862" s="115"/>
      <c r="CY2862" s="115"/>
      <c r="CZ2862" s="115"/>
      <c r="DA2862" s="115"/>
      <c r="DB2862" s="115"/>
      <c r="DC2862" s="115"/>
      <c r="DD2862" s="115"/>
      <c r="DE2862" s="115"/>
      <c r="DF2862" s="115"/>
      <c r="DG2862" s="115"/>
    </row>
    <row r="2863" spans="55:111" hidden="1">
      <c r="BC2863" s="115"/>
      <c r="BD2863" s="115"/>
      <c r="BE2863" s="115"/>
      <c r="BF2863" s="115"/>
      <c r="BG2863" s="115"/>
      <c r="BH2863" s="115"/>
      <c r="BI2863" s="115"/>
      <c r="BJ2863" s="115"/>
      <c r="BK2863" s="115"/>
      <c r="BL2863" s="115"/>
      <c r="BM2863" s="115"/>
      <c r="BN2863" s="115"/>
      <c r="BO2863" s="115"/>
      <c r="BP2863" s="115"/>
      <c r="BQ2863" s="115"/>
      <c r="BR2863" s="115"/>
      <c r="BS2863" s="115"/>
      <c r="BT2863" s="115"/>
      <c r="BU2863" s="115"/>
      <c r="BV2863" s="115"/>
      <c r="BW2863" s="115"/>
      <c r="BX2863" s="115"/>
      <c r="BY2863" s="115"/>
      <c r="BZ2863" s="115"/>
      <c r="CA2863" s="115"/>
      <c r="CB2863" s="115"/>
      <c r="CC2863" s="115"/>
      <c r="CD2863" s="115"/>
      <c r="CE2863" s="115"/>
      <c r="CF2863" s="115"/>
      <c r="CG2863" s="115"/>
      <c r="CH2863" s="115"/>
      <c r="CI2863" s="115"/>
      <c r="CJ2863" s="115"/>
      <c r="CK2863" s="115"/>
      <c r="CL2863" s="115"/>
      <c r="CM2863" s="115"/>
      <c r="CN2863" s="115"/>
      <c r="CO2863" s="115"/>
      <c r="CP2863" s="115"/>
      <c r="CQ2863" s="115"/>
      <c r="CR2863" s="115"/>
      <c r="CS2863" s="115"/>
      <c r="CT2863" s="115"/>
      <c r="CU2863" s="115"/>
      <c r="CV2863" s="115"/>
      <c r="CW2863" s="115"/>
      <c r="CX2863" s="115"/>
      <c r="CY2863" s="115"/>
      <c r="CZ2863" s="115"/>
      <c r="DA2863" s="115"/>
      <c r="DB2863" s="115"/>
      <c r="DC2863" s="115"/>
      <c r="DD2863" s="115"/>
      <c r="DE2863" s="115"/>
      <c r="DF2863" s="115"/>
      <c r="DG2863" s="115"/>
    </row>
    <row r="2864" spans="55:111" hidden="1">
      <c r="BC2864" s="115"/>
      <c r="BD2864" s="115"/>
      <c r="BE2864" s="115"/>
      <c r="BF2864" s="115"/>
      <c r="BG2864" s="115"/>
      <c r="BH2864" s="115"/>
      <c r="BI2864" s="115"/>
      <c r="BJ2864" s="115"/>
      <c r="BK2864" s="115"/>
      <c r="BL2864" s="115"/>
      <c r="BM2864" s="115"/>
      <c r="BN2864" s="115"/>
      <c r="BO2864" s="115"/>
      <c r="BP2864" s="115"/>
      <c r="BQ2864" s="115"/>
      <c r="BR2864" s="115"/>
      <c r="BS2864" s="115"/>
      <c r="BT2864" s="115"/>
      <c r="BU2864" s="115"/>
      <c r="BV2864" s="115"/>
      <c r="BW2864" s="115"/>
      <c r="BX2864" s="115"/>
      <c r="BY2864" s="115"/>
      <c r="BZ2864" s="115"/>
      <c r="CA2864" s="115"/>
      <c r="CB2864" s="115"/>
      <c r="CC2864" s="115"/>
      <c r="CD2864" s="115"/>
      <c r="CE2864" s="115"/>
      <c r="CF2864" s="115"/>
      <c r="CG2864" s="115"/>
      <c r="CH2864" s="115"/>
      <c r="CI2864" s="115"/>
      <c r="CJ2864" s="115"/>
      <c r="CK2864" s="115"/>
      <c r="CL2864" s="115"/>
      <c r="CM2864" s="115"/>
      <c r="CN2864" s="115"/>
      <c r="CO2864" s="115"/>
      <c r="CP2864" s="115"/>
      <c r="CQ2864" s="115"/>
      <c r="CR2864" s="115"/>
      <c r="CS2864" s="115"/>
      <c r="CT2864" s="115"/>
      <c r="CU2864" s="115"/>
      <c r="CV2864" s="115"/>
      <c r="CW2864" s="115"/>
      <c r="CX2864" s="115"/>
      <c r="CY2864" s="115"/>
      <c r="CZ2864" s="115"/>
      <c r="DA2864" s="115"/>
      <c r="DB2864" s="115"/>
      <c r="DC2864" s="115"/>
      <c r="DD2864" s="115"/>
      <c r="DE2864" s="115"/>
      <c r="DF2864" s="115"/>
      <c r="DG2864" s="115"/>
    </row>
    <row r="2865" spans="55:111" hidden="1">
      <c r="BC2865" s="115"/>
      <c r="BD2865" s="115"/>
      <c r="BE2865" s="115"/>
      <c r="BF2865" s="115"/>
      <c r="BG2865" s="115"/>
      <c r="BH2865" s="115"/>
      <c r="BI2865" s="115"/>
      <c r="BJ2865" s="115"/>
      <c r="BK2865" s="115"/>
      <c r="BL2865" s="115"/>
      <c r="BM2865" s="115"/>
      <c r="BN2865" s="115"/>
      <c r="BO2865" s="115"/>
      <c r="BP2865" s="115"/>
      <c r="BQ2865" s="115"/>
      <c r="BR2865" s="115"/>
      <c r="BS2865" s="115"/>
      <c r="BT2865" s="115"/>
      <c r="BU2865" s="115"/>
      <c r="BV2865" s="115"/>
      <c r="BW2865" s="115"/>
      <c r="BX2865" s="115"/>
      <c r="BY2865" s="115"/>
      <c r="BZ2865" s="115"/>
      <c r="CA2865" s="115"/>
      <c r="CB2865" s="115"/>
      <c r="CC2865" s="115"/>
      <c r="CD2865" s="115"/>
      <c r="CE2865" s="115"/>
      <c r="CF2865" s="115"/>
      <c r="CG2865" s="115"/>
      <c r="CH2865" s="115"/>
      <c r="CI2865" s="115"/>
      <c r="CJ2865" s="115"/>
      <c r="CK2865" s="115"/>
      <c r="CL2865" s="115"/>
      <c r="CM2865" s="115"/>
      <c r="CN2865" s="115"/>
      <c r="CO2865" s="115"/>
      <c r="CP2865" s="115"/>
      <c r="CQ2865" s="115"/>
      <c r="CR2865" s="115"/>
      <c r="CS2865" s="115"/>
      <c r="CT2865" s="115"/>
      <c r="CU2865" s="115"/>
      <c r="CV2865" s="115"/>
      <c r="CW2865" s="115"/>
      <c r="CX2865" s="115"/>
      <c r="CY2865" s="115"/>
      <c r="CZ2865" s="115"/>
      <c r="DA2865" s="115"/>
      <c r="DB2865" s="115"/>
      <c r="DC2865" s="115"/>
      <c r="DD2865" s="115"/>
      <c r="DE2865" s="115"/>
      <c r="DF2865" s="115"/>
      <c r="DG2865" s="115"/>
    </row>
    <row r="2866" spans="55:111" hidden="1">
      <c r="BC2866" s="115"/>
      <c r="BD2866" s="115"/>
      <c r="BE2866" s="115"/>
      <c r="BF2866" s="115"/>
      <c r="BG2866" s="115"/>
      <c r="BH2866" s="115"/>
      <c r="BI2866" s="115"/>
      <c r="BJ2866" s="115"/>
      <c r="BK2866" s="115"/>
      <c r="BL2866" s="115"/>
      <c r="BM2866" s="115"/>
      <c r="BN2866" s="115"/>
      <c r="BO2866" s="115"/>
      <c r="BP2866" s="115"/>
      <c r="BQ2866" s="115"/>
      <c r="BR2866" s="115"/>
      <c r="BS2866" s="115"/>
      <c r="BT2866" s="115"/>
      <c r="BU2866" s="115"/>
      <c r="BV2866" s="115"/>
      <c r="BW2866" s="115"/>
      <c r="BX2866" s="115"/>
      <c r="BY2866" s="115"/>
      <c r="BZ2866" s="115"/>
      <c r="CA2866" s="115"/>
      <c r="CB2866" s="115"/>
      <c r="CC2866" s="115"/>
      <c r="CD2866" s="115"/>
      <c r="CE2866" s="115"/>
      <c r="CF2866" s="115"/>
      <c r="CG2866" s="115"/>
      <c r="CH2866" s="115"/>
      <c r="CI2866" s="115"/>
      <c r="CJ2866" s="115"/>
      <c r="CK2866" s="115"/>
      <c r="CL2866" s="115"/>
      <c r="CM2866" s="115"/>
      <c r="CN2866" s="115"/>
      <c r="CO2866" s="115"/>
      <c r="CP2866" s="115"/>
      <c r="CQ2866" s="115"/>
      <c r="CR2866" s="115"/>
      <c r="CS2866" s="115"/>
      <c r="CT2866" s="115"/>
      <c r="CU2866" s="115"/>
      <c r="CV2866" s="115"/>
      <c r="CW2866" s="115"/>
      <c r="CX2866" s="115"/>
      <c r="CY2866" s="115"/>
      <c r="CZ2866" s="115"/>
      <c r="DA2866" s="115"/>
      <c r="DB2866" s="115"/>
      <c r="DC2866" s="115"/>
      <c r="DD2866" s="115"/>
      <c r="DE2866" s="115"/>
      <c r="DF2866" s="115"/>
      <c r="DG2866" s="115"/>
    </row>
    <row r="2867" spans="55:111" hidden="1">
      <c r="BC2867" s="115"/>
      <c r="BD2867" s="115"/>
      <c r="BE2867" s="115"/>
      <c r="BF2867" s="115"/>
      <c r="BG2867" s="115"/>
      <c r="BH2867" s="115"/>
      <c r="BI2867" s="115"/>
      <c r="BJ2867" s="115"/>
      <c r="BK2867" s="115"/>
      <c r="BL2867" s="115"/>
      <c r="BM2867" s="115"/>
      <c r="BN2867" s="115"/>
      <c r="BO2867" s="115"/>
      <c r="BP2867" s="115"/>
      <c r="BQ2867" s="115"/>
      <c r="BR2867" s="115"/>
      <c r="BS2867" s="115"/>
      <c r="BT2867" s="115"/>
      <c r="BU2867" s="115"/>
      <c r="BV2867" s="115"/>
      <c r="BW2867" s="115"/>
      <c r="BX2867" s="115"/>
      <c r="BY2867" s="115"/>
      <c r="BZ2867" s="115"/>
      <c r="CA2867" s="115"/>
      <c r="CB2867" s="115"/>
      <c r="CC2867" s="115"/>
      <c r="CD2867" s="115"/>
      <c r="CE2867" s="115"/>
      <c r="CF2867" s="115"/>
      <c r="CG2867" s="115"/>
      <c r="CH2867" s="115"/>
      <c r="CI2867" s="115"/>
      <c r="CJ2867" s="115"/>
      <c r="CK2867" s="115"/>
      <c r="CL2867" s="115"/>
      <c r="CM2867" s="115"/>
      <c r="CN2867" s="115"/>
      <c r="CO2867" s="115"/>
      <c r="CP2867" s="115"/>
      <c r="CQ2867" s="115"/>
      <c r="CR2867" s="115"/>
      <c r="CS2867" s="115"/>
      <c r="CT2867" s="115"/>
      <c r="CU2867" s="115"/>
      <c r="CV2867" s="115"/>
      <c r="CW2867" s="115"/>
      <c r="CX2867" s="115"/>
      <c r="CY2867" s="115"/>
      <c r="CZ2867" s="115"/>
      <c r="DA2867" s="115"/>
      <c r="DB2867" s="115"/>
      <c r="DC2867" s="115"/>
      <c r="DD2867" s="115"/>
      <c r="DE2867" s="115"/>
      <c r="DF2867" s="115"/>
      <c r="DG2867" s="115"/>
    </row>
    <row r="2868" spans="55:111" hidden="1">
      <c r="BC2868" s="115"/>
      <c r="BD2868" s="115"/>
      <c r="BE2868" s="115"/>
      <c r="BF2868" s="115"/>
      <c r="BG2868" s="115"/>
      <c r="BH2868" s="115"/>
      <c r="BI2868" s="115"/>
      <c r="BJ2868" s="115"/>
      <c r="BK2868" s="115"/>
      <c r="BL2868" s="115"/>
      <c r="BM2868" s="115"/>
      <c r="BN2868" s="115"/>
      <c r="BO2868" s="115"/>
      <c r="BP2868" s="115"/>
      <c r="BQ2868" s="115"/>
      <c r="BR2868" s="115"/>
      <c r="BS2868" s="115"/>
      <c r="BT2868" s="115"/>
      <c r="BU2868" s="115"/>
      <c r="BV2868" s="115"/>
      <c r="BW2868" s="115"/>
      <c r="BX2868" s="115"/>
      <c r="BY2868" s="115"/>
      <c r="BZ2868" s="115"/>
      <c r="CA2868" s="115"/>
      <c r="CB2868" s="115"/>
      <c r="CC2868" s="115"/>
      <c r="CD2868" s="115"/>
      <c r="CE2868" s="115"/>
      <c r="CF2868" s="115"/>
      <c r="CG2868" s="115"/>
      <c r="CH2868" s="115"/>
      <c r="CI2868" s="115"/>
      <c r="CJ2868" s="115"/>
      <c r="CK2868" s="115"/>
      <c r="CL2868" s="115"/>
      <c r="CM2868" s="115"/>
      <c r="CN2868" s="115"/>
      <c r="CO2868" s="115"/>
      <c r="CP2868" s="115"/>
      <c r="CQ2868" s="115"/>
      <c r="CR2868" s="115"/>
      <c r="CS2868" s="115"/>
      <c r="CT2868" s="115"/>
      <c r="CU2868" s="115"/>
      <c r="CV2868" s="115"/>
      <c r="CW2868" s="115"/>
      <c r="CX2868" s="115"/>
      <c r="CY2868" s="115"/>
      <c r="CZ2868" s="115"/>
      <c r="DA2868" s="115"/>
      <c r="DB2868" s="115"/>
      <c r="DC2868" s="115"/>
      <c r="DD2868" s="115"/>
      <c r="DE2868" s="115"/>
      <c r="DF2868" s="115"/>
      <c r="DG2868" s="115"/>
    </row>
    <row r="2869" spans="55:111" hidden="1">
      <c r="BC2869" s="115"/>
      <c r="BD2869" s="115"/>
      <c r="BE2869" s="115"/>
      <c r="BF2869" s="115"/>
      <c r="BG2869" s="115"/>
      <c r="BH2869" s="115"/>
      <c r="BI2869" s="115"/>
      <c r="BJ2869" s="115"/>
      <c r="BK2869" s="115"/>
      <c r="BL2869" s="115"/>
      <c r="BM2869" s="115"/>
      <c r="BN2869" s="115"/>
      <c r="BO2869" s="115"/>
      <c r="BP2869" s="115"/>
      <c r="BQ2869" s="115"/>
      <c r="BR2869" s="115"/>
      <c r="BS2869" s="115"/>
      <c r="BT2869" s="115"/>
      <c r="BU2869" s="115"/>
      <c r="BV2869" s="115"/>
      <c r="BW2869" s="115"/>
      <c r="BX2869" s="115"/>
      <c r="BY2869" s="115"/>
      <c r="BZ2869" s="115"/>
      <c r="CA2869" s="115"/>
      <c r="CB2869" s="115"/>
      <c r="CC2869" s="115"/>
      <c r="CD2869" s="115"/>
      <c r="CE2869" s="115"/>
      <c r="CF2869" s="115"/>
      <c r="CG2869" s="115"/>
      <c r="CH2869" s="115"/>
      <c r="CI2869" s="115"/>
      <c r="CJ2869" s="115"/>
      <c r="CK2869" s="115"/>
      <c r="CL2869" s="115"/>
      <c r="CM2869" s="115"/>
      <c r="CN2869" s="115"/>
      <c r="CO2869" s="115"/>
      <c r="CP2869" s="115"/>
      <c r="CQ2869" s="115"/>
      <c r="CR2869" s="115"/>
      <c r="CS2869" s="115"/>
      <c r="CT2869" s="115"/>
      <c r="CU2869" s="115"/>
      <c r="CV2869" s="115"/>
      <c r="CW2869" s="115"/>
      <c r="CX2869" s="115"/>
      <c r="CY2869" s="115"/>
      <c r="CZ2869" s="115"/>
      <c r="DA2869" s="115"/>
      <c r="DB2869" s="115"/>
      <c r="DC2869" s="115"/>
      <c r="DD2869" s="115"/>
      <c r="DE2869" s="115"/>
      <c r="DF2869" s="115"/>
      <c r="DG2869" s="115"/>
    </row>
    <row r="2870" spans="55:111" hidden="1">
      <c r="BC2870" s="115"/>
      <c r="BD2870" s="115"/>
      <c r="BE2870" s="115"/>
      <c r="BF2870" s="115"/>
      <c r="BG2870" s="115"/>
      <c r="BH2870" s="115"/>
      <c r="BI2870" s="115"/>
      <c r="BJ2870" s="115"/>
      <c r="BK2870" s="115"/>
      <c r="BL2870" s="115"/>
      <c r="BM2870" s="115"/>
      <c r="BN2870" s="115"/>
      <c r="BO2870" s="115"/>
      <c r="BP2870" s="115"/>
      <c r="BQ2870" s="115"/>
      <c r="BR2870" s="115"/>
      <c r="BS2870" s="115"/>
      <c r="BT2870" s="115"/>
      <c r="BU2870" s="115"/>
      <c r="BV2870" s="115"/>
      <c r="BW2870" s="115"/>
      <c r="BX2870" s="115"/>
      <c r="BY2870" s="115"/>
      <c r="BZ2870" s="115"/>
      <c r="CA2870" s="115"/>
      <c r="CB2870" s="115"/>
      <c r="CC2870" s="115"/>
      <c r="CD2870" s="115"/>
      <c r="CE2870" s="115"/>
      <c r="CF2870" s="115"/>
      <c r="CG2870" s="115"/>
      <c r="CH2870" s="115"/>
      <c r="CI2870" s="115"/>
      <c r="CJ2870" s="115"/>
      <c r="CK2870" s="115"/>
      <c r="CL2870" s="115"/>
      <c r="CM2870" s="115"/>
      <c r="CN2870" s="115"/>
      <c r="CO2870" s="115"/>
      <c r="CP2870" s="115"/>
      <c r="CQ2870" s="115"/>
      <c r="CR2870" s="115"/>
      <c r="CS2870" s="115"/>
      <c r="CT2870" s="115"/>
      <c r="CU2870" s="115"/>
      <c r="CV2870" s="115"/>
      <c r="CW2870" s="115"/>
      <c r="CX2870" s="115"/>
      <c r="CY2870" s="115"/>
      <c r="CZ2870" s="115"/>
      <c r="DA2870" s="115"/>
      <c r="DB2870" s="115"/>
      <c r="DC2870" s="115"/>
      <c r="DD2870" s="115"/>
      <c r="DE2870" s="115"/>
      <c r="DF2870" s="115"/>
      <c r="DG2870" s="115"/>
    </row>
    <row r="2871" spans="55:111" hidden="1">
      <c r="BC2871" s="115"/>
      <c r="BD2871" s="115"/>
      <c r="BE2871" s="115"/>
      <c r="BF2871" s="115"/>
      <c r="BG2871" s="115"/>
      <c r="BH2871" s="115"/>
      <c r="BI2871" s="115"/>
      <c r="BJ2871" s="115"/>
      <c r="BK2871" s="115"/>
      <c r="BL2871" s="115"/>
      <c r="BM2871" s="115"/>
      <c r="BN2871" s="115"/>
      <c r="BO2871" s="115"/>
      <c r="BP2871" s="115"/>
      <c r="BQ2871" s="115"/>
      <c r="BR2871" s="115"/>
      <c r="BS2871" s="115"/>
      <c r="BT2871" s="115"/>
      <c r="BU2871" s="115"/>
      <c r="BV2871" s="115"/>
      <c r="BW2871" s="115"/>
      <c r="BX2871" s="115"/>
      <c r="BY2871" s="115"/>
      <c r="BZ2871" s="115"/>
      <c r="CA2871" s="115"/>
      <c r="CB2871" s="115"/>
      <c r="CC2871" s="115"/>
      <c r="CD2871" s="115"/>
      <c r="CE2871" s="115"/>
      <c r="CF2871" s="115"/>
      <c r="CG2871" s="115"/>
      <c r="CH2871" s="115"/>
      <c r="CI2871" s="115"/>
      <c r="CJ2871" s="115"/>
      <c r="CK2871" s="115"/>
      <c r="CL2871" s="115"/>
      <c r="CM2871" s="115"/>
      <c r="CN2871" s="115"/>
      <c r="CO2871" s="115"/>
      <c r="CP2871" s="115"/>
      <c r="CQ2871" s="115"/>
      <c r="CR2871" s="115"/>
      <c r="CS2871" s="115"/>
      <c r="CT2871" s="115"/>
      <c r="CU2871" s="115"/>
      <c r="CV2871" s="115"/>
      <c r="CW2871" s="115"/>
      <c r="CX2871" s="115"/>
      <c r="CY2871" s="115"/>
      <c r="CZ2871" s="115"/>
      <c r="DA2871" s="115"/>
      <c r="DB2871" s="115"/>
      <c r="DC2871" s="115"/>
      <c r="DD2871" s="115"/>
      <c r="DE2871" s="115"/>
      <c r="DF2871" s="115"/>
      <c r="DG2871" s="115"/>
    </row>
    <row r="2872" spans="55:111" hidden="1">
      <c r="BC2872" s="115"/>
      <c r="BD2872" s="115"/>
      <c r="BE2872" s="115"/>
      <c r="BF2872" s="115"/>
      <c r="BG2872" s="115"/>
      <c r="BH2872" s="115"/>
      <c r="BI2872" s="115"/>
      <c r="BJ2872" s="115"/>
      <c r="BK2872" s="115"/>
      <c r="BL2872" s="115"/>
      <c r="BM2872" s="115"/>
      <c r="BN2872" s="115"/>
      <c r="BO2872" s="115"/>
      <c r="BP2872" s="115"/>
      <c r="BQ2872" s="115"/>
      <c r="BR2872" s="115"/>
      <c r="BS2872" s="115"/>
      <c r="BT2872" s="115"/>
      <c r="BU2872" s="115"/>
      <c r="BV2872" s="115"/>
      <c r="BW2872" s="115"/>
      <c r="BX2872" s="115"/>
      <c r="BY2872" s="115"/>
      <c r="BZ2872" s="115"/>
      <c r="CA2872" s="115"/>
      <c r="CB2872" s="115"/>
      <c r="CC2872" s="115"/>
      <c r="CD2872" s="115"/>
      <c r="CE2872" s="115"/>
      <c r="CF2872" s="115"/>
      <c r="CG2872" s="115"/>
      <c r="CH2872" s="115"/>
      <c r="CI2872" s="115"/>
      <c r="CJ2872" s="115"/>
      <c r="CK2872" s="115"/>
      <c r="CL2872" s="115"/>
      <c r="CM2872" s="115"/>
      <c r="CN2872" s="115"/>
      <c r="CO2872" s="115"/>
      <c r="CP2872" s="115"/>
      <c r="CQ2872" s="115"/>
      <c r="CR2872" s="115"/>
      <c r="CS2872" s="115"/>
      <c r="CT2872" s="115"/>
      <c r="CU2872" s="115"/>
      <c r="CV2872" s="115"/>
      <c r="CW2872" s="115"/>
      <c r="CX2872" s="115"/>
      <c r="CY2872" s="115"/>
      <c r="CZ2872" s="115"/>
      <c r="DA2872" s="115"/>
      <c r="DB2872" s="115"/>
      <c r="DC2872" s="115"/>
      <c r="DD2872" s="115"/>
      <c r="DE2872" s="115"/>
      <c r="DF2872" s="115"/>
      <c r="DG2872" s="115"/>
    </row>
    <row r="2873" spans="55:111" hidden="1">
      <c r="BC2873" s="115"/>
      <c r="BD2873" s="115"/>
      <c r="BE2873" s="115"/>
      <c r="BF2873" s="115"/>
      <c r="BG2873" s="115"/>
      <c r="BH2873" s="115"/>
      <c r="BI2873" s="115"/>
      <c r="BJ2873" s="115"/>
      <c r="BK2873" s="115"/>
      <c r="BL2873" s="115"/>
      <c r="BM2873" s="115"/>
      <c r="BN2873" s="115"/>
      <c r="BO2873" s="115"/>
      <c r="BP2873" s="115"/>
      <c r="BQ2873" s="115"/>
      <c r="BR2873" s="115"/>
      <c r="BS2873" s="115"/>
      <c r="BT2873" s="115"/>
      <c r="BU2873" s="115"/>
      <c r="BV2873" s="115"/>
      <c r="BW2873" s="115"/>
      <c r="BX2873" s="115"/>
      <c r="BY2873" s="115"/>
      <c r="BZ2873" s="115"/>
      <c r="CA2873" s="115"/>
      <c r="CB2873" s="115"/>
      <c r="CC2873" s="115"/>
      <c r="CD2873" s="115"/>
      <c r="CE2873" s="115"/>
      <c r="CF2873" s="115"/>
      <c r="CG2873" s="115"/>
      <c r="CH2873" s="115"/>
      <c r="CI2873" s="115"/>
      <c r="CJ2873" s="115"/>
      <c r="CK2873" s="115"/>
      <c r="CL2873" s="115"/>
      <c r="CM2873" s="115"/>
      <c r="CN2873" s="115"/>
      <c r="CO2873" s="115"/>
      <c r="CP2873" s="115"/>
      <c r="CQ2873" s="115"/>
      <c r="CR2873" s="115"/>
      <c r="CS2873" s="115"/>
      <c r="CT2873" s="115"/>
      <c r="CU2873" s="115"/>
      <c r="CV2873" s="115"/>
      <c r="CW2873" s="115"/>
      <c r="CX2873" s="115"/>
      <c r="CY2873" s="115"/>
      <c r="CZ2873" s="115"/>
      <c r="DA2873" s="115"/>
      <c r="DB2873" s="115"/>
      <c r="DC2873" s="115"/>
      <c r="DD2873" s="115"/>
      <c r="DE2873" s="115"/>
      <c r="DF2873" s="115"/>
      <c r="DG2873" s="115"/>
    </row>
    <row r="2874" spans="55:111" hidden="1">
      <c r="BC2874" s="115"/>
      <c r="BD2874" s="115"/>
      <c r="BE2874" s="115"/>
      <c r="BF2874" s="115"/>
      <c r="BG2874" s="115"/>
      <c r="BH2874" s="115"/>
      <c r="BI2874" s="115"/>
      <c r="BJ2874" s="115"/>
      <c r="BK2874" s="115"/>
      <c r="BL2874" s="115"/>
      <c r="BM2874" s="115"/>
      <c r="BN2874" s="115"/>
      <c r="BO2874" s="115"/>
      <c r="BP2874" s="115"/>
      <c r="BQ2874" s="115"/>
      <c r="BR2874" s="115"/>
      <c r="BS2874" s="115"/>
      <c r="BT2874" s="115"/>
      <c r="BU2874" s="115"/>
      <c r="BV2874" s="115"/>
      <c r="BW2874" s="115"/>
      <c r="BX2874" s="115"/>
      <c r="BY2874" s="115"/>
      <c r="BZ2874" s="115"/>
      <c r="CA2874" s="115"/>
      <c r="CB2874" s="115"/>
      <c r="CC2874" s="115"/>
      <c r="CD2874" s="115"/>
      <c r="CE2874" s="115"/>
      <c r="CF2874" s="115"/>
      <c r="CG2874" s="115"/>
      <c r="CH2874" s="115"/>
      <c r="CI2874" s="115"/>
      <c r="CJ2874" s="115"/>
      <c r="CK2874" s="115"/>
      <c r="CL2874" s="115"/>
      <c r="CM2874" s="115"/>
      <c r="CN2874" s="115"/>
      <c r="CO2874" s="115"/>
      <c r="CP2874" s="115"/>
      <c r="CQ2874" s="115"/>
      <c r="CR2874" s="115"/>
      <c r="CS2874" s="115"/>
      <c r="CT2874" s="115"/>
      <c r="CU2874" s="115"/>
      <c r="CV2874" s="115"/>
      <c r="CW2874" s="115"/>
      <c r="CX2874" s="115"/>
      <c r="CY2874" s="115"/>
      <c r="CZ2874" s="115"/>
      <c r="DA2874" s="115"/>
      <c r="DB2874" s="115"/>
      <c r="DC2874" s="115"/>
      <c r="DD2874" s="115"/>
      <c r="DE2874" s="115"/>
      <c r="DF2874" s="115"/>
      <c r="DG2874" s="115"/>
    </row>
    <row r="2875" spans="55:111" hidden="1">
      <c r="BC2875" s="115"/>
      <c r="BD2875" s="115"/>
      <c r="BE2875" s="115"/>
      <c r="BF2875" s="115"/>
      <c r="BG2875" s="115"/>
      <c r="BH2875" s="115"/>
      <c r="BI2875" s="115"/>
      <c r="BJ2875" s="115"/>
      <c r="BK2875" s="115"/>
      <c r="BL2875" s="115"/>
      <c r="BM2875" s="115"/>
      <c r="BN2875" s="115"/>
      <c r="BO2875" s="115"/>
      <c r="BP2875" s="115"/>
      <c r="BQ2875" s="115"/>
      <c r="BR2875" s="115"/>
      <c r="BS2875" s="115"/>
      <c r="BT2875" s="115"/>
      <c r="BU2875" s="115"/>
      <c r="BV2875" s="115"/>
      <c r="BW2875" s="115"/>
      <c r="BX2875" s="115"/>
      <c r="BY2875" s="115"/>
      <c r="BZ2875" s="115"/>
      <c r="CA2875" s="115"/>
      <c r="CB2875" s="115"/>
      <c r="CC2875" s="115"/>
      <c r="CD2875" s="115"/>
      <c r="CE2875" s="115"/>
      <c r="CF2875" s="115"/>
      <c r="CG2875" s="115"/>
      <c r="CH2875" s="115"/>
      <c r="CI2875" s="115"/>
      <c r="CJ2875" s="115"/>
      <c r="CK2875" s="115"/>
      <c r="CL2875" s="115"/>
      <c r="CM2875" s="115"/>
      <c r="CN2875" s="115"/>
      <c r="CO2875" s="115"/>
      <c r="CP2875" s="115"/>
      <c r="CQ2875" s="115"/>
      <c r="CR2875" s="115"/>
      <c r="CS2875" s="115"/>
      <c r="CT2875" s="115"/>
      <c r="CU2875" s="115"/>
      <c r="CV2875" s="115"/>
      <c r="CW2875" s="115"/>
      <c r="CX2875" s="115"/>
      <c r="CY2875" s="115"/>
      <c r="CZ2875" s="115"/>
      <c r="DA2875" s="115"/>
      <c r="DB2875" s="115"/>
      <c r="DC2875" s="115"/>
      <c r="DD2875" s="115"/>
      <c r="DE2875" s="115"/>
      <c r="DF2875" s="115"/>
      <c r="DG2875" s="115"/>
    </row>
    <row r="2876" spans="55:111" hidden="1">
      <c r="BC2876" s="115"/>
      <c r="BD2876" s="115"/>
      <c r="BE2876" s="115"/>
      <c r="BF2876" s="115"/>
      <c r="BG2876" s="115"/>
      <c r="BH2876" s="115"/>
      <c r="BI2876" s="115"/>
      <c r="BJ2876" s="115"/>
      <c r="BK2876" s="115"/>
      <c r="BL2876" s="115"/>
      <c r="BM2876" s="115"/>
      <c r="BN2876" s="115"/>
      <c r="BO2876" s="115"/>
      <c r="BP2876" s="115"/>
      <c r="BQ2876" s="115"/>
      <c r="BR2876" s="115"/>
      <c r="BS2876" s="115"/>
      <c r="BT2876" s="115"/>
      <c r="BU2876" s="115"/>
      <c r="BV2876" s="115"/>
      <c r="BW2876" s="115"/>
      <c r="BX2876" s="115"/>
      <c r="BY2876" s="115"/>
      <c r="BZ2876" s="115"/>
      <c r="CA2876" s="115"/>
      <c r="CB2876" s="115"/>
      <c r="CC2876" s="115"/>
      <c r="CD2876" s="115"/>
      <c r="CE2876" s="115"/>
      <c r="CF2876" s="115"/>
      <c r="CG2876" s="115"/>
      <c r="CH2876" s="115"/>
      <c r="CI2876" s="115"/>
      <c r="CJ2876" s="115"/>
      <c r="CK2876" s="115"/>
      <c r="CL2876" s="115"/>
      <c r="CM2876" s="115"/>
      <c r="CN2876" s="115"/>
      <c r="CO2876" s="115"/>
      <c r="CP2876" s="115"/>
      <c r="CQ2876" s="115"/>
      <c r="CR2876" s="115"/>
      <c r="CS2876" s="115"/>
      <c r="CT2876" s="115"/>
      <c r="CU2876" s="115"/>
      <c r="CV2876" s="115"/>
      <c r="CW2876" s="115"/>
      <c r="CX2876" s="115"/>
      <c r="CY2876" s="115"/>
      <c r="CZ2876" s="115"/>
      <c r="DA2876" s="115"/>
      <c r="DB2876" s="115"/>
      <c r="DC2876" s="115"/>
      <c r="DD2876" s="115"/>
      <c r="DE2876" s="115"/>
      <c r="DF2876" s="115"/>
      <c r="DG2876" s="115"/>
    </row>
    <row r="2877" spans="55:111" hidden="1">
      <c r="BC2877" s="115"/>
      <c r="BD2877" s="115"/>
      <c r="BE2877" s="115"/>
      <c r="BF2877" s="115"/>
      <c r="BG2877" s="115"/>
      <c r="BH2877" s="115"/>
      <c r="BI2877" s="115"/>
      <c r="BJ2877" s="115"/>
      <c r="BK2877" s="115"/>
      <c r="BL2877" s="115"/>
      <c r="BM2877" s="115"/>
      <c r="BN2877" s="115"/>
      <c r="BO2877" s="115"/>
      <c r="BP2877" s="115"/>
      <c r="BQ2877" s="115"/>
      <c r="BR2877" s="115"/>
      <c r="BS2877" s="115"/>
      <c r="BT2877" s="115"/>
      <c r="BU2877" s="115"/>
      <c r="BV2877" s="115"/>
      <c r="BW2877" s="115"/>
      <c r="BX2877" s="115"/>
      <c r="BY2877" s="115"/>
      <c r="BZ2877" s="115"/>
      <c r="CA2877" s="115"/>
      <c r="CB2877" s="115"/>
      <c r="CC2877" s="115"/>
      <c r="CD2877" s="115"/>
      <c r="CE2877" s="115"/>
      <c r="CF2877" s="115"/>
      <c r="CG2877" s="115"/>
      <c r="CH2877" s="115"/>
      <c r="CI2877" s="115"/>
      <c r="CJ2877" s="115"/>
      <c r="CK2877" s="115"/>
      <c r="CL2877" s="115"/>
      <c r="CM2877" s="115"/>
      <c r="CN2877" s="115"/>
      <c r="CO2877" s="115"/>
      <c r="CP2877" s="115"/>
      <c r="CQ2877" s="115"/>
      <c r="CR2877" s="115"/>
      <c r="CS2877" s="115"/>
      <c r="CT2877" s="115"/>
      <c r="CU2877" s="115"/>
      <c r="CV2877" s="115"/>
      <c r="CW2877" s="115"/>
      <c r="CX2877" s="115"/>
      <c r="CY2877" s="115"/>
      <c r="CZ2877" s="115"/>
      <c r="DA2877" s="115"/>
      <c r="DB2877" s="115"/>
      <c r="DC2877" s="115"/>
      <c r="DD2877" s="115"/>
      <c r="DE2877" s="115"/>
      <c r="DF2877" s="115"/>
      <c r="DG2877" s="115"/>
    </row>
    <row r="2878" spans="55:111" hidden="1">
      <c r="BC2878" s="115"/>
      <c r="BD2878" s="115"/>
      <c r="BE2878" s="115"/>
      <c r="BF2878" s="115"/>
      <c r="BG2878" s="115"/>
      <c r="BH2878" s="115"/>
      <c r="BI2878" s="115"/>
      <c r="BJ2878" s="115"/>
      <c r="BK2878" s="115"/>
      <c r="BL2878" s="115"/>
      <c r="BM2878" s="115"/>
      <c r="BN2878" s="115"/>
      <c r="BO2878" s="115"/>
      <c r="BP2878" s="115"/>
      <c r="BQ2878" s="115"/>
      <c r="BR2878" s="115"/>
      <c r="BS2878" s="115"/>
      <c r="BT2878" s="115"/>
      <c r="BU2878" s="115"/>
      <c r="BV2878" s="115"/>
      <c r="BW2878" s="115"/>
      <c r="BX2878" s="115"/>
      <c r="BY2878" s="115"/>
      <c r="BZ2878" s="115"/>
      <c r="CA2878" s="115"/>
      <c r="CB2878" s="115"/>
      <c r="CC2878" s="115"/>
      <c r="CD2878" s="115"/>
      <c r="CE2878" s="115"/>
      <c r="CF2878" s="115"/>
      <c r="CG2878" s="115"/>
      <c r="CH2878" s="115"/>
      <c r="CI2878" s="115"/>
      <c r="CJ2878" s="115"/>
      <c r="CK2878" s="115"/>
      <c r="CL2878" s="115"/>
      <c r="CM2878" s="115"/>
      <c r="CN2878" s="115"/>
      <c r="CO2878" s="115"/>
      <c r="CP2878" s="115"/>
      <c r="CQ2878" s="115"/>
      <c r="CR2878" s="115"/>
      <c r="CS2878" s="115"/>
      <c r="CT2878" s="115"/>
      <c r="CU2878" s="115"/>
      <c r="CV2878" s="115"/>
      <c r="CW2878" s="115"/>
      <c r="CX2878" s="115"/>
      <c r="CY2878" s="115"/>
      <c r="CZ2878" s="115"/>
      <c r="DA2878" s="115"/>
      <c r="DB2878" s="115"/>
      <c r="DC2878" s="115"/>
      <c r="DD2878" s="115"/>
      <c r="DE2878" s="115"/>
      <c r="DF2878" s="115"/>
      <c r="DG2878" s="115"/>
    </row>
    <row r="2879" spans="55:111" hidden="1">
      <c r="BC2879" s="115"/>
      <c r="BD2879" s="115"/>
      <c r="BE2879" s="115"/>
      <c r="BF2879" s="115"/>
      <c r="BG2879" s="115"/>
      <c r="BH2879" s="115"/>
      <c r="BI2879" s="115"/>
      <c r="BJ2879" s="115"/>
      <c r="BK2879" s="115"/>
      <c r="BL2879" s="115"/>
      <c r="BM2879" s="115"/>
      <c r="BN2879" s="115"/>
      <c r="BO2879" s="115"/>
      <c r="BP2879" s="115"/>
      <c r="BQ2879" s="115"/>
      <c r="BR2879" s="115"/>
      <c r="BS2879" s="115"/>
      <c r="BT2879" s="115"/>
      <c r="BU2879" s="115"/>
      <c r="BV2879" s="115"/>
      <c r="BW2879" s="115"/>
      <c r="BX2879" s="115"/>
      <c r="BY2879" s="115"/>
      <c r="BZ2879" s="115"/>
      <c r="CA2879" s="115"/>
      <c r="CB2879" s="115"/>
      <c r="CC2879" s="115"/>
      <c r="CD2879" s="115"/>
      <c r="CE2879" s="115"/>
      <c r="CF2879" s="115"/>
      <c r="CG2879" s="115"/>
      <c r="CH2879" s="115"/>
      <c r="CI2879" s="115"/>
      <c r="CJ2879" s="115"/>
      <c r="CK2879" s="115"/>
      <c r="CL2879" s="115"/>
      <c r="CM2879" s="115"/>
      <c r="CN2879" s="115"/>
      <c r="CO2879" s="115"/>
      <c r="CP2879" s="115"/>
      <c r="CQ2879" s="115"/>
      <c r="CR2879" s="115"/>
      <c r="CS2879" s="115"/>
      <c r="CT2879" s="115"/>
      <c r="CU2879" s="115"/>
      <c r="CV2879" s="115"/>
      <c r="CW2879" s="115"/>
      <c r="CX2879" s="115"/>
      <c r="CY2879" s="115"/>
      <c r="CZ2879" s="115"/>
      <c r="DA2879" s="115"/>
      <c r="DB2879" s="115"/>
      <c r="DC2879" s="115"/>
      <c r="DD2879" s="115"/>
      <c r="DE2879" s="115"/>
      <c r="DF2879" s="115"/>
      <c r="DG2879" s="115"/>
    </row>
    <row r="2880" spans="55:111" hidden="1">
      <c r="BC2880" s="115"/>
      <c r="BD2880" s="115"/>
      <c r="BE2880" s="115"/>
      <c r="BF2880" s="115"/>
      <c r="BG2880" s="115"/>
      <c r="BH2880" s="115"/>
      <c r="BI2880" s="115"/>
      <c r="BJ2880" s="115"/>
      <c r="BK2880" s="115"/>
      <c r="BL2880" s="115"/>
      <c r="BM2880" s="115"/>
      <c r="BN2880" s="115"/>
      <c r="BO2880" s="115"/>
      <c r="BP2880" s="115"/>
      <c r="BQ2880" s="115"/>
      <c r="BR2880" s="115"/>
      <c r="BS2880" s="115"/>
      <c r="BT2880" s="115"/>
      <c r="BU2880" s="115"/>
      <c r="BV2880" s="115"/>
      <c r="BW2880" s="115"/>
      <c r="BX2880" s="115"/>
      <c r="BY2880" s="115"/>
      <c r="BZ2880" s="115"/>
      <c r="CA2880" s="115"/>
      <c r="CB2880" s="115"/>
      <c r="CC2880" s="115"/>
      <c r="CD2880" s="115"/>
      <c r="CE2880" s="115"/>
      <c r="CF2880" s="115"/>
      <c r="CG2880" s="115"/>
      <c r="CH2880" s="115"/>
      <c r="CI2880" s="115"/>
      <c r="CJ2880" s="115"/>
      <c r="CK2880" s="115"/>
      <c r="CL2880" s="115"/>
      <c r="CM2880" s="115"/>
      <c r="CN2880" s="115"/>
      <c r="CO2880" s="115"/>
      <c r="CP2880" s="115"/>
      <c r="CQ2880" s="115"/>
      <c r="CR2880" s="115"/>
      <c r="CS2880" s="115"/>
      <c r="CT2880" s="115"/>
      <c r="CU2880" s="115"/>
      <c r="CV2880" s="115"/>
      <c r="CW2880" s="115"/>
      <c r="CX2880" s="115"/>
      <c r="CY2880" s="115"/>
      <c r="CZ2880" s="115"/>
      <c r="DA2880" s="115"/>
      <c r="DB2880" s="115"/>
      <c r="DC2880" s="115"/>
      <c r="DD2880" s="115"/>
      <c r="DE2880" s="115"/>
      <c r="DF2880" s="115"/>
      <c r="DG2880" s="115"/>
    </row>
    <row r="2881" spans="55:111" hidden="1">
      <c r="BC2881" s="115"/>
      <c r="BD2881" s="115"/>
      <c r="BE2881" s="115"/>
      <c r="BF2881" s="115"/>
      <c r="BG2881" s="115"/>
      <c r="BH2881" s="115"/>
      <c r="BI2881" s="115"/>
      <c r="BJ2881" s="115"/>
      <c r="BK2881" s="115"/>
      <c r="BL2881" s="115"/>
      <c r="BM2881" s="115"/>
      <c r="BN2881" s="115"/>
      <c r="BO2881" s="115"/>
      <c r="BP2881" s="115"/>
      <c r="BQ2881" s="115"/>
      <c r="BR2881" s="115"/>
      <c r="BS2881" s="115"/>
      <c r="BT2881" s="115"/>
      <c r="BU2881" s="115"/>
      <c r="BV2881" s="115"/>
      <c r="BW2881" s="115"/>
      <c r="BX2881" s="115"/>
      <c r="BY2881" s="115"/>
      <c r="BZ2881" s="115"/>
      <c r="CA2881" s="115"/>
      <c r="CB2881" s="115"/>
      <c r="CC2881" s="115"/>
      <c r="CD2881" s="115"/>
      <c r="CE2881" s="115"/>
      <c r="CF2881" s="115"/>
      <c r="CG2881" s="115"/>
      <c r="CH2881" s="115"/>
      <c r="CI2881" s="115"/>
      <c r="CJ2881" s="115"/>
      <c r="CK2881" s="115"/>
      <c r="CL2881" s="115"/>
      <c r="CM2881" s="115"/>
      <c r="CN2881" s="115"/>
      <c r="CO2881" s="115"/>
      <c r="CP2881" s="115"/>
      <c r="CQ2881" s="115"/>
      <c r="CR2881" s="115"/>
      <c r="CS2881" s="115"/>
      <c r="CT2881" s="115"/>
      <c r="CU2881" s="115"/>
      <c r="CV2881" s="115"/>
      <c r="CW2881" s="115"/>
      <c r="CX2881" s="115"/>
      <c r="CY2881" s="115"/>
      <c r="CZ2881" s="115"/>
      <c r="DA2881" s="115"/>
      <c r="DB2881" s="115"/>
      <c r="DC2881" s="115"/>
      <c r="DD2881" s="115"/>
      <c r="DE2881" s="115"/>
      <c r="DF2881" s="115"/>
      <c r="DG2881" s="115"/>
    </row>
    <row r="2882" spans="55:111" hidden="1">
      <c r="BC2882" s="115"/>
      <c r="BD2882" s="115"/>
      <c r="BE2882" s="115"/>
      <c r="BF2882" s="115"/>
      <c r="BG2882" s="115"/>
      <c r="BH2882" s="115"/>
      <c r="BI2882" s="115"/>
      <c r="BJ2882" s="115"/>
      <c r="BK2882" s="115"/>
      <c r="BL2882" s="115"/>
      <c r="BM2882" s="115"/>
      <c r="BN2882" s="115"/>
      <c r="BO2882" s="115"/>
      <c r="BP2882" s="115"/>
      <c r="BQ2882" s="115"/>
      <c r="BR2882" s="115"/>
      <c r="BS2882" s="115"/>
      <c r="BT2882" s="115"/>
      <c r="BU2882" s="115"/>
      <c r="BV2882" s="115"/>
      <c r="BW2882" s="115"/>
      <c r="BX2882" s="115"/>
      <c r="BY2882" s="115"/>
      <c r="BZ2882" s="115"/>
      <c r="CA2882" s="115"/>
      <c r="CB2882" s="115"/>
      <c r="CC2882" s="115"/>
      <c r="CD2882" s="115"/>
      <c r="CE2882" s="115"/>
      <c r="CF2882" s="115"/>
      <c r="CG2882" s="115"/>
      <c r="CH2882" s="115"/>
      <c r="CI2882" s="115"/>
      <c r="CJ2882" s="115"/>
      <c r="CK2882" s="115"/>
      <c r="CL2882" s="115"/>
      <c r="CM2882" s="115"/>
      <c r="CN2882" s="115"/>
      <c r="CO2882" s="115"/>
      <c r="CP2882" s="115"/>
      <c r="CQ2882" s="115"/>
      <c r="CR2882" s="115"/>
      <c r="CS2882" s="115"/>
      <c r="CT2882" s="115"/>
      <c r="CU2882" s="115"/>
      <c r="CV2882" s="115"/>
      <c r="CW2882" s="115"/>
      <c r="CX2882" s="115"/>
      <c r="CY2882" s="115"/>
      <c r="CZ2882" s="115"/>
      <c r="DA2882" s="115"/>
      <c r="DB2882" s="115"/>
      <c r="DC2882" s="115"/>
      <c r="DD2882" s="115"/>
      <c r="DE2882" s="115"/>
      <c r="DF2882" s="115"/>
      <c r="DG2882" s="115"/>
    </row>
    <row r="2883" spans="55:111" hidden="1">
      <c r="BC2883" s="115"/>
      <c r="BD2883" s="115"/>
      <c r="BE2883" s="115"/>
      <c r="BF2883" s="115"/>
      <c r="BG2883" s="115"/>
      <c r="BH2883" s="115"/>
      <c r="BI2883" s="115"/>
      <c r="BJ2883" s="115"/>
      <c r="BK2883" s="115"/>
      <c r="BL2883" s="115"/>
      <c r="BM2883" s="115"/>
      <c r="BN2883" s="115"/>
      <c r="BO2883" s="115"/>
      <c r="BP2883" s="115"/>
      <c r="BQ2883" s="115"/>
      <c r="BR2883" s="115"/>
      <c r="BS2883" s="115"/>
      <c r="BT2883" s="115"/>
      <c r="BU2883" s="115"/>
      <c r="BV2883" s="115"/>
      <c r="BW2883" s="115"/>
      <c r="BX2883" s="115"/>
      <c r="BY2883" s="115"/>
      <c r="BZ2883" s="115"/>
      <c r="CA2883" s="115"/>
      <c r="CB2883" s="115"/>
      <c r="CC2883" s="115"/>
      <c r="CD2883" s="115"/>
      <c r="CE2883" s="115"/>
      <c r="CF2883" s="115"/>
      <c r="CG2883" s="115"/>
      <c r="CH2883" s="115"/>
      <c r="CI2883" s="115"/>
      <c r="CJ2883" s="115"/>
      <c r="CK2883" s="115"/>
      <c r="CL2883" s="115"/>
      <c r="CM2883" s="115"/>
      <c r="CN2883" s="115"/>
      <c r="CO2883" s="115"/>
      <c r="CP2883" s="115"/>
      <c r="CQ2883" s="115"/>
      <c r="CR2883" s="115"/>
      <c r="CS2883" s="115"/>
      <c r="CT2883" s="115"/>
      <c r="CU2883" s="115"/>
      <c r="CV2883" s="115"/>
      <c r="CW2883" s="115"/>
      <c r="CX2883" s="115"/>
      <c r="CY2883" s="115"/>
      <c r="CZ2883" s="115"/>
      <c r="DA2883" s="115"/>
      <c r="DB2883" s="115"/>
      <c r="DC2883" s="115"/>
      <c r="DD2883" s="115"/>
      <c r="DE2883" s="115"/>
      <c r="DF2883" s="115"/>
      <c r="DG2883" s="115"/>
    </row>
    <row r="2884" spans="55:111" hidden="1">
      <c r="BC2884" s="115"/>
      <c r="BD2884" s="115"/>
      <c r="BE2884" s="115"/>
      <c r="BF2884" s="115"/>
      <c r="BG2884" s="115"/>
      <c r="BH2884" s="115"/>
      <c r="BI2884" s="115"/>
      <c r="BJ2884" s="115"/>
      <c r="BK2884" s="115"/>
      <c r="BL2884" s="115"/>
      <c r="BM2884" s="115"/>
      <c r="BN2884" s="115"/>
      <c r="BO2884" s="115"/>
      <c r="BP2884" s="115"/>
      <c r="BQ2884" s="115"/>
      <c r="BR2884" s="115"/>
      <c r="BS2884" s="115"/>
      <c r="BT2884" s="115"/>
      <c r="BU2884" s="115"/>
      <c r="BV2884" s="115"/>
      <c r="BW2884" s="115"/>
      <c r="BX2884" s="115"/>
      <c r="BY2884" s="115"/>
      <c r="BZ2884" s="115"/>
      <c r="CA2884" s="115"/>
      <c r="CB2884" s="115"/>
      <c r="CC2884" s="115"/>
      <c r="CD2884" s="115"/>
      <c r="CE2884" s="115"/>
      <c r="CF2884" s="115"/>
      <c r="CG2884" s="115"/>
      <c r="CH2884" s="115"/>
      <c r="CI2884" s="115"/>
      <c r="CJ2884" s="115"/>
      <c r="CK2884" s="115"/>
      <c r="CL2884" s="115"/>
      <c r="CM2884" s="115"/>
      <c r="CN2884" s="115"/>
      <c r="CO2884" s="115"/>
      <c r="CP2884" s="115"/>
      <c r="CQ2884" s="115"/>
      <c r="CR2884" s="115"/>
      <c r="CS2884" s="115"/>
      <c r="CT2884" s="115"/>
      <c r="CU2884" s="115"/>
      <c r="CV2884" s="115"/>
      <c r="CW2884" s="115"/>
      <c r="CX2884" s="115"/>
      <c r="CY2884" s="115"/>
      <c r="CZ2884" s="115"/>
      <c r="DA2884" s="115"/>
      <c r="DB2884" s="115"/>
      <c r="DC2884" s="115"/>
      <c r="DD2884" s="115"/>
      <c r="DE2884" s="115"/>
      <c r="DF2884" s="115"/>
      <c r="DG2884" s="115"/>
    </row>
    <row r="2885" spans="55:111" hidden="1">
      <c r="BC2885" s="115"/>
      <c r="BD2885" s="115"/>
      <c r="BE2885" s="115"/>
      <c r="BF2885" s="115"/>
      <c r="BG2885" s="115"/>
      <c r="BH2885" s="115"/>
      <c r="BI2885" s="115"/>
      <c r="BJ2885" s="115"/>
      <c r="BK2885" s="115"/>
      <c r="BL2885" s="115"/>
      <c r="BM2885" s="115"/>
      <c r="BN2885" s="115"/>
      <c r="BO2885" s="115"/>
      <c r="BP2885" s="115"/>
      <c r="BQ2885" s="115"/>
      <c r="BR2885" s="115"/>
      <c r="BS2885" s="115"/>
      <c r="BT2885" s="115"/>
      <c r="BU2885" s="115"/>
      <c r="BV2885" s="115"/>
      <c r="BW2885" s="115"/>
      <c r="BX2885" s="115"/>
      <c r="BY2885" s="115"/>
      <c r="BZ2885" s="115"/>
      <c r="CA2885" s="115"/>
      <c r="CB2885" s="115"/>
      <c r="CC2885" s="115"/>
      <c r="CD2885" s="115"/>
      <c r="CE2885" s="115"/>
      <c r="CF2885" s="115"/>
      <c r="CG2885" s="115"/>
      <c r="CH2885" s="115"/>
      <c r="CI2885" s="115"/>
      <c r="CJ2885" s="115"/>
      <c r="CK2885" s="115"/>
      <c r="CL2885" s="115"/>
      <c r="CM2885" s="115"/>
      <c r="CN2885" s="115"/>
      <c r="CO2885" s="115"/>
      <c r="CP2885" s="115"/>
      <c r="CQ2885" s="115"/>
      <c r="CR2885" s="115"/>
      <c r="CS2885" s="115"/>
      <c r="CT2885" s="115"/>
      <c r="CU2885" s="115"/>
      <c r="CV2885" s="115"/>
      <c r="CW2885" s="115"/>
      <c r="CX2885" s="115"/>
      <c r="CY2885" s="115"/>
      <c r="CZ2885" s="115"/>
      <c r="DA2885" s="115"/>
      <c r="DB2885" s="115"/>
      <c r="DC2885" s="115"/>
      <c r="DD2885" s="115"/>
      <c r="DE2885" s="115"/>
      <c r="DF2885" s="115"/>
      <c r="DG2885" s="115"/>
    </row>
    <row r="2886" spans="55:111" hidden="1">
      <c r="BC2886" s="115"/>
      <c r="BD2886" s="115"/>
      <c r="BE2886" s="115"/>
      <c r="BF2886" s="115"/>
      <c r="BG2886" s="115"/>
      <c r="BH2886" s="115"/>
      <c r="BI2886" s="115"/>
      <c r="BJ2886" s="115"/>
      <c r="BK2886" s="115"/>
      <c r="BL2886" s="115"/>
      <c r="BM2886" s="115"/>
      <c r="BN2886" s="115"/>
      <c r="BO2886" s="115"/>
      <c r="BP2886" s="115"/>
      <c r="BQ2886" s="115"/>
      <c r="BR2886" s="115"/>
      <c r="BS2886" s="115"/>
      <c r="BT2886" s="115"/>
      <c r="BU2886" s="115"/>
      <c r="BV2886" s="115"/>
      <c r="BW2886" s="115"/>
      <c r="BX2886" s="115"/>
      <c r="BY2886" s="115"/>
      <c r="BZ2886" s="115"/>
      <c r="CA2886" s="115"/>
      <c r="CB2886" s="115"/>
      <c r="CC2886" s="115"/>
      <c r="CD2886" s="115"/>
      <c r="CE2886" s="115"/>
      <c r="CF2886" s="115"/>
      <c r="CG2886" s="115"/>
      <c r="CH2886" s="115"/>
      <c r="CI2886" s="115"/>
      <c r="CJ2886" s="115"/>
      <c r="CK2886" s="115"/>
      <c r="CL2886" s="115"/>
      <c r="CM2886" s="115"/>
      <c r="CN2886" s="115"/>
      <c r="CO2886" s="115"/>
      <c r="CP2886" s="115"/>
      <c r="CQ2886" s="115"/>
      <c r="CR2886" s="115"/>
      <c r="CS2886" s="115"/>
      <c r="CT2886" s="115"/>
      <c r="CU2886" s="115"/>
      <c r="CV2886" s="115"/>
      <c r="CW2886" s="115"/>
      <c r="CX2886" s="115"/>
      <c r="CY2886" s="115"/>
      <c r="CZ2886" s="115"/>
      <c r="DA2886" s="115"/>
      <c r="DB2886" s="115"/>
      <c r="DC2886" s="115"/>
      <c r="DD2886" s="115"/>
      <c r="DE2886" s="115"/>
      <c r="DF2886" s="115"/>
      <c r="DG2886" s="115"/>
    </row>
    <row r="2887" spans="55:111" hidden="1">
      <c r="BC2887" s="115"/>
      <c r="BD2887" s="115"/>
      <c r="BE2887" s="115"/>
      <c r="BF2887" s="115"/>
      <c r="BG2887" s="115"/>
      <c r="BH2887" s="115"/>
      <c r="BI2887" s="115"/>
      <c r="BJ2887" s="115"/>
      <c r="BK2887" s="115"/>
      <c r="BL2887" s="115"/>
      <c r="BM2887" s="115"/>
      <c r="BN2887" s="115"/>
      <c r="BO2887" s="115"/>
      <c r="BP2887" s="115"/>
      <c r="BQ2887" s="115"/>
      <c r="BR2887" s="115"/>
      <c r="BS2887" s="115"/>
      <c r="BT2887" s="115"/>
      <c r="BU2887" s="115"/>
      <c r="BV2887" s="115"/>
      <c r="BW2887" s="115"/>
      <c r="BX2887" s="115"/>
      <c r="BY2887" s="115"/>
      <c r="BZ2887" s="115"/>
      <c r="CA2887" s="115"/>
      <c r="CB2887" s="115"/>
      <c r="CC2887" s="115"/>
      <c r="CD2887" s="115"/>
      <c r="CE2887" s="115"/>
      <c r="CF2887" s="115"/>
      <c r="CG2887" s="115"/>
      <c r="CH2887" s="115"/>
      <c r="CI2887" s="115"/>
      <c r="CJ2887" s="115"/>
      <c r="CK2887" s="115"/>
      <c r="CL2887" s="115"/>
      <c r="CM2887" s="115"/>
      <c r="CN2887" s="115"/>
      <c r="CO2887" s="115"/>
      <c r="CP2887" s="115"/>
      <c r="CQ2887" s="115"/>
      <c r="CR2887" s="115"/>
      <c r="CS2887" s="115"/>
      <c r="CT2887" s="115"/>
      <c r="CU2887" s="115"/>
      <c r="CV2887" s="115"/>
      <c r="CW2887" s="115"/>
      <c r="CX2887" s="115"/>
      <c r="CY2887" s="115"/>
      <c r="CZ2887" s="115"/>
      <c r="DA2887" s="115"/>
      <c r="DB2887" s="115"/>
      <c r="DC2887" s="115"/>
      <c r="DD2887" s="115"/>
      <c r="DE2887" s="115"/>
      <c r="DF2887" s="115"/>
      <c r="DG2887" s="115"/>
    </row>
    <row r="2888" spans="55:111" hidden="1">
      <c r="BC2888" s="115"/>
      <c r="BD2888" s="115"/>
      <c r="BE2888" s="115"/>
      <c r="BF2888" s="115"/>
      <c r="BG2888" s="115"/>
      <c r="BH2888" s="115"/>
      <c r="BI2888" s="115"/>
      <c r="BJ2888" s="115"/>
      <c r="BK2888" s="115"/>
      <c r="BL2888" s="115"/>
      <c r="BM2888" s="115"/>
      <c r="BN2888" s="115"/>
      <c r="BO2888" s="115"/>
      <c r="BP2888" s="115"/>
      <c r="BQ2888" s="115"/>
      <c r="BR2888" s="115"/>
      <c r="BS2888" s="115"/>
      <c r="BT2888" s="115"/>
      <c r="BU2888" s="115"/>
      <c r="BV2888" s="115"/>
      <c r="BW2888" s="115"/>
      <c r="BX2888" s="115"/>
      <c r="BY2888" s="115"/>
      <c r="BZ2888" s="115"/>
      <c r="CA2888" s="115"/>
      <c r="CB2888" s="115"/>
      <c r="CC2888" s="115"/>
      <c r="CD2888" s="115"/>
      <c r="CE2888" s="115"/>
      <c r="CF2888" s="115"/>
      <c r="CG2888" s="115"/>
      <c r="CH2888" s="115"/>
      <c r="CI2888" s="115"/>
      <c r="CJ2888" s="115"/>
      <c r="CK2888" s="115"/>
      <c r="CL2888" s="115"/>
      <c r="CM2888" s="115"/>
      <c r="CN2888" s="115"/>
      <c r="CO2888" s="115"/>
      <c r="CP2888" s="115"/>
      <c r="CQ2888" s="115"/>
      <c r="CR2888" s="115"/>
      <c r="CS2888" s="115"/>
      <c r="CT2888" s="115"/>
      <c r="CU2888" s="115"/>
      <c r="CV2888" s="115"/>
      <c r="CW2888" s="115"/>
      <c r="CX2888" s="115"/>
      <c r="CY2888" s="115"/>
      <c r="CZ2888" s="115"/>
      <c r="DA2888" s="115"/>
      <c r="DB2888" s="115"/>
      <c r="DC2888" s="115"/>
      <c r="DD2888" s="115"/>
      <c r="DE2888" s="115"/>
      <c r="DF2888" s="115"/>
      <c r="DG2888" s="115"/>
    </row>
    <row r="2889" spans="55:111" hidden="1">
      <c r="BC2889" s="115"/>
      <c r="BD2889" s="115"/>
      <c r="BE2889" s="115"/>
      <c r="BF2889" s="115"/>
      <c r="BG2889" s="115"/>
      <c r="BH2889" s="115"/>
      <c r="BI2889" s="115"/>
      <c r="BJ2889" s="115"/>
      <c r="BK2889" s="115"/>
      <c r="BL2889" s="115"/>
      <c r="BM2889" s="115"/>
      <c r="BN2889" s="115"/>
      <c r="BO2889" s="115"/>
      <c r="BP2889" s="115"/>
      <c r="BQ2889" s="115"/>
      <c r="BR2889" s="115"/>
      <c r="BS2889" s="115"/>
      <c r="BT2889" s="115"/>
      <c r="BU2889" s="115"/>
      <c r="BV2889" s="115"/>
      <c r="BW2889" s="115"/>
      <c r="BX2889" s="115"/>
      <c r="BY2889" s="115"/>
      <c r="BZ2889" s="115"/>
      <c r="CA2889" s="115"/>
      <c r="CB2889" s="115"/>
      <c r="CC2889" s="115"/>
      <c r="CD2889" s="115"/>
      <c r="CE2889" s="115"/>
      <c r="CF2889" s="115"/>
      <c r="CG2889" s="115"/>
      <c r="CH2889" s="115"/>
      <c r="CI2889" s="115"/>
      <c r="CJ2889" s="115"/>
      <c r="CK2889" s="115"/>
      <c r="CL2889" s="115"/>
      <c r="CM2889" s="115"/>
      <c r="CN2889" s="115"/>
      <c r="CO2889" s="115"/>
      <c r="CP2889" s="115"/>
      <c r="CQ2889" s="115"/>
      <c r="CR2889" s="115"/>
      <c r="CS2889" s="115"/>
      <c r="CT2889" s="115"/>
      <c r="CU2889" s="115"/>
      <c r="CV2889" s="115"/>
      <c r="CW2889" s="115"/>
      <c r="CX2889" s="115"/>
      <c r="CY2889" s="115"/>
      <c r="CZ2889" s="115"/>
      <c r="DA2889" s="115"/>
      <c r="DB2889" s="115"/>
      <c r="DC2889" s="115"/>
      <c r="DD2889" s="115"/>
      <c r="DE2889" s="115"/>
      <c r="DF2889" s="115"/>
      <c r="DG2889" s="115"/>
    </row>
    <row r="2890" spans="55:111" hidden="1">
      <c r="BC2890" s="115"/>
      <c r="BD2890" s="115"/>
      <c r="BE2890" s="115"/>
      <c r="BF2890" s="115"/>
      <c r="BG2890" s="115"/>
      <c r="BH2890" s="115"/>
      <c r="BI2890" s="115"/>
      <c r="BJ2890" s="115"/>
      <c r="BK2890" s="115"/>
      <c r="BL2890" s="115"/>
      <c r="BM2890" s="115"/>
      <c r="BN2890" s="115"/>
      <c r="BO2890" s="115"/>
      <c r="BP2890" s="115"/>
      <c r="BQ2890" s="115"/>
      <c r="BR2890" s="115"/>
      <c r="BS2890" s="115"/>
      <c r="BT2890" s="115"/>
      <c r="BU2890" s="115"/>
      <c r="BV2890" s="115"/>
      <c r="BW2890" s="115"/>
      <c r="BX2890" s="115"/>
      <c r="BY2890" s="115"/>
      <c r="BZ2890" s="115"/>
      <c r="CA2890" s="115"/>
      <c r="CB2890" s="115"/>
      <c r="CC2890" s="115"/>
      <c r="CD2890" s="115"/>
      <c r="CE2890" s="115"/>
      <c r="CF2890" s="115"/>
      <c r="CG2890" s="115"/>
      <c r="CH2890" s="115"/>
      <c r="CI2890" s="115"/>
      <c r="CJ2890" s="115"/>
      <c r="CK2890" s="115"/>
      <c r="CL2890" s="115"/>
      <c r="CM2890" s="115"/>
      <c r="CN2890" s="115"/>
      <c r="CO2890" s="115"/>
      <c r="CP2890" s="115"/>
      <c r="CQ2890" s="115"/>
      <c r="CR2890" s="115"/>
      <c r="CS2890" s="115"/>
      <c r="CT2890" s="115"/>
      <c r="CU2890" s="115"/>
      <c r="CV2890" s="115"/>
      <c r="CW2890" s="115"/>
      <c r="CX2890" s="115"/>
      <c r="CY2890" s="115"/>
      <c r="CZ2890" s="115"/>
      <c r="DA2890" s="115"/>
      <c r="DB2890" s="115"/>
      <c r="DC2890" s="115"/>
      <c r="DD2890" s="115"/>
      <c r="DE2890" s="115"/>
      <c r="DF2890" s="115"/>
      <c r="DG2890" s="115"/>
    </row>
    <row r="2891" spans="55:111" hidden="1">
      <c r="BC2891" s="115"/>
      <c r="BD2891" s="115"/>
      <c r="BE2891" s="115"/>
      <c r="BF2891" s="115"/>
      <c r="BG2891" s="115"/>
      <c r="BH2891" s="115"/>
      <c r="BI2891" s="115"/>
      <c r="BJ2891" s="115"/>
      <c r="BK2891" s="115"/>
      <c r="BL2891" s="115"/>
      <c r="BM2891" s="115"/>
      <c r="BN2891" s="115"/>
      <c r="BO2891" s="115"/>
      <c r="BP2891" s="115"/>
      <c r="BQ2891" s="115"/>
      <c r="BR2891" s="115"/>
      <c r="BS2891" s="115"/>
      <c r="BT2891" s="115"/>
      <c r="BU2891" s="115"/>
      <c r="BV2891" s="115"/>
      <c r="BW2891" s="115"/>
      <c r="BX2891" s="115"/>
      <c r="BY2891" s="115"/>
      <c r="BZ2891" s="115"/>
      <c r="CA2891" s="115"/>
      <c r="CB2891" s="115"/>
      <c r="CC2891" s="115"/>
      <c r="CD2891" s="115"/>
      <c r="CE2891" s="115"/>
      <c r="CF2891" s="115"/>
      <c r="CG2891" s="115"/>
      <c r="CH2891" s="115"/>
      <c r="CI2891" s="115"/>
      <c r="CJ2891" s="115"/>
      <c r="CK2891" s="115"/>
      <c r="CL2891" s="115"/>
      <c r="CM2891" s="115"/>
      <c r="CN2891" s="115"/>
      <c r="CO2891" s="115"/>
      <c r="CP2891" s="115"/>
      <c r="CQ2891" s="115"/>
      <c r="CR2891" s="115"/>
      <c r="CS2891" s="115"/>
      <c r="CT2891" s="115"/>
      <c r="CU2891" s="115"/>
      <c r="CV2891" s="115"/>
      <c r="CW2891" s="115"/>
      <c r="CX2891" s="115"/>
      <c r="CY2891" s="115"/>
      <c r="CZ2891" s="115"/>
      <c r="DA2891" s="115"/>
      <c r="DB2891" s="115"/>
      <c r="DC2891" s="115"/>
      <c r="DD2891" s="115"/>
      <c r="DE2891" s="115"/>
      <c r="DF2891" s="115"/>
      <c r="DG2891" s="115"/>
    </row>
    <row r="2892" spans="55:111" hidden="1">
      <c r="BC2892" s="115"/>
      <c r="BD2892" s="115"/>
      <c r="BE2892" s="115"/>
      <c r="BF2892" s="115"/>
      <c r="BG2892" s="115"/>
      <c r="BH2892" s="115"/>
      <c r="BI2892" s="115"/>
      <c r="BJ2892" s="115"/>
      <c r="BK2892" s="115"/>
      <c r="BL2892" s="115"/>
      <c r="BM2892" s="115"/>
      <c r="BN2892" s="115"/>
      <c r="BO2892" s="115"/>
      <c r="BP2892" s="115"/>
      <c r="BQ2892" s="115"/>
      <c r="BR2892" s="115"/>
      <c r="BS2892" s="115"/>
      <c r="BT2892" s="115"/>
      <c r="BU2892" s="115"/>
      <c r="BV2892" s="115"/>
      <c r="BW2892" s="115"/>
      <c r="BX2892" s="115"/>
      <c r="BY2892" s="115"/>
      <c r="BZ2892" s="115"/>
      <c r="CA2892" s="115"/>
      <c r="CB2892" s="115"/>
      <c r="CC2892" s="115"/>
      <c r="CD2892" s="115"/>
      <c r="CE2892" s="115"/>
      <c r="CF2892" s="115"/>
      <c r="CG2892" s="115"/>
      <c r="CH2892" s="115"/>
      <c r="CI2892" s="115"/>
      <c r="CJ2892" s="115"/>
      <c r="CK2892" s="115"/>
      <c r="CL2892" s="115"/>
      <c r="CM2892" s="115"/>
      <c r="CN2892" s="115"/>
      <c r="CO2892" s="115"/>
      <c r="CP2892" s="115"/>
      <c r="CQ2892" s="115"/>
      <c r="CR2892" s="115"/>
      <c r="CS2892" s="115"/>
      <c r="CT2892" s="115"/>
      <c r="CU2892" s="115"/>
      <c r="CV2892" s="115"/>
      <c r="CW2892" s="115"/>
      <c r="CX2892" s="115"/>
      <c r="CY2892" s="115"/>
      <c r="CZ2892" s="115"/>
      <c r="DA2892" s="115"/>
      <c r="DB2892" s="115"/>
      <c r="DC2892" s="115"/>
      <c r="DD2892" s="115"/>
      <c r="DE2892" s="115"/>
      <c r="DF2892" s="115"/>
      <c r="DG2892" s="115"/>
    </row>
    <row r="2893" spans="55:111" hidden="1">
      <c r="BC2893" s="115"/>
      <c r="BD2893" s="115"/>
      <c r="BE2893" s="115"/>
      <c r="BF2893" s="115"/>
      <c r="BG2893" s="115"/>
      <c r="BH2893" s="115"/>
      <c r="BI2893" s="115"/>
      <c r="BJ2893" s="115"/>
      <c r="BK2893" s="115"/>
      <c r="BL2893" s="115"/>
      <c r="BM2893" s="115"/>
      <c r="BN2893" s="115"/>
      <c r="BO2893" s="115"/>
      <c r="BP2893" s="115"/>
      <c r="BQ2893" s="115"/>
      <c r="BR2893" s="115"/>
      <c r="BS2893" s="115"/>
      <c r="BT2893" s="115"/>
      <c r="BU2893" s="115"/>
      <c r="BV2893" s="115"/>
      <c r="BW2893" s="115"/>
      <c r="BX2893" s="115"/>
      <c r="BY2893" s="115"/>
      <c r="BZ2893" s="115"/>
      <c r="CA2893" s="115"/>
      <c r="CB2893" s="115"/>
      <c r="CC2893" s="115"/>
      <c r="CD2893" s="115"/>
      <c r="CE2893" s="115"/>
      <c r="CF2893" s="115"/>
      <c r="CG2893" s="115"/>
      <c r="CH2893" s="115"/>
      <c r="CI2893" s="115"/>
      <c r="CJ2893" s="115"/>
      <c r="CK2893" s="115"/>
      <c r="CL2893" s="115"/>
      <c r="CM2893" s="115"/>
      <c r="CN2893" s="115"/>
      <c r="CO2893" s="115"/>
      <c r="CP2893" s="115"/>
      <c r="CQ2893" s="115"/>
      <c r="CR2893" s="115"/>
      <c r="CS2893" s="115"/>
      <c r="CT2893" s="115"/>
      <c r="CU2893" s="115"/>
      <c r="CV2893" s="115"/>
      <c r="CW2893" s="115"/>
      <c r="CX2893" s="115"/>
      <c r="CY2893" s="115"/>
      <c r="CZ2893" s="115"/>
      <c r="DA2893" s="115"/>
      <c r="DB2893" s="115"/>
      <c r="DC2893" s="115"/>
      <c r="DD2893" s="115"/>
      <c r="DE2893" s="115"/>
      <c r="DF2893" s="115"/>
      <c r="DG2893" s="115"/>
    </row>
    <row r="2894" spans="55:111" hidden="1">
      <c r="BC2894" s="115"/>
      <c r="BD2894" s="115"/>
      <c r="BE2894" s="115"/>
      <c r="BF2894" s="115"/>
      <c r="BG2894" s="115"/>
      <c r="BH2894" s="115"/>
      <c r="BI2894" s="115"/>
      <c r="BJ2894" s="115"/>
      <c r="BK2894" s="115"/>
      <c r="BL2894" s="115"/>
      <c r="BM2894" s="115"/>
      <c r="BN2894" s="115"/>
      <c r="BO2894" s="115"/>
      <c r="BP2894" s="115"/>
      <c r="BQ2894" s="115"/>
      <c r="BR2894" s="115"/>
      <c r="BS2894" s="115"/>
      <c r="BT2894" s="115"/>
      <c r="BU2894" s="115"/>
      <c r="BV2894" s="115"/>
      <c r="BW2894" s="115"/>
      <c r="BX2894" s="115"/>
      <c r="BY2894" s="115"/>
      <c r="BZ2894" s="115"/>
      <c r="CA2894" s="115"/>
      <c r="CB2894" s="115"/>
      <c r="CC2894" s="115"/>
      <c r="CD2894" s="115"/>
      <c r="CE2894" s="115"/>
      <c r="CF2894" s="115"/>
      <c r="CG2894" s="115"/>
      <c r="CH2894" s="115"/>
      <c r="CI2894" s="115"/>
      <c r="CJ2894" s="115"/>
      <c r="CK2894" s="115"/>
      <c r="CL2894" s="115"/>
      <c r="CM2894" s="115"/>
      <c r="CN2894" s="115"/>
      <c r="CO2894" s="115"/>
      <c r="CP2894" s="115"/>
      <c r="CQ2894" s="115"/>
      <c r="CR2894" s="115"/>
      <c r="CS2894" s="115"/>
      <c r="CT2894" s="115"/>
      <c r="CU2894" s="115"/>
      <c r="CV2894" s="115"/>
      <c r="CW2894" s="115"/>
      <c r="CX2894" s="115"/>
      <c r="CY2894" s="115"/>
      <c r="CZ2894" s="115"/>
      <c r="DA2894" s="115"/>
      <c r="DB2894" s="115"/>
      <c r="DC2894" s="115"/>
      <c r="DD2894" s="115"/>
      <c r="DE2894" s="115"/>
      <c r="DF2894" s="115"/>
      <c r="DG2894" s="115"/>
    </row>
    <row r="2895" spans="55:111" hidden="1">
      <c r="BC2895" s="115"/>
      <c r="BD2895" s="115"/>
      <c r="BE2895" s="115"/>
      <c r="BF2895" s="115"/>
      <c r="BG2895" s="115"/>
      <c r="BH2895" s="115"/>
      <c r="BI2895" s="115"/>
      <c r="BJ2895" s="115"/>
      <c r="BK2895" s="115"/>
      <c r="BL2895" s="115"/>
      <c r="BM2895" s="115"/>
      <c r="BN2895" s="115"/>
      <c r="BO2895" s="115"/>
      <c r="BP2895" s="115"/>
      <c r="BQ2895" s="115"/>
      <c r="BR2895" s="115"/>
      <c r="BS2895" s="115"/>
      <c r="BT2895" s="115"/>
      <c r="BU2895" s="115"/>
      <c r="BV2895" s="115"/>
      <c r="BW2895" s="115"/>
      <c r="BX2895" s="115"/>
      <c r="BY2895" s="115"/>
      <c r="BZ2895" s="115"/>
      <c r="CA2895" s="115"/>
      <c r="CB2895" s="115"/>
      <c r="CC2895" s="115"/>
      <c r="CD2895" s="115"/>
      <c r="CE2895" s="115"/>
      <c r="CF2895" s="115"/>
      <c r="CG2895" s="115"/>
      <c r="CH2895" s="115"/>
      <c r="CI2895" s="115"/>
      <c r="CJ2895" s="115"/>
      <c r="CK2895" s="115"/>
      <c r="CL2895" s="115"/>
      <c r="CM2895" s="115"/>
      <c r="CN2895" s="115"/>
      <c r="CO2895" s="115"/>
      <c r="CP2895" s="115"/>
      <c r="CQ2895" s="115"/>
      <c r="CR2895" s="115"/>
      <c r="CS2895" s="115"/>
      <c r="CT2895" s="115"/>
      <c r="CU2895" s="115"/>
      <c r="CV2895" s="115"/>
      <c r="CW2895" s="115"/>
      <c r="CX2895" s="115"/>
      <c r="CY2895" s="115"/>
      <c r="CZ2895" s="115"/>
      <c r="DA2895" s="115"/>
      <c r="DB2895" s="115"/>
      <c r="DC2895" s="115"/>
      <c r="DD2895" s="115"/>
      <c r="DE2895" s="115"/>
      <c r="DF2895" s="115"/>
      <c r="DG2895" s="115"/>
    </row>
    <row r="2896" spans="55:111" hidden="1">
      <c r="BC2896" s="115"/>
      <c r="BD2896" s="115"/>
      <c r="BE2896" s="115"/>
      <c r="BF2896" s="115"/>
      <c r="BG2896" s="115"/>
      <c r="BH2896" s="115"/>
      <c r="BI2896" s="115"/>
      <c r="BJ2896" s="115"/>
      <c r="BK2896" s="115"/>
      <c r="BL2896" s="115"/>
      <c r="BM2896" s="115"/>
      <c r="BN2896" s="115"/>
      <c r="BO2896" s="115"/>
      <c r="BP2896" s="115"/>
      <c r="BQ2896" s="115"/>
      <c r="BR2896" s="115"/>
      <c r="BS2896" s="115"/>
      <c r="BT2896" s="115"/>
      <c r="BU2896" s="115"/>
      <c r="BV2896" s="115"/>
      <c r="BW2896" s="115"/>
      <c r="BX2896" s="115"/>
      <c r="BY2896" s="115"/>
      <c r="BZ2896" s="115"/>
      <c r="CA2896" s="115"/>
      <c r="CB2896" s="115"/>
      <c r="CC2896" s="115"/>
      <c r="CD2896" s="115"/>
      <c r="CE2896" s="115"/>
      <c r="CF2896" s="115"/>
      <c r="CG2896" s="115"/>
      <c r="CH2896" s="115"/>
      <c r="CI2896" s="115"/>
      <c r="CJ2896" s="115"/>
      <c r="CK2896" s="115"/>
      <c r="CL2896" s="115"/>
      <c r="CM2896" s="115"/>
      <c r="CN2896" s="115"/>
      <c r="CO2896" s="115"/>
      <c r="CP2896" s="115"/>
      <c r="CQ2896" s="115"/>
      <c r="CR2896" s="115"/>
      <c r="CS2896" s="115"/>
      <c r="CT2896" s="115"/>
      <c r="CU2896" s="115"/>
      <c r="CV2896" s="115"/>
      <c r="CW2896" s="115"/>
      <c r="CX2896" s="115"/>
      <c r="CY2896" s="115"/>
      <c r="CZ2896" s="115"/>
      <c r="DA2896" s="115"/>
      <c r="DB2896" s="115"/>
      <c r="DC2896" s="115"/>
      <c r="DD2896" s="115"/>
      <c r="DE2896" s="115"/>
      <c r="DF2896" s="115"/>
      <c r="DG2896" s="115"/>
    </row>
    <row r="2897" spans="55:111" hidden="1">
      <c r="BC2897" s="115"/>
      <c r="BD2897" s="115"/>
      <c r="BE2897" s="115"/>
      <c r="BF2897" s="115"/>
      <c r="BG2897" s="115"/>
      <c r="BH2897" s="115"/>
      <c r="BI2897" s="115"/>
      <c r="BJ2897" s="115"/>
      <c r="BK2897" s="115"/>
      <c r="BL2897" s="115"/>
      <c r="BM2897" s="115"/>
      <c r="BN2897" s="115"/>
      <c r="BO2897" s="115"/>
      <c r="BP2897" s="115"/>
      <c r="BQ2897" s="115"/>
      <c r="BR2897" s="115"/>
      <c r="BS2897" s="115"/>
      <c r="BT2897" s="115"/>
      <c r="BU2897" s="115"/>
      <c r="BV2897" s="115"/>
      <c r="BW2897" s="115"/>
      <c r="BX2897" s="115"/>
      <c r="BY2897" s="115"/>
      <c r="BZ2897" s="115"/>
      <c r="CA2897" s="115"/>
      <c r="CB2897" s="115"/>
      <c r="CC2897" s="115"/>
      <c r="CD2897" s="115"/>
      <c r="CE2897" s="115"/>
      <c r="CF2897" s="115"/>
      <c r="CG2897" s="115"/>
      <c r="CH2897" s="115"/>
      <c r="CI2897" s="115"/>
      <c r="CJ2897" s="115"/>
      <c r="CK2897" s="115"/>
      <c r="CL2897" s="115"/>
      <c r="CM2897" s="115"/>
      <c r="CN2897" s="115"/>
      <c r="CO2897" s="115"/>
      <c r="CP2897" s="115"/>
      <c r="CQ2897" s="115"/>
      <c r="CR2897" s="115"/>
      <c r="CS2897" s="115"/>
      <c r="CT2897" s="115"/>
      <c r="CU2897" s="115"/>
      <c r="CV2897" s="115"/>
      <c r="CW2897" s="115"/>
      <c r="CX2897" s="115"/>
      <c r="CY2897" s="115"/>
      <c r="CZ2897" s="115"/>
      <c r="DA2897" s="115"/>
      <c r="DB2897" s="115"/>
      <c r="DC2897" s="115"/>
      <c r="DD2897" s="115"/>
      <c r="DE2897" s="115"/>
      <c r="DF2897" s="115"/>
      <c r="DG2897" s="115"/>
    </row>
    <row r="2898" spans="55:111" hidden="1">
      <c r="BC2898" s="115"/>
      <c r="BD2898" s="115"/>
      <c r="BE2898" s="115"/>
      <c r="BF2898" s="115"/>
      <c r="BG2898" s="115"/>
      <c r="BH2898" s="115"/>
      <c r="BI2898" s="115"/>
      <c r="BJ2898" s="115"/>
      <c r="BK2898" s="115"/>
      <c r="BL2898" s="115"/>
      <c r="BM2898" s="115"/>
      <c r="BN2898" s="115"/>
      <c r="BO2898" s="115"/>
      <c r="BP2898" s="115"/>
      <c r="BQ2898" s="115"/>
      <c r="BR2898" s="115"/>
      <c r="BS2898" s="115"/>
      <c r="BT2898" s="115"/>
      <c r="BU2898" s="115"/>
      <c r="BV2898" s="115"/>
      <c r="BW2898" s="115"/>
      <c r="BX2898" s="115"/>
      <c r="BY2898" s="115"/>
      <c r="BZ2898" s="115"/>
      <c r="CA2898" s="115"/>
      <c r="CB2898" s="115"/>
      <c r="CC2898" s="115"/>
      <c r="CD2898" s="115"/>
      <c r="CE2898" s="115"/>
      <c r="CF2898" s="115"/>
      <c r="CG2898" s="115"/>
      <c r="CH2898" s="115"/>
      <c r="CI2898" s="115"/>
      <c r="CJ2898" s="115"/>
      <c r="CK2898" s="115"/>
      <c r="CL2898" s="115"/>
      <c r="CM2898" s="115"/>
      <c r="CN2898" s="115"/>
      <c r="CO2898" s="115"/>
      <c r="CP2898" s="115"/>
      <c r="CQ2898" s="115"/>
      <c r="CR2898" s="115"/>
      <c r="CS2898" s="115"/>
      <c r="CT2898" s="115"/>
      <c r="CU2898" s="115"/>
      <c r="CV2898" s="115"/>
      <c r="CW2898" s="115"/>
      <c r="CX2898" s="115"/>
      <c r="CY2898" s="115"/>
      <c r="CZ2898" s="115"/>
      <c r="DA2898" s="115"/>
      <c r="DB2898" s="115"/>
      <c r="DC2898" s="115"/>
      <c r="DD2898" s="115"/>
      <c r="DE2898" s="115"/>
      <c r="DF2898" s="115"/>
      <c r="DG2898" s="115"/>
    </row>
    <row r="2899" spans="55:111" hidden="1">
      <c r="BC2899" s="115"/>
      <c r="BD2899" s="115"/>
      <c r="BE2899" s="115"/>
      <c r="BF2899" s="115"/>
      <c r="BG2899" s="115"/>
      <c r="BH2899" s="115"/>
      <c r="BI2899" s="115"/>
      <c r="BJ2899" s="115"/>
      <c r="BK2899" s="115"/>
      <c r="BL2899" s="115"/>
      <c r="BM2899" s="115"/>
      <c r="BN2899" s="115"/>
      <c r="BO2899" s="115"/>
      <c r="BP2899" s="115"/>
      <c r="BQ2899" s="115"/>
      <c r="BR2899" s="115"/>
      <c r="BS2899" s="115"/>
      <c r="BT2899" s="115"/>
      <c r="BU2899" s="115"/>
      <c r="BV2899" s="115"/>
      <c r="BW2899" s="115"/>
      <c r="BX2899" s="115"/>
      <c r="BY2899" s="115"/>
      <c r="BZ2899" s="115"/>
      <c r="CA2899" s="115"/>
      <c r="CB2899" s="115"/>
      <c r="CC2899" s="115"/>
      <c r="CD2899" s="115"/>
      <c r="CE2899" s="115"/>
      <c r="CF2899" s="115"/>
      <c r="CG2899" s="115"/>
      <c r="CH2899" s="115"/>
      <c r="CI2899" s="115"/>
      <c r="CJ2899" s="115"/>
      <c r="CK2899" s="115"/>
      <c r="CL2899" s="115"/>
      <c r="CM2899" s="115"/>
      <c r="CN2899" s="115"/>
      <c r="CO2899" s="115"/>
      <c r="CP2899" s="115"/>
      <c r="CQ2899" s="115"/>
      <c r="CR2899" s="115"/>
      <c r="CS2899" s="115"/>
      <c r="CT2899" s="115"/>
      <c r="CU2899" s="115"/>
      <c r="CV2899" s="115"/>
      <c r="CW2899" s="115"/>
      <c r="CX2899" s="115"/>
      <c r="CY2899" s="115"/>
      <c r="CZ2899" s="115"/>
      <c r="DA2899" s="115"/>
      <c r="DB2899" s="115"/>
      <c r="DC2899" s="115"/>
      <c r="DD2899" s="115"/>
      <c r="DE2899" s="115"/>
      <c r="DF2899" s="115"/>
      <c r="DG2899" s="115"/>
    </row>
    <row r="2900" spans="55:111" hidden="1">
      <c r="BC2900" s="115"/>
      <c r="BD2900" s="115"/>
      <c r="BE2900" s="115"/>
      <c r="BF2900" s="115"/>
      <c r="BG2900" s="115"/>
      <c r="BH2900" s="115"/>
      <c r="BI2900" s="115"/>
      <c r="BJ2900" s="115"/>
      <c r="BK2900" s="115"/>
      <c r="BL2900" s="115"/>
      <c r="BM2900" s="115"/>
      <c r="BN2900" s="115"/>
      <c r="BO2900" s="115"/>
      <c r="BP2900" s="115"/>
      <c r="BQ2900" s="115"/>
      <c r="BR2900" s="115"/>
      <c r="BS2900" s="115"/>
      <c r="BT2900" s="115"/>
      <c r="BU2900" s="115"/>
      <c r="BV2900" s="115"/>
      <c r="BW2900" s="115"/>
      <c r="BX2900" s="115"/>
      <c r="BY2900" s="115"/>
      <c r="BZ2900" s="115"/>
      <c r="CA2900" s="115"/>
      <c r="CB2900" s="115"/>
      <c r="CC2900" s="115"/>
      <c r="CD2900" s="115"/>
      <c r="CE2900" s="115"/>
      <c r="CF2900" s="115"/>
      <c r="CG2900" s="115"/>
      <c r="CH2900" s="115"/>
      <c r="CI2900" s="115"/>
      <c r="CJ2900" s="115"/>
      <c r="CK2900" s="115"/>
      <c r="CL2900" s="115"/>
      <c r="CM2900" s="115"/>
      <c r="CN2900" s="115"/>
      <c r="CO2900" s="115"/>
      <c r="CP2900" s="115"/>
      <c r="CQ2900" s="115"/>
      <c r="CR2900" s="115"/>
      <c r="CS2900" s="115"/>
      <c r="CT2900" s="115"/>
      <c r="CU2900" s="115"/>
      <c r="CV2900" s="115"/>
      <c r="CW2900" s="115"/>
      <c r="CX2900" s="115"/>
      <c r="CY2900" s="115"/>
      <c r="CZ2900" s="115"/>
      <c r="DA2900" s="115"/>
      <c r="DB2900" s="115"/>
      <c r="DC2900" s="115"/>
      <c r="DD2900" s="115"/>
      <c r="DE2900" s="115"/>
      <c r="DF2900" s="115"/>
      <c r="DG2900" s="115"/>
    </row>
    <row r="2901" spans="55:111" hidden="1">
      <c r="BC2901" s="115"/>
      <c r="BD2901" s="115"/>
      <c r="BE2901" s="115"/>
      <c r="BF2901" s="115"/>
      <c r="BG2901" s="115"/>
      <c r="BH2901" s="115"/>
      <c r="BI2901" s="115"/>
      <c r="BJ2901" s="115"/>
      <c r="BK2901" s="115"/>
      <c r="BL2901" s="115"/>
      <c r="BM2901" s="115"/>
      <c r="BN2901" s="115"/>
      <c r="BO2901" s="115"/>
      <c r="BP2901" s="115"/>
      <c r="BQ2901" s="115"/>
      <c r="BR2901" s="115"/>
      <c r="BS2901" s="115"/>
      <c r="BT2901" s="115"/>
      <c r="BU2901" s="115"/>
      <c r="BV2901" s="115"/>
      <c r="BW2901" s="115"/>
      <c r="BX2901" s="115"/>
      <c r="BY2901" s="115"/>
      <c r="BZ2901" s="115"/>
      <c r="CA2901" s="115"/>
      <c r="CB2901" s="115"/>
      <c r="CC2901" s="115"/>
      <c r="CD2901" s="115"/>
      <c r="CE2901" s="115"/>
      <c r="CF2901" s="115"/>
      <c r="CG2901" s="115"/>
      <c r="CH2901" s="115"/>
      <c r="CI2901" s="115"/>
      <c r="CJ2901" s="115"/>
      <c r="CK2901" s="115"/>
      <c r="CL2901" s="115"/>
      <c r="CM2901" s="115"/>
      <c r="CN2901" s="115"/>
      <c r="CO2901" s="115"/>
      <c r="CP2901" s="115"/>
      <c r="CQ2901" s="115"/>
      <c r="CR2901" s="115"/>
      <c r="CS2901" s="115"/>
      <c r="CT2901" s="115"/>
      <c r="CU2901" s="115"/>
      <c r="CV2901" s="115"/>
      <c r="CW2901" s="115"/>
      <c r="CX2901" s="115"/>
      <c r="CY2901" s="115"/>
      <c r="CZ2901" s="115"/>
      <c r="DA2901" s="115"/>
      <c r="DB2901" s="115"/>
      <c r="DC2901" s="115"/>
      <c r="DD2901" s="115"/>
      <c r="DE2901" s="115"/>
      <c r="DF2901" s="115"/>
      <c r="DG2901" s="115"/>
    </row>
    <row r="2902" spans="55:111" hidden="1">
      <c r="BC2902" s="115"/>
      <c r="BD2902" s="115"/>
      <c r="BE2902" s="115"/>
      <c r="BF2902" s="115"/>
      <c r="BG2902" s="115"/>
      <c r="BH2902" s="115"/>
      <c r="BI2902" s="115"/>
      <c r="BJ2902" s="115"/>
      <c r="BK2902" s="115"/>
      <c r="BL2902" s="115"/>
      <c r="BM2902" s="115"/>
      <c r="BN2902" s="115"/>
      <c r="BO2902" s="115"/>
      <c r="BP2902" s="115"/>
      <c r="BQ2902" s="115"/>
      <c r="BR2902" s="115"/>
      <c r="BS2902" s="115"/>
      <c r="BT2902" s="115"/>
      <c r="BU2902" s="115"/>
      <c r="BV2902" s="115"/>
      <c r="BW2902" s="115"/>
      <c r="BX2902" s="115"/>
      <c r="BY2902" s="115"/>
      <c r="BZ2902" s="115"/>
      <c r="CA2902" s="115"/>
      <c r="CB2902" s="115"/>
      <c r="CC2902" s="115"/>
      <c r="CD2902" s="115"/>
      <c r="CE2902" s="115"/>
      <c r="CF2902" s="115"/>
      <c r="CG2902" s="115"/>
      <c r="CH2902" s="115"/>
      <c r="CI2902" s="115"/>
      <c r="CJ2902" s="115"/>
      <c r="CK2902" s="115"/>
      <c r="CL2902" s="115"/>
      <c r="CM2902" s="115"/>
      <c r="CN2902" s="115"/>
      <c r="CO2902" s="115"/>
      <c r="CP2902" s="115"/>
      <c r="CQ2902" s="115"/>
      <c r="CR2902" s="115"/>
      <c r="CS2902" s="115"/>
      <c r="CT2902" s="115"/>
      <c r="CU2902" s="115"/>
      <c r="CV2902" s="115"/>
      <c r="CW2902" s="115"/>
      <c r="CX2902" s="115"/>
      <c r="CY2902" s="115"/>
      <c r="CZ2902" s="115"/>
      <c r="DA2902" s="115"/>
      <c r="DB2902" s="115"/>
      <c r="DC2902" s="115"/>
      <c r="DD2902" s="115"/>
      <c r="DE2902" s="115"/>
      <c r="DF2902" s="115"/>
      <c r="DG2902" s="115"/>
    </row>
    <row r="2903" spans="55:111" hidden="1">
      <c r="BC2903" s="115"/>
      <c r="BD2903" s="115"/>
      <c r="BE2903" s="115"/>
      <c r="BF2903" s="115"/>
      <c r="BG2903" s="115"/>
      <c r="BH2903" s="115"/>
      <c r="BI2903" s="115"/>
      <c r="BJ2903" s="115"/>
      <c r="BK2903" s="115"/>
      <c r="BL2903" s="115"/>
      <c r="BM2903" s="115"/>
      <c r="BN2903" s="115"/>
      <c r="BO2903" s="115"/>
      <c r="BP2903" s="115"/>
      <c r="BQ2903" s="115"/>
      <c r="BR2903" s="115"/>
      <c r="BS2903" s="115"/>
      <c r="BT2903" s="115"/>
      <c r="BU2903" s="115"/>
      <c r="BV2903" s="115"/>
      <c r="BW2903" s="115"/>
      <c r="BX2903" s="115"/>
      <c r="BY2903" s="115"/>
      <c r="BZ2903" s="115"/>
      <c r="CA2903" s="115"/>
      <c r="CB2903" s="115"/>
      <c r="CC2903" s="115"/>
      <c r="CD2903" s="115"/>
      <c r="CE2903" s="115"/>
      <c r="CF2903" s="115"/>
      <c r="CG2903" s="115"/>
      <c r="CH2903" s="115"/>
      <c r="CI2903" s="115"/>
      <c r="CJ2903" s="115"/>
      <c r="CK2903" s="115"/>
      <c r="CL2903" s="115"/>
      <c r="CM2903" s="115"/>
      <c r="CN2903" s="115"/>
      <c r="CO2903" s="115"/>
      <c r="CP2903" s="115"/>
      <c r="CQ2903" s="115"/>
      <c r="CR2903" s="115"/>
      <c r="CS2903" s="115"/>
      <c r="CT2903" s="115"/>
      <c r="CU2903" s="115"/>
      <c r="CV2903" s="115"/>
      <c r="CW2903" s="115"/>
      <c r="CX2903" s="115"/>
      <c r="CY2903" s="115"/>
      <c r="CZ2903" s="115"/>
      <c r="DA2903" s="115"/>
      <c r="DB2903" s="115"/>
      <c r="DC2903" s="115"/>
      <c r="DD2903" s="115"/>
      <c r="DE2903" s="115"/>
      <c r="DF2903" s="115"/>
      <c r="DG2903" s="115"/>
    </row>
    <row r="2904" spans="55:111" hidden="1">
      <c r="BC2904" s="115"/>
      <c r="BD2904" s="115"/>
      <c r="BE2904" s="115"/>
      <c r="BF2904" s="115"/>
      <c r="BG2904" s="115"/>
      <c r="BH2904" s="115"/>
      <c r="BI2904" s="115"/>
      <c r="BJ2904" s="115"/>
      <c r="BK2904" s="115"/>
      <c r="BL2904" s="115"/>
      <c r="BM2904" s="115"/>
      <c r="BN2904" s="115"/>
      <c r="BO2904" s="115"/>
      <c r="BP2904" s="115"/>
      <c r="BQ2904" s="115"/>
      <c r="BR2904" s="115"/>
      <c r="BS2904" s="115"/>
      <c r="BT2904" s="115"/>
      <c r="BU2904" s="115"/>
      <c r="BV2904" s="115"/>
      <c r="BW2904" s="115"/>
      <c r="BX2904" s="115"/>
      <c r="BY2904" s="115"/>
      <c r="BZ2904" s="115"/>
      <c r="CA2904" s="115"/>
      <c r="CB2904" s="115"/>
      <c r="CC2904" s="115"/>
      <c r="CD2904" s="115"/>
      <c r="CE2904" s="115"/>
      <c r="CF2904" s="115"/>
      <c r="CG2904" s="115"/>
      <c r="CH2904" s="115"/>
      <c r="CI2904" s="115"/>
      <c r="CJ2904" s="115"/>
      <c r="CK2904" s="115"/>
      <c r="CL2904" s="115"/>
      <c r="CM2904" s="115"/>
      <c r="CN2904" s="115"/>
      <c r="CO2904" s="115"/>
      <c r="CP2904" s="115"/>
      <c r="CQ2904" s="115"/>
      <c r="CR2904" s="115"/>
      <c r="CS2904" s="115"/>
      <c r="CT2904" s="115"/>
      <c r="CU2904" s="115"/>
      <c r="CV2904" s="115"/>
      <c r="CW2904" s="115"/>
      <c r="CX2904" s="115"/>
      <c r="CY2904" s="115"/>
      <c r="CZ2904" s="115"/>
      <c r="DA2904" s="115"/>
      <c r="DB2904" s="115"/>
      <c r="DC2904" s="115"/>
      <c r="DD2904" s="115"/>
      <c r="DE2904" s="115"/>
      <c r="DF2904" s="115"/>
      <c r="DG2904" s="115"/>
    </row>
    <row r="2905" spans="55:111" hidden="1">
      <c r="BC2905" s="115"/>
      <c r="BD2905" s="115"/>
      <c r="BE2905" s="115"/>
      <c r="BF2905" s="115"/>
      <c r="BG2905" s="115"/>
      <c r="BH2905" s="115"/>
      <c r="BI2905" s="115"/>
      <c r="BJ2905" s="115"/>
      <c r="BK2905" s="115"/>
      <c r="BL2905" s="115"/>
      <c r="BM2905" s="115"/>
      <c r="BN2905" s="115"/>
      <c r="BO2905" s="115"/>
      <c r="BP2905" s="115"/>
      <c r="BQ2905" s="115"/>
      <c r="BR2905" s="115"/>
      <c r="BS2905" s="115"/>
      <c r="BT2905" s="115"/>
      <c r="BU2905" s="115"/>
      <c r="BV2905" s="115"/>
      <c r="BW2905" s="115"/>
      <c r="BX2905" s="115"/>
      <c r="BY2905" s="115"/>
      <c r="BZ2905" s="115"/>
      <c r="CA2905" s="115"/>
      <c r="CB2905" s="115"/>
      <c r="CC2905" s="115"/>
      <c r="CD2905" s="115"/>
      <c r="CE2905" s="115"/>
      <c r="CF2905" s="115"/>
      <c r="CG2905" s="115"/>
      <c r="CH2905" s="115"/>
      <c r="CI2905" s="115"/>
      <c r="CJ2905" s="115"/>
      <c r="CK2905" s="115"/>
      <c r="CL2905" s="115"/>
      <c r="CM2905" s="115"/>
      <c r="CN2905" s="115"/>
      <c r="CO2905" s="115"/>
      <c r="CP2905" s="115"/>
      <c r="CQ2905" s="115"/>
      <c r="CR2905" s="115"/>
      <c r="CS2905" s="115"/>
      <c r="CT2905" s="115"/>
      <c r="CU2905" s="115"/>
      <c r="CV2905" s="115"/>
      <c r="CW2905" s="115"/>
      <c r="CX2905" s="115"/>
      <c r="CY2905" s="115"/>
      <c r="CZ2905" s="115"/>
      <c r="DA2905" s="115"/>
      <c r="DB2905" s="115"/>
      <c r="DC2905" s="115"/>
      <c r="DD2905" s="115"/>
      <c r="DE2905" s="115"/>
      <c r="DF2905" s="115"/>
      <c r="DG2905" s="115"/>
    </row>
    <row r="2906" spans="55:111" hidden="1">
      <c r="BC2906" s="115"/>
      <c r="BD2906" s="115"/>
      <c r="BE2906" s="115"/>
      <c r="BF2906" s="115"/>
      <c r="BG2906" s="115"/>
      <c r="BH2906" s="115"/>
      <c r="BI2906" s="115"/>
      <c r="BJ2906" s="115"/>
      <c r="BK2906" s="115"/>
      <c r="BL2906" s="115"/>
      <c r="BM2906" s="115"/>
      <c r="BN2906" s="115"/>
      <c r="BO2906" s="115"/>
      <c r="BP2906" s="115"/>
      <c r="BQ2906" s="115"/>
      <c r="BR2906" s="115"/>
      <c r="BS2906" s="115"/>
      <c r="BT2906" s="115"/>
      <c r="BU2906" s="115"/>
      <c r="BV2906" s="115"/>
      <c r="BW2906" s="115"/>
      <c r="BX2906" s="115"/>
      <c r="BY2906" s="115"/>
      <c r="BZ2906" s="115"/>
      <c r="CA2906" s="115"/>
      <c r="CB2906" s="115"/>
      <c r="CC2906" s="115"/>
      <c r="CD2906" s="115"/>
      <c r="CE2906" s="115"/>
      <c r="CF2906" s="115"/>
      <c r="CG2906" s="115"/>
      <c r="CH2906" s="115"/>
      <c r="CI2906" s="115"/>
      <c r="CJ2906" s="115"/>
      <c r="CK2906" s="115"/>
      <c r="CL2906" s="115"/>
      <c r="CM2906" s="115"/>
      <c r="CN2906" s="115"/>
      <c r="CO2906" s="115"/>
      <c r="CP2906" s="115"/>
      <c r="CQ2906" s="115"/>
      <c r="CR2906" s="115"/>
      <c r="CS2906" s="115"/>
      <c r="CT2906" s="115"/>
      <c r="CU2906" s="115"/>
      <c r="CV2906" s="115"/>
      <c r="CW2906" s="115"/>
      <c r="CX2906" s="115"/>
      <c r="CY2906" s="115"/>
      <c r="CZ2906" s="115"/>
      <c r="DA2906" s="115"/>
      <c r="DB2906" s="115"/>
      <c r="DC2906" s="115"/>
      <c r="DD2906" s="115"/>
      <c r="DE2906" s="115"/>
      <c r="DF2906" s="115"/>
      <c r="DG2906" s="115"/>
    </row>
    <row r="2907" spans="55:111" hidden="1">
      <c r="BC2907" s="115"/>
      <c r="BD2907" s="115"/>
      <c r="BE2907" s="115"/>
      <c r="BF2907" s="115"/>
      <c r="BG2907" s="115"/>
      <c r="BH2907" s="115"/>
      <c r="BI2907" s="115"/>
      <c r="BJ2907" s="115"/>
      <c r="BK2907" s="115"/>
      <c r="BL2907" s="115"/>
      <c r="BM2907" s="115"/>
      <c r="BN2907" s="115"/>
      <c r="BO2907" s="115"/>
      <c r="BP2907" s="115"/>
      <c r="BQ2907" s="115"/>
      <c r="BR2907" s="115"/>
      <c r="BS2907" s="115"/>
      <c r="BT2907" s="115"/>
      <c r="BU2907" s="115"/>
      <c r="BV2907" s="115"/>
      <c r="BW2907" s="115"/>
      <c r="BX2907" s="115"/>
      <c r="BY2907" s="115"/>
      <c r="BZ2907" s="115"/>
      <c r="CA2907" s="115"/>
      <c r="CB2907" s="115"/>
      <c r="CC2907" s="115"/>
      <c r="CD2907" s="115"/>
      <c r="CE2907" s="115"/>
      <c r="CF2907" s="115"/>
      <c r="CG2907" s="115"/>
      <c r="CH2907" s="115"/>
      <c r="CI2907" s="115"/>
      <c r="CJ2907" s="115"/>
      <c r="CK2907" s="115"/>
      <c r="CL2907" s="115"/>
      <c r="CM2907" s="115"/>
      <c r="CN2907" s="115"/>
      <c r="CO2907" s="115"/>
      <c r="CP2907" s="115"/>
      <c r="CQ2907" s="115"/>
      <c r="CR2907" s="115"/>
      <c r="CS2907" s="115"/>
      <c r="CT2907" s="115"/>
      <c r="CU2907" s="115"/>
      <c r="CV2907" s="115"/>
      <c r="CW2907" s="115"/>
      <c r="CX2907" s="115"/>
      <c r="CY2907" s="115"/>
      <c r="CZ2907" s="115"/>
      <c r="DA2907" s="115"/>
      <c r="DB2907" s="115"/>
      <c r="DC2907" s="115"/>
      <c r="DD2907" s="115"/>
      <c r="DE2907" s="115"/>
      <c r="DF2907" s="115"/>
      <c r="DG2907" s="115"/>
    </row>
    <row r="2908" spans="55:111" hidden="1">
      <c r="BC2908" s="115"/>
      <c r="BD2908" s="115"/>
      <c r="BE2908" s="115"/>
      <c r="BF2908" s="115"/>
      <c r="BG2908" s="115"/>
      <c r="BH2908" s="115"/>
      <c r="BI2908" s="115"/>
      <c r="BJ2908" s="115"/>
      <c r="BK2908" s="115"/>
      <c r="BL2908" s="115"/>
      <c r="BM2908" s="115"/>
      <c r="BN2908" s="115"/>
      <c r="BO2908" s="115"/>
      <c r="BP2908" s="115"/>
      <c r="BQ2908" s="115"/>
      <c r="BR2908" s="115"/>
      <c r="BS2908" s="115"/>
      <c r="BT2908" s="115"/>
      <c r="BU2908" s="115"/>
      <c r="BV2908" s="115"/>
      <c r="BW2908" s="115"/>
      <c r="BX2908" s="115"/>
      <c r="BY2908" s="115"/>
      <c r="BZ2908" s="115"/>
      <c r="CA2908" s="115"/>
      <c r="CB2908" s="115"/>
      <c r="CC2908" s="115"/>
      <c r="CD2908" s="115"/>
      <c r="CE2908" s="115"/>
      <c r="CF2908" s="115"/>
      <c r="CG2908" s="115"/>
      <c r="CH2908" s="115"/>
      <c r="CI2908" s="115"/>
      <c r="CJ2908" s="115"/>
      <c r="CK2908" s="115"/>
      <c r="CL2908" s="115"/>
      <c r="CM2908" s="115"/>
      <c r="CN2908" s="115"/>
      <c r="CO2908" s="115"/>
      <c r="CP2908" s="115"/>
      <c r="CQ2908" s="115"/>
      <c r="CR2908" s="115"/>
      <c r="CS2908" s="115"/>
      <c r="CT2908" s="115"/>
      <c r="CU2908" s="115"/>
      <c r="CV2908" s="115"/>
      <c r="CW2908" s="115"/>
      <c r="CX2908" s="115"/>
      <c r="CY2908" s="115"/>
      <c r="CZ2908" s="115"/>
      <c r="DA2908" s="115"/>
      <c r="DB2908" s="115"/>
      <c r="DC2908" s="115"/>
      <c r="DD2908" s="115"/>
      <c r="DE2908" s="115"/>
      <c r="DF2908" s="115"/>
      <c r="DG2908" s="115"/>
    </row>
    <row r="2909" spans="55:111" hidden="1">
      <c r="BC2909" s="115"/>
      <c r="BD2909" s="115"/>
      <c r="BE2909" s="115"/>
      <c r="BF2909" s="115"/>
      <c r="BG2909" s="115"/>
      <c r="BH2909" s="115"/>
      <c r="BI2909" s="115"/>
      <c r="BJ2909" s="115"/>
      <c r="BK2909" s="115"/>
      <c r="BL2909" s="115"/>
      <c r="BM2909" s="115"/>
      <c r="BN2909" s="115"/>
      <c r="BO2909" s="115"/>
      <c r="BP2909" s="115"/>
      <c r="BQ2909" s="115"/>
      <c r="BR2909" s="115"/>
      <c r="BS2909" s="115"/>
      <c r="BT2909" s="115"/>
      <c r="BU2909" s="115"/>
      <c r="BV2909" s="115"/>
      <c r="BW2909" s="115"/>
      <c r="BX2909" s="115"/>
      <c r="BY2909" s="115"/>
      <c r="BZ2909" s="115"/>
      <c r="CA2909" s="115"/>
      <c r="CB2909" s="115"/>
      <c r="CC2909" s="115"/>
      <c r="CD2909" s="115"/>
      <c r="CE2909" s="115"/>
      <c r="CF2909" s="115"/>
      <c r="CG2909" s="115"/>
      <c r="CH2909" s="115"/>
      <c r="CI2909" s="115"/>
      <c r="CJ2909" s="115"/>
      <c r="CK2909" s="115"/>
      <c r="CL2909" s="115"/>
      <c r="CM2909" s="115"/>
      <c r="CN2909" s="115"/>
      <c r="CO2909" s="115"/>
      <c r="CP2909" s="115"/>
      <c r="CQ2909" s="115"/>
      <c r="CR2909" s="115"/>
      <c r="CS2909" s="115"/>
      <c r="CT2909" s="115"/>
      <c r="CU2909" s="115"/>
      <c r="CV2909" s="115"/>
      <c r="CW2909" s="115"/>
      <c r="CX2909" s="115"/>
      <c r="CY2909" s="115"/>
      <c r="CZ2909" s="115"/>
      <c r="DA2909" s="115"/>
      <c r="DB2909" s="115"/>
      <c r="DC2909" s="115"/>
      <c r="DD2909" s="115"/>
      <c r="DE2909" s="115"/>
      <c r="DF2909" s="115"/>
      <c r="DG2909" s="115"/>
    </row>
    <row r="2910" spans="55:111" hidden="1">
      <c r="BC2910" s="115"/>
      <c r="BD2910" s="115"/>
      <c r="BE2910" s="115"/>
      <c r="BF2910" s="115"/>
      <c r="BG2910" s="115"/>
      <c r="BH2910" s="115"/>
      <c r="BI2910" s="115"/>
      <c r="BJ2910" s="115"/>
      <c r="BK2910" s="115"/>
      <c r="BL2910" s="115"/>
      <c r="BM2910" s="115"/>
      <c r="BN2910" s="115"/>
      <c r="BO2910" s="115"/>
      <c r="BP2910" s="115"/>
      <c r="BQ2910" s="115"/>
      <c r="BR2910" s="115"/>
      <c r="BS2910" s="115"/>
      <c r="BT2910" s="115"/>
      <c r="BU2910" s="115"/>
      <c r="BV2910" s="115"/>
      <c r="BW2910" s="115"/>
      <c r="BX2910" s="115"/>
      <c r="BY2910" s="115"/>
      <c r="BZ2910" s="115"/>
      <c r="CA2910" s="115"/>
      <c r="CB2910" s="115"/>
      <c r="CC2910" s="115"/>
      <c r="CD2910" s="115"/>
      <c r="CE2910" s="115"/>
      <c r="CF2910" s="115"/>
      <c r="CG2910" s="115"/>
      <c r="CH2910" s="115"/>
      <c r="CI2910" s="115"/>
      <c r="CJ2910" s="115"/>
      <c r="CK2910" s="115"/>
      <c r="CL2910" s="115"/>
      <c r="CM2910" s="115"/>
      <c r="CN2910" s="115"/>
      <c r="CO2910" s="115"/>
      <c r="CP2910" s="115"/>
      <c r="CQ2910" s="115"/>
      <c r="CR2910" s="115"/>
      <c r="CS2910" s="115"/>
      <c r="CT2910" s="115"/>
      <c r="CU2910" s="115"/>
      <c r="CV2910" s="115"/>
      <c r="CW2910" s="115"/>
      <c r="CX2910" s="115"/>
      <c r="CY2910" s="115"/>
      <c r="CZ2910" s="115"/>
      <c r="DA2910" s="115"/>
      <c r="DB2910" s="115"/>
      <c r="DC2910" s="115"/>
      <c r="DD2910" s="115"/>
      <c r="DE2910" s="115"/>
      <c r="DF2910" s="115"/>
      <c r="DG2910" s="115"/>
    </row>
    <row r="2911" spans="55:111" hidden="1">
      <c r="BC2911" s="115"/>
      <c r="BD2911" s="115"/>
      <c r="BE2911" s="115"/>
      <c r="BF2911" s="115"/>
      <c r="BG2911" s="115"/>
      <c r="BH2911" s="115"/>
      <c r="BI2911" s="115"/>
      <c r="BJ2911" s="115"/>
      <c r="BK2911" s="115"/>
      <c r="BL2911" s="115"/>
      <c r="BM2911" s="115"/>
      <c r="BN2911" s="115"/>
      <c r="BO2911" s="115"/>
      <c r="BP2911" s="115"/>
      <c r="BQ2911" s="115"/>
      <c r="BR2911" s="115"/>
      <c r="BS2911" s="115"/>
      <c r="BT2911" s="115"/>
      <c r="BU2911" s="115"/>
      <c r="BV2911" s="115"/>
      <c r="BW2911" s="115"/>
      <c r="BX2911" s="115"/>
      <c r="BY2911" s="115"/>
      <c r="BZ2911" s="115"/>
      <c r="CA2911" s="115"/>
      <c r="CB2911" s="115"/>
      <c r="CC2911" s="115"/>
      <c r="CD2911" s="115"/>
      <c r="CE2911" s="115"/>
      <c r="CF2911" s="115"/>
      <c r="CG2911" s="115"/>
      <c r="CH2911" s="115"/>
      <c r="CI2911" s="115"/>
      <c r="CJ2911" s="115"/>
      <c r="CK2911" s="115"/>
      <c r="CL2911" s="115"/>
      <c r="CM2911" s="115"/>
      <c r="CN2911" s="115"/>
      <c r="CO2911" s="115"/>
      <c r="CP2911" s="115"/>
      <c r="CQ2911" s="115"/>
      <c r="CR2911" s="115"/>
      <c r="CS2911" s="115"/>
      <c r="CT2911" s="115"/>
      <c r="CU2911" s="115"/>
      <c r="CV2911" s="115"/>
      <c r="CW2911" s="115"/>
      <c r="CX2911" s="115"/>
      <c r="CY2911" s="115"/>
      <c r="CZ2911" s="115"/>
      <c r="DA2911" s="115"/>
      <c r="DB2911" s="115"/>
      <c r="DC2911" s="115"/>
      <c r="DD2911" s="115"/>
      <c r="DE2911" s="115"/>
      <c r="DF2911" s="115"/>
      <c r="DG2911" s="115"/>
    </row>
    <row r="2912" spans="55:111" hidden="1">
      <c r="BC2912" s="115"/>
      <c r="BD2912" s="115"/>
      <c r="BE2912" s="115"/>
      <c r="BF2912" s="115"/>
      <c r="BG2912" s="115"/>
      <c r="BH2912" s="115"/>
      <c r="BI2912" s="115"/>
      <c r="BJ2912" s="115"/>
      <c r="BK2912" s="115"/>
      <c r="BL2912" s="115"/>
      <c r="BM2912" s="115"/>
      <c r="BN2912" s="115"/>
      <c r="BO2912" s="115"/>
      <c r="BP2912" s="115"/>
      <c r="BQ2912" s="115"/>
      <c r="BR2912" s="115"/>
      <c r="BS2912" s="115"/>
      <c r="BT2912" s="115"/>
      <c r="BU2912" s="115"/>
      <c r="BV2912" s="115"/>
      <c r="BW2912" s="115"/>
      <c r="BX2912" s="115"/>
      <c r="BY2912" s="115"/>
      <c r="BZ2912" s="115"/>
      <c r="CA2912" s="115"/>
      <c r="CB2912" s="115"/>
      <c r="CC2912" s="115"/>
      <c r="CD2912" s="115"/>
      <c r="CE2912" s="115"/>
      <c r="CF2912" s="115"/>
      <c r="CG2912" s="115"/>
      <c r="CH2912" s="115"/>
      <c r="CI2912" s="115"/>
      <c r="CJ2912" s="115"/>
      <c r="CK2912" s="115"/>
      <c r="CL2912" s="115"/>
      <c r="CM2912" s="115"/>
      <c r="CN2912" s="115"/>
      <c r="CO2912" s="115"/>
      <c r="CP2912" s="115"/>
      <c r="CQ2912" s="115"/>
      <c r="CR2912" s="115"/>
      <c r="CS2912" s="115"/>
      <c r="CT2912" s="115"/>
      <c r="CU2912" s="115"/>
      <c r="CV2912" s="115"/>
      <c r="CW2912" s="115"/>
      <c r="CX2912" s="115"/>
      <c r="CY2912" s="115"/>
      <c r="CZ2912" s="115"/>
      <c r="DA2912" s="115"/>
      <c r="DB2912" s="115"/>
      <c r="DC2912" s="115"/>
      <c r="DD2912" s="115"/>
      <c r="DE2912" s="115"/>
      <c r="DF2912" s="115"/>
      <c r="DG2912" s="115"/>
    </row>
    <row r="2913" spans="55:111" hidden="1">
      <c r="BC2913" s="115"/>
      <c r="BD2913" s="115"/>
      <c r="BE2913" s="115"/>
      <c r="BF2913" s="115"/>
      <c r="BG2913" s="115"/>
      <c r="BH2913" s="115"/>
      <c r="BI2913" s="115"/>
      <c r="BJ2913" s="115"/>
      <c r="BK2913" s="115"/>
      <c r="BL2913" s="115"/>
      <c r="BM2913" s="115"/>
      <c r="BN2913" s="115"/>
      <c r="BO2913" s="115"/>
      <c r="BP2913" s="115"/>
      <c r="BQ2913" s="115"/>
      <c r="BR2913" s="115"/>
      <c r="BS2913" s="115"/>
      <c r="BT2913" s="115"/>
      <c r="BU2913" s="115"/>
      <c r="BV2913" s="115"/>
      <c r="BW2913" s="115"/>
      <c r="BX2913" s="115"/>
      <c r="BY2913" s="115"/>
      <c r="BZ2913" s="115"/>
      <c r="CA2913" s="115"/>
      <c r="CB2913" s="115"/>
      <c r="CC2913" s="115"/>
      <c r="CD2913" s="115"/>
      <c r="CE2913" s="115"/>
      <c r="CF2913" s="115"/>
      <c r="CG2913" s="115"/>
      <c r="CH2913" s="115"/>
      <c r="CI2913" s="115"/>
      <c r="CJ2913" s="115"/>
      <c r="CK2913" s="115"/>
      <c r="CL2913" s="115"/>
      <c r="CM2913" s="115"/>
      <c r="CN2913" s="115"/>
      <c r="CO2913" s="115"/>
      <c r="CP2913" s="115"/>
      <c r="CQ2913" s="115"/>
      <c r="CR2913" s="115"/>
      <c r="CS2913" s="115"/>
      <c r="CT2913" s="115"/>
      <c r="CU2913" s="115"/>
      <c r="CV2913" s="115"/>
      <c r="CW2913" s="115"/>
      <c r="CX2913" s="115"/>
      <c r="CY2913" s="115"/>
      <c r="CZ2913" s="115"/>
      <c r="DA2913" s="115"/>
      <c r="DB2913" s="115"/>
      <c r="DC2913" s="115"/>
      <c r="DD2913" s="115"/>
      <c r="DE2913" s="115"/>
      <c r="DF2913" s="115"/>
      <c r="DG2913" s="115"/>
    </row>
    <row r="2914" spans="55:111" hidden="1">
      <c r="BC2914" s="115"/>
      <c r="BD2914" s="115"/>
      <c r="BE2914" s="115"/>
      <c r="BF2914" s="115"/>
      <c r="BG2914" s="115"/>
      <c r="BH2914" s="115"/>
      <c r="BI2914" s="115"/>
      <c r="BJ2914" s="115"/>
      <c r="BK2914" s="115"/>
      <c r="BL2914" s="115"/>
      <c r="BM2914" s="115"/>
      <c r="BN2914" s="115"/>
      <c r="BO2914" s="115"/>
      <c r="BP2914" s="115"/>
      <c r="BQ2914" s="115"/>
      <c r="BR2914" s="115"/>
      <c r="BS2914" s="115"/>
      <c r="BT2914" s="115"/>
      <c r="BU2914" s="115"/>
      <c r="BV2914" s="115"/>
      <c r="BW2914" s="115"/>
      <c r="BX2914" s="115"/>
      <c r="BY2914" s="115"/>
      <c r="BZ2914" s="115"/>
      <c r="CA2914" s="115"/>
      <c r="CB2914" s="115"/>
      <c r="CC2914" s="115"/>
      <c r="CD2914" s="115"/>
      <c r="CE2914" s="115"/>
      <c r="CF2914" s="115"/>
      <c r="CG2914" s="115"/>
      <c r="CH2914" s="115"/>
      <c r="CI2914" s="115"/>
      <c r="CJ2914" s="115"/>
      <c r="CK2914" s="115"/>
      <c r="CL2914" s="115"/>
      <c r="CM2914" s="115"/>
      <c r="CN2914" s="115"/>
      <c r="CO2914" s="115"/>
      <c r="CP2914" s="115"/>
      <c r="CQ2914" s="115"/>
      <c r="CR2914" s="115"/>
      <c r="CS2914" s="115"/>
      <c r="CT2914" s="115"/>
      <c r="CU2914" s="115"/>
      <c r="CV2914" s="115"/>
      <c r="CW2914" s="115"/>
      <c r="CX2914" s="115"/>
      <c r="CY2914" s="115"/>
      <c r="CZ2914" s="115"/>
      <c r="DA2914" s="115"/>
      <c r="DB2914" s="115"/>
      <c r="DC2914" s="115"/>
      <c r="DD2914" s="115"/>
      <c r="DE2914" s="115"/>
      <c r="DF2914" s="115"/>
      <c r="DG2914" s="115"/>
    </row>
    <row r="2915" spans="55:111" hidden="1">
      <c r="BC2915" s="115"/>
      <c r="BD2915" s="115"/>
      <c r="BE2915" s="115"/>
      <c r="BF2915" s="115"/>
      <c r="BG2915" s="115"/>
      <c r="BH2915" s="115"/>
      <c r="BI2915" s="115"/>
      <c r="BJ2915" s="115"/>
      <c r="BK2915" s="115"/>
      <c r="BL2915" s="115"/>
      <c r="BM2915" s="115"/>
      <c r="BN2915" s="115"/>
      <c r="BO2915" s="115"/>
      <c r="BP2915" s="115"/>
      <c r="BQ2915" s="115"/>
      <c r="BR2915" s="115"/>
      <c r="BS2915" s="115"/>
      <c r="BT2915" s="115"/>
      <c r="BU2915" s="115"/>
      <c r="BV2915" s="115"/>
      <c r="BW2915" s="115"/>
      <c r="BX2915" s="115"/>
      <c r="BY2915" s="115"/>
      <c r="BZ2915" s="115"/>
      <c r="CA2915" s="115"/>
      <c r="CB2915" s="115"/>
      <c r="CC2915" s="115"/>
      <c r="CD2915" s="115"/>
      <c r="CE2915" s="115"/>
      <c r="CF2915" s="115"/>
      <c r="CG2915" s="115"/>
      <c r="CH2915" s="115"/>
      <c r="CI2915" s="115"/>
      <c r="CJ2915" s="115"/>
      <c r="CK2915" s="115"/>
      <c r="CL2915" s="115"/>
      <c r="CM2915" s="115"/>
      <c r="CN2915" s="115"/>
      <c r="CO2915" s="115"/>
      <c r="CP2915" s="115"/>
      <c r="CQ2915" s="115"/>
      <c r="CR2915" s="115"/>
      <c r="CS2915" s="115"/>
      <c r="CT2915" s="115"/>
      <c r="CU2915" s="115"/>
      <c r="CV2915" s="115"/>
      <c r="CW2915" s="115"/>
      <c r="CX2915" s="115"/>
      <c r="CY2915" s="115"/>
      <c r="CZ2915" s="115"/>
      <c r="DA2915" s="115"/>
      <c r="DB2915" s="115"/>
      <c r="DC2915" s="115"/>
      <c r="DD2915" s="115"/>
      <c r="DE2915" s="115"/>
      <c r="DF2915" s="115"/>
      <c r="DG2915" s="115"/>
    </row>
    <row r="2916" spans="55:111" hidden="1">
      <c r="BC2916" s="115"/>
      <c r="BD2916" s="115"/>
      <c r="BE2916" s="115"/>
      <c r="BF2916" s="115"/>
      <c r="BG2916" s="115"/>
      <c r="BH2916" s="115"/>
      <c r="BI2916" s="115"/>
      <c r="BJ2916" s="115"/>
      <c r="BK2916" s="115"/>
      <c r="BL2916" s="115"/>
      <c r="BM2916" s="115"/>
      <c r="BN2916" s="115"/>
      <c r="BO2916" s="115"/>
      <c r="BP2916" s="115"/>
      <c r="BQ2916" s="115"/>
      <c r="BR2916" s="115"/>
      <c r="BS2916" s="115"/>
      <c r="BT2916" s="115"/>
      <c r="BU2916" s="115"/>
      <c r="BV2916" s="115"/>
      <c r="BW2916" s="115"/>
      <c r="BX2916" s="115"/>
      <c r="BY2916" s="115"/>
      <c r="BZ2916" s="115"/>
      <c r="CA2916" s="115"/>
      <c r="CB2916" s="115"/>
      <c r="CC2916" s="115"/>
      <c r="CD2916" s="115"/>
      <c r="CE2916" s="115"/>
      <c r="CF2916" s="115"/>
      <c r="CG2916" s="115"/>
      <c r="CH2916" s="115"/>
      <c r="CI2916" s="115"/>
      <c r="CJ2916" s="115"/>
      <c r="CK2916" s="115"/>
      <c r="CL2916" s="115"/>
      <c r="CM2916" s="115"/>
      <c r="CN2916" s="115"/>
      <c r="CO2916" s="115"/>
      <c r="CP2916" s="115"/>
      <c r="CQ2916" s="115"/>
      <c r="CR2916" s="115"/>
      <c r="CS2916" s="115"/>
      <c r="CT2916" s="115"/>
      <c r="CU2916" s="115"/>
      <c r="CV2916" s="115"/>
      <c r="CW2916" s="115"/>
      <c r="CX2916" s="115"/>
      <c r="CY2916" s="115"/>
      <c r="CZ2916" s="115"/>
      <c r="DA2916" s="115"/>
      <c r="DB2916" s="115"/>
      <c r="DC2916" s="115"/>
      <c r="DD2916" s="115"/>
      <c r="DE2916" s="115"/>
      <c r="DF2916" s="115"/>
      <c r="DG2916" s="115"/>
    </row>
    <row r="2917" spans="55:111" hidden="1">
      <c r="BC2917" s="115"/>
      <c r="BD2917" s="115"/>
      <c r="BE2917" s="115"/>
      <c r="BF2917" s="115"/>
      <c r="BG2917" s="115"/>
      <c r="BH2917" s="115"/>
      <c r="BI2917" s="115"/>
      <c r="BJ2917" s="115"/>
      <c r="BK2917" s="115"/>
      <c r="BL2917" s="115"/>
      <c r="BM2917" s="115"/>
      <c r="BN2917" s="115"/>
      <c r="BO2917" s="115"/>
      <c r="BP2917" s="115"/>
      <c r="BQ2917" s="115"/>
      <c r="BR2917" s="115"/>
      <c r="BS2917" s="115"/>
      <c r="BT2917" s="115"/>
      <c r="BU2917" s="115"/>
      <c r="BV2917" s="115"/>
      <c r="BW2917" s="115"/>
      <c r="BX2917" s="115"/>
      <c r="BY2917" s="115"/>
      <c r="BZ2917" s="115"/>
      <c r="CA2917" s="115"/>
      <c r="CB2917" s="115"/>
      <c r="CC2917" s="115"/>
      <c r="CD2917" s="115"/>
      <c r="CE2917" s="115"/>
      <c r="CF2917" s="115"/>
      <c r="CG2917" s="115"/>
      <c r="CH2917" s="115"/>
      <c r="CI2917" s="115"/>
      <c r="CJ2917" s="115"/>
      <c r="CK2917" s="115"/>
      <c r="CL2917" s="115"/>
      <c r="CM2917" s="115"/>
      <c r="CN2917" s="115"/>
      <c r="CO2917" s="115"/>
      <c r="CP2917" s="115"/>
      <c r="CQ2917" s="115"/>
      <c r="CR2917" s="115"/>
      <c r="CS2917" s="115"/>
      <c r="CT2917" s="115"/>
      <c r="CU2917" s="115"/>
      <c r="CV2917" s="115"/>
      <c r="CW2917" s="115"/>
      <c r="CX2917" s="115"/>
      <c r="CY2917" s="115"/>
      <c r="CZ2917" s="115"/>
      <c r="DA2917" s="115"/>
      <c r="DB2917" s="115"/>
      <c r="DC2917" s="115"/>
      <c r="DD2917" s="115"/>
      <c r="DE2917" s="115"/>
      <c r="DF2917" s="115"/>
      <c r="DG2917" s="115"/>
    </row>
    <row r="2918" spans="55:111" hidden="1">
      <c r="BC2918" s="115"/>
      <c r="BD2918" s="115"/>
      <c r="BE2918" s="115"/>
      <c r="BF2918" s="115"/>
      <c r="BG2918" s="115"/>
      <c r="BH2918" s="115"/>
      <c r="BI2918" s="115"/>
      <c r="BJ2918" s="115"/>
      <c r="BK2918" s="115"/>
      <c r="BL2918" s="115"/>
      <c r="BM2918" s="115"/>
      <c r="BN2918" s="115"/>
      <c r="BO2918" s="115"/>
      <c r="BP2918" s="115"/>
      <c r="BQ2918" s="115"/>
      <c r="BR2918" s="115"/>
      <c r="BS2918" s="115"/>
      <c r="BT2918" s="115"/>
      <c r="BU2918" s="115"/>
      <c r="BV2918" s="115"/>
      <c r="BW2918" s="115"/>
      <c r="BX2918" s="115"/>
      <c r="BY2918" s="115"/>
      <c r="BZ2918" s="115"/>
      <c r="CA2918" s="115"/>
      <c r="CB2918" s="115"/>
      <c r="CC2918" s="115"/>
      <c r="CD2918" s="115"/>
      <c r="CE2918" s="115"/>
      <c r="CF2918" s="115"/>
      <c r="CG2918" s="115"/>
      <c r="CH2918" s="115"/>
      <c r="CI2918" s="115"/>
      <c r="CJ2918" s="115"/>
      <c r="CK2918" s="115"/>
      <c r="CL2918" s="115"/>
      <c r="CM2918" s="115"/>
      <c r="CN2918" s="115"/>
      <c r="CO2918" s="115"/>
      <c r="CP2918" s="115"/>
      <c r="CQ2918" s="115"/>
      <c r="CR2918" s="115"/>
      <c r="CS2918" s="115"/>
      <c r="CT2918" s="115"/>
      <c r="CU2918" s="115"/>
      <c r="CV2918" s="115"/>
      <c r="CW2918" s="115"/>
      <c r="CX2918" s="115"/>
      <c r="CY2918" s="115"/>
      <c r="CZ2918" s="115"/>
      <c r="DA2918" s="115"/>
      <c r="DB2918" s="115"/>
      <c r="DC2918" s="115"/>
      <c r="DD2918" s="115"/>
      <c r="DE2918" s="115"/>
      <c r="DF2918" s="115"/>
      <c r="DG2918" s="115"/>
    </row>
    <row r="2919" spans="55:111" hidden="1">
      <c r="BC2919" s="115"/>
      <c r="BD2919" s="115"/>
      <c r="BE2919" s="115"/>
      <c r="BF2919" s="115"/>
      <c r="BG2919" s="115"/>
      <c r="BH2919" s="115"/>
      <c r="BI2919" s="115"/>
      <c r="BJ2919" s="115"/>
      <c r="BK2919" s="115"/>
      <c r="BL2919" s="115"/>
      <c r="BM2919" s="115"/>
      <c r="BN2919" s="115"/>
      <c r="BO2919" s="115"/>
      <c r="BP2919" s="115"/>
      <c r="BQ2919" s="115"/>
      <c r="BR2919" s="115"/>
      <c r="BS2919" s="115"/>
      <c r="BT2919" s="115"/>
      <c r="BU2919" s="115"/>
      <c r="BV2919" s="115"/>
      <c r="BW2919" s="115"/>
      <c r="BX2919" s="115"/>
      <c r="BY2919" s="115"/>
      <c r="BZ2919" s="115"/>
      <c r="CA2919" s="115"/>
      <c r="CB2919" s="115"/>
      <c r="CC2919" s="115"/>
      <c r="CD2919" s="115"/>
      <c r="CE2919" s="115"/>
      <c r="CF2919" s="115"/>
      <c r="CG2919" s="115"/>
      <c r="CH2919" s="115"/>
      <c r="CI2919" s="115"/>
      <c r="CJ2919" s="115"/>
      <c r="CK2919" s="115"/>
      <c r="CL2919" s="115"/>
      <c r="CM2919" s="115"/>
      <c r="CN2919" s="115"/>
      <c r="CO2919" s="115"/>
      <c r="CP2919" s="115"/>
      <c r="CQ2919" s="115"/>
      <c r="CR2919" s="115"/>
      <c r="CS2919" s="115"/>
      <c r="CT2919" s="115"/>
      <c r="CU2919" s="115"/>
      <c r="CV2919" s="115"/>
      <c r="CW2919" s="115"/>
      <c r="CX2919" s="115"/>
      <c r="CY2919" s="115"/>
      <c r="CZ2919" s="115"/>
      <c r="DA2919" s="115"/>
      <c r="DB2919" s="115"/>
      <c r="DC2919" s="115"/>
      <c r="DD2919" s="115"/>
      <c r="DE2919" s="115"/>
      <c r="DF2919" s="115"/>
      <c r="DG2919" s="115"/>
    </row>
    <row r="2920" spans="55:111" hidden="1">
      <c r="BC2920" s="115"/>
      <c r="BD2920" s="115"/>
      <c r="BE2920" s="115"/>
      <c r="BF2920" s="115"/>
      <c r="BG2920" s="115"/>
      <c r="BH2920" s="115"/>
      <c r="BI2920" s="115"/>
      <c r="BJ2920" s="115"/>
      <c r="BK2920" s="115"/>
      <c r="BL2920" s="115"/>
      <c r="BM2920" s="115"/>
      <c r="BN2920" s="115"/>
      <c r="BO2920" s="115"/>
      <c r="BP2920" s="115"/>
      <c r="BQ2920" s="115"/>
      <c r="BR2920" s="115"/>
      <c r="BS2920" s="115"/>
      <c r="BT2920" s="115"/>
      <c r="BU2920" s="115"/>
      <c r="BV2920" s="115"/>
      <c r="BW2920" s="115"/>
      <c r="BX2920" s="115"/>
      <c r="BY2920" s="115"/>
      <c r="BZ2920" s="115"/>
      <c r="CA2920" s="115"/>
      <c r="CB2920" s="115"/>
      <c r="CC2920" s="115"/>
      <c r="CD2920" s="115"/>
      <c r="CE2920" s="115"/>
      <c r="CF2920" s="115"/>
      <c r="CG2920" s="115"/>
      <c r="CH2920" s="115"/>
      <c r="CI2920" s="115"/>
      <c r="CJ2920" s="115"/>
      <c r="CK2920" s="115"/>
      <c r="CL2920" s="115"/>
      <c r="CM2920" s="115"/>
      <c r="CN2920" s="115"/>
      <c r="CO2920" s="115"/>
      <c r="CP2920" s="115"/>
      <c r="CQ2920" s="115"/>
      <c r="CR2920" s="115"/>
      <c r="CS2920" s="115"/>
      <c r="CT2920" s="115"/>
      <c r="CU2920" s="115"/>
      <c r="CV2920" s="115"/>
      <c r="CW2920" s="115"/>
      <c r="CX2920" s="115"/>
      <c r="CY2920" s="115"/>
      <c r="CZ2920" s="115"/>
      <c r="DA2920" s="115"/>
      <c r="DB2920" s="115"/>
      <c r="DC2920" s="115"/>
      <c r="DD2920" s="115"/>
      <c r="DE2920" s="115"/>
      <c r="DF2920" s="115"/>
      <c r="DG2920" s="115"/>
    </row>
    <row r="2921" spans="55:111" hidden="1">
      <c r="BC2921" s="115"/>
      <c r="BD2921" s="115"/>
      <c r="BE2921" s="115"/>
      <c r="BF2921" s="115"/>
      <c r="BG2921" s="115"/>
      <c r="BH2921" s="115"/>
      <c r="BI2921" s="115"/>
      <c r="BJ2921" s="115"/>
      <c r="BK2921" s="115"/>
      <c r="BL2921" s="115"/>
      <c r="BM2921" s="115"/>
      <c r="BN2921" s="115"/>
      <c r="BO2921" s="115"/>
      <c r="BP2921" s="115"/>
      <c r="BQ2921" s="115"/>
      <c r="BR2921" s="115"/>
      <c r="BS2921" s="115"/>
      <c r="BT2921" s="115"/>
      <c r="BU2921" s="115"/>
      <c r="BV2921" s="115"/>
      <c r="BW2921" s="115"/>
      <c r="BX2921" s="115"/>
      <c r="BY2921" s="115"/>
      <c r="BZ2921" s="115"/>
      <c r="CA2921" s="115"/>
      <c r="CB2921" s="115"/>
      <c r="CC2921" s="115"/>
      <c r="CD2921" s="115"/>
      <c r="CE2921" s="115"/>
      <c r="CF2921" s="115"/>
      <c r="CG2921" s="115"/>
      <c r="CH2921" s="115"/>
      <c r="CI2921" s="115"/>
      <c r="CJ2921" s="115"/>
      <c r="CK2921" s="115"/>
      <c r="CL2921" s="115"/>
      <c r="CM2921" s="115"/>
      <c r="CN2921" s="115"/>
      <c r="CO2921" s="115"/>
      <c r="CP2921" s="115"/>
      <c r="CQ2921" s="115"/>
      <c r="CR2921" s="115"/>
      <c r="CS2921" s="115"/>
      <c r="CT2921" s="115"/>
      <c r="CU2921" s="115"/>
      <c r="CV2921" s="115"/>
      <c r="CW2921" s="115"/>
      <c r="CX2921" s="115"/>
      <c r="CY2921" s="115"/>
      <c r="CZ2921" s="115"/>
      <c r="DA2921" s="115"/>
      <c r="DB2921" s="115"/>
      <c r="DC2921" s="115"/>
      <c r="DD2921" s="115"/>
      <c r="DE2921" s="115"/>
      <c r="DF2921" s="115"/>
      <c r="DG2921" s="115"/>
    </row>
    <row r="2922" spans="55:111" hidden="1">
      <c r="BC2922" s="115"/>
      <c r="BD2922" s="115"/>
      <c r="BE2922" s="115"/>
      <c r="BF2922" s="115"/>
      <c r="BG2922" s="115"/>
      <c r="BH2922" s="115"/>
      <c r="BI2922" s="115"/>
      <c r="BJ2922" s="115"/>
      <c r="BK2922" s="115"/>
      <c r="BL2922" s="115"/>
      <c r="BM2922" s="115"/>
      <c r="BN2922" s="115"/>
      <c r="BO2922" s="115"/>
      <c r="BP2922" s="115"/>
      <c r="BQ2922" s="115"/>
      <c r="BR2922" s="115"/>
      <c r="BS2922" s="115"/>
      <c r="BT2922" s="115"/>
      <c r="BU2922" s="115"/>
      <c r="BV2922" s="115"/>
      <c r="BW2922" s="115"/>
      <c r="BX2922" s="115"/>
      <c r="BY2922" s="115"/>
      <c r="BZ2922" s="115"/>
      <c r="CA2922" s="115"/>
      <c r="CB2922" s="115"/>
      <c r="CC2922" s="115"/>
      <c r="CD2922" s="115"/>
      <c r="CE2922" s="115"/>
      <c r="CF2922" s="115"/>
      <c r="CG2922" s="115"/>
      <c r="CH2922" s="115"/>
      <c r="CI2922" s="115"/>
      <c r="CJ2922" s="115"/>
      <c r="CK2922" s="115"/>
      <c r="CL2922" s="115"/>
      <c r="CM2922" s="115"/>
      <c r="CN2922" s="115"/>
      <c r="CO2922" s="115"/>
      <c r="CP2922" s="115"/>
      <c r="CQ2922" s="115"/>
      <c r="CR2922" s="115"/>
      <c r="CS2922" s="115"/>
      <c r="CT2922" s="115"/>
      <c r="CU2922" s="115"/>
      <c r="CV2922" s="115"/>
      <c r="CW2922" s="115"/>
      <c r="CX2922" s="115"/>
      <c r="CY2922" s="115"/>
      <c r="CZ2922" s="115"/>
      <c r="DA2922" s="115"/>
      <c r="DB2922" s="115"/>
      <c r="DC2922" s="115"/>
      <c r="DD2922" s="115"/>
      <c r="DE2922" s="115"/>
      <c r="DF2922" s="115"/>
      <c r="DG2922" s="115"/>
    </row>
    <row r="2923" spans="55:111" hidden="1">
      <c r="BC2923" s="115"/>
      <c r="BD2923" s="115"/>
      <c r="BE2923" s="115"/>
      <c r="BF2923" s="115"/>
      <c r="BG2923" s="115"/>
      <c r="BH2923" s="115"/>
      <c r="BI2923" s="115"/>
      <c r="BJ2923" s="115"/>
      <c r="BK2923" s="115"/>
      <c r="BL2923" s="115"/>
      <c r="BM2923" s="115"/>
      <c r="BN2923" s="115"/>
      <c r="BO2923" s="115"/>
      <c r="BP2923" s="115"/>
      <c r="BQ2923" s="115"/>
      <c r="BR2923" s="115"/>
      <c r="BS2923" s="115"/>
      <c r="BT2923" s="115"/>
      <c r="BU2923" s="115"/>
      <c r="BV2923" s="115"/>
      <c r="BW2923" s="115"/>
      <c r="BX2923" s="115"/>
      <c r="BY2923" s="115"/>
      <c r="BZ2923" s="115"/>
      <c r="CA2923" s="115"/>
      <c r="CB2923" s="115"/>
      <c r="CC2923" s="115"/>
      <c r="CD2923" s="115"/>
      <c r="CE2923" s="115"/>
      <c r="CF2923" s="115"/>
      <c r="CG2923" s="115"/>
      <c r="CH2923" s="115"/>
      <c r="CI2923" s="115"/>
      <c r="CJ2923" s="115"/>
      <c r="CK2923" s="115"/>
      <c r="CL2923" s="115"/>
      <c r="CM2923" s="115"/>
      <c r="CN2923" s="115"/>
      <c r="CO2923" s="115"/>
      <c r="CP2923" s="115"/>
      <c r="CQ2923" s="115"/>
      <c r="CR2923" s="115"/>
      <c r="CS2923" s="115"/>
      <c r="CT2923" s="115"/>
      <c r="CU2923" s="115"/>
      <c r="CV2923" s="115"/>
      <c r="CW2923" s="115"/>
      <c r="CX2923" s="115"/>
      <c r="CY2923" s="115"/>
      <c r="CZ2923" s="115"/>
      <c r="DA2923" s="115"/>
      <c r="DB2923" s="115"/>
      <c r="DC2923" s="115"/>
      <c r="DD2923" s="115"/>
      <c r="DE2923" s="115"/>
      <c r="DF2923" s="115"/>
      <c r="DG2923" s="115"/>
    </row>
    <row r="2924" spans="55:111" hidden="1">
      <c r="BC2924" s="115"/>
      <c r="BD2924" s="115"/>
      <c r="BE2924" s="115"/>
      <c r="BF2924" s="115"/>
      <c r="BG2924" s="115"/>
      <c r="BH2924" s="115"/>
      <c r="BI2924" s="115"/>
      <c r="BJ2924" s="115"/>
      <c r="BK2924" s="115"/>
      <c r="BL2924" s="115"/>
      <c r="BM2924" s="115"/>
      <c r="BN2924" s="115"/>
      <c r="BO2924" s="115"/>
      <c r="BP2924" s="115"/>
      <c r="BQ2924" s="115"/>
      <c r="BR2924" s="115"/>
      <c r="BS2924" s="115"/>
      <c r="BT2924" s="115"/>
      <c r="BU2924" s="115"/>
      <c r="BV2924" s="115"/>
      <c r="BW2924" s="115"/>
      <c r="BX2924" s="115"/>
      <c r="BY2924" s="115"/>
      <c r="BZ2924" s="115"/>
      <c r="CA2924" s="115"/>
      <c r="CB2924" s="115"/>
      <c r="CC2924" s="115"/>
      <c r="CD2924" s="115"/>
      <c r="CE2924" s="115"/>
      <c r="CF2924" s="115"/>
      <c r="CG2924" s="115"/>
      <c r="CH2924" s="115"/>
      <c r="CI2924" s="115"/>
      <c r="CJ2924" s="115"/>
      <c r="CK2924" s="115"/>
      <c r="CL2924" s="115"/>
      <c r="CM2924" s="115"/>
      <c r="CN2924" s="115"/>
      <c r="CO2924" s="115"/>
      <c r="CP2924" s="115"/>
      <c r="CQ2924" s="115"/>
      <c r="CR2924" s="115"/>
      <c r="CS2924" s="115"/>
      <c r="CT2924" s="115"/>
      <c r="CU2924" s="115"/>
      <c r="CV2924" s="115"/>
      <c r="CW2924" s="115"/>
      <c r="CX2924" s="115"/>
      <c r="CY2924" s="115"/>
      <c r="CZ2924" s="115"/>
      <c r="DA2924" s="115"/>
      <c r="DB2924" s="115"/>
      <c r="DC2924" s="115"/>
      <c r="DD2924" s="115"/>
      <c r="DE2924" s="115"/>
      <c r="DF2924" s="115"/>
      <c r="DG2924" s="115"/>
    </row>
    <row r="2925" spans="55:111" hidden="1">
      <c r="BC2925" s="115"/>
      <c r="BD2925" s="115"/>
      <c r="BE2925" s="115"/>
      <c r="BF2925" s="115"/>
      <c r="BG2925" s="115"/>
      <c r="BH2925" s="115"/>
      <c r="BI2925" s="115"/>
      <c r="BJ2925" s="115"/>
      <c r="BK2925" s="115"/>
      <c r="BL2925" s="115"/>
      <c r="BM2925" s="115"/>
      <c r="BN2925" s="115"/>
      <c r="BO2925" s="115"/>
      <c r="BP2925" s="115"/>
      <c r="BQ2925" s="115"/>
      <c r="BR2925" s="115"/>
      <c r="BS2925" s="115"/>
      <c r="BT2925" s="115"/>
      <c r="BU2925" s="115"/>
      <c r="BV2925" s="115"/>
      <c r="BW2925" s="115"/>
      <c r="BX2925" s="115"/>
      <c r="BY2925" s="115"/>
      <c r="BZ2925" s="115"/>
      <c r="CA2925" s="115"/>
      <c r="CB2925" s="115"/>
      <c r="CC2925" s="115"/>
      <c r="CD2925" s="115"/>
      <c r="CE2925" s="115"/>
      <c r="CF2925" s="115"/>
      <c r="CG2925" s="115"/>
      <c r="CH2925" s="115"/>
      <c r="CI2925" s="115"/>
      <c r="CJ2925" s="115"/>
      <c r="CK2925" s="115"/>
      <c r="CL2925" s="115"/>
      <c r="CM2925" s="115"/>
      <c r="CN2925" s="115"/>
      <c r="CO2925" s="115"/>
      <c r="CP2925" s="115"/>
      <c r="CQ2925" s="115"/>
      <c r="CR2925" s="115"/>
      <c r="CS2925" s="115"/>
      <c r="CT2925" s="115"/>
      <c r="CU2925" s="115"/>
      <c r="CV2925" s="115"/>
      <c r="CW2925" s="115"/>
      <c r="CX2925" s="115"/>
      <c r="CY2925" s="115"/>
      <c r="CZ2925" s="115"/>
      <c r="DA2925" s="115"/>
      <c r="DB2925" s="115"/>
      <c r="DC2925" s="115"/>
      <c r="DD2925" s="115"/>
      <c r="DE2925" s="115"/>
      <c r="DF2925" s="115"/>
      <c r="DG2925" s="115"/>
    </row>
    <row r="2926" spans="55:111" hidden="1">
      <c r="BC2926" s="115"/>
      <c r="BD2926" s="115"/>
      <c r="BE2926" s="115"/>
      <c r="BF2926" s="115"/>
      <c r="BG2926" s="115"/>
      <c r="BH2926" s="115"/>
      <c r="BI2926" s="115"/>
      <c r="BJ2926" s="115"/>
      <c r="BK2926" s="115"/>
      <c r="BL2926" s="115"/>
      <c r="BM2926" s="115"/>
      <c r="BN2926" s="115"/>
      <c r="BO2926" s="115"/>
      <c r="BP2926" s="115"/>
      <c r="BQ2926" s="115"/>
      <c r="BR2926" s="115"/>
      <c r="BS2926" s="115"/>
      <c r="BT2926" s="115"/>
      <c r="BU2926" s="115"/>
      <c r="BV2926" s="115"/>
      <c r="BW2926" s="115"/>
      <c r="BX2926" s="115"/>
      <c r="BY2926" s="115"/>
      <c r="BZ2926" s="115"/>
      <c r="CA2926" s="115"/>
      <c r="CB2926" s="115"/>
      <c r="CC2926" s="115"/>
      <c r="CD2926" s="115"/>
      <c r="CE2926" s="115"/>
      <c r="CF2926" s="115"/>
      <c r="CG2926" s="115"/>
      <c r="CH2926" s="115"/>
      <c r="CI2926" s="115"/>
      <c r="CJ2926" s="115"/>
      <c r="CK2926" s="115"/>
      <c r="CL2926" s="115"/>
      <c r="CM2926" s="115"/>
      <c r="CN2926" s="115"/>
      <c r="CO2926" s="115"/>
      <c r="CP2926" s="115"/>
      <c r="CQ2926" s="115"/>
      <c r="CR2926" s="115"/>
      <c r="CS2926" s="115"/>
      <c r="CT2926" s="115"/>
      <c r="CU2926" s="115"/>
      <c r="CV2926" s="115"/>
      <c r="CW2926" s="115"/>
      <c r="CX2926" s="115"/>
      <c r="CY2926" s="115"/>
      <c r="CZ2926" s="115"/>
      <c r="DA2926" s="115"/>
      <c r="DB2926" s="115"/>
      <c r="DC2926" s="115"/>
      <c r="DD2926" s="115"/>
      <c r="DE2926" s="115"/>
      <c r="DF2926" s="115"/>
      <c r="DG2926" s="115"/>
    </row>
    <row r="2927" spans="55:111" hidden="1">
      <c r="BC2927" s="115"/>
      <c r="BD2927" s="115"/>
      <c r="BE2927" s="115"/>
      <c r="BF2927" s="115"/>
      <c r="BG2927" s="115"/>
      <c r="BH2927" s="115"/>
      <c r="BI2927" s="115"/>
      <c r="BJ2927" s="115"/>
      <c r="BK2927" s="115"/>
      <c r="BL2927" s="115"/>
      <c r="BM2927" s="115"/>
      <c r="BN2927" s="115"/>
      <c r="BO2927" s="115"/>
      <c r="BP2927" s="115"/>
      <c r="BQ2927" s="115"/>
      <c r="BR2927" s="115"/>
      <c r="BS2927" s="115"/>
      <c r="BT2927" s="115"/>
      <c r="BU2927" s="115"/>
      <c r="BV2927" s="115"/>
      <c r="BW2927" s="115"/>
      <c r="BX2927" s="115"/>
      <c r="BY2927" s="115"/>
      <c r="BZ2927" s="115"/>
      <c r="CA2927" s="115"/>
      <c r="CB2927" s="115"/>
      <c r="CC2927" s="115"/>
      <c r="CD2927" s="115"/>
      <c r="CE2927" s="115"/>
      <c r="CF2927" s="115"/>
      <c r="CG2927" s="115"/>
      <c r="CH2927" s="115"/>
      <c r="CI2927" s="115"/>
      <c r="CJ2927" s="115"/>
      <c r="CK2927" s="115"/>
      <c r="CL2927" s="115"/>
      <c r="CM2927" s="115"/>
      <c r="CN2927" s="115"/>
      <c r="CO2927" s="115"/>
      <c r="CP2927" s="115"/>
      <c r="CQ2927" s="115"/>
      <c r="CR2927" s="115"/>
      <c r="CS2927" s="115"/>
      <c r="CT2927" s="115"/>
      <c r="CU2927" s="115"/>
      <c r="CV2927" s="115"/>
      <c r="CW2927" s="115"/>
      <c r="CX2927" s="115"/>
      <c r="CY2927" s="115"/>
      <c r="CZ2927" s="115"/>
      <c r="DA2927" s="115"/>
      <c r="DB2927" s="115"/>
      <c r="DC2927" s="115"/>
      <c r="DD2927" s="115"/>
      <c r="DE2927" s="115"/>
      <c r="DF2927" s="115"/>
      <c r="DG2927" s="115"/>
    </row>
    <row r="2928" spans="55:111" hidden="1">
      <c r="BC2928" s="115"/>
      <c r="BD2928" s="115"/>
      <c r="BE2928" s="115"/>
      <c r="BF2928" s="115"/>
      <c r="BG2928" s="115"/>
      <c r="BH2928" s="115"/>
      <c r="BI2928" s="115"/>
      <c r="BJ2928" s="115"/>
      <c r="BK2928" s="115"/>
      <c r="BL2928" s="115"/>
      <c r="BM2928" s="115"/>
      <c r="BN2928" s="115"/>
      <c r="BO2928" s="115"/>
      <c r="BP2928" s="115"/>
      <c r="BQ2928" s="115"/>
      <c r="BR2928" s="115"/>
      <c r="BS2928" s="115"/>
      <c r="BT2928" s="115"/>
      <c r="BU2928" s="115"/>
      <c r="BV2928" s="115"/>
      <c r="BW2928" s="115"/>
      <c r="BX2928" s="115"/>
      <c r="BY2928" s="115"/>
      <c r="BZ2928" s="115"/>
      <c r="CA2928" s="115"/>
      <c r="CB2928" s="115"/>
      <c r="CC2928" s="115"/>
      <c r="CD2928" s="115"/>
      <c r="CE2928" s="115"/>
      <c r="CF2928" s="115"/>
      <c r="CG2928" s="115"/>
      <c r="CH2928" s="115"/>
      <c r="CI2928" s="115"/>
      <c r="CJ2928" s="115"/>
      <c r="CK2928" s="115"/>
      <c r="CL2928" s="115"/>
      <c r="CM2928" s="115"/>
      <c r="CN2928" s="115"/>
      <c r="CO2928" s="115"/>
      <c r="CP2928" s="115"/>
      <c r="CQ2928" s="115"/>
      <c r="CR2928" s="115"/>
      <c r="CS2928" s="115"/>
      <c r="CT2928" s="115"/>
      <c r="CU2928" s="115"/>
      <c r="CV2928" s="115"/>
      <c r="CW2928" s="115"/>
      <c r="CX2928" s="115"/>
      <c r="CY2928" s="115"/>
      <c r="CZ2928" s="115"/>
      <c r="DA2928" s="115"/>
      <c r="DB2928" s="115"/>
      <c r="DC2928" s="115"/>
      <c r="DD2928" s="115"/>
      <c r="DE2928" s="115"/>
      <c r="DF2928" s="115"/>
      <c r="DG2928" s="115"/>
    </row>
    <row r="2929" spans="55:111" hidden="1">
      <c r="BC2929" s="115"/>
      <c r="BD2929" s="115"/>
      <c r="BE2929" s="115"/>
      <c r="BF2929" s="115"/>
      <c r="BG2929" s="115"/>
      <c r="BH2929" s="115"/>
      <c r="BI2929" s="115"/>
      <c r="BJ2929" s="115"/>
      <c r="BK2929" s="115"/>
      <c r="BL2929" s="115"/>
      <c r="BM2929" s="115"/>
      <c r="BN2929" s="115"/>
      <c r="BO2929" s="115"/>
      <c r="BP2929" s="115"/>
      <c r="BQ2929" s="115"/>
      <c r="BR2929" s="115"/>
      <c r="BS2929" s="115"/>
      <c r="BT2929" s="115"/>
      <c r="BU2929" s="115"/>
      <c r="BV2929" s="115"/>
      <c r="BW2929" s="115"/>
      <c r="BX2929" s="115"/>
      <c r="BY2929" s="115"/>
      <c r="BZ2929" s="115"/>
      <c r="CA2929" s="115"/>
      <c r="CB2929" s="115"/>
      <c r="CC2929" s="115"/>
      <c r="CD2929" s="115"/>
      <c r="CE2929" s="115"/>
      <c r="CF2929" s="115"/>
      <c r="CG2929" s="115"/>
      <c r="CH2929" s="115"/>
      <c r="CI2929" s="115"/>
      <c r="CJ2929" s="115"/>
      <c r="CK2929" s="115"/>
      <c r="CL2929" s="115"/>
      <c r="CM2929" s="115"/>
      <c r="CN2929" s="115"/>
      <c r="CO2929" s="115"/>
      <c r="CP2929" s="115"/>
      <c r="CQ2929" s="115"/>
      <c r="CR2929" s="115"/>
      <c r="CS2929" s="115"/>
      <c r="CT2929" s="115"/>
      <c r="CU2929" s="115"/>
      <c r="CV2929" s="115"/>
      <c r="CW2929" s="115"/>
      <c r="CX2929" s="115"/>
      <c r="CY2929" s="115"/>
      <c r="CZ2929" s="115"/>
      <c r="DA2929" s="115"/>
      <c r="DB2929" s="115"/>
      <c r="DC2929" s="115"/>
      <c r="DD2929" s="115"/>
      <c r="DE2929" s="115"/>
      <c r="DF2929" s="115"/>
      <c r="DG2929" s="115"/>
    </row>
    <row r="2930" spans="55:111" hidden="1">
      <c r="BC2930" s="115"/>
      <c r="BD2930" s="115"/>
      <c r="BE2930" s="115"/>
      <c r="BF2930" s="115"/>
      <c r="BG2930" s="115"/>
      <c r="BH2930" s="115"/>
      <c r="BI2930" s="115"/>
      <c r="BJ2930" s="115"/>
      <c r="BK2930" s="115"/>
      <c r="BL2930" s="115"/>
      <c r="BM2930" s="115"/>
      <c r="BN2930" s="115"/>
      <c r="BO2930" s="115"/>
      <c r="BP2930" s="115"/>
      <c r="BQ2930" s="115"/>
      <c r="BR2930" s="115"/>
      <c r="BS2930" s="115"/>
      <c r="BT2930" s="115"/>
      <c r="BU2930" s="115"/>
      <c r="BV2930" s="115"/>
      <c r="BW2930" s="115"/>
      <c r="BX2930" s="115"/>
      <c r="BY2930" s="115"/>
      <c r="BZ2930" s="115"/>
      <c r="CA2930" s="115"/>
      <c r="CB2930" s="115"/>
      <c r="CC2930" s="115"/>
      <c r="CD2930" s="115"/>
      <c r="CE2930" s="115"/>
      <c r="CF2930" s="115"/>
      <c r="CG2930" s="115"/>
      <c r="CH2930" s="115"/>
      <c r="CI2930" s="115"/>
      <c r="CJ2930" s="115"/>
      <c r="CK2930" s="115"/>
      <c r="CL2930" s="115"/>
      <c r="CM2930" s="115"/>
      <c r="CN2930" s="115"/>
      <c r="CO2930" s="115"/>
      <c r="CP2930" s="115"/>
      <c r="CQ2930" s="115"/>
      <c r="CR2930" s="115"/>
      <c r="CS2930" s="115"/>
      <c r="CT2930" s="115"/>
      <c r="CU2930" s="115"/>
      <c r="CV2930" s="115"/>
      <c r="CW2930" s="115"/>
      <c r="CX2930" s="115"/>
      <c r="CY2930" s="115"/>
      <c r="CZ2930" s="115"/>
      <c r="DA2930" s="115"/>
      <c r="DB2930" s="115"/>
      <c r="DC2930" s="115"/>
      <c r="DD2930" s="115"/>
      <c r="DE2930" s="115"/>
      <c r="DF2930" s="115"/>
      <c r="DG2930" s="115"/>
    </row>
    <row r="2931" spans="55:111" hidden="1">
      <c r="BC2931" s="115"/>
      <c r="BD2931" s="115"/>
      <c r="BE2931" s="115"/>
      <c r="BF2931" s="115"/>
      <c r="BG2931" s="115"/>
      <c r="BH2931" s="115"/>
      <c r="BI2931" s="115"/>
      <c r="BJ2931" s="115"/>
      <c r="BK2931" s="115"/>
      <c r="BL2931" s="115"/>
      <c r="BM2931" s="115"/>
      <c r="BN2931" s="115"/>
      <c r="BO2931" s="115"/>
      <c r="BP2931" s="115"/>
      <c r="BQ2931" s="115"/>
      <c r="BR2931" s="115"/>
      <c r="BS2931" s="115"/>
      <c r="BT2931" s="115"/>
      <c r="BU2931" s="115"/>
      <c r="BV2931" s="115"/>
      <c r="BW2931" s="115"/>
      <c r="BX2931" s="115"/>
      <c r="BY2931" s="115"/>
      <c r="BZ2931" s="115"/>
      <c r="CA2931" s="115"/>
      <c r="CB2931" s="115"/>
      <c r="CC2931" s="115"/>
      <c r="CD2931" s="115"/>
      <c r="CE2931" s="115"/>
      <c r="CF2931" s="115"/>
      <c r="CG2931" s="115"/>
      <c r="CH2931" s="115"/>
      <c r="CI2931" s="115"/>
      <c r="CJ2931" s="115"/>
      <c r="CK2931" s="115"/>
      <c r="CL2931" s="115"/>
      <c r="CM2931" s="115"/>
      <c r="CN2931" s="115"/>
      <c r="CO2931" s="115"/>
      <c r="CP2931" s="115"/>
      <c r="CQ2931" s="115"/>
      <c r="CR2931" s="115"/>
      <c r="CS2931" s="115"/>
      <c r="CT2931" s="115"/>
      <c r="CU2931" s="115"/>
      <c r="CV2931" s="115"/>
      <c r="CW2931" s="115"/>
      <c r="CX2931" s="115"/>
      <c r="CY2931" s="115"/>
      <c r="CZ2931" s="115"/>
      <c r="DA2931" s="115"/>
      <c r="DB2931" s="115"/>
      <c r="DC2931" s="115"/>
      <c r="DD2931" s="115"/>
      <c r="DE2931" s="115"/>
      <c r="DF2931" s="115"/>
      <c r="DG2931" s="115"/>
    </row>
    <row r="2932" spans="55:111" hidden="1">
      <c r="BC2932" s="115"/>
      <c r="BD2932" s="115"/>
      <c r="BE2932" s="115"/>
      <c r="BF2932" s="115"/>
      <c r="BG2932" s="115"/>
      <c r="BH2932" s="115"/>
      <c r="BI2932" s="115"/>
      <c r="BJ2932" s="115"/>
      <c r="BK2932" s="115"/>
      <c r="BL2932" s="115"/>
      <c r="BM2932" s="115"/>
      <c r="BN2932" s="115"/>
      <c r="BO2932" s="115"/>
      <c r="BP2932" s="115"/>
      <c r="BQ2932" s="115"/>
      <c r="BR2932" s="115"/>
      <c r="BS2932" s="115"/>
      <c r="BT2932" s="115"/>
      <c r="BU2932" s="115"/>
      <c r="BV2932" s="115"/>
      <c r="BW2932" s="115"/>
      <c r="BX2932" s="115"/>
      <c r="BY2932" s="115"/>
      <c r="BZ2932" s="115"/>
      <c r="CA2932" s="115"/>
      <c r="CB2932" s="115"/>
      <c r="CC2932" s="115"/>
      <c r="CD2932" s="115"/>
      <c r="CE2932" s="115"/>
      <c r="CF2932" s="115"/>
      <c r="CG2932" s="115"/>
      <c r="CH2932" s="115"/>
      <c r="CI2932" s="115"/>
      <c r="CJ2932" s="115"/>
      <c r="CK2932" s="115"/>
      <c r="CL2932" s="115"/>
      <c r="CM2932" s="115"/>
      <c r="CN2932" s="115"/>
      <c r="CO2932" s="115"/>
      <c r="CP2932" s="115"/>
      <c r="CQ2932" s="115"/>
      <c r="CR2932" s="115"/>
      <c r="CS2932" s="115"/>
      <c r="CT2932" s="115"/>
      <c r="CU2932" s="115"/>
      <c r="CV2932" s="115"/>
      <c r="CW2932" s="115"/>
      <c r="CX2932" s="115"/>
      <c r="CY2932" s="115"/>
      <c r="CZ2932" s="115"/>
      <c r="DA2932" s="115"/>
      <c r="DB2932" s="115"/>
      <c r="DC2932" s="115"/>
      <c r="DD2932" s="115"/>
      <c r="DE2932" s="115"/>
      <c r="DF2932" s="115"/>
      <c r="DG2932" s="115"/>
    </row>
    <row r="2933" spans="55:111" hidden="1">
      <c r="BC2933" s="115"/>
      <c r="BD2933" s="115"/>
      <c r="BE2933" s="115"/>
      <c r="BF2933" s="115"/>
      <c r="BG2933" s="115"/>
      <c r="BH2933" s="115"/>
      <c r="BI2933" s="115"/>
      <c r="BJ2933" s="115"/>
      <c r="BK2933" s="115"/>
      <c r="BL2933" s="115"/>
      <c r="BM2933" s="115"/>
      <c r="BN2933" s="115"/>
      <c r="BO2933" s="115"/>
      <c r="BP2933" s="115"/>
      <c r="BQ2933" s="115"/>
      <c r="BR2933" s="115"/>
      <c r="BS2933" s="115"/>
      <c r="BT2933" s="115"/>
      <c r="BU2933" s="115"/>
      <c r="BV2933" s="115"/>
      <c r="BW2933" s="115"/>
      <c r="BX2933" s="115"/>
      <c r="BY2933" s="115"/>
      <c r="BZ2933" s="115"/>
      <c r="CA2933" s="115"/>
      <c r="CB2933" s="115"/>
      <c r="CC2933" s="115"/>
      <c r="CD2933" s="115"/>
      <c r="CE2933" s="115"/>
      <c r="CF2933" s="115"/>
      <c r="CG2933" s="115"/>
      <c r="CH2933" s="115"/>
      <c r="CI2933" s="115"/>
      <c r="CJ2933" s="115"/>
      <c r="CK2933" s="115"/>
      <c r="CL2933" s="115"/>
      <c r="CM2933" s="115"/>
      <c r="CN2933" s="115"/>
      <c r="CO2933" s="115"/>
      <c r="CP2933" s="115"/>
      <c r="CQ2933" s="115"/>
      <c r="CR2933" s="115"/>
      <c r="CS2933" s="115"/>
      <c r="CT2933" s="115"/>
      <c r="CU2933" s="115"/>
      <c r="CV2933" s="115"/>
      <c r="CW2933" s="115"/>
      <c r="CX2933" s="115"/>
      <c r="CY2933" s="115"/>
      <c r="CZ2933" s="115"/>
      <c r="DA2933" s="115"/>
      <c r="DB2933" s="115"/>
      <c r="DC2933" s="115"/>
      <c r="DD2933" s="115"/>
      <c r="DE2933" s="115"/>
      <c r="DF2933" s="115"/>
      <c r="DG2933" s="115"/>
    </row>
    <row r="2934" spans="55:111" hidden="1">
      <c r="BC2934" s="115"/>
      <c r="BD2934" s="115"/>
      <c r="BE2934" s="115"/>
      <c r="BF2934" s="115"/>
      <c r="BG2934" s="115"/>
      <c r="BH2934" s="115"/>
      <c r="BI2934" s="115"/>
      <c r="BJ2934" s="115"/>
      <c r="BK2934" s="115"/>
      <c r="BL2934" s="115"/>
      <c r="BM2934" s="115"/>
      <c r="BN2934" s="115"/>
      <c r="BO2934" s="115"/>
      <c r="BP2934" s="115"/>
      <c r="BQ2934" s="115"/>
      <c r="BR2934" s="115"/>
      <c r="BS2934" s="115"/>
      <c r="BT2934" s="115"/>
      <c r="BU2934" s="115"/>
      <c r="BV2934" s="115"/>
      <c r="BW2934" s="115"/>
      <c r="BX2934" s="115"/>
      <c r="BY2934" s="115"/>
      <c r="BZ2934" s="115"/>
      <c r="CA2934" s="115"/>
      <c r="CB2934" s="115"/>
      <c r="CC2934" s="115"/>
      <c r="CD2934" s="115"/>
      <c r="CE2934" s="115"/>
      <c r="CF2934" s="115"/>
      <c r="CG2934" s="115"/>
      <c r="CH2934" s="115"/>
      <c r="CI2934" s="115"/>
      <c r="CJ2934" s="115"/>
      <c r="CK2934" s="115"/>
      <c r="CL2934" s="115"/>
      <c r="CM2934" s="115"/>
      <c r="CN2934" s="115"/>
      <c r="CO2934" s="115"/>
      <c r="CP2934" s="115"/>
      <c r="CQ2934" s="115"/>
      <c r="CR2934" s="115"/>
      <c r="CS2934" s="115"/>
      <c r="CT2934" s="115"/>
      <c r="CU2934" s="115"/>
      <c r="CV2934" s="115"/>
      <c r="CW2934" s="115"/>
      <c r="CX2934" s="115"/>
      <c r="CY2934" s="115"/>
      <c r="CZ2934" s="115"/>
      <c r="DA2934" s="115"/>
      <c r="DB2934" s="115"/>
      <c r="DC2934" s="115"/>
      <c r="DD2934" s="115"/>
      <c r="DE2934" s="115"/>
      <c r="DF2934" s="115"/>
      <c r="DG2934" s="115"/>
    </row>
    <row r="2935" spans="55:111" hidden="1">
      <c r="BC2935" s="115"/>
      <c r="BD2935" s="115"/>
      <c r="BE2935" s="115"/>
      <c r="BF2935" s="115"/>
      <c r="BG2935" s="115"/>
      <c r="BH2935" s="115"/>
      <c r="BI2935" s="115"/>
      <c r="BJ2935" s="115"/>
      <c r="BK2935" s="115"/>
      <c r="BL2935" s="115"/>
      <c r="BM2935" s="115"/>
      <c r="BN2935" s="115"/>
      <c r="BO2935" s="115"/>
      <c r="BP2935" s="115"/>
      <c r="BQ2935" s="115"/>
      <c r="BR2935" s="115"/>
      <c r="BS2935" s="115"/>
      <c r="BT2935" s="115"/>
      <c r="BU2935" s="115"/>
      <c r="BV2935" s="115"/>
      <c r="BW2935" s="115"/>
      <c r="BX2935" s="115"/>
      <c r="BY2935" s="115"/>
      <c r="BZ2935" s="115"/>
      <c r="CA2935" s="115"/>
      <c r="CB2935" s="115"/>
      <c r="CC2935" s="115"/>
      <c r="CD2935" s="115"/>
      <c r="CE2935" s="115"/>
      <c r="CF2935" s="115"/>
      <c r="CG2935" s="115"/>
      <c r="CH2935" s="115"/>
      <c r="CI2935" s="115"/>
      <c r="CJ2935" s="115"/>
      <c r="CK2935" s="115"/>
      <c r="CL2935" s="115"/>
      <c r="CM2935" s="115"/>
      <c r="CN2935" s="115"/>
      <c r="CO2935" s="115"/>
      <c r="CP2935" s="115"/>
      <c r="CQ2935" s="115"/>
      <c r="CR2935" s="115"/>
      <c r="CS2935" s="115"/>
      <c r="CT2935" s="115"/>
      <c r="CU2935" s="115"/>
      <c r="CV2935" s="115"/>
      <c r="CW2935" s="115"/>
      <c r="CX2935" s="115"/>
      <c r="CY2935" s="115"/>
      <c r="CZ2935" s="115"/>
      <c r="DA2935" s="115"/>
      <c r="DB2935" s="115"/>
      <c r="DC2935" s="115"/>
      <c r="DD2935" s="115"/>
      <c r="DE2935" s="115"/>
      <c r="DF2935" s="115"/>
      <c r="DG2935" s="115"/>
    </row>
    <row r="2936" spans="55:111" hidden="1">
      <c r="BC2936" s="115"/>
      <c r="BD2936" s="115"/>
      <c r="BE2936" s="115"/>
      <c r="BF2936" s="115"/>
      <c r="BG2936" s="115"/>
      <c r="BH2936" s="115"/>
      <c r="BI2936" s="115"/>
      <c r="BJ2936" s="115"/>
      <c r="BK2936" s="115"/>
      <c r="BL2936" s="115"/>
      <c r="BM2936" s="115"/>
      <c r="BN2936" s="115"/>
      <c r="BO2936" s="115"/>
      <c r="BP2936" s="115"/>
      <c r="BQ2936" s="115"/>
      <c r="BR2936" s="115"/>
      <c r="BS2936" s="115"/>
      <c r="BT2936" s="115"/>
      <c r="BU2936" s="115"/>
      <c r="BV2936" s="115"/>
      <c r="BW2936" s="115"/>
      <c r="BX2936" s="115"/>
      <c r="BY2936" s="115"/>
      <c r="BZ2936" s="115"/>
      <c r="CA2936" s="115"/>
      <c r="CB2936" s="115"/>
      <c r="CC2936" s="115"/>
      <c r="CD2936" s="115"/>
      <c r="CE2936" s="115"/>
      <c r="CF2936" s="115"/>
      <c r="CG2936" s="115"/>
      <c r="CH2936" s="115"/>
      <c r="CI2936" s="115"/>
      <c r="CJ2936" s="115"/>
      <c r="CK2936" s="115"/>
      <c r="CL2936" s="115"/>
      <c r="CM2936" s="115"/>
      <c r="CN2936" s="115"/>
      <c r="CO2936" s="115"/>
      <c r="CP2936" s="115"/>
      <c r="CQ2936" s="115"/>
      <c r="CR2936" s="115"/>
      <c r="CS2936" s="115"/>
      <c r="CT2936" s="115"/>
      <c r="CU2936" s="115"/>
      <c r="CV2936" s="115"/>
      <c r="CW2936" s="115"/>
      <c r="CX2936" s="115"/>
      <c r="CY2936" s="115"/>
      <c r="CZ2936" s="115"/>
      <c r="DA2936" s="115"/>
      <c r="DB2936" s="115"/>
      <c r="DC2936" s="115"/>
      <c r="DD2936" s="115"/>
      <c r="DE2936" s="115"/>
      <c r="DF2936" s="115"/>
      <c r="DG2936" s="115"/>
    </row>
    <row r="2937" spans="55:111" hidden="1">
      <c r="BC2937" s="115"/>
      <c r="BD2937" s="115"/>
      <c r="BE2937" s="115"/>
      <c r="BF2937" s="115"/>
      <c r="BG2937" s="115"/>
      <c r="BH2937" s="115"/>
      <c r="BI2937" s="115"/>
      <c r="BJ2937" s="115"/>
      <c r="BK2937" s="115"/>
      <c r="BL2937" s="115"/>
      <c r="BM2937" s="115"/>
      <c r="BN2937" s="115"/>
      <c r="BO2937" s="115"/>
      <c r="BP2937" s="115"/>
      <c r="BQ2937" s="115"/>
      <c r="BR2937" s="115"/>
      <c r="BS2937" s="115"/>
      <c r="BT2937" s="115"/>
      <c r="BU2937" s="115"/>
      <c r="BV2937" s="115"/>
      <c r="BW2937" s="115"/>
      <c r="BX2937" s="115"/>
      <c r="BY2937" s="115"/>
      <c r="BZ2937" s="115"/>
      <c r="CA2937" s="115"/>
      <c r="CB2937" s="115"/>
      <c r="CC2937" s="115"/>
      <c r="CD2937" s="115"/>
      <c r="CE2937" s="115"/>
      <c r="CF2937" s="115"/>
      <c r="CG2937" s="115"/>
      <c r="CH2937" s="115"/>
      <c r="CI2937" s="115"/>
      <c r="CJ2937" s="115"/>
      <c r="CK2937" s="115"/>
      <c r="CL2937" s="115"/>
      <c r="CM2937" s="115"/>
      <c r="CN2937" s="115"/>
      <c r="CO2937" s="115"/>
      <c r="CP2937" s="115"/>
      <c r="CQ2937" s="115"/>
      <c r="CR2937" s="115"/>
      <c r="CS2937" s="115"/>
      <c r="CT2937" s="115"/>
      <c r="CU2937" s="115"/>
      <c r="CV2937" s="115"/>
      <c r="CW2937" s="115"/>
      <c r="CX2937" s="115"/>
      <c r="CY2937" s="115"/>
      <c r="CZ2937" s="115"/>
      <c r="DA2937" s="115"/>
      <c r="DB2937" s="115"/>
      <c r="DC2937" s="115"/>
      <c r="DD2937" s="115"/>
      <c r="DE2937" s="115"/>
      <c r="DF2937" s="115"/>
      <c r="DG2937" s="115"/>
    </row>
    <row r="2938" spans="55:111" hidden="1">
      <c r="BC2938" s="115"/>
      <c r="BD2938" s="115"/>
      <c r="BE2938" s="115"/>
      <c r="BF2938" s="115"/>
      <c r="BG2938" s="115"/>
      <c r="BH2938" s="115"/>
      <c r="BI2938" s="115"/>
      <c r="BJ2938" s="115"/>
      <c r="BK2938" s="115"/>
      <c r="BL2938" s="115"/>
      <c r="BM2938" s="115"/>
      <c r="BN2938" s="115"/>
      <c r="BO2938" s="115"/>
      <c r="BP2938" s="115"/>
      <c r="BQ2938" s="115"/>
      <c r="BR2938" s="115"/>
      <c r="BS2938" s="115"/>
      <c r="BT2938" s="115"/>
      <c r="BU2938" s="115"/>
      <c r="BV2938" s="115"/>
      <c r="BW2938" s="115"/>
      <c r="BX2938" s="115"/>
      <c r="BY2938" s="115"/>
      <c r="BZ2938" s="115"/>
      <c r="CA2938" s="115"/>
      <c r="CB2938" s="115"/>
      <c r="CC2938" s="115"/>
      <c r="CD2938" s="115"/>
      <c r="CE2938" s="115"/>
      <c r="CF2938" s="115"/>
      <c r="CG2938" s="115"/>
      <c r="CH2938" s="115"/>
      <c r="CI2938" s="115"/>
      <c r="CJ2938" s="115"/>
      <c r="CK2938" s="115"/>
      <c r="CL2938" s="115"/>
      <c r="CM2938" s="115"/>
      <c r="CN2938" s="115"/>
      <c r="CO2938" s="115"/>
      <c r="CP2938" s="115"/>
      <c r="CQ2938" s="115"/>
      <c r="CR2938" s="115"/>
      <c r="CS2938" s="115"/>
      <c r="CT2938" s="115"/>
      <c r="CU2938" s="115"/>
      <c r="CV2938" s="115"/>
      <c r="CW2938" s="115"/>
      <c r="CX2938" s="115"/>
      <c r="CY2938" s="115"/>
      <c r="CZ2938" s="115"/>
      <c r="DA2938" s="115"/>
      <c r="DB2938" s="115"/>
      <c r="DC2938" s="115"/>
      <c r="DD2938" s="115"/>
      <c r="DE2938" s="115"/>
      <c r="DF2938" s="115"/>
      <c r="DG2938" s="115"/>
    </row>
    <row r="2939" spans="55:111" hidden="1">
      <c r="BC2939" s="115"/>
      <c r="BD2939" s="115"/>
      <c r="BE2939" s="115"/>
      <c r="BF2939" s="115"/>
      <c r="BG2939" s="115"/>
      <c r="BH2939" s="115"/>
      <c r="BI2939" s="115"/>
      <c r="BJ2939" s="115"/>
      <c r="BK2939" s="115"/>
      <c r="BL2939" s="115"/>
      <c r="BM2939" s="115"/>
      <c r="BN2939" s="115"/>
      <c r="BO2939" s="115"/>
      <c r="BP2939" s="115"/>
      <c r="BQ2939" s="115"/>
      <c r="BR2939" s="115"/>
      <c r="BS2939" s="115"/>
      <c r="BT2939" s="115"/>
      <c r="BU2939" s="115"/>
      <c r="BV2939" s="115"/>
      <c r="BW2939" s="115"/>
      <c r="BX2939" s="115"/>
      <c r="BY2939" s="115"/>
      <c r="BZ2939" s="115"/>
      <c r="CA2939" s="115"/>
      <c r="CB2939" s="115"/>
      <c r="CC2939" s="115"/>
      <c r="CD2939" s="115"/>
      <c r="CE2939" s="115"/>
      <c r="CF2939" s="115"/>
      <c r="CG2939" s="115"/>
      <c r="CH2939" s="115"/>
      <c r="CI2939" s="115"/>
      <c r="CJ2939" s="115"/>
      <c r="CK2939" s="115"/>
      <c r="CL2939" s="115"/>
      <c r="CM2939" s="115"/>
      <c r="CN2939" s="115"/>
      <c r="CO2939" s="115"/>
      <c r="CP2939" s="115"/>
      <c r="CQ2939" s="115"/>
      <c r="CR2939" s="115"/>
      <c r="CS2939" s="115"/>
      <c r="CT2939" s="115"/>
      <c r="CU2939" s="115"/>
      <c r="CV2939" s="115"/>
      <c r="CW2939" s="115"/>
      <c r="CX2939" s="115"/>
      <c r="CY2939" s="115"/>
      <c r="CZ2939" s="115"/>
      <c r="DA2939" s="115"/>
      <c r="DB2939" s="115"/>
      <c r="DC2939" s="115"/>
      <c r="DD2939" s="115"/>
      <c r="DE2939" s="115"/>
      <c r="DF2939" s="115"/>
      <c r="DG2939" s="115"/>
    </row>
    <row r="2940" spans="55:111" hidden="1">
      <c r="BC2940" s="115"/>
      <c r="BD2940" s="115"/>
      <c r="BE2940" s="115"/>
      <c r="BF2940" s="115"/>
      <c r="BG2940" s="115"/>
      <c r="BH2940" s="115"/>
      <c r="BI2940" s="115"/>
      <c r="BJ2940" s="115"/>
      <c r="BK2940" s="115"/>
      <c r="BL2940" s="115"/>
      <c r="BM2940" s="115"/>
      <c r="BN2940" s="115"/>
      <c r="BO2940" s="115"/>
      <c r="BP2940" s="115"/>
      <c r="BQ2940" s="115"/>
      <c r="BR2940" s="115"/>
      <c r="BS2940" s="115"/>
      <c r="BT2940" s="115"/>
      <c r="BU2940" s="115"/>
      <c r="BV2940" s="115"/>
      <c r="BW2940" s="115"/>
      <c r="BX2940" s="115"/>
      <c r="BY2940" s="115"/>
      <c r="BZ2940" s="115"/>
      <c r="CA2940" s="115"/>
      <c r="CB2940" s="115"/>
      <c r="CC2940" s="115"/>
      <c r="CD2940" s="115"/>
      <c r="CE2940" s="115"/>
      <c r="CF2940" s="115"/>
      <c r="CG2940" s="115"/>
      <c r="CH2940" s="115"/>
      <c r="CI2940" s="115"/>
      <c r="CJ2940" s="115"/>
      <c r="CK2940" s="115"/>
      <c r="CL2940" s="115"/>
      <c r="CM2940" s="115"/>
      <c r="CN2940" s="115"/>
      <c r="CO2940" s="115"/>
      <c r="CP2940" s="115"/>
      <c r="CQ2940" s="115"/>
      <c r="CR2940" s="115"/>
      <c r="CS2940" s="115"/>
      <c r="CT2940" s="115"/>
      <c r="CU2940" s="115"/>
      <c r="CV2940" s="115"/>
      <c r="CW2940" s="115"/>
      <c r="CX2940" s="115"/>
      <c r="CY2940" s="115"/>
      <c r="CZ2940" s="115"/>
      <c r="DA2940" s="115"/>
      <c r="DB2940" s="115"/>
      <c r="DC2940" s="115"/>
      <c r="DD2940" s="115"/>
      <c r="DE2940" s="115"/>
      <c r="DF2940" s="115"/>
      <c r="DG2940" s="115"/>
    </row>
    <row r="2941" spans="55:111" hidden="1">
      <c r="BC2941" s="115"/>
      <c r="BD2941" s="115"/>
      <c r="BE2941" s="115"/>
      <c r="BF2941" s="115"/>
      <c r="BG2941" s="115"/>
      <c r="BH2941" s="115"/>
      <c r="BI2941" s="115"/>
      <c r="BJ2941" s="115"/>
      <c r="BK2941" s="115"/>
      <c r="BL2941" s="115"/>
      <c r="BM2941" s="115"/>
      <c r="BN2941" s="115"/>
      <c r="BO2941" s="115"/>
      <c r="BP2941" s="115"/>
      <c r="BQ2941" s="115"/>
      <c r="BR2941" s="115"/>
      <c r="BS2941" s="115"/>
      <c r="BT2941" s="115"/>
      <c r="BU2941" s="115"/>
      <c r="BV2941" s="115"/>
      <c r="BW2941" s="115"/>
      <c r="BX2941" s="115"/>
      <c r="BY2941" s="115"/>
      <c r="BZ2941" s="115"/>
      <c r="CA2941" s="115"/>
      <c r="CB2941" s="115"/>
      <c r="CC2941" s="115"/>
      <c r="CD2941" s="115"/>
      <c r="CE2941" s="115"/>
      <c r="CF2941" s="115"/>
      <c r="CG2941" s="115"/>
      <c r="CH2941" s="115"/>
      <c r="CI2941" s="115"/>
      <c r="CJ2941" s="115"/>
      <c r="CK2941" s="115"/>
      <c r="CL2941" s="115"/>
      <c r="CM2941" s="115"/>
      <c r="CN2941" s="115"/>
      <c r="CO2941" s="115"/>
      <c r="CP2941" s="115"/>
      <c r="CQ2941" s="115"/>
      <c r="CR2941" s="115"/>
      <c r="CS2941" s="115"/>
      <c r="CT2941" s="115"/>
      <c r="CU2941" s="115"/>
      <c r="CV2941" s="115"/>
      <c r="CW2941" s="115"/>
      <c r="CX2941" s="115"/>
      <c r="CY2941" s="115"/>
      <c r="CZ2941" s="115"/>
      <c r="DA2941" s="115"/>
      <c r="DB2941" s="115"/>
      <c r="DC2941" s="115"/>
      <c r="DD2941" s="115"/>
      <c r="DE2941" s="115"/>
      <c r="DF2941" s="115"/>
      <c r="DG2941" s="115"/>
    </row>
    <row r="2942" spans="55:111" hidden="1">
      <c r="BC2942" s="115"/>
      <c r="BD2942" s="115"/>
      <c r="BE2942" s="115"/>
      <c r="BF2942" s="115"/>
      <c r="BG2942" s="115"/>
      <c r="BH2942" s="115"/>
      <c r="BI2942" s="115"/>
      <c r="BJ2942" s="115"/>
      <c r="BK2942" s="115"/>
      <c r="BL2942" s="115"/>
      <c r="BM2942" s="115"/>
      <c r="BN2942" s="115"/>
      <c r="BO2942" s="115"/>
      <c r="BP2942" s="115"/>
      <c r="BQ2942" s="115"/>
      <c r="BR2942" s="115"/>
      <c r="BS2942" s="115"/>
      <c r="BT2942" s="115"/>
      <c r="BU2942" s="115"/>
      <c r="BV2942" s="115"/>
      <c r="BW2942" s="115"/>
      <c r="BX2942" s="115"/>
      <c r="BY2942" s="115"/>
      <c r="BZ2942" s="115"/>
      <c r="CA2942" s="115"/>
      <c r="CB2942" s="115"/>
      <c r="CC2942" s="115"/>
      <c r="CD2942" s="115"/>
      <c r="CE2942" s="115"/>
      <c r="CF2942" s="115"/>
      <c r="CG2942" s="115"/>
      <c r="CH2942" s="115"/>
      <c r="CI2942" s="115"/>
      <c r="CJ2942" s="115"/>
      <c r="CK2942" s="115"/>
      <c r="CL2942" s="115"/>
      <c r="CM2942" s="115"/>
      <c r="CN2942" s="115"/>
      <c r="CO2942" s="115"/>
      <c r="CP2942" s="115"/>
      <c r="CQ2942" s="115"/>
      <c r="CR2942" s="115"/>
      <c r="CS2942" s="115"/>
      <c r="CT2942" s="115"/>
      <c r="CU2942" s="115"/>
      <c r="CV2942" s="115"/>
      <c r="CW2942" s="115"/>
      <c r="CX2942" s="115"/>
      <c r="CY2942" s="115"/>
      <c r="CZ2942" s="115"/>
      <c r="DA2942" s="115"/>
      <c r="DB2942" s="115"/>
      <c r="DC2942" s="115"/>
      <c r="DD2942" s="115"/>
      <c r="DE2942" s="115"/>
      <c r="DF2942" s="115"/>
      <c r="DG2942" s="115"/>
    </row>
    <row r="2943" spans="55:111" hidden="1">
      <c r="BC2943" s="115"/>
      <c r="BD2943" s="115"/>
      <c r="BE2943" s="115"/>
      <c r="BF2943" s="115"/>
      <c r="BG2943" s="115"/>
      <c r="BH2943" s="115"/>
      <c r="BI2943" s="115"/>
      <c r="BJ2943" s="115"/>
      <c r="BK2943" s="115"/>
      <c r="BL2943" s="115"/>
      <c r="BM2943" s="115"/>
      <c r="BN2943" s="115"/>
      <c r="BO2943" s="115"/>
      <c r="BP2943" s="115"/>
      <c r="BQ2943" s="115"/>
      <c r="BR2943" s="115"/>
      <c r="BS2943" s="115"/>
      <c r="BT2943" s="115"/>
      <c r="BU2943" s="115"/>
      <c r="BV2943" s="115"/>
      <c r="BW2943" s="115"/>
      <c r="BX2943" s="115"/>
      <c r="BY2943" s="115"/>
      <c r="BZ2943" s="115"/>
      <c r="CA2943" s="115"/>
      <c r="CB2943" s="115"/>
      <c r="CC2943" s="115"/>
      <c r="CD2943" s="115"/>
      <c r="CE2943" s="115"/>
      <c r="CF2943" s="115"/>
      <c r="CG2943" s="115"/>
      <c r="CH2943" s="115"/>
      <c r="CI2943" s="115"/>
      <c r="CJ2943" s="115"/>
      <c r="CK2943" s="115"/>
      <c r="CL2943" s="115"/>
      <c r="CM2943" s="115"/>
      <c r="CN2943" s="115"/>
      <c r="CO2943" s="115"/>
      <c r="CP2943" s="115"/>
      <c r="CQ2943" s="115"/>
      <c r="CR2943" s="115"/>
      <c r="CS2943" s="115"/>
      <c r="CT2943" s="115"/>
      <c r="CU2943" s="115"/>
      <c r="CV2943" s="115"/>
      <c r="CW2943" s="115"/>
      <c r="CX2943" s="115"/>
      <c r="CY2943" s="115"/>
      <c r="CZ2943" s="115"/>
      <c r="DA2943" s="115"/>
      <c r="DB2943" s="115"/>
      <c r="DC2943" s="115"/>
      <c r="DD2943" s="115"/>
      <c r="DE2943" s="115"/>
      <c r="DF2943" s="115"/>
      <c r="DG2943" s="115"/>
    </row>
    <row r="2944" spans="55:111" hidden="1">
      <c r="BC2944" s="115"/>
      <c r="BD2944" s="115"/>
      <c r="BE2944" s="115"/>
      <c r="BF2944" s="115"/>
      <c r="BG2944" s="115"/>
      <c r="BH2944" s="115"/>
      <c r="BI2944" s="115"/>
      <c r="BJ2944" s="115"/>
      <c r="BK2944" s="115"/>
      <c r="BL2944" s="115"/>
      <c r="BM2944" s="115"/>
      <c r="BN2944" s="115"/>
      <c r="BO2944" s="115"/>
      <c r="BP2944" s="115"/>
      <c r="BQ2944" s="115"/>
      <c r="BR2944" s="115"/>
      <c r="BS2944" s="115"/>
      <c r="BT2944" s="115"/>
      <c r="BU2944" s="115"/>
      <c r="BV2944" s="115"/>
      <c r="BW2944" s="115"/>
      <c r="BX2944" s="115"/>
      <c r="BY2944" s="115"/>
      <c r="BZ2944" s="115"/>
      <c r="CA2944" s="115"/>
      <c r="CB2944" s="115"/>
      <c r="CC2944" s="115"/>
      <c r="CD2944" s="115"/>
      <c r="CE2944" s="115"/>
      <c r="CF2944" s="115"/>
      <c r="CG2944" s="115"/>
      <c r="CH2944" s="115"/>
      <c r="CI2944" s="115"/>
      <c r="CJ2944" s="115"/>
      <c r="CK2944" s="115"/>
      <c r="CL2944" s="115"/>
      <c r="CM2944" s="115"/>
      <c r="CN2944" s="115"/>
      <c r="CO2944" s="115"/>
      <c r="CP2944" s="115"/>
      <c r="CQ2944" s="115"/>
      <c r="CR2944" s="115"/>
      <c r="CS2944" s="115"/>
      <c r="CT2944" s="115"/>
      <c r="CU2944" s="115"/>
      <c r="CV2944" s="115"/>
      <c r="CW2944" s="115"/>
      <c r="CX2944" s="115"/>
      <c r="CY2944" s="115"/>
      <c r="CZ2944" s="115"/>
      <c r="DA2944" s="115"/>
      <c r="DB2944" s="115"/>
      <c r="DC2944" s="115"/>
      <c r="DD2944" s="115"/>
      <c r="DE2944" s="115"/>
      <c r="DF2944" s="115"/>
      <c r="DG2944" s="115"/>
    </row>
    <row r="2945" spans="55:111" hidden="1">
      <c r="BC2945" s="115"/>
      <c r="BD2945" s="115"/>
      <c r="BE2945" s="115"/>
      <c r="BF2945" s="115"/>
      <c r="BG2945" s="115"/>
      <c r="BH2945" s="115"/>
      <c r="BI2945" s="115"/>
      <c r="BJ2945" s="115"/>
      <c r="BK2945" s="115"/>
      <c r="BL2945" s="115"/>
      <c r="BM2945" s="115"/>
      <c r="BN2945" s="115"/>
      <c r="BO2945" s="115"/>
      <c r="BP2945" s="115"/>
      <c r="BQ2945" s="115"/>
      <c r="BR2945" s="115"/>
      <c r="BS2945" s="115"/>
      <c r="BT2945" s="115"/>
      <c r="BU2945" s="115"/>
      <c r="BV2945" s="115"/>
      <c r="BW2945" s="115"/>
      <c r="BX2945" s="115"/>
      <c r="BY2945" s="115"/>
      <c r="BZ2945" s="115"/>
      <c r="CA2945" s="115"/>
      <c r="CB2945" s="115"/>
      <c r="CC2945" s="115"/>
      <c r="CD2945" s="115"/>
      <c r="CE2945" s="115"/>
      <c r="CF2945" s="115"/>
      <c r="CG2945" s="115"/>
      <c r="CH2945" s="115"/>
      <c r="CI2945" s="115"/>
      <c r="CJ2945" s="115"/>
      <c r="CK2945" s="115"/>
      <c r="CL2945" s="115"/>
      <c r="CM2945" s="115"/>
      <c r="CN2945" s="115"/>
      <c r="CO2945" s="115"/>
      <c r="CP2945" s="115"/>
      <c r="CQ2945" s="115"/>
      <c r="CR2945" s="115"/>
      <c r="CS2945" s="115"/>
      <c r="CT2945" s="115"/>
      <c r="CU2945" s="115"/>
      <c r="CV2945" s="115"/>
      <c r="CW2945" s="115"/>
      <c r="CX2945" s="115"/>
      <c r="CY2945" s="115"/>
      <c r="CZ2945" s="115"/>
      <c r="DA2945" s="115"/>
      <c r="DB2945" s="115"/>
      <c r="DC2945" s="115"/>
      <c r="DD2945" s="115"/>
      <c r="DE2945" s="115"/>
      <c r="DF2945" s="115"/>
      <c r="DG2945" s="115"/>
    </row>
    <row r="2946" spans="55:111" hidden="1">
      <c r="BC2946" s="115"/>
      <c r="BD2946" s="115"/>
      <c r="BE2946" s="115"/>
      <c r="BF2946" s="115"/>
      <c r="BG2946" s="115"/>
      <c r="BH2946" s="115"/>
      <c r="BI2946" s="115"/>
      <c r="BJ2946" s="115"/>
      <c r="BK2946" s="115"/>
      <c r="BL2946" s="115"/>
      <c r="BM2946" s="115"/>
      <c r="BN2946" s="115"/>
      <c r="BO2946" s="115"/>
      <c r="BP2946" s="115"/>
      <c r="BQ2946" s="115"/>
      <c r="BR2946" s="115"/>
      <c r="BS2946" s="115"/>
      <c r="BT2946" s="115"/>
      <c r="BU2946" s="115"/>
      <c r="BV2946" s="115"/>
      <c r="BW2946" s="115"/>
      <c r="BX2946" s="115"/>
      <c r="BY2946" s="115"/>
      <c r="BZ2946" s="115"/>
      <c r="CA2946" s="115"/>
      <c r="CB2946" s="115"/>
      <c r="CC2946" s="115"/>
      <c r="CD2946" s="115"/>
      <c r="CE2946" s="115"/>
      <c r="CF2946" s="115"/>
      <c r="CG2946" s="115"/>
      <c r="CH2946" s="115"/>
      <c r="CI2946" s="115"/>
      <c r="CJ2946" s="115"/>
      <c r="CK2946" s="115"/>
      <c r="CL2946" s="115"/>
      <c r="CM2946" s="115"/>
      <c r="CN2946" s="115"/>
      <c r="CO2946" s="115"/>
      <c r="CP2946" s="115"/>
      <c r="CQ2946" s="115"/>
      <c r="CR2946" s="115"/>
      <c r="CS2946" s="115"/>
      <c r="CT2946" s="115"/>
      <c r="CU2946" s="115"/>
      <c r="CV2946" s="115"/>
      <c r="CW2946" s="115"/>
      <c r="CX2946" s="115"/>
      <c r="CY2946" s="115"/>
      <c r="CZ2946" s="115"/>
      <c r="DA2946" s="115"/>
      <c r="DB2946" s="115"/>
      <c r="DC2946" s="115"/>
      <c r="DD2946" s="115"/>
      <c r="DE2946" s="115"/>
      <c r="DF2946" s="115"/>
      <c r="DG2946" s="115"/>
    </row>
    <row r="2947" spans="55:111" hidden="1">
      <c r="BC2947" s="115"/>
      <c r="BD2947" s="115"/>
      <c r="BE2947" s="115"/>
      <c r="BF2947" s="115"/>
      <c r="BG2947" s="115"/>
      <c r="BH2947" s="115"/>
      <c r="BI2947" s="115"/>
      <c r="BJ2947" s="115"/>
      <c r="BK2947" s="115"/>
      <c r="BL2947" s="115"/>
      <c r="BM2947" s="115"/>
      <c r="BN2947" s="115"/>
      <c r="BO2947" s="115"/>
      <c r="BP2947" s="115"/>
      <c r="BQ2947" s="115"/>
      <c r="BR2947" s="115"/>
      <c r="BS2947" s="115"/>
      <c r="BT2947" s="115"/>
      <c r="BU2947" s="115"/>
      <c r="BV2947" s="115"/>
      <c r="BW2947" s="115"/>
      <c r="BX2947" s="115"/>
      <c r="BY2947" s="115"/>
      <c r="BZ2947" s="115"/>
      <c r="CA2947" s="115"/>
      <c r="CB2947" s="115"/>
      <c r="CC2947" s="115"/>
      <c r="CD2947" s="115"/>
      <c r="CE2947" s="115"/>
      <c r="CF2947" s="115"/>
      <c r="CG2947" s="115"/>
      <c r="CH2947" s="115"/>
      <c r="CI2947" s="115"/>
      <c r="CJ2947" s="115"/>
      <c r="CK2947" s="115"/>
      <c r="CL2947" s="115"/>
      <c r="CM2947" s="115"/>
      <c r="CN2947" s="115"/>
      <c r="CO2947" s="115"/>
      <c r="CP2947" s="115"/>
      <c r="CQ2947" s="115"/>
      <c r="CR2947" s="115"/>
      <c r="CS2947" s="115"/>
      <c r="CT2947" s="115"/>
      <c r="CU2947" s="115"/>
      <c r="CV2947" s="115"/>
      <c r="CW2947" s="115"/>
      <c r="CX2947" s="115"/>
      <c r="CY2947" s="115"/>
      <c r="CZ2947" s="115"/>
      <c r="DA2947" s="115"/>
      <c r="DB2947" s="115"/>
      <c r="DC2947" s="115"/>
      <c r="DD2947" s="115"/>
      <c r="DE2947" s="115"/>
      <c r="DF2947" s="115"/>
      <c r="DG2947" s="115"/>
    </row>
    <row r="2948" spans="55:111" hidden="1">
      <c r="BC2948" s="115"/>
      <c r="BD2948" s="115"/>
      <c r="BE2948" s="115"/>
      <c r="BF2948" s="115"/>
      <c r="BG2948" s="115"/>
      <c r="BH2948" s="115"/>
      <c r="BI2948" s="115"/>
      <c r="BJ2948" s="115"/>
      <c r="BK2948" s="115"/>
      <c r="BL2948" s="115"/>
      <c r="BM2948" s="115"/>
      <c r="BN2948" s="115"/>
      <c r="BO2948" s="115"/>
      <c r="BP2948" s="115"/>
      <c r="BQ2948" s="115"/>
      <c r="BR2948" s="115"/>
      <c r="BS2948" s="115"/>
      <c r="BT2948" s="115"/>
      <c r="BU2948" s="115"/>
      <c r="BV2948" s="115"/>
      <c r="BW2948" s="115"/>
      <c r="BX2948" s="115"/>
      <c r="BY2948" s="115"/>
      <c r="BZ2948" s="115"/>
      <c r="CA2948" s="115"/>
      <c r="CB2948" s="115"/>
      <c r="CC2948" s="115"/>
      <c r="CD2948" s="115"/>
      <c r="CE2948" s="115"/>
      <c r="CF2948" s="115"/>
      <c r="CG2948" s="115"/>
      <c r="CH2948" s="115"/>
      <c r="CI2948" s="115"/>
      <c r="CJ2948" s="115"/>
      <c r="CK2948" s="115"/>
      <c r="CL2948" s="115"/>
      <c r="CM2948" s="115"/>
      <c r="CN2948" s="115"/>
      <c r="CO2948" s="115"/>
      <c r="CP2948" s="115"/>
      <c r="CQ2948" s="115"/>
      <c r="CR2948" s="115"/>
      <c r="CS2948" s="115"/>
      <c r="CT2948" s="115"/>
      <c r="CU2948" s="115"/>
      <c r="CV2948" s="115"/>
      <c r="CW2948" s="115"/>
      <c r="CX2948" s="115"/>
      <c r="CY2948" s="115"/>
      <c r="CZ2948" s="115"/>
      <c r="DA2948" s="115"/>
      <c r="DB2948" s="115"/>
      <c r="DC2948" s="115"/>
      <c r="DD2948" s="115"/>
      <c r="DE2948" s="115"/>
      <c r="DF2948" s="115"/>
      <c r="DG2948" s="115"/>
    </row>
    <row r="2949" spans="55:111" hidden="1">
      <c r="BC2949" s="115"/>
      <c r="BD2949" s="115"/>
      <c r="BE2949" s="115"/>
      <c r="BF2949" s="115"/>
      <c r="BG2949" s="115"/>
      <c r="BH2949" s="115"/>
      <c r="BI2949" s="115"/>
      <c r="BJ2949" s="115"/>
      <c r="BK2949" s="115"/>
      <c r="BL2949" s="115"/>
      <c r="BM2949" s="115"/>
      <c r="BN2949" s="115"/>
      <c r="BO2949" s="115"/>
      <c r="BP2949" s="115"/>
      <c r="BQ2949" s="115"/>
      <c r="BR2949" s="115"/>
      <c r="BS2949" s="115"/>
      <c r="BT2949" s="115"/>
      <c r="BU2949" s="115"/>
      <c r="BV2949" s="115"/>
      <c r="BW2949" s="115"/>
      <c r="BX2949" s="115"/>
      <c r="BY2949" s="115"/>
      <c r="BZ2949" s="115"/>
      <c r="CA2949" s="115"/>
      <c r="CB2949" s="115"/>
      <c r="CC2949" s="115"/>
      <c r="CD2949" s="115"/>
      <c r="CE2949" s="115"/>
      <c r="CF2949" s="115"/>
      <c r="CG2949" s="115"/>
      <c r="CH2949" s="115"/>
      <c r="CI2949" s="115"/>
      <c r="CJ2949" s="115"/>
      <c r="CK2949" s="115"/>
      <c r="CL2949" s="115"/>
      <c r="CM2949" s="115"/>
      <c r="CN2949" s="115"/>
      <c r="CO2949" s="115"/>
      <c r="CP2949" s="115"/>
      <c r="CQ2949" s="115"/>
      <c r="CR2949" s="115"/>
      <c r="CS2949" s="115"/>
      <c r="CT2949" s="115"/>
      <c r="CU2949" s="115"/>
      <c r="CV2949" s="115"/>
      <c r="CW2949" s="115"/>
      <c r="CX2949" s="115"/>
      <c r="CY2949" s="115"/>
      <c r="CZ2949" s="115"/>
      <c r="DA2949" s="115"/>
      <c r="DB2949" s="115"/>
      <c r="DC2949" s="115"/>
      <c r="DD2949" s="115"/>
      <c r="DE2949" s="115"/>
      <c r="DF2949" s="115"/>
      <c r="DG2949" s="115"/>
    </row>
    <row r="2950" spans="55:111" hidden="1">
      <c r="BC2950" s="115"/>
      <c r="BD2950" s="115"/>
      <c r="BE2950" s="115"/>
      <c r="BF2950" s="115"/>
      <c r="BG2950" s="115"/>
      <c r="BH2950" s="115"/>
      <c r="BI2950" s="115"/>
      <c r="BJ2950" s="115"/>
      <c r="BK2950" s="115"/>
      <c r="BL2950" s="115"/>
      <c r="BM2950" s="115"/>
      <c r="BN2950" s="115"/>
      <c r="BO2950" s="115"/>
      <c r="BP2950" s="115"/>
      <c r="BQ2950" s="115"/>
      <c r="BR2950" s="115"/>
      <c r="BS2950" s="115"/>
      <c r="BT2950" s="115"/>
      <c r="BU2950" s="115"/>
      <c r="BV2950" s="115"/>
      <c r="BW2950" s="115"/>
      <c r="BX2950" s="115"/>
      <c r="BY2950" s="115"/>
      <c r="BZ2950" s="115"/>
      <c r="CA2950" s="115"/>
      <c r="CB2950" s="115"/>
      <c r="CC2950" s="115"/>
      <c r="CD2950" s="115"/>
      <c r="CE2950" s="115"/>
      <c r="CF2950" s="115"/>
      <c r="CG2950" s="115"/>
      <c r="CH2950" s="115"/>
      <c r="CI2950" s="115"/>
      <c r="CJ2950" s="115"/>
      <c r="CK2950" s="115"/>
      <c r="CL2950" s="115"/>
      <c r="CM2950" s="115"/>
      <c r="CN2950" s="115"/>
      <c r="CO2950" s="115"/>
      <c r="CP2950" s="115"/>
      <c r="CQ2950" s="115"/>
      <c r="CR2950" s="115"/>
      <c r="CS2950" s="115"/>
      <c r="CT2950" s="115"/>
      <c r="CU2950" s="115"/>
      <c r="CV2950" s="115"/>
      <c r="CW2950" s="115"/>
      <c r="CX2950" s="115"/>
      <c r="CY2950" s="115"/>
      <c r="CZ2950" s="115"/>
      <c r="DA2950" s="115"/>
      <c r="DB2950" s="115"/>
      <c r="DC2950" s="115"/>
      <c r="DD2950" s="115"/>
      <c r="DE2950" s="115"/>
      <c r="DF2950" s="115"/>
      <c r="DG2950" s="115"/>
    </row>
    <row r="2951" spans="55:111" hidden="1">
      <c r="BC2951" s="115"/>
      <c r="BD2951" s="115"/>
      <c r="BE2951" s="115"/>
      <c r="BF2951" s="115"/>
      <c r="BG2951" s="115"/>
      <c r="BH2951" s="115"/>
      <c r="BI2951" s="115"/>
      <c r="BJ2951" s="115"/>
      <c r="BK2951" s="115"/>
      <c r="BL2951" s="115"/>
      <c r="BM2951" s="115"/>
      <c r="BN2951" s="115"/>
      <c r="BO2951" s="115"/>
      <c r="BP2951" s="115"/>
      <c r="BQ2951" s="115"/>
      <c r="BR2951" s="115"/>
      <c r="BS2951" s="115"/>
      <c r="BT2951" s="115"/>
      <c r="BU2951" s="115"/>
      <c r="BV2951" s="115"/>
      <c r="BW2951" s="115"/>
      <c r="BX2951" s="115"/>
      <c r="BY2951" s="115"/>
      <c r="BZ2951" s="115"/>
      <c r="CA2951" s="115"/>
      <c r="CB2951" s="115"/>
      <c r="CC2951" s="115"/>
      <c r="CD2951" s="115"/>
      <c r="CE2951" s="115"/>
      <c r="CF2951" s="115"/>
      <c r="CG2951" s="115"/>
      <c r="CH2951" s="115"/>
      <c r="CI2951" s="115"/>
      <c r="CJ2951" s="115"/>
      <c r="CK2951" s="115"/>
      <c r="CL2951" s="115"/>
      <c r="CM2951" s="115"/>
      <c r="CN2951" s="115"/>
      <c r="CO2951" s="115"/>
      <c r="CP2951" s="115"/>
      <c r="CQ2951" s="115"/>
      <c r="CR2951" s="115"/>
      <c r="CS2951" s="115"/>
      <c r="CT2951" s="115"/>
      <c r="CU2951" s="115"/>
      <c r="CV2951" s="115"/>
      <c r="CW2951" s="115"/>
      <c r="CX2951" s="115"/>
      <c r="CY2951" s="115"/>
      <c r="CZ2951" s="115"/>
      <c r="DA2951" s="115"/>
      <c r="DB2951" s="115"/>
      <c r="DC2951" s="115"/>
      <c r="DD2951" s="115"/>
      <c r="DE2951" s="115"/>
      <c r="DF2951" s="115"/>
      <c r="DG2951" s="115"/>
    </row>
    <row r="2952" spans="55:111" hidden="1">
      <c r="BC2952" s="115"/>
      <c r="BD2952" s="115"/>
      <c r="BE2952" s="115"/>
      <c r="BF2952" s="115"/>
      <c r="BG2952" s="115"/>
      <c r="BH2952" s="115"/>
      <c r="BI2952" s="115"/>
      <c r="BJ2952" s="115"/>
      <c r="BK2952" s="115"/>
      <c r="BL2952" s="115"/>
      <c r="BM2952" s="115"/>
      <c r="BN2952" s="115"/>
      <c r="BO2952" s="115"/>
      <c r="BP2952" s="115"/>
      <c r="BQ2952" s="115"/>
      <c r="BR2952" s="115"/>
      <c r="BS2952" s="115"/>
      <c r="BT2952" s="115"/>
      <c r="BU2952" s="115"/>
      <c r="BV2952" s="115"/>
      <c r="BW2952" s="115"/>
      <c r="BX2952" s="115"/>
      <c r="BY2952" s="115"/>
      <c r="BZ2952" s="115"/>
      <c r="CA2952" s="115"/>
      <c r="CB2952" s="115"/>
      <c r="CC2952" s="115"/>
      <c r="CD2952" s="115"/>
      <c r="CE2952" s="115"/>
      <c r="CF2952" s="115"/>
      <c r="CG2952" s="115"/>
      <c r="CH2952" s="115"/>
      <c r="CI2952" s="115"/>
      <c r="CJ2952" s="115"/>
      <c r="CK2952" s="115"/>
      <c r="CL2952" s="115"/>
      <c r="CM2952" s="115"/>
      <c r="CN2952" s="115"/>
      <c r="CO2952" s="115"/>
      <c r="CP2952" s="115"/>
      <c r="CQ2952" s="115"/>
      <c r="CR2952" s="115"/>
      <c r="CS2952" s="115"/>
      <c r="CT2952" s="115"/>
      <c r="CU2952" s="115"/>
      <c r="CV2952" s="115"/>
      <c r="CW2952" s="115"/>
      <c r="CX2952" s="115"/>
      <c r="CY2952" s="115"/>
      <c r="CZ2952" s="115"/>
      <c r="DA2952" s="115"/>
      <c r="DB2952" s="115"/>
      <c r="DC2952" s="115"/>
      <c r="DD2952" s="115"/>
      <c r="DE2952" s="115"/>
      <c r="DF2952" s="115"/>
      <c r="DG2952" s="115"/>
    </row>
    <row r="2953" spans="55:111" hidden="1">
      <c r="BC2953" s="115"/>
      <c r="BD2953" s="115"/>
      <c r="BE2953" s="115"/>
      <c r="BF2953" s="115"/>
      <c r="BG2953" s="115"/>
      <c r="BH2953" s="115"/>
      <c r="BI2953" s="115"/>
      <c r="BJ2953" s="115"/>
      <c r="BK2953" s="115"/>
      <c r="BL2953" s="115"/>
      <c r="BM2953" s="115"/>
      <c r="BN2953" s="115"/>
      <c r="BO2953" s="115"/>
      <c r="BP2953" s="115"/>
      <c r="BQ2953" s="115"/>
      <c r="BR2953" s="115"/>
      <c r="BS2953" s="115"/>
      <c r="BT2953" s="115"/>
      <c r="BU2953" s="115"/>
      <c r="BV2953" s="115"/>
      <c r="BW2953" s="115"/>
      <c r="BX2953" s="115"/>
      <c r="BY2953" s="115"/>
      <c r="BZ2953" s="115"/>
      <c r="CA2953" s="115"/>
      <c r="CB2953" s="115"/>
      <c r="CC2953" s="115"/>
      <c r="CD2953" s="115"/>
      <c r="CE2953" s="115"/>
      <c r="CF2953" s="115"/>
      <c r="CG2953" s="115"/>
      <c r="CH2953" s="115"/>
      <c r="CI2953" s="115"/>
      <c r="CJ2953" s="115"/>
      <c r="CK2953" s="115"/>
      <c r="CL2953" s="115"/>
      <c r="CM2953" s="115"/>
      <c r="CN2953" s="115"/>
      <c r="CO2953" s="115"/>
      <c r="CP2953" s="115"/>
      <c r="CQ2953" s="115"/>
      <c r="CR2953" s="115"/>
      <c r="CS2953" s="115"/>
      <c r="CT2953" s="115"/>
      <c r="CU2953" s="115"/>
      <c r="CV2953" s="115"/>
      <c r="CW2953" s="115"/>
      <c r="CX2953" s="115"/>
      <c r="CY2953" s="115"/>
      <c r="CZ2953" s="115"/>
      <c r="DA2953" s="115"/>
      <c r="DB2953" s="115"/>
      <c r="DC2953" s="115"/>
      <c r="DD2953" s="115"/>
      <c r="DE2953" s="115"/>
      <c r="DF2953" s="115"/>
      <c r="DG2953" s="115"/>
    </row>
    <row r="2954" spans="55:111" hidden="1">
      <c r="BC2954" s="115"/>
      <c r="BD2954" s="115"/>
      <c r="BE2954" s="115"/>
      <c r="BF2954" s="115"/>
      <c r="BG2954" s="115"/>
      <c r="BH2954" s="115"/>
      <c r="BI2954" s="115"/>
      <c r="BJ2954" s="115"/>
      <c r="BK2954" s="115"/>
      <c r="BL2954" s="115"/>
      <c r="BM2954" s="115"/>
      <c r="BN2954" s="115"/>
      <c r="BO2954" s="115"/>
      <c r="BP2954" s="115"/>
      <c r="BQ2954" s="115"/>
      <c r="BR2954" s="115"/>
      <c r="BS2954" s="115"/>
      <c r="BT2954" s="115"/>
      <c r="BU2954" s="115"/>
      <c r="BV2954" s="115"/>
      <c r="BW2954" s="115"/>
      <c r="BX2954" s="115"/>
      <c r="BY2954" s="115"/>
      <c r="BZ2954" s="115"/>
      <c r="CA2954" s="115"/>
      <c r="CB2954" s="115"/>
      <c r="CC2954" s="115"/>
      <c r="CD2954" s="115"/>
      <c r="CE2954" s="115"/>
      <c r="CF2954" s="115"/>
      <c r="CG2954" s="115"/>
      <c r="CH2954" s="115"/>
      <c r="CI2954" s="115"/>
      <c r="CJ2954" s="115"/>
      <c r="CK2954" s="115"/>
      <c r="CL2954" s="115"/>
      <c r="CM2954" s="115"/>
      <c r="CN2954" s="115"/>
      <c r="CO2954" s="115"/>
      <c r="CP2954" s="115"/>
      <c r="CQ2954" s="115"/>
      <c r="CR2954" s="115"/>
      <c r="CS2954" s="115"/>
      <c r="CT2954" s="115"/>
      <c r="CU2954" s="115"/>
      <c r="CV2954" s="115"/>
      <c r="CW2954" s="115"/>
      <c r="CX2954" s="115"/>
      <c r="CY2954" s="115"/>
      <c r="CZ2954" s="115"/>
      <c r="DA2954" s="115"/>
      <c r="DB2954" s="115"/>
      <c r="DC2954" s="115"/>
      <c r="DD2954" s="115"/>
      <c r="DE2954" s="115"/>
      <c r="DF2954" s="115"/>
      <c r="DG2954" s="115"/>
    </row>
    <row r="2955" spans="55:111" hidden="1">
      <c r="BC2955" s="115"/>
      <c r="BD2955" s="115"/>
      <c r="BE2955" s="115"/>
      <c r="BF2955" s="115"/>
      <c r="BG2955" s="115"/>
      <c r="BH2955" s="115"/>
      <c r="BI2955" s="115"/>
      <c r="BJ2955" s="115"/>
      <c r="BK2955" s="115"/>
      <c r="BL2955" s="115"/>
      <c r="BM2955" s="115"/>
      <c r="BN2955" s="115"/>
      <c r="BO2955" s="115"/>
      <c r="BP2955" s="115"/>
      <c r="BQ2955" s="115"/>
      <c r="BR2955" s="115"/>
      <c r="BS2955" s="115"/>
      <c r="BT2955" s="115"/>
      <c r="BU2955" s="115"/>
      <c r="BV2955" s="115"/>
      <c r="BW2955" s="115"/>
      <c r="BX2955" s="115"/>
      <c r="BY2955" s="115"/>
      <c r="BZ2955" s="115"/>
      <c r="CA2955" s="115"/>
      <c r="CB2955" s="115"/>
      <c r="CC2955" s="115"/>
      <c r="CD2955" s="115"/>
      <c r="CE2955" s="115"/>
      <c r="CF2955" s="115"/>
      <c r="CG2955" s="115"/>
      <c r="CH2955" s="115"/>
      <c r="CI2955" s="115"/>
      <c r="CJ2955" s="115"/>
      <c r="CK2955" s="115"/>
      <c r="CL2955" s="115"/>
      <c r="CM2955" s="115"/>
      <c r="CN2955" s="115"/>
      <c r="CO2955" s="115"/>
      <c r="CP2955" s="115"/>
      <c r="CQ2955" s="115"/>
      <c r="CR2955" s="115"/>
      <c r="CS2955" s="115"/>
      <c r="CT2955" s="115"/>
      <c r="CU2955" s="115"/>
      <c r="CV2955" s="115"/>
      <c r="CW2955" s="115"/>
      <c r="CX2955" s="115"/>
      <c r="CY2955" s="115"/>
      <c r="CZ2955" s="115"/>
      <c r="DA2955" s="115"/>
      <c r="DB2955" s="115"/>
      <c r="DC2955" s="115"/>
      <c r="DD2955" s="115"/>
      <c r="DE2955" s="115"/>
      <c r="DF2955" s="115"/>
      <c r="DG2955" s="115"/>
    </row>
    <row r="2956" spans="55:111" hidden="1">
      <c r="BC2956" s="115"/>
      <c r="BD2956" s="115"/>
      <c r="BE2956" s="115"/>
      <c r="BF2956" s="115"/>
      <c r="BG2956" s="115"/>
      <c r="BH2956" s="115"/>
      <c r="BI2956" s="115"/>
      <c r="BJ2956" s="115"/>
      <c r="BK2956" s="115"/>
      <c r="BL2956" s="115"/>
      <c r="BM2956" s="115"/>
      <c r="BN2956" s="115"/>
      <c r="BO2956" s="115"/>
      <c r="BP2956" s="115"/>
      <c r="BQ2956" s="115"/>
      <c r="BR2956" s="115"/>
      <c r="BS2956" s="115"/>
      <c r="BT2956" s="115"/>
      <c r="BU2956" s="115"/>
      <c r="BV2956" s="115"/>
      <c r="BW2956" s="115"/>
      <c r="BX2956" s="115"/>
      <c r="BY2956" s="115"/>
      <c r="BZ2956" s="115"/>
      <c r="CA2956" s="115"/>
      <c r="CB2956" s="115"/>
      <c r="CC2956" s="115"/>
      <c r="CD2956" s="115"/>
      <c r="CE2956" s="115"/>
      <c r="CF2956" s="115"/>
      <c r="CG2956" s="115"/>
      <c r="CH2956" s="115"/>
      <c r="CI2956" s="115"/>
      <c r="CJ2956" s="115"/>
      <c r="CK2956" s="115"/>
      <c r="CL2956" s="115"/>
      <c r="CM2956" s="115"/>
      <c r="CN2956" s="115"/>
      <c r="CO2956" s="115"/>
      <c r="CP2956" s="115"/>
      <c r="CQ2956" s="115"/>
      <c r="CR2956" s="115"/>
      <c r="CS2956" s="115"/>
      <c r="CT2956" s="115"/>
      <c r="CU2956" s="115"/>
      <c r="CV2956" s="115"/>
      <c r="CW2956" s="115"/>
      <c r="CX2956" s="115"/>
      <c r="CY2956" s="115"/>
      <c r="CZ2956" s="115"/>
      <c r="DA2956" s="115"/>
      <c r="DB2956" s="115"/>
      <c r="DC2956" s="115"/>
      <c r="DD2956" s="115"/>
      <c r="DE2956" s="115"/>
      <c r="DF2956" s="115"/>
      <c r="DG2956" s="115"/>
    </row>
    <row r="2957" spans="55:111" hidden="1">
      <c r="BC2957" s="115"/>
      <c r="BD2957" s="115"/>
      <c r="BE2957" s="115"/>
      <c r="BF2957" s="115"/>
      <c r="BG2957" s="115"/>
      <c r="BH2957" s="115"/>
      <c r="BI2957" s="115"/>
      <c r="BJ2957" s="115"/>
      <c r="BK2957" s="115"/>
      <c r="BL2957" s="115"/>
      <c r="BM2957" s="115"/>
      <c r="BN2957" s="115"/>
      <c r="BO2957" s="115"/>
      <c r="BP2957" s="115"/>
      <c r="BQ2957" s="115"/>
      <c r="BR2957" s="115"/>
      <c r="BS2957" s="115"/>
      <c r="BT2957" s="115"/>
      <c r="BU2957" s="115"/>
      <c r="BV2957" s="115"/>
      <c r="BW2957" s="115"/>
      <c r="BX2957" s="115"/>
      <c r="BY2957" s="115"/>
      <c r="BZ2957" s="115"/>
      <c r="CA2957" s="115"/>
      <c r="CB2957" s="115"/>
      <c r="CC2957" s="115"/>
      <c r="CD2957" s="115"/>
      <c r="CE2957" s="115"/>
      <c r="CF2957" s="115"/>
      <c r="CG2957" s="115"/>
      <c r="CH2957" s="115"/>
      <c r="CI2957" s="115"/>
      <c r="CJ2957" s="115"/>
      <c r="CK2957" s="115"/>
      <c r="CL2957" s="115"/>
      <c r="CM2957" s="115"/>
      <c r="CN2957" s="115"/>
      <c r="CO2957" s="115"/>
      <c r="CP2957" s="115"/>
      <c r="CQ2957" s="115"/>
      <c r="CR2957" s="115"/>
      <c r="CS2957" s="115"/>
      <c r="CT2957" s="115"/>
      <c r="CU2957" s="115"/>
      <c r="CV2957" s="115"/>
      <c r="CW2957" s="115"/>
      <c r="CX2957" s="115"/>
      <c r="CY2957" s="115"/>
      <c r="CZ2957" s="115"/>
      <c r="DA2957" s="115"/>
      <c r="DB2957" s="115"/>
      <c r="DC2957" s="115"/>
      <c r="DD2957" s="115"/>
      <c r="DE2957" s="115"/>
      <c r="DF2957" s="115"/>
      <c r="DG2957" s="115"/>
    </row>
    <row r="2958" spans="55:111" hidden="1">
      <c r="BC2958" s="115"/>
      <c r="BD2958" s="115"/>
      <c r="BE2958" s="115"/>
      <c r="BF2958" s="115"/>
      <c r="BG2958" s="115"/>
      <c r="BH2958" s="115"/>
      <c r="BI2958" s="115"/>
      <c r="BJ2958" s="115"/>
      <c r="BK2958" s="115"/>
      <c r="BL2958" s="115"/>
      <c r="BM2958" s="115"/>
      <c r="BN2958" s="115"/>
      <c r="BO2958" s="115"/>
      <c r="BP2958" s="115"/>
      <c r="BQ2958" s="115"/>
      <c r="BR2958" s="115"/>
      <c r="BS2958" s="115"/>
      <c r="BT2958" s="115"/>
      <c r="BU2958" s="115"/>
      <c r="BV2958" s="115"/>
      <c r="BW2958" s="115"/>
      <c r="BX2958" s="115"/>
      <c r="BY2958" s="115"/>
      <c r="BZ2958" s="115"/>
      <c r="CA2958" s="115"/>
      <c r="CB2958" s="115"/>
      <c r="CC2958" s="115"/>
      <c r="CD2958" s="115"/>
      <c r="CE2958" s="115"/>
      <c r="CF2958" s="115"/>
      <c r="CG2958" s="115"/>
      <c r="CH2958" s="115"/>
      <c r="CI2958" s="115"/>
      <c r="CJ2958" s="115"/>
      <c r="CK2958" s="115"/>
      <c r="CL2958" s="115"/>
      <c r="CM2958" s="115"/>
      <c r="CN2958" s="115"/>
      <c r="CO2958" s="115"/>
      <c r="CP2958" s="115"/>
      <c r="CQ2958" s="115"/>
      <c r="CR2958" s="115"/>
      <c r="CS2958" s="115"/>
      <c r="CT2958" s="115"/>
      <c r="CU2958" s="115"/>
      <c r="CV2958" s="115"/>
      <c r="CW2958" s="115"/>
      <c r="CX2958" s="115"/>
      <c r="CY2958" s="115"/>
      <c r="CZ2958" s="115"/>
      <c r="DA2958" s="115"/>
      <c r="DB2958" s="115"/>
      <c r="DC2958" s="115"/>
      <c r="DD2958" s="115"/>
      <c r="DE2958" s="115"/>
      <c r="DF2958" s="115"/>
      <c r="DG2958" s="115"/>
    </row>
    <row r="2959" spans="55:111" hidden="1">
      <c r="BC2959" s="115"/>
      <c r="BD2959" s="115"/>
      <c r="BE2959" s="115"/>
      <c r="BF2959" s="115"/>
      <c r="BG2959" s="115"/>
      <c r="BH2959" s="115"/>
      <c r="BI2959" s="115"/>
      <c r="BJ2959" s="115"/>
      <c r="BK2959" s="115"/>
      <c r="BL2959" s="115"/>
      <c r="BM2959" s="115"/>
      <c r="BN2959" s="115"/>
      <c r="BO2959" s="115"/>
      <c r="BP2959" s="115"/>
      <c r="BQ2959" s="115"/>
      <c r="BR2959" s="115"/>
      <c r="BS2959" s="115"/>
      <c r="BT2959" s="115"/>
      <c r="BU2959" s="115"/>
      <c r="BV2959" s="115"/>
      <c r="BW2959" s="115"/>
      <c r="BX2959" s="115"/>
      <c r="BY2959" s="115"/>
      <c r="BZ2959" s="115"/>
      <c r="CA2959" s="115"/>
      <c r="CB2959" s="115"/>
      <c r="CC2959" s="115"/>
      <c r="CD2959" s="115"/>
      <c r="CE2959" s="115"/>
      <c r="CF2959" s="115"/>
      <c r="CG2959" s="115"/>
      <c r="CH2959" s="115"/>
      <c r="CI2959" s="115"/>
      <c r="CJ2959" s="115"/>
      <c r="CK2959" s="115"/>
      <c r="CL2959" s="115"/>
      <c r="CM2959" s="115"/>
      <c r="CN2959" s="115"/>
      <c r="CO2959" s="115"/>
      <c r="CP2959" s="115"/>
      <c r="CQ2959" s="115"/>
      <c r="CR2959" s="115"/>
      <c r="CS2959" s="115"/>
      <c r="CT2959" s="115"/>
      <c r="CU2959" s="115"/>
      <c r="CV2959" s="115"/>
      <c r="CW2959" s="115"/>
      <c r="CX2959" s="115"/>
      <c r="CY2959" s="115"/>
      <c r="CZ2959" s="115"/>
      <c r="DA2959" s="115"/>
      <c r="DB2959" s="115"/>
      <c r="DC2959" s="115"/>
      <c r="DD2959" s="115"/>
      <c r="DE2959" s="115"/>
      <c r="DF2959" s="115"/>
      <c r="DG2959" s="115"/>
    </row>
    <row r="2960" spans="55:111" hidden="1">
      <c r="BC2960" s="115"/>
      <c r="BD2960" s="115"/>
      <c r="BE2960" s="115"/>
      <c r="BF2960" s="115"/>
      <c r="BG2960" s="115"/>
      <c r="BH2960" s="115"/>
      <c r="BI2960" s="115"/>
      <c r="BJ2960" s="115"/>
      <c r="BK2960" s="115"/>
      <c r="BL2960" s="115"/>
      <c r="BM2960" s="115"/>
      <c r="BN2960" s="115"/>
      <c r="BO2960" s="115"/>
      <c r="BP2960" s="115"/>
      <c r="BQ2960" s="115"/>
      <c r="BR2960" s="115"/>
      <c r="BS2960" s="115"/>
      <c r="BT2960" s="115"/>
      <c r="BU2960" s="115"/>
      <c r="BV2960" s="115"/>
      <c r="BW2960" s="115"/>
      <c r="BX2960" s="115"/>
      <c r="BY2960" s="115"/>
      <c r="BZ2960" s="115"/>
      <c r="CA2960" s="115"/>
      <c r="CB2960" s="115"/>
      <c r="CC2960" s="115"/>
      <c r="CD2960" s="115"/>
      <c r="CE2960" s="115"/>
      <c r="CF2960" s="115"/>
      <c r="CG2960" s="115"/>
      <c r="CH2960" s="115"/>
      <c r="CI2960" s="115"/>
      <c r="CJ2960" s="115"/>
      <c r="CK2960" s="115"/>
      <c r="CL2960" s="115"/>
      <c r="CM2960" s="115"/>
      <c r="CN2960" s="115"/>
      <c r="CO2960" s="115"/>
      <c r="CP2960" s="115"/>
      <c r="CQ2960" s="115"/>
      <c r="CR2960" s="115"/>
      <c r="CS2960" s="115"/>
      <c r="CT2960" s="115"/>
      <c r="CU2960" s="115"/>
      <c r="CV2960" s="115"/>
      <c r="CW2960" s="115"/>
      <c r="CX2960" s="115"/>
      <c r="CY2960" s="115"/>
      <c r="CZ2960" s="115"/>
      <c r="DA2960" s="115"/>
      <c r="DB2960" s="115"/>
      <c r="DC2960" s="115"/>
      <c r="DD2960" s="115"/>
      <c r="DE2960" s="115"/>
      <c r="DF2960" s="115"/>
      <c r="DG2960" s="115"/>
    </row>
    <row r="2961" spans="55:111" hidden="1">
      <c r="BC2961" s="115"/>
      <c r="BD2961" s="115"/>
      <c r="BE2961" s="115"/>
      <c r="BF2961" s="115"/>
      <c r="BG2961" s="115"/>
      <c r="BH2961" s="115"/>
      <c r="BI2961" s="115"/>
      <c r="BJ2961" s="115"/>
      <c r="BK2961" s="115"/>
      <c r="BL2961" s="115"/>
      <c r="BM2961" s="115"/>
      <c r="BN2961" s="115"/>
      <c r="BO2961" s="115"/>
      <c r="BP2961" s="115"/>
      <c r="BQ2961" s="115"/>
      <c r="BR2961" s="115"/>
      <c r="BS2961" s="115"/>
      <c r="BT2961" s="115"/>
      <c r="BU2961" s="115"/>
      <c r="BV2961" s="115"/>
      <c r="BW2961" s="115"/>
      <c r="BX2961" s="115"/>
      <c r="BY2961" s="115"/>
      <c r="BZ2961" s="115"/>
      <c r="CA2961" s="115"/>
      <c r="CB2961" s="115"/>
      <c r="CC2961" s="115"/>
      <c r="CD2961" s="115"/>
      <c r="CE2961" s="115"/>
      <c r="CF2961" s="115"/>
      <c r="CG2961" s="115"/>
      <c r="CH2961" s="115"/>
      <c r="CI2961" s="115"/>
      <c r="CJ2961" s="115"/>
      <c r="CK2961" s="115"/>
      <c r="CL2961" s="115"/>
      <c r="CM2961" s="115"/>
      <c r="CN2961" s="115"/>
      <c r="CO2961" s="115"/>
      <c r="CP2961" s="115"/>
      <c r="CQ2961" s="115"/>
      <c r="CR2961" s="115"/>
      <c r="CS2961" s="115"/>
      <c r="CT2961" s="115"/>
      <c r="CU2961" s="115"/>
      <c r="CV2961" s="115"/>
      <c r="CW2961" s="115"/>
      <c r="CX2961" s="115"/>
      <c r="CY2961" s="115"/>
      <c r="CZ2961" s="115"/>
      <c r="DA2961" s="115"/>
      <c r="DB2961" s="115"/>
      <c r="DC2961" s="115"/>
      <c r="DD2961" s="115"/>
      <c r="DE2961" s="115"/>
      <c r="DF2961" s="115"/>
      <c r="DG2961" s="115"/>
    </row>
    <row r="2962" spans="55:111" hidden="1">
      <c r="BC2962" s="115"/>
      <c r="BD2962" s="115"/>
      <c r="BE2962" s="115"/>
      <c r="BF2962" s="115"/>
      <c r="BG2962" s="115"/>
      <c r="BH2962" s="115"/>
      <c r="BI2962" s="115"/>
      <c r="BJ2962" s="115"/>
      <c r="BK2962" s="115"/>
      <c r="BL2962" s="115"/>
      <c r="BM2962" s="115"/>
      <c r="BN2962" s="115"/>
      <c r="BO2962" s="115"/>
      <c r="BP2962" s="115"/>
      <c r="BQ2962" s="115"/>
      <c r="BR2962" s="115"/>
      <c r="BS2962" s="115"/>
      <c r="BT2962" s="115"/>
      <c r="BU2962" s="115"/>
      <c r="BV2962" s="115"/>
      <c r="BW2962" s="115"/>
      <c r="BX2962" s="115"/>
      <c r="BY2962" s="115"/>
      <c r="BZ2962" s="115"/>
      <c r="CA2962" s="115"/>
      <c r="CB2962" s="115"/>
      <c r="CC2962" s="115"/>
      <c r="CD2962" s="115"/>
      <c r="CE2962" s="115"/>
      <c r="CF2962" s="115"/>
      <c r="CG2962" s="115"/>
      <c r="CH2962" s="115"/>
      <c r="CI2962" s="115"/>
      <c r="CJ2962" s="115"/>
      <c r="CK2962" s="115"/>
      <c r="CL2962" s="115"/>
      <c r="CM2962" s="115"/>
      <c r="CN2962" s="115"/>
      <c r="CO2962" s="115"/>
      <c r="CP2962" s="115"/>
      <c r="CQ2962" s="115"/>
      <c r="CR2962" s="115"/>
      <c r="CS2962" s="115"/>
      <c r="CT2962" s="115"/>
      <c r="CU2962" s="115"/>
      <c r="CV2962" s="115"/>
      <c r="CW2962" s="115"/>
      <c r="CX2962" s="115"/>
      <c r="CY2962" s="115"/>
      <c r="CZ2962" s="115"/>
      <c r="DA2962" s="115"/>
      <c r="DB2962" s="115"/>
      <c r="DC2962" s="115"/>
      <c r="DD2962" s="115"/>
      <c r="DE2962" s="115"/>
      <c r="DF2962" s="115"/>
      <c r="DG2962" s="115"/>
    </row>
    <row r="2963" spans="55:111" hidden="1">
      <c r="BC2963" s="115"/>
      <c r="BD2963" s="115"/>
      <c r="BE2963" s="115"/>
      <c r="BF2963" s="115"/>
      <c r="BG2963" s="115"/>
      <c r="BH2963" s="115"/>
      <c r="BI2963" s="115"/>
      <c r="BJ2963" s="115"/>
      <c r="BK2963" s="115"/>
      <c r="BL2963" s="115"/>
      <c r="BM2963" s="115"/>
      <c r="BN2963" s="115"/>
      <c r="BO2963" s="115"/>
      <c r="BP2963" s="115"/>
      <c r="BQ2963" s="115"/>
      <c r="BR2963" s="115"/>
      <c r="BS2963" s="115"/>
      <c r="BT2963" s="115"/>
      <c r="BU2963" s="115"/>
      <c r="BV2963" s="115"/>
      <c r="BW2963" s="115"/>
      <c r="BX2963" s="115"/>
      <c r="BY2963" s="115"/>
      <c r="BZ2963" s="115"/>
      <c r="CA2963" s="115"/>
      <c r="CB2963" s="115"/>
      <c r="CC2963" s="115"/>
      <c r="CD2963" s="115"/>
      <c r="CE2963" s="115"/>
      <c r="CF2963" s="115"/>
      <c r="CG2963" s="115"/>
      <c r="CH2963" s="115"/>
      <c r="CI2963" s="115"/>
      <c r="CJ2963" s="115"/>
      <c r="CK2963" s="115"/>
      <c r="CL2963" s="115"/>
      <c r="CM2963" s="115"/>
      <c r="CN2963" s="115"/>
      <c r="CO2963" s="115"/>
      <c r="CP2963" s="115"/>
      <c r="CQ2963" s="115"/>
      <c r="CR2963" s="115"/>
      <c r="CS2963" s="115"/>
      <c r="CT2963" s="115"/>
      <c r="CU2963" s="115"/>
      <c r="CV2963" s="115"/>
      <c r="CW2963" s="115"/>
      <c r="CX2963" s="115"/>
      <c r="CY2963" s="115"/>
      <c r="CZ2963" s="115"/>
      <c r="DA2963" s="115"/>
      <c r="DB2963" s="115"/>
      <c r="DC2963" s="115"/>
      <c r="DD2963" s="115"/>
      <c r="DE2963" s="115"/>
      <c r="DF2963" s="115"/>
      <c r="DG2963" s="115"/>
    </row>
    <row r="2964" spans="55:111" hidden="1">
      <c r="BC2964" s="115"/>
      <c r="BD2964" s="115"/>
      <c r="BE2964" s="115"/>
      <c r="BF2964" s="115"/>
      <c r="BG2964" s="115"/>
      <c r="BH2964" s="115"/>
      <c r="BI2964" s="115"/>
      <c r="BJ2964" s="115"/>
      <c r="BK2964" s="115"/>
      <c r="BL2964" s="115"/>
      <c r="BM2964" s="115"/>
      <c r="BN2964" s="115"/>
      <c r="BO2964" s="115"/>
      <c r="BP2964" s="115"/>
      <c r="BQ2964" s="115"/>
      <c r="BR2964" s="115"/>
      <c r="BS2964" s="115"/>
      <c r="BT2964" s="115"/>
      <c r="BU2964" s="115"/>
      <c r="BV2964" s="115"/>
      <c r="BW2964" s="115"/>
      <c r="BX2964" s="115"/>
      <c r="BY2964" s="115"/>
      <c r="BZ2964" s="115"/>
      <c r="CA2964" s="115"/>
      <c r="CB2964" s="115"/>
      <c r="CC2964" s="115"/>
      <c r="CD2964" s="115"/>
      <c r="CE2964" s="115"/>
      <c r="CF2964" s="115"/>
      <c r="CG2964" s="115"/>
      <c r="CH2964" s="115"/>
      <c r="CI2964" s="115"/>
      <c r="CJ2964" s="115"/>
      <c r="CK2964" s="115"/>
      <c r="CL2964" s="115"/>
      <c r="CM2964" s="115"/>
      <c r="CN2964" s="115"/>
      <c r="CO2964" s="115"/>
      <c r="CP2964" s="115"/>
      <c r="CQ2964" s="115"/>
      <c r="CR2964" s="115"/>
      <c r="CS2964" s="115"/>
      <c r="CT2964" s="115"/>
      <c r="CU2964" s="115"/>
      <c r="CV2964" s="115"/>
      <c r="CW2964" s="115"/>
      <c r="CX2964" s="115"/>
      <c r="CY2964" s="115"/>
      <c r="CZ2964" s="115"/>
      <c r="DA2964" s="115"/>
      <c r="DB2964" s="115"/>
      <c r="DC2964" s="115"/>
      <c r="DD2964" s="115"/>
      <c r="DE2964" s="115"/>
      <c r="DF2964" s="115"/>
      <c r="DG2964" s="115"/>
    </row>
    <row r="2965" spans="55:111" hidden="1">
      <c r="BC2965" s="115"/>
      <c r="BD2965" s="115"/>
      <c r="BE2965" s="115"/>
      <c r="BF2965" s="115"/>
      <c r="BG2965" s="115"/>
      <c r="BH2965" s="115"/>
      <c r="BI2965" s="115"/>
      <c r="BJ2965" s="115"/>
      <c r="BK2965" s="115"/>
      <c r="BL2965" s="115"/>
      <c r="BM2965" s="115"/>
      <c r="BN2965" s="115"/>
      <c r="BO2965" s="115"/>
      <c r="BP2965" s="115"/>
      <c r="BQ2965" s="115"/>
      <c r="BR2965" s="115"/>
      <c r="BS2965" s="115"/>
      <c r="BT2965" s="115"/>
      <c r="BU2965" s="115"/>
      <c r="BV2965" s="115"/>
      <c r="BW2965" s="115"/>
      <c r="BX2965" s="115"/>
      <c r="BY2965" s="115"/>
      <c r="BZ2965" s="115"/>
      <c r="CA2965" s="115"/>
      <c r="CB2965" s="115"/>
      <c r="CC2965" s="115"/>
      <c r="CD2965" s="115"/>
      <c r="CE2965" s="115"/>
      <c r="CF2965" s="115"/>
      <c r="CG2965" s="115"/>
      <c r="CH2965" s="115"/>
      <c r="CI2965" s="115"/>
      <c r="CJ2965" s="115"/>
      <c r="CK2965" s="115"/>
      <c r="CL2965" s="115"/>
      <c r="CM2965" s="115"/>
      <c r="CN2965" s="115"/>
      <c r="CO2965" s="115"/>
      <c r="CP2965" s="115"/>
      <c r="CQ2965" s="115"/>
      <c r="CR2965" s="115"/>
      <c r="CS2965" s="115"/>
      <c r="CT2965" s="115"/>
      <c r="CU2965" s="115"/>
      <c r="CV2965" s="115"/>
      <c r="CW2965" s="115"/>
      <c r="CX2965" s="115"/>
      <c r="CY2965" s="115"/>
      <c r="CZ2965" s="115"/>
      <c r="DA2965" s="115"/>
      <c r="DB2965" s="115"/>
      <c r="DC2965" s="115"/>
      <c r="DD2965" s="115"/>
      <c r="DE2965" s="115"/>
      <c r="DF2965" s="115"/>
      <c r="DG2965" s="115"/>
    </row>
    <row r="2966" spans="55:111" hidden="1">
      <c r="BC2966" s="115"/>
      <c r="BD2966" s="115"/>
      <c r="BE2966" s="115"/>
      <c r="BF2966" s="115"/>
      <c r="BG2966" s="115"/>
      <c r="BH2966" s="115"/>
      <c r="BI2966" s="115"/>
      <c r="BJ2966" s="115"/>
      <c r="BK2966" s="115"/>
      <c r="BL2966" s="115"/>
      <c r="BM2966" s="115"/>
      <c r="BN2966" s="115"/>
      <c r="BO2966" s="115"/>
      <c r="BP2966" s="115"/>
      <c r="BQ2966" s="115"/>
      <c r="BR2966" s="115"/>
      <c r="BS2966" s="115"/>
      <c r="BT2966" s="115"/>
      <c r="BU2966" s="115"/>
      <c r="BV2966" s="115"/>
      <c r="BW2966" s="115"/>
      <c r="BX2966" s="115"/>
      <c r="BY2966" s="115"/>
      <c r="BZ2966" s="115"/>
      <c r="CA2966" s="115"/>
      <c r="CB2966" s="115"/>
      <c r="CC2966" s="115"/>
      <c r="CD2966" s="115"/>
      <c r="CE2966" s="115"/>
      <c r="CF2966" s="115"/>
      <c r="CG2966" s="115"/>
      <c r="CH2966" s="115"/>
      <c r="CI2966" s="115"/>
      <c r="CJ2966" s="115"/>
      <c r="CK2966" s="115"/>
      <c r="CL2966" s="115"/>
      <c r="CM2966" s="115"/>
      <c r="CN2966" s="115"/>
      <c r="CO2966" s="115"/>
      <c r="CP2966" s="115"/>
      <c r="CQ2966" s="115"/>
      <c r="CR2966" s="115"/>
      <c r="CS2966" s="115"/>
      <c r="CT2966" s="115"/>
      <c r="CU2966" s="115"/>
      <c r="CV2966" s="115"/>
      <c r="CW2966" s="115"/>
      <c r="CX2966" s="115"/>
      <c r="CY2966" s="115"/>
      <c r="CZ2966" s="115"/>
      <c r="DA2966" s="115"/>
      <c r="DB2966" s="115"/>
      <c r="DC2966" s="115"/>
      <c r="DD2966" s="115"/>
      <c r="DE2966" s="115"/>
      <c r="DF2966" s="115"/>
      <c r="DG2966" s="115"/>
    </row>
    <row r="2967" spans="55:111" hidden="1">
      <c r="BC2967" s="115"/>
      <c r="BD2967" s="115"/>
      <c r="BE2967" s="115"/>
      <c r="BF2967" s="115"/>
      <c r="BG2967" s="115"/>
      <c r="BH2967" s="115"/>
      <c r="BI2967" s="115"/>
      <c r="BJ2967" s="115"/>
      <c r="BK2967" s="115"/>
      <c r="BL2967" s="115"/>
      <c r="BM2967" s="115"/>
      <c r="BN2967" s="115"/>
      <c r="BO2967" s="115"/>
      <c r="BP2967" s="115"/>
      <c r="BQ2967" s="115"/>
      <c r="BR2967" s="115"/>
      <c r="BS2967" s="115"/>
      <c r="BT2967" s="115"/>
      <c r="BU2967" s="115"/>
      <c r="BV2967" s="115"/>
      <c r="BW2967" s="115"/>
      <c r="BX2967" s="115"/>
      <c r="BY2967" s="115"/>
      <c r="BZ2967" s="115"/>
      <c r="CA2967" s="115"/>
      <c r="CB2967" s="115"/>
      <c r="CC2967" s="115"/>
      <c r="CD2967" s="115"/>
      <c r="CE2967" s="115"/>
      <c r="CF2967" s="115"/>
      <c r="CG2967" s="115"/>
      <c r="CH2967" s="115"/>
      <c r="CI2967" s="115"/>
      <c r="CJ2967" s="115"/>
      <c r="CK2967" s="115"/>
      <c r="CL2967" s="115"/>
      <c r="CM2967" s="115"/>
      <c r="CN2967" s="115"/>
      <c r="CO2967" s="115"/>
      <c r="CP2967" s="115"/>
      <c r="CQ2967" s="115"/>
      <c r="CR2967" s="115"/>
      <c r="CS2967" s="115"/>
      <c r="CT2967" s="115"/>
      <c r="CU2967" s="115"/>
      <c r="CV2967" s="115"/>
      <c r="CW2967" s="115"/>
      <c r="CX2967" s="115"/>
      <c r="CY2967" s="115"/>
      <c r="CZ2967" s="115"/>
      <c r="DA2967" s="115"/>
      <c r="DB2967" s="115"/>
      <c r="DC2967" s="115"/>
      <c r="DD2967" s="115"/>
      <c r="DE2967" s="115"/>
      <c r="DF2967" s="115"/>
      <c r="DG2967" s="115"/>
    </row>
    <row r="2968" spans="55:111" hidden="1">
      <c r="BC2968" s="115"/>
      <c r="BD2968" s="115"/>
      <c r="BE2968" s="115"/>
      <c r="BF2968" s="115"/>
      <c r="BG2968" s="115"/>
      <c r="BH2968" s="115"/>
      <c r="BI2968" s="115"/>
      <c r="BJ2968" s="115"/>
      <c r="BK2968" s="115"/>
      <c r="BL2968" s="115"/>
      <c r="BM2968" s="115"/>
      <c r="BN2968" s="115"/>
      <c r="BO2968" s="115"/>
      <c r="BP2968" s="115"/>
      <c r="BQ2968" s="115"/>
      <c r="BR2968" s="115"/>
      <c r="BS2968" s="115"/>
      <c r="BT2968" s="115"/>
      <c r="BU2968" s="115"/>
      <c r="BV2968" s="115"/>
      <c r="BW2968" s="115"/>
      <c r="BX2968" s="115"/>
      <c r="BY2968" s="115"/>
      <c r="BZ2968" s="115"/>
      <c r="CA2968" s="115"/>
      <c r="CB2968" s="115"/>
      <c r="CC2968" s="115"/>
      <c r="CD2968" s="115"/>
      <c r="CE2968" s="115"/>
      <c r="CF2968" s="115"/>
      <c r="CG2968" s="115"/>
      <c r="CH2968" s="115"/>
      <c r="CI2968" s="115"/>
      <c r="CJ2968" s="115"/>
      <c r="CK2968" s="115"/>
      <c r="CL2968" s="115"/>
      <c r="CM2968" s="115"/>
      <c r="CN2968" s="115"/>
      <c r="CO2968" s="115"/>
      <c r="CP2968" s="115"/>
      <c r="CQ2968" s="115"/>
      <c r="CR2968" s="115"/>
      <c r="CS2968" s="115"/>
      <c r="CT2968" s="115"/>
      <c r="CU2968" s="115"/>
      <c r="CV2968" s="115"/>
      <c r="CW2968" s="115"/>
      <c r="CX2968" s="115"/>
      <c r="CY2968" s="115"/>
      <c r="CZ2968" s="115"/>
      <c r="DA2968" s="115"/>
      <c r="DB2968" s="115"/>
      <c r="DC2968" s="115"/>
      <c r="DD2968" s="115"/>
      <c r="DE2968" s="115"/>
      <c r="DF2968" s="115"/>
      <c r="DG2968" s="115"/>
    </row>
    <row r="2969" spans="55:111" hidden="1">
      <c r="BC2969" s="115"/>
      <c r="BD2969" s="115"/>
      <c r="BE2969" s="115"/>
      <c r="BF2969" s="115"/>
      <c r="BG2969" s="115"/>
      <c r="BH2969" s="115"/>
      <c r="BI2969" s="115"/>
      <c r="BJ2969" s="115"/>
      <c r="BK2969" s="115"/>
      <c r="BL2969" s="115"/>
      <c r="BM2969" s="115"/>
      <c r="BN2969" s="115"/>
      <c r="BO2969" s="115"/>
      <c r="BP2969" s="115"/>
      <c r="BQ2969" s="115"/>
      <c r="BR2969" s="115"/>
      <c r="BS2969" s="115"/>
      <c r="BT2969" s="115"/>
      <c r="BU2969" s="115"/>
      <c r="BV2969" s="115"/>
      <c r="BW2969" s="115"/>
      <c r="BX2969" s="115"/>
      <c r="BY2969" s="115"/>
      <c r="BZ2969" s="115"/>
      <c r="CA2969" s="115"/>
      <c r="CB2969" s="115"/>
      <c r="CC2969" s="115"/>
      <c r="CD2969" s="115"/>
      <c r="CE2969" s="115"/>
      <c r="CF2969" s="115"/>
      <c r="CG2969" s="115"/>
      <c r="CH2969" s="115"/>
      <c r="CI2969" s="115"/>
      <c r="CJ2969" s="115"/>
      <c r="CK2969" s="115"/>
      <c r="CL2969" s="115"/>
      <c r="CM2969" s="115"/>
      <c r="CN2969" s="115"/>
      <c r="CO2969" s="115"/>
      <c r="CP2969" s="115"/>
      <c r="CQ2969" s="115"/>
      <c r="CR2969" s="115"/>
      <c r="CS2969" s="115"/>
      <c r="CT2969" s="115"/>
      <c r="CU2969" s="115"/>
      <c r="CV2969" s="115"/>
      <c r="CW2969" s="115"/>
      <c r="CX2969" s="115"/>
      <c r="CY2969" s="115"/>
      <c r="CZ2969" s="115"/>
      <c r="DA2969" s="115"/>
      <c r="DB2969" s="115"/>
      <c r="DC2969" s="115"/>
      <c r="DD2969" s="115"/>
      <c r="DE2969" s="115"/>
      <c r="DF2969" s="115"/>
      <c r="DG2969" s="115"/>
    </row>
    <row r="2970" spans="55:111" hidden="1">
      <c r="BC2970" s="115"/>
      <c r="BD2970" s="115"/>
      <c r="BE2970" s="115"/>
      <c r="BF2970" s="115"/>
      <c r="BG2970" s="115"/>
      <c r="BH2970" s="115"/>
      <c r="BI2970" s="115"/>
      <c r="BJ2970" s="115"/>
      <c r="BK2970" s="115"/>
      <c r="BL2970" s="115"/>
      <c r="BM2970" s="115"/>
      <c r="BN2970" s="115"/>
      <c r="BO2970" s="115"/>
      <c r="BP2970" s="115"/>
      <c r="BQ2970" s="115"/>
      <c r="BR2970" s="115"/>
      <c r="BS2970" s="115"/>
      <c r="BT2970" s="115"/>
      <c r="BU2970" s="115"/>
      <c r="BV2970" s="115"/>
      <c r="BW2970" s="115"/>
      <c r="BX2970" s="115"/>
      <c r="BY2970" s="115"/>
      <c r="BZ2970" s="115"/>
      <c r="CA2970" s="115"/>
      <c r="CB2970" s="115"/>
      <c r="CC2970" s="115"/>
      <c r="CD2970" s="115"/>
      <c r="CE2970" s="115"/>
      <c r="CF2970" s="115"/>
      <c r="CG2970" s="115"/>
      <c r="CH2970" s="115"/>
      <c r="CI2970" s="115"/>
      <c r="CJ2970" s="115"/>
      <c r="CK2970" s="115"/>
      <c r="CL2970" s="115"/>
      <c r="CM2970" s="115"/>
      <c r="CN2970" s="115"/>
      <c r="CO2970" s="115"/>
      <c r="CP2970" s="115"/>
      <c r="CQ2970" s="115"/>
      <c r="CR2970" s="115"/>
      <c r="CS2970" s="115"/>
      <c r="CT2970" s="115"/>
      <c r="CU2970" s="115"/>
      <c r="CV2970" s="115"/>
      <c r="CW2970" s="115"/>
      <c r="CX2970" s="115"/>
      <c r="CY2970" s="115"/>
      <c r="CZ2970" s="115"/>
      <c r="DA2970" s="115"/>
      <c r="DB2970" s="115"/>
      <c r="DC2970" s="115"/>
      <c r="DD2970" s="115"/>
      <c r="DE2970" s="115"/>
      <c r="DF2970" s="115"/>
      <c r="DG2970" s="115"/>
    </row>
    <row r="2971" spans="55:111" hidden="1">
      <c r="BC2971" s="115"/>
      <c r="BD2971" s="115"/>
      <c r="BE2971" s="115"/>
      <c r="BF2971" s="115"/>
      <c r="BG2971" s="115"/>
      <c r="BH2971" s="115"/>
      <c r="BI2971" s="115"/>
      <c r="BJ2971" s="115"/>
      <c r="BK2971" s="115"/>
      <c r="BL2971" s="115"/>
      <c r="BM2971" s="115"/>
      <c r="BN2971" s="115"/>
      <c r="BO2971" s="115"/>
      <c r="BP2971" s="115"/>
      <c r="BQ2971" s="115"/>
      <c r="BR2971" s="115"/>
      <c r="BS2971" s="115"/>
      <c r="BT2971" s="115"/>
      <c r="BU2971" s="115"/>
      <c r="BV2971" s="115"/>
      <c r="BW2971" s="115"/>
      <c r="BX2971" s="115"/>
      <c r="BY2971" s="115"/>
      <c r="BZ2971" s="115"/>
      <c r="CA2971" s="115"/>
      <c r="CB2971" s="115"/>
      <c r="CC2971" s="115"/>
      <c r="CD2971" s="115"/>
      <c r="CE2971" s="115"/>
      <c r="CF2971" s="115"/>
      <c r="CG2971" s="115"/>
      <c r="CH2971" s="115"/>
      <c r="CI2971" s="115"/>
      <c r="CJ2971" s="115"/>
      <c r="CK2971" s="115"/>
      <c r="CL2971" s="115"/>
      <c r="CM2971" s="115"/>
      <c r="CN2971" s="115"/>
      <c r="CO2971" s="115"/>
      <c r="CP2971" s="115"/>
      <c r="CQ2971" s="115"/>
      <c r="CR2971" s="115"/>
      <c r="CS2971" s="115"/>
      <c r="CT2971" s="115"/>
      <c r="CU2971" s="115"/>
      <c r="CV2971" s="115"/>
      <c r="CW2971" s="115"/>
      <c r="CX2971" s="115"/>
      <c r="CY2971" s="115"/>
      <c r="CZ2971" s="115"/>
      <c r="DA2971" s="115"/>
      <c r="DB2971" s="115"/>
      <c r="DC2971" s="115"/>
      <c r="DD2971" s="115"/>
      <c r="DE2971" s="115"/>
      <c r="DF2971" s="115"/>
      <c r="DG2971" s="115"/>
    </row>
    <row r="2972" spans="55:111" hidden="1">
      <c r="BC2972" s="115"/>
      <c r="BD2972" s="115"/>
      <c r="BE2972" s="115"/>
      <c r="BF2972" s="115"/>
      <c r="BG2972" s="115"/>
      <c r="BH2972" s="115"/>
      <c r="BI2972" s="115"/>
      <c r="BJ2972" s="115"/>
      <c r="BK2972" s="115"/>
      <c r="BL2972" s="115"/>
      <c r="BM2972" s="115"/>
      <c r="BN2972" s="115"/>
      <c r="BO2972" s="115"/>
      <c r="BP2972" s="115"/>
      <c r="BQ2972" s="115"/>
      <c r="BR2972" s="115"/>
      <c r="BS2972" s="115"/>
      <c r="BT2972" s="115"/>
      <c r="BU2972" s="115"/>
      <c r="BV2972" s="115"/>
      <c r="BW2972" s="115"/>
      <c r="BX2972" s="115"/>
      <c r="BY2972" s="115"/>
      <c r="BZ2972" s="115"/>
      <c r="CA2972" s="115"/>
      <c r="CB2972" s="115"/>
      <c r="CC2972" s="115"/>
      <c r="CD2972" s="115"/>
      <c r="CE2972" s="115"/>
      <c r="CF2972" s="115"/>
      <c r="CG2972" s="115"/>
      <c r="CH2972" s="115"/>
      <c r="CI2972" s="115"/>
      <c r="CJ2972" s="115"/>
      <c r="CK2972" s="115"/>
      <c r="CL2972" s="115"/>
      <c r="CM2972" s="115"/>
      <c r="CN2972" s="115"/>
      <c r="CO2972" s="115"/>
      <c r="CP2972" s="115"/>
      <c r="CQ2972" s="115"/>
      <c r="CR2972" s="115"/>
      <c r="CS2972" s="115"/>
      <c r="CT2972" s="115"/>
      <c r="CU2972" s="115"/>
      <c r="CV2972" s="115"/>
      <c r="CW2972" s="115"/>
      <c r="CX2972" s="115"/>
      <c r="CY2972" s="115"/>
      <c r="CZ2972" s="115"/>
      <c r="DA2972" s="115"/>
      <c r="DB2972" s="115"/>
      <c r="DC2972" s="115"/>
      <c r="DD2972" s="115"/>
      <c r="DE2972" s="115"/>
      <c r="DF2972" s="115"/>
      <c r="DG2972" s="115"/>
    </row>
    <row r="2973" spans="55:111" hidden="1">
      <c r="BC2973" s="115"/>
      <c r="BD2973" s="115"/>
      <c r="BE2973" s="115"/>
      <c r="BF2973" s="115"/>
      <c r="BG2973" s="115"/>
      <c r="BH2973" s="115"/>
      <c r="BI2973" s="115"/>
      <c r="BJ2973" s="115"/>
      <c r="BK2973" s="115"/>
      <c r="BL2973" s="115"/>
      <c r="BM2973" s="115"/>
      <c r="BN2973" s="115"/>
      <c r="BO2973" s="115"/>
      <c r="BP2973" s="115"/>
      <c r="BQ2973" s="115"/>
      <c r="BR2973" s="115"/>
      <c r="BS2973" s="115"/>
      <c r="BT2973" s="115"/>
      <c r="BU2973" s="115"/>
      <c r="BV2973" s="115"/>
      <c r="BW2973" s="115"/>
      <c r="BX2973" s="115"/>
      <c r="BY2973" s="115"/>
      <c r="BZ2973" s="115"/>
      <c r="CA2973" s="115"/>
      <c r="CB2973" s="115"/>
      <c r="CC2973" s="115"/>
      <c r="CD2973" s="115"/>
      <c r="CE2973" s="115"/>
      <c r="CF2973" s="115"/>
      <c r="CG2973" s="115"/>
      <c r="CH2973" s="115"/>
      <c r="CI2973" s="115"/>
      <c r="CJ2973" s="115"/>
      <c r="CK2973" s="115"/>
      <c r="CL2973" s="115"/>
      <c r="CM2973" s="115"/>
      <c r="CN2973" s="115"/>
      <c r="CO2973" s="115"/>
      <c r="CP2973" s="115"/>
      <c r="CQ2973" s="115"/>
      <c r="CR2973" s="115"/>
      <c r="CS2973" s="115"/>
      <c r="CT2973" s="115"/>
      <c r="CU2973" s="115"/>
      <c r="CV2973" s="115"/>
      <c r="CW2973" s="115"/>
      <c r="CX2973" s="115"/>
      <c r="CY2973" s="115"/>
      <c r="CZ2973" s="115"/>
      <c r="DA2973" s="115"/>
      <c r="DB2973" s="115"/>
      <c r="DC2973" s="115"/>
      <c r="DD2973" s="115"/>
      <c r="DE2973" s="115"/>
      <c r="DF2973" s="115"/>
      <c r="DG2973" s="115"/>
    </row>
    <row r="2974" spans="55:111" hidden="1">
      <c r="BC2974" s="115"/>
      <c r="BD2974" s="115"/>
      <c r="BE2974" s="115"/>
      <c r="BF2974" s="115"/>
      <c r="BG2974" s="115"/>
      <c r="BH2974" s="115"/>
      <c r="BI2974" s="115"/>
      <c r="BJ2974" s="115"/>
      <c r="BK2974" s="115"/>
      <c r="BL2974" s="115"/>
      <c r="BM2974" s="115"/>
      <c r="BN2974" s="115"/>
      <c r="BO2974" s="115"/>
      <c r="BP2974" s="115"/>
      <c r="BQ2974" s="115"/>
      <c r="BR2974" s="115"/>
      <c r="BS2974" s="115"/>
      <c r="BT2974" s="115"/>
      <c r="BU2974" s="115"/>
      <c r="BV2974" s="115"/>
      <c r="BW2974" s="115"/>
      <c r="BX2974" s="115"/>
      <c r="BY2974" s="115"/>
      <c r="BZ2974" s="115"/>
      <c r="CA2974" s="115"/>
      <c r="CB2974" s="115"/>
      <c r="CC2974" s="115"/>
      <c r="CD2974" s="115"/>
      <c r="CE2974" s="115"/>
      <c r="CF2974" s="115"/>
      <c r="CG2974" s="115"/>
      <c r="CH2974" s="115"/>
      <c r="CI2974" s="115"/>
      <c r="CJ2974" s="115"/>
      <c r="CK2974" s="115"/>
      <c r="CL2974" s="115"/>
      <c r="CM2974" s="115"/>
      <c r="CN2974" s="115"/>
      <c r="CO2974" s="115"/>
      <c r="CP2974" s="115"/>
      <c r="CQ2974" s="115"/>
      <c r="CR2974" s="115"/>
      <c r="CS2974" s="115"/>
      <c r="CT2974" s="115"/>
      <c r="CU2974" s="115"/>
      <c r="CV2974" s="115"/>
      <c r="CW2974" s="115"/>
      <c r="CX2974" s="115"/>
      <c r="CY2974" s="115"/>
      <c r="CZ2974" s="115"/>
      <c r="DA2974" s="115"/>
      <c r="DB2974" s="115"/>
      <c r="DC2974" s="115"/>
      <c r="DD2974" s="115"/>
      <c r="DE2974" s="115"/>
      <c r="DF2974" s="115"/>
      <c r="DG2974" s="115"/>
    </row>
    <row r="2975" spans="55:111" hidden="1">
      <c r="BC2975" s="115"/>
      <c r="BD2975" s="115"/>
      <c r="BE2975" s="115"/>
      <c r="BF2975" s="115"/>
      <c r="BG2975" s="115"/>
      <c r="BH2975" s="115"/>
      <c r="BI2975" s="115"/>
      <c r="BJ2975" s="115"/>
      <c r="BK2975" s="115"/>
      <c r="BL2975" s="115"/>
      <c r="BM2975" s="115"/>
      <c r="BN2975" s="115"/>
      <c r="BO2975" s="115"/>
      <c r="BP2975" s="115"/>
      <c r="BQ2975" s="115"/>
      <c r="BR2975" s="115"/>
      <c r="BS2975" s="115"/>
      <c r="BT2975" s="115"/>
      <c r="BU2975" s="115"/>
      <c r="BV2975" s="115"/>
      <c r="BW2975" s="115"/>
      <c r="BX2975" s="115"/>
      <c r="BY2975" s="115"/>
      <c r="BZ2975" s="115"/>
      <c r="CA2975" s="115"/>
      <c r="CB2975" s="115"/>
      <c r="CC2975" s="115"/>
      <c r="CD2975" s="115"/>
      <c r="CE2975" s="115"/>
      <c r="CF2975" s="115"/>
      <c r="CG2975" s="115"/>
      <c r="CH2975" s="115"/>
      <c r="CI2975" s="115"/>
      <c r="CJ2975" s="115"/>
      <c r="CK2975" s="115"/>
      <c r="CL2975" s="115"/>
      <c r="CM2975" s="115"/>
      <c r="CN2975" s="115"/>
      <c r="CO2975" s="115"/>
      <c r="CP2975" s="115"/>
      <c r="CQ2975" s="115"/>
      <c r="CR2975" s="115"/>
      <c r="CS2975" s="115"/>
      <c r="CT2975" s="115"/>
      <c r="CU2975" s="115"/>
      <c r="CV2975" s="115"/>
      <c r="CW2975" s="115"/>
      <c r="CX2975" s="115"/>
      <c r="CY2975" s="115"/>
      <c r="CZ2975" s="115"/>
      <c r="DA2975" s="115"/>
      <c r="DB2975" s="115"/>
      <c r="DC2975" s="115"/>
      <c r="DD2975" s="115"/>
      <c r="DE2975" s="115"/>
      <c r="DF2975" s="115"/>
      <c r="DG2975" s="115"/>
    </row>
    <row r="2976" spans="55:111" hidden="1">
      <c r="BC2976" s="115"/>
      <c r="BD2976" s="115"/>
      <c r="BE2976" s="115"/>
      <c r="BF2976" s="115"/>
      <c r="BG2976" s="115"/>
      <c r="BH2976" s="115"/>
      <c r="BI2976" s="115"/>
      <c r="BJ2976" s="115"/>
      <c r="BK2976" s="115"/>
      <c r="BL2976" s="115"/>
      <c r="BM2976" s="115"/>
      <c r="BN2976" s="115"/>
      <c r="BO2976" s="115"/>
      <c r="BP2976" s="115"/>
      <c r="BQ2976" s="115"/>
      <c r="BR2976" s="115"/>
      <c r="BS2976" s="115"/>
      <c r="BT2976" s="115"/>
      <c r="BU2976" s="115"/>
      <c r="BV2976" s="115"/>
      <c r="BW2976" s="115"/>
      <c r="BX2976" s="115"/>
      <c r="BY2976" s="115"/>
      <c r="BZ2976" s="115"/>
      <c r="CA2976" s="115"/>
      <c r="CB2976" s="115"/>
      <c r="CC2976" s="115"/>
      <c r="CD2976" s="115"/>
      <c r="CE2976" s="115"/>
      <c r="CF2976" s="115"/>
      <c r="CG2976" s="115"/>
      <c r="CH2976" s="115"/>
      <c r="CI2976" s="115"/>
      <c r="CJ2976" s="115"/>
      <c r="CK2976" s="115"/>
      <c r="CL2976" s="115"/>
      <c r="CM2976" s="115"/>
      <c r="CN2976" s="115"/>
      <c r="CO2976" s="115"/>
      <c r="CP2976" s="115"/>
      <c r="CQ2976" s="115"/>
      <c r="CR2976" s="115"/>
      <c r="CS2976" s="115"/>
      <c r="CT2976" s="115"/>
      <c r="CU2976" s="115"/>
      <c r="CV2976" s="115"/>
      <c r="CW2976" s="115"/>
      <c r="CX2976" s="115"/>
      <c r="CY2976" s="115"/>
      <c r="CZ2976" s="115"/>
      <c r="DA2976" s="115"/>
      <c r="DB2976" s="115"/>
      <c r="DC2976" s="115"/>
      <c r="DD2976" s="115"/>
      <c r="DE2976" s="115"/>
      <c r="DF2976" s="115"/>
      <c r="DG2976" s="115"/>
    </row>
    <row r="2977" spans="55:111" hidden="1">
      <c r="BC2977" s="115"/>
      <c r="BD2977" s="115"/>
      <c r="BE2977" s="115"/>
      <c r="BF2977" s="115"/>
      <c r="BG2977" s="115"/>
      <c r="BH2977" s="115"/>
      <c r="BI2977" s="115"/>
      <c r="BJ2977" s="115"/>
      <c r="BK2977" s="115"/>
      <c r="BL2977" s="115"/>
      <c r="BM2977" s="115"/>
      <c r="BN2977" s="115"/>
      <c r="BO2977" s="115"/>
      <c r="BP2977" s="115"/>
      <c r="BQ2977" s="115"/>
      <c r="BR2977" s="115"/>
      <c r="BS2977" s="115"/>
      <c r="BT2977" s="115"/>
      <c r="BU2977" s="115"/>
      <c r="BV2977" s="115"/>
      <c r="BW2977" s="115"/>
      <c r="BX2977" s="115"/>
      <c r="BY2977" s="115"/>
      <c r="BZ2977" s="115"/>
      <c r="CA2977" s="115"/>
      <c r="CB2977" s="115"/>
      <c r="CC2977" s="115"/>
      <c r="CD2977" s="115"/>
      <c r="CE2977" s="115"/>
      <c r="CF2977" s="115"/>
      <c r="CG2977" s="115"/>
      <c r="CH2977" s="115"/>
      <c r="CI2977" s="115"/>
      <c r="CJ2977" s="115"/>
      <c r="CK2977" s="115"/>
      <c r="CL2977" s="115"/>
      <c r="CM2977" s="115"/>
      <c r="CN2977" s="115"/>
      <c r="CO2977" s="115"/>
      <c r="CP2977" s="115"/>
      <c r="CQ2977" s="115"/>
      <c r="CR2977" s="115"/>
      <c r="CS2977" s="115"/>
      <c r="CT2977" s="115"/>
      <c r="CU2977" s="115"/>
      <c r="CV2977" s="115"/>
      <c r="CW2977" s="115"/>
      <c r="CX2977" s="115"/>
      <c r="CY2977" s="115"/>
      <c r="CZ2977" s="115"/>
      <c r="DA2977" s="115"/>
      <c r="DB2977" s="115"/>
      <c r="DC2977" s="115"/>
      <c r="DD2977" s="115"/>
      <c r="DE2977" s="115"/>
      <c r="DF2977" s="115"/>
      <c r="DG2977" s="115"/>
    </row>
    <row r="2978" spans="55:111" hidden="1">
      <c r="BC2978" s="115"/>
      <c r="BD2978" s="115"/>
      <c r="BE2978" s="115"/>
      <c r="BF2978" s="115"/>
      <c r="BG2978" s="115"/>
      <c r="BH2978" s="115"/>
      <c r="BI2978" s="115"/>
      <c r="BJ2978" s="115"/>
      <c r="BK2978" s="115"/>
      <c r="BL2978" s="115"/>
      <c r="BM2978" s="115"/>
      <c r="BN2978" s="115"/>
      <c r="BO2978" s="115"/>
      <c r="BP2978" s="115"/>
      <c r="BQ2978" s="115"/>
      <c r="BR2978" s="115"/>
      <c r="BS2978" s="115"/>
      <c r="BT2978" s="115"/>
      <c r="BU2978" s="115"/>
      <c r="BV2978" s="115"/>
      <c r="BW2978" s="115"/>
      <c r="BX2978" s="115"/>
      <c r="BY2978" s="115"/>
      <c r="BZ2978" s="115"/>
      <c r="CA2978" s="115"/>
      <c r="CB2978" s="115"/>
      <c r="CC2978" s="115"/>
      <c r="CD2978" s="115"/>
      <c r="CE2978" s="115"/>
      <c r="CF2978" s="115"/>
      <c r="CG2978" s="115"/>
      <c r="CH2978" s="115"/>
      <c r="CI2978" s="115"/>
      <c r="CJ2978" s="115"/>
      <c r="CK2978" s="115"/>
      <c r="CL2978" s="115"/>
      <c r="CM2978" s="115"/>
      <c r="CN2978" s="115"/>
      <c r="CO2978" s="115"/>
      <c r="CP2978" s="115"/>
      <c r="CQ2978" s="115"/>
      <c r="CR2978" s="115"/>
      <c r="CS2978" s="115"/>
      <c r="CT2978" s="115"/>
      <c r="CU2978" s="115"/>
      <c r="CV2978" s="115"/>
      <c r="CW2978" s="115"/>
      <c r="CX2978" s="115"/>
      <c r="CY2978" s="115"/>
      <c r="CZ2978" s="115"/>
      <c r="DA2978" s="115"/>
      <c r="DB2978" s="115"/>
      <c r="DC2978" s="115"/>
      <c r="DD2978" s="115"/>
      <c r="DE2978" s="115"/>
      <c r="DF2978" s="115"/>
      <c r="DG2978" s="115"/>
    </row>
    <row r="2979" spans="55:111" hidden="1">
      <c r="BC2979" s="115"/>
      <c r="BD2979" s="115"/>
      <c r="BE2979" s="115"/>
      <c r="BF2979" s="115"/>
      <c r="BG2979" s="115"/>
      <c r="BH2979" s="115"/>
      <c r="BI2979" s="115"/>
      <c r="BJ2979" s="115"/>
      <c r="BK2979" s="115"/>
      <c r="BL2979" s="115"/>
      <c r="BM2979" s="115"/>
      <c r="BN2979" s="115"/>
      <c r="BO2979" s="115"/>
      <c r="BP2979" s="115"/>
      <c r="BQ2979" s="115"/>
      <c r="BR2979" s="115"/>
      <c r="BS2979" s="115"/>
      <c r="BT2979" s="115"/>
      <c r="BU2979" s="115"/>
      <c r="BV2979" s="115"/>
      <c r="BW2979" s="115"/>
      <c r="BX2979" s="115"/>
      <c r="BY2979" s="115"/>
      <c r="BZ2979" s="115"/>
      <c r="CA2979" s="115"/>
      <c r="CB2979" s="115"/>
      <c r="CC2979" s="115"/>
      <c r="CD2979" s="115"/>
      <c r="CE2979" s="115"/>
      <c r="CF2979" s="115"/>
      <c r="CG2979" s="115"/>
      <c r="CH2979" s="115"/>
      <c r="CI2979" s="115"/>
      <c r="CJ2979" s="115"/>
      <c r="CK2979" s="115"/>
      <c r="CL2979" s="115"/>
      <c r="CM2979" s="115"/>
      <c r="CN2979" s="115"/>
      <c r="CO2979" s="115"/>
      <c r="CP2979" s="115"/>
      <c r="CQ2979" s="115"/>
      <c r="CR2979" s="115"/>
      <c r="CS2979" s="115"/>
      <c r="CT2979" s="115"/>
      <c r="CU2979" s="115"/>
      <c r="CV2979" s="115"/>
      <c r="CW2979" s="115"/>
      <c r="CX2979" s="115"/>
      <c r="CY2979" s="115"/>
      <c r="CZ2979" s="115"/>
      <c r="DA2979" s="115"/>
      <c r="DB2979" s="115"/>
      <c r="DC2979" s="115"/>
      <c r="DD2979" s="115"/>
      <c r="DE2979" s="115"/>
      <c r="DF2979" s="115"/>
      <c r="DG2979" s="115"/>
    </row>
    <row r="2980" spans="55:111" hidden="1">
      <c r="BC2980" s="115"/>
      <c r="BD2980" s="115"/>
      <c r="BE2980" s="115"/>
      <c r="BF2980" s="115"/>
      <c r="BG2980" s="115"/>
      <c r="BH2980" s="115"/>
      <c r="BI2980" s="115"/>
      <c r="BJ2980" s="115"/>
      <c r="BK2980" s="115"/>
      <c r="BL2980" s="115"/>
      <c r="BM2980" s="115"/>
      <c r="BN2980" s="115"/>
      <c r="BO2980" s="115"/>
      <c r="BP2980" s="115"/>
      <c r="BQ2980" s="115"/>
      <c r="BR2980" s="115"/>
      <c r="BS2980" s="115"/>
      <c r="BT2980" s="115"/>
      <c r="BU2980" s="115"/>
      <c r="BV2980" s="115"/>
      <c r="BW2980" s="115"/>
      <c r="BX2980" s="115"/>
      <c r="BY2980" s="115"/>
      <c r="BZ2980" s="115"/>
      <c r="CA2980" s="115"/>
      <c r="CB2980" s="115"/>
      <c r="CC2980" s="115"/>
      <c r="CD2980" s="115"/>
      <c r="CE2980" s="115"/>
      <c r="CF2980" s="115"/>
      <c r="CG2980" s="115"/>
      <c r="CH2980" s="115"/>
      <c r="CI2980" s="115"/>
      <c r="CJ2980" s="115"/>
      <c r="CK2980" s="115"/>
      <c r="CL2980" s="115"/>
      <c r="CM2980" s="115"/>
      <c r="CN2980" s="115"/>
      <c r="CO2980" s="115"/>
      <c r="CP2980" s="115"/>
      <c r="CQ2980" s="115"/>
      <c r="CR2980" s="115"/>
      <c r="CS2980" s="115"/>
      <c r="CT2980" s="115"/>
      <c r="CU2980" s="115"/>
      <c r="CV2980" s="115"/>
      <c r="CW2980" s="115"/>
      <c r="CX2980" s="115"/>
      <c r="CY2980" s="115"/>
      <c r="CZ2980" s="115"/>
      <c r="DA2980" s="115"/>
      <c r="DB2980" s="115"/>
      <c r="DC2980" s="115"/>
      <c r="DD2980" s="115"/>
      <c r="DE2980" s="115"/>
      <c r="DF2980" s="115"/>
      <c r="DG2980" s="115"/>
    </row>
    <row r="2981" spans="55:111" hidden="1">
      <c r="BC2981" s="115"/>
      <c r="BD2981" s="115"/>
      <c r="BE2981" s="115"/>
      <c r="BF2981" s="115"/>
      <c r="BG2981" s="115"/>
      <c r="BH2981" s="115"/>
      <c r="BI2981" s="115"/>
      <c r="BJ2981" s="115"/>
      <c r="BK2981" s="115"/>
      <c r="BL2981" s="115"/>
      <c r="BM2981" s="115"/>
      <c r="BN2981" s="115"/>
      <c r="BO2981" s="115"/>
      <c r="BP2981" s="115"/>
      <c r="BQ2981" s="115"/>
      <c r="BR2981" s="115"/>
      <c r="BS2981" s="115"/>
      <c r="BT2981" s="115"/>
      <c r="BU2981" s="115"/>
      <c r="BV2981" s="115"/>
      <c r="BW2981" s="115"/>
      <c r="BX2981" s="115"/>
      <c r="BY2981" s="115"/>
      <c r="BZ2981" s="115"/>
      <c r="CA2981" s="115"/>
      <c r="CB2981" s="115"/>
      <c r="CC2981" s="115"/>
      <c r="CD2981" s="115"/>
      <c r="CE2981" s="115"/>
      <c r="CF2981" s="115"/>
      <c r="CG2981" s="115"/>
      <c r="CH2981" s="115"/>
      <c r="CI2981" s="115"/>
      <c r="CJ2981" s="115"/>
      <c r="CK2981" s="115"/>
      <c r="CL2981" s="115"/>
      <c r="CM2981" s="115"/>
      <c r="CN2981" s="115"/>
      <c r="CO2981" s="115"/>
      <c r="CP2981" s="115"/>
      <c r="CQ2981" s="115"/>
      <c r="CR2981" s="115"/>
      <c r="CS2981" s="115"/>
      <c r="CT2981" s="115"/>
      <c r="CU2981" s="115"/>
      <c r="CV2981" s="115"/>
      <c r="CW2981" s="115"/>
      <c r="CX2981" s="115"/>
      <c r="CY2981" s="115"/>
      <c r="CZ2981" s="115"/>
      <c r="DA2981" s="115"/>
      <c r="DB2981" s="115"/>
      <c r="DC2981" s="115"/>
      <c r="DD2981" s="115"/>
      <c r="DE2981" s="115"/>
      <c r="DF2981" s="115"/>
      <c r="DG2981" s="115"/>
    </row>
    <row r="2982" spans="55:111" hidden="1">
      <c r="BC2982" s="115"/>
      <c r="BD2982" s="115"/>
      <c r="BE2982" s="115"/>
      <c r="BF2982" s="115"/>
      <c r="BG2982" s="115"/>
      <c r="BH2982" s="115"/>
      <c r="BI2982" s="115"/>
      <c r="BJ2982" s="115"/>
      <c r="BK2982" s="115"/>
      <c r="BL2982" s="115"/>
      <c r="BM2982" s="115"/>
      <c r="BN2982" s="115"/>
      <c r="BO2982" s="115"/>
      <c r="BP2982" s="115"/>
      <c r="BQ2982" s="115"/>
      <c r="BR2982" s="115"/>
      <c r="BS2982" s="115"/>
      <c r="BT2982" s="115"/>
      <c r="BU2982" s="115"/>
      <c r="BV2982" s="115"/>
      <c r="BW2982" s="115"/>
      <c r="BX2982" s="115"/>
      <c r="BY2982" s="115"/>
      <c r="BZ2982" s="115"/>
      <c r="CA2982" s="115"/>
      <c r="CB2982" s="115"/>
      <c r="CC2982" s="115"/>
      <c r="CD2982" s="115"/>
      <c r="CE2982" s="115"/>
      <c r="CF2982" s="115"/>
      <c r="CG2982" s="115"/>
      <c r="CH2982" s="115"/>
      <c r="CI2982" s="115"/>
      <c r="CJ2982" s="115"/>
      <c r="CK2982" s="115"/>
      <c r="CL2982" s="115"/>
      <c r="CM2982" s="115"/>
      <c r="CN2982" s="115"/>
      <c r="CO2982" s="115"/>
      <c r="CP2982" s="115"/>
      <c r="CQ2982" s="115"/>
      <c r="CR2982" s="115"/>
      <c r="CS2982" s="115"/>
      <c r="CT2982" s="115"/>
      <c r="CU2982" s="115"/>
      <c r="CV2982" s="115"/>
      <c r="CW2982" s="115"/>
      <c r="CX2982" s="115"/>
      <c r="CY2982" s="115"/>
      <c r="CZ2982" s="115"/>
      <c r="DA2982" s="115"/>
      <c r="DB2982" s="115"/>
      <c r="DC2982" s="115"/>
      <c r="DD2982" s="115"/>
      <c r="DE2982" s="115"/>
      <c r="DF2982" s="115"/>
      <c r="DG2982" s="115"/>
    </row>
    <row r="2983" spans="55:111" hidden="1">
      <c r="BC2983" s="115"/>
      <c r="BD2983" s="115"/>
      <c r="BE2983" s="115"/>
      <c r="BF2983" s="115"/>
      <c r="BG2983" s="115"/>
      <c r="BH2983" s="115"/>
      <c r="BI2983" s="115"/>
      <c r="BJ2983" s="115"/>
      <c r="BK2983" s="115"/>
      <c r="BL2983" s="115"/>
      <c r="BM2983" s="115"/>
      <c r="BN2983" s="115"/>
      <c r="BO2983" s="115"/>
      <c r="BP2983" s="115"/>
      <c r="BQ2983" s="115"/>
      <c r="BR2983" s="115"/>
      <c r="BS2983" s="115"/>
      <c r="BT2983" s="115"/>
      <c r="BU2983" s="115"/>
      <c r="BV2983" s="115"/>
      <c r="BW2983" s="115"/>
      <c r="BX2983" s="115"/>
      <c r="BY2983" s="115"/>
      <c r="BZ2983" s="115"/>
      <c r="CA2983" s="115"/>
      <c r="CB2983" s="115"/>
      <c r="CC2983" s="115"/>
      <c r="CD2983" s="115"/>
      <c r="CE2983" s="115"/>
      <c r="CF2983" s="115"/>
      <c r="CG2983" s="115"/>
      <c r="CH2983" s="115"/>
      <c r="CI2983" s="115"/>
      <c r="CJ2983" s="115"/>
      <c r="CK2983" s="115"/>
      <c r="CL2983" s="115"/>
      <c r="CM2983" s="115"/>
      <c r="CN2983" s="115"/>
      <c r="CO2983" s="115"/>
      <c r="CP2983" s="115"/>
      <c r="CQ2983" s="115"/>
      <c r="CR2983" s="115"/>
      <c r="CS2983" s="115"/>
      <c r="CT2983" s="115"/>
      <c r="CU2983" s="115"/>
      <c r="CV2983" s="115"/>
      <c r="CW2983" s="115"/>
      <c r="CX2983" s="115"/>
      <c r="CY2983" s="115"/>
      <c r="CZ2983" s="115"/>
      <c r="DA2983" s="115"/>
      <c r="DB2983" s="115"/>
      <c r="DC2983" s="115"/>
      <c r="DD2983" s="115"/>
      <c r="DE2983" s="115"/>
      <c r="DF2983" s="115"/>
      <c r="DG2983" s="115"/>
    </row>
    <row r="2984" spans="55:111" hidden="1">
      <c r="BC2984" s="115"/>
      <c r="BD2984" s="115"/>
      <c r="BE2984" s="115"/>
      <c r="BF2984" s="115"/>
      <c r="BG2984" s="115"/>
      <c r="BH2984" s="115"/>
      <c r="BI2984" s="115"/>
      <c r="BJ2984" s="115"/>
      <c r="BK2984" s="115"/>
      <c r="BL2984" s="115"/>
      <c r="BM2984" s="115"/>
      <c r="BN2984" s="115"/>
      <c r="BO2984" s="115"/>
      <c r="BP2984" s="115"/>
      <c r="BQ2984" s="115"/>
      <c r="BR2984" s="115"/>
      <c r="BS2984" s="115"/>
      <c r="BT2984" s="115"/>
      <c r="BU2984" s="115"/>
      <c r="BV2984" s="115"/>
      <c r="BW2984" s="115"/>
      <c r="BX2984" s="115"/>
      <c r="BY2984" s="115"/>
      <c r="BZ2984" s="115"/>
      <c r="CA2984" s="115"/>
      <c r="CB2984" s="115"/>
      <c r="CC2984" s="115"/>
      <c r="CD2984" s="115"/>
      <c r="CE2984" s="115"/>
      <c r="CF2984" s="115"/>
      <c r="CG2984" s="115"/>
      <c r="CH2984" s="115"/>
      <c r="CI2984" s="115"/>
      <c r="CJ2984" s="115"/>
      <c r="CK2984" s="115"/>
      <c r="CL2984" s="115"/>
      <c r="CM2984" s="115"/>
      <c r="CN2984" s="115"/>
      <c r="CO2984" s="115"/>
      <c r="CP2984" s="115"/>
      <c r="CQ2984" s="115"/>
      <c r="CR2984" s="115"/>
      <c r="CS2984" s="115"/>
      <c r="CT2984" s="115"/>
      <c r="CU2984" s="115"/>
      <c r="CV2984" s="115"/>
      <c r="CW2984" s="115"/>
      <c r="CX2984" s="115"/>
      <c r="CY2984" s="115"/>
      <c r="CZ2984" s="115"/>
      <c r="DA2984" s="115"/>
      <c r="DB2984" s="115"/>
      <c r="DC2984" s="115"/>
      <c r="DD2984" s="115"/>
      <c r="DE2984" s="115"/>
      <c r="DF2984" s="115"/>
      <c r="DG2984" s="115"/>
    </row>
    <row r="2985" spans="55:111" hidden="1">
      <c r="BC2985" s="115"/>
      <c r="BD2985" s="115"/>
      <c r="BE2985" s="115"/>
      <c r="BF2985" s="115"/>
      <c r="BG2985" s="115"/>
      <c r="BH2985" s="115"/>
      <c r="BI2985" s="115"/>
      <c r="BJ2985" s="115"/>
      <c r="BK2985" s="115"/>
      <c r="BL2985" s="115"/>
      <c r="BM2985" s="115"/>
      <c r="BN2985" s="115"/>
      <c r="BO2985" s="115"/>
      <c r="BP2985" s="115"/>
      <c r="BQ2985" s="115"/>
      <c r="BR2985" s="115"/>
      <c r="BS2985" s="115"/>
      <c r="BT2985" s="115"/>
      <c r="BU2985" s="115"/>
      <c r="BV2985" s="115"/>
      <c r="BW2985" s="115"/>
      <c r="BX2985" s="115"/>
      <c r="BY2985" s="115"/>
      <c r="BZ2985" s="115"/>
      <c r="CA2985" s="115"/>
      <c r="CB2985" s="115"/>
      <c r="CC2985" s="115"/>
      <c r="CD2985" s="115"/>
      <c r="CE2985" s="115"/>
      <c r="CF2985" s="115"/>
      <c r="CG2985" s="115"/>
      <c r="CH2985" s="115"/>
      <c r="CI2985" s="115"/>
      <c r="CJ2985" s="115"/>
      <c r="CK2985" s="115"/>
      <c r="CL2985" s="115"/>
      <c r="CM2985" s="115"/>
      <c r="CN2985" s="115"/>
      <c r="CO2985" s="115"/>
      <c r="CP2985" s="115"/>
      <c r="CQ2985" s="115"/>
      <c r="CR2985" s="115"/>
      <c r="CS2985" s="115"/>
      <c r="CT2985" s="115"/>
      <c r="CU2985" s="115"/>
      <c r="CV2985" s="115"/>
      <c r="CW2985" s="115"/>
      <c r="CX2985" s="115"/>
      <c r="CY2985" s="115"/>
      <c r="CZ2985" s="115"/>
      <c r="DA2985" s="115"/>
      <c r="DB2985" s="115"/>
      <c r="DC2985" s="115"/>
      <c r="DD2985" s="115"/>
      <c r="DE2985" s="115"/>
      <c r="DF2985" s="115"/>
      <c r="DG2985" s="115"/>
    </row>
    <row r="2986" spans="55:111" hidden="1">
      <c r="BC2986" s="115"/>
      <c r="BD2986" s="115"/>
      <c r="BE2986" s="115"/>
      <c r="BF2986" s="115"/>
      <c r="BG2986" s="115"/>
      <c r="BH2986" s="115"/>
      <c r="BI2986" s="115"/>
      <c r="BJ2986" s="115"/>
      <c r="BK2986" s="115"/>
      <c r="BL2986" s="115"/>
      <c r="BM2986" s="115"/>
      <c r="BN2986" s="115"/>
      <c r="BO2986" s="115"/>
      <c r="BP2986" s="115"/>
      <c r="BQ2986" s="115"/>
      <c r="BR2986" s="115"/>
      <c r="BS2986" s="115"/>
      <c r="BT2986" s="115"/>
      <c r="BU2986" s="115"/>
      <c r="BV2986" s="115"/>
      <c r="BW2986" s="115"/>
      <c r="BX2986" s="115"/>
      <c r="BY2986" s="115"/>
      <c r="BZ2986" s="115"/>
      <c r="CA2986" s="115"/>
      <c r="CB2986" s="115"/>
      <c r="CC2986" s="115"/>
      <c r="CD2986" s="115"/>
      <c r="CE2986" s="115"/>
      <c r="CF2986" s="115"/>
      <c r="CG2986" s="115"/>
      <c r="CH2986" s="115"/>
      <c r="CI2986" s="115"/>
      <c r="CJ2986" s="115"/>
      <c r="CK2986" s="115"/>
      <c r="CL2986" s="115"/>
      <c r="CM2986" s="115"/>
      <c r="CN2986" s="115"/>
      <c r="CO2986" s="115"/>
      <c r="CP2986" s="115"/>
      <c r="CQ2986" s="115"/>
      <c r="CR2986" s="115"/>
      <c r="CS2986" s="115"/>
      <c r="CT2986" s="115"/>
      <c r="CU2986" s="115"/>
      <c r="CV2986" s="115"/>
      <c r="CW2986" s="115"/>
      <c r="CX2986" s="115"/>
      <c r="CY2986" s="115"/>
      <c r="CZ2986" s="115"/>
      <c r="DA2986" s="115"/>
      <c r="DB2986" s="115"/>
      <c r="DC2986" s="115"/>
      <c r="DD2986" s="115"/>
      <c r="DE2986" s="115"/>
      <c r="DF2986" s="115"/>
      <c r="DG2986" s="115"/>
    </row>
    <row r="2987" spans="55:111" hidden="1">
      <c r="BC2987" s="115"/>
      <c r="BD2987" s="115"/>
      <c r="BE2987" s="115"/>
      <c r="BF2987" s="115"/>
      <c r="BG2987" s="115"/>
      <c r="BH2987" s="115"/>
      <c r="BI2987" s="115"/>
      <c r="BJ2987" s="115"/>
      <c r="BK2987" s="115"/>
      <c r="BL2987" s="115"/>
      <c r="BM2987" s="115"/>
      <c r="BN2987" s="115"/>
      <c r="BO2987" s="115"/>
      <c r="BP2987" s="115"/>
      <c r="BQ2987" s="115"/>
      <c r="BR2987" s="115"/>
      <c r="BS2987" s="115"/>
      <c r="BT2987" s="115"/>
      <c r="BU2987" s="115"/>
      <c r="BV2987" s="115"/>
      <c r="BW2987" s="115"/>
      <c r="BX2987" s="115"/>
      <c r="BY2987" s="115"/>
      <c r="BZ2987" s="115"/>
      <c r="CA2987" s="115"/>
      <c r="CB2987" s="115"/>
      <c r="CC2987" s="115"/>
      <c r="CD2987" s="115"/>
      <c r="CE2987" s="115"/>
      <c r="CF2987" s="115"/>
      <c r="CG2987" s="115"/>
      <c r="CH2987" s="115"/>
      <c r="CI2987" s="115"/>
      <c r="CJ2987" s="115"/>
      <c r="CK2987" s="115"/>
      <c r="CL2987" s="115"/>
      <c r="CM2987" s="115"/>
      <c r="CN2987" s="115"/>
      <c r="CO2987" s="115"/>
      <c r="CP2987" s="115"/>
      <c r="CQ2987" s="115"/>
      <c r="CR2987" s="115"/>
      <c r="CS2987" s="115"/>
      <c r="CT2987" s="115"/>
      <c r="CU2987" s="115"/>
      <c r="CV2987" s="115"/>
      <c r="CW2987" s="115"/>
      <c r="CX2987" s="115"/>
      <c r="CY2987" s="115"/>
      <c r="CZ2987" s="115"/>
      <c r="DA2987" s="115"/>
      <c r="DB2987" s="115"/>
      <c r="DC2987" s="115"/>
      <c r="DD2987" s="115"/>
      <c r="DE2987" s="115"/>
      <c r="DF2987" s="115"/>
      <c r="DG2987" s="115"/>
    </row>
    <row r="2988" spans="55:111" hidden="1">
      <c r="BC2988" s="115"/>
      <c r="BD2988" s="115"/>
      <c r="BE2988" s="115"/>
      <c r="BF2988" s="115"/>
      <c r="BG2988" s="115"/>
      <c r="BH2988" s="115"/>
      <c r="BI2988" s="115"/>
      <c r="BJ2988" s="115"/>
      <c r="BK2988" s="115"/>
      <c r="BL2988" s="115"/>
      <c r="BM2988" s="115"/>
      <c r="BN2988" s="115"/>
      <c r="BO2988" s="115"/>
      <c r="BP2988" s="115"/>
      <c r="BQ2988" s="115"/>
      <c r="BR2988" s="115"/>
      <c r="BS2988" s="115"/>
      <c r="BT2988" s="115"/>
      <c r="BU2988" s="115"/>
      <c r="BV2988" s="115"/>
      <c r="BW2988" s="115"/>
      <c r="BX2988" s="115"/>
      <c r="BY2988" s="115"/>
      <c r="BZ2988" s="115"/>
      <c r="CA2988" s="115"/>
      <c r="CB2988" s="115"/>
      <c r="CC2988" s="115"/>
      <c r="CD2988" s="115"/>
      <c r="CE2988" s="115"/>
      <c r="CF2988" s="115"/>
      <c r="CG2988" s="115"/>
      <c r="CH2988" s="115"/>
      <c r="CI2988" s="115"/>
      <c r="CJ2988" s="115"/>
      <c r="CK2988" s="115"/>
      <c r="CL2988" s="115"/>
      <c r="CM2988" s="115"/>
      <c r="CN2988" s="115"/>
      <c r="CO2988" s="115"/>
      <c r="CP2988" s="115"/>
      <c r="CQ2988" s="115"/>
      <c r="CR2988" s="115"/>
      <c r="CS2988" s="115"/>
      <c r="CT2988" s="115"/>
      <c r="CU2988" s="115"/>
      <c r="CV2988" s="115"/>
      <c r="CW2988" s="115"/>
      <c r="CX2988" s="115"/>
      <c r="CY2988" s="115"/>
      <c r="CZ2988" s="115"/>
      <c r="DA2988" s="115"/>
      <c r="DB2988" s="115"/>
      <c r="DC2988" s="115"/>
      <c r="DD2988" s="115"/>
      <c r="DE2988" s="115"/>
      <c r="DF2988" s="115"/>
      <c r="DG2988" s="115"/>
    </row>
    <row r="2989" spans="55:111" hidden="1">
      <c r="BC2989" s="115"/>
      <c r="BD2989" s="115"/>
      <c r="BE2989" s="115"/>
      <c r="BF2989" s="115"/>
      <c r="BG2989" s="115"/>
      <c r="BH2989" s="115"/>
      <c r="BI2989" s="115"/>
      <c r="BJ2989" s="115"/>
      <c r="BK2989" s="115"/>
      <c r="BL2989" s="115"/>
      <c r="BM2989" s="115"/>
      <c r="BN2989" s="115"/>
      <c r="BO2989" s="115"/>
      <c r="BP2989" s="115"/>
      <c r="BQ2989" s="115"/>
      <c r="BR2989" s="115"/>
      <c r="BS2989" s="115"/>
      <c r="BT2989" s="115"/>
      <c r="BU2989" s="115"/>
      <c r="BV2989" s="115"/>
      <c r="BW2989" s="115"/>
      <c r="BX2989" s="115"/>
      <c r="BY2989" s="115"/>
      <c r="BZ2989" s="115"/>
      <c r="CA2989" s="115"/>
      <c r="CB2989" s="115"/>
      <c r="CC2989" s="115"/>
      <c r="CD2989" s="115"/>
      <c r="CE2989" s="115"/>
      <c r="CF2989" s="115"/>
      <c r="CG2989" s="115"/>
      <c r="CH2989" s="115"/>
      <c r="CI2989" s="115"/>
      <c r="CJ2989" s="115"/>
      <c r="CK2989" s="115"/>
      <c r="CL2989" s="115"/>
      <c r="CM2989" s="115"/>
      <c r="CN2989" s="115"/>
      <c r="CO2989" s="115"/>
      <c r="CP2989" s="115"/>
      <c r="CQ2989" s="115"/>
      <c r="CR2989" s="115"/>
      <c r="CS2989" s="115"/>
      <c r="CT2989" s="115"/>
      <c r="CU2989" s="115"/>
      <c r="CV2989" s="115"/>
      <c r="CW2989" s="115"/>
      <c r="CX2989" s="115"/>
      <c r="CY2989" s="115"/>
      <c r="CZ2989" s="115"/>
      <c r="DA2989" s="115"/>
      <c r="DB2989" s="115"/>
      <c r="DC2989" s="115"/>
      <c r="DD2989" s="115"/>
      <c r="DE2989" s="115"/>
      <c r="DF2989" s="115"/>
      <c r="DG2989" s="115"/>
    </row>
    <row r="2990" spans="55:111" hidden="1">
      <c r="BC2990" s="115"/>
      <c r="BD2990" s="115"/>
      <c r="BE2990" s="115"/>
      <c r="BF2990" s="115"/>
      <c r="BG2990" s="115"/>
      <c r="BH2990" s="115"/>
      <c r="BI2990" s="115"/>
      <c r="BJ2990" s="115"/>
      <c r="BK2990" s="115"/>
      <c r="BL2990" s="115"/>
      <c r="BM2990" s="115"/>
      <c r="BN2990" s="115"/>
      <c r="BO2990" s="115"/>
      <c r="BP2990" s="115"/>
      <c r="BQ2990" s="115"/>
      <c r="BR2990" s="115"/>
      <c r="BS2990" s="115"/>
      <c r="BT2990" s="115"/>
      <c r="BU2990" s="115"/>
      <c r="BV2990" s="115"/>
      <c r="BW2990" s="115"/>
      <c r="BX2990" s="115"/>
      <c r="BY2990" s="115"/>
      <c r="BZ2990" s="115"/>
      <c r="CA2990" s="115"/>
      <c r="CB2990" s="115"/>
      <c r="CC2990" s="115"/>
      <c r="CD2990" s="115"/>
      <c r="CE2990" s="115"/>
      <c r="CF2990" s="115"/>
      <c r="CG2990" s="115"/>
      <c r="CH2990" s="115"/>
      <c r="CI2990" s="115"/>
      <c r="CJ2990" s="115"/>
      <c r="CK2990" s="115"/>
      <c r="CL2990" s="115"/>
      <c r="CM2990" s="115"/>
      <c r="CN2990" s="115"/>
      <c r="CO2990" s="115"/>
      <c r="CP2990" s="115"/>
      <c r="CQ2990" s="115"/>
      <c r="CR2990" s="115"/>
      <c r="CS2990" s="115"/>
      <c r="CT2990" s="115"/>
      <c r="CU2990" s="115"/>
      <c r="CV2990" s="115"/>
      <c r="CW2990" s="115"/>
      <c r="CX2990" s="115"/>
      <c r="CY2990" s="115"/>
      <c r="CZ2990" s="115"/>
      <c r="DA2990" s="115"/>
      <c r="DB2990" s="115"/>
      <c r="DC2990" s="115"/>
      <c r="DD2990" s="115"/>
      <c r="DE2990" s="115"/>
      <c r="DF2990" s="115"/>
      <c r="DG2990" s="115"/>
    </row>
    <row r="2991" spans="55:111" hidden="1">
      <c r="BC2991" s="115"/>
      <c r="BD2991" s="115"/>
      <c r="BE2991" s="115"/>
      <c r="BF2991" s="115"/>
      <c r="BG2991" s="115"/>
      <c r="BH2991" s="115"/>
      <c r="BI2991" s="115"/>
      <c r="BJ2991" s="115"/>
      <c r="BK2991" s="115"/>
      <c r="BL2991" s="115"/>
      <c r="BM2991" s="115"/>
      <c r="BN2991" s="115"/>
      <c r="BO2991" s="115"/>
      <c r="BP2991" s="115"/>
      <c r="BQ2991" s="115"/>
      <c r="BR2991" s="115"/>
      <c r="BS2991" s="115"/>
      <c r="BT2991" s="115"/>
      <c r="BU2991" s="115"/>
      <c r="BV2991" s="115"/>
      <c r="BW2991" s="115"/>
      <c r="BX2991" s="115"/>
      <c r="BY2991" s="115"/>
      <c r="BZ2991" s="115"/>
      <c r="CA2991" s="115"/>
      <c r="CB2991" s="115"/>
      <c r="CC2991" s="115"/>
      <c r="CD2991" s="115"/>
      <c r="CE2991" s="115"/>
      <c r="CF2991" s="115"/>
      <c r="CG2991" s="115"/>
      <c r="CH2991" s="115"/>
      <c r="CI2991" s="115"/>
      <c r="CJ2991" s="115"/>
      <c r="CK2991" s="115"/>
      <c r="CL2991" s="115"/>
      <c r="CM2991" s="115"/>
      <c r="CN2991" s="115"/>
      <c r="CO2991" s="115"/>
      <c r="CP2991" s="115"/>
      <c r="CQ2991" s="115"/>
      <c r="CR2991" s="115"/>
      <c r="CS2991" s="115"/>
      <c r="CT2991" s="115"/>
      <c r="CU2991" s="115"/>
      <c r="CV2991" s="115"/>
      <c r="CW2991" s="115"/>
      <c r="CX2991" s="115"/>
      <c r="CY2991" s="115"/>
      <c r="CZ2991" s="115"/>
      <c r="DA2991" s="115"/>
      <c r="DB2991" s="115"/>
      <c r="DC2991" s="115"/>
      <c r="DD2991" s="115"/>
      <c r="DE2991" s="115"/>
      <c r="DF2991" s="115"/>
      <c r="DG2991" s="115"/>
    </row>
    <row r="2992" spans="55:111" hidden="1">
      <c r="BC2992" s="115"/>
      <c r="BD2992" s="115"/>
      <c r="BE2992" s="115"/>
      <c r="BF2992" s="115"/>
      <c r="BG2992" s="115"/>
      <c r="BH2992" s="115"/>
      <c r="BI2992" s="115"/>
      <c r="BJ2992" s="115"/>
      <c r="BK2992" s="115"/>
      <c r="BL2992" s="115"/>
      <c r="BM2992" s="115"/>
      <c r="BN2992" s="115"/>
      <c r="BO2992" s="115"/>
      <c r="BP2992" s="115"/>
      <c r="BQ2992" s="115"/>
      <c r="BR2992" s="115"/>
      <c r="BS2992" s="115"/>
      <c r="BT2992" s="115"/>
      <c r="BU2992" s="115"/>
      <c r="BV2992" s="115"/>
      <c r="BW2992" s="115"/>
      <c r="BX2992" s="115"/>
      <c r="BY2992" s="115"/>
      <c r="BZ2992" s="115"/>
      <c r="CA2992" s="115"/>
      <c r="CB2992" s="115"/>
      <c r="CC2992" s="115"/>
      <c r="CD2992" s="115"/>
      <c r="CE2992" s="115"/>
      <c r="CF2992" s="115"/>
      <c r="CG2992" s="115"/>
      <c r="CH2992" s="115"/>
      <c r="CI2992" s="115"/>
      <c r="CJ2992" s="115"/>
      <c r="CK2992" s="115"/>
      <c r="CL2992" s="115"/>
      <c r="CM2992" s="115"/>
      <c r="CN2992" s="115"/>
      <c r="CO2992" s="115"/>
      <c r="CP2992" s="115"/>
      <c r="CQ2992" s="115"/>
      <c r="CR2992" s="115"/>
      <c r="CS2992" s="115"/>
      <c r="CT2992" s="115"/>
      <c r="CU2992" s="115"/>
      <c r="CV2992" s="115"/>
      <c r="CW2992" s="115"/>
      <c r="CX2992" s="115"/>
      <c r="CY2992" s="115"/>
      <c r="CZ2992" s="115"/>
      <c r="DA2992" s="115"/>
      <c r="DB2992" s="115"/>
      <c r="DC2992" s="115"/>
      <c r="DD2992" s="115"/>
      <c r="DE2992" s="115"/>
      <c r="DF2992" s="115"/>
      <c r="DG2992" s="115"/>
    </row>
    <row r="2993" spans="55:111" hidden="1">
      <c r="BC2993" s="115"/>
      <c r="BD2993" s="115"/>
      <c r="BE2993" s="115"/>
      <c r="BF2993" s="115"/>
      <c r="BG2993" s="115"/>
      <c r="BH2993" s="115"/>
      <c r="BI2993" s="115"/>
      <c r="BJ2993" s="115"/>
      <c r="BK2993" s="115"/>
      <c r="BL2993" s="115"/>
      <c r="BM2993" s="115"/>
      <c r="BN2993" s="115"/>
      <c r="BO2993" s="115"/>
      <c r="BP2993" s="115"/>
      <c r="BQ2993" s="115"/>
      <c r="BR2993" s="115"/>
      <c r="BS2993" s="115"/>
      <c r="BT2993" s="115"/>
      <c r="BU2993" s="115"/>
      <c r="BV2993" s="115"/>
      <c r="BW2993" s="115"/>
      <c r="BX2993" s="115"/>
      <c r="BY2993" s="115"/>
      <c r="BZ2993" s="115"/>
      <c r="CA2993" s="115"/>
      <c r="CB2993" s="115"/>
      <c r="CC2993" s="115"/>
      <c r="CD2993" s="115"/>
      <c r="CE2993" s="115"/>
      <c r="CF2993" s="115"/>
      <c r="CG2993" s="115"/>
      <c r="CH2993" s="115"/>
      <c r="CI2993" s="115"/>
      <c r="CJ2993" s="115"/>
      <c r="CK2993" s="115"/>
      <c r="CL2993" s="115"/>
      <c r="CM2993" s="115"/>
      <c r="CN2993" s="115"/>
      <c r="CO2993" s="115"/>
      <c r="CP2993" s="115"/>
      <c r="CQ2993" s="115"/>
      <c r="CR2993" s="115"/>
      <c r="CS2993" s="115"/>
      <c r="CT2993" s="115"/>
      <c r="CU2993" s="115"/>
      <c r="CV2993" s="115"/>
      <c r="CW2993" s="115"/>
      <c r="CX2993" s="115"/>
      <c r="CY2993" s="115"/>
      <c r="CZ2993" s="115"/>
      <c r="DA2993" s="115"/>
      <c r="DB2993" s="115"/>
      <c r="DC2993" s="115"/>
      <c r="DD2993" s="115"/>
      <c r="DE2993" s="115"/>
      <c r="DF2993" s="115"/>
      <c r="DG2993" s="115"/>
    </row>
    <row r="2994" spans="55:111" hidden="1">
      <c r="BC2994" s="115"/>
      <c r="BD2994" s="115"/>
      <c r="BE2994" s="115"/>
      <c r="BF2994" s="115"/>
      <c r="BG2994" s="115"/>
      <c r="BH2994" s="115"/>
      <c r="BI2994" s="115"/>
      <c r="BJ2994" s="115"/>
      <c r="BK2994" s="115"/>
      <c r="BL2994" s="115"/>
      <c r="BM2994" s="115"/>
      <c r="BN2994" s="115"/>
      <c r="BO2994" s="115"/>
      <c r="BP2994" s="115"/>
      <c r="BQ2994" s="115"/>
      <c r="BR2994" s="115"/>
      <c r="BS2994" s="115"/>
      <c r="BT2994" s="115"/>
      <c r="BU2994" s="115"/>
      <c r="BV2994" s="115"/>
      <c r="BW2994" s="115"/>
      <c r="BX2994" s="115"/>
      <c r="BY2994" s="115"/>
      <c r="BZ2994" s="115"/>
      <c r="CA2994" s="115"/>
      <c r="CB2994" s="115"/>
      <c r="CC2994" s="115"/>
      <c r="CD2994" s="115"/>
      <c r="CE2994" s="115"/>
      <c r="CF2994" s="115"/>
      <c r="CG2994" s="115"/>
      <c r="CH2994" s="115"/>
      <c r="CI2994" s="115"/>
      <c r="CJ2994" s="115"/>
      <c r="CK2994" s="115"/>
      <c r="CL2994" s="115"/>
      <c r="CM2994" s="115"/>
      <c r="CN2994" s="115"/>
      <c r="CO2994" s="115"/>
      <c r="CP2994" s="115"/>
      <c r="CQ2994" s="115"/>
      <c r="CR2994" s="115"/>
      <c r="CS2994" s="115"/>
      <c r="CT2994" s="115"/>
      <c r="CU2994" s="115"/>
      <c r="CV2994" s="115"/>
      <c r="CW2994" s="115"/>
      <c r="CX2994" s="115"/>
      <c r="CY2994" s="115"/>
      <c r="CZ2994" s="115"/>
      <c r="DA2994" s="115"/>
      <c r="DB2994" s="115"/>
      <c r="DC2994" s="115"/>
      <c r="DD2994" s="115"/>
      <c r="DE2994" s="115"/>
      <c r="DF2994" s="115"/>
      <c r="DG2994" s="115"/>
    </row>
    <row r="2995" spans="55:111" hidden="1">
      <c r="BC2995" s="115"/>
      <c r="BD2995" s="115"/>
      <c r="BE2995" s="115"/>
      <c r="BF2995" s="115"/>
      <c r="BG2995" s="115"/>
      <c r="BH2995" s="115"/>
      <c r="BI2995" s="115"/>
      <c r="BJ2995" s="115"/>
      <c r="BK2995" s="115"/>
      <c r="BL2995" s="115"/>
      <c r="BM2995" s="115"/>
      <c r="BN2995" s="115"/>
      <c r="BO2995" s="115"/>
      <c r="BP2995" s="115"/>
      <c r="BQ2995" s="115"/>
      <c r="BR2995" s="115"/>
      <c r="BS2995" s="115"/>
      <c r="BT2995" s="115"/>
      <c r="BU2995" s="115"/>
      <c r="BV2995" s="115"/>
      <c r="BW2995" s="115"/>
      <c r="BX2995" s="115"/>
      <c r="BY2995" s="115"/>
      <c r="BZ2995" s="115"/>
      <c r="CA2995" s="115"/>
      <c r="CB2995" s="115"/>
      <c r="CC2995" s="115"/>
      <c r="CD2995" s="115"/>
      <c r="CE2995" s="115"/>
      <c r="CF2995" s="115"/>
      <c r="CG2995" s="115"/>
      <c r="CH2995" s="115"/>
      <c r="CI2995" s="115"/>
      <c r="CJ2995" s="115"/>
      <c r="CK2995" s="115"/>
      <c r="CL2995" s="115"/>
      <c r="CM2995" s="115"/>
      <c r="CN2995" s="115"/>
      <c r="CO2995" s="115"/>
      <c r="CP2995" s="115"/>
      <c r="CQ2995" s="115"/>
      <c r="CR2995" s="115"/>
      <c r="CS2995" s="115"/>
      <c r="CT2995" s="115"/>
      <c r="CU2995" s="115"/>
      <c r="CV2995" s="115"/>
      <c r="CW2995" s="115"/>
      <c r="CX2995" s="115"/>
      <c r="CY2995" s="115"/>
      <c r="CZ2995" s="115"/>
      <c r="DA2995" s="115"/>
      <c r="DB2995" s="115"/>
      <c r="DC2995" s="115"/>
      <c r="DD2995" s="115"/>
      <c r="DE2995" s="115"/>
      <c r="DF2995" s="115"/>
      <c r="DG2995" s="115"/>
    </row>
    <row r="2996" spans="55:111" hidden="1">
      <c r="BC2996" s="115"/>
      <c r="BD2996" s="115"/>
      <c r="BE2996" s="115"/>
      <c r="BF2996" s="115"/>
      <c r="BG2996" s="115"/>
      <c r="BH2996" s="115"/>
      <c r="BI2996" s="115"/>
      <c r="BJ2996" s="115"/>
      <c r="BK2996" s="115"/>
      <c r="BL2996" s="115"/>
      <c r="BM2996" s="115"/>
      <c r="BN2996" s="115"/>
      <c r="BO2996" s="115"/>
      <c r="BP2996" s="115"/>
      <c r="BQ2996" s="115"/>
      <c r="BR2996" s="115"/>
      <c r="BS2996" s="115"/>
      <c r="BT2996" s="115"/>
      <c r="BU2996" s="115"/>
      <c r="BV2996" s="115"/>
      <c r="BW2996" s="115"/>
      <c r="BX2996" s="115"/>
      <c r="BY2996" s="115"/>
      <c r="BZ2996" s="115"/>
      <c r="CA2996" s="115"/>
      <c r="CB2996" s="115"/>
      <c r="CC2996" s="115"/>
      <c r="CD2996" s="115"/>
      <c r="CE2996" s="115"/>
      <c r="CF2996" s="115"/>
      <c r="CG2996" s="115"/>
      <c r="CH2996" s="115"/>
      <c r="CI2996" s="115"/>
      <c r="CJ2996" s="115"/>
      <c r="CK2996" s="115"/>
      <c r="CL2996" s="115"/>
      <c r="CM2996" s="115"/>
      <c r="CN2996" s="115"/>
      <c r="CO2996" s="115"/>
      <c r="CP2996" s="115"/>
      <c r="CQ2996" s="115"/>
      <c r="CR2996" s="115"/>
      <c r="CS2996" s="115"/>
      <c r="CT2996" s="115"/>
      <c r="CU2996" s="115"/>
      <c r="CV2996" s="115"/>
      <c r="CW2996" s="115"/>
      <c r="CX2996" s="115"/>
      <c r="CY2996" s="115"/>
      <c r="CZ2996" s="115"/>
      <c r="DA2996" s="115"/>
      <c r="DB2996" s="115"/>
      <c r="DC2996" s="115"/>
      <c r="DD2996" s="115"/>
      <c r="DE2996" s="115"/>
      <c r="DF2996" s="115"/>
      <c r="DG2996" s="115"/>
    </row>
    <row r="2997" spans="55:111" hidden="1">
      <c r="BC2997" s="115"/>
      <c r="BD2997" s="115"/>
      <c r="BE2997" s="115"/>
      <c r="BF2997" s="115"/>
      <c r="BG2997" s="115"/>
      <c r="BH2997" s="115"/>
      <c r="BI2997" s="115"/>
      <c r="BJ2997" s="115"/>
      <c r="BK2997" s="115"/>
      <c r="BL2997" s="115"/>
      <c r="BM2997" s="115"/>
      <c r="BN2997" s="115"/>
      <c r="BO2997" s="115"/>
      <c r="BP2997" s="115"/>
      <c r="BQ2997" s="115"/>
      <c r="BR2997" s="115"/>
      <c r="BS2997" s="115"/>
      <c r="BT2997" s="115"/>
      <c r="BU2997" s="115"/>
      <c r="BV2997" s="115"/>
      <c r="BW2997" s="115"/>
      <c r="BX2997" s="115"/>
      <c r="BY2997" s="115"/>
      <c r="BZ2997" s="115"/>
      <c r="CA2997" s="115"/>
      <c r="CB2997" s="115"/>
      <c r="CC2997" s="115"/>
      <c r="CD2997" s="115"/>
      <c r="CE2997" s="115"/>
      <c r="CF2997" s="115"/>
      <c r="CG2997" s="115"/>
      <c r="CH2997" s="115"/>
      <c r="CI2997" s="115"/>
      <c r="CJ2997" s="115"/>
      <c r="CK2997" s="115"/>
      <c r="CL2997" s="115"/>
      <c r="CM2997" s="115"/>
      <c r="CN2997" s="115"/>
      <c r="CO2997" s="115"/>
      <c r="CP2997" s="115"/>
      <c r="CQ2997" s="115"/>
      <c r="CR2997" s="115"/>
      <c r="CS2997" s="115"/>
      <c r="CT2997" s="115"/>
      <c r="CU2997" s="115"/>
      <c r="CV2997" s="115"/>
      <c r="CW2997" s="115"/>
      <c r="CX2997" s="115"/>
      <c r="CY2997" s="115"/>
      <c r="CZ2997" s="115"/>
      <c r="DA2997" s="115"/>
      <c r="DB2997" s="115"/>
      <c r="DC2997" s="115"/>
      <c r="DD2997" s="115"/>
      <c r="DE2997" s="115"/>
      <c r="DF2997" s="115"/>
      <c r="DG2997" s="115"/>
    </row>
    <row r="2998" spans="55:111" hidden="1">
      <c r="BC2998" s="115"/>
      <c r="BD2998" s="115"/>
      <c r="BE2998" s="115"/>
      <c r="BF2998" s="115"/>
      <c r="BG2998" s="115"/>
      <c r="BH2998" s="115"/>
      <c r="BI2998" s="115"/>
      <c r="BJ2998" s="115"/>
      <c r="BK2998" s="115"/>
      <c r="BL2998" s="115"/>
      <c r="BM2998" s="115"/>
      <c r="BN2998" s="115"/>
      <c r="BO2998" s="115"/>
      <c r="BP2998" s="115"/>
      <c r="BQ2998" s="115"/>
      <c r="BR2998" s="115"/>
      <c r="BS2998" s="115"/>
      <c r="BT2998" s="115"/>
      <c r="BU2998" s="115"/>
      <c r="BV2998" s="115"/>
      <c r="BW2998" s="115"/>
      <c r="BX2998" s="115"/>
      <c r="BY2998" s="115"/>
      <c r="BZ2998" s="115"/>
      <c r="CA2998" s="115"/>
      <c r="CB2998" s="115"/>
      <c r="CC2998" s="115"/>
      <c r="CD2998" s="115"/>
      <c r="CE2998" s="115"/>
      <c r="CF2998" s="115"/>
      <c r="CG2998" s="115"/>
      <c r="CH2998" s="115"/>
      <c r="CI2998" s="115"/>
      <c r="CJ2998" s="115"/>
      <c r="CK2998" s="115"/>
      <c r="CL2998" s="115"/>
      <c r="CM2998" s="115"/>
      <c r="CN2998" s="115"/>
      <c r="CO2998" s="115"/>
      <c r="CP2998" s="115"/>
      <c r="CQ2998" s="115"/>
      <c r="CR2998" s="115"/>
      <c r="CS2998" s="115"/>
      <c r="CT2998" s="115"/>
      <c r="CU2998" s="115"/>
      <c r="CV2998" s="115"/>
      <c r="CW2998" s="115"/>
      <c r="CX2998" s="115"/>
      <c r="CY2998" s="115"/>
      <c r="CZ2998" s="115"/>
      <c r="DA2998" s="115"/>
      <c r="DB2998" s="115"/>
      <c r="DC2998" s="115"/>
      <c r="DD2998" s="115"/>
      <c r="DE2998" s="115"/>
      <c r="DF2998" s="115"/>
      <c r="DG2998" s="115"/>
    </row>
    <row r="2999" spans="55:111" hidden="1">
      <c r="BC2999" s="115"/>
      <c r="BD2999" s="115"/>
      <c r="BE2999" s="115"/>
      <c r="BF2999" s="115"/>
      <c r="BG2999" s="115"/>
      <c r="BH2999" s="115"/>
      <c r="BI2999" s="115"/>
      <c r="BJ2999" s="115"/>
      <c r="BK2999" s="115"/>
      <c r="BL2999" s="115"/>
      <c r="BM2999" s="115"/>
      <c r="BN2999" s="115"/>
      <c r="BO2999" s="115"/>
      <c r="BP2999" s="115"/>
      <c r="BQ2999" s="115"/>
      <c r="BR2999" s="115"/>
      <c r="BS2999" s="115"/>
      <c r="BT2999" s="115"/>
      <c r="BU2999" s="115"/>
      <c r="BV2999" s="115"/>
      <c r="BW2999" s="115"/>
      <c r="BX2999" s="115"/>
      <c r="BY2999" s="115"/>
      <c r="BZ2999" s="115"/>
      <c r="CA2999" s="115"/>
      <c r="CB2999" s="115"/>
      <c r="CC2999" s="115"/>
      <c r="CD2999" s="115"/>
      <c r="CE2999" s="115"/>
      <c r="CF2999" s="115"/>
      <c r="CG2999" s="115"/>
      <c r="CH2999" s="115"/>
      <c r="CI2999" s="115"/>
      <c r="CJ2999" s="115"/>
      <c r="CK2999" s="115"/>
      <c r="CL2999" s="115"/>
      <c r="CM2999" s="115"/>
      <c r="CN2999" s="115"/>
      <c r="CO2999" s="115"/>
      <c r="CP2999" s="115"/>
      <c r="CQ2999" s="115"/>
      <c r="CR2999" s="115"/>
      <c r="CS2999" s="115"/>
      <c r="CT2999" s="115"/>
      <c r="CU2999" s="115"/>
      <c r="CV2999" s="115"/>
      <c r="CW2999" s="115"/>
      <c r="CX2999" s="115"/>
      <c r="CY2999" s="115"/>
      <c r="CZ2999" s="115"/>
      <c r="DA2999" s="115"/>
      <c r="DB2999" s="115"/>
      <c r="DC2999" s="115"/>
      <c r="DD2999" s="115"/>
      <c r="DE2999" s="115"/>
      <c r="DF2999" s="115"/>
      <c r="DG2999" s="115"/>
    </row>
    <row r="3000" spans="55:111" hidden="1">
      <c r="BC3000" s="115"/>
      <c r="BD3000" s="115"/>
      <c r="BE3000" s="115"/>
      <c r="BF3000" s="115"/>
      <c r="BG3000" s="115"/>
      <c r="BH3000" s="115"/>
      <c r="BI3000" s="115"/>
      <c r="BJ3000" s="115"/>
      <c r="BK3000" s="115"/>
      <c r="BL3000" s="115"/>
      <c r="BM3000" s="115"/>
      <c r="BN3000" s="115"/>
      <c r="BO3000" s="115"/>
      <c r="BP3000" s="115"/>
      <c r="BQ3000" s="115"/>
      <c r="BR3000" s="115"/>
      <c r="BS3000" s="115"/>
      <c r="BT3000" s="115"/>
      <c r="BU3000" s="115"/>
      <c r="BV3000" s="115"/>
      <c r="BW3000" s="115"/>
      <c r="BX3000" s="115"/>
      <c r="BY3000" s="115"/>
      <c r="BZ3000" s="115"/>
      <c r="CA3000" s="115"/>
      <c r="CB3000" s="115"/>
      <c r="CC3000" s="115"/>
      <c r="CD3000" s="115"/>
      <c r="CE3000" s="115"/>
      <c r="CF3000" s="115"/>
      <c r="CG3000" s="115"/>
      <c r="CH3000" s="115"/>
      <c r="CI3000" s="115"/>
      <c r="CJ3000" s="115"/>
      <c r="CK3000" s="115"/>
      <c r="CL3000" s="115"/>
      <c r="CM3000" s="115"/>
      <c r="CN3000" s="115"/>
      <c r="CO3000" s="115"/>
      <c r="CP3000" s="115"/>
      <c r="CQ3000" s="115"/>
      <c r="CR3000" s="115"/>
      <c r="CS3000" s="115"/>
      <c r="CT3000" s="115"/>
      <c r="CU3000" s="115"/>
      <c r="CV3000" s="115"/>
      <c r="CW3000" s="115"/>
      <c r="CX3000" s="115"/>
      <c r="CY3000" s="115"/>
      <c r="CZ3000" s="115"/>
      <c r="DA3000" s="115"/>
      <c r="DB3000" s="115"/>
      <c r="DC3000" s="115"/>
      <c r="DD3000" s="115"/>
      <c r="DE3000" s="115"/>
      <c r="DF3000" s="115"/>
      <c r="DG3000" s="115"/>
    </row>
    <row r="3001" spans="55:111" hidden="1">
      <c r="BC3001" s="115"/>
      <c r="BD3001" s="115"/>
      <c r="BE3001" s="115"/>
      <c r="BF3001" s="115"/>
      <c r="BG3001" s="115"/>
      <c r="BH3001" s="115"/>
      <c r="BI3001" s="115"/>
      <c r="BJ3001" s="115"/>
      <c r="BK3001" s="115"/>
      <c r="BL3001" s="115"/>
      <c r="BM3001" s="115"/>
      <c r="BN3001" s="115"/>
      <c r="BO3001" s="115"/>
      <c r="BP3001" s="115"/>
      <c r="BQ3001" s="115"/>
      <c r="BR3001" s="115"/>
      <c r="BS3001" s="115"/>
      <c r="BT3001" s="115"/>
      <c r="BU3001" s="115"/>
      <c r="BV3001" s="115"/>
      <c r="BW3001" s="115"/>
      <c r="BX3001" s="115"/>
      <c r="BY3001" s="115"/>
      <c r="BZ3001" s="115"/>
      <c r="CA3001" s="115"/>
      <c r="CB3001" s="115"/>
      <c r="CC3001" s="115"/>
      <c r="CD3001" s="115"/>
      <c r="CE3001" s="115"/>
      <c r="CF3001" s="115"/>
      <c r="CG3001" s="115"/>
      <c r="CH3001" s="115"/>
      <c r="CI3001" s="115"/>
      <c r="CJ3001" s="115"/>
      <c r="CK3001" s="115"/>
      <c r="CL3001" s="115"/>
      <c r="CM3001" s="115"/>
      <c r="CN3001" s="115"/>
      <c r="CO3001" s="115"/>
      <c r="CP3001" s="115"/>
      <c r="CQ3001" s="115"/>
      <c r="CR3001" s="115"/>
      <c r="CS3001" s="115"/>
      <c r="CT3001" s="115"/>
      <c r="CU3001" s="115"/>
      <c r="CV3001" s="115"/>
      <c r="CW3001" s="115"/>
      <c r="CX3001" s="115"/>
      <c r="CY3001" s="115"/>
      <c r="CZ3001" s="115"/>
      <c r="DA3001" s="115"/>
      <c r="DB3001" s="115"/>
      <c r="DC3001" s="115"/>
      <c r="DD3001" s="115"/>
      <c r="DE3001" s="115"/>
      <c r="DF3001" s="115"/>
      <c r="DG3001" s="115"/>
    </row>
    <row r="3002" spans="55:111" hidden="1">
      <c r="BC3002" s="115"/>
      <c r="BD3002" s="115"/>
      <c r="BE3002" s="115"/>
      <c r="BF3002" s="115"/>
      <c r="BG3002" s="115"/>
      <c r="BH3002" s="115"/>
      <c r="BI3002" s="115"/>
      <c r="BJ3002" s="115"/>
      <c r="BK3002" s="115"/>
      <c r="BL3002" s="115"/>
      <c r="BM3002" s="115"/>
      <c r="BN3002" s="115"/>
      <c r="BO3002" s="115"/>
      <c r="BP3002" s="115"/>
      <c r="BQ3002" s="115"/>
      <c r="BR3002" s="115"/>
      <c r="BS3002" s="115"/>
      <c r="BT3002" s="115"/>
      <c r="BU3002" s="115"/>
      <c r="BV3002" s="115"/>
      <c r="BW3002" s="115"/>
      <c r="BX3002" s="115"/>
      <c r="BY3002" s="115"/>
      <c r="BZ3002" s="115"/>
      <c r="CA3002" s="115"/>
      <c r="CB3002" s="115"/>
      <c r="CC3002" s="115"/>
      <c r="CD3002" s="115"/>
      <c r="CE3002" s="115"/>
      <c r="CF3002" s="115"/>
      <c r="CG3002" s="115"/>
      <c r="CH3002" s="115"/>
      <c r="CI3002" s="115"/>
      <c r="CJ3002" s="115"/>
      <c r="CK3002" s="115"/>
      <c r="CL3002" s="115"/>
      <c r="CM3002" s="115"/>
      <c r="CN3002" s="115"/>
      <c r="CO3002" s="115"/>
      <c r="CP3002" s="115"/>
      <c r="CQ3002" s="115"/>
      <c r="CR3002" s="115"/>
      <c r="CS3002" s="115"/>
      <c r="CT3002" s="115"/>
      <c r="CU3002" s="115"/>
      <c r="CV3002" s="115"/>
      <c r="CW3002" s="115"/>
      <c r="CX3002" s="115"/>
      <c r="CY3002" s="115"/>
      <c r="CZ3002" s="115"/>
      <c r="DA3002" s="115"/>
      <c r="DB3002" s="115"/>
      <c r="DC3002" s="115"/>
      <c r="DD3002" s="115"/>
      <c r="DE3002" s="115"/>
      <c r="DF3002" s="115"/>
      <c r="DG3002" s="115"/>
    </row>
    <row r="3003" spans="55:111" hidden="1">
      <c r="BC3003" s="115"/>
      <c r="BD3003" s="115"/>
      <c r="BE3003" s="115"/>
      <c r="BF3003" s="115"/>
      <c r="BG3003" s="115"/>
      <c r="BH3003" s="115"/>
      <c r="BI3003" s="115"/>
      <c r="BJ3003" s="115"/>
      <c r="BK3003" s="115"/>
      <c r="BL3003" s="115"/>
      <c r="BM3003" s="115"/>
      <c r="BN3003" s="115"/>
      <c r="BO3003" s="115"/>
      <c r="BP3003" s="115"/>
      <c r="BQ3003" s="115"/>
      <c r="BR3003" s="115"/>
      <c r="BS3003" s="115"/>
      <c r="BT3003" s="115"/>
      <c r="BU3003" s="115"/>
      <c r="BV3003" s="115"/>
      <c r="BW3003" s="115"/>
      <c r="BX3003" s="115"/>
      <c r="BY3003" s="115"/>
      <c r="BZ3003" s="115"/>
      <c r="CA3003" s="115"/>
      <c r="CB3003" s="115"/>
      <c r="CC3003" s="115"/>
      <c r="CD3003" s="115"/>
      <c r="CE3003" s="115"/>
      <c r="CF3003" s="115"/>
      <c r="CG3003" s="115"/>
      <c r="CH3003" s="115"/>
      <c r="CI3003" s="115"/>
      <c r="CJ3003" s="115"/>
      <c r="CK3003" s="115"/>
      <c r="CL3003" s="115"/>
      <c r="CM3003" s="115"/>
      <c r="CN3003" s="115"/>
      <c r="CO3003" s="115"/>
      <c r="CP3003" s="115"/>
      <c r="CQ3003" s="115"/>
      <c r="CR3003" s="115"/>
      <c r="CS3003" s="115"/>
      <c r="CT3003" s="115"/>
      <c r="CU3003" s="115"/>
      <c r="CV3003" s="115"/>
      <c r="CW3003" s="115"/>
      <c r="CX3003" s="115"/>
      <c r="CY3003" s="115"/>
      <c r="CZ3003" s="115"/>
      <c r="DA3003" s="115"/>
      <c r="DB3003" s="115"/>
      <c r="DC3003" s="115"/>
      <c r="DD3003" s="115"/>
      <c r="DE3003" s="115"/>
      <c r="DF3003" s="115"/>
      <c r="DG3003" s="115"/>
    </row>
    <row r="3004" spans="55:111" hidden="1">
      <c r="BC3004" s="115"/>
      <c r="BD3004" s="115"/>
      <c r="BE3004" s="115"/>
      <c r="BF3004" s="115"/>
      <c r="BG3004" s="115"/>
      <c r="BH3004" s="115"/>
      <c r="BI3004" s="115"/>
      <c r="BJ3004" s="115"/>
      <c r="BK3004" s="115"/>
      <c r="BL3004" s="115"/>
      <c r="BM3004" s="115"/>
      <c r="BN3004" s="115"/>
      <c r="BO3004" s="115"/>
      <c r="BP3004" s="115"/>
      <c r="BQ3004" s="115"/>
      <c r="BR3004" s="115"/>
      <c r="BS3004" s="115"/>
      <c r="BT3004" s="115"/>
      <c r="BU3004" s="115"/>
      <c r="BV3004" s="115"/>
      <c r="BW3004" s="115"/>
      <c r="BX3004" s="115"/>
      <c r="BY3004" s="115"/>
      <c r="BZ3004" s="115"/>
      <c r="CA3004" s="115"/>
      <c r="CB3004" s="115"/>
      <c r="CC3004" s="115"/>
      <c r="CD3004" s="115"/>
      <c r="CE3004" s="115"/>
      <c r="CF3004" s="115"/>
      <c r="CG3004" s="115"/>
      <c r="CH3004" s="115"/>
      <c r="CI3004" s="115"/>
      <c r="CJ3004" s="115"/>
      <c r="CK3004" s="115"/>
      <c r="CL3004" s="115"/>
      <c r="CM3004" s="115"/>
      <c r="CN3004" s="115"/>
      <c r="CO3004" s="115"/>
      <c r="CP3004" s="115"/>
      <c r="CQ3004" s="115"/>
      <c r="CR3004" s="115"/>
      <c r="CS3004" s="115"/>
      <c r="CT3004" s="115"/>
      <c r="CU3004" s="115"/>
      <c r="CV3004" s="115"/>
      <c r="CW3004" s="115"/>
      <c r="CX3004" s="115"/>
      <c r="CY3004" s="115"/>
      <c r="CZ3004" s="115"/>
      <c r="DA3004" s="115"/>
      <c r="DB3004" s="115"/>
      <c r="DC3004" s="115"/>
      <c r="DD3004" s="115"/>
      <c r="DE3004" s="115"/>
      <c r="DF3004" s="115"/>
      <c r="DG3004" s="115"/>
    </row>
    <row r="3005" spans="55:111" hidden="1">
      <c r="BC3005" s="115"/>
      <c r="BD3005" s="115"/>
      <c r="BE3005" s="115"/>
      <c r="BF3005" s="115"/>
      <c r="BG3005" s="115"/>
      <c r="BH3005" s="115"/>
      <c r="BI3005" s="115"/>
      <c r="BJ3005" s="115"/>
      <c r="BK3005" s="115"/>
      <c r="BL3005" s="115"/>
      <c r="BM3005" s="115"/>
      <c r="BN3005" s="115"/>
      <c r="BO3005" s="115"/>
      <c r="BP3005" s="115"/>
      <c r="BQ3005" s="115"/>
      <c r="BR3005" s="115"/>
      <c r="BS3005" s="115"/>
      <c r="BT3005" s="115"/>
      <c r="BU3005" s="115"/>
      <c r="BV3005" s="115"/>
      <c r="BW3005" s="115"/>
      <c r="BX3005" s="115"/>
      <c r="BY3005" s="115"/>
      <c r="BZ3005" s="115"/>
      <c r="CA3005" s="115"/>
      <c r="CB3005" s="115"/>
      <c r="CC3005" s="115"/>
      <c r="CD3005" s="115"/>
      <c r="CE3005" s="115"/>
      <c r="CF3005" s="115"/>
      <c r="CG3005" s="115"/>
      <c r="CH3005" s="115"/>
      <c r="CI3005" s="115"/>
      <c r="CJ3005" s="115"/>
      <c r="CK3005" s="115"/>
      <c r="CL3005" s="115"/>
      <c r="CM3005" s="115"/>
      <c r="CN3005" s="115"/>
      <c r="CO3005" s="115"/>
      <c r="CP3005" s="115"/>
      <c r="CQ3005" s="115"/>
      <c r="CR3005" s="115"/>
      <c r="CS3005" s="115"/>
      <c r="CT3005" s="115"/>
      <c r="CU3005" s="115"/>
      <c r="CV3005" s="115"/>
      <c r="CW3005" s="115"/>
      <c r="CX3005" s="115"/>
      <c r="CY3005" s="115"/>
      <c r="CZ3005" s="115"/>
      <c r="DA3005" s="115"/>
      <c r="DB3005" s="115"/>
      <c r="DC3005" s="115"/>
      <c r="DD3005" s="115"/>
      <c r="DE3005" s="115"/>
      <c r="DF3005" s="115"/>
      <c r="DG3005" s="115"/>
    </row>
    <row r="3006" spans="55:111" hidden="1">
      <c r="BC3006" s="115"/>
      <c r="BD3006" s="115"/>
      <c r="BE3006" s="115"/>
      <c r="BF3006" s="115"/>
      <c r="BG3006" s="115"/>
      <c r="BH3006" s="115"/>
      <c r="BI3006" s="115"/>
      <c r="BJ3006" s="115"/>
      <c r="BK3006" s="115"/>
      <c r="BL3006" s="115"/>
      <c r="BM3006" s="115"/>
      <c r="BN3006" s="115"/>
      <c r="BO3006" s="115"/>
      <c r="BP3006" s="115"/>
      <c r="BQ3006" s="115"/>
      <c r="BR3006" s="115"/>
      <c r="BS3006" s="115"/>
      <c r="BT3006" s="115"/>
      <c r="BU3006" s="115"/>
      <c r="BV3006" s="115"/>
      <c r="BW3006" s="115"/>
      <c r="BX3006" s="115"/>
      <c r="BY3006" s="115"/>
      <c r="BZ3006" s="115"/>
      <c r="CA3006" s="115"/>
      <c r="CB3006" s="115"/>
      <c r="CC3006" s="115"/>
      <c r="CD3006" s="115"/>
      <c r="CE3006" s="115"/>
      <c r="CF3006" s="115"/>
      <c r="CG3006" s="115"/>
      <c r="CH3006" s="115"/>
      <c r="CI3006" s="115"/>
      <c r="CJ3006" s="115"/>
      <c r="CK3006" s="115"/>
      <c r="CL3006" s="115"/>
      <c r="CM3006" s="115"/>
      <c r="CN3006" s="115"/>
      <c r="CO3006" s="115"/>
      <c r="CP3006" s="115"/>
      <c r="CQ3006" s="115"/>
      <c r="CR3006" s="115"/>
      <c r="CS3006" s="115"/>
      <c r="CT3006" s="115"/>
      <c r="CU3006" s="115"/>
      <c r="CV3006" s="115"/>
      <c r="CW3006" s="115"/>
      <c r="CX3006" s="115"/>
      <c r="CY3006" s="115"/>
      <c r="CZ3006" s="115"/>
      <c r="DA3006" s="115"/>
      <c r="DB3006" s="115"/>
      <c r="DC3006" s="115"/>
      <c r="DD3006" s="115"/>
      <c r="DE3006" s="115"/>
      <c r="DF3006" s="115"/>
      <c r="DG3006" s="115"/>
    </row>
    <row r="3007" spans="55:111" hidden="1">
      <c r="BC3007" s="115"/>
      <c r="BD3007" s="115"/>
      <c r="BE3007" s="115"/>
      <c r="BF3007" s="115"/>
      <c r="BG3007" s="115"/>
      <c r="BH3007" s="115"/>
      <c r="BI3007" s="115"/>
      <c r="BJ3007" s="115"/>
      <c r="BK3007" s="115"/>
      <c r="BL3007" s="115"/>
      <c r="BM3007" s="115"/>
      <c r="BN3007" s="115"/>
      <c r="BO3007" s="115"/>
      <c r="BP3007" s="115"/>
      <c r="BQ3007" s="115"/>
      <c r="BR3007" s="115"/>
      <c r="BS3007" s="115"/>
      <c r="BT3007" s="115"/>
      <c r="BU3007" s="115"/>
      <c r="BV3007" s="115"/>
      <c r="BW3007" s="115"/>
      <c r="BX3007" s="115"/>
      <c r="BY3007" s="115"/>
      <c r="BZ3007" s="115"/>
      <c r="CA3007" s="115"/>
      <c r="CB3007" s="115"/>
      <c r="CC3007" s="115"/>
      <c r="CD3007" s="115"/>
      <c r="CE3007" s="115"/>
      <c r="CF3007" s="115"/>
      <c r="CG3007" s="115"/>
      <c r="CH3007" s="115"/>
      <c r="CI3007" s="115"/>
      <c r="CJ3007" s="115"/>
      <c r="CK3007" s="115"/>
      <c r="CL3007" s="115"/>
      <c r="CM3007" s="115"/>
      <c r="CN3007" s="115"/>
      <c r="CO3007" s="115"/>
      <c r="CP3007" s="115"/>
      <c r="CQ3007" s="115"/>
      <c r="CR3007" s="115"/>
      <c r="CS3007" s="115"/>
      <c r="CT3007" s="115"/>
      <c r="CU3007" s="115"/>
      <c r="CV3007" s="115"/>
      <c r="CW3007" s="115"/>
      <c r="CX3007" s="115"/>
      <c r="CY3007" s="115"/>
      <c r="CZ3007" s="115"/>
      <c r="DA3007" s="115"/>
      <c r="DB3007" s="115"/>
      <c r="DC3007" s="115"/>
      <c r="DD3007" s="115"/>
      <c r="DE3007" s="115"/>
      <c r="DF3007" s="115"/>
      <c r="DG3007" s="115"/>
    </row>
    <row r="3008" spans="55:111" hidden="1">
      <c r="BC3008" s="115"/>
      <c r="BD3008" s="115"/>
      <c r="BE3008" s="115"/>
      <c r="BF3008" s="115"/>
      <c r="BG3008" s="115"/>
      <c r="BH3008" s="115"/>
      <c r="BI3008" s="115"/>
      <c r="BJ3008" s="115"/>
      <c r="BK3008" s="115"/>
      <c r="BL3008" s="115"/>
      <c r="BM3008" s="115"/>
      <c r="BN3008" s="115"/>
      <c r="BO3008" s="115"/>
      <c r="BP3008" s="115"/>
      <c r="BQ3008" s="115"/>
      <c r="BR3008" s="115"/>
      <c r="BS3008" s="115"/>
      <c r="BT3008" s="115"/>
      <c r="BU3008" s="115"/>
      <c r="BV3008" s="115"/>
      <c r="BW3008" s="115"/>
      <c r="BX3008" s="115"/>
      <c r="BY3008" s="115"/>
      <c r="BZ3008" s="115"/>
      <c r="CA3008" s="115"/>
      <c r="CB3008" s="115"/>
      <c r="CC3008" s="115"/>
      <c r="CD3008" s="115"/>
      <c r="CE3008" s="115"/>
      <c r="CF3008" s="115"/>
      <c r="CG3008" s="115"/>
      <c r="CH3008" s="115"/>
      <c r="CI3008" s="115"/>
      <c r="CJ3008" s="115"/>
      <c r="CK3008" s="115"/>
      <c r="CL3008" s="115"/>
      <c r="CM3008" s="115"/>
      <c r="CN3008" s="115"/>
      <c r="CO3008" s="115"/>
      <c r="CP3008" s="115"/>
      <c r="CQ3008" s="115"/>
      <c r="CR3008" s="115"/>
      <c r="CS3008" s="115"/>
      <c r="CT3008" s="115"/>
      <c r="CU3008" s="115"/>
      <c r="CV3008" s="115"/>
      <c r="CW3008" s="115"/>
      <c r="CX3008" s="115"/>
      <c r="CY3008" s="115"/>
      <c r="CZ3008" s="115"/>
      <c r="DA3008" s="115"/>
      <c r="DB3008" s="115"/>
      <c r="DC3008" s="115"/>
      <c r="DD3008" s="115"/>
      <c r="DE3008" s="115"/>
      <c r="DF3008" s="115"/>
      <c r="DG3008" s="115"/>
    </row>
    <row r="3009" spans="55:111" hidden="1">
      <c r="BC3009" s="115"/>
      <c r="BD3009" s="115"/>
      <c r="BE3009" s="115"/>
      <c r="BF3009" s="115"/>
      <c r="BG3009" s="115"/>
      <c r="BH3009" s="115"/>
      <c r="BI3009" s="115"/>
      <c r="BJ3009" s="115"/>
      <c r="BK3009" s="115"/>
      <c r="BL3009" s="115"/>
      <c r="BM3009" s="115"/>
      <c r="BN3009" s="115"/>
      <c r="BO3009" s="115"/>
      <c r="BP3009" s="115"/>
      <c r="BQ3009" s="115"/>
      <c r="BR3009" s="115"/>
      <c r="BS3009" s="115"/>
      <c r="BT3009" s="115"/>
      <c r="BU3009" s="115"/>
      <c r="BV3009" s="115"/>
      <c r="BW3009" s="115"/>
      <c r="BX3009" s="115"/>
      <c r="BY3009" s="115"/>
      <c r="BZ3009" s="115"/>
      <c r="CA3009" s="115"/>
      <c r="CB3009" s="115"/>
      <c r="CC3009" s="115"/>
      <c r="CD3009" s="115"/>
      <c r="CE3009" s="115"/>
      <c r="CF3009" s="115"/>
      <c r="CG3009" s="115"/>
      <c r="CH3009" s="115"/>
      <c r="CI3009" s="115"/>
      <c r="CJ3009" s="115"/>
      <c r="CK3009" s="115"/>
      <c r="CL3009" s="115"/>
      <c r="CM3009" s="115"/>
      <c r="CN3009" s="115"/>
      <c r="CO3009" s="115"/>
      <c r="CP3009" s="115"/>
      <c r="CQ3009" s="115"/>
      <c r="CR3009" s="115"/>
      <c r="CS3009" s="115"/>
      <c r="CT3009" s="115"/>
      <c r="CU3009" s="115"/>
      <c r="CV3009" s="115"/>
      <c r="CW3009" s="115"/>
      <c r="CX3009" s="115"/>
      <c r="CY3009" s="115"/>
      <c r="CZ3009" s="115"/>
      <c r="DA3009" s="115"/>
      <c r="DB3009" s="115"/>
      <c r="DC3009" s="115"/>
      <c r="DD3009" s="115"/>
      <c r="DE3009" s="115"/>
      <c r="DF3009" s="115"/>
      <c r="DG3009" s="115"/>
    </row>
    <row r="3010" spans="55:111" hidden="1">
      <c r="BC3010" s="115"/>
      <c r="BD3010" s="115"/>
      <c r="BE3010" s="115"/>
      <c r="BF3010" s="115"/>
      <c r="BG3010" s="115"/>
      <c r="BH3010" s="115"/>
      <c r="BI3010" s="115"/>
      <c r="BJ3010" s="115"/>
      <c r="BK3010" s="115"/>
      <c r="BL3010" s="115"/>
      <c r="BM3010" s="115"/>
      <c r="BN3010" s="115"/>
      <c r="BO3010" s="115"/>
      <c r="BP3010" s="115"/>
      <c r="BQ3010" s="115"/>
      <c r="BR3010" s="115"/>
      <c r="BS3010" s="115"/>
      <c r="BT3010" s="115"/>
      <c r="BU3010" s="115"/>
      <c r="BV3010" s="115"/>
      <c r="BW3010" s="115"/>
      <c r="BX3010" s="115"/>
      <c r="BY3010" s="115"/>
      <c r="BZ3010" s="115"/>
      <c r="CA3010" s="115"/>
      <c r="CB3010" s="115"/>
      <c r="CC3010" s="115"/>
      <c r="CD3010" s="115"/>
      <c r="CE3010" s="115"/>
      <c r="CF3010" s="115"/>
      <c r="CG3010" s="115"/>
      <c r="CH3010" s="115"/>
      <c r="CI3010" s="115"/>
      <c r="CJ3010" s="115"/>
      <c r="CK3010" s="115"/>
      <c r="CL3010" s="115"/>
      <c r="CM3010" s="115"/>
      <c r="CN3010" s="115"/>
      <c r="CO3010" s="115"/>
      <c r="CP3010" s="115"/>
      <c r="CQ3010" s="115"/>
      <c r="CR3010" s="115"/>
      <c r="CS3010" s="115"/>
      <c r="CT3010" s="115"/>
      <c r="CU3010" s="115"/>
      <c r="CV3010" s="115"/>
      <c r="CW3010" s="115"/>
      <c r="CX3010" s="115"/>
      <c r="CY3010" s="115"/>
      <c r="CZ3010" s="115"/>
      <c r="DA3010" s="115"/>
      <c r="DB3010" s="115"/>
      <c r="DC3010" s="115"/>
      <c r="DD3010" s="115"/>
      <c r="DE3010" s="115"/>
      <c r="DF3010" s="115"/>
      <c r="DG3010" s="115"/>
    </row>
    <row r="3011" spans="55:111" hidden="1">
      <c r="BC3011" s="115"/>
      <c r="BD3011" s="115"/>
      <c r="BE3011" s="115"/>
      <c r="BF3011" s="115"/>
      <c r="BG3011" s="115"/>
      <c r="BH3011" s="115"/>
      <c r="BI3011" s="115"/>
      <c r="BJ3011" s="115"/>
      <c r="BK3011" s="115"/>
      <c r="BL3011" s="115"/>
      <c r="BM3011" s="115"/>
      <c r="BN3011" s="115"/>
      <c r="BO3011" s="115"/>
      <c r="BP3011" s="115"/>
      <c r="BQ3011" s="115"/>
      <c r="BR3011" s="115"/>
      <c r="BS3011" s="115"/>
      <c r="BT3011" s="115"/>
      <c r="BU3011" s="115"/>
      <c r="BV3011" s="115"/>
      <c r="BW3011" s="115"/>
      <c r="BX3011" s="115"/>
      <c r="BY3011" s="115"/>
      <c r="BZ3011" s="115"/>
      <c r="CA3011" s="115"/>
      <c r="CB3011" s="115"/>
      <c r="CC3011" s="115"/>
      <c r="CD3011" s="115"/>
      <c r="CE3011" s="115"/>
      <c r="CF3011" s="115"/>
      <c r="CG3011" s="115"/>
      <c r="CH3011" s="115"/>
      <c r="CI3011" s="115"/>
      <c r="CJ3011" s="115"/>
      <c r="CK3011" s="115"/>
      <c r="CL3011" s="115"/>
      <c r="CM3011" s="115"/>
      <c r="CN3011" s="115"/>
      <c r="CO3011" s="115"/>
      <c r="CP3011" s="115"/>
      <c r="CQ3011" s="115"/>
      <c r="CR3011" s="115"/>
      <c r="CS3011" s="115"/>
      <c r="CT3011" s="115"/>
      <c r="CU3011" s="115"/>
      <c r="CV3011" s="115"/>
      <c r="CW3011" s="115"/>
      <c r="CX3011" s="115"/>
      <c r="CY3011" s="115"/>
      <c r="CZ3011" s="115"/>
      <c r="DA3011" s="115"/>
      <c r="DB3011" s="115"/>
      <c r="DC3011" s="115"/>
      <c r="DD3011" s="115"/>
      <c r="DE3011" s="115"/>
      <c r="DF3011" s="115"/>
      <c r="DG3011" s="115"/>
    </row>
    <row r="3012" spans="55:111" hidden="1">
      <c r="BC3012" s="115"/>
      <c r="BD3012" s="115"/>
      <c r="BE3012" s="115"/>
      <c r="BF3012" s="115"/>
      <c r="BG3012" s="115"/>
      <c r="BH3012" s="115"/>
      <c r="BI3012" s="115"/>
      <c r="BJ3012" s="115"/>
      <c r="BK3012" s="115"/>
      <c r="BL3012" s="115"/>
      <c r="BM3012" s="115"/>
      <c r="BN3012" s="115"/>
      <c r="BO3012" s="115"/>
      <c r="BP3012" s="115"/>
      <c r="BQ3012" s="115"/>
      <c r="BR3012" s="115"/>
      <c r="BS3012" s="115"/>
      <c r="BT3012" s="115"/>
      <c r="BU3012" s="115"/>
      <c r="BV3012" s="115"/>
      <c r="BW3012" s="115"/>
      <c r="BX3012" s="115"/>
      <c r="BY3012" s="115"/>
      <c r="BZ3012" s="115"/>
      <c r="CA3012" s="115"/>
      <c r="CB3012" s="115"/>
      <c r="CC3012" s="115"/>
      <c r="CD3012" s="115"/>
      <c r="CE3012" s="115"/>
      <c r="CF3012" s="115"/>
      <c r="CG3012" s="115"/>
      <c r="CH3012" s="115"/>
      <c r="CI3012" s="115"/>
      <c r="CJ3012" s="115"/>
      <c r="CK3012" s="115"/>
      <c r="CL3012" s="115"/>
      <c r="CM3012" s="115"/>
      <c r="CN3012" s="115"/>
      <c r="CO3012" s="115"/>
      <c r="CP3012" s="115"/>
      <c r="CQ3012" s="115"/>
      <c r="CR3012" s="115"/>
      <c r="CS3012" s="115"/>
      <c r="CT3012" s="115"/>
      <c r="CU3012" s="115"/>
      <c r="CV3012" s="115"/>
      <c r="CW3012" s="115"/>
      <c r="CX3012" s="115"/>
      <c r="CY3012" s="115"/>
      <c r="CZ3012" s="115"/>
      <c r="DA3012" s="115"/>
      <c r="DB3012" s="115"/>
      <c r="DC3012" s="115"/>
      <c r="DD3012" s="115"/>
      <c r="DE3012" s="115"/>
      <c r="DF3012" s="115"/>
      <c r="DG3012" s="115"/>
    </row>
    <row r="3013" spans="55:111" hidden="1">
      <c r="BC3013" s="115"/>
      <c r="BD3013" s="115"/>
      <c r="BE3013" s="115"/>
      <c r="BF3013" s="115"/>
      <c r="BG3013" s="115"/>
      <c r="BH3013" s="115"/>
      <c r="BI3013" s="115"/>
      <c r="BJ3013" s="115"/>
      <c r="BK3013" s="115"/>
      <c r="BL3013" s="115"/>
      <c r="BM3013" s="115"/>
      <c r="BN3013" s="115"/>
      <c r="BO3013" s="115"/>
      <c r="BP3013" s="115"/>
      <c r="BQ3013" s="115"/>
      <c r="BR3013" s="115"/>
      <c r="BS3013" s="115"/>
      <c r="BT3013" s="115"/>
      <c r="BU3013" s="115"/>
      <c r="BV3013" s="115"/>
      <c r="BW3013" s="115"/>
      <c r="BX3013" s="115"/>
      <c r="BY3013" s="115"/>
      <c r="BZ3013" s="115"/>
      <c r="CA3013" s="115"/>
      <c r="CB3013" s="115"/>
      <c r="CC3013" s="115"/>
      <c r="CD3013" s="115"/>
      <c r="CE3013" s="115"/>
      <c r="CF3013" s="115"/>
      <c r="CG3013" s="115"/>
      <c r="CH3013" s="115"/>
      <c r="CI3013" s="115"/>
      <c r="CJ3013" s="115"/>
      <c r="CK3013" s="115"/>
      <c r="CL3013" s="115"/>
      <c r="CM3013" s="115"/>
      <c r="CN3013" s="115"/>
      <c r="CO3013" s="115"/>
      <c r="CP3013" s="115"/>
      <c r="CQ3013" s="115"/>
      <c r="CR3013" s="115"/>
      <c r="CS3013" s="115"/>
      <c r="CT3013" s="115"/>
      <c r="CU3013" s="115"/>
      <c r="CV3013" s="115"/>
      <c r="CW3013" s="115"/>
      <c r="CX3013" s="115"/>
      <c r="CY3013" s="115"/>
      <c r="CZ3013" s="115"/>
      <c r="DA3013" s="115"/>
      <c r="DB3013" s="115"/>
      <c r="DC3013" s="115"/>
      <c r="DD3013" s="115"/>
      <c r="DE3013" s="115"/>
      <c r="DF3013" s="115"/>
      <c r="DG3013" s="115"/>
    </row>
    <row r="3014" spans="55:111" hidden="1">
      <c r="BC3014" s="115"/>
      <c r="BD3014" s="115"/>
      <c r="BE3014" s="115"/>
      <c r="BF3014" s="115"/>
      <c r="BG3014" s="115"/>
      <c r="BH3014" s="115"/>
      <c r="BI3014" s="115"/>
      <c r="BJ3014" s="115"/>
      <c r="BK3014" s="115"/>
      <c r="BL3014" s="115"/>
      <c r="BM3014" s="115"/>
      <c r="BN3014" s="115"/>
      <c r="BO3014" s="115"/>
      <c r="BP3014" s="115"/>
      <c r="BQ3014" s="115"/>
      <c r="BR3014" s="115"/>
      <c r="BS3014" s="115"/>
      <c r="BT3014" s="115"/>
      <c r="BU3014" s="115"/>
      <c r="BV3014" s="115"/>
      <c r="BW3014" s="115"/>
      <c r="BX3014" s="115"/>
      <c r="BY3014" s="115"/>
      <c r="BZ3014" s="115"/>
      <c r="CA3014" s="115"/>
      <c r="CB3014" s="115"/>
      <c r="CC3014" s="115"/>
      <c r="CD3014" s="115"/>
      <c r="CE3014" s="115"/>
      <c r="CF3014" s="115"/>
      <c r="CG3014" s="115"/>
      <c r="CH3014" s="115"/>
      <c r="CI3014" s="115"/>
      <c r="CJ3014" s="115"/>
      <c r="CK3014" s="115"/>
      <c r="CL3014" s="115"/>
      <c r="CM3014" s="115"/>
      <c r="CN3014" s="115"/>
      <c r="CO3014" s="115"/>
      <c r="CP3014" s="115"/>
      <c r="CQ3014" s="115"/>
      <c r="CR3014" s="115"/>
      <c r="CS3014" s="115"/>
      <c r="CT3014" s="115"/>
      <c r="CU3014" s="115"/>
      <c r="CV3014" s="115"/>
      <c r="CW3014" s="115"/>
      <c r="CX3014" s="115"/>
      <c r="CY3014" s="115"/>
      <c r="CZ3014" s="115"/>
      <c r="DA3014" s="115"/>
      <c r="DB3014" s="115"/>
      <c r="DC3014" s="115"/>
      <c r="DD3014" s="115"/>
      <c r="DE3014" s="115"/>
      <c r="DF3014" s="115"/>
      <c r="DG3014" s="115"/>
    </row>
    <row r="3015" spans="55:111" hidden="1">
      <c r="BC3015" s="115"/>
      <c r="BD3015" s="115"/>
      <c r="BE3015" s="115"/>
      <c r="BF3015" s="115"/>
      <c r="BG3015" s="115"/>
      <c r="BH3015" s="115"/>
      <c r="BI3015" s="115"/>
      <c r="BJ3015" s="115"/>
      <c r="BK3015" s="115"/>
      <c r="BL3015" s="115"/>
      <c r="BM3015" s="115"/>
      <c r="BN3015" s="115"/>
      <c r="BO3015" s="115"/>
      <c r="BP3015" s="115"/>
      <c r="BQ3015" s="115"/>
      <c r="BR3015" s="115"/>
      <c r="BS3015" s="115"/>
      <c r="BT3015" s="115"/>
      <c r="BU3015" s="115"/>
      <c r="BV3015" s="115"/>
      <c r="BW3015" s="115"/>
      <c r="BX3015" s="115"/>
      <c r="BY3015" s="115"/>
      <c r="BZ3015" s="115"/>
      <c r="CA3015" s="115"/>
      <c r="CB3015" s="115"/>
      <c r="CC3015" s="115"/>
      <c r="CD3015" s="115"/>
      <c r="CE3015" s="115"/>
      <c r="CF3015" s="115"/>
      <c r="CG3015" s="115"/>
      <c r="CH3015" s="115"/>
      <c r="CI3015" s="115"/>
      <c r="CJ3015" s="115"/>
      <c r="CK3015" s="115"/>
      <c r="CL3015" s="115"/>
      <c r="CM3015" s="115"/>
      <c r="CN3015" s="115"/>
      <c r="CO3015" s="115"/>
      <c r="CP3015" s="115"/>
      <c r="CQ3015" s="115"/>
      <c r="CR3015" s="115"/>
      <c r="CS3015" s="115"/>
      <c r="CT3015" s="115"/>
      <c r="CU3015" s="115"/>
      <c r="CV3015" s="115"/>
      <c r="CW3015" s="115"/>
      <c r="CX3015" s="115"/>
      <c r="CY3015" s="115"/>
      <c r="CZ3015" s="115"/>
      <c r="DA3015" s="115"/>
      <c r="DB3015" s="115"/>
      <c r="DC3015" s="115"/>
      <c r="DD3015" s="115"/>
      <c r="DE3015" s="115"/>
      <c r="DF3015" s="115"/>
      <c r="DG3015" s="115"/>
    </row>
    <row r="3016" spans="55:111" hidden="1">
      <c r="BC3016" s="115"/>
      <c r="BD3016" s="115"/>
      <c r="BE3016" s="115"/>
      <c r="BF3016" s="115"/>
      <c r="BG3016" s="115"/>
      <c r="BH3016" s="115"/>
      <c r="BI3016" s="115"/>
      <c r="BJ3016" s="115"/>
      <c r="BK3016" s="115"/>
      <c r="BL3016" s="115"/>
      <c r="BM3016" s="115"/>
      <c r="BN3016" s="115"/>
      <c r="BO3016" s="115"/>
      <c r="BP3016" s="115"/>
      <c r="BQ3016" s="115"/>
      <c r="BR3016" s="115"/>
      <c r="BS3016" s="115"/>
      <c r="BT3016" s="115"/>
      <c r="BU3016" s="115"/>
      <c r="BV3016" s="115"/>
      <c r="BW3016" s="115"/>
      <c r="BX3016" s="115"/>
      <c r="BY3016" s="115"/>
      <c r="BZ3016" s="115"/>
      <c r="CA3016" s="115"/>
      <c r="CB3016" s="115"/>
      <c r="CC3016" s="115"/>
      <c r="CD3016" s="115"/>
      <c r="CE3016" s="115"/>
      <c r="CF3016" s="115"/>
      <c r="CG3016" s="115"/>
      <c r="CH3016" s="115"/>
      <c r="CI3016" s="115"/>
      <c r="CJ3016" s="115"/>
      <c r="CK3016" s="115"/>
      <c r="CL3016" s="115"/>
      <c r="CM3016" s="115"/>
      <c r="CN3016" s="115"/>
      <c r="CO3016" s="115"/>
      <c r="CP3016" s="115"/>
      <c r="CQ3016" s="115"/>
      <c r="CR3016" s="115"/>
      <c r="CS3016" s="115"/>
      <c r="CT3016" s="115"/>
      <c r="CU3016" s="115"/>
      <c r="CV3016" s="115"/>
      <c r="CW3016" s="115"/>
      <c r="CX3016" s="115"/>
      <c r="CY3016" s="115"/>
      <c r="CZ3016" s="115"/>
      <c r="DA3016" s="115"/>
      <c r="DB3016" s="115"/>
      <c r="DC3016" s="115"/>
      <c r="DD3016" s="115"/>
      <c r="DE3016" s="115"/>
      <c r="DF3016" s="115"/>
      <c r="DG3016" s="115"/>
    </row>
    <row r="3017" spans="55:111" hidden="1">
      <c r="BC3017" s="115"/>
      <c r="BD3017" s="115"/>
      <c r="BE3017" s="115"/>
      <c r="BF3017" s="115"/>
      <c r="BG3017" s="115"/>
      <c r="BH3017" s="115"/>
      <c r="BI3017" s="115"/>
      <c r="BJ3017" s="115"/>
      <c r="BK3017" s="115"/>
      <c r="BL3017" s="115"/>
      <c r="BM3017" s="115"/>
      <c r="BN3017" s="115"/>
      <c r="BO3017" s="115"/>
      <c r="BP3017" s="115"/>
      <c r="BQ3017" s="115"/>
      <c r="BR3017" s="115"/>
      <c r="BS3017" s="115"/>
      <c r="BT3017" s="115"/>
      <c r="BU3017" s="115"/>
      <c r="BV3017" s="115"/>
      <c r="BW3017" s="115"/>
      <c r="BX3017" s="115"/>
      <c r="BY3017" s="115"/>
      <c r="BZ3017" s="115"/>
      <c r="CA3017" s="115"/>
      <c r="CB3017" s="115"/>
      <c r="CC3017" s="115"/>
      <c r="CD3017" s="115"/>
      <c r="CE3017" s="115"/>
      <c r="CF3017" s="115"/>
      <c r="CG3017" s="115"/>
      <c r="CH3017" s="115"/>
      <c r="CI3017" s="115"/>
      <c r="CJ3017" s="115"/>
      <c r="CK3017" s="115"/>
      <c r="CL3017" s="115"/>
      <c r="CM3017" s="115"/>
      <c r="CN3017" s="115"/>
      <c r="CO3017" s="115"/>
      <c r="CP3017" s="115"/>
      <c r="CQ3017" s="115"/>
      <c r="CR3017" s="115"/>
      <c r="CS3017" s="115"/>
      <c r="CT3017" s="115"/>
      <c r="CU3017" s="115"/>
      <c r="CV3017" s="115"/>
      <c r="CW3017" s="115"/>
      <c r="CX3017" s="115"/>
      <c r="CY3017" s="115"/>
      <c r="CZ3017" s="115"/>
      <c r="DA3017" s="115"/>
      <c r="DB3017" s="115"/>
      <c r="DC3017" s="115"/>
      <c r="DD3017" s="115"/>
      <c r="DE3017" s="115"/>
      <c r="DF3017" s="115"/>
      <c r="DG3017" s="115"/>
    </row>
    <row r="3018" spans="55:111" hidden="1">
      <c r="BC3018" s="115"/>
      <c r="BD3018" s="115"/>
      <c r="BE3018" s="115"/>
      <c r="BF3018" s="115"/>
      <c r="BG3018" s="115"/>
      <c r="BH3018" s="115"/>
      <c r="BI3018" s="115"/>
      <c r="BJ3018" s="115"/>
      <c r="BK3018" s="115"/>
      <c r="BL3018" s="115"/>
      <c r="BM3018" s="115"/>
      <c r="BN3018" s="115"/>
      <c r="BO3018" s="115"/>
      <c r="BP3018" s="115"/>
      <c r="BQ3018" s="115"/>
      <c r="BR3018" s="115"/>
      <c r="BS3018" s="115"/>
      <c r="BT3018" s="115"/>
      <c r="BU3018" s="115"/>
      <c r="BV3018" s="115"/>
      <c r="BW3018" s="115"/>
      <c r="BX3018" s="115"/>
      <c r="BY3018" s="115"/>
      <c r="BZ3018" s="115"/>
      <c r="CA3018" s="115"/>
      <c r="CB3018" s="115"/>
      <c r="CC3018" s="115"/>
      <c r="CD3018" s="115"/>
      <c r="CE3018" s="115"/>
      <c r="CF3018" s="115"/>
      <c r="CG3018" s="115"/>
      <c r="CH3018" s="115"/>
      <c r="CI3018" s="115"/>
      <c r="CJ3018" s="115"/>
      <c r="CK3018" s="115"/>
      <c r="CL3018" s="115"/>
      <c r="CM3018" s="115"/>
      <c r="CN3018" s="115"/>
      <c r="CO3018" s="115"/>
      <c r="CP3018" s="115"/>
      <c r="CQ3018" s="115"/>
      <c r="CR3018" s="115"/>
      <c r="CS3018" s="115"/>
      <c r="CT3018" s="115"/>
      <c r="CU3018" s="115"/>
      <c r="CV3018" s="115"/>
      <c r="CW3018" s="115"/>
      <c r="CX3018" s="115"/>
      <c r="CY3018" s="115"/>
      <c r="CZ3018" s="115"/>
      <c r="DA3018" s="115"/>
      <c r="DB3018" s="115"/>
      <c r="DC3018" s="115"/>
      <c r="DD3018" s="115"/>
      <c r="DE3018" s="115"/>
      <c r="DF3018" s="115"/>
      <c r="DG3018" s="115"/>
    </row>
    <row r="3019" spans="55:111" hidden="1">
      <c r="BC3019" s="115"/>
      <c r="BD3019" s="115"/>
      <c r="BE3019" s="115"/>
      <c r="BF3019" s="115"/>
      <c r="BG3019" s="115"/>
      <c r="BH3019" s="115"/>
      <c r="BI3019" s="115"/>
      <c r="BJ3019" s="115"/>
      <c r="BK3019" s="115"/>
      <c r="BL3019" s="115"/>
      <c r="BM3019" s="115"/>
      <c r="BN3019" s="115"/>
      <c r="BO3019" s="115"/>
      <c r="BP3019" s="115"/>
      <c r="BQ3019" s="115"/>
      <c r="BR3019" s="115"/>
      <c r="BS3019" s="115"/>
      <c r="BT3019" s="115"/>
      <c r="BU3019" s="115"/>
      <c r="BV3019" s="115"/>
      <c r="BW3019" s="115"/>
      <c r="BX3019" s="115"/>
      <c r="BY3019" s="115"/>
      <c r="BZ3019" s="115"/>
      <c r="CA3019" s="115"/>
      <c r="CB3019" s="115"/>
      <c r="CC3019" s="115"/>
      <c r="CD3019" s="115"/>
      <c r="CE3019" s="115"/>
      <c r="CF3019" s="115"/>
      <c r="CG3019" s="115"/>
      <c r="CH3019" s="115"/>
      <c r="CI3019" s="115"/>
      <c r="CJ3019" s="115"/>
      <c r="CK3019" s="115"/>
      <c r="CL3019" s="115"/>
      <c r="CM3019" s="115"/>
      <c r="CN3019" s="115"/>
      <c r="CO3019" s="115"/>
      <c r="CP3019" s="115"/>
      <c r="CQ3019" s="115"/>
      <c r="CR3019" s="115"/>
      <c r="CS3019" s="115"/>
      <c r="CT3019" s="115"/>
      <c r="CU3019" s="115"/>
      <c r="CV3019" s="115"/>
      <c r="CW3019" s="115"/>
      <c r="CX3019" s="115"/>
      <c r="CY3019" s="115"/>
      <c r="CZ3019" s="115"/>
      <c r="DA3019" s="115"/>
      <c r="DB3019" s="115"/>
      <c r="DC3019" s="115"/>
      <c r="DD3019" s="115"/>
      <c r="DE3019" s="115"/>
      <c r="DF3019" s="115"/>
      <c r="DG3019" s="115"/>
    </row>
    <row r="3020" spans="55:111" hidden="1">
      <c r="BC3020" s="115"/>
      <c r="BD3020" s="115"/>
      <c r="BE3020" s="115"/>
      <c r="BF3020" s="115"/>
      <c r="BG3020" s="115"/>
      <c r="BH3020" s="115"/>
      <c r="BI3020" s="115"/>
      <c r="BJ3020" s="115"/>
      <c r="BK3020" s="115"/>
      <c r="BL3020" s="115"/>
      <c r="BM3020" s="115"/>
      <c r="BN3020" s="115"/>
      <c r="BO3020" s="115"/>
      <c r="BP3020" s="115"/>
      <c r="BQ3020" s="115"/>
      <c r="BR3020" s="115"/>
      <c r="BS3020" s="115"/>
      <c r="BT3020" s="115"/>
      <c r="BU3020" s="115"/>
      <c r="BV3020" s="115"/>
      <c r="BW3020" s="115"/>
      <c r="BX3020" s="115"/>
      <c r="BY3020" s="115"/>
      <c r="BZ3020" s="115"/>
      <c r="CA3020" s="115"/>
      <c r="CB3020" s="115"/>
      <c r="CC3020" s="115"/>
      <c r="CD3020" s="115"/>
      <c r="CE3020" s="115"/>
      <c r="CF3020" s="115"/>
      <c r="CG3020" s="115"/>
      <c r="CH3020" s="115"/>
      <c r="CI3020" s="115"/>
      <c r="CJ3020" s="115"/>
      <c r="CK3020" s="115"/>
      <c r="CL3020" s="115"/>
      <c r="CM3020" s="115"/>
      <c r="CN3020" s="115"/>
      <c r="CO3020" s="115"/>
      <c r="CP3020" s="115"/>
      <c r="CQ3020" s="115"/>
      <c r="CR3020" s="115"/>
      <c r="CS3020" s="115"/>
      <c r="CT3020" s="115"/>
      <c r="CU3020" s="115"/>
      <c r="CV3020" s="115"/>
      <c r="CW3020" s="115"/>
      <c r="CX3020" s="115"/>
      <c r="CY3020" s="115"/>
      <c r="CZ3020" s="115"/>
      <c r="DA3020" s="115"/>
      <c r="DB3020" s="115"/>
      <c r="DC3020" s="115"/>
      <c r="DD3020" s="115"/>
      <c r="DE3020" s="115"/>
      <c r="DF3020" s="115"/>
      <c r="DG3020" s="115"/>
    </row>
    <row r="3021" spans="55:111" hidden="1">
      <c r="BC3021" s="115"/>
      <c r="BD3021" s="115"/>
      <c r="BE3021" s="115"/>
      <c r="BF3021" s="115"/>
      <c r="BG3021" s="115"/>
      <c r="BH3021" s="115"/>
      <c r="BI3021" s="115"/>
      <c r="BJ3021" s="115"/>
      <c r="BK3021" s="115"/>
      <c r="BL3021" s="115"/>
      <c r="BM3021" s="115"/>
      <c r="BN3021" s="115"/>
      <c r="BO3021" s="115"/>
      <c r="BP3021" s="115"/>
      <c r="BQ3021" s="115"/>
      <c r="BR3021" s="115"/>
      <c r="BS3021" s="115"/>
      <c r="BT3021" s="115"/>
      <c r="BU3021" s="115"/>
      <c r="BV3021" s="115"/>
      <c r="BW3021" s="115"/>
      <c r="BX3021" s="115"/>
      <c r="BY3021" s="115"/>
      <c r="BZ3021" s="115"/>
      <c r="CA3021" s="115"/>
      <c r="CB3021" s="115"/>
      <c r="CC3021" s="115"/>
      <c r="CD3021" s="115"/>
      <c r="CE3021" s="115"/>
      <c r="CF3021" s="115"/>
      <c r="CG3021" s="115"/>
      <c r="CH3021" s="115"/>
      <c r="CI3021" s="115"/>
      <c r="CJ3021" s="115"/>
      <c r="CK3021" s="115"/>
      <c r="CL3021" s="115"/>
      <c r="CM3021" s="115"/>
      <c r="CN3021" s="115"/>
      <c r="CO3021" s="115"/>
      <c r="CP3021" s="115"/>
      <c r="CQ3021" s="115"/>
      <c r="CR3021" s="115"/>
      <c r="CS3021" s="115"/>
      <c r="CT3021" s="115"/>
      <c r="CU3021" s="115"/>
      <c r="CV3021" s="115"/>
      <c r="CW3021" s="115"/>
      <c r="CX3021" s="115"/>
      <c r="CY3021" s="115"/>
      <c r="CZ3021" s="115"/>
      <c r="DA3021" s="115"/>
      <c r="DB3021" s="115"/>
      <c r="DC3021" s="115"/>
      <c r="DD3021" s="115"/>
      <c r="DE3021" s="115"/>
      <c r="DF3021" s="115"/>
      <c r="DG3021" s="115"/>
    </row>
    <row r="3022" spans="55:111" hidden="1">
      <c r="BC3022" s="115"/>
      <c r="BD3022" s="115"/>
      <c r="BE3022" s="115"/>
      <c r="BF3022" s="115"/>
      <c r="BG3022" s="115"/>
      <c r="BH3022" s="115"/>
      <c r="BI3022" s="115"/>
      <c r="BJ3022" s="115"/>
      <c r="BK3022" s="115"/>
      <c r="BL3022" s="115"/>
      <c r="BM3022" s="115"/>
      <c r="BN3022" s="115"/>
      <c r="BO3022" s="115"/>
      <c r="BP3022" s="115"/>
      <c r="BQ3022" s="115"/>
      <c r="BR3022" s="115"/>
      <c r="BS3022" s="115"/>
      <c r="BT3022" s="115"/>
      <c r="BU3022" s="115"/>
      <c r="BV3022" s="115"/>
      <c r="BW3022" s="115"/>
      <c r="BX3022" s="115"/>
      <c r="BY3022" s="115"/>
      <c r="BZ3022" s="115"/>
      <c r="CA3022" s="115"/>
      <c r="CB3022" s="115"/>
      <c r="CC3022" s="115"/>
      <c r="CD3022" s="115"/>
      <c r="CE3022" s="115"/>
      <c r="CF3022" s="115"/>
      <c r="CG3022" s="115"/>
      <c r="CH3022" s="115"/>
      <c r="CI3022" s="115"/>
      <c r="CJ3022" s="115"/>
      <c r="CK3022" s="115"/>
      <c r="CL3022" s="115"/>
      <c r="CM3022" s="115"/>
      <c r="CN3022" s="115"/>
      <c r="CO3022" s="115"/>
      <c r="CP3022" s="115"/>
      <c r="CQ3022" s="115"/>
      <c r="CR3022" s="115"/>
      <c r="CS3022" s="115"/>
      <c r="CT3022" s="115"/>
      <c r="CU3022" s="115"/>
      <c r="CV3022" s="115"/>
      <c r="CW3022" s="115"/>
      <c r="CX3022" s="115"/>
      <c r="CY3022" s="115"/>
      <c r="CZ3022" s="115"/>
      <c r="DA3022" s="115"/>
      <c r="DB3022" s="115"/>
      <c r="DC3022" s="115"/>
      <c r="DD3022" s="115"/>
      <c r="DE3022" s="115"/>
      <c r="DF3022" s="115"/>
      <c r="DG3022" s="115"/>
    </row>
    <row r="3023" spans="55:111" hidden="1">
      <c r="BC3023" s="115"/>
      <c r="BD3023" s="115"/>
      <c r="BE3023" s="115"/>
      <c r="BF3023" s="115"/>
      <c r="BG3023" s="115"/>
      <c r="BH3023" s="115"/>
      <c r="BI3023" s="115"/>
      <c r="BJ3023" s="115"/>
      <c r="BK3023" s="115"/>
      <c r="BL3023" s="115"/>
      <c r="BM3023" s="115"/>
      <c r="BN3023" s="115"/>
      <c r="BO3023" s="115"/>
      <c r="BP3023" s="115"/>
      <c r="BQ3023" s="115"/>
      <c r="BR3023" s="115"/>
      <c r="BS3023" s="115"/>
      <c r="BT3023" s="115"/>
      <c r="BU3023" s="115"/>
      <c r="BV3023" s="115"/>
      <c r="BW3023" s="115"/>
      <c r="BX3023" s="115"/>
      <c r="BY3023" s="115"/>
      <c r="BZ3023" s="115"/>
      <c r="CA3023" s="115"/>
      <c r="CB3023" s="115"/>
      <c r="CC3023" s="115"/>
      <c r="CD3023" s="115"/>
      <c r="CE3023" s="115"/>
      <c r="CF3023" s="115"/>
      <c r="CG3023" s="115"/>
      <c r="CH3023" s="115"/>
      <c r="CI3023" s="115"/>
      <c r="CJ3023" s="115"/>
      <c r="CK3023" s="115"/>
      <c r="CL3023" s="115"/>
      <c r="CM3023" s="115"/>
      <c r="CN3023" s="115"/>
      <c r="CO3023" s="115"/>
      <c r="CP3023" s="115"/>
      <c r="CQ3023" s="115"/>
      <c r="CR3023" s="115"/>
      <c r="CS3023" s="115"/>
      <c r="CT3023" s="115"/>
      <c r="CU3023" s="115"/>
      <c r="CV3023" s="115"/>
      <c r="CW3023" s="115"/>
      <c r="CX3023" s="115"/>
      <c r="CY3023" s="115"/>
      <c r="CZ3023" s="115"/>
      <c r="DA3023" s="115"/>
      <c r="DB3023" s="115"/>
      <c r="DC3023" s="115"/>
      <c r="DD3023" s="115"/>
      <c r="DE3023" s="115"/>
      <c r="DF3023" s="115"/>
      <c r="DG3023" s="115"/>
    </row>
    <row r="3024" spans="55:111" hidden="1">
      <c r="BC3024" s="115"/>
      <c r="BD3024" s="115"/>
      <c r="BE3024" s="115"/>
      <c r="BF3024" s="115"/>
      <c r="BG3024" s="115"/>
      <c r="BH3024" s="115"/>
      <c r="BI3024" s="115"/>
      <c r="BJ3024" s="115"/>
      <c r="BK3024" s="115"/>
      <c r="BL3024" s="115"/>
      <c r="BM3024" s="115"/>
      <c r="BN3024" s="115"/>
      <c r="BO3024" s="115"/>
      <c r="BP3024" s="115"/>
      <c r="BQ3024" s="115"/>
      <c r="BR3024" s="115"/>
      <c r="BS3024" s="115"/>
      <c r="BT3024" s="115"/>
      <c r="BU3024" s="115"/>
      <c r="BV3024" s="115"/>
      <c r="BW3024" s="115"/>
      <c r="BX3024" s="115"/>
      <c r="BY3024" s="115"/>
      <c r="BZ3024" s="115"/>
      <c r="CA3024" s="115"/>
      <c r="CB3024" s="115"/>
      <c r="CC3024" s="115"/>
      <c r="CD3024" s="115"/>
      <c r="CE3024" s="115"/>
      <c r="CF3024" s="115"/>
      <c r="CG3024" s="115"/>
      <c r="CH3024" s="115"/>
      <c r="CI3024" s="115"/>
      <c r="CJ3024" s="115"/>
      <c r="CK3024" s="115"/>
      <c r="CL3024" s="115"/>
      <c r="CM3024" s="115"/>
      <c r="CN3024" s="115"/>
      <c r="CO3024" s="115"/>
      <c r="CP3024" s="115"/>
      <c r="CQ3024" s="115"/>
      <c r="CR3024" s="115"/>
      <c r="CS3024" s="115"/>
      <c r="CT3024" s="115"/>
      <c r="CU3024" s="115"/>
      <c r="CV3024" s="115"/>
      <c r="CW3024" s="115"/>
      <c r="CX3024" s="115"/>
      <c r="CY3024" s="115"/>
      <c r="CZ3024" s="115"/>
      <c r="DA3024" s="115"/>
      <c r="DB3024" s="115"/>
      <c r="DC3024" s="115"/>
      <c r="DD3024" s="115"/>
      <c r="DE3024" s="115"/>
      <c r="DF3024" s="115"/>
      <c r="DG3024" s="115"/>
    </row>
    <row r="3025" spans="55:111" hidden="1">
      <c r="BC3025" s="115"/>
      <c r="BD3025" s="115"/>
      <c r="BE3025" s="115"/>
      <c r="BF3025" s="115"/>
      <c r="BG3025" s="115"/>
      <c r="BH3025" s="115"/>
      <c r="BI3025" s="115"/>
      <c r="BJ3025" s="115"/>
      <c r="BK3025" s="115"/>
      <c r="BL3025" s="115"/>
      <c r="BM3025" s="115"/>
      <c r="BN3025" s="115"/>
      <c r="BO3025" s="115"/>
      <c r="BP3025" s="115"/>
      <c r="BQ3025" s="115"/>
      <c r="BR3025" s="115"/>
      <c r="BS3025" s="115"/>
      <c r="BT3025" s="115"/>
      <c r="BU3025" s="115"/>
      <c r="BV3025" s="115"/>
      <c r="BW3025" s="115"/>
      <c r="BX3025" s="115"/>
      <c r="BY3025" s="115"/>
      <c r="BZ3025" s="115"/>
      <c r="CA3025" s="115"/>
      <c r="CB3025" s="115"/>
      <c r="CC3025" s="115"/>
      <c r="CD3025" s="115"/>
      <c r="CE3025" s="115"/>
      <c r="CF3025" s="115"/>
      <c r="CG3025" s="115"/>
      <c r="CH3025" s="115"/>
      <c r="CI3025" s="115"/>
      <c r="CJ3025" s="115"/>
      <c r="CK3025" s="115"/>
      <c r="CL3025" s="115"/>
      <c r="CM3025" s="115"/>
      <c r="CN3025" s="115"/>
      <c r="CO3025" s="115"/>
      <c r="CP3025" s="115"/>
      <c r="CQ3025" s="115"/>
      <c r="CR3025" s="115"/>
      <c r="CS3025" s="115"/>
      <c r="CT3025" s="115"/>
      <c r="CU3025" s="115"/>
      <c r="CV3025" s="115"/>
      <c r="CW3025" s="115"/>
      <c r="CX3025" s="115"/>
      <c r="CY3025" s="115"/>
      <c r="CZ3025" s="115"/>
      <c r="DA3025" s="115"/>
      <c r="DB3025" s="115"/>
      <c r="DC3025" s="115"/>
      <c r="DD3025" s="115"/>
      <c r="DE3025" s="115"/>
      <c r="DF3025" s="115"/>
      <c r="DG3025" s="115"/>
    </row>
    <row r="3026" spans="55:111" hidden="1">
      <c r="BC3026" s="115"/>
      <c r="BD3026" s="115"/>
      <c r="BE3026" s="115"/>
      <c r="BF3026" s="115"/>
      <c r="BG3026" s="115"/>
      <c r="BH3026" s="115"/>
      <c r="BI3026" s="115"/>
      <c r="BJ3026" s="115"/>
      <c r="BK3026" s="115"/>
      <c r="BL3026" s="115"/>
      <c r="BM3026" s="115"/>
      <c r="BN3026" s="115"/>
      <c r="BO3026" s="115"/>
      <c r="BP3026" s="115"/>
      <c r="BQ3026" s="115"/>
      <c r="BR3026" s="115"/>
      <c r="BS3026" s="115"/>
      <c r="BT3026" s="115"/>
      <c r="BU3026" s="115"/>
      <c r="BV3026" s="115"/>
      <c r="BW3026" s="115"/>
      <c r="BX3026" s="115"/>
      <c r="BY3026" s="115"/>
      <c r="BZ3026" s="115"/>
      <c r="CA3026" s="115"/>
      <c r="CB3026" s="115"/>
      <c r="CC3026" s="115"/>
      <c r="CD3026" s="115"/>
      <c r="CE3026" s="115"/>
      <c r="CF3026" s="115"/>
      <c r="CG3026" s="115"/>
      <c r="CH3026" s="115"/>
      <c r="CI3026" s="115"/>
      <c r="CJ3026" s="115"/>
      <c r="CK3026" s="115"/>
      <c r="CL3026" s="115"/>
      <c r="CM3026" s="115"/>
      <c r="CN3026" s="115"/>
      <c r="CO3026" s="115"/>
      <c r="CP3026" s="115"/>
      <c r="CQ3026" s="115"/>
      <c r="CR3026" s="115"/>
      <c r="CS3026" s="115"/>
      <c r="CT3026" s="115"/>
      <c r="CU3026" s="115"/>
      <c r="CV3026" s="115"/>
      <c r="CW3026" s="115"/>
      <c r="CX3026" s="115"/>
      <c r="CY3026" s="115"/>
      <c r="CZ3026" s="115"/>
      <c r="DA3026" s="115"/>
      <c r="DB3026" s="115"/>
      <c r="DC3026" s="115"/>
      <c r="DD3026" s="115"/>
      <c r="DE3026" s="115"/>
      <c r="DF3026" s="115"/>
      <c r="DG3026" s="115"/>
    </row>
    <row r="3027" spans="55:111" hidden="1">
      <c r="BC3027" s="115"/>
      <c r="BD3027" s="115"/>
      <c r="BE3027" s="115"/>
      <c r="BF3027" s="115"/>
      <c r="BG3027" s="115"/>
      <c r="BH3027" s="115"/>
      <c r="BI3027" s="115"/>
      <c r="BJ3027" s="115"/>
      <c r="BK3027" s="115"/>
      <c r="BL3027" s="115"/>
      <c r="BM3027" s="115"/>
      <c r="BN3027" s="115"/>
      <c r="BO3027" s="115"/>
      <c r="BP3027" s="115"/>
      <c r="BQ3027" s="115"/>
      <c r="BR3027" s="115"/>
      <c r="BS3027" s="115"/>
      <c r="BT3027" s="115"/>
      <c r="BU3027" s="115"/>
      <c r="BV3027" s="115"/>
      <c r="BW3027" s="115"/>
      <c r="BX3027" s="115"/>
      <c r="BY3027" s="115"/>
      <c r="BZ3027" s="115"/>
      <c r="CA3027" s="115"/>
      <c r="CB3027" s="115"/>
      <c r="CC3027" s="115"/>
      <c r="CD3027" s="115"/>
      <c r="CE3027" s="115"/>
      <c r="CF3027" s="115"/>
      <c r="CG3027" s="115"/>
      <c r="CH3027" s="115"/>
      <c r="CI3027" s="115"/>
      <c r="CJ3027" s="115"/>
      <c r="CK3027" s="115"/>
      <c r="CL3027" s="115"/>
      <c r="CM3027" s="115"/>
      <c r="CN3027" s="115"/>
      <c r="CO3027" s="115"/>
      <c r="CP3027" s="115"/>
      <c r="CQ3027" s="115"/>
      <c r="CR3027" s="115"/>
      <c r="CS3027" s="115"/>
      <c r="CT3027" s="115"/>
      <c r="CU3027" s="115"/>
      <c r="CV3027" s="115"/>
      <c r="CW3027" s="115"/>
      <c r="CX3027" s="115"/>
      <c r="CY3027" s="115"/>
      <c r="CZ3027" s="115"/>
      <c r="DA3027" s="115"/>
      <c r="DB3027" s="115"/>
      <c r="DC3027" s="115"/>
      <c r="DD3027" s="115"/>
      <c r="DE3027" s="115"/>
      <c r="DF3027" s="115"/>
      <c r="DG3027" s="115"/>
    </row>
    <row r="3028" spans="55:111" hidden="1">
      <c r="BC3028" s="115"/>
      <c r="BD3028" s="115"/>
      <c r="BE3028" s="115"/>
      <c r="BF3028" s="115"/>
      <c r="BG3028" s="115"/>
      <c r="BH3028" s="115"/>
      <c r="BI3028" s="115"/>
      <c r="BJ3028" s="115"/>
      <c r="BK3028" s="115"/>
      <c r="BL3028" s="115"/>
      <c r="BM3028" s="115"/>
      <c r="BN3028" s="115"/>
      <c r="BO3028" s="115"/>
      <c r="BP3028" s="115"/>
      <c r="BQ3028" s="115"/>
      <c r="BR3028" s="115"/>
      <c r="BS3028" s="115"/>
      <c r="BT3028" s="115"/>
      <c r="BU3028" s="115"/>
      <c r="BV3028" s="115"/>
      <c r="BW3028" s="115"/>
      <c r="BX3028" s="115"/>
      <c r="BY3028" s="115"/>
      <c r="BZ3028" s="115"/>
      <c r="CA3028" s="115"/>
      <c r="CB3028" s="115"/>
      <c r="CC3028" s="115"/>
      <c r="CD3028" s="115"/>
      <c r="CE3028" s="115"/>
      <c r="CF3028" s="115"/>
      <c r="CG3028" s="115"/>
      <c r="CH3028" s="115"/>
      <c r="CI3028" s="115"/>
      <c r="CJ3028" s="115"/>
      <c r="CK3028" s="115"/>
      <c r="CL3028" s="115"/>
      <c r="CM3028" s="115"/>
      <c r="CN3028" s="115"/>
      <c r="CO3028" s="115"/>
      <c r="CP3028" s="115"/>
      <c r="CQ3028" s="115"/>
      <c r="CR3028" s="115"/>
      <c r="CS3028" s="115"/>
      <c r="CT3028" s="115"/>
      <c r="CU3028" s="115"/>
      <c r="CV3028" s="115"/>
      <c r="CW3028" s="115"/>
      <c r="CX3028" s="115"/>
      <c r="CY3028" s="115"/>
      <c r="CZ3028" s="115"/>
      <c r="DA3028" s="115"/>
      <c r="DB3028" s="115"/>
      <c r="DC3028" s="115"/>
      <c r="DD3028" s="115"/>
      <c r="DE3028" s="115"/>
      <c r="DF3028" s="115"/>
      <c r="DG3028" s="115"/>
    </row>
    <row r="3029" spans="55:111" hidden="1">
      <c r="BC3029" s="115"/>
      <c r="BD3029" s="115"/>
      <c r="BE3029" s="115"/>
      <c r="BF3029" s="115"/>
      <c r="BG3029" s="115"/>
      <c r="BH3029" s="115"/>
      <c r="BI3029" s="115"/>
      <c r="BJ3029" s="115"/>
      <c r="BK3029" s="115"/>
      <c r="BL3029" s="115"/>
      <c r="BM3029" s="115"/>
      <c r="BN3029" s="115"/>
      <c r="BO3029" s="115"/>
      <c r="BP3029" s="115"/>
      <c r="BQ3029" s="115"/>
      <c r="BR3029" s="115"/>
      <c r="BS3029" s="115"/>
      <c r="BT3029" s="115"/>
      <c r="BU3029" s="115"/>
      <c r="BV3029" s="115"/>
      <c r="BW3029" s="115"/>
      <c r="BX3029" s="115"/>
      <c r="BY3029" s="115"/>
      <c r="BZ3029" s="115"/>
      <c r="CA3029" s="115"/>
      <c r="CB3029" s="115"/>
      <c r="CC3029" s="115"/>
      <c r="CD3029" s="115"/>
      <c r="CE3029" s="115"/>
      <c r="CF3029" s="115"/>
      <c r="CG3029" s="115"/>
      <c r="CH3029" s="115"/>
      <c r="CI3029" s="115"/>
      <c r="CJ3029" s="115"/>
      <c r="CK3029" s="115"/>
      <c r="CL3029" s="115"/>
      <c r="CM3029" s="115"/>
      <c r="CN3029" s="115"/>
      <c r="CO3029" s="115"/>
      <c r="CP3029" s="115"/>
      <c r="CQ3029" s="115"/>
      <c r="CR3029" s="115"/>
      <c r="CS3029" s="115"/>
      <c r="CT3029" s="115"/>
      <c r="CU3029" s="115"/>
      <c r="CV3029" s="115"/>
      <c r="CW3029" s="115"/>
      <c r="CX3029" s="115"/>
      <c r="CY3029" s="115"/>
      <c r="CZ3029" s="115"/>
      <c r="DA3029" s="115"/>
      <c r="DB3029" s="115"/>
      <c r="DC3029" s="115"/>
      <c r="DD3029" s="115"/>
      <c r="DE3029" s="115"/>
      <c r="DF3029" s="115"/>
      <c r="DG3029" s="115"/>
    </row>
    <row r="3030" spans="55:111" hidden="1">
      <c r="BC3030" s="115"/>
      <c r="BD3030" s="115"/>
      <c r="BE3030" s="115"/>
      <c r="BF3030" s="115"/>
      <c r="BG3030" s="115"/>
      <c r="BH3030" s="115"/>
      <c r="BI3030" s="115"/>
      <c r="BJ3030" s="115"/>
      <c r="BK3030" s="115"/>
      <c r="BL3030" s="115"/>
      <c r="BM3030" s="115"/>
      <c r="BN3030" s="115"/>
      <c r="BO3030" s="115"/>
      <c r="BP3030" s="115"/>
      <c r="BQ3030" s="115"/>
      <c r="BR3030" s="115"/>
      <c r="BS3030" s="115"/>
      <c r="BT3030" s="115"/>
      <c r="BU3030" s="115"/>
      <c r="BV3030" s="115"/>
      <c r="BW3030" s="115"/>
      <c r="BX3030" s="115"/>
      <c r="BY3030" s="115"/>
      <c r="BZ3030" s="115"/>
      <c r="CA3030" s="115"/>
      <c r="CB3030" s="115"/>
      <c r="CC3030" s="115"/>
      <c r="CD3030" s="115"/>
      <c r="CE3030" s="115"/>
      <c r="CF3030" s="115"/>
      <c r="CG3030" s="115"/>
      <c r="CH3030" s="115"/>
      <c r="CI3030" s="115"/>
      <c r="CJ3030" s="115"/>
      <c r="CK3030" s="115"/>
      <c r="CL3030" s="115"/>
      <c r="CM3030" s="115"/>
      <c r="CN3030" s="115"/>
      <c r="CO3030" s="115"/>
      <c r="CP3030" s="115"/>
      <c r="CQ3030" s="115"/>
      <c r="CR3030" s="115"/>
      <c r="CS3030" s="115"/>
      <c r="CT3030" s="115"/>
      <c r="CU3030" s="115"/>
      <c r="CV3030" s="115"/>
      <c r="CW3030" s="115"/>
      <c r="CX3030" s="115"/>
      <c r="CY3030" s="115"/>
      <c r="CZ3030" s="115"/>
      <c r="DA3030" s="115"/>
      <c r="DB3030" s="115"/>
      <c r="DC3030" s="115"/>
      <c r="DD3030" s="115"/>
      <c r="DE3030" s="115"/>
      <c r="DF3030" s="115"/>
      <c r="DG3030" s="115"/>
    </row>
    <row r="3031" spans="55:111" hidden="1">
      <c r="BC3031" s="115"/>
      <c r="BD3031" s="115"/>
      <c r="BE3031" s="115"/>
      <c r="BF3031" s="115"/>
      <c r="BG3031" s="115"/>
      <c r="BH3031" s="115"/>
      <c r="BI3031" s="115"/>
      <c r="BJ3031" s="115"/>
      <c r="BK3031" s="115"/>
      <c r="BL3031" s="115"/>
      <c r="BM3031" s="115"/>
      <c r="BN3031" s="115"/>
      <c r="BO3031" s="115"/>
      <c r="BP3031" s="115"/>
      <c r="BQ3031" s="115"/>
      <c r="BR3031" s="115"/>
      <c r="BS3031" s="115"/>
      <c r="BT3031" s="115"/>
      <c r="BU3031" s="115"/>
      <c r="BV3031" s="115"/>
      <c r="BW3031" s="115"/>
      <c r="BX3031" s="115"/>
      <c r="BY3031" s="115"/>
      <c r="BZ3031" s="115"/>
      <c r="CA3031" s="115"/>
      <c r="CB3031" s="115"/>
      <c r="CC3031" s="115"/>
      <c r="CD3031" s="115"/>
      <c r="CE3031" s="115"/>
      <c r="CF3031" s="115"/>
      <c r="CG3031" s="115"/>
      <c r="CH3031" s="115"/>
      <c r="CI3031" s="115"/>
      <c r="CJ3031" s="115"/>
      <c r="CK3031" s="115"/>
      <c r="CL3031" s="115"/>
      <c r="CM3031" s="115"/>
      <c r="CN3031" s="115"/>
      <c r="CO3031" s="115"/>
      <c r="CP3031" s="115"/>
      <c r="CQ3031" s="115"/>
      <c r="CR3031" s="115"/>
      <c r="CS3031" s="115"/>
      <c r="CT3031" s="115"/>
      <c r="CU3031" s="115"/>
      <c r="CV3031" s="115"/>
      <c r="CW3031" s="115"/>
      <c r="CX3031" s="115"/>
      <c r="CY3031" s="115"/>
      <c r="CZ3031" s="115"/>
      <c r="DA3031" s="115"/>
      <c r="DB3031" s="115"/>
      <c r="DC3031" s="115"/>
      <c r="DD3031" s="115"/>
      <c r="DE3031" s="115"/>
      <c r="DF3031" s="115"/>
      <c r="DG3031" s="115"/>
    </row>
    <row r="3032" spans="55:111" hidden="1">
      <c r="BC3032" s="115"/>
      <c r="BD3032" s="115"/>
      <c r="BE3032" s="115"/>
      <c r="BF3032" s="115"/>
      <c r="BG3032" s="115"/>
      <c r="BH3032" s="115"/>
      <c r="BI3032" s="115"/>
      <c r="BJ3032" s="115"/>
      <c r="BK3032" s="115"/>
      <c r="BL3032" s="115"/>
      <c r="BM3032" s="115"/>
      <c r="BN3032" s="115"/>
      <c r="BO3032" s="115"/>
      <c r="BP3032" s="115"/>
      <c r="BQ3032" s="115"/>
      <c r="BR3032" s="115"/>
      <c r="BS3032" s="115"/>
      <c r="BT3032" s="115"/>
      <c r="BU3032" s="115"/>
      <c r="BV3032" s="115"/>
      <c r="BW3032" s="115"/>
      <c r="BX3032" s="115"/>
      <c r="BY3032" s="115"/>
      <c r="BZ3032" s="115"/>
      <c r="CA3032" s="115"/>
      <c r="CB3032" s="115"/>
      <c r="CC3032" s="115"/>
      <c r="CD3032" s="115"/>
      <c r="CE3032" s="115"/>
      <c r="CF3032" s="115"/>
      <c r="CG3032" s="115"/>
      <c r="CH3032" s="115"/>
      <c r="CI3032" s="115"/>
      <c r="CJ3032" s="115"/>
      <c r="CK3032" s="115"/>
      <c r="CL3032" s="115"/>
      <c r="CM3032" s="115"/>
      <c r="CN3032" s="115"/>
      <c r="CO3032" s="115"/>
      <c r="CP3032" s="115"/>
      <c r="CQ3032" s="115"/>
      <c r="CR3032" s="115"/>
      <c r="CS3032" s="115"/>
      <c r="CT3032" s="115"/>
      <c r="CU3032" s="115"/>
      <c r="CV3032" s="115"/>
      <c r="CW3032" s="115"/>
      <c r="CX3032" s="115"/>
      <c r="CY3032" s="115"/>
      <c r="CZ3032" s="115"/>
      <c r="DA3032" s="115"/>
      <c r="DB3032" s="115"/>
      <c r="DC3032" s="115"/>
      <c r="DD3032" s="115"/>
      <c r="DE3032" s="115"/>
      <c r="DF3032" s="115"/>
      <c r="DG3032" s="115"/>
    </row>
    <row r="3033" spans="55:111" hidden="1">
      <c r="BC3033" s="115"/>
      <c r="BD3033" s="115"/>
      <c r="BE3033" s="115"/>
      <c r="BF3033" s="115"/>
      <c r="BG3033" s="115"/>
      <c r="BH3033" s="115"/>
      <c r="BI3033" s="115"/>
      <c r="BJ3033" s="115"/>
      <c r="BK3033" s="115"/>
      <c r="BL3033" s="115"/>
      <c r="BM3033" s="115"/>
      <c r="BN3033" s="115"/>
      <c r="BO3033" s="115"/>
      <c r="BP3033" s="115"/>
      <c r="BQ3033" s="115"/>
      <c r="BR3033" s="115"/>
      <c r="BS3033" s="115"/>
      <c r="BT3033" s="115"/>
      <c r="BU3033" s="115"/>
      <c r="BV3033" s="115"/>
      <c r="BW3033" s="115"/>
      <c r="BX3033" s="115"/>
      <c r="BY3033" s="115"/>
      <c r="BZ3033" s="115"/>
      <c r="CA3033" s="115"/>
      <c r="CB3033" s="115"/>
      <c r="CC3033" s="115"/>
      <c r="CD3033" s="115"/>
      <c r="CE3033" s="115"/>
      <c r="CF3033" s="115"/>
      <c r="CG3033" s="115"/>
      <c r="CH3033" s="115"/>
      <c r="CI3033" s="115"/>
      <c r="CJ3033" s="115"/>
      <c r="CK3033" s="115"/>
      <c r="CL3033" s="115"/>
      <c r="CM3033" s="115"/>
      <c r="CN3033" s="115"/>
      <c r="CO3033" s="115"/>
      <c r="CP3033" s="115"/>
      <c r="CQ3033" s="115"/>
      <c r="CR3033" s="115"/>
      <c r="CS3033" s="115"/>
      <c r="CT3033" s="115"/>
      <c r="CU3033" s="115"/>
      <c r="CV3033" s="115"/>
      <c r="CW3033" s="115"/>
      <c r="CX3033" s="115"/>
      <c r="CY3033" s="115"/>
      <c r="CZ3033" s="115"/>
      <c r="DA3033" s="115"/>
      <c r="DB3033" s="115"/>
      <c r="DC3033" s="115"/>
      <c r="DD3033" s="115"/>
      <c r="DE3033" s="115"/>
      <c r="DF3033" s="115"/>
      <c r="DG3033" s="115"/>
    </row>
    <row r="3034" spans="55:111" hidden="1">
      <c r="BC3034" s="115"/>
      <c r="BD3034" s="115"/>
      <c r="BE3034" s="115"/>
      <c r="BF3034" s="115"/>
      <c r="BG3034" s="115"/>
      <c r="BH3034" s="115"/>
      <c r="BI3034" s="115"/>
      <c r="BJ3034" s="115"/>
      <c r="BK3034" s="115"/>
      <c r="BL3034" s="115"/>
      <c r="BM3034" s="115"/>
      <c r="BN3034" s="115"/>
      <c r="BO3034" s="115"/>
      <c r="BP3034" s="115"/>
      <c r="BQ3034" s="115"/>
      <c r="BR3034" s="115"/>
      <c r="BS3034" s="115"/>
      <c r="BT3034" s="115"/>
      <c r="BU3034" s="115"/>
      <c r="BV3034" s="115"/>
      <c r="BW3034" s="115"/>
      <c r="BX3034" s="115"/>
      <c r="BY3034" s="115"/>
      <c r="BZ3034" s="115"/>
      <c r="CA3034" s="115"/>
      <c r="CB3034" s="115"/>
      <c r="CC3034" s="115"/>
      <c r="CD3034" s="115"/>
      <c r="CE3034" s="115"/>
      <c r="CF3034" s="115"/>
      <c r="CG3034" s="115"/>
      <c r="CH3034" s="115"/>
      <c r="CI3034" s="115"/>
      <c r="CJ3034" s="115"/>
      <c r="CK3034" s="115"/>
      <c r="CL3034" s="115"/>
      <c r="CM3034" s="115"/>
      <c r="CN3034" s="115"/>
      <c r="CO3034" s="115"/>
      <c r="CP3034" s="115"/>
      <c r="CQ3034" s="115"/>
      <c r="CR3034" s="115"/>
      <c r="CS3034" s="115"/>
      <c r="CT3034" s="115"/>
      <c r="CU3034" s="115"/>
      <c r="CV3034" s="115"/>
      <c r="CW3034" s="115"/>
      <c r="CX3034" s="115"/>
      <c r="CY3034" s="115"/>
      <c r="CZ3034" s="115"/>
      <c r="DA3034" s="115"/>
      <c r="DB3034" s="115"/>
      <c r="DC3034" s="115"/>
      <c r="DD3034" s="115"/>
      <c r="DE3034" s="115"/>
      <c r="DF3034" s="115"/>
      <c r="DG3034" s="115"/>
    </row>
    <row r="3035" spans="55:111" hidden="1">
      <c r="BC3035" s="115"/>
      <c r="BD3035" s="115"/>
      <c r="BE3035" s="115"/>
      <c r="BF3035" s="115"/>
      <c r="BG3035" s="115"/>
      <c r="BH3035" s="115"/>
      <c r="BI3035" s="115"/>
      <c r="BJ3035" s="115"/>
      <c r="BK3035" s="115"/>
      <c r="BL3035" s="115"/>
      <c r="BM3035" s="115"/>
      <c r="BN3035" s="115"/>
      <c r="BO3035" s="115"/>
      <c r="BP3035" s="115"/>
      <c r="BQ3035" s="115"/>
      <c r="BR3035" s="115"/>
      <c r="BS3035" s="115"/>
      <c r="BT3035" s="115"/>
      <c r="BU3035" s="115"/>
      <c r="BV3035" s="115"/>
      <c r="BW3035" s="115"/>
      <c r="BX3035" s="115"/>
      <c r="BY3035" s="115"/>
      <c r="BZ3035" s="115"/>
      <c r="CA3035" s="115"/>
      <c r="CB3035" s="115"/>
      <c r="CC3035" s="115"/>
      <c r="CD3035" s="115"/>
      <c r="CE3035" s="115"/>
      <c r="CF3035" s="115"/>
      <c r="CG3035" s="115"/>
      <c r="CH3035" s="115"/>
      <c r="CI3035" s="115"/>
      <c r="CJ3035" s="115"/>
      <c r="CK3035" s="115"/>
      <c r="CL3035" s="115"/>
      <c r="CM3035" s="115"/>
      <c r="CN3035" s="115"/>
      <c r="CO3035" s="115"/>
      <c r="CP3035" s="115"/>
      <c r="CQ3035" s="115"/>
      <c r="CR3035" s="115"/>
      <c r="CS3035" s="115"/>
      <c r="CT3035" s="115"/>
      <c r="CU3035" s="115"/>
      <c r="CV3035" s="115"/>
      <c r="CW3035" s="115"/>
      <c r="CX3035" s="115"/>
      <c r="CY3035" s="115"/>
      <c r="CZ3035" s="115"/>
      <c r="DA3035" s="115"/>
      <c r="DB3035" s="115"/>
      <c r="DC3035" s="115"/>
      <c r="DD3035" s="115"/>
      <c r="DE3035" s="115"/>
      <c r="DF3035" s="115"/>
      <c r="DG3035" s="115"/>
    </row>
    <row r="3036" spans="55:111" hidden="1">
      <c r="BC3036" s="115"/>
      <c r="BD3036" s="115"/>
      <c r="BE3036" s="115"/>
      <c r="BF3036" s="115"/>
      <c r="BG3036" s="115"/>
      <c r="BH3036" s="115"/>
      <c r="BI3036" s="115"/>
      <c r="BJ3036" s="115"/>
      <c r="BK3036" s="115"/>
      <c r="BL3036" s="115"/>
      <c r="BM3036" s="115"/>
      <c r="BN3036" s="115"/>
      <c r="BO3036" s="115"/>
      <c r="BP3036" s="115"/>
      <c r="BQ3036" s="115"/>
      <c r="BR3036" s="115"/>
      <c r="BS3036" s="115"/>
      <c r="BT3036" s="115"/>
      <c r="BU3036" s="115"/>
      <c r="BV3036" s="115"/>
      <c r="BW3036" s="115"/>
      <c r="BX3036" s="115"/>
      <c r="BY3036" s="115"/>
      <c r="BZ3036" s="115"/>
      <c r="CA3036" s="115"/>
      <c r="CB3036" s="115"/>
      <c r="CC3036" s="115"/>
      <c r="CD3036" s="115"/>
      <c r="CE3036" s="115"/>
      <c r="CF3036" s="115"/>
      <c r="CG3036" s="115"/>
      <c r="CH3036" s="115"/>
      <c r="CI3036" s="115"/>
      <c r="CJ3036" s="115"/>
      <c r="CK3036" s="115"/>
      <c r="CL3036" s="115"/>
      <c r="CM3036" s="115"/>
      <c r="CN3036" s="115"/>
      <c r="CO3036" s="115"/>
      <c r="CP3036" s="115"/>
      <c r="CQ3036" s="115"/>
      <c r="CR3036" s="115"/>
      <c r="CS3036" s="115"/>
      <c r="CT3036" s="115"/>
      <c r="CU3036" s="115"/>
      <c r="CV3036" s="115"/>
      <c r="CW3036" s="115"/>
      <c r="CX3036" s="115"/>
      <c r="CY3036" s="115"/>
      <c r="CZ3036" s="115"/>
      <c r="DA3036" s="115"/>
      <c r="DB3036" s="115"/>
      <c r="DC3036" s="115"/>
      <c r="DD3036" s="115"/>
      <c r="DE3036" s="115"/>
      <c r="DF3036" s="115"/>
      <c r="DG3036" s="115"/>
    </row>
    <row r="3037" spans="55:111" hidden="1">
      <c r="BC3037" s="115"/>
      <c r="BD3037" s="115"/>
      <c r="BE3037" s="115"/>
      <c r="BF3037" s="115"/>
      <c r="BG3037" s="115"/>
      <c r="BH3037" s="115"/>
      <c r="BI3037" s="115"/>
      <c r="BJ3037" s="115"/>
      <c r="BK3037" s="115"/>
      <c r="BL3037" s="115"/>
      <c r="BM3037" s="115"/>
      <c r="BN3037" s="115"/>
      <c r="BO3037" s="115"/>
      <c r="BP3037" s="115"/>
      <c r="BQ3037" s="115"/>
      <c r="BR3037" s="115"/>
      <c r="BS3037" s="115"/>
      <c r="BT3037" s="115"/>
      <c r="BU3037" s="115"/>
      <c r="BV3037" s="115"/>
      <c r="BW3037" s="115"/>
      <c r="BX3037" s="115"/>
      <c r="BY3037" s="115"/>
      <c r="BZ3037" s="115"/>
      <c r="CA3037" s="115"/>
      <c r="CB3037" s="115"/>
      <c r="CC3037" s="115"/>
      <c r="CD3037" s="115"/>
      <c r="CE3037" s="115"/>
      <c r="CF3037" s="115"/>
      <c r="CG3037" s="115"/>
      <c r="CH3037" s="115"/>
      <c r="CI3037" s="115"/>
      <c r="CJ3037" s="115"/>
      <c r="CK3037" s="115"/>
      <c r="CL3037" s="115"/>
      <c r="CM3037" s="115"/>
      <c r="CN3037" s="115"/>
      <c r="CO3037" s="115"/>
      <c r="CP3037" s="115"/>
      <c r="CQ3037" s="115"/>
      <c r="CR3037" s="115"/>
      <c r="CS3037" s="115"/>
      <c r="CT3037" s="115"/>
      <c r="CU3037" s="115"/>
      <c r="CV3037" s="115"/>
      <c r="CW3037" s="115"/>
      <c r="CX3037" s="115"/>
      <c r="CY3037" s="115"/>
      <c r="CZ3037" s="115"/>
      <c r="DA3037" s="115"/>
      <c r="DB3037" s="115"/>
      <c r="DC3037" s="115"/>
      <c r="DD3037" s="115"/>
      <c r="DE3037" s="115"/>
      <c r="DF3037" s="115"/>
      <c r="DG3037" s="115"/>
    </row>
    <row r="3038" spans="55:111" hidden="1">
      <c r="BC3038" s="115"/>
      <c r="BD3038" s="115"/>
      <c r="BE3038" s="115"/>
      <c r="BF3038" s="115"/>
      <c r="BG3038" s="115"/>
      <c r="BH3038" s="115"/>
      <c r="BI3038" s="115"/>
      <c r="BJ3038" s="115"/>
      <c r="BK3038" s="115"/>
      <c r="BL3038" s="115"/>
      <c r="BM3038" s="115"/>
      <c r="BN3038" s="115"/>
      <c r="BO3038" s="115"/>
      <c r="BP3038" s="115"/>
      <c r="BQ3038" s="115"/>
      <c r="BR3038" s="115"/>
      <c r="BS3038" s="115"/>
      <c r="BT3038" s="115"/>
      <c r="BU3038" s="115"/>
      <c r="BV3038" s="115"/>
      <c r="BW3038" s="115"/>
      <c r="BX3038" s="115"/>
      <c r="BY3038" s="115"/>
      <c r="BZ3038" s="115"/>
      <c r="CA3038" s="115"/>
      <c r="CB3038" s="115"/>
      <c r="CC3038" s="115"/>
      <c r="CD3038" s="115"/>
      <c r="CE3038" s="115"/>
      <c r="CF3038" s="115"/>
      <c r="CG3038" s="115"/>
      <c r="CH3038" s="115"/>
      <c r="CI3038" s="115"/>
      <c r="CJ3038" s="115"/>
      <c r="CK3038" s="115"/>
      <c r="CL3038" s="115"/>
      <c r="CM3038" s="115"/>
      <c r="CN3038" s="115"/>
      <c r="CO3038" s="115"/>
      <c r="CP3038" s="115"/>
      <c r="CQ3038" s="115"/>
      <c r="CR3038" s="115"/>
      <c r="CS3038" s="115"/>
      <c r="CT3038" s="115"/>
      <c r="CU3038" s="115"/>
      <c r="CV3038" s="115"/>
      <c r="CW3038" s="115"/>
      <c r="CX3038" s="115"/>
      <c r="CY3038" s="115"/>
      <c r="CZ3038" s="115"/>
      <c r="DA3038" s="115"/>
      <c r="DB3038" s="115"/>
      <c r="DC3038" s="115"/>
      <c r="DD3038" s="115"/>
      <c r="DE3038" s="115"/>
      <c r="DF3038" s="115"/>
      <c r="DG3038" s="115"/>
    </row>
    <row r="3039" spans="55:111" hidden="1">
      <c r="BC3039" s="115"/>
      <c r="BD3039" s="115"/>
      <c r="BE3039" s="115"/>
      <c r="BF3039" s="115"/>
      <c r="BG3039" s="115"/>
      <c r="BH3039" s="115"/>
      <c r="BI3039" s="115"/>
      <c r="BJ3039" s="115"/>
      <c r="BK3039" s="115"/>
      <c r="BL3039" s="115"/>
      <c r="BM3039" s="115"/>
      <c r="BN3039" s="115"/>
      <c r="BO3039" s="115"/>
      <c r="BP3039" s="115"/>
      <c r="BQ3039" s="115"/>
      <c r="BR3039" s="115"/>
      <c r="BS3039" s="115"/>
      <c r="BT3039" s="115"/>
      <c r="BU3039" s="115"/>
      <c r="BV3039" s="115"/>
      <c r="BW3039" s="115"/>
      <c r="BX3039" s="115"/>
      <c r="BY3039" s="115"/>
      <c r="BZ3039" s="115"/>
      <c r="CA3039" s="115"/>
      <c r="CB3039" s="115"/>
      <c r="CC3039" s="115"/>
      <c r="CD3039" s="115"/>
      <c r="CE3039" s="115"/>
      <c r="CF3039" s="115"/>
      <c r="CG3039" s="115"/>
      <c r="CH3039" s="115"/>
      <c r="CI3039" s="115"/>
      <c r="CJ3039" s="115"/>
      <c r="CK3039" s="115"/>
      <c r="CL3039" s="115"/>
      <c r="CM3039" s="115"/>
      <c r="CN3039" s="115"/>
      <c r="CO3039" s="115"/>
      <c r="CP3039" s="115"/>
      <c r="CQ3039" s="115"/>
      <c r="CR3039" s="115"/>
      <c r="CS3039" s="115"/>
      <c r="CT3039" s="115"/>
      <c r="CU3039" s="115"/>
      <c r="CV3039" s="115"/>
      <c r="CW3039" s="115"/>
      <c r="CX3039" s="115"/>
      <c r="CY3039" s="115"/>
      <c r="CZ3039" s="115"/>
      <c r="DA3039" s="115"/>
      <c r="DB3039" s="115"/>
      <c r="DC3039" s="115"/>
      <c r="DD3039" s="115"/>
      <c r="DE3039" s="115"/>
      <c r="DF3039" s="115"/>
      <c r="DG3039" s="115"/>
    </row>
    <row r="3040" spans="55:111" hidden="1">
      <c r="BC3040" s="115"/>
      <c r="BD3040" s="115"/>
      <c r="BE3040" s="115"/>
      <c r="BF3040" s="115"/>
      <c r="BG3040" s="115"/>
      <c r="BH3040" s="115"/>
      <c r="BI3040" s="115"/>
      <c r="BJ3040" s="115"/>
      <c r="BK3040" s="115"/>
      <c r="BL3040" s="115"/>
      <c r="BM3040" s="115"/>
      <c r="BN3040" s="115"/>
      <c r="BO3040" s="115"/>
      <c r="BP3040" s="115"/>
      <c r="BQ3040" s="115"/>
      <c r="BR3040" s="115"/>
      <c r="BS3040" s="115"/>
      <c r="BT3040" s="115"/>
      <c r="BU3040" s="115"/>
      <c r="BV3040" s="115"/>
      <c r="BW3040" s="115"/>
      <c r="BX3040" s="115"/>
      <c r="BY3040" s="115"/>
      <c r="BZ3040" s="115"/>
      <c r="CA3040" s="115"/>
      <c r="CB3040" s="115"/>
      <c r="CC3040" s="115"/>
      <c r="CD3040" s="115"/>
      <c r="CE3040" s="115"/>
      <c r="CF3040" s="115"/>
      <c r="CG3040" s="115"/>
      <c r="CH3040" s="115"/>
      <c r="CI3040" s="115"/>
      <c r="CJ3040" s="115"/>
      <c r="CK3040" s="115"/>
      <c r="CL3040" s="115"/>
      <c r="CM3040" s="115"/>
      <c r="CN3040" s="115"/>
      <c r="CO3040" s="115"/>
      <c r="CP3040" s="115"/>
      <c r="CQ3040" s="115"/>
      <c r="CR3040" s="115"/>
      <c r="CS3040" s="115"/>
      <c r="CT3040" s="115"/>
      <c r="CU3040" s="115"/>
      <c r="CV3040" s="115"/>
      <c r="CW3040" s="115"/>
      <c r="CX3040" s="115"/>
      <c r="CY3040" s="115"/>
      <c r="CZ3040" s="115"/>
      <c r="DA3040" s="115"/>
      <c r="DB3040" s="115"/>
      <c r="DC3040" s="115"/>
      <c r="DD3040" s="115"/>
      <c r="DE3040" s="115"/>
      <c r="DF3040" s="115"/>
      <c r="DG3040" s="115"/>
    </row>
    <row r="3041" spans="55:111" hidden="1">
      <c r="BC3041" s="115"/>
      <c r="BD3041" s="115"/>
      <c r="BE3041" s="115"/>
      <c r="BF3041" s="115"/>
      <c r="BG3041" s="115"/>
      <c r="BH3041" s="115"/>
      <c r="BI3041" s="115"/>
      <c r="BJ3041" s="115"/>
      <c r="BK3041" s="115"/>
      <c r="BL3041" s="115"/>
      <c r="BM3041" s="115"/>
      <c r="BN3041" s="115"/>
      <c r="BO3041" s="115"/>
      <c r="BP3041" s="115"/>
      <c r="BQ3041" s="115"/>
      <c r="BR3041" s="115"/>
      <c r="BS3041" s="115"/>
      <c r="BT3041" s="115"/>
      <c r="BU3041" s="115"/>
      <c r="BV3041" s="115"/>
      <c r="BW3041" s="115"/>
      <c r="BX3041" s="115"/>
      <c r="BY3041" s="115"/>
      <c r="BZ3041" s="115"/>
      <c r="CA3041" s="115"/>
      <c r="CB3041" s="115"/>
      <c r="CC3041" s="115"/>
      <c r="CD3041" s="115"/>
      <c r="CE3041" s="115"/>
      <c r="CF3041" s="115"/>
      <c r="CG3041" s="115"/>
      <c r="CH3041" s="115"/>
      <c r="CI3041" s="115"/>
      <c r="CJ3041" s="115"/>
      <c r="CK3041" s="115"/>
      <c r="CL3041" s="115"/>
      <c r="CM3041" s="115"/>
      <c r="CN3041" s="115"/>
      <c r="CO3041" s="115"/>
      <c r="CP3041" s="115"/>
      <c r="CQ3041" s="115"/>
      <c r="CR3041" s="115"/>
      <c r="CS3041" s="115"/>
      <c r="CT3041" s="115"/>
      <c r="CU3041" s="115"/>
      <c r="CV3041" s="115"/>
      <c r="CW3041" s="115"/>
      <c r="CX3041" s="115"/>
      <c r="CY3041" s="115"/>
      <c r="CZ3041" s="115"/>
      <c r="DA3041" s="115"/>
      <c r="DB3041" s="115"/>
      <c r="DC3041" s="115"/>
      <c r="DD3041" s="115"/>
      <c r="DE3041" s="115"/>
      <c r="DF3041" s="115"/>
      <c r="DG3041" s="115"/>
    </row>
    <row r="3042" spans="55:111" hidden="1">
      <c r="BC3042" s="115"/>
      <c r="BD3042" s="115"/>
      <c r="BE3042" s="115"/>
      <c r="BF3042" s="115"/>
      <c r="BG3042" s="115"/>
      <c r="BH3042" s="115"/>
      <c r="BI3042" s="115"/>
      <c r="BJ3042" s="115"/>
      <c r="BK3042" s="115"/>
      <c r="BL3042" s="115"/>
      <c r="BM3042" s="115"/>
      <c r="BN3042" s="115"/>
      <c r="BO3042" s="115"/>
      <c r="BP3042" s="115"/>
      <c r="BQ3042" s="115"/>
      <c r="BR3042" s="115"/>
      <c r="BS3042" s="115"/>
      <c r="BT3042" s="115"/>
      <c r="BU3042" s="115"/>
      <c r="BV3042" s="115"/>
      <c r="BW3042" s="115"/>
      <c r="BX3042" s="115"/>
      <c r="BY3042" s="115"/>
      <c r="BZ3042" s="115"/>
      <c r="CA3042" s="115"/>
      <c r="CB3042" s="115"/>
      <c r="CC3042" s="115"/>
      <c r="CD3042" s="115"/>
      <c r="CE3042" s="115"/>
      <c r="CF3042" s="115"/>
      <c r="CG3042" s="115"/>
      <c r="CH3042" s="115"/>
      <c r="CI3042" s="115"/>
      <c r="CJ3042" s="115"/>
      <c r="CK3042" s="115"/>
      <c r="CL3042" s="115"/>
      <c r="CM3042" s="115"/>
      <c r="CN3042" s="115"/>
      <c r="CO3042" s="115"/>
      <c r="CP3042" s="115"/>
      <c r="CQ3042" s="115"/>
      <c r="CR3042" s="115"/>
      <c r="CS3042" s="115"/>
      <c r="CT3042" s="115"/>
      <c r="CU3042" s="115"/>
      <c r="CV3042" s="115"/>
      <c r="CW3042" s="115"/>
      <c r="CX3042" s="115"/>
      <c r="CY3042" s="115"/>
      <c r="CZ3042" s="115"/>
      <c r="DA3042" s="115"/>
      <c r="DB3042" s="115"/>
      <c r="DC3042" s="115"/>
      <c r="DD3042" s="115"/>
      <c r="DE3042" s="115"/>
      <c r="DF3042" s="115"/>
      <c r="DG3042" s="115"/>
    </row>
    <row r="3043" spans="55:111" hidden="1">
      <c r="BC3043" s="115"/>
      <c r="BD3043" s="115"/>
      <c r="BE3043" s="115"/>
      <c r="BF3043" s="115"/>
      <c r="BG3043" s="115"/>
      <c r="BH3043" s="115"/>
      <c r="BI3043" s="115"/>
      <c r="BJ3043" s="115"/>
      <c r="BK3043" s="115"/>
      <c r="BL3043" s="115"/>
      <c r="BM3043" s="115"/>
      <c r="BN3043" s="115"/>
      <c r="BO3043" s="115"/>
      <c r="BP3043" s="115"/>
      <c r="BQ3043" s="115"/>
      <c r="BR3043" s="115"/>
      <c r="BS3043" s="115"/>
      <c r="BT3043" s="115"/>
      <c r="BU3043" s="115"/>
      <c r="BV3043" s="115"/>
      <c r="BW3043" s="115"/>
      <c r="BX3043" s="115"/>
      <c r="BY3043" s="115"/>
      <c r="BZ3043" s="115"/>
      <c r="CA3043" s="115"/>
      <c r="CB3043" s="115"/>
      <c r="CC3043" s="115"/>
      <c r="CD3043" s="115"/>
      <c r="CE3043" s="115"/>
      <c r="CF3043" s="115"/>
      <c r="CG3043" s="115"/>
      <c r="CH3043" s="115"/>
      <c r="CI3043" s="115"/>
      <c r="CJ3043" s="115"/>
      <c r="CK3043" s="115"/>
      <c r="CL3043" s="115"/>
      <c r="CM3043" s="115"/>
      <c r="CN3043" s="115"/>
      <c r="CO3043" s="115"/>
      <c r="CP3043" s="115"/>
      <c r="CQ3043" s="115"/>
      <c r="CR3043" s="115"/>
      <c r="CS3043" s="115"/>
      <c r="CT3043" s="115"/>
      <c r="CU3043" s="115"/>
      <c r="CV3043" s="115"/>
      <c r="CW3043" s="115"/>
      <c r="CX3043" s="115"/>
      <c r="CY3043" s="115"/>
      <c r="CZ3043" s="115"/>
      <c r="DA3043" s="115"/>
      <c r="DB3043" s="115"/>
      <c r="DC3043" s="115"/>
      <c r="DD3043" s="115"/>
      <c r="DE3043" s="115"/>
      <c r="DF3043" s="115"/>
      <c r="DG3043" s="115"/>
    </row>
    <row r="3044" spans="55:111" hidden="1">
      <c r="BC3044" s="115"/>
      <c r="BD3044" s="115"/>
      <c r="BE3044" s="115"/>
      <c r="BF3044" s="115"/>
      <c r="BG3044" s="115"/>
      <c r="BH3044" s="115"/>
      <c r="BI3044" s="115"/>
      <c r="BJ3044" s="115"/>
      <c r="BK3044" s="115"/>
      <c r="BL3044" s="115"/>
      <c r="BM3044" s="115"/>
      <c r="BN3044" s="115"/>
      <c r="BO3044" s="115"/>
      <c r="BP3044" s="115"/>
      <c r="BQ3044" s="115"/>
      <c r="BR3044" s="115"/>
      <c r="BS3044" s="115"/>
      <c r="BT3044" s="115"/>
      <c r="BU3044" s="115"/>
      <c r="BV3044" s="115"/>
      <c r="BW3044" s="115"/>
      <c r="BX3044" s="115"/>
      <c r="BY3044" s="115"/>
      <c r="BZ3044" s="115"/>
      <c r="CA3044" s="115"/>
      <c r="CB3044" s="115"/>
      <c r="CC3044" s="115"/>
      <c r="CD3044" s="115"/>
      <c r="CE3044" s="115"/>
      <c r="CF3044" s="115"/>
      <c r="CG3044" s="115"/>
      <c r="CH3044" s="115"/>
      <c r="CI3044" s="115"/>
      <c r="CJ3044" s="115"/>
      <c r="CK3044" s="115"/>
      <c r="CL3044" s="115"/>
      <c r="CM3044" s="115"/>
      <c r="CN3044" s="115"/>
      <c r="CO3044" s="115"/>
      <c r="CP3044" s="115"/>
      <c r="CQ3044" s="115"/>
      <c r="CR3044" s="115"/>
      <c r="CS3044" s="115"/>
      <c r="CT3044" s="115"/>
      <c r="CU3044" s="115"/>
      <c r="CV3044" s="115"/>
      <c r="CW3044" s="115"/>
      <c r="CX3044" s="115"/>
      <c r="CY3044" s="115"/>
      <c r="CZ3044" s="115"/>
      <c r="DA3044" s="115"/>
      <c r="DB3044" s="115"/>
      <c r="DC3044" s="115"/>
      <c r="DD3044" s="115"/>
      <c r="DE3044" s="115"/>
      <c r="DF3044" s="115"/>
      <c r="DG3044" s="115"/>
    </row>
    <row r="3045" spans="55:111" hidden="1">
      <c r="BC3045" s="115"/>
      <c r="BD3045" s="115"/>
      <c r="BE3045" s="115"/>
      <c r="BF3045" s="115"/>
      <c r="BG3045" s="115"/>
      <c r="BH3045" s="115"/>
      <c r="BI3045" s="115"/>
      <c r="BJ3045" s="115"/>
      <c r="BK3045" s="115"/>
      <c r="BL3045" s="115"/>
      <c r="BM3045" s="115"/>
      <c r="BN3045" s="115"/>
      <c r="BO3045" s="115"/>
      <c r="BP3045" s="115"/>
      <c r="BQ3045" s="115"/>
      <c r="BR3045" s="115"/>
      <c r="BS3045" s="115"/>
      <c r="BT3045" s="115"/>
      <c r="BU3045" s="115"/>
      <c r="BV3045" s="115"/>
      <c r="BW3045" s="115"/>
      <c r="BX3045" s="115"/>
      <c r="BY3045" s="115"/>
      <c r="BZ3045" s="115"/>
      <c r="CA3045" s="115"/>
      <c r="CB3045" s="115"/>
      <c r="CC3045" s="115"/>
      <c r="CD3045" s="115"/>
      <c r="CE3045" s="115"/>
      <c r="CF3045" s="115"/>
      <c r="CG3045" s="115"/>
      <c r="CH3045" s="115"/>
      <c r="CI3045" s="115"/>
      <c r="CJ3045" s="115"/>
      <c r="CK3045" s="115"/>
      <c r="CL3045" s="115"/>
      <c r="CM3045" s="115"/>
      <c r="CN3045" s="115"/>
      <c r="CO3045" s="115"/>
      <c r="CP3045" s="115"/>
      <c r="CQ3045" s="115"/>
      <c r="CR3045" s="115"/>
      <c r="CS3045" s="115"/>
      <c r="CT3045" s="115"/>
      <c r="CU3045" s="115"/>
      <c r="CV3045" s="115"/>
      <c r="CW3045" s="115"/>
      <c r="CX3045" s="115"/>
      <c r="CY3045" s="115"/>
      <c r="CZ3045" s="115"/>
      <c r="DA3045" s="115"/>
      <c r="DB3045" s="115"/>
      <c r="DC3045" s="115"/>
      <c r="DD3045" s="115"/>
      <c r="DE3045" s="115"/>
      <c r="DF3045" s="115"/>
      <c r="DG3045" s="115"/>
    </row>
    <row r="3046" spans="55:111" hidden="1">
      <c r="BC3046" s="115"/>
      <c r="BD3046" s="115"/>
      <c r="BE3046" s="115"/>
      <c r="BF3046" s="115"/>
      <c r="BG3046" s="115"/>
      <c r="BH3046" s="115"/>
      <c r="BI3046" s="115"/>
      <c r="BJ3046" s="115"/>
      <c r="BK3046" s="115"/>
      <c r="BL3046" s="115"/>
      <c r="BM3046" s="115"/>
      <c r="BN3046" s="115"/>
      <c r="BO3046" s="115"/>
      <c r="BP3046" s="115"/>
      <c r="BQ3046" s="115"/>
      <c r="BR3046" s="115"/>
      <c r="BS3046" s="115"/>
      <c r="BT3046" s="115"/>
      <c r="BU3046" s="115"/>
      <c r="BV3046" s="115"/>
      <c r="BW3046" s="115"/>
      <c r="BX3046" s="115"/>
      <c r="BY3046" s="115"/>
      <c r="BZ3046" s="115"/>
      <c r="CA3046" s="115"/>
      <c r="CB3046" s="115"/>
      <c r="CC3046" s="115"/>
      <c r="CD3046" s="115"/>
      <c r="CE3046" s="115"/>
      <c r="CF3046" s="115"/>
      <c r="CG3046" s="115"/>
      <c r="CH3046" s="115"/>
      <c r="CI3046" s="115"/>
      <c r="CJ3046" s="115"/>
      <c r="CK3046" s="115"/>
      <c r="CL3046" s="115"/>
      <c r="CM3046" s="115"/>
      <c r="CN3046" s="115"/>
      <c r="CO3046" s="115"/>
      <c r="CP3046" s="115"/>
      <c r="CQ3046" s="115"/>
      <c r="CR3046" s="115"/>
      <c r="CS3046" s="115"/>
      <c r="CT3046" s="115"/>
      <c r="CU3046" s="115"/>
      <c r="CV3046" s="115"/>
      <c r="CW3046" s="115"/>
      <c r="CX3046" s="115"/>
      <c r="CY3046" s="115"/>
      <c r="CZ3046" s="115"/>
      <c r="DA3046" s="115"/>
      <c r="DB3046" s="115"/>
      <c r="DC3046" s="115"/>
      <c r="DD3046" s="115"/>
      <c r="DE3046" s="115"/>
      <c r="DF3046" s="115"/>
      <c r="DG3046" s="115"/>
    </row>
    <row r="3047" spans="55:111" hidden="1">
      <c r="BC3047" s="115"/>
      <c r="BD3047" s="115"/>
      <c r="BE3047" s="115"/>
      <c r="BF3047" s="115"/>
      <c r="BG3047" s="115"/>
      <c r="BH3047" s="115"/>
      <c r="BI3047" s="115"/>
      <c r="BJ3047" s="115"/>
      <c r="BK3047" s="115"/>
      <c r="BL3047" s="115"/>
      <c r="BM3047" s="115"/>
      <c r="BN3047" s="115"/>
      <c r="BO3047" s="115"/>
      <c r="BP3047" s="115"/>
      <c r="BQ3047" s="115"/>
      <c r="BR3047" s="115"/>
      <c r="BS3047" s="115"/>
      <c r="BT3047" s="115"/>
      <c r="BU3047" s="115"/>
      <c r="BV3047" s="115"/>
      <c r="BW3047" s="115"/>
      <c r="BX3047" s="115"/>
      <c r="BY3047" s="115"/>
      <c r="BZ3047" s="115"/>
      <c r="CA3047" s="115"/>
      <c r="CB3047" s="115"/>
      <c r="CC3047" s="115"/>
      <c r="CD3047" s="115"/>
      <c r="CE3047" s="115"/>
      <c r="CF3047" s="115"/>
      <c r="CG3047" s="115"/>
      <c r="CH3047" s="115"/>
      <c r="CI3047" s="115"/>
      <c r="CJ3047" s="115"/>
      <c r="CK3047" s="115"/>
      <c r="CL3047" s="115"/>
      <c r="CM3047" s="115"/>
      <c r="CN3047" s="115"/>
      <c r="CO3047" s="115"/>
      <c r="CP3047" s="115"/>
      <c r="CQ3047" s="115"/>
      <c r="CR3047" s="115"/>
      <c r="CS3047" s="115"/>
      <c r="CT3047" s="115"/>
      <c r="CU3047" s="115"/>
      <c r="CV3047" s="115"/>
      <c r="CW3047" s="115"/>
      <c r="CX3047" s="115"/>
      <c r="CY3047" s="115"/>
      <c r="CZ3047" s="115"/>
      <c r="DA3047" s="115"/>
      <c r="DB3047" s="115"/>
      <c r="DC3047" s="115"/>
      <c r="DD3047" s="115"/>
      <c r="DE3047" s="115"/>
      <c r="DF3047" s="115"/>
      <c r="DG3047" s="115"/>
    </row>
    <row r="3048" spans="55:111" hidden="1">
      <c r="BC3048" s="115"/>
      <c r="BD3048" s="115"/>
      <c r="BE3048" s="115"/>
      <c r="BF3048" s="115"/>
      <c r="BG3048" s="115"/>
      <c r="BH3048" s="115"/>
      <c r="BI3048" s="115"/>
      <c r="BJ3048" s="115"/>
      <c r="BK3048" s="115"/>
      <c r="BL3048" s="115"/>
      <c r="BM3048" s="115"/>
      <c r="BN3048" s="115"/>
      <c r="BO3048" s="115"/>
      <c r="BP3048" s="115"/>
      <c r="BQ3048" s="115"/>
      <c r="BR3048" s="115"/>
      <c r="BS3048" s="115"/>
      <c r="BT3048" s="115"/>
      <c r="BU3048" s="115"/>
      <c r="BV3048" s="115"/>
      <c r="BW3048" s="115"/>
      <c r="BX3048" s="115"/>
      <c r="BY3048" s="115"/>
      <c r="BZ3048" s="115"/>
      <c r="CA3048" s="115"/>
      <c r="CB3048" s="115"/>
      <c r="CC3048" s="115"/>
      <c r="CD3048" s="115"/>
      <c r="CE3048" s="115"/>
      <c r="CF3048" s="115"/>
      <c r="CG3048" s="115"/>
      <c r="CH3048" s="115"/>
      <c r="CI3048" s="115"/>
      <c r="CJ3048" s="115"/>
      <c r="CK3048" s="115"/>
      <c r="CL3048" s="115"/>
      <c r="CM3048" s="115"/>
      <c r="CN3048" s="115"/>
      <c r="CO3048" s="115"/>
      <c r="CP3048" s="115"/>
      <c r="CQ3048" s="115"/>
      <c r="CR3048" s="115"/>
      <c r="CS3048" s="115"/>
      <c r="CT3048" s="115"/>
      <c r="CU3048" s="115"/>
      <c r="CV3048" s="115"/>
      <c r="CW3048" s="115"/>
      <c r="CX3048" s="115"/>
      <c r="CY3048" s="115"/>
      <c r="CZ3048" s="115"/>
      <c r="DA3048" s="115"/>
      <c r="DB3048" s="115"/>
      <c r="DC3048" s="115"/>
      <c r="DD3048" s="115"/>
      <c r="DE3048" s="115"/>
      <c r="DF3048" s="115"/>
      <c r="DG3048" s="115"/>
    </row>
    <row r="3049" spans="55:111" hidden="1">
      <c r="BC3049" s="115"/>
      <c r="BD3049" s="115"/>
      <c r="BE3049" s="115"/>
      <c r="BF3049" s="115"/>
      <c r="BG3049" s="115"/>
      <c r="BH3049" s="115"/>
      <c r="BI3049" s="115"/>
      <c r="BJ3049" s="115"/>
      <c r="BK3049" s="115"/>
      <c r="BL3049" s="115"/>
      <c r="BM3049" s="115"/>
      <c r="BN3049" s="115"/>
      <c r="BO3049" s="115"/>
      <c r="BP3049" s="115"/>
      <c r="BQ3049" s="115"/>
      <c r="BR3049" s="115"/>
      <c r="BS3049" s="115"/>
      <c r="BT3049" s="115"/>
      <c r="BU3049" s="115"/>
      <c r="BV3049" s="115"/>
      <c r="BW3049" s="115"/>
      <c r="BX3049" s="115"/>
      <c r="BY3049" s="115"/>
      <c r="BZ3049" s="115"/>
      <c r="CA3049" s="115"/>
      <c r="CB3049" s="115"/>
      <c r="CC3049" s="115"/>
      <c r="CD3049" s="115"/>
      <c r="CE3049" s="115"/>
      <c r="CF3049" s="115"/>
      <c r="CG3049" s="115"/>
      <c r="CH3049" s="115"/>
      <c r="CI3049" s="115"/>
      <c r="CJ3049" s="115"/>
      <c r="CK3049" s="115"/>
      <c r="CL3049" s="115"/>
      <c r="CM3049" s="115"/>
      <c r="CN3049" s="115"/>
      <c r="CO3049" s="115"/>
      <c r="CP3049" s="115"/>
      <c r="CQ3049" s="115"/>
      <c r="CR3049" s="115"/>
      <c r="CS3049" s="115"/>
      <c r="CT3049" s="115"/>
      <c r="CU3049" s="115"/>
      <c r="CV3049" s="115"/>
      <c r="CW3049" s="115"/>
      <c r="CX3049" s="115"/>
      <c r="CY3049" s="115"/>
      <c r="CZ3049" s="115"/>
      <c r="DA3049" s="115"/>
      <c r="DB3049" s="115"/>
      <c r="DC3049" s="115"/>
      <c r="DD3049" s="115"/>
      <c r="DE3049" s="115"/>
      <c r="DF3049" s="115"/>
      <c r="DG3049" s="115"/>
    </row>
    <row r="3050" spans="55:111" hidden="1">
      <c r="BC3050" s="115"/>
      <c r="BD3050" s="115"/>
      <c r="BE3050" s="115"/>
      <c r="BF3050" s="115"/>
      <c r="BG3050" s="115"/>
      <c r="BH3050" s="115"/>
      <c r="BI3050" s="115"/>
      <c r="BJ3050" s="115"/>
      <c r="BK3050" s="115"/>
      <c r="BL3050" s="115"/>
      <c r="BM3050" s="115"/>
      <c r="BN3050" s="115"/>
      <c r="BO3050" s="115"/>
      <c r="BP3050" s="115"/>
      <c r="BQ3050" s="115"/>
      <c r="BR3050" s="115"/>
      <c r="BS3050" s="115"/>
      <c r="BT3050" s="115"/>
      <c r="BU3050" s="115"/>
      <c r="BV3050" s="115"/>
      <c r="BW3050" s="115"/>
      <c r="BX3050" s="115"/>
      <c r="BY3050" s="115"/>
      <c r="BZ3050" s="115"/>
      <c r="CA3050" s="115"/>
      <c r="CB3050" s="115"/>
      <c r="CC3050" s="115"/>
      <c r="CD3050" s="115"/>
      <c r="CE3050" s="115"/>
      <c r="CF3050" s="115"/>
      <c r="CG3050" s="115"/>
      <c r="CH3050" s="115"/>
      <c r="CI3050" s="115"/>
      <c r="CJ3050" s="115"/>
      <c r="CK3050" s="115"/>
      <c r="CL3050" s="115"/>
      <c r="CM3050" s="115"/>
      <c r="CN3050" s="115"/>
      <c r="CO3050" s="115"/>
      <c r="CP3050" s="115"/>
      <c r="CQ3050" s="115"/>
      <c r="CR3050" s="115"/>
      <c r="CS3050" s="115"/>
      <c r="CT3050" s="115"/>
      <c r="CU3050" s="115"/>
      <c r="CV3050" s="115"/>
      <c r="CW3050" s="115"/>
      <c r="CX3050" s="115"/>
      <c r="CY3050" s="115"/>
      <c r="CZ3050" s="115"/>
      <c r="DA3050" s="115"/>
      <c r="DB3050" s="115"/>
      <c r="DC3050" s="115"/>
      <c r="DD3050" s="115"/>
      <c r="DE3050" s="115"/>
      <c r="DF3050" s="115"/>
      <c r="DG3050" s="115"/>
    </row>
    <row r="3051" spans="55:111" hidden="1">
      <c r="BC3051" s="115"/>
      <c r="BD3051" s="115"/>
      <c r="BE3051" s="115"/>
      <c r="BF3051" s="115"/>
      <c r="BG3051" s="115"/>
      <c r="BH3051" s="115"/>
      <c r="BI3051" s="115"/>
      <c r="BJ3051" s="115"/>
      <c r="BK3051" s="115"/>
      <c r="BL3051" s="115"/>
      <c r="BM3051" s="115"/>
      <c r="BN3051" s="115"/>
      <c r="BO3051" s="115"/>
      <c r="BP3051" s="115"/>
      <c r="BQ3051" s="115"/>
      <c r="BR3051" s="115"/>
      <c r="BS3051" s="115"/>
      <c r="BT3051" s="115"/>
      <c r="BU3051" s="115"/>
      <c r="BV3051" s="115"/>
      <c r="BW3051" s="115"/>
      <c r="BX3051" s="115"/>
      <c r="BY3051" s="115"/>
      <c r="BZ3051" s="115"/>
      <c r="CA3051" s="115"/>
      <c r="CB3051" s="115"/>
      <c r="CC3051" s="115"/>
      <c r="CD3051" s="115"/>
      <c r="CE3051" s="115"/>
      <c r="CF3051" s="115"/>
      <c r="CG3051" s="115"/>
      <c r="CH3051" s="115"/>
      <c r="CI3051" s="115"/>
      <c r="CJ3051" s="115"/>
      <c r="CK3051" s="115"/>
      <c r="CL3051" s="115"/>
      <c r="CM3051" s="115"/>
      <c r="CN3051" s="115"/>
      <c r="CO3051" s="115"/>
      <c r="CP3051" s="115"/>
      <c r="CQ3051" s="115"/>
      <c r="CR3051" s="115"/>
      <c r="CS3051" s="115"/>
      <c r="CT3051" s="115"/>
      <c r="CU3051" s="115"/>
      <c r="CV3051" s="115"/>
      <c r="CW3051" s="115"/>
      <c r="CX3051" s="115"/>
      <c r="CY3051" s="115"/>
      <c r="CZ3051" s="115"/>
      <c r="DA3051" s="115"/>
      <c r="DB3051" s="115"/>
      <c r="DC3051" s="115"/>
      <c r="DD3051" s="115"/>
      <c r="DE3051" s="115"/>
      <c r="DF3051" s="115"/>
      <c r="DG3051" s="115"/>
    </row>
    <row r="3052" spans="55:111" hidden="1">
      <c r="BC3052" s="115"/>
      <c r="BD3052" s="115"/>
      <c r="BE3052" s="115"/>
      <c r="BF3052" s="115"/>
      <c r="BG3052" s="115"/>
      <c r="BH3052" s="115"/>
      <c r="BI3052" s="115"/>
      <c r="BJ3052" s="115"/>
      <c r="BK3052" s="115"/>
      <c r="BL3052" s="115"/>
      <c r="BM3052" s="115"/>
      <c r="BN3052" s="115"/>
      <c r="BO3052" s="115"/>
      <c r="BP3052" s="115"/>
      <c r="BQ3052" s="115"/>
      <c r="BR3052" s="115"/>
      <c r="BS3052" s="115"/>
      <c r="BT3052" s="115"/>
      <c r="BU3052" s="115"/>
      <c r="BV3052" s="115"/>
      <c r="BW3052" s="115"/>
      <c r="BX3052" s="115"/>
      <c r="BY3052" s="115"/>
      <c r="BZ3052" s="115"/>
      <c r="CA3052" s="115"/>
      <c r="CB3052" s="115"/>
      <c r="CC3052" s="115"/>
      <c r="CD3052" s="115"/>
      <c r="CE3052" s="115"/>
      <c r="CF3052" s="115"/>
      <c r="CG3052" s="115"/>
      <c r="CH3052" s="115"/>
      <c r="CI3052" s="115"/>
      <c r="CJ3052" s="115"/>
      <c r="CK3052" s="115"/>
      <c r="CL3052" s="115"/>
      <c r="CM3052" s="115"/>
      <c r="CN3052" s="115"/>
      <c r="CO3052" s="115"/>
      <c r="CP3052" s="115"/>
      <c r="CQ3052" s="115"/>
      <c r="CR3052" s="115"/>
      <c r="CS3052" s="115"/>
      <c r="CT3052" s="115"/>
      <c r="CU3052" s="115"/>
      <c r="CV3052" s="115"/>
      <c r="CW3052" s="115"/>
      <c r="CX3052" s="115"/>
      <c r="CY3052" s="115"/>
      <c r="CZ3052" s="115"/>
      <c r="DA3052" s="115"/>
      <c r="DB3052" s="115"/>
      <c r="DC3052" s="115"/>
      <c r="DD3052" s="115"/>
      <c r="DE3052" s="115"/>
      <c r="DF3052" s="115"/>
      <c r="DG3052" s="115"/>
    </row>
    <row r="3053" spans="55:111" hidden="1">
      <c r="BC3053" s="115"/>
      <c r="BD3053" s="115"/>
      <c r="BE3053" s="115"/>
      <c r="BF3053" s="115"/>
      <c r="BG3053" s="115"/>
      <c r="BH3053" s="115"/>
      <c r="BI3053" s="115"/>
      <c r="BJ3053" s="115"/>
      <c r="BK3053" s="115"/>
      <c r="BL3053" s="115"/>
      <c r="BM3053" s="115"/>
      <c r="BN3053" s="115"/>
      <c r="BO3053" s="115"/>
      <c r="BP3053" s="115"/>
      <c r="BQ3053" s="115"/>
      <c r="BR3053" s="115"/>
      <c r="BS3053" s="115"/>
      <c r="BT3053" s="115"/>
      <c r="BU3053" s="115"/>
      <c r="BV3053" s="115"/>
      <c r="BW3053" s="115"/>
      <c r="BX3053" s="115"/>
      <c r="BY3053" s="115"/>
      <c r="BZ3053" s="115"/>
      <c r="CA3053" s="115"/>
      <c r="CB3053" s="115"/>
      <c r="CC3053" s="115"/>
      <c r="CD3053" s="115"/>
      <c r="CE3053" s="115"/>
      <c r="CF3053" s="115"/>
      <c r="CG3053" s="115"/>
      <c r="CH3053" s="115"/>
      <c r="CI3053" s="115"/>
      <c r="CJ3053" s="115"/>
      <c r="CK3053" s="115"/>
      <c r="CL3053" s="115"/>
      <c r="CM3053" s="115"/>
      <c r="CN3053" s="115"/>
      <c r="CO3053" s="115"/>
      <c r="CP3053" s="115"/>
      <c r="CQ3053" s="115"/>
      <c r="CR3053" s="115"/>
      <c r="CS3053" s="115"/>
      <c r="CT3053" s="115"/>
      <c r="CU3053" s="115"/>
      <c r="CV3053" s="115"/>
      <c r="CW3053" s="115"/>
      <c r="CX3053" s="115"/>
      <c r="CY3053" s="115"/>
      <c r="CZ3053" s="115"/>
      <c r="DA3053" s="115"/>
      <c r="DB3053" s="115"/>
      <c r="DC3053" s="115"/>
      <c r="DD3053" s="115"/>
      <c r="DE3053" s="115"/>
      <c r="DF3053" s="115"/>
      <c r="DG3053" s="115"/>
    </row>
    <row r="3054" spans="55:111" hidden="1">
      <c r="BC3054" s="115"/>
      <c r="BD3054" s="115"/>
      <c r="BE3054" s="115"/>
      <c r="BF3054" s="115"/>
      <c r="BG3054" s="115"/>
      <c r="BH3054" s="115"/>
      <c r="BI3054" s="115"/>
      <c r="BJ3054" s="115"/>
      <c r="BK3054" s="115"/>
      <c r="BL3054" s="115"/>
      <c r="BM3054" s="115"/>
      <c r="BN3054" s="115"/>
      <c r="BO3054" s="115"/>
      <c r="BP3054" s="115"/>
      <c r="BQ3054" s="115"/>
      <c r="BR3054" s="115"/>
      <c r="BS3054" s="115"/>
      <c r="BT3054" s="115"/>
      <c r="BU3054" s="115"/>
      <c r="BV3054" s="115"/>
      <c r="BW3054" s="115"/>
      <c r="BX3054" s="115"/>
      <c r="BY3054" s="115"/>
      <c r="BZ3054" s="115"/>
      <c r="CA3054" s="115"/>
      <c r="CB3054" s="115"/>
      <c r="CC3054" s="115"/>
      <c r="CD3054" s="115"/>
      <c r="CE3054" s="115"/>
      <c r="CF3054" s="115"/>
      <c r="CG3054" s="115"/>
      <c r="CH3054" s="115"/>
      <c r="CI3054" s="115"/>
      <c r="CJ3054" s="115"/>
      <c r="CK3054" s="115"/>
      <c r="CL3054" s="115"/>
      <c r="CM3054" s="115"/>
      <c r="CN3054" s="115"/>
      <c r="CO3054" s="115"/>
      <c r="CP3054" s="115"/>
      <c r="CQ3054" s="115"/>
      <c r="CR3054" s="115"/>
      <c r="CS3054" s="115"/>
      <c r="CT3054" s="115"/>
      <c r="CU3054" s="115"/>
      <c r="CV3054" s="115"/>
      <c r="CW3054" s="115"/>
      <c r="CX3054" s="115"/>
      <c r="CY3054" s="115"/>
      <c r="CZ3054" s="115"/>
      <c r="DA3054" s="115"/>
      <c r="DB3054" s="115"/>
      <c r="DC3054" s="115"/>
      <c r="DD3054" s="115"/>
      <c r="DE3054" s="115"/>
      <c r="DF3054" s="115"/>
      <c r="DG3054" s="115"/>
    </row>
    <row r="3055" spans="55:111" hidden="1">
      <c r="BC3055" s="115"/>
      <c r="BD3055" s="115"/>
      <c r="BE3055" s="115"/>
      <c r="BF3055" s="115"/>
      <c r="BG3055" s="115"/>
      <c r="BH3055" s="115"/>
      <c r="BI3055" s="115"/>
      <c r="BJ3055" s="115"/>
      <c r="BK3055" s="115"/>
      <c r="BL3055" s="115"/>
      <c r="BM3055" s="115"/>
      <c r="BN3055" s="115"/>
      <c r="BO3055" s="115"/>
      <c r="BP3055" s="115"/>
      <c r="BQ3055" s="115"/>
      <c r="BR3055" s="115"/>
      <c r="BS3055" s="115"/>
      <c r="BT3055" s="115"/>
      <c r="BU3055" s="115"/>
      <c r="BV3055" s="115"/>
      <c r="BW3055" s="115"/>
      <c r="BX3055" s="115"/>
      <c r="BY3055" s="115"/>
      <c r="BZ3055" s="115"/>
      <c r="CA3055" s="115"/>
      <c r="CB3055" s="115"/>
      <c r="CC3055" s="115"/>
      <c r="CD3055" s="115"/>
      <c r="CE3055" s="115"/>
      <c r="CF3055" s="115"/>
      <c r="CG3055" s="115"/>
      <c r="CH3055" s="115"/>
      <c r="CI3055" s="115"/>
      <c r="CJ3055" s="115"/>
      <c r="CK3055" s="115"/>
      <c r="CL3055" s="115"/>
      <c r="CM3055" s="115"/>
      <c r="CN3055" s="115"/>
      <c r="CO3055" s="115"/>
      <c r="CP3055" s="115"/>
      <c r="CQ3055" s="115"/>
      <c r="CR3055" s="115"/>
      <c r="CS3055" s="115"/>
      <c r="CT3055" s="115"/>
      <c r="CU3055" s="115"/>
      <c r="CV3055" s="115"/>
      <c r="CW3055" s="115"/>
      <c r="CX3055" s="115"/>
      <c r="CY3055" s="115"/>
      <c r="CZ3055" s="115"/>
      <c r="DA3055" s="115"/>
      <c r="DB3055" s="115"/>
      <c r="DC3055" s="115"/>
      <c r="DD3055" s="115"/>
      <c r="DE3055" s="115"/>
      <c r="DF3055" s="115"/>
      <c r="DG3055" s="115"/>
    </row>
    <row r="3056" spans="55:111" hidden="1">
      <c r="BC3056" s="115"/>
      <c r="BD3056" s="115"/>
      <c r="BE3056" s="115"/>
      <c r="BF3056" s="115"/>
      <c r="BG3056" s="115"/>
      <c r="BH3056" s="115"/>
      <c r="BI3056" s="115"/>
      <c r="BJ3056" s="115"/>
      <c r="BK3056" s="115"/>
      <c r="BL3056" s="115"/>
      <c r="BM3056" s="115"/>
      <c r="BN3056" s="115"/>
      <c r="BO3056" s="115"/>
      <c r="BP3056" s="115"/>
      <c r="BQ3056" s="115"/>
      <c r="BR3056" s="115"/>
      <c r="BS3056" s="115"/>
      <c r="BT3056" s="115"/>
      <c r="BU3056" s="115"/>
      <c r="BV3056" s="115"/>
      <c r="BW3056" s="115"/>
      <c r="BX3056" s="115"/>
      <c r="BY3056" s="115"/>
      <c r="BZ3056" s="115"/>
      <c r="CA3056" s="115"/>
      <c r="CB3056" s="115"/>
      <c r="CC3056" s="115"/>
      <c r="CD3056" s="115"/>
      <c r="CE3056" s="115"/>
      <c r="CF3056" s="115"/>
      <c r="CG3056" s="115"/>
      <c r="CH3056" s="115"/>
      <c r="CI3056" s="115"/>
      <c r="CJ3056" s="115"/>
      <c r="CK3056" s="115"/>
      <c r="CL3056" s="115"/>
      <c r="CM3056" s="115"/>
      <c r="CN3056" s="115"/>
      <c r="CO3056" s="115"/>
      <c r="CP3056" s="115"/>
      <c r="CQ3056" s="115"/>
      <c r="CR3056" s="115"/>
      <c r="CS3056" s="115"/>
      <c r="CT3056" s="115"/>
      <c r="CU3056" s="115"/>
      <c r="CV3056" s="115"/>
      <c r="CW3056" s="115"/>
      <c r="CX3056" s="115"/>
      <c r="CY3056" s="115"/>
      <c r="CZ3056" s="115"/>
      <c r="DA3056" s="115"/>
      <c r="DB3056" s="115"/>
      <c r="DC3056" s="115"/>
      <c r="DD3056" s="115"/>
      <c r="DE3056" s="115"/>
      <c r="DF3056" s="115"/>
      <c r="DG3056" s="115"/>
    </row>
    <row r="3057" spans="55:111" hidden="1">
      <c r="BC3057" s="115"/>
      <c r="BD3057" s="115"/>
      <c r="BE3057" s="115"/>
      <c r="BF3057" s="115"/>
      <c r="BG3057" s="115"/>
      <c r="BH3057" s="115"/>
      <c r="BI3057" s="115"/>
      <c r="BJ3057" s="115"/>
      <c r="BK3057" s="115"/>
      <c r="BL3057" s="115"/>
      <c r="BM3057" s="115"/>
      <c r="BN3057" s="115"/>
      <c r="BO3057" s="115"/>
      <c r="BP3057" s="115"/>
      <c r="BQ3057" s="115"/>
      <c r="BR3057" s="115"/>
      <c r="BS3057" s="115"/>
      <c r="BT3057" s="115"/>
      <c r="BU3057" s="115"/>
      <c r="BV3057" s="115"/>
      <c r="BW3057" s="115"/>
      <c r="BX3057" s="115"/>
      <c r="BY3057" s="115"/>
      <c r="BZ3057" s="115"/>
      <c r="CA3057" s="115"/>
      <c r="CB3057" s="115"/>
      <c r="CC3057" s="115"/>
      <c r="CD3057" s="115"/>
      <c r="CE3057" s="115"/>
      <c r="CF3057" s="115"/>
      <c r="CG3057" s="115"/>
      <c r="CH3057" s="115"/>
      <c r="CI3057" s="115"/>
      <c r="CJ3057" s="115"/>
      <c r="CK3057" s="115"/>
      <c r="CL3057" s="115"/>
      <c r="CM3057" s="115"/>
      <c r="CN3057" s="115"/>
      <c r="CO3057" s="115"/>
      <c r="CP3057" s="115"/>
      <c r="CQ3057" s="115"/>
      <c r="CR3057" s="115"/>
      <c r="CS3057" s="115"/>
      <c r="CT3057" s="115"/>
      <c r="CU3057" s="115"/>
      <c r="CV3057" s="115"/>
      <c r="CW3057" s="115"/>
      <c r="CX3057" s="115"/>
      <c r="CY3057" s="115"/>
      <c r="CZ3057" s="115"/>
      <c r="DA3057" s="115"/>
      <c r="DB3057" s="115"/>
      <c r="DC3057" s="115"/>
      <c r="DD3057" s="115"/>
      <c r="DE3057" s="115"/>
      <c r="DF3057" s="115"/>
      <c r="DG3057" s="115"/>
    </row>
    <row r="3058" spans="55:111" hidden="1">
      <c r="BC3058" s="115"/>
      <c r="BD3058" s="115"/>
      <c r="BE3058" s="115"/>
      <c r="BF3058" s="115"/>
      <c r="BG3058" s="115"/>
      <c r="BH3058" s="115"/>
      <c r="BI3058" s="115"/>
      <c r="BJ3058" s="115"/>
      <c r="BK3058" s="115"/>
      <c r="BL3058" s="115"/>
      <c r="BM3058" s="115"/>
      <c r="BN3058" s="115"/>
      <c r="BO3058" s="115"/>
      <c r="BP3058" s="115"/>
      <c r="BQ3058" s="115"/>
      <c r="BR3058" s="115"/>
      <c r="BS3058" s="115"/>
      <c r="BT3058" s="115"/>
      <c r="BU3058" s="115"/>
      <c r="BV3058" s="115"/>
      <c r="BW3058" s="115"/>
      <c r="BX3058" s="115"/>
      <c r="BY3058" s="115"/>
      <c r="BZ3058" s="115"/>
      <c r="CA3058" s="115"/>
      <c r="CB3058" s="115"/>
      <c r="CC3058" s="115"/>
      <c r="CD3058" s="115"/>
      <c r="CE3058" s="115"/>
      <c r="CF3058" s="115"/>
      <c r="CG3058" s="115"/>
      <c r="CH3058" s="115"/>
      <c r="CI3058" s="115"/>
      <c r="CJ3058" s="115"/>
      <c r="CK3058" s="115"/>
      <c r="CL3058" s="115"/>
      <c r="CM3058" s="115"/>
      <c r="CN3058" s="115"/>
      <c r="CO3058" s="115"/>
      <c r="CP3058" s="115"/>
      <c r="CQ3058" s="115"/>
      <c r="CR3058" s="115"/>
      <c r="CS3058" s="115"/>
      <c r="CT3058" s="115"/>
      <c r="CU3058" s="115"/>
      <c r="CV3058" s="115"/>
      <c r="CW3058" s="115"/>
      <c r="CX3058" s="115"/>
      <c r="CY3058" s="115"/>
      <c r="CZ3058" s="115"/>
      <c r="DA3058" s="115"/>
      <c r="DB3058" s="115"/>
      <c r="DC3058" s="115"/>
      <c r="DD3058" s="115"/>
      <c r="DE3058" s="115"/>
      <c r="DF3058" s="115"/>
      <c r="DG3058" s="115"/>
    </row>
    <row r="3059" spans="55:111" hidden="1">
      <c r="BC3059" s="115"/>
      <c r="BD3059" s="115"/>
      <c r="BE3059" s="115"/>
      <c r="BF3059" s="115"/>
      <c r="BG3059" s="115"/>
      <c r="BH3059" s="115"/>
      <c r="BI3059" s="115"/>
      <c r="BJ3059" s="115"/>
      <c r="BK3059" s="115"/>
      <c r="BL3059" s="115"/>
      <c r="BM3059" s="115"/>
      <c r="BN3059" s="115"/>
      <c r="BO3059" s="115"/>
      <c r="BP3059" s="115"/>
      <c r="BQ3059" s="115"/>
      <c r="BR3059" s="115"/>
      <c r="BS3059" s="115"/>
      <c r="BT3059" s="115"/>
      <c r="BU3059" s="115"/>
      <c r="BV3059" s="115"/>
      <c r="BW3059" s="115"/>
      <c r="BX3059" s="115"/>
      <c r="BY3059" s="115"/>
      <c r="BZ3059" s="115"/>
      <c r="CA3059" s="115"/>
      <c r="CB3059" s="115"/>
      <c r="CC3059" s="115"/>
      <c r="CD3059" s="115"/>
      <c r="CE3059" s="115"/>
      <c r="CF3059" s="115"/>
      <c r="CG3059" s="115"/>
      <c r="CH3059" s="115"/>
      <c r="CI3059" s="115"/>
      <c r="CJ3059" s="115"/>
      <c r="CK3059" s="115"/>
      <c r="CL3059" s="115"/>
      <c r="CM3059" s="115"/>
      <c r="CN3059" s="115"/>
      <c r="CO3059" s="115"/>
      <c r="CP3059" s="115"/>
      <c r="CQ3059" s="115"/>
      <c r="CR3059" s="115"/>
      <c r="CS3059" s="115"/>
      <c r="CT3059" s="115"/>
      <c r="CU3059" s="115"/>
      <c r="CV3059" s="115"/>
      <c r="CW3059" s="115"/>
      <c r="CX3059" s="115"/>
      <c r="CY3059" s="115"/>
      <c r="CZ3059" s="115"/>
      <c r="DA3059" s="115"/>
      <c r="DB3059" s="115"/>
      <c r="DC3059" s="115"/>
      <c r="DD3059" s="115"/>
      <c r="DE3059" s="115"/>
      <c r="DF3059" s="115"/>
      <c r="DG3059" s="115"/>
    </row>
    <row r="3060" spans="55:111" hidden="1">
      <c r="BC3060" s="115"/>
      <c r="BD3060" s="115"/>
      <c r="BE3060" s="115"/>
      <c r="BF3060" s="115"/>
      <c r="BG3060" s="115"/>
      <c r="BH3060" s="115"/>
      <c r="BI3060" s="115"/>
      <c r="BJ3060" s="115"/>
      <c r="BK3060" s="115"/>
      <c r="BL3060" s="115"/>
      <c r="BM3060" s="115"/>
      <c r="BN3060" s="115"/>
      <c r="BO3060" s="115"/>
      <c r="BP3060" s="115"/>
      <c r="BQ3060" s="115"/>
      <c r="BR3060" s="115"/>
      <c r="BS3060" s="115"/>
      <c r="BT3060" s="115"/>
      <c r="BU3060" s="115"/>
      <c r="BV3060" s="115"/>
      <c r="BW3060" s="115"/>
      <c r="BX3060" s="115"/>
      <c r="BY3060" s="115"/>
      <c r="BZ3060" s="115"/>
      <c r="CA3060" s="115"/>
      <c r="CB3060" s="115"/>
      <c r="CC3060" s="115"/>
      <c r="CD3060" s="115"/>
      <c r="CE3060" s="115"/>
      <c r="CF3060" s="115"/>
      <c r="CG3060" s="115"/>
      <c r="CH3060" s="115"/>
      <c r="CI3060" s="115"/>
      <c r="CJ3060" s="115"/>
      <c r="CK3060" s="115"/>
      <c r="CL3060" s="115"/>
      <c r="CM3060" s="115"/>
      <c r="CN3060" s="115"/>
      <c r="CO3060" s="115"/>
      <c r="CP3060" s="115"/>
      <c r="CQ3060" s="115"/>
      <c r="CR3060" s="115"/>
      <c r="CS3060" s="115"/>
      <c r="CT3060" s="115"/>
      <c r="CU3060" s="115"/>
      <c r="CV3060" s="115"/>
      <c r="CW3060" s="115"/>
      <c r="CX3060" s="115"/>
      <c r="CY3060" s="115"/>
      <c r="CZ3060" s="115"/>
      <c r="DA3060" s="115"/>
      <c r="DB3060" s="115"/>
      <c r="DC3060" s="115"/>
      <c r="DD3060" s="115"/>
      <c r="DE3060" s="115"/>
      <c r="DF3060" s="115"/>
      <c r="DG3060" s="115"/>
    </row>
    <row r="3061" spans="55:111" hidden="1">
      <c r="BC3061" s="115"/>
      <c r="BD3061" s="115"/>
      <c r="BE3061" s="115"/>
      <c r="BF3061" s="115"/>
      <c r="BG3061" s="115"/>
      <c r="BH3061" s="115"/>
      <c r="BI3061" s="115"/>
      <c r="BJ3061" s="115"/>
      <c r="BK3061" s="115"/>
      <c r="BL3061" s="115"/>
      <c r="BM3061" s="115"/>
      <c r="BN3061" s="115"/>
      <c r="BO3061" s="115"/>
      <c r="BP3061" s="115"/>
      <c r="BQ3061" s="115"/>
      <c r="BR3061" s="115"/>
      <c r="BS3061" s="115"/>
      <c r="BT3061" s="115"/>
      <c r="BU3061" s="115"/>
      <c r="BV3061" s="115"/>
      <c r="BW3061" s="115"/>
      <c r="BX3061" s="115"/>
      <c r="BY3061" s="115"/>
      <c r="BZ3061" s="115"/>
      <c r="CA3061" s="115"/>
      <c r="CB3061" s="115"/>
      <c r="CC3061" s="115"/>
      <c r="CD3061" s="115"/>
      <c r="CE3061" s="115"/>
      <c r="CF3061" s="115"/>
      <c r="CG3061" s="115"/>
      <c r="CH3061" s="115"/>
      <c r="CI3061" s="115"/>
      <c r="CJ3061" s="115"/>
      <c r="CK3061" s="115"/>
      <c r="CL3061" s="115"/>
      <c r="CM3061" s="115"/>
      <c r="CN3061" s="115"/>
      <c r="CO3061" s="115"/>
      <c r="CP3061" s="115"/>
      <c r="CQ3061" s="115"/>
      <c r="CR3061" s="115"/>
      <c r="CS3061" s="115"/>
      <c r="CT3061" s="115"/>
      <c r="CU3061" s="115"/>
      <c r="CV3061" s="115"/>
      <c r="CW3061" s="115"/>
      <c r="CX3061" s="115"/>
      <c r="CY3061" s="115"/>
      <c r="CZ3061" s="115"/>
      <c r="DA3061" s="115"/>
      <c r="DB3061" s="115"/>
      <c r="DC3061" s="115"/>
      <c r="DD3061" s="115"/>
      <c r="DE3061" s="115"/>
      <c r="DF3061" s="115"/>
      <c r="DG3061" s="115"/>
    </row>
    <row r="3062" spans="55:111" hidden="1">
      <c r="BC3062" s="115"/>
      <c r="BD3062" s="115"/>
      <c r="BE3062" s="115"/>
      <c r="BF3062" s="115"/>
      <c r="BG3062" s="115"/>
      <c r="BH3062" s="115"/>
      <c r="BI3062" s="115"/>
      <c r="BJ3062" s="115"/>
      <c r="BK3062" s="115"/>
      <c r="BL3062" s="115"/>
      <c r="BM3062" s="115"/>
      <c r="BN3062" s="115"/>
      <c r="BO3062" s="115"/>
      <c r="BP3062" s="115"/>
      <c r="BQ3062" s="115"/>
      <c r="BR3062" s="115"/>
      <c r="BS3062" s="115"/>
      <c r="BT3062" s="115"/>
      <c r="BU3062" s="115"/>
      <c r="BV3062" s="115"/>
      <c r="BW3062" s="115"/>
      <c r="BX3062" s="115"/>
      <c r="BY3062" s="115"/>
      <c r="BZ3062" s="115"/>
      <c r="CA3062" s="115"/>
      <c r="CB3062" s="115"/>
      <c r="CC3062" s="115"/>
      <c r="CD3062" s="115"/>
      <c r="CE3062" s="115"/>
      <c r="CF3062" s="115"/>
      <c r="CG3062" s="115"/>
      <c r="CH3062" s="115"/>
      <c r="CI3062" s="115"/>
      <c r="CJ3062" s="115"/>
      <c r="CK3062" s="115"/>
      <c r="CL3062" s="115"/>
      <c r="CM3062" s="115"/>
      <c r="CN3062" s="115"/>
      <c r="CO3062" s="115"/>
      <c r="CP3062" s="115"/>
      <c r="CQ3062" s="115"/>
      <c r="CR3062" s="115"/>
      <c r="CS3062" s="115"/>
      <c r="CT3062" s="115"/>
      <c r="CU3062" s="115"/>
      <c r="CV3062" s="115"/>
      <c r="CW3062" s="115"/>
      <c r="CX3062" s="115"/>
      <c r="CY3062" s="115"/>
      <c r="CZ3062" s="115"/>
      <c r="DA3062" s="115"/>
      <c r="DB3062" s="115"/>
      <c r="DC3062" s="115"/>
      <c r="DD3062" s="115"/>
      <c r="DE3062" s="115"/>
      <c r="DF3062" s="115"/>
      <c r="DG3062" s="115"/>
    </row>
    <row r="3063" spans="55:111" hidden="1">
      <c r="BC3063" s="115"/>
      <c r="BD3063" s="115"/>
      <c r="BE3063" s="115"/>
      <c r="BF3063" s="115"/>
      <c r="BG3063" s="115"/>
      <c r="BH3063" s="115"/>
      <c r="BI3063" s="115"/>
      <c r="BJ3063" s="115"/>
      <c r="BK3063" s="115"/>
      <c r="BL3063" s="115"/>
      <c r="BM3063" s="115"/>
      <c r="BN3063" s="115"/>
      <c r="BO3063" s="115"/>
      <c r="BP3063" s="115"/>
      <c r="BQ3063" s="115"/>
      <c r="BR3063" s="115"/>
      <c r="BS3063" s="115"/>
      <c r="BT3063" s="115"/>
      <c r="BU3063" s="115"/>
      <c r="BV3063" s="115"/>
      <c r="BW3063" s="115"/>
      <c r="BX3063" s="115"/>
      <c r="BY3063" s="115"/>
      <c r="BZ3063" s="115"/>
      <c r="CA3063" s="115"/>
      <c r="CB3063" s="115"/>
      <c r="CC3063" s="115"/>
      <c r="CD3063" s="115"/>
      <c r="CE3063" s="115"/>
      <c r="CF3063" s="115"/>
      <c r="CG3063" s="115"/>
      <c r="CH3063" s="115"/>
      <c r="CI3063" s="115"/>
      <c r="CJ3063" s="115"/>
      <c r="CK3063" s="115"/>
      <c r="CL3063" s="115"/>
      <c r="CM3063" s="115"/>
      <c r="CN3063" s="115"/>
      <c r="CO3063" s="115"/>
      <c r="CP3063" s="115"/>
      <c r="CQ3063" s="115"/>
      <c r="CR3063" s="115"/>
      <c r="CS3063" s="115"/>
      <c r="CT3063" s="115"/>
      <c r="CU3063" s="115"/>
      <c r="CV3063" s="115"/>
      <c r="CW3063" s="115"/>
      <c r="CX3063" s="115"/>
      <c r="CY3063" s="115"/>
      <c r="CZ3063" s="115"/>
      <c r="DA3063" s="115"/>
      <c r="DB3063" s="115"/>
      <c r="DC3063" s="115"/>
      <c r="DD3063" s="115"/>
      <c r="DE3063" s="115"/>
      <c r="DF3063" s="115"/>
      <c r="DG3063" s="115"/>
    </row>
    <row r="3064" spans="55:111" hidden="1">
      <c r="BC3064" s="115"/>
      <c r="BD3064" s="115"/>
      <c r="BE3064" s="115"/>
      <c r="BF3064" s="115"/>
      <c r="BG3064" s="115"/>
      <c r="BH3064" s="115"/>
      <c r="BI3064" s="115"/>
      <c r="BJ3064" s="115"/>
      <c r="BK3064" s="115"/>
      <c r="BL3064" s="115"/>
      <c r="BM3064" s="115"/>
      <c r="BN3064" s="115"/>
      <c r="BO3064" s="115"/>
      <c r="BP3064" s="115"/>
      <c r="BQ3064" s="115"/>
      <c r="BR3064" s="115"/>
      <c r="BS3064" s="115"/>
      <c r="BT3064" s="115"/>
      <c r="BU3064" s="115"/>
      <c r="BV3064" s="115"/>
      <c r="BW3064" s="115"/>
      <c r="BX3064" s="115"/>
      <c r="BY3064" s="115"/>
      <c r="BZ3064" s="115"/>
      <c r="CA3064" s="115"/>
      <c r="CB3064" s="115"/>
      <c r="CC3064" s="115"/>
      <c r="CD3064" s="115"/>
      <c r="CE3064" s="115"/>
      <c r="CF3064" s="115"/>
      <c r="CG3064" s="115"/>
      <c r="CH3064" s="115"/>
      <c r="CI3064" s="115"/>
      <c r="CJ3064" s="115"/>
      <c r="CK3064" s="115"/>
      <c r="CL3064" s="115"/>
      <c r="CM3064" s="115"/>
      <c r="CN3064" s="115"/>
      <c r="CO3064" s="115"/>
      <c r="CP3064" s="115"/>
      <c r="CQ3064" s="115"/>
      <c r="CR3064" s="115"/>
      <c r="CS3064" s="115"/>
      <c r="CT3064" s="115"/>
      <c r="CU3064" s="115"/>
      <c r="CV3064" s="115"/>
      <c r="CW3064" s="115"/>
      <c r="CX3064" s="115"/>
      <c r="CY3064" s="115"/>
      <c r="CZ3064" s="115"/>
      <c r="DA3064" s="115"/>
      <c r="DB3064" s="115"/>
      <c r="DC3064" s="115"/>
      <c r="DD3064" s="115"/>
      <c r="DE3064" s="115"/>
      <c r="DF3064" s="115"/>
      <c r="DG3064" s="115"/>
    </row>
    <row r="3065" spans="55:111" hidden="1">
      <c r="BC3065" s="115"/>
      <c r="BD3065" s="115"/>
      <c r="BE3065" s="115"/>
      <c r="BF3065" s="115"/>
      <c r="BG3065" s="115"/>
      <c r="BH3065" s="115"/>
      <c r="BI3065" s="115"/>
      <c r="BJ3065" s="115"/>
      <c r="BK3065" s="115"/>
      <c r="BL3065" s="115"/>
      <c r="BM3065" s="115"/>
      <c r="BN3065" s="115"/>
      <c r="BO3065" s="115"/>
      <c r="BP3065" s="115"/>
      <c r="BQ3065" s="115"/>
      <c r="BR3065" s="115"/>
      <c r="BS3065" s="115"/>
      <c r="BT3065" s="115"/>
      <c r="BU3065" s="115"/>
      <c r="BV3065" s="115"/>
      <c r="BW3065" s="115"/>
      <c r="BX3065" s="115"/>
      <c r="BY3065" s="115"/>
      <c r="BZ3065" s="115"/>
      <c r="CA3065" s="115"/>
      <c r="CB3065" s="115"/>
      <c r="CC3065" s="115"/>
      <c r="CD3065" s="115"/>
      <c r="CE3065" s="115"/>
      <c r="CF3065" s="115"/>
      <c r="CG3065" s="115"/>
      <c r="CH3065" s="115"/>
      <c r="CI3065" s="115"/>
      <c r="CJ3065" s="115"/>
      <c r="CK3065" s="115"/>
      <c r="CL3065" s="115"/>
      <c r="CM3065" s="115"/>
      <c r="CN3065" s="115"/>
      <c r="CO3065" s="115"/>
      <c r="CP3065" s="115"/>
      <c r="CQ3065" s="115"/>
      <c r="CR3065" s="115"/>
      <c r="CS3065" s="115"/>
      <c r="CT3065" s="115"/>
      <c r="CU3065" s="115"/>
      <c r="CV3065" s="115"/>
      <c r="CW3065" s="115"/>
      <c r="CX3065" s="115"/>
      <c r="CY3065" s="115"/>
      <c r="CZ3065" s="115"/>
      <c r="DA3065" s="115"/>
      <c r="DB3065" s="115"/>
      <c r="DC3065" s="115"/>
      <c r="DD3065" s="115"/>
      <c r="DE3065" s="115"/>
      <c r="DF3065" s="115"/>
      <c r="DG3065" s="115"/>
    </row>
    <row r="3066" spans="55:111" hidden="1">
      <c r="BC3066" s="115"/>
      <c r="BD3066" s="115"/>
      <c r="BE3066" s="115"/>
      <c r="BF3066" s="115"/>
      <c r="BG3066" s="115"/>
      <c r="BH3066" s="115"/>
      <c r="BI3066" s="115"/>
      <c r="BJ3066" s="115"/>
      <c r="BK3066" s="115"/>
      <c r="BL3066" s="115"/>
      <c r="BM3066" s="115"/>
      <c r="BN3066" s="115"/>
      <c r="BO3066" s="115"/>
      <c r="BP3066" s="115"/>
      <c r="BQ3066" s="115"/>
      <c r="BR3066" s="115"/>
      <c r="BS3066" s="115"/>
      <c r="BT3066" s="115"/>
      <c r="BU3066" s="115"/>
      <c r="BV3066" s="115"/>
      <c r="BW3066" s="115"/>
      <c r="BX3066" s="115"/>
      <c r="BY3066" s="115"/>
      <c r="BZ3066" s="115"/>
      <c r="CA3066" s="115"/>
      <c r="CB3066" s="115"/>
      <c r="CC3066" s="115"/>
      <c r="CD3066" s="115"/>
      <c r="CE3066" s="115"/>
      <c r="CF3066" s="115"/>
      <c r="CG3066" s="115"/>
      <c r="CH3066" s="115"/>
      <c r="CI3066" s="115"/>
      <c r="CJ3066" s="115"/>
      <c r="CK3066" s="115"/>
      <c r="CL3066" s="115"/>
      <c r="CM3066" s="115"/>
      <c r="CN3066" s="115"/>
      <c r="CO3066" s="115"/>
      <c r="CP3066" s="115"/>
      <c r="CQ3066" s="115"/>
      <c r="CR3066" s="115"/>
      <c r="CS3066" s="115"/>
      <c r="CT3066" s="115"/>
      <c r="CU3066" s="115"/>
      <c r="CV3066" s="115"/>
      <c r="CW3066" s="115"/>
      <c r="CX3066" s="115"/>
      <c r="CY3066" s="115"/>
      <c r="CZ3066" s="115"/>
      <c r="DA3066" s="115"/>
      <c r="DB3066" s="115"/>
      <c r="DC3066" s="115"/>
      <c r="DD3066" s="115"/>
      <c r="DE3066" s="115"/>
      <c r="DF3066" s="115"/>
      <c r="DG3066" s="115"/>
    </row>
    <row r="3067" spans="55:111" hidden="1">
      <c r="BC3067" s="115"/>
      <c r="BD3067" s="115"/>
      <c r="BE3067" s="115"/>
      <c r="BF3067" s="115"/>
      <c r="BG3067" s="115"/>
      <c r="BH3067" s="115"/>
      <c r="BI3067" s="115"/>
      <c r="BJ3067" s="115"/>
      <c r="BK3067" s="115"/>
      <c r="BL3067" s="115"/>
      <c r="BM3067" s="115"/>
      <c r="BN3067" s="115"/>
      <c r="BO3067" s="115"/>
      <c r="BP3067" s="115"/>
      <c r="BQ3067" s="115"/>
      <c r="BR3067" s="115"/>
      <c r="BS3067" s="115"/>
      <c r="BT3067" s="115"/>
      <c r="BU3067" s="115"/>
      <c r="BV3067" s="115"/>
      <c r="BW3067" s="115"/>
      <c r="BX3067" s="115"/>
      <c r="BY3067" s="115"/>
      <c r="BZ3067" s="115"/>
      <c r="CA3067" s="115"/>
      <c r="CB3067" s="115"/>
      <c r="CC3067" s="115"/>
      <c r="CD3067" s="115"/>
      <c r="CE3067" s="115"/>
      <c r="CF3067" s="115"/>
      <c r="CG3067" s="115"/>
      <c r="CH3067" s="115"/>
      <c r="CI3067" s="115"/>
      <c r="CJ3067" s="115"/>
      <c r="CK3067" s="115"/>
      <c r="CL3067" s="115"/>
      <c r="CM3067" s="115"/>
      <c r="CN3067" s="115"/>
      <c r="CO3067" s="115"/>
      <c r="CP3067" s="115"/>
      <c r="CQ3067" s="115"/>
      <c r="CR3067" s="115"/>
      <c r="CS3067" s="115"/>
      <c r="CT3067" s="115"/>
      <c r="CU3067" s="115"/>
      <c r="CV3067" s="115"/>
      <c r="CW3067" s="115"/>
      <c r="CX3067" s="115"/>
      <c r="CY3067" s="115"/>
      <c r="CZ3067" s="115"/>
      <c r="DA3067" s="115"/>
      <c r="DB3067" s="115"/>
      <c r="DC3067" s="115"/>
      <c r="DD3067" s="115"/>
      <c r="DE3067" s="115"/>
      <c r="DF3067" s="115"/>
      <c r="DG3067" s="115"/>
    </row>
    <row r="3068" spans="55:111" hidden="1">
      <c r="BC3068" s="115"/>
      <c r="BD3068" s="115"/>
      <c r="BE3068" s="115"/>
      <c r="BF3068" s="115"/>
      <c r="BG3068" s="115"/>
      <c r="BH3068" s="115"/>
      <c r="BI3068" s="115"/>
      <c r="BJ3068" s="115"/>
      <c r="BK3068" s="115"/>
      <c r="BL3068" s="115"/>
      <c r="BM3068" s="115"/>
      <c r="BN3068" s="115"/>
      <c r="BO3068" s="115"/>
      <c r="BP3068" s="115"/>
      <c r="BQ3068" s="115"/>
      <c r="BR3068" s="115"/>
      <c r="BS3068" s="115"/>
      <c r="BT3068" s="115"/>
      <c r="BU3068" s="115"/>
      <c r="BV3068" s="115"/>
      <c r="BW3068" s="115"/>
      <c r="BX3068" s="115"/>
      <c r="BY3068" s="115"/>
      <c r="BZ3068" s="115"/>
      <c r="CA3068" s="115"/>
      <c r="CB3068" s="115"/>
      <c r="CC3068" s="115"/>
      <c r="CD3068" s="115"/>
      <c r="CE3068" s="115"/>
      <c r="CF3068" s="115"/>
      <c r="CG3068" s="115"/>
      <c r="CH3068" s="115"/>
      <c r="CI3068" s="115"/>
      <c r="CJ3068" s="115"/>
      <c r="CK3068" s="115"/>
      <c r="CL3068" s="115"/>
      <c r="CM3068" s="115"/>
      <c r="CN3068" s="115"/>
      <c r="CO3068" s="115"/>
      <c r="CP3068" s="115"/>
      <c r="CQ3068" s="115"/>
      <c r="CR3068" s="115"/>
      <c r="CS3068" s="115"/>
      <c r="CT3068" s="115"/>
      <c r="CU3068" s="115"/>
      <c r="CV3068" s="115"/>
      <c r="CW3068" s="115"/>
      <c r="CX3068" s="115"/>
      <c r="CY3068" s="115"/>
      <c r="CZ3068" s="115"/>
      <c r="DA3068" s="115"/>
      <c r="DB3068" s="115"/>
      <c r="DC3068" s="115"/>
      <c r="DD3068" s="115"/>
      <c r="DE3068" s="115"/>
      <c r="DF3068" s="115"/>
      <c r="DG3068" s="115"/>
    </row>
    <row r="3069" spans="55:111" hidden="1">
      <c r="BC3069" s="115"/>
      <c r="BD3069" s="115"/>
      <c r="BE3069" s="115"/>
      <c r="BF3069" s="115"/>
      <c r="BG3069" s="115"/>
      <c r="BH3069" s="115"/>
      <c r="BI3069" s="115"/>
      <c r="BJ3069" s="115"/>
      <c r="BK3069" s="115"/>
      <c r="BL3069" s="115"/>
      <c r="BM3069" s="115"/>
      <c r="BN3069" s="115"/>
      <c r="BO3069" s="115"/>
      <c r="BP3069" s="115"/>
      <c r="BQ3069" s="115"/>
      <c r="BR3069" s="115"/>
      <c r="BS3069" s="115"/>
      <c r="BT3069" s="115"/>
      <c r="BU3069" s="115"/>
      <c r="BV3069" s="115"/>
      <c r="BW3069" s="115"/>
      <c r="BX3069" s="115"/>
      <c r="BY3069" s="115"/>
      <c r="BZ3069" s="115"/>
      <c r="CA3069" s="115"/>
      <c r="CB3069" s="115"/>
      <c r="CC3069" s="115"/>
      <c r="CD3069" s="115"/>
      <c r="CE3069" s="115"/>
      <c r="CF3069" s="115"/>
      <c r="CG3069" s="115"/>
      <c r="CH3069" s="115"/>
      <c r="CI3069" s="115"/>
      <c r="CJ3069" s="115"/>
      <c r="CK3069" s="115"/>
      <c r="CL3069" s="115"/>
      <c r="CM3069" s="115"/>
      <c r="CN3069" s="115"/>
      <c r="CO3069" s="115"/>
      <c r="CP3069" s="115"/>
      <c r="CQ3069" s="115"/>
      <c r="CR3069" s="115"/>
      <c r="CS3069" s="115"/>
      <c r="CT3069" s="115"/>
      <c r="CU3069" s="115"/>
      <c r="CV3069" s="115"/>
      <c r="CW3069" s="115"/>
      <c r="CX3069" s="115"/>
      <c r="CY3069" s="115"/>
      <c r="CZ3069" s="115"/>
      <c r="DA3069" s="115"/>
      <c r="DB3069" s="115"/>
      <c r="DC3069" s="115"/>
      <c r="DD3069" s="115"/>
      <c r="DE3069" s="115"/>
      <c r="DF3069" s="115"/>
      <c r="DG3069" s="115"/>
    </row>
    <row r="3070" spans="55:111" hidden="1">
      <c r="BC3070" s="115"/>
      <c r="BD3070" s="115"/>
      <c r="BE3070" s="115"/>
      <c r="BF3070" s="115"/>
      <c r="BG3070" s="115"/>
      <c r="BH3070" s="115"/>
      <c r="BI3070" s="115"/>
      <c r="BJ3070" s="115"/>
      <c r="BK3070" s="115"/>
      <c r="BL3070" s="115"/>
      <c r="BM3070" s="115"/>
      <c r="BN3070" s="115"/>
      <c r="BO3070" s="115"/>
      <c r="BP3070" s="115"/>
      <c r="BQ3070" s="115"/>
      <c r="BR3070" s="115"/>
      <c r="BS3070" s="115"/>
      <c r="BT3070" s="115"/>
      <c r="BU3070" s="115"/>
      <c r="BV3070" s="115"/>
      <c r="BW3070" s="115"/>
      <c r="BX3070" s="115"/>
      <c r="BY3070" s="115"/>
      <c r="BZ3070" s="115"/>
      <c r="CA3070" s="115"/>
      <c r="CB3070" s="115"/>
      <c r="CC3070" s="115"/>
      <c r="CD3070" s="115"/>
      <c r="CE3070" s="115"/>
      <c r="CF3070" s="115"/>
      <c r="CG3070" s="115"/>
      <c r="CH3070" s="115"/>
      <c r="CI3070" s="115"/>
      <c r="CJ3070" s="115"/>
      <c r="CK3070" s="115"/>
      <c r="CL3070" s="115"/>
      <c r="CM3070" s="115"/>
      <c r="CN3070" s="115"/>
      <c r="CO3070" s="115"/>
      <c r="CP3070" s="115"/>
      <c r="CQ3070" s="115"/>
      <c r="CR3070" s="115"/>
      <c r="CS3070" s="115"/>
      <c r="CT3070" s="115"/>
      <c r="CU3070" s="115"/>
      <c r="CV3070" s="115"/>
      <c r="CW3070" s="115"/>
      <c r="CX3070" s="115"/>
      <c r="CY3070" s="115"/>
      <c r="CZ3070" s="115"/>
      <c r="DA3070" s="115"/>
      <c r="DB3070" s="115"/>
      <c r="DC3070" s="115"/>
      <c r="DD3070" s="115"/>
      <c r="DE3070" s="115"/>
      <c r="DF3070" s="115"/>
      <c r="DG3070" s="115"/>
    </row>
    <row r="3071" spans="55:111" hidden="1">
      <c r="BC3071" s="115"/>
      <c r="BD3071" s="115"/>
      <c r="BE3071" s="115"/>
      <c r="BF3071" s="115"/>
      <c r="BG3071" s="115"/>
      <c r="BH3071" s="115"/>
      <c r="BI3071" s="115"/>
      <c r="BJ3071" s="115"/>
      <c r="BK3071" s="115"/>
      <c r="BL3071" s="115"/>
      <c r="BM3071" s="115"/>
      <c r="BN3071" s="115"/>
      <c r="BO3071" s="115"/>
      <c r="BP3071" s="115"/>
      <c r="BQ3071" s="115"/>
      <c r="BR3071" s="115"/>
      <c r="BS3071" s="115"/>
      <c r="BT3071" s="115"/>
      <c r="BU3071" s="115"/>
      <c r="BV3071" s="115"/>
      <c r="BW3071" s="115"/>
      <c r="BX3071" s="115"/>
      <c r="BY3071" s="115"/>
      <c r="BZ3071" s="115"/>
      <c r="CA3071" s="115"/>
      <c r="CB3071" s="115"/>
      <c r="CC3071" s="115"/>
      <c r="CD3071" s="115"/>
      <c r="CE3071" s="115"/>
      <c r="CF3071" s="115"/>
      <c r="CG3071" s="115"/>
      <c r="CH3071" s="115"/>
      <c r="CI3071" s="115"/>
      <c r="CJ3071" s="115"/>
      <c r="CK3071" s="115"/>
      <c r="CL3071" s="115"/>
      <c r="CM3071" s="115"/>
      <c r="CN3071" s="115"/>
      <c r="CO3071" s="115"/>
      <c r="CP3071" s="115"/>
      <c r="CQ3071" s="115"/>
      <c r="CR3071" s="115"/>
      <c r="CS3071" s="115"/>
      <c r="CT3071" s="115"/>
      <c r="CU3071" s="115"/>
      <c r="CV3071" s="115"/>
      <c r="CW3071" s="115"/>
      <c r="CX3071" s="115"/>
      <c r="CY3071" s="115"/>
      <c r="CZ3071" s="115"/>
      <c r="DA3071" s="115"/>
      <c r="DB3071" s="115"/>
      <c r="DC3071" s="115"/>
      <c r="DD3071" s="115"/>
      <c r="DE3071" s="115"/>
      <c r="DF3071" s="115"/>
      <c r="DG3071" s="115"/>
    </row>
    <row r="3072" spans="55:111" hidden="1">
      <c r="BC3072" s="115"/>
      <c r="BD3072" s="115"/>
      <c r="BE3072" s="115"/>
      <c r="BF3072" s="115"/>
      <c r="BG3072" s="115"/>
      <c r="BH3072" s="115"/>
      <c r="BI3072" s="115"/>
      <c r="BJ3072" s="115"/>
      <c r="BK3072" s="115"/>
      <c r="BL3072" s="115"/>
      <c r="BM3072" s="115"/>
      <c r="BN3072" s="115"/>
      <c r="BO3072" s="115"/>
      <c r="BP3072" s="115"/>
      <c r="BQ3072" s="115"/>
      <c r="BR3072" s="115"/>
      <c r="BS3072" s="115"/>
      <c r="BT3072" s="115"/>
      <c r="BU3072" s="115"/>
      <c r="BV3072" s="115"/>
      <c r="BW3072" s="115"/>
      <c r="BX3072" s="115"/>
      <c r="BY3072" s="115"/>
      <c r="BZ3072" s="115"/>
      <c r="CA3072" s="115"/>
      <c r="CB3072" s="115"/>
      <c r="CC3072" s="115"/>
      <c r="CD3072" s="115"/>
      <c r="CE3072" s="115"/>
      <c r="CF3072" s="115"/>
      <c r="CG3072" s="115"/>
      <c r="CH3072" s="115"/>
      <c r="CI3072" s="115"/>
      <c r="CJ3072" s="115"/>
      <c r="CK3072" s="115"/>
      <c r="CL3072" s="115"/>
      <c r="CM3072" s="115"/>
      <c r="CN3072" s="115"/>
      <c r="CO3072" s="115"/>
      <c r="CP3072" s="115"/>
      <c r="CQ3072" s="115"/>
      <c r="CR3072" s="115"/>
      <c r="CS3072" s="115"/>
      <c r="CT3072" s="115"/>
      <c r="CU3072" s="115"/>
      <c r="CV3072" s="115"/>
      <c r="CW3072" s="115"/>
      <c r="CX3072" s="115"/>
      <c r="CY3072" s="115"/>
      <c r="CZ3072" s="115"/>
      <c r="DA3072" s="115"/>
      <c r="DB3072" s="115"/>
      <c r="DC3072" s="115"/>
      <c r="DD3072" s="115"/>
      <c r="DE3072" s="115"/>
      <c r="DF3072" s="115"/>
      <c r="DG3072" s="115"/>
    </row>
    <row r="3073" spans="55:111" hidden="1">
      <c r="BC3073" s="115"/>
      <c r="BD3073" s="115"/>
      <c r="BE3073" s="115"/>
      <c r="BF3073" s="115"/>
      <c r="BG3073" s="115"/>
      <c r="BH3073" s="115"/>
      <c r="BI3073" s="115"/>
      <c r="BJ3073" s="115"/>
      <c r="BK3073" s="115"/>
      <c r="BL3073" s="115"/>
      <c r="BM3073" s="115"/>
      <c r="BN3073" s="115"/>
      <c r="BO3073" s="115"/>
      <c r="BP3073" s="115"/>
      <c r="BQ3073" s="115"/>
      <c r="BR3073" s="115"/>
      <c r="BS3073" s="115"/>
      <c r="BT3073" s="115"/>
      <c r="BU3073" s="115"/>
      <c r="BV3073" s="115"/>
      <c r="BW3073" s="115"/>
      <c r="BX3073" s="115"/>
      <c r="BY3073" s="115"/>
      <c r="BZ3073" s="115"/>
      <c r="CA3073" s="115"/>
      <c r="CB3073" s="115"/>
      <c r="CC3073" s="115"/>
      <c r="CD3073" s="115"/>
      <c r="CE3073" s="115"/>
      <c r="CF3073" s="115"/>
      <c r="CG3073" s="115"/>
      <c r="CH3073" s="115"/>
      <c r="CI3073" s="115"/>
      <c r="CJ3073" s="115"/>
      <c r="CK3073" s="115"/>
      <c r="CL3073" s="115"/>
      <c r="CM3073" s="115"/>
      <c r="CN3073" s="115"/>
      <c r="CO3073" s="115"/>
      <c r="CP3073" s="115"/>
      <c r="CQ3073" s="115"/>
      <c r="CR3073" s="115"/>
      <c r="CS3073" s="115"/>
      <c r="CT3073" s="115"/>
      <c r="CU3073" s="115"/>
      <c r="CV3073" s="115"/>
      <c r="CW3073" s="115"/>
      <c r="CX3073" s="115"/>
      <c r="CY3073" s="115"/>
      <c r="CZ3073" s="115"/>
      <c r="DA3073" s="115"/>
      <c r="DB3073" s="115"/>
      <c r="DC3073" s="115"/>
      <c r="DD3073" s="115"/>
      <c r="DE3073" s="115"/>
      <c r="DF3073" s="115"/>
      <c r="DG3073" s="115"/>
    </row>
    <row r="3074" spans="55:111" hidden="1">
      <c r="BC3074" s="115"/>
      <c r="BD3074" s="115"/>
      <c r="BE3074" s="115"/>
      <c r="BF3074" s="115"/>
      <c r="BG3074" s="115"/>
      <c r="BH3074" s="115"/>
      <c r="BI3074" s="115"/>
      <c r="BJ3074" s="115"/>
      <c r="BK3074" s="115"/>
      <c r="BL3074" s="115"/>
      <c r="BM3074" s="115"/>
      <c r="BN3074" s="115"/>
      <c r="BO3074" s="115"/>
      <c r="BP3074" s="115"/>
      <c r="BQ3074" s="115"/>
      <c r="BR3074" s="115"/>
      <c r="BS3074" s="115"/>
      <c r="BT3074" s="115"/>
      <c r="BU3074" s="115"/>
      <c r="BV3074" s="115"/>
      <c r="BW3074" s="115"/>
      <c r="BX3074" s="115"/>
      <c r="BY3074" s="115"/>
      <c r="BZ3074" s="115"/>
      <c r="CA3074" s="115"/>
      <c r="CB3074" s="115"/>
      <c r="CC3074" s="115"/>
      <c r="CD3074" s="115"/>
      <c r="CE3074" s="115"/>
      <c r="CF3074" s="115"/>
      <c r="CG3074" s="115"/>
      <c r="CH3074" s="115"/>
      <c r="CI3074" s="115"/>
      <c r="CJ3074" s="115"/>
      <c r="CK3074" s="115"/>
      <c r="CL3074" s="115"/>
      <c r="CM3074" s="115"/>
      <c r="CN3074" s="115"/>
      <c r="CO3074" s="115"/>
      <c r="CP3074" s="115"/>
      <c r="CQ3074" s="115"/>
      <c r="CR3074" s="115"/>
      <c r="CS3074" s="115"/>
      <c r="CT3074" s="115"/>
      <c r="CU3074" s="115"/>
      <c r="CV3074" s="115"/>
      <c r="CW3074" s="115"/>
      <c r="CX3074" s="115"/>
      <c r="CY3074" s="115"/>
      <c r="CZ3074" s="115"/>
      <c r="DA3074" s="115"/>
      <c r="DB3074" s="115"/>
      <c r="DC3074" s="115"/>
      <c r="DD3074" s="115"/>
      <c r="DE3074" s="115"/>
      <c r="DF3074" s="115"/>
      <c r="DG3074" s="115"/>
    </row>
    <row r="3075" spans="55:111" hidden="1">
      <c r="BC3075" s="115"/>
      <c r="BD3075" s="115"/>
      <c r="BE3075" s="115"/>
      <c r="BF3075" s="115"/>
      <c r="BG3075" s="115"/>
      <c r="BH3075" s="115"/>
      <c r="BI3075" s="115"/>
      <c r="BJ3075" s="115"/>
      <c r="BK3075" s="115"/>
      <c r="BL3075" s="115"/>
      <c r="BM3075" s="115"/>
      <c r="BN3075" s="115"/>
      <c r="BO3075" s="115"/>
      <c r="BP3075" s="115"/>
      <c r="BQ3075" s="115"/>
      <c r="BR3075" s="115"/>
      <c r="BS3075" s="115"/>
      <c r="BT3075" s="115"/>
      <c r="BU3075" s="115"/>
      <c r="BV3075" s="115"/>
      <c r="BW3075" s="115"/>
      <c r="BX3075" s="115"/>
      <c r="BY3075" s="115"/>
      <c r="BZ3075" s="115"/>
      <c r="CA3075" s="115"/>
      <c r="CB3075" s="115"/>
      <c r="CC3075" s="115"/>
      <c r="CD3075" s="115"/>
      <c r="CE3075" s="115"/>
      <c r="CF3075" s="115"/>
      <c r="CG3075" s="115"/>
      <c r="CH3075" s="115"/>
      <c r="CI3075" s="115"/>
      <c r="CJ3075" s="115"/>
      <c r="CK3075" s="115"/>
      <c r="CL3075" s="115"/>
      <c r="CM3075" s="115"/>
      <c r="CN3075" s="115"/>
      <c r="CO3075" s="115"/>
      <c r="CP3075" s="115"/>
      <c r="CQ3075" s="115"/>
      <c r="CR3075" s="115"/>
      <c r="CS3075" s="115"/>
      <c r="CT3075" s="115"/>
      <c r="CU3075" s="115"/>
      <c r="CV3075" s="115"/>
      <c r="CW3075" s="115"/>
      <c r="CX3075" s="115"/>
      <c r="CY3075" s="115"/>
      <c r="CZ3075" s="115"/>
      <c r="DA3075" s="115"/>
      <c r="DB3075" s="115"/>
      <c r="DC3075" s="115"/>
      <c r="DD3075" s="115"/>
      <c r="DE3075" s="115"/>
      <c r="DF3075" s="115"/>
      <c r="DG3075" s="115"/>
    </row>
    <row r="3076" spans="55:111" hidden="1">
      <c r="BC3076" s="115"/>
      <c r="BD3076" s="115"/>
      <c r="BE3076" s="115"/>
      <c r="BF3076" s="115"/>
      <c r="BG3076" s="115"/>
      <c r="BH3076" s="115"/>
      <c r="BI3076" s="115"/>
      <c r="BJ3076" s="115"/>
      <c r="BK3076" s="115"/>
      <c r="BL3076" s="115"/>
      <c r="BM3076" s="115"/>
      <c r="BN3076" s="115"/>
      <c r="BO3076" s="115"/>
      <c r="BP3076" s="115"/>
      <c r="BQ3076" s="115"/>
      <c r="BR3076" s="115"/>
      <c r="BS3076" s="115"/>
      <c r="BT3076" s="115"/>
      <c r="BU3076" s="115"/>
      <c r="BV3076" s="115"/>
      <c r="BW3076" s="115"/>
      <c r="BX3076" s="115"/>
      <c r="BY3076" s="115"/>
      <c r="BZ3076" s="115"/>
      <c r="CA3076" s="115"/>
      <c r="CB3076" s="115"/>
      <c r="CC3076" s="115"/>
      <c r="CD3076" s="115"/>
      <c r="CE3076" s="115"/>
      <c r="CF3076" s="115"/>
      <c r="CG3076" s="115"/>
      <c r="CH3076" s="115"/>
      <c r="CI3076" s="115"/>
      <c r="CJ3076" s="115"/>
      <c r="CK3076" s="115"/>
      <c r="CL3076" s="115"/>
      <c r="CM3076" s="115"/>
      <c r="CN3076" s="115"/>
      <c r="CO3076" s="115"/>
      <c r="CP3076" s="115"/>
      <c r="CQ3076" s="115"/>
      <c r="CR3076" s="115"/>
      <c r="CS3076" s="115"/>
      <c r="CT3076" s="115"/>
      <c r="CU3076" s="115"/>
      <c r="CV3076" s="115"/>
      <c r="CW3076" s="115"/>
      <c r="CX3076" s="115"/>
      <c r="CY3076" s="115"/>
      <c r="CZ3076" s="115"/>
      <c r="DA3076" s="115"/>
      <c r="DB3076" s="115"/>
      <c r="DC3076" s="115"/>
      <c r="DD3076" s="115"/>
      <c r="DE3076" s="115"/>
      <c r="DF3076" s="115"/>
      <c r="DG3076" s="115"/>
    </row>
    <row r="3077" spans="55:111" hidden="1">
      <c r="BC3077" s="115"/>
      <c r="BD3077" s="115"/>
      <c r="BE3077" s="115"/>
      <c r="BF3077" s="115"/>
      <c r="BG3077" s="115"/>
      <c r="BH3077" s="115"/>
      <c r="BI3077" s="115"/>
      <c r="BJ3077" s="115"/>
      <c r="BK3077" s="115"/>
      <c r="BL3077" s="115"/>
      <c r="BM3077" s="115"/>
      <c r="BN3077" s="115"/>
      <c r="BO3077" s="115"/>
      <c r="BP3077" s="115"/>
      <c r="BQ3077" s="115"/>
      <c r="BR3077" s="115"/>
      <c r="BS3077" s="115"/>
      <c r="BT3077" s="115"/>
      <c r="BU3077" s="115"/>
      <c r="BV3077" s="115"/>
      <c r="BW3077" s="115"/>
      <c r="BX3077" s="115"/>
      <c r="BY3077" s="115"/>
      <c r="BZ3077" s="115"/>
      <c r="CA3077" s="115"/>
      <c r="CB3077" s="115"/>
      <c r="CC3077" s="115"/>
      <c r="CD3077" s="115"/>
      <c r="CE3077" s="115"/>
      <c r="CF3077" s="115"/>
      <c r="CG3077" s="115"/>
      <c r="CH3077" s="115"/>
      <c r="CI3077" s="115"/>
      <c r="CJ3077" s="115"/>
      <c r="CK3077" s="115"/>
      <c r="CL3077" s="115"/>
      <c r="CM3077" s="115"/>
      <c r="CN3077" s="115"/>
      <c r="CO3077" s="115"/>
      <c r="CP3077" s="115"/>
      <c r="CQ3077" s="115"/>
      <c r="CR3077" s="115"/>
      <c r="CS3077" s="115"/>
      <c r="CT3077" s="115"/>
      <c r="CU3077" s="115"/>
      <c r="CV3077" s="115"/>
      <c r="CW3077" s="115"/>
      <c r="CX3077" s="115"/>
      <c r="CY3077" s="115"/>
      <c r="CZ3077" s="115"/>
      <c r="DA3077" s="115"/>
      <c r="DB3077" s="115"/>
      <c r="DC3077" s="115"/>
      <c r="DD3077" s="115"/>
      <c r="DE3077" s="115"/>
      <c r="DF3077" s="115"/>
      <c r="DG3077" s="115"/>
    </row>
    <row r="3078" spans="55:111" hidden="1">
      <c r="BC3078" s="115"/>
      <c r="BD3078" s="115"/>
      <c r="BE3078" s="115"/>
      <c r="BF3078" s="115"/>
      <c r="BG3078" s="115"/>
      <c r="BH3078" s="115"/>
      <c r="BI3078" s="115"/>
      <c r="BJ3078" s="115"/>
      <c r="BK3078" s="115"/>
      <c r="BL3078" s="115"/>
      <c r="BM3078" s="115"/>
      <c r="BN3078" s="115"/>
      <c r="BO3078" s="115"/>
      <c r="BP3078" s="115"/>
      <c r="BQ3078" s="115"/>
      <c r="BR3078" s="115"/>
      <c r="BS3078" s="115"/>
      <c r="BT3078" s="115"/>
      <c r="BU3078" s="115"/>
      <c r="BV3078" s="115"/>
      <c r="BW3078" s="115"/>
      <c r="BX3078" s="115"/>
      <c r="BY3078" s="115"/>
      <c r="BZ3078" s="115"/>
      <c r="CA3078" s="115"/>
      <c r="CB3078" s="115"/>
      <c r="CC3078" s="115"/>
      <c r="CD3078" s="115"/>
      <c r="CE3078" s="115"/>
      <c r="CF3078" s="115"/>
      <c r="CG3078" s="115"/>
      <c r="CH3078" s="115"/>
      <c r="CI3078" s="115"/>
      <c r="CJ3078" s="115"/>
      <c r="CK3078" s="115"/>
      <c r="CL3078" s="115"/>
      <c r="CM3078" s="115"/>
      <c r="CN3078" s="115"/>
      <c r="CO3078" s="115"/>
      <c r="CP3078" s="115"/>
      <c r="CQ3078" s="115"/>
      <c r="CR3078" s="115"/>
      <c r="CS3078" s="115"/>
      <c r="CT3078" s="115"/>
      <c r="CU3078" s="115"/>
      <c r="CV3078" s="115"/>
      <c r="CW3078" s="115"/>
      <c r="CX3078" s="115"/>
      <c r="CY3078" s="115"/>
      <c r="CZ3078" s="115"/>
      <c r="DA3078" s="115"/>
      <c r="DB3078" s="115"/>
      <c r="DC3078" s="115"/>
      <c r="DD3078" s="115"/>
      <c r="DE3078" s="115"/>
      <c r="DF3078" s="115"/>
      <c r="DG3078" s="115"/>
    </row>
    <row r="3079" spans="55:111" hidden="1">
      <c r="BC3079" s="115"/>
      <c r="BD3079" s="115"/>
      <c r="BE3079" s="115"/>
      <c r="BF3079" s="115"/>
      <c r="BG3079" s="115"/>
      <c r="BH3079" s="115"/>
      <c r="BI3079" s="115"/>
      <c r="BJ3079" s="115"/>
      <c r="BK3079" s="115"/>
      <c r="BL3079" s="115"/>
      <c r="BM3079" s="115"/>
      <c r="BN3079" s="115"/>
      <c r="BO3079" s="115"/>
      <c r="BP3079" s="115"/>
      <c r="BQ3079" s="115"/>
      <c r="BR3079" s="115"/>
      <c r="BS3079" s="115"/>
      <c r="BT3079" s="115"/>
      <c r="BU3079" s="115"/>
      <c r="BV3079" s="115"/>
      <c r="BW3079" s="115"/>
      <c r="BX3079" s="115"/>
      <c r="BY3079" s="115"/>
      <c r="BZ3079" s="115"/>
      <c r="CA3079" s="115"/>
      <c r="CB3079" s="115"/>
      <c r="CC3079" s="115"/>
      <c r="CD3079" s="115"/>
      <c r="CE3079" s="115"/>
      <c r="CF3079" s="115"/>
      <c r="CG3079" s="115"/>
      <c r="CH3079" s="115"/>
      <c r="CI3079" s="115"/>
      <c r="CJ3079" s="115"/>
      <c r="CK3079" s="115"/>
      <c r="CL3079" s="115"/>
      <c r="CM3079" s="115"/>
      <c r="CN3079" s="115"/>
      <c r="CO3079" s="115"/>
      <c r="CP3079" s="115"/>
      <c r="CQ3079" s="115"/>
      <c r="CR3079" s="115"/>
      <c r="CS3079" s="115"/>
      <c r="CT3079" s="115"/>
      <c r="CU3079" s="115"/>
      <c r="CV3079" s="115"/>
      <c r="CW3079" s="115"/>
      <c r="CX3079" s="115"/>
      <c r="CY3079" s="115"/>
      <c r="CZ3079" s="115"/>
      <c r="DA3079" s="115"/>
      <c r="DB3079" s="115"/>
      <c r="DC3079" s="115"/>
      <c r="DD3079" s="115"/>
      <c r="DE3079" s="115"/>
      <c r="DF3079" s="115"/>
      <c r="DG3079" s="115"/>
    </row>
    <row r="3080" spans="55:111" hidden="1">
      <c r="BC3080" s="115"/>
      <c r="BD3080" s="115"/>
      <c r="BE3080" s="115"/>
      <c r="BF3080" s="115"/>
      <c r="BG3080" s="115"/>
      <c r="BH3080" s="115"/>
      <c r="BI3080" s="115"/>
      <c r="BJ3080" s="115"/>
      <c r="BK3080" s="115"/>
      <c r="BL3080" s="115"/>
      <c r="BM3080" s="115"/>
      <c r="BN3080" s="115"/>
      <c r="BO3080" s="115"/>
      <c r="BP3080" s="115"/>
      <c r="BQ3080" s="115"/>
      <c r="BR3080" s="115"/>
      <c r="BS3080" s="115"/>
      <c r="BT3080" s="115"/>
      <c r="BU3080" s="115"/>
      <c r="BV3080" s="115"/>
      <c r="BW3080" s="115"/>
      <c r="BX3080" s="115"/>
      <c r="BY3080" s="115"/>
      <c r="BZ3080" s="115"/>
      <c r="CA3080" s="115"/>
      <c r="CB3080" s="115"/>
      <c r="CC3080" s="115"/>
      <c r="CD3080" s="115"/>
      <c r="CE3080" s="115"/>
      <c r="CF3080" s="115"/>
      <c r="CG3080" s="115"/>
      <c r="CH3080" s="115"/>
      <c r="CI3080" s="115"/>
      <c r="CJ3080" s="115"/>
      <c r="CK3080" s="115"/>
      <c r="CL3080" s="115"/>
      <c r="CM3080" s="115"/>
      <c r="CN3080" s="115"/>
      <c r="CO3080" s="115"/>
      <c r="CP3080" s="115"/>
      <c r="CQ3080" s="115"/>
      <c r="CR3080" s="115"/>
      <c r="CS3080" s="115"/>
      <c r="CT3080" s="115"/>
      <c r="CU3080" s="115"/>
      <c r="CV3080" s="115"/>
      <c r="CW3080" s="115"/>
      <c r="CX3080" s="115"/>
      <c r="CY3080" s="115"/>
      <c r="CZ3080" s="115"/>
      <c r="DA3080" s="115"/>
      <c r="DB3080" s="115"/>
      <c r="DC3080" s="115"/>
      <c r="DD3080" s="115"/>
      <c r="DE3080" s="115"/>
      <c r="DF3080" s="115"/>
      <c r="DG3080" s="115"/>
    </row>
    <row r="3081" spans="55:111" hidden="1">
      <c r="BC3081" s="115"/>
      <c r="BD3081" s="115"/>
      <c r="BE3081" s="115"/>
      <c r="BF3081" s="115"/>
      <c r="BG3081" s="115"/>
      <c r="BH3081" s="115"/>
      <c r="BI3081" s="115"/>
      <c r="BJ3081" s="115"/>
      <c r="BK3081" s="115"/>
      <c r="BL3081" s="115"/>
      <c r="BM3081" s="115"/>
      <c r="BN3081" s="115"/>
      <c r="BO3081" s="115"/>
      <c r="BP3081" s="115"/>
      <c r="BQ3081" s="115"/>
      <c r="BR3081" s="115"/>
      <c r="BS3081" s="115"/>
      <c r="BT3081" s="115"/>
      <c r="BU3081" s="115"/>
      <c r="BV3081" s="115"/>
      <c r="BW3081" s="115"/>
      <c r="BX3081" s="115"/>
      <c r="BY3081" s="115"/>
      <c r="BZ3081" s="115"/>
      <c r="CA3081" s="115"/>
      <c r="CB3081" s="115"/>
      <c r="CC3081" s="115"/>
      <c r="CD3081" s="115"/>
      <c r="CE3081" s="115"/>
      <c r="CF3081" s="115"/>
      <c r="CG3081" s="115"/>
      <c r="CH3081" s="115"/>
      <c r="CI3081" s="115"/>
      <c r="CJ3081" s="115"/>
      <c r="CK3081" s="115"/>
      <c r="CL3081" s="115"/>
      <c r="CM3081" s="115"/>
      <c r="CN3081" s="115"/>
      <c r="CO3081" s="115"/>
      <c r="CP3081" s="115"/>
      <c r="CQ3081" s="115"/>
      <c r="CR3081" s="115"/>
      <c r="CS3081" s="115"/>
      <c r="CT3081" s="115"/>
      <c r="CU3081" s="115"/>
      <c r="CV3081" s="115"/>
      <c r="CW3081" s="115"/>
      <c r="CX3081" s="115"/>
      <c r="CY3081" s="115"/>
      <c r="CZ3081" s="115"/>
      <c r="DA3081" s="115"/>
      <c r="DB3081" s="115"/>
      <c r="DC3081" s="115"/>
      <c r="DD3081" s="115"/>
      <c r="DE3081" s="115"/>
      <c r="DF3081" s="115"/>
      <c r="DG3081" s="115"/>
    </row>
    <row r="3082" spans="55:111" hidden="1">
      <c r="BC3082" s="115"/>
      <c r="BD3082" s="115"/>
      <c r="BE3082" s="115"/>
      <c r="BF3082" s="115"/>
      <c r="BG3082" s="115"/>
      <c r="BH3082" s="115"/>
      <c r="BI3082" s="115"/>
      <c r="BJ3082" s="115"/>
      <c r="BK3082" s="115"/>
      <c r="BL3082" s="115"/>
      <c r="BM3082" s="115"/>
      <c r="BN3082" s="115"/>
      <c r="BO3082" s="115"/>
      <c r="BP3082" s="115"/>
      <c r="BQ3082" s="115"/>
      <c r="BR3082" s="115"/>
      <c r="BS3082" s="115"/>
      <c r="BT3082" s="115"/>
      <c r="BU3082" s="115"/>
      <c r="BV3082" s="115"/>
      <c r="BW3082" s="115"/>
      <c r="BX3082" s="115"/>
      <c r="BY3082" s="115"/>
      <c r="BZ3082" s="115"/>
      <c r="CA3082" s="115"/>
      <c r="CB3082" s="115"/>
      <c r="CC3082" s="115"/>
      <c r="CD3082" s="115"/>
      <c r="CE3082" s="115"/>
      <c r="CF3082" s="115"/>
      <c r="CG3082" s="115"/>
      <c r="CH3082" s="115"/>
      <c r="CI3082" s="115"/>
      <c r="CJ3082" s="115"/>
      <c r="CK3082" s="115"/>
      <c r="CL3082" s="115"/>
      <c r="CM3082" s="115"/>
      <c r="CN3082" s="115"/>
      <c r="CO3082" s="115"/>
      <c r="CP3082" s="115"/>
      <c r="CQ3082" s="115"/>
      <c r="CR3082" s="115"/>
      <c r="CS3082" s="115"/>
      <c r="CT3082" s="115"/>
      <c r="CU3082" s="115"/>
      <c r="CV3082" s="115"/>
      <c r="CW3082" s="115"/>
      <c r="CX3082" s="115"/>
      <c r="CY3082" s="115"/>
      <c r="CZ3082" s="115"/>
      <c r="DA3082" s="115"/>
      <c r="DB3082" s="115"/>
      <c r="DC3082" s="115"/>
      <c r="DD3082" s="115"/>
      <c r="DE3082" s="115"/>
      <c r="DF3082" s="115"/>
      <c r="DG3082" s="115"/>
    </row>
    <row r="3083" spans="55:111" hidden="1">
      <c r="BC3083" s="115"/>
      <c r="BD3083" s="115"/>
      <c r="BE3083" s="115"/>
      <c r="BF3083" s="115"/>
      <c r="BG3083" s="115"/>
      <c r="BH3083" s="115"/>
      <c r="BI3083" s="115"/>
      <c r="BJ3083" s="115"/>
      <c r="BK3083" s="115"/>
      <c r="BL3083" s="115"/>
      <c r="BM3083" s="115"/>
      <c r="BN3083" s="115"/>
      <c r="BO3083" s="115"/>
      <c r="BP3083" s="115"/>
      <c r="BQ3083" s="115"/>
      <c r="BR3083" s="115"/>
      <c r="BS3083" s="115"/>
      <c r="BT3083" s="115"/>
      <c r="BU3083" s="115"/>
      <c r="BV3083" s="115"/>
      <c r="BW3083" s="115"/>
      <c r="BX3083" s="115"/>
      <c r="BY3083" s="115"/>
      <c r="BZ3083" s="115"/>
      <c r="CA3083" s="115"/>
      <c r="CB3083" s="115"/>
      <c r="CC3083" s="115"/>
      <c r="CD3083" s="115"/>
      <c r="CE3083" s="115"/>
      <c r="CF3083" s="115"/>
      <c r="CG3083" s="115"/>
      <c r="CH3083" s="115"/>
      <c r="CI3083" s="115"/>
      <c r="CJ3083" s="115"/>
      <c r="CK3083" s="115"/>
      <c r="CL3083" s="115"/>
      <c r="CM3083" s="115"/>
      <c r="CN3083" s="115"/>
      <c r="CO3083" s="115"/>
      <c r="CP3083" s="115"/>
      <c r="CQ3083" s="115"/>
      <c r="CR3083" s="115"/>
      <c r="CS3083" s="115"/>
      <c r="CT3083" s="115"/>
      <c r="CU3083" s="115"/>
      <c r="CV3083" s="115"/>
      <c r="CW3083" s="115"/>
      <c r="CX3083" s="115"/>
      <c r="CY3083" s="115"/>
      <c r="CZ3083" s="115"/>
      <c r="DA3083" s="115"/>
      <c r="DB3083" s="115"/>
      <c r="DC3083" s="115"/>
      <c r="DD3083" s="115"/>
      <c r="DE3083" s="115"/>
      <c r="DF3083" s="115"/>
      <c r="DG3083" s="115"/>
    </row>
    <row r="3084" spans="55:111" hidden="1">
      <c r="BC3084" s="115"/>
      <c r="BD3084" s="115"/>
      <c r="BE3084" s="115"/>
      <c r="BF3084" s="115"/>
      <c r="BG3084" s="115"/>
      <c r="BH3084" s="115"/>
      <c r="BI3084" s="115"/>
      <c r="BJ3084" s="115"/>
      <c r="BK3084" s="115"/>
      <c r="BL3084" s="115"/>
      <c r="BM3084" s="115"/>
      <c r="BN3084" s="115"/>
      <c r="BO3084" s="115"/>
      <c r="BP3084" s="115"/>
      <c r="BQ3084" s="115"/>
      <c r="BR3084" s="115"/>
      <c r="BS3084" s="115"/>
      <c r="BT3084" s="115"/>
      <c r="BU3084" s="115"/>
      <c r="BV3084" s="115"/>
      <c r="BW3084" s="115"/>
      <c r="BX3084" s="115"/>
      <c r="BY3084" s="115"/>
      <c r="BZ3084" s="115"/>
      <c r="CA3084" s="115"/>
      <c r="CB3084" s="115"/>
      <c r="CC3084" s="115"/>
      <c r="CD3084" s="115"/>
      <c r="CE3084" s="115"/>
      <c r="CF3084" s="115"/>
      <c r="CG3084" s="115"/>
      <c r="CH3084" s="115"/>
      <c r="CI3084" s="115"/>
      <c r="CJ3084" s="115"/>
      <c r="CK3084" s="115"/>
      <c r="CL3084" s="115"/>
      <c r="CM3084" s="115"/>
      <c r="CN3084" s="115"/>
      <c r="CO3084" s="115"/>
      <c r="CP3084" s="115"/>
      <c r="CQ3084" s="115"/>
      <c r="CR3084" s="115"/>
      <c r="CS3084" s="115"/>
      <c r="CT3084" s="115"/>
      <c r="CU3084" s="115"/>
      <c r="CV3084" s="115"/>
      <c r="CW3084" s="115"/>
      <c r="CX3084" s="115"/>
      <c r="CY3084" s="115"/>
      <c r="CZ3084" s="115"/>
      <c r="DA3084" s="115"/>
      <c r="DB3084" s="115"/>
      <c r="DC3084" s="115"/>
      <c r="DD3084" s="115"/>
      <c r="DE3084" s="115"/>
      <c r="DF3084" s="115"/>
      <c r="DG3084" s="115"/>
    </row>
    <row r="3085" spans="55:111" hidden="1">
      <c r="BC3085" s="115"/>
      <c r="BD3085" s="115"/>
      <c r="BE3085" s="115"/>
      <c r="BF3085" s="115"/>
      <c r="BG3085" s="115"/>
      <c r="BH3085" s="115"/>
      <c r="BI3085" s="115"/>
      <c r="BJ3085" s="115"/>
      <c r="BK3085" s="115"/>
      <c r="BL3085" s="115"/>
      <c r="BM3085" s="115"/>
      <c r="BN3085" s="115"/>
      <c r="BO3085" s="115"/>
      <c r="BP3085" s="115"/>
      <c r="BQ3085" s="115"/>
      <c r="BR3085" s="115"/>
      <c r="BS3085" s="115"/>
      <c r="BT3085" s="115"/>
      <c r="BU3085" s="115"/>
      <c r="BV3085" s="115"/>
      <c r="BW3085" s="115"/>
      <c r="BX3085" s="115"/>
      <c r="BY3085" s="115"/>
      <c r="BZ3085" s="115"/>
      <c r="CA3085" s="115"/>
      <c r="CB3085" s="115"/>
      <c r="CC3085" s="115"/>
      <c r="CD3085" s="115"/>
      <c r="CE3085" s="115"/>
      <c r="CF3085" s="115"/>
      <c r="CG3085" s="115"/>
      <c r="CH3085" s="115"/>
      <c r="CI3085" s="115"/>
      <c r="CJ3085" s="115"/>
      <c r="CK3085" s="115"/>
      <c r="CL3085" s="115"/>
      <c r="CM3085" s="115"/>
      <c r="CN3085" s="115"/>
      <c r="CO3085" s="115"/>
      <c r="CP3085" s="115"/>
      <c r="CQ3085" s="115"/>
      <c r="CR3085" s="115"/>
      <c r="CS3085" s="115"/>
      <c r="CT3085" s="115"/>
      <c r="CU3085" s="115"/>
      <c r="CV3085" s="115"/>
      <c r="CW3085" s="115"/>
      <c r="CX3085" s="115"/>
      <c r="CY3085" s="115"/>
      <c r="CZ3085" s="115"/>
      <c r="DA3085" s="115"/>
      <c r="DB3085" s="115"/>
      <c r="DC3085" s="115"/>
      <c r="DD3085" s="115"/>
      <c r="DE3085" s="115"/>
      <c r="DF3085" s="115"/>
      <c r="DG3085" s="115"/>
    </row>
    <row r="3086" spans="55:111" hidden="1">
      <c r="BC3086" s="115"/>
      <c r="BD3086" s="115"/>
      <c r="BE3086" s="115"/>
      <c r="BF3086" s="115"/>
      <c r="BG3086" s="115"/>
      <c r="BH3086" s="115"/>
      <c r="BI3086" s="115"/>
      <c r="BJ3086" s="115"/>
      <c r="BK3086" s="115"/>
      <c r="BL3086" s="115"/>
      <c r="BM3086" s="115"/>
      <c r="BN3086" s="115"/>
      <c r="BO3086" s="115"/>
      <c r="BP3086" s="115"/>
      <c r="BQ3086" s="115"/>
      <c r="BR3086" s="115"/>
      <c r="BS3086" s="115"/>
      <c r="BT3086" s="115"/>
      <c r="BU3086" s="115"/>
      <c r="BV3086" s="115"/>
      <c r="BW3086" s="115"/>
      <c r="BX3086" s="115"/>
      <c r="BY3086" s="115"/>
      <c r="BZ3086" s="115"/>
      <c r="CA3086" s="115"/>
      <c r="CB3086" s="115"/>
      <c r="CC3086" s="115"/>
      <c r="CD3086" s="115"/>
      <c r="CE3086" s="115"/>
      <c r="CF3086" s="115"/>
      <c r="CG3086" s="115"/>
      <c r="CH3086" s="115"/>
      <c r="CI3086" s="115"/>
      <c r="CJ3086" s="115"/>
      <c r="CK3086" s="115"/>
      <c r="CL3086" s="115"/>
      <c r="CM3086" s="115"/>
      <c r="CN3086" s="115"/>
      <c r="CO3086" s="115"/>
      <c r="CP3086" s="115"/>
      <c r="CQ3086" s="115"/>
      <c r="CR3086" s="115"/>
      <c r="CS3086" s="115"/>
      <c r="CT3086" s="115"/>
      <c r="CU3086" s="115"/>
      <c r="CV3086" s="115"/>
      <c r="CW3086" s="115"/>
      <c r="CX3086" s="115"/>
      <c r="CY3086" s="115"/>
      <c r="CZ3086" s="115"/>
      <c r="DA3086" s="115"/>
      <c r="DB3086" s="115"/>
      <c r="DC3086" s="115"/>
      <c r="DD3086" s="115"/>
      <c r="DE3086" s="115"/>
      <c r="DF3086" s="115"/>
      <c r="DG3086" s="115"/>
    </row>
    <row r="3087" spans="55:111" hidden="1">
      <c r="BC3087" s="115"/>
      <c r="BD3087" s="115"/>
      <c r="BE3087" s="115"/>
      <c r="BF3087" s="115"/>
      <c r="BG3087" s="115"/>
      <c r="BH3087" s="115"/>
      <c r="BI3087" s="115"/>
      <c r="BJ3087" s="115"/>
      <c r="BK3087" s="115"/>
      <c r="BL3087" s="115"/>
      <c r="BM3087" s="115"/>
      <c r="BN3087" s="115"/>
      <c r="BO3087" s="115"/>
      <c r="BP3087" s="115"/>
      <c r="BQ3087" s="115"/>
      <c r="BR3087" s="115"/>
      <c r="BS3087" s="115"/>
      <c r="BT3087" s="115"/>
      <c r="BU3087" s="115"/>
      <c r="BV3087" s="115"/>
      <c r="BW3087" s="115"/>
      <c r="BX3087" s="115"/>
      <c r="BY3087" s="115"/>
      <c r="BZ3087" s="115"/>
      <c r="CA3087" s="115"/>
      <c r="CB3087" s="115"/>
      <c r="CC3087" s="115"/>
      <c r="CD3087" s="115"/>
      <c r="CE3087" s="115"/>
      <c r="CF3087" s="115"/>
      <c r="CG3087" s="115"/>
      <c r="CH3087" s="115"/>
      <c r="CI3087" s="115"/>
      <c r="CJ3087" s="115"/>
      <c r="CK3087" s="115"/>
      <c r="CL3087" s="115"/>
      <c r="CM3087" s="115"/>
      <c r="CN3087" s="115"/>
      <c r="CO3087" s="115"/>
      <c r="CP3087" s="115"/>
      <c r="CQ3087" s="115"/>
      <c r="CR3087" s="115"/>
      <c r="CS3087" s="115"/>
      <c r="CT3087" s="115"/>
      <c r="CU3087" s="115"/>
      <c r="CV3087" s="115"/>
      <c r="CW3087" s="115"/>
      <c r="CX3087" s="115"/>
      <c r="CY3087" s="115"/>
      <c r="CZ3087" s="115"/>
      <c r="DA3087" s="115"/>
      <c r="DB3087" s="115"/>
      <c r="DC3087" s="115"/>
      <c r="DD3087" s="115"/>
      <c r="DE3087" s="115"/>
      <c r="DF3087" s="115"/>
      <c r="DG3087" s="115"/>
    </row>
    <row r="3088" spans="55:111" hidden="1">
      <c r="BC3088" s="115"/>
      <c r="BD3088" s="115"/>
      <c r="BE3088" s="115"/>
      <c r="BF3088" s="115"/>
      <c r="BG3088" s="115"/>
      <c r="BH3088" s="115"/>
      <c r="BI3088" s="115"/>
      <c r="BJ3088" s="115"/>
      <c r="BK3088" s="115"/>
      <c r="BL3088" s="115"/>
      <c r="BM3088" s="115"/>
      <c r="BN3088" s="115"/>
      <c r="BO3088" s="115"/>
      <c r="BP3088" s="115"/>
      <c r="BQ3088" s="115"/>
      <c r="BR3088" s="115"/>
      <c r="BS3088" s="115"/>
      <c r="BT3088" s="115"/>
      <c r="BU3088" s="115"/>
      <c r="BV3088" s="115"/>
      <c r="BW3088" s="115"/>
      <c r="BX3088" s="115"/>
      <c r="BY3088" s="115"/>
      <c r="BZ3088" s="115"/>
      <c r="CA3088" s="115"/>
      <c r="CB3088" s="115"/>
      <c r="CC3088" s="115"/>
      <c r="CD3088" s="115"/>
      <c r="CE3088" s="115"/>
      <c r="CF3088" s="115"/>
      <c r="CG3088" s="115"/>
      <c r="CH3088" s="115"/>
      <c r="CI3088" s="115"/>
      <c r="CJ3088" s="115"/>
      <c r="CK3088" s="115"/>
      <c r="CL3088" s="115"/>
      <c r="CM3088" s="115"/>
      <c r="CN3088" s="115"/>
      <c r="CO3088" s="115"/>
      <c r="CP3088" s="115"/>
      <c r="CQ3088" s="115"/>
      <c r="CR3088" s="115"/>
      <c r="CS3088" s="115"/>
      <c r="CT3088" s="115"/>
      <c r="CU3088" s="115"/>
      <c r="CV3088" s="115"/>
      <c r="CW3088" s="115"/>
      <c r="CX3088" s="115"/>
      <c r="CY3088" s="115"/>
      <c r="CZ3088" s="115"/>
      <c r="DA3088" s="115"/>
      <c r="DB3088" s="115"/>
      <c r="DC3088" s="115"/>
      <c r="DD3088" s="115"/>
      <c r="DE3088" s="115"/>
      <c r="DF3088" s="115"/>
      <c r="DG3088" s="115"/>
    </row>
    <row r="3089" spans="55:111" hidden="1">
      <c r="BC3089" s="115"/>
      <c r="BD3089" s="115"/>
      <c r="BE3089" s="115"/>
      <c r="BF3089" s="115"/>
      <c r="BG3089" s="115"/>
      <c r="BH3089" s="115"/>
      <c r="BI3089" s="115"/>
      <c r="BJ3089" s="115"/>
      <c r="BK3089" s="115"/>
      <c r="BL3089" s="115"/>
      <c r="BM3089" s="115"/>
      <c r="BN3089" s="115"/>
      <c r="BO3089" s="115"/>
      <c r="BP3089" s="115"/>
      <c r="BQ3089" s="115"/>
      <c r="BR3089" s="115"/>
      <c r="BS3089" s="115"/>
      <c r="BT3089" s="115"/>
      <c r="BU3089" s="115"/>
      <c r="BV3089" s="115"/>
      <c r="BW3089" s="115"/>
      <c r="BX3089" s="115"/>
      <c r="BY3089" s="115"/>
      <c r="BZ3089" s="115"/>
      <c r="CA3089" s="115"/>
      <c r="CB3089" s="115"/>
      <c r="CC3089" s="115"/>
      <c r="CD3089" s="115"/>
      <c r="CE3089" s="115"/>
      <c r="CF3089" s="115"/>
      <c r="CG3089" s="115"/>
      <c r="CH3089" s="115"/>
      <c r="CI3089" s="115"/>
      <c r="CJ3089" s="115"/>
      <c r="CK3089" s="115"/>
      <c r="CL3089" s="115"/>
      <c r="CM3089" s="115"/>
      <c r="CN3089" s="115"/>
      <c r="CO3089" s="115"/>
      <c r="CP3089" s="115"/>
      <c r="CQ3089" s="115"/>
      <c r="CR3089" s="115"/>
      <c r="CS3089" s="115"/>
      <c r="CT3089" s="115"/>
      <c r="CU3089" s="115"/>
      <c r="CV3089" s="115"/>
      <c r="CW3089" s="115"/>
      <c r="CX3089" s="115"/>
      <c r="CY3089" s="115"/>
      <c r="CZ3089" s="115"/>
      <c r="DA3089" s="115"/>
      <c r="DB3089" s="115"/>
      <c r="DC3089" s="115"/>
      <c r="DD3089" s="115"/>
      <c r="DE3089" s="115"/>
      <c r="DF3089" s="115"/>
      <c r="DG3089" s="115"/>
    </row>
    <row r="3090" spans="55:111" hidden="1">
      <c r="BC3090" s="115"/>
      <c r="BD3090" s="115"/>
      <c r="BE3090" s="115"/>
      <c r="BF3090" s="115"/>
      <c r="BG3090" s="115"/>
      <c r="BH3090" s="115"/>
      <c r="BI3090" s="115"/>
      <c r="BJ3090" s="115"/>
      <c r="BK3090" s="115"/>
      <c r="BL3090" s="115"/>
      <c r="BM3090" s="115"/>
      <c r="BN3090" s="115"/>
      <c r="BO3090" s="115"/>
      <c r="BP3090" s="115"/>
      <c r="BQ3090" s="115"/>
      <c r="BR3090" s="115"/>
      <c r="BS3090" s="115"/>
      <c r="BT3090" s="115"/>
      <c r="BU3090" s="115"/>
      <c r="BV3090" s="115"/>
      <c r="BW3090" s="115"/>
      <c r="BX3090" s="115"/>
      <c r="BY3090" s="115"/>
      <c r="BZ3090" s="115"/>
      <c r="CA3090" s="115"/>
      <c r="CB3090" s="115"/>
      <c r="CC3090" s="115"/>
      <c r="CD3090" s="115"/>
      <c r="CE3090" s="115"/>
      <c r="CF3090" s="115"/>
      <c r="CG3090" s="115"/>
      <c r="CH3090" s="115"/>
      <c r="CI3090" s="115"/>
      <c r="CJ3090" s="115"/>
      <c r="CK3090" s="115"/>
      <c r="CL3090" s="115"/>
      <c r="CM3090" s="115"/>
      <c r="CN3090" s="115"/>
      <c r="CO3090" s="115"/>
      <c r="CP3090" s="115"/>
      <c r="CQ3090" s="115"/>
      <c r="CR3090" s="115"/>
      <c r="CS3090" s="115"/>
      <c r="CT3090" s="115"/>
      <c r="CU3090" s="115"/>
      <c r="CV3090" s="115"/>
      <c r="CW3090" s="115"/>
      <c r="CX3090" s="115"/>
      <c r="CY3090" s="115"/>
      <c r="CZ3090" s="115"/>
      <c r="DA3090" s="115"/>
      <c r="DB3090" s="115"/>
      <c r="DC3090" s="115"/>
      <c r="DD3090" s="115"/>
      <c r="DE3090" s="115"/>
      <c r="DF3090" s="115"/>
      <c r="DG3090" s="115"/>
    </row>
    <row r="3091" spans="55:111" hidden="1">
      <c r="BC3091" s="115"/>
      <c r="BD3091" s="115"/>
      <c r="BE3091" s="115"/>
      <c r="BF3091" s="115"/>
      <c r="BG3091" s="115"/>
      <c r="BH3091" s="115"/>
      <c r="BI3091" s="115"/>
      <c r="BJ3091" s="115"/>
      <c r="BK3091" s="115"/>
      <c r="BL3091" s="115"/>
      <c r="BM3091" s="115"/>
      <c r="BN3091" s="115"/>
      <c r="BO3091" s="115"/>
      <c r="BP3091" s="115"/>
      <c r="BQ3091" s="115"/>
      <c r="BR3091" s="115"/>
      <c r="BS3091" s="115"/>
      <c r="BT3091" s="115"/>
      <c r="BU3091" s="115"/>
      <c r="BV3091" s="115"/>
      <c r="BW3091" s="115"/>
      <c r="BX3091" s="115"/>
      <c r="BY3091" s="115"/>
      <c r="BZ3091" s="115"/>
      <c r="CA3091" s="115"/>
      <c r="CB3091" s="115"/>
      <c r="CC3091" s="115"/>
      <c r="CD3091" s="115"/>
      <c r="CE3091" s="115"/>
      <c r="CF3091" s="115"/>
      <c r="CG3091" s="115"/>
      <c r="CH3091" s="115"/>
      <c r="CI3091" s="115"/>
      <c r="CJ3091" s="115"/>
      <c r="CK3091" s="115"/>
      <c r="CL3091" s="115"/>
      <c r="CM3091" s="115"/>
      <c r="CN3091" s="115"/>
      <c r="CO3091" s="115"/>
      <c r="CP3091" s="115"/>
      <c r="CQ3091" s="115"/>
      <c r="CR3091" s="115"/>
      <c r="CS3091" s="115"/>
      <c r="CT3091" s="115"/>
      <c r="CU3091" s="115"/>
      <c r="CV3091" s="115"/>
      <c r="CW3091" s="115"/>
      <c r="CX3091" s="115"/>
      <c r="CY3091" s="115"/>
      <c r="CZ3091" s="115"/>
      <c r="DA3091" s="115"/>
      <c r="DB3091" s="115"/>
      <c r="DC3091" s="115"/>
      <c r="DD3091" s="115"/>
      <c r="DE3091" s="115"/>
      <c r="DF3091" s="115"/>
      <c r="DG3091" s="115"/>
    </row>
    <row r="3092" spans="55:111" hidden="1">
      <c r="BC3092" s="115"/>
      <c r="BD3092" s="115"/>
      <c r="BE3092" s="115"/>
      <c r="BF3092" s="115"/>
      <c r="BG3092" s="115"/>
      <c r="BH3092" s="115"/>
      <c r="BI3092" s="115"/>
      <c r="BJ3092" s="115"/>
      <c r="BK3092" s="115"/>
      <c r="BL3092" s="115"/>
      <c r="BM3092" s="115"/>
      <c r="BN3092" s="115"/>
      <c r="BO3092" s="115"/>
      <c r="BP3092" s="115"/>
      <c r="BQ3092" s="115"/>
      <c r="BR3092" s="115"/>
      <c r="BS3092" s="115"/>
      <c r="BT3092" s="115"/>
      <c r="BU3092" s="115"/>
      <c r="BV3092" s="115"/>
      <c r="BW3092" s="115"/>
      <c r="BX3092" s="115"/>
      <c r="BY3092" s="115"/>
      <c r="BZ3092" s="115"/>
      <c r="CA3092" s="115"/>
      <c r="CB3092" s="115"/>
      <c r="CC3092" s="115"/>
      <c r="CD3092" s="115"/>
      <c r="CE3092" s="115"/>
      <c r="CF3092" s="115"/>
      <c r="CG3092" s="115"/>
      <c r="CH3092" s="115"/>
      <c r="CI3092" s="115"/>
      <c r="CJ3092" s="115"/>
      <c r="CK3092" s="115"/>
      <c r="CL3092" s="115"/>
      <c r="CM3092" s="115"/>
      <c r="CN3092" s="115"/>
      <c r="CO3092" s="115"/>
      <c r="CP3092" s="115"/>
      <c r="CQ3092" s="115"/>
      <c r="CR3092" s="115"/>
      <c r="CS3092" s="115"/>
      <c r="CT3092" s="115"/>
      <c r="CU3092" s="115"/>
      <c r="CV3092" s="115"/>
      <c r="CW3092" s="115"/>
      <c r="CX3092" s="115"/>
      <c r="CY3092" s="115"/>
      <c r="CZ3092" s="115"/>
      <c r="DA3092" s="115"/>
      <c r="DB3092" s="115"/>
      <c r="DC3092" s="115"/>
      <c r="DD3092" s="115"/>
      <c r="DE3092" s="115"/>
      <c r="DF3092" s="115"/>
      <c r="DG3092" s="115"/>
    </row>
    <row r="3093" spans="55:111" hidden="1">
      <c r="BC3093" s="115"/>
      <c r="BD3093" s="115"/>
      <c r="BE3093" s="115"/>
      <c r="BF3093" s="115"/>
      <c r="BG3093" s="115"/>
      <c r="BH3093" s="115"/>
      <c r="BI3093" s="115"/>
      <c r="BJ3093" s="115"/>
      <c r="BK3093" s="115"/>
      <c r="BL3093" s="115"/>
      <c r="BM3093" s="115"/>
      <c r="BN3093" s="115"/>
      <c r="BO3093" s="115"/>
      <c r="BP3093" s="115"/>
      <c r="BQ3093" s="115"/>
      <c r="BR3093" s="115"/>
      <c r="BS3093" s="115"/>
      <c r="BT3093" s="115"/>
      <c r="BU3093" s="115"/>
      <c r="BV3093" s="115"/>
      <c r="BW3093" s="115"/>
      <c r="BX3093" s="115"/>
      <c r="BY3093" s="115"/>
      <c r="BZ3093" s="115"/>
      <c r="CA3093" s="115"/>
      <c r="CB3093" s="115"/>
      <c r="CC3093" s="115"/>
      <c r="CD3093" s="115"/>
      <c r="CE3093" s="115"/>
      <c r="CF3093" s="115"/>
      <c r="CG3093" s="115"/>
      <c r="CH3093" s="115"/>
      <c r="CI3093" s="115"/>
      <c r="CJ3093" s="115"/>
      <c r="CK3093" s="115"/>
      <c r="CL3093" s="115"/>
      <c r="CM3093" s="115"/>
      <c r="CN3093" s="115"/>
      <c r="CO3093" s="115"/>
      <c r="CP3093" s="115"/>
      <c r="CQ3093" s="115"/>
      <c r="CR3093" s="115"/>
      <c r="CS3093" s="115"/>
      <c r="CT3093" s="115"/>
      <c r="CU3093" s="115"/>
      <c r="CV3093" s="115"/>
      <c r="CW3093" s="115"/>
      <c r="CX3093" s="115"/>
      <c r="CY3093" s="115"/>
      <c r="CZ3093" s="115"/>
      <c r="DA3093" s="115"/>
      <c r="DB3093" s="115"/>
      <c r="DC3093" s="115"/>
      <c r="DD3093" s="115"/>
      <c r="DE3093" s="115"/>
      <c r="DF3093" s="115"/>
      <c r="DG3093" s="115"/>
    </row>
    <row r="3094" spans="55:111" hidden="1">
      <c r="BC3094" s="115"/>
      <c r="BD3094" s="115"/>
      <c r="BE3094" s="115"/>
      <c r="BF3094" s="115"/>
      <c r="BG3094" s="115"/>
      <c r="BH3094" s="115"/>
      <c r="BI3094" s="115"/>
      <c r="BJ3094" s="115"/>
      <c r="BK3094" s="115"/>
      <c r="BL3094" s="115"/>
      <c r="BM3094" s="115"/>
      <c r="BN3094" s="115"/>
      <c r="BO3094" s="115"/>
      <c r="BP3094" s="115"/>
      <c r="BQ3094" s="115"/>
      <c r="BR3094" s="115"/>
      <c r="BS3094" s="115"/>
      <c r="BT3094" s="115"/>
      <c r="BU3094" s="115"/>
      <c r="BV3094" s="115"/>
      <c r="BW3094" s="115"/>
      <c r="BX3094" s="115"/>
      <c r="BY3094" s="115"/>
      <c r="BZ3094" s="115"/>
      <c r="CA3094" s="115"/>
      <c r="CB3094" s="115"/>
      <c r="CC3094" s="115"/>
      <c r="CD3094" s="115"/>
      <c r="CE3094" s="115"/>
      <c r="CF3094" s="115"/>
      <c r="CG3094" s="115"/>
      <c r="CH3094" s="115"/>
      <c r="CI3094" s="115"/>
      <c r="CJ3094" s="115"/>
      <c r="CK3094" s="115"/>
      <c r="CL3094" s="115"/>
      <c r="CM3094" s="115"/>
      <c r="CN3094" s="115"/>
      <c r="CO3094" s="115"/>
      <c r="CP3094" s="115"/>
      <c r="CQ3094" s="115"/>
      <c r="CR3094" s="115"/>
      <c r="CS3094" s="115"/>
      <c r="CT3094" s="115"/>
      <c r="CU3094" s="115"/>
      <c r="CV3094" s="115"/>
      <c r="CW3094" s="115"/>
      <c r="CX3094" s="115"/>
      <c r="CY3094" s="115"/>
      <c r="CZ3094" s="115"/>
      <c r="DA3094" s="115"/>
      <c r="DB3094" s="115"/>
      <c r="DC3094" s="115"/>
      <c r="DD3094" s="115"/>
      <c r="DE3094" s="115"/>
      <c r="DF3094" s="115"/>
      <c r="DG3094" s="115"/>
    </row>
    <row r="3095" spans="55:111" hidden="1">
      <c r="BC3095" s="115"/>
      <c r="BD3095" s="115"/>
      <c r="BE3095" s="115"/>
      <c r="BF3095" s="115"/>
      <c r="BG3095" s="115"/>
      <c r="BH3095" s="115"/>
      <c r="BI3095" s="115"/>
      <c r="BJ3095" s="115"/>
      <c r="BK3095" s="115"/>
      <c r="BL3095" s="115"/>
      <c r="BM3095" s="115"/>
      <c r="BN3095" s="115"/>
      <c r="BO3095" s="115"/>
      <c r="BP3095" s="115"/>
      <c r="BQ3095" s="115"/>
      <c r="BR3095" s="115"/>
      <c r="BS3095" s="115"/>
      <c r="BT3095" s="115"/>
      <c r="BU3095" s="115"/>
      <c r="BV3095" s="115"/>
      <c r="BW3095" s="115"/>
      <c r="BX3095" s="115"/>
      <c r="BY3095" s="115"/>
      <c r="BZ3095" s="115"/>
      <c r="CA3095" s="115"/>
      <c r="CB3095" s="115"/>
      <c r="CC3095" s="115"/>
      <c r="CD3095" s="115"/>
      <c r="CE3095" s="115"/>
      <c r="CF3095" s="115"/>
      <c r="CG3095" s="115"/>
      <c r="CH3095" s="115"/>
      <c r="CI3095" s="115"/>
      <c r="CJ3095" s="115"/>
      <c r="CK3095" s="115"/>
      <c r="CL3095" s="115"/>
      <c r="CM3095" s="115"/>
      <c r="CN3095" s="115"/>
      <c r="CO3095" s="115"/>
      <c r="CP3095" s="115"/>
      <c r="CQ3095" s="115"/>
      <c r="CR3095" s="115"/>
      <c r="CS3095" s="115"/>
      <c r="CT3095" s="115"/>
      <c r="CU3095" s="115"/>
      <c r="CV3095" s="115"/>
      <c r="CW3095" s="115"/>
      <c r="CX3095" s="115"/>
      <c r="CY3095" s="115"/>
      <c r="CZ3095" s="115"/>
      <c r="DA3095" s="115"/>
      <c r="DB3095" s="115"/>
      <c r="DC3095" s="115"/>
      <c r="DD3095" s="115"/>
      <c r="DE3095" s="115"/>
      <c r="DF3095" s="115"/>
      <c r="DG3095" s="115"/>
    </row>
    <row r="3096" spans="55:111" hidden="1">
      <c r="BC3096" s="115"/>
      <c r="BD3096" s="115"/>
      <c r="BE3096" s="115"/>
      <c r="BF3096" s="115"/>
      <c r="BG3096" s="115"/>
      <c r="BH3096" s="115"/>
      <c r="BI3096" s="115"/>
      <c r="BJ3096" s="115"/>
      <c r="BK3096" s="115"/>
      <c r="BL3096" s="115"/>
      <c r="BM3096" s="115"/>
      <c r="BN3096" s="115"/>
      <c r="BO3096" s="115"/>
      <c r="BP3096" s="115"/>
      <c r="BQ3096" s="115"/>
      <c r="BR3096" s="115"/>
      <c r="BS3096" s="115"/>
      <c r="BT3096" s="115"/>
      <c r="BU3096" s="115"/>
      <c r="BV3096" s="115"/>
      <c r="BW3096" s="115"/>
      <c r="BX3096" s="115"/>
      <c r="BY3096" s="115"/>
      <c r="BZ3096" s="115"/>
      <c r="CA3096" s="115"/>
      <c r="CB3096" s="115"/>
      <c r="CC3096" s="115"/>
      <c r="CD3096" s="115"/>
      <c r="CE3096" s="115"/>
      <c r="CF3096" s="115"/>
      <c r="CG3096" s="115"/>
      <c r="CH3096" s="115"/>
      <c r="CI3096" s="115"/>
      <c r="CJ3096" s="115"/>
      <c r="CK3096" s="115"/>
      <c r="CL3096" s="115"/>
      <c r="CM3096" s="115"/>
      <c r="CN3096" s="115"/>
      <c r="CO3096" s="115"/>
      <c r="CP3096" s="115"/>
      <c r="CQ3096" s="115"/>
      <c r="CR3096" s="115"/>
      <c r="CS3096" s="115"/>
      <c r="CT3096" s="115"/>
      <c r="CU3096" s="115"/>
      <c r="CV3096" s="115"/>
      <c r="CW3096" s="115"/>
      <c r="CX3096" s="115"/>
      <c r="CY3096" s="115"/>
      <c r="CZ3096" s="115"/>
      <c r="DA3096" s="115"/>
      <c r="DB3096" s="115"/>
      <c r="DC3096" s="115"/>
      <c r="DD3096" s="115"/>
      <c r="DE3096" s="115"/>
      <c r="DF3096" s="115"/>
      <c r="DG3096" s="115"/>
    </row>
    <row r="3097" spans="55:111" hidden="1">
      <c r="BC3097" s="115"/>
      <c r="BD3097" s="115"/>
      <c r="BE3097" s="115"/>
      <c r="BF3097" s="115"/>
      <c r="BG3097" s="115"/>
      <c r="BH3097" s="115"/>
      <c r="BI3097" s="115"/>
      <c r="BJ3097" s="115"/>
      <c r="BK3097" s="115"/>
      <c r="BL3097" s="115"/>
      <c r="BM3097" s="115"/>
      <c r="BN3097" s="115"/>
      <c r="BO3097" s="115"/>
      <c r="BP3097" s="115"/>
      <c r="BQ3097" s="115"/>
      <c r="BR3097" s="115"/>
      <c r="BS3097" s="115"/>
      <c r="BT3097" s="115"/>
      <c r="BU3097" s="115"/>
      <c r="BV3097" s="115"/>
      <c r="BW3097" s="115"/>
      <c r="BX3097" s="115"/>
      <c r="BY3097" s="115"/>
      <c r="BZ3097" s="115"/>
      <c r="CA3097" s="115"/>
      <c r="CB3097" s="115"/>
      <c r="CC3097" s="115"/>
      <c r="CD3097" s="115"/>
      <c r="CE3097" s="115"/>
      <c r="CF3097" s="115"/>
      <c r="CG3097" s="115"/>
      <c r="CH3097" s="115"/>
      <c r="CI3097" s="115"/>
      <c r="CJ3097" s="115"/>
      <c r="CK3097" s="115"/>
      <c r="CL3097" s="115"/>
      <c r="CM3097" s="115"/>
      <c r="CN3097" s="115"/>
      <c r="CO3097" s="115"/>
      <c r="CP3097" s="115"/>
      <c r="CQ3097" s="115"/>
      <c r="CR3097" s="115"/>
      <c r="CS3097" s="115"/>
      <c r="CT3097" s="115"/>
      <c r="CU3097" s="115"/>
      <c r="CV3097" s="115"/>
      <c r="CW3097" s="115"/>
      <c r="CX3097" s="115"/>
      <c r="CY3097" s="115"/>
      <c r="CZ3097" s="115"/>
      <c r="DA3097" s="115"/>
      <c r="DB3097" s="115"/>
      <c r="DC3097" s="115"/>
      <c r="DD3097" s="115"/>
      <c r="DE3097" s="115"/>
      <c r="DF3097" s="115"/>
      <c r="DG3097" s="115"/>
    </row>
    <row r="3098" spans="55:111" hidden="1">
      <c r="BC3098" s="115"/>
      <c r="BD3098" s="115"/>
      <c r="BE3098" s="115"/>
      <c r="BF3098" s="115"/>
      <c r="BG3098" s="115"/>
      <c r="BH3098" s="115"/>
      <c r="BI3098" s="115"/>
      <c r="BJ3098" s="115"/>
      <c r="BK3098" s="115"/>
      <c r="BL3098" s="115"/>
      <c r="BM3098" s="115"/>
      <c r="BN3098" s="115"/>
      <c r="BO3098" s="115"/>
      <c r="BP3098" s="115"/>
      <c r="BQ3098" s="115"/>
      <c r="BR3098" s="115"/>
      <c r="BS3098" s="115"/>
      <c r="BT3098" s="115"/>
      <c r="BU3098" s="115"/>
      <c r="BV3098" s="115"/>
      <c r="BW3098" s="115"/>
      <c r="BX3098" s="115"/>
      <c r="BY3098" s="115"/>
      <c r="BZ3098" s="115"/>
      <c r="CA3098" s="115"/>
      <c r="CB3098" s="115"/>
      <c r="CC3098" s="115"/>
      <c r="CD3098" s="115"/>
      <c r="CE3098" s="115"/>
      <c r="CF3098" s="115"/>
      <c r="CG3098" s="115"/>
      <c r="CH3098" s="115"/>
      <c r="CI3098" s="115"/>
      <c r="CJ3098" s="115"/>
      <c r="CK3098" s="115"/>
      <c r="CL3098" s="115"/>
      <c r="CM3098" s="115"/>
      <c r="CN3098" s="115"/>
      <c r="CO3098" s="115"/>
      <c r="CP3098" s="115"/>
      <c r="CQ3098" s="115"/>
      <c r="CR3098" s="115"/>
      <c r="CS3098" s="115"/>
      <c r="CT3098" s="115"/>
      <c r="CU3098" s="115"/>
      <c r="CV3098" s="115"/>
      <c r="CW3098" s="115"/>
      <c r="CX3098" s="115"/>
      <c r="CY3098" s="115"/>
      <c r="CZ3098" s="115"/>
      <c r="DA3098" s="115"/>
      <c r="DB3098" s="115"/>
      <c r="DC3098" s="115"/>
      <c r="DD3098" s="115"/>
      <c r="DE3098" s="115"/>
      <c r="DF3098" s="115"/>
      <c r="DG3098" s="115"/>
    </row>
    <row r="3099" spans="55:111" hidden="1">
      <c r="BC3099" s="115"/>
      <c r="BD3099" s="115"/>
      <c r="BE3099" s="115"/>
      <c r="BF3099" s="115"/>
      <c r="BG3099" s="115"/>
      <c r="BH3099" s="115"/>
      <c r="BI3099" s="115"/>
      <c r="BJ3099" s="115"/>
      <c r="BK3099" s="115"/>
      <c r="BL3099" s="115"/>
      <c r="BM3099" s="115"/>
      <c r="BN3099" s="115"/>
      <c r="BO3099" s="115"/>
      <c r="BP3099" s="115"/>
      <c r="BQ3099" s="115"/>
      <c r="BR3099" s="115"/>
      <c r="BS3099" s="115"/>
      <c r="BT3099" s="115"/>
      <c r="BU3099" s="115"/>
      <c r="BV3099" s="115"/>
      <c r="BW3099" s="115"/>
      <c r="BX3099" s="115"/>
      <c r="BY3099" s="115"/>
      <c r="BZ3099" s="115"/>
      <c r="CA3099" s="115"/>
      <c r="CB3099" s="115"/>
      <c r="CC3099" s="115"/>
      <c r="CD3099" s="115"/>
      <c r="CE3099" s="115"/>
      <c r="CF3099" s="115"/>
      <c r="CG3099" s="115"/>
      <c r="CH3099" s="115"/>
      <c r="CI3099" s="115"/>
      <c r="CJ3099" s="115"/>
      <c r="CK3099" s="115"/>
      <c r="CL3099" s="115"/>
      <c r="CM3099" s="115"/>
      <c r="CN3099" s="115"/>
      <c r="CO3099" s="115"/>
      <c r="CP3099" s="115"/>
      <c r="CQ3099" s="115"/>
      <c r="CR3099" s="115"/>
      <c r="CS3099" s="115"/>
      <c r="CT3099" s="115"/>
      <c r="CU3099" s="115"/>
      <c r="CV3099" s="115"/>
      <c r="CW3099" s="115"/>
      <c r="CX3099" s="115"/>
      <c r="CY3099" s="115"/>
      <c r="CZ3099" s="115"/>
      <c r="DA3099" s="115"/>
      <c r="DB3099" s="115"/>
      <c r="DC3099" s="115"/>
      <c r="DD3099" s="115"/>
      <c r="DE3099" s="115"/>
      <c r="DF3099" s="115"/>
      <c r="DG3099" s="115"/>
    </row>
    <row r="3100" spans="55:111" hidden="1">
      <c r="BC3100" s="115"/>
      <c r="BD3100" s="115"/>
      <c r="BE3100" s="115"/>
      <c r="BF3100" s="115"/>
      <c r="BG3100" s="115"/>
      <c r="BH3100" s="115"/>
      <c r="BI3100" s="115"/>
      <c r="BJ3100" s="115"/>
      <c r="BK3100" s="115"/>
      <c r="BL3100" s="115"/>
      <c r="BM3100" s="115"/>
      <c r="BN3100" s="115"/>
      <c r="BO3100" s="115"/>
      <c r="BP3100" s="115"/>
      <c r="BQ3100" s="115"/>
      <c r="BR3100" s="115"/>
      <c r="BS3100" s="115"/>
      <c r="BT3100" s="115"/>
      <c r="BU3100" s="115"/>
      <c r="BV3100" s="115"/>
      <c r="BW3100" s="115"/>
      <c r="BX3100" s="115"/>
      <c r="BY3100" s="115"/>
      <c r="BZ3100" s="115"/>
      <c r="CA3100" s="115"/>
      <c r="CB3100" s="115"/>
      <c r="CC3100" s="115"/>
      <c r="CD3100" s="115"/>
      <c r="CE3100" s="115"/>
      <c r="CF3100" s="115"/>
      <c r="CG3100" s="115"/>
      <c r="CH3100" s="115"/>
      <c r="CI3100" s="115"/>
      <c r="CJ3100" s="115"/>
      <c r="CK3100" s="115"/>
      <c r="CL3100" s="115"/>
      <c r="CM3100" s="115"/>
      <c r="CN3100" s="115"/>
      <c r="CO3100" s="115"/>
      <c r="CP3100" s="115"/>
      <c r="CQ3100" s="115"/>
      <c r="CR3100" s="115"/>
      <c r="CS3100" s="115"/>
      <c r="CT3100" s="115"/>
      <c r="CU3100" s="115"/>
      <c r="CV3100" s="115"/>
      <c r="CW3100" s="115"/>
      <c r="CX3100" s="115"/>
      <c r="CY3100" s="115"/>
      <c r="CZ3100" s="115"/>
      <c r="DA3100" s="115"/>
      <c r="DB3100" s="115"/>
      <c r="DC3100" s="115"/>
      <c r="DD3100" s="115"/>
      <c r="DE3100" s="115"/>
      <c r="DF3100" s="115"/>
      <c r="DG3100" s="115"/>
    </row>
    <row r="3101" spans="55:111" hidden="1">
      <c r="BC3101" s="115"/>
      <c r="BD3101" s="115"/>
      <c r="BE3101" s="115"/>
      <c r="BF3101" s="115"/>
      <c r="BG3101" s="115"/>
      <c r="BH3101" s="115"/>
      <c r="BI3101" s="115"/>
      <c r="BJ3101" s="115"/>
      <c r="BK3101" s="115"/>
      <c r="BL3101" s="115"/>
      <c r="BM3101" s="115"/>
      <c r="BN3101" s="115"/>
      <c r="BO3101" s="115"/>
      <c r="BP3101" s="115"/>
      <c r="BQ3101" s="115"/>
      <c r="BR3101" s="115"/>
      <c r="BS3101" s="115"/>
      <c r="BT3101" s="115"/>
      <c r="BU3101" s="115"/>
      <c r="BV3101" s="115"/>
      <c r="BW3101" s="115"/>
      <c r="BX3101" s="115"/>
      <c r="BY3101" s="115"/>
      <c r="BZ3101" s="115"/>
      <c r="CA3101" s="115"/>
      <c r="CB3101" s="115"/>
      <c r="CC3101" s="115"/>
      <c r="CD3101" s="115"/>
      <c r="CE3101" s="115"/>
      <c r="CF3101" s="115"/>
      <c r="CG3101" s="115"/>
      <c r="CH3101" s="115"/>
      <c r="CI3101" s="115"/>
      <c r="CJ3101" s="115"/>
      <c r="CK3101" s="115"/>
      <c r="CL3101" s="115"/>
      <c r="CM3101" s="115"/>
      <c r="CN3101" s="115"/>
      <c r="CO3101" s="115"/>
      <c r="CP3101" s="115"/>
      <c r="CQ3101" s="115"/>
      <c r="CR3101" s="115"/>
      <c r="CS3101" s="115"/>
      <c r="CT3101" s="115"/>
      <c r="CU3101" s="115"/>
      <c r="CV3101" s="115"/>
      <c r="CW3101" s="115"/>
      <c r="CX3101" s="115"/>
      <c r="CY3101" s="115"/>
      <c r="CZ3101" s="115"/>
      <c r="DA3101" s="115"/>
      <c r="DB3101" s="115"/>
      <c r="DC3101" s="115"/>
      <c r="DD3101" s="115"/>
      <c r="DE3101" s="115"/>
      <c r="DF3101" s="115"/>
      <c r="DG3101" s="115"/>
    </row>
    <row r="3102" spans="55:111" hidden="1">
      <c r="BC3102" s="115"/>
      <c r="BD3102" s="115"/>
      <c r="BE3102" s="115"/>
      <c r="BF3102" s="115"/>
      <c r="BG3102" s="115"/>
      <c r="BH3102" s="115"/>
      <c r="BI3102" s="115"/>
      <c r="BJ3102" s="115"/>
      <c r="BK3102" s="115"/>
      <c r="BL3102" s="115"/>
      <c r="BM3102" s="115"/>
      <c r="BN3102" s="115"/>
      <c r="BO3102" s="115"/>
      <c r="BP3102" s="115"/>
      <c r="BQ3102" s="115"/>
      <c r="BR3102" s="115"/>
      <c r="BS3102" s="115"/>
      <c r="BT3102" s="115"/>
      <c r="BU3102" s="115"/>
      <c r="BV3102" s="115"/>
      <c r="BW3102" s="115"/>
      <c r="BX3102" s="115"/>
      <c r="BY3102" s="115"/>
      <c r="BZ3102" s="115"/>
      <c r="CA3102" s="115"/>
      <c r="CB3102" s="115"/>
      <c r="CC3102" s="115"/>
      <c r="CD3102" s="115"/>
      <c r="CE3102" s="115"/>
      <c r="CF3102" s="115"/>
      <c r="CG3102" s="115"/>
      <c r="CH3102" s="115"/>
      <c r="CI3102" s="115"/>
      <c r="CJ3102" s="115"/>
      <c r="CK3102" s="115"/>
      <c r="CL3102" s="115"/>
      <c r="CM3102" s="115"/>
      <c r="CN3102" s="115"/>
      <c r="CO3102" s="115"/>
      <c r="CP3102" s="115"/>
      <c r="CQ3102" s="115"/>
      <c r="CR3102" s="115"/>
      <c r="CS3102" s="115"/>
      <c r="CT3102" s="115"/>
      <c r="CU3102" s="115"/>
      <c r="CV3102" s="115"/>
      <c r="CW3102" s="115"/>
      <c r="CX3102" s="115"/>
      <c r="CY3102" s="115"/>
      <c r="CZ3102" s="115"/>
      <c r="DA3102" s="115"/>
      <c r="DB3102" s="115"/>
      <c r="DC3102" s="115"/>
      <c r="DD3102" s="115"/>
      <c r="DE3102" s="115"/>
      <c r="DF3102" s="115"/>
      <c r="DG3102" s="115"/>
    </row>
    <row r="3103" spans="55:111" hidden="1">
      <c r="BC3103" s="115"/>
      <c r="BD3103" s="115"/>
      <c r="BE3103" s="115"/>
      <c r="BF3103" s="115"/>
      <c r="BG3103" s="115"/>
      <c r="BH3103" s="115"/>
      <c r="BI3103" s="115"/>
      <c r="BJ3103" s="115"/>
      <c r="BK3103" s="115"/>
      <c r="BL3103" s="115"/>
      <c r="BM3103" s="115"/>
      <c r="BN3103" s="115"/>
      <c r="BO3103" s="115"/>
      <c r="BP3103" s="115"/>
      <c r="BQ3103" s="115"/>
      <c r="BR3103" s="115"/>
      <c r="BS3103" s="115"/>
      <c r="BT3103" s="115"/>
      <c r="BU3103" s="115"/>
      <c r="BV3103" s="115"/>
      <c r="BW3103" s="115"/>
      <c r="BX3103" s="115"/>
      <c r="BY3103" s="115"/>
      <c r="BZ3103" s="115"/>
      <c r="CA3103" s="115"/>
      <c r="CB3103" s="115"/>
      <c r="CC3103" s="115"/>
      <c r="CD3103" s="115"/>
      <c r="CE3103" s="115"/>
      <c r="CF3103" s="115"/>
      <c r="CG3103" s="115"/>
      <c r="CH3103" s="115"/>
      <c r="CI3103" s="115"/>
      <c r="CJ3103" s="115"/>
      <c r="CK3103" s="115"/>
      <c r="CL3103" s="115"/>
      <c r="CM3103" s="115"/>
      <c r="CN3103" s="115"/>
      <c r="CO3103" s="115"/>
      <c r="CP3103" s="115"/>
      <c r="CQ3103" s="115"/>
      <c r="CR3103" s="115"/>
      <c r="CS3103" s="115"/>
      <c r="CT3103" s="115"/>
      <c r="CU3103" s="115"/>
      <c r="CV3103" s="115"/>
      <c r="CW3103" s="115"/>
      <c r="CX3103" s="115"/>
      <c r="CY3103" s="115"/>
      <c r="CZ3103" s="115"/>
      <c r="DA3103" s="115"/>
      <c r="DB3103" s="115"/>
      <c r="DC3103" s="115"/>
      <c r="DD3103" s="115"/>
      <c r="DE3103" s="115"/>
      <c r="DF3103" s="115"/>
      <c r="DG3103" s="115"/>
    </row>
    <row r="3104" spans="55:111" hidden="1">
      <c r="BC3104" s="115"/>
      <c r="BD3104" s="115"/>
      <c r="BE3104" s="115"/>
      <c r="BF3104" s="115"/>
      <c r="BG3104" s="115"/>
      <c r="BH3104" s="115"/>
      <c r="BI3104" s="115"/>
      <c r="BJ3104" s="115"/>
      <c r="BK3104" s="115"/>
      <c r="BL3104" s="115"/>
      <c r="BM3104" s="115"/>
      <c r="BN3104" s="115"/>
      <c r="BO3104" s="115"/>
      <c r="BP3104" s="115"/>
      <c r="BQ3104" s="115"/>
      <c r="BR3104" s="115"/>
      <c r="BS3104" s="115"/>
      <c r="BT3104" s="115"/>
      <c r="BU3104" s="115"/>
      <c r="BV3104" s="115"/>
      <c r="BW3104" s="115"/>
      <c r="BX3104" s="115"/>
      <c r="BY3104" s="115"/>
      <c r="BZ3104" s="115"/>
      <c r="CA3104" s="115"/>
      <c r="CB3104" s="115"/>
      <c r="CC3104" s="115"/>
      <c r="CD3104" s="115"/>
      <c r="CE3104" s="115"/>
      <c r="CF3104" s="115"/>
      <c r="CG3104" s="115"/>
      <c r="CH3104" s="115"/>
      <c r="CI3104" s="115"/>
      <c r="CJ3104" s="115"/>
      <c r="CK3104" s="115"/>
      <c r="CL3104" s="115"/>
      <c r="CM3104" s="115"/>
      <c r="CN3104" s="115"/>
      <c r="CO3104" s="115"/>
      <c r="CP3104" s="115"/>
      <c r="CQ3104" s="115"/>
      <c r="CR3104" s="115"/>
      <c r="CS3104" s="115"/>
      <c r="CT3104" s="115"/>
      <c r="CU3104" s="115"/>
      <c r="CV3104" s="115"/>
      <c r="CW3104" s="115"/>
      <c r="CX3104" s="115"/>
      <c r="CY3104" s="115"/>
      <c r="CZ3104" s="115"/>
      <c r="DA3104" s="115"/>
      <c r="DB3104" s="115"/>
      <c r="DC3104" s="115"/>
      <c r="DD3104" s="115"/>
      <c r="DE3104" s="115"/>
      <c r="DF3104" s="115"/>
      <c r="DG3104" s="115"/>
    </row>
    <row r="3105" spans="55:111" hidden="1">
      <c r="BC3105" s="115"/>
      <c r="BD3105" s="115"/>
      <c r="BE3105" s="115"/>
      <c r="BF3105" s="115"/>
      <c r="BG3105" s="115"/>
      <c r="BH3105" s="115"/>
      <c r="BI3105" s="115"/>
      <c r="BJ3105" s="115"/>
      <c r="BK3105" s="115"/>
      <c r="BL3105" s="115"/>
      <c r="BM3105" s="115"/>
      <c r="BN3105" s="115"/>
      <c r="BO3105" s="115"/>
      <c r="BP3105" s="115"/>
      <c r="BQ3105" s="115"/>
      <c r="BR3105" s="115"/>
      <c r="BS3105" s="115"/>
      <c r="BT3105" s="115"/>
      <c r="BU3105" s="115"/>
      <c r="BV3105" s="115"/>
      <c r="BW3105" s="115"/>
      <c r="BX3105" s="115"/>
      <c r="BY3105" s="115"/>
      <c r="BZ3105" s="115"/>
      <c r="CA3105" s="115"/>
      <c r="CB3105" s="115"/>
      <c r="CC3105" s="115"/>
      <c r="CD3105" s="115"/>
      <c r="CE3105" s="115"/>
      <c r="CF3105" s="115"/>
      <c r="CG3105" s="115"/>
      <c r="CH3105" s="115"/>
      <c r="CI3105" s="115"/>
      <c r="CJ3105" s="115"/>
      <c r="CK3105" s="115"/>
      <c r="CL3105" s="115"/>
      <c r="CM3105" s="115"/>
      <c r="CN3105" s="115"/>
      <c r="CO3105" s="115"/>
      <c r="CP3105" s="115"/>
      <c r="CQ3105" s="115"/>
      <c r="CR3105" s="115"/>
      <c r="CS3105" s="115"/>
      <c r="CT3105" s="115"/>
      <c r="CU3105" s="115"/>
      <c r="CV3105" s="115"/>
      <c r="CW3105" s="115"/>
      <c r="CX3105" s="115"/>
      <c r="CY3105" s="115"/>
      <c r="CZ3105" s="115"/>
      <c r="DA3105" s="115"/>
      <c r="DB3105" s="115"/>
      <c r="DC3105" s="115"/>
      <c r="DD3105" s="115"/>
      <c r="DE3105" s="115"/>
      <c r="DF3105" s="115"/>
      <c r="DG3105" s="115"/>
    </row>
    <row r="3106" spans="55:111" hidden="1">
      <c r="BC3106" s="115"/>
      <c r="BD3106" s="115"/>
      <c r="BE3106" s="115"/>
      <c r="BF3106" s="115"/>
      <c r="BG3106" s="115"/>
      <c r="BH3106" s="115"/>
      <c r="BI3106" s="115"/>
      <c r="BJ3106" s="115"/>
      <c r="BK3106" s="115"/>
      <c r="BL3106" s="115"/>
      <c r="BM3106" s="115"/>
      <c r="BN3106" s="115"/>
      <c r="BO3106" s="115"/>
      <c r="BP3106" s="115"/>
      <c r="BQ3106" s="115"/>
      <c r="BR3106" s="115"/>
      <c r="BS3106" s="115"/>
      <c r="BT3106" s="115"/>
      <c r="BU3106" s="115"/>
      <c r="BV3106" s="115"/>
      <c r="BW3106" s="115"/>
      <c r="BX3106" s="115"/>
      <c r="BY3106" s="115"/>
      <c r="BZ3106" s="115"/>
      <c r="CA3106" s="115"/>
      <c r="CB3106" s="115"/>
      <c r="CC3106" s="115"/>
      <c r="CD3106" s="115"/>
      <c r="CE3106" s="115"/>
      <c r="CF3106" s="115"/>
      <c r="CG3106" s="115"/>
      <c r="CH3106" s="115"/>
      <c r="CI3106" s="115"/>
      <c r="CJ3106" s="115"/>
      <c r="CK3106" s="115"/>
      <c r="CL3106" s="115"/>
      <c r="CM3106" s="115"/>
      <c r="CN3106" s="115"/>
      <c r="CO3106" s="115"/>
      <c r="CP3106" s="115"/>
      <c r="CQ3106" s="115"/>
      <c r="CR3106" s="115"/>
      <c r="CS3106" s="115"/>
      <c r="CT3106" s="115"/>
      <c r="CU3106" s="115"/>
      <c r="CV3106" s="115"/>
      <c r="CW3106" s="115"/>
      <c r="CX3106" s="115"/>
      <c r="CY3106" s="115"/>
      <c r="CZ3106" s="115"/>
      <c r="DA3106" s="115"/>
      <c r="DB3106" s="115"/>
      <c r="DC3106" s="115"/>
      <c r="DD3106" s="115"/>
      <c r="DE3106" s="115"/>
      <c r="DF3106" s="115"/>
      <c r="DG3106" s="115"/>
    </row>
    <row r="3107" spans="55:111" hidden="1">
      <c r="BC3107" s="115"/>
      <c r="BD3107" s="115"/>
      <c r="BE3107" s="115"/>
      <c r="BF3107" s="115"/>
      <c r="BG3107" s="115"/>
      <c r="BH3107" s="115"/>
      <c r="BI3107" s="115"/>
      <c r="BJ3107" s="115"/>
      <c r="BK3107" s="115"/>
      <c r="BL3107" s="115"/>
      <c r="BM3107" s="115"/>
      <c r="BN3107" s="115"/>
      <c r="BO3107" s="115"/>
      <c r="BP3107" s="115"/>
      <c r="BQ3107" s="115"/>
      <c r="BR3107" s="115"/>
      <c r="BS3107" s="115"/>
      <c r="BT3107" s="115"/>
      <c r="BU3107" s="115"/>
      <c r="BV3107" s="115"/>
      <c r="BW3107" s="115"/>
      <c r="BX3107" s="115"/>
      <c r="BY3107" s="115"/>
      <c r="BZ3107" s="115"/>
      <c r="CA3107" s="115"/>
      <c r="CB3107" s="115"/>
      <c r="CC3107" s="115"/>
      <c r="CD3107" s="115"/>
      <c r="CE3107" s="115"/>
      <c r="CF3107" s="115"/>
      <c r="CG3107" s="115"/>
      <c r="CH3107" s="115"/>
      <c r="CI3107" s="115"/>
      <c r="CJ3107" s="115"/>
      <c r="CK3107" s="115"/>
      <c r="CL3107" s="115"/>
      <c r="CM3107" s="115"/>
      <c r="CN3107" s="115"/>
      <c r="CO3107" s="115"/>
      <c r="CP3107" s="115"/>
      <c r="CQ3107" s="115"/>
      <c r="CR3107" s="115"/>
      <c r="CS3107" s="115"/>
      <c r="CT3107" s="115"/>
      <c r="CU3107" s="115"/>
      <c r="CV3107" s="115"/>
      <c r="CW3107" s="115"/>
      <c r="CX3107" s="115"/>
      <c r="CY3107" s="115"/>
      <c r="CZ3107" s="115"/>
      <c r="DA3107" s="115"/>
      <c r="DB3107" s="115"/>
      <c r="DC3107" s="115"/>
      <c r="DD3107" s="115"/>
      <c r="DE3107" s="115"/>
      <c r="DF3107" s="115"/>
      <c r="DG3107" s="115"/>
    </row>
    <row r="3108" spans="55:111" hidden="1">
      <c r="BC3108" s="115"/>
      <c r="BD3108" s="115"/>
      <c r="BE3108" s="115"/>
      <c r="BF3108" s="115"/>
      <c r="BG3108" s="115"/>
      <c r="BH3108" s="115"/>
      <c r="BI3108" s="115"/>
      <c r="BJ3108" s="115"/>
      <c r="BK3108" s="115"/>
      <c r="BL3108" s="115"/>
      <c r="BM3108" s="115"/>
      <c r="BN3108" s="115"/>
      <c r="BO3108" s="115"/>
      <c r="BP3108" s="115"/>
      <c r="BQ3108" s="115"/>
      <c r="BR3108" s="115"/>
      <c r="BS3108" s="115"/>
      <c r="BT3108" s="115"/>
      <c r="BU3108" s="115"/>
      <c r="BV3108" s="115"/>
      <c r="BW3108" s="115"/>
      <c r="BX3108" s="115"/>
      <c r="BY3108" s="115"/>
      <c r="BZ3108" s="115"/>
      <c r="CA3108" s="115"/>
      <c r="CB3108" s="115"/>
      <c r="CC3108" s="115"/>
      <c r="CD3108" s="115"/>
      <c r="CE3108" s="115"/>
      <c r="CF3108" s="115"/>
      <c r="CG3108" s="115"/>
      <c r="CH3108" s="115"/>
      <c r="CI3108" s="115"/>
      <c r="CJ3108" s="115"/>
      <c r="CK3108" s="115"/>
      <c r="CL3108" s="115"/>
      <c r="CM3108" s="115"/>
      <c r="CN3108" s="115"/>
      <c r="CO3108" s="115"/>
      <c r="CP3108" s="115"/>
      <c r="CQ3108" s="115"/>
      <c r="CR3108" s="115"/>
      <c r="CS3108" s="115"/>
      <c r="CT3108" s="115"/>
      <c r="CU3108" s="115"/>
      <c r="CV3108" s="115"/>
      <c r="CW3108" s="115"/>
      <c r="CX3108" s="115"/>
      <c r="CY3108" s="115"/>
      <c r="CZ3108" s="115"/>
      <c r="DA3108" s="115"/>
      <c r="DB3108" s="115"/>
      <c r="DC3108" s="115"/>
      <c r="DD3108" s="115"/>
      <c r="DE3108" s="115"/>
      <c r="DF3108" s="115"/>
      <c r="DG3108" s="115"/>
    </row>
    <row r="3109" spans="55:111" hidden="1">
      <c r="BC3109" s="115"/>
      <c r="BD3109" s="115"/>
      <c r="BE3109" s="115"/>
      <c r="BF3109" s="115"/>
      <c r="BG3109" s="115"/>
      <c r="BH3109" s="115"/>
      <c r="BI3109" s="115"/>
      <c r="BJ3109" s="115"/>
      <c r="BK3109" s="115"/>
      <c r="BL3109" s="115"/>
      <c r="BM3109" s="115"/>
      <c r="BN3109" s="115"/>
      <c r="BO3109" s="115"/>
      <c r="BP3109" s="115"/>
      <c r="BQ3109" s="115"/>
      <c r="BR3109" s="115"/>
      <c r="BS3109" s="115"/>
      <c r="BT3109" s="115"/>
      <c r="BU3109" s="115"/>
      <c r="BV3109" s="115"/>
      <c r="BW3109" s="115"/>
      <c r="BX3109" s="115"/>
      <c r="BY3109" s="115"/>
      <c r="BZ3109" s="115"/>
      <c r="CA3109" s="115"/>
      <c r="CB3109" s="115"/>
      <c r="CC3109" s="115"/>
      <c r="CD3109" s="115"/>
      <c r="CE3109" s="115"/>
      <c r="CF3109" s="115"/>
      <c r="CG3109" s="115"/>
      <c r="CH3109" s="115"/>
      <c r="CI3109" s="115"/>
      <c r="CJ3109" s="115"/>
      <c r="CK3109" s="115"/>
      <c r="CL3109" s="115"/>
      <c r="CM3109" s="115"/>
      <c r="CN3109" s="115"/>
      <c r="CO3109" s="115"/>
      <c r="CP3109" s="115"/>
      <c r="CQ3109" s="115"/>
      <c r="CR3109" s="115"/>
      <c r="CS3109" s="115"/>
      <c r="CT3109" s="115"/>
      <c r="CU3109" s="115"/>
      <c r="CV3109" s="115"/>
      <c r="CW3109" s="115"/>
      <c r="CX3109" s="115"/>
      <c r="CY3109" s="115"/>
      <c r="CZ3109" s="115"/>
      <c r="DA3109" s="115"/>
      <c r="DB3109" s="115"/>
      <c r="DC3109" s="115"/>
      <c r="DD3109" s="115"/>
      <c r="DE3109" s="115"/>
      <c r="DF3109" s="115"/>
      <c r="DG3109" s="115"/>
    </row>
    <row r="3110" spans="55:111" hidden="1">
      <c r="BC3110" s="115"/>
      <c r="BD3110" s="115"/>
      <c r="BE3110" s="115"/>
      <c r="BF3110" s="115"/>
      <c r="BG3110" s="115"/>
      <c r="BH3110" s="115"/>
      <c r="BI3110" s="115"/>
      <c r="BJ3110" s="115"/>
      <c r="BK3110" s="115"/>
      <c r="BL3110" s="115"/>
      <c r="BM3110" s="115"/>
      <c r="BN3110" s="115"/>
      <c r="BO3110" s="115"/>
      <c r="BP3110" s="115"/>
      <c r="BQ3110" s="115"/>
      <c r="BR3110" s="115"/>
      <c r="BS3110" s="115"/>
      <c r="BT3110" s="115"/>
      <c r="BU3110" s="115"/>
      <c r="BV3110" s="115"/>
      <c r="BW3110" s="115"/>
      <c r="BX3110" s="115"/>
      <c r="BY3110" s="115"/>
      <c r="BZ3110" s="115"/>
      <c r="CA3110" s="115"/>
      <c r="CB3110" s="115"/>
      <c r="CC3110" s="115"/>
      <c r="CD3110" s="115"/>
      <c r="CE3110" s="115"/>
      <c r="CF3110" s="115"/>
      <c r="CG3110" s="115"/>
      <c r="CH3110" s="115"/>
      <c r="CI3110" s="115"/>
      <c r="CJ3110" s="115"/>
      <c r="CK3110" s="115"/>
      <c r="CL3110" s="115"/>
      <c r="CM3110" s="115"/>
      <c r="CN3110" s="115"/>
      <c r="CO3110" s="115"/>
      <c r="CP3110" s="115"/>
      <c r="CQ3110" s="115"/>
      <c r="CR3110" s="115"/>
      <c r="CS3110" s="115"/>
      <c r="CT3110" s="115"/>
      <c r="CU3110" s="115"/>
      <c r="CV3110" s="115"/>
      <c r="CW3110" s="115"/>
      <c r="CX3110" s="115"/>
      <c r="CY3110" s="115"/>
      <c r="CZ3110" s="115"/>
      <c r="DA3110" s="115"/>
      <c r="DB3110" s="115"/>
      <c r="DC3110" s="115"/>
      <c r="DD3110" s="115"/>
      <c r="DE3110" s="115"/>
      <c r="DF3110" s="115"/>
      <c r="DG3110" s="115"/>
    </row>
    <row r="3111" spans="55:111" hidden="1">
      <c r="BC3111" s="115"/>
      <c r="BD3111" s="115"/>
      <c r="BE3111" s="115"/>
      <c r="BF3111" s="115"/>
      <c r="BG3111" s="115"/>
      <c r="BH3111" s="115"/>
      <c r="BI3111" s="115"/>
      <c r="BJ3111" s="115"/>
      <c r="BK3111" s="115"/>
      <c r="BL3111" s="115"/>
      <c r="BM3111" s="115"/>
      <c r="BN3111" s="115"/>
      <c r="BO3111" s="115"/>
      <c r="BP3111" s="115"/>
      <c r="BQ3111" s="115"/>
      <c r="BR3111" s="115"/>
      <c r="BS3111" s="115"/>
      <c r="BT3111" s="115"/>
      <c r="BU3111" s="115"/>
      <c r="BV3111" s="115"/>
      <c r="BW3111" s="115"/>
      <c r="BX3111" s="115"/>
      <c r="BY3111" s="115"/>
      <c r="BZ3111" s="115"/>
      <c r="CA3111" s="115"/>
      <c r="CB3111" s="115"/>
      <c r="CC3111" s="115"/>
      <c r="CD3111" s="115"/>
      <c r="CE3111" s="115"/>
      <c r="CF3111" s="115"/>
      <c r="CG3111" s="115"/>
      <c r="CH3111" s="115"/>
      <c r="CI3111" s="115"/>
      <c r="CJ3111" s="115"/>
      <c r="CK3111" s="115"/>
      <c r="CL3111" s="115"/>
      <c r="CM3111" s="115"/>
      <c r="CN3111" s="115"/>
      <c r="CO3111" s="115"/>
      <c r="CP3111" s="115"/>
      <c r="CQ3111" s="115"/>
      <c r="CR3111" s="115"/>
      <c r="CS3111" s="115"/>
      <c r="CT3111" s="115"/>
      <c r="CU3111" s="115"/>
      <c r="CV3111" s="115"/>
      <c r="CW3111" s="115"/>
      <c r="CX3111" s="115"/>
      <c r="CY3111" s="115"/>
      <c r="CZ3111" s="115"/>
      <c r="DA3111" s="115"/>
      <c r="DB3111" s="115"/>
      <c r="DC3111" s="115"/>
      <c r="DD3111" s="115"/>
      <c r="DE3111" s="115"/>
      <c r="DF3111" s="115"/>
      <c r="DG3111" s="115"/>
    </row>
    <row r="3112" spans="55:111" hidden="1">
      <c r="BC3112" s="115"/>
      <c r="BD3112" s="115"/>
      <c r="BE3112" s="115"/>
      <c r="BF3112" s="115"/>
      <c r="BG3112" s="115"/>
      <c r="BH3112" s="115"/>
      <c r="BI3112" s="115"/>
      <c r="BJ3112" s="115"/>
      <c r="BK3112" s="115"/>
      <c r="BL3112" s="115"/>
      <c r="BM3112" s="115"/>
      <c r="BN3112" s="115"/>
      <c r="BO3112" s="115"/>
      <c r="BP3112" s="115"/>
      <c r="BQ3112" s="115"/>
      <c r="BR3112" s="115"/>
      <c r="BS3112" s="115"/>
      <c r="BT3112" s="115"/>
      <c r="BU3112" s="115"/>
      <c r="BV3112" s="115"/>
      <c r="BW3112" s="115"/>
      <c r="BX3112" s="115"/>
      <c r="BY3112" s="115"/>
      <c r="BZ3112" s="115"/>
      <c r="CA3112" s="115"/>
      <c r="CB3112" s="115"/>
      <c r="CC3112" s="115"/>
      <c r="CD3112" s="115"/>
      <c r="CE3112" s="115"/>
      <c r="CF3112" s="115"/>
      <c r="CG3112" s="115"/>
      <c r="CH3112" s="115"/>
      <c r="CI3112" s="115"/>
      <c r="CJ3112" s="115"/>
      <c r="CK3112" s="115"/>
      <c r="CL3112" s="115"/>
      <c r="CM3112" s="115"/>
      <c r="CN3112" s="115"/>
      <c r="CO3112" s="115"/>
      <c r="CP3112" s="115"/>
      <c r="CQ3112" s="115"/>
      <c r="CR3112" s="115"/>
      <c r="CS3112" s="115"/>
      <c r="CT3112" s="115"/>
      <c r="CU3112" s="115"/>
      <c r="CV3112" s="115"/>
      <c r="CW3112" s="115"/>
      <c r="CX3112" s="115"/>
      <c r="CY3112" s="115"/>
      <c r="CZ3112" s="115"/>
      <c r="DA3112" s="115"/>
      <c r="DB3112" s="115"/>
      <c r="DC3112" s="115"/>
      <c r="DD3112" s="115"/>
      <c r="DE3112" s="115"/>
      <c r="DF3112" s="115"/>
      <c r="DG3112" s="115"/>
    </row>
    <row r="3113" spans="55:111" hidden="1">
      <c r="BC3113" s="115"/>
      <c r="BD3113" s="115"/>
      <c r="BE3113" s="115"/>
      <c r="BF3113" s="115"/>
      <c r="BG3113" s="115"/>
      <c r="BH3113" s="115"/>
      <c r="BI3113" s="115"/>
      <c r="BJ3113" s="115"/>
      <c r="BK3113" s="115"/>
      <c r="BL3113" s="115"/>
      <c r="BM3113" s="115"/>
      <c r="BN3113" s="115"/>
      <c r="BO3113" s="115"/>
      <c r="BP3113" s="115"/>
      <c r="BQ3113" s="115"/>
      <c r="BR3113" s="115"/>
      <c r="BS3113" s="115"/>
      <c r="BT3113" s="115"/>
      <c r="BU3113" s="115"/>
      <c r="BV3113" s="115"/>
      <c r="BW3113" s="115"/>
      <c r="BX3113" s="115"/>
      <c r="BY3113" s="115"/>
      <c r="BZ3113" s="115"/>
      <c r="CA3113" s="115"/>
      <c r="CB3113" s="115"/>
      <c r="CC3113" s="115"/>
      <c r="CD3113" s="115"/>
      <c r="CE3113" s="115"/>
      <c r="CF3113" s="115"/>
      <c r="CG3113" s="115"/>
      <c r="CH3113" s="115"/>
      <c r="CI3113" s="115"/>
      <c r="CJ3113" s="115"/>
      <c r="CK3113" s="115"/>
      <c r="CL3113" s="115"/>
      <c r="CM3113" s="115"/>
      <c r="CN3113" s="115"/>
      <c r="CO3113" s="115"/>
      <c r="CP3113" s="115"/>
      <c r="CQ3113" s="115"/>
      <c r="CR3113" s="115"/>
      <c r="CS3113" s="115"/>
      <c r="CT3113" s="115"/>
      <c r="CU3113" s="115"/>
      <c r="CV3113" s="115"/>
      <c r="CW3113" s="115"/>
      <c r="CX3113" s="115"/>
      <c r="CY3113" s="115"/>
      <c r="CZ3113" s="115"/>
      <c r="DA3113" s="115"/>
      <c r="DB3113" s="115"/>
      <c r="DC3113" s="115"/>
      <c r="DD3113" s="115"/>
      <c r="DE3113" s="115"/>
      <c r="DF3113" s="115"/>
      <c r="DG3113" s="115"/>
    </row>
    <row r="3114" spans="55:111" hidden="1">
      <c r="BC3114" s="115"/>
      <c r="BD3114" s="115"/>
      <c r="BE3114" s="115"/>
      <c r="BF3114" s="115"/>
      <c r="BG3114" s="115"/>
      <c r="BH3114" s="115"/>
      <c r="BI3114" s="115"/>
      <c r="BJ3114" s="115"/>
      <c r="BK3114" s="115"/>
      <c r="BL3114" s="115"/>
      <c r="BM3114" s="115"/>
      <c r="BN3114" s="115"/>
      <c r="BO3114" s="115"/>
      <c r="BP3114" s="115"/>
      <c r="BQ3114" s="115"/>
      <c r="BR3114" s="115"/>
      <c r="BS3114" s="115"/>
      <c r="BT3114" s="115"/>
      <c r="BU3114" s="115"/>
      <c r="BV3114" s="115"/>
      <c r="BW3114" s="115"/>
      <c r="BX3114" s="115"/>
      <c r="BY3114" s="115"/>
      <c r="BZ3114" s="115"/>
      <c r="CA3114" s="115"/>
      <c r="CB3114" s="115"/>
      <c r="CC3114" s="115"/>
      <c r="CD3114" s="115"/>
      <c r="CE3114" s="115"/>
      <c r="CF3114" s="115"/>
      <c r="CG3114" s="115"/>
      <c r="CH3114" s="115"/>
      <c r="CI3114" s="115"/>
      <c r="CJ3114" s="115"/>
      <c r="CK3114" s="115"/>
      <c r="CL3114" s="115"/>
      <c r="CM3114" s="115"/>
      <c r="CN3114" s="115"/>
      <c r="CO3114" s="115"/>
      <c r="CP3114" s="115"/>
      <c r="CQ3114" s="115"/>
      <c r="CR3114" s="115"/>
      <c r="CS3114" s="115"/>
      <c r="CT3114" s="115"/>
      <c r="CU3114" s="115"/>
      <c r="CV3114" s="115"/>
      <c r="CW3114" s="115"/>
      <c r="CX3114" s="115"/>
      <c r="CY3114" s="115"/>
      <c r="CZ3114" s="115"/>
      <c r="DA3114" s="115"/>
      <c r="DB3114" s="115"/>
      <c r="DC3114" s="115"/>
      <c r="DD3114" s="115"/>
      <c r="DE3114" s="115"/>
      <c r="DF3114" s="115"/>
      <c r="DG3114" s="115"/>
    </row>
    <row r="3115" spans="55:111" hidden="1">
      <c r="BC3115" s="115"/>
      <c r="BD3115" s="115"/>
      <c r="BE3115" s="115"/>
      <c r="BF3115" s="115"/>
      <c r="BG3115" s="115"/>
      <c r="BH3115" s="115"/>
      <c r="BI3115" s="115"/>
      <c r="BJ3115" s="115"/>
      <c r="BK3115" s="115"/>
      <c r="BL3115" s="115"/>
      <c r="BM3115" s="115"/>
      <c r="BN3115" s="115"/>
      <c r="BO3115" s="115"/>
      <c r="BP3115" s="115"/>
      <c r="BQ3115" s="115"/>
      <c r="BR3115" s="115"/>
      <c r="BS3115" s="115"/>
      <c r="BT3115" s="115"/>
      <c r="BU3115" s="115"/>
      <c r="BV3115" s="115"/>
      <c r="BW3115" s="115"/>
      <c r="BX3115" s="115"/>
      <c r="BY3115" s="115"/>
      <c r="BZ3115" s="115"/>
      <c r="CA3115" s="115"/>
      <c r="CB3115" s="115"/>
      <c r="CC3115" s="115"/>
      <c r="CD3115" s="115"/>
      <c r="CE3115" s="115"/>
      <c r="CF3115" s="115"/>
      <c r="CG3115" s="115"/>
      <c r="CH3115" s="115"/>
      <c r="CI3115" s="115"/>
      <c r="CJ3115" s="115"/>
      <c r="CK3115" s="115"/>
      <c r="CL3115" s="115"/>
      <c r="CM3115" s="115"/>
      <c r="CN3115" s="115"/>
      <c r="CO3115" s="115"/>
      <c r="CP3115" s="115"/>
      <c r="CQ3115" s="115"/>
      <c r="CR3115" s="115"/>
      <c r="CS3115" s="115"/>
      <c r="CT3115" s="115"/>
      <c r="CU3115" s="115"/>
      <c r="CV3115" s="115"/>
      <c r="CW3115" s="115"/>
      <c r="CX3115" s="115"/>
      <c r="CY3115" s="115"/>
      <c r="CZ3115" s="115"/>
      <c r="DA3115" s="115"/>
      <c r="DB3115" s="115"/>
      <c r="DC3115" s="115"/>
      <c r="DD3115" s="115"/>
      <c r="DE3115" s="115"/>
      <c r="DF3115" s="115"/>
      <c r="DG3115" s="115"/>
    </row>
    <row r="3116" spans="55:111" hidden="1">
      <c r="BC3116" s="115"/>
      <c r="BD3116" s="115"/>
      <c r="BE3116" s="115"/>
      <c r="BF3116" s="115"/>
      <c r="BG3116" s="115"/>
      <c r="BH3116" s="115"/>
      <c r="BI3116" s="115"/>
      <c r="BJ3116" s="115"/>
      <c r="BK3116" s="115"/>
      <c r="BL3116" s="115"/>
      <c r="BM3116" s="115"/>
      <c r="BN3116" s="115"/>
      <c r="BO3116" s="115"/>
      <c r="BP3116" s="115"/>
      <c r="BQ3116" s="115"/>
      <c r="BR3116" s="115"/>
      <c r="BS3116" s="115"/>
      <c r="BT3116" s="115"/>
      <c r="BU3116" s="115"/>
      <c r="BV3116" s="115"/>
      <c r="BW3116" s="115"/>
      <c r="BX3116" s="115"/>
      <c r="BY3116" s="115"/>
      <c r="BZ3116" s="115"/>
      <c r="CA3116" s="115"/>
      <c r="CB3116" s="115"/>
      <c r="CC3116" s="115"/>
      <c r="CD3116" s="115"/>
      <c r="CE3116" s="115"/>
      <c r="CF3116" s="115"/>
      <c r="CG3116" s="115"/>
      <c r="CH3116" s="115"/>
      <c r="CI3116" s="115"/>
      <c r="CJ3116" s="115"/>
      <c r="CK3116" s="115"/>
      <c r="CL3116" s="115"/>
      <c r="CM3116" s="115"/>
      <c r="CN3116" s="115"/>
      <c r="CO3116" s="115"/>
      <c r="CP3116" s="115"/>
      <c r="CQ3116" s="115"/>
      <c r="CR3116" s="115"/>
      <c r="CS3116" s="115"/>
      <c r="CT3116" s="115"/>
      <c r="CU3116" s="115"/>
      <c r="CV3116" s="115"/>
      <c r="CW3116" s="115"/>
      <c r="CX3116" s="115"/>
      <c r="CY3116" s="115"/>
      <c r="CZ3116" s="115"/>
      <c r="DA3116" s="115"/>
      <c r="DB3116" s="115"/>
      <c r="DC3116" s="115"/>
      <c r="DD3116" s="115"/>
      <c r="DE3116" s="115"/>
      <c r="DF3116" s="115"/>
      <c r="DG3116" s="115"/>
    </row>
    <row r="3117" spans="55:111" hidden="1">
      <c r="BC3117" s="115"/>
      <c r="BD3117" s="115"/>
      <c r="BE3117" s="115"/>
      <c r="BF3117" s="115"/>
      <c r="BG3117" s="115"/>
      <c r="BH3117" s="115"/>
      <c r="BI3117" s="115"/>
      <c r="BJ3117" s="115"/>
      <c r="BK3117" s="115"/>
      <c r="BL3117" s="115"/>
      <c r="BM3117" s="115"/>
      <c r="BN3117" s="115"/>
      <c r="BO3117" s="115"/>
      <c r="BP3117" s="115"/>
      <c r="BQ3117" s="115"/>
      <c r="BR3117" s="115"/>
      <c r="BS3117" s="115"/>
      <c r="BT3117" s="115"/>
      <c r="BU3117" s="115"/>
      <c r="BV3117" s="115"/>
      <c r="BW3117" s="115"/>
      <c r="BX3117" s="115"/>
      <c r="BY3117" s="115"/>
      <c r="BZ3117" s="115"/>
      <c r="CA3117" s="115"/>
      <c r="CB3117" s="115"/>
      <c r="CC3117" s="115"/>
      <c r="CD3117" s="115"/>
      <c r="CE3117" s="115"/>
      <c r="CF3117" s="115"/>
      <c r="CG3117" s="115"/>
      <c r="CH3117" s="115"/>
      <c r="CI3117" s="115"/>
      <c r="CJ3117" s="115"/>
      <c r="CK3117" s="115"/>
      <c r="CL3117" s="115"/>
      <c r="CM3117" s="115"/>
      <c r="CN3117" s="115"/>
      <c r="CO3117" s="115"/>
      <c r="CP3117" s="115"/>
      <c r="CQ3117" s="115"/>
      <c r="CR3117" s="115"/>
      <c r="CS3117" s="115"/>
      <c r="CT3117" s="115"/>
      <c r="CU3117" s="115"/>
      <c r="CV3117" s="115"/>
      <c r="CW3117" s="115"/>
      <c r="CX3117" s="115"/>
      <c r="CY3117" s="115"/>
      <c r="CZ3117" s="115"/>
      <c r="DA3117" s="115"/>
      <c r="DB3117" s="115"/>
      <c r="DC3117" s="115"/>
      <c r="DD3117" s="115"/>
      <c r="DE3117" s="115"/>
      <c r="DF3117" s="115"/>
      <c r="DG3117" s="115"/>
    </row>
    <row r="3118" spans="55:111" hidden="1">
      <c r="BC3118" s="115"/>
      <c r="BD3118" s="115"/>
      <c r="BE3118" s="115"/>
      <c r="BF3118" s="115"/>
      <c r="BG3118" s="115"/>
      <c r="BH3118" s="115"/>
      <c r="BI3118" s="115"/>
      <c r="BJ3118" s="115"/>
      <c r="BK3118" s="115"/>
      <c r="BL3118" s="115"/>
      <c r="BM3118" s="115"/>
      <c r="BN3118" s="115"/>
      <c r="BO3118" s="115"/>
      <c r="BP3118" s="115"/>
      <c r="BQ3118" s="115"/>
      <c r="BR3118" s="115"/>
      <c r="BS3118" s="115"/>
      <c r="BT3118" s="115"/>
      <c r="BU3118" s="115"/>
      <c r="BV3118" s="115"/>
      <c r="BW3118" s="115"/>
      <c r="BX3118" s="115"/>
      <c r="BY3118" s="115"/>
      <c r="BZ3118" s="115"/>
      <c r="CA3118" s="115"/>
      <c r="CB3118" s="115"/>
      <c r="CC3118" s="115"/>
      <c r="CD3118" s="115"/>
      <c r="CE3118" s="115"/>
      <c r="CF3118" s="115"/>
      <c r="CG3118" s="115"/>
      <c r="CH3118" s="115"/>
      <c r="CI3118" s="115"/>
      <c r="CJ3118" s="115"/>
      <c r="CK3118" s="115"/>
      <c r="CL3118" s="115"/>
      <c r="CM3118" s="115"/>
      <c r="CN3118" s="115"/>
      <c r="CO3118" s="115"/>
      <c r="CP3118" s="115"/>
      <c r="CQ3118" s="115"/>
      <c r="CR3118" s="115"/>
      <c r="CS3118" s="115"/>
      <c r="CT3118" s="115"/>
      <c r="CU3118" s="115"/>
      <c r="CV3118" s="115"/>
      <c r="CW3118" s="115"/>
      <c r="CX3118" s="115"/>
      <c r="CY3118" s="115"/>
      <c r="CZ3118" s="115"/>
      <c r="DA3118" s="115"/>
      <c r="DB3118" s="115"/>
      <c r="DC3118" s="115"/>
      <c r="DD3118" s="115"/>
      <c r="DE3118" s="115"/>
      <c r="DF3118" s="115"/>
      <c r="DG3118" s="115"/>
    </row>
    <row r="3119" spans="55:111" hidden="1">
      <c r="BC3119" s="115"/>
      <c r="BD3119" s="115"/>
      <c r="BE3119" s="115"/>
      <c r="BF3119" s="115"/>
      <c r="BG3119" s="115"/>
      <c r="BH3119" s="115"/>
      <c r="BI3119" s="115"/>
      <c r="BJ3119" s="115"/>
      <c r="BK3119" s="115"/>
      <c r="BL3119" s="115"/>
      <c r="BM3119" s="115"/>
      <c r="BN3119" s="115"/>
      <c r="BO3119" s="115"/>
      <c r="BP3119" s="115"/>
      <c r="BQ3119" s="115"/>
      <c r="BR3119" s="115"/>
      <c r="BS3119" s="115"/>
      <c r="BT3119" s="115"/>
      <c r="BU3119" s="115"/>
      <c r="BV3119" s="115"/>
      <c r="BW3119" s="115"/>
      <c r="BX3119" s="115"/>
      <c r="BY3119" s="115"/>
      <c r="BZ3119" s="115"/>
      <c r="CA3119" s="115"/>
      <c r="CB3119" s="115"/>
      <c r="CC3119" s="115"/>
      <c r="CD3119" s="115"/>
      <c r="CE3119" s="115"/>
      <c r="CF3119" s="115"/>
      <c r="CG3119" s="115"/>
      <c r="CH3119" s="115"/>
      <c r="CI3119" s="115"/>
      <c r="CJ3119" s="115"/>
      <c r="CK3119" s="115"/>
      <c r="CL3119" s="115"/>
      <c r="CM3119" s="115"/>
      <c r="CN3119" s="115"/>
      <c r="CO3119" s="115"/>
      <c r="CP3119" s="115"/>
      <c r="CQ3119" s="115"/>
      <c r="CR3119" s="115"/>
      <c r="CS3119" s="115"/>
      <c r="CT3119" s="115"/>
      <c r="CU3119" s="115"/>
      <c r="CV3119" s="115"/>
      <c r="CW3119" s="115"/>
      <c r="CX3119" s="115"/>
      <c r="CY3119" s="115"/>
      <c r="CZ3119" s="115"/>
      <c r="DA3119" s="115"/>
      <c r="DB3119" s="115"/>
      <c r="DC3119" s="115"/>
      <c r="DD3119" s="115"/>
      <c r="DE3119" s="115"/>
      <c r="DF3119" s="115"/>
      <c r="DG3119" s="115"/>
    </row>
    <row r="3120" spans="55:111" hidden="1">
      <c r="BC3120" s="115"/>
      <c r="BD3120" s="115"/>
      <c r="BE3120" s="115"/>
      <c r="BF3120" s="115"/>
      <c r="BG3120" s="115"/>
      <c r="BH3120" s="115"/>
      <c r="BI3120" s="115"/>
      <c r="BJ3120" s="115"/>
      <c r="BK3120" s="115"/>
      <c r="BL3120" s="115"/>
      <c r="BM3120" s="115"/>
      <c r="BN3120" s="115"/>
      <c r="BO3120" s="115"/>
      <c r="BP3120" s="115"/>
      <c r="BQ3120" s="115"/>
      <c r="BR3120" s="115"/>
      <c r="BS3120" s="115"/>
      <c r="BT3120" s="115"/>
      <c r="BU3120" s="115"/>
      <c r="BV3120" s="115"/>
      <c r="BW3120" s="115"/>
      <c r="BX3120" s="115"/>
      <c r="BY3120" s="115"/>
      <c r="BZ3120" s="115"/>
      <c r="CA3120" s="115"/>
      <c r="CB3120" s="115"/>
      <c r="CC3120" s="115"/>
      <c r="CD3120" s="115"/>
      <c r="CE3120" s="115"/>
      <c r="CF3120" s="115"/>
      <c r="CG3120" s="115"/>
      <c r="CH3120" s="115"/>
      <c r="CI3120" s="115"/>
      <c r="CJ3120" s="115"/>
      <c r="CK3120" s="115"/>
      <c r="CL3120" s="115"/>
      <c r="CM3120" s="115"/>
      <c r="CN3120" s="115"/>
      <c r="CO3120" s="115"/>
      <c r="CP3120" s="115"/>
      <c r="CQ3120" s="115"/>
      <c r="CR3120" s="115"/>
      <c r="CS3120" s="115"/>
      <c r="CT3120" s="115"/>
      <c r="CU3120" s="115"/>
      <c r="CV3120" s="115"/>
      <c r="CW3120" s="115"/>
      <c r="CX3120" s="115"/>
      <c r="CY3120" s="115"/>
      <c r="CZ3120" s="115"/>
      <c r="DA3120" s="115"/>
      <c r="DB3120" s="115"/>
      <c r="DC3120" s="115"/>
      <c r="DD3120" s="115"/>
      <c r="DE3120" s="115"/>
      <c r="DF3120" s="115"/>
      <c r="DG3120" s="115"/>
    </row>
    <row r="3121" spans="55:111" hidden="1">
      <c r="BC3121" s="115"/>
      <c r="BD3121" s="115"/>
      <c r="BE3121" s="115"/>
      <c r="BF3121" s="115"/>
      <c r="BG3121" s="115"/>
      <c r="BH3121" s="115"/>
      <c r="BI3121" s="115"/>
      <c r="BJ3121" s="115"/>
      <c r="BK3121" s="115"/>
      <c r="BL3121" s="115"/>
      <c r="BM3121" s="115"/>
      <c r="BN3121" s="115"/>
      <c r="BO3121" s="115"/>
      <c r="BP3121" s="115"/>
      <c r="BQ3121" s="115"/>
      <c r="BR3121" s="115"/>
      <c r="BS3121" s="115"/>
      <c r="BT3121" s="115"/>
      <c r="BU3121" s="115"/>
      <c r="BV3121" s="115"/>
      <c r="BW3121" s="115"/>
      <c r="BX3121" s="115"/>
      <c r="BY3121" s="115"/>
      <c r="BZ3121" s="115"/>
      <c r="CA3121" s="115"/>
      <c r="CB3121" s="115"/>
      <c r="CC3121" s="115"/>
      <c r="CD3121" s="115"/>
      <c r="CE3121" s="115"/>
      <c r="CF3121" s="115"/>
      <c r="CG3121" s="115"/>
      <c r="CH3121" s="115"/>
      <c r="CI3121" s="115"/>
      <c r="CJ3121" s="115"/>
      <c r="CK3121" s="115"/>
      <c r="CL3121" s="115"/>
      <c r="CM3121" s="115"/>
      <c r="CN3121" s="115"/>
      <c r="CO3121" s="115"/>
      <c r="CP3121" s="115"/>
      <c r="CQ3121" s="115"/>
      <c r="CR3121" s="115"/>
      <c r="CS3121" s="115"/>
      <c r="CT3121" s="115"/>
      <c r="CU3121" s="115"/>
      <c r="CV3121" s="115"/>
      <c r="CW3121" s="115"/>
      <c r="CX3121" s="115"/>
      <c r="CY3121" s="115"/>
      <c r="CZ3121" s="115"/>
      <c r="DA3121" s="115"/>
      <c r="DB3121" s="115"/>
      <c r="DC3121" s="115"/>
      <c r="DD3121" s="115"/>
      <c r="DE3121" s="115"/>
      <c r="DF3121" s="115"/>
      <c r="DG3121" s="115"/>
    </row>
    <row r="3122" spans="55:111" hidden="1">
      <c r="BC3122" s="115"/>
      <c r="BD3122" s="115"/>
      <c r="BE3122" s="115"/>
      <c r="BF3122" s="115"/>
      <c r="BG3122" s="115"/>
      <c r="BH3122" s="115"/>
      <c r="BI3122" s="115"/>
      <c r="BJ3122" s="115"/>
      <c r="BK3122" s="115"/>
      <c r="BL3122" s="115"/>
      <c r="BM3122" s="115"/>
      <c r="BN3122" s="115"/>
      <c r="BO3122" s="115"/>
      <c r="BP3122" s="115"/>
      <c r="BQ3122" s="115"/>
      <c r="BR3122" s="115"/>
      <c r="BS3122" s="115"/>
      <c r="BT3122" s="115"/>
      <c r="BU3122" s="115"/>
      <c r="BV3122" s="115"/>
      <c r="BW3122" s="115"/>
      <c r="BX3122" s="115"/>
      <c r="BY3122" s="115"/>
      <c r="BZ3122" s="115"/>
      <c r="CA3122" s="115"/>
      <c r="CB3122" s="115"/>
      <c r="CC3122" s="115"/>
      <c r="CD3122" s="115"/>
      <c r="CE3122" s="115"/>
      <c r="CF3122" s="115"/>
      <c r="CG3122" s="115"/>
      <c r="CH3122" s="115"/>
      <c r="CI3122" s="115"/>
      <c r="CJ3122" s="115"/>
      <c r="CK3122" s="115"/>
      <c r="CL3122" s="115"/>
      <c r="CM3122" s="115"/>
      <c r="CN3122" s="115"/>
      <c r="CO3122" s="115"/>
      <c r="CP3122" s="115"/>
      <c r="CQ3122" s="115"/>
      <c r="CR3122" s="115"/>
      <c r="CS3122" s="115"/>
      <c r="CT3122" s="115"/>
      <c r="CU3122" s="115"/>
      <c r="CV3122" s="115"/>
      <c r="CW3122" s="115"/>
      <c r="CX3122" s="115"/>
      <c r="CY3122" s="115"/>
      <c r="CZ3122" s="115"/>
      <c r="DA3122" s="115"/>
      <c r="DB3122" s="115"/>
      <c r="DC3122" s="115"/>
      <c r="DD3122" s="115"/>
      <c r="DE3122" s="115"/>
      <c r="DF3122" s="115"/>
      <c r="DG3122" s="115"/>
    </row>
    <row r="3123" spans="55:111" hidden="1">
      <c r="BC3123" s="115"/>
      <c r="BD3123" s="115"/>
      <c r="BE3123" s="115"/>
      <c r="BF3123" s="115"/>
      <c r="BG3123" s="115"/>
      <c r="BH3123" s="115"/>
      <c r="BI3123" s="115"/>
      <c r="BJ3123" s="115"/>
      <c r="BK3123" s="115"/>
      <c r="BL3123" s="115"/>
      <c r="BM3123" s="115"/>
      <c r="BN3123" s="115"/>
      <c r="BO3123" s="115"/>
      <c r="BP3123" s="115"/>
      <c r="BQ3123" s="115"/>
      <c r="BR3123" s="115"/>
      <c r="BS3123" s="115"/>
      <c r="BT3123" s="115"/>
      <c r="BU3123" s="115"/>
      <c r="BV3123" s="115"/>
      <c r="BW3123" s="115"/>
      <c r="BX3123" s="115"/>
      <c r="BY3123" s="115"/>
      <c r="BZ3123" s="115"/>
      <c r="CA3123" s="115"/>
      <c r="CB3123" s="115"/>
      <c r="CC3123" s="115"/>
      <c r="CD3123" s="115"/>
      <c r="CE3123" s="115"/>
      <c r="CF3123" s="115"/>
      <c r="CG3123" s="115"/>
      <c r="CH3123" s="115"/>
      <c r="CI3123" s="115"/>
      <c r="CJ3123" s="115"/>
      <c r="CK3123" s="115"/>
      <c r="CL3123" s="115"/>
      <c r="CM3123" s="115"/>
      <c r="CN3123" s="115"/>
      <c r="CO3123" s="115"/>
      <c r="CP3123" s="115"/>
      <c r="CQ3123" s="115"/>
      <c r="CR3123" s="115"/>
      <c r="CS3123" s="115"/>
      <c r="CT3123" s="115"/>
      <c r="CU3123" s="115"/>
      <c r="CV3123" s="115"/>
      <c r="CW3123" s="115"/>
      <c r="CX3123" s="115"/>
      <c r="CY3123" s="115"/>
      <c r="CZ3123" s="115"/>
      <c r="DA3123" s="115"/>
      <c r="DB3123" s="115"/>
      <c r="DC3123" s="115"/>
      <c r="DD3123" s="115"/>
      <c r="DE3123" s="115"/>
      <c r="DF3123" s="115"/>
      <c r="DG3123" s="115"/>
    </row>
    <row r="3124" spans="55:111" hidden="1">
      <c r="BC3124" s="115"/>
      <c r="BD3124" s="115"/>
      <c r="BE3124" s="115"/>
      <c r="BF3124" s="115"/>
      <c r="BG3124" s="115"/>
      <c r="BH3124" s="115"/>
      <c r="BI3124" s="115"/>
      <c r="BJ3124" s="115"/>
      <c r="BK3124" s="115"/>
      <c r="BL3124" s="115"/>
      <c r="BM3124" s="115"/>
      <c r="BN3124" s="115"/>
      <c r="BO3124" s="115"/>
      <c r="BP3124" s="115"/>
      <c r="BQ3124" s="115"/>
      <c r="BR3124" s="115"/>
      <c r="BS3124" s="115"/>
      <c r="BT3124" s="115"/>
      <c r="BU3124" s="115"/>
      <c r="BV3124" s="115"/>
      <c r="BW3124" s="115"/>
      <c r="BX3124" s="115"/>
      <c r="BY3124" s="115"/>
      <c r="BZ3124" s="115"/>
      <c r="CA3124" s="115"/>
      <c r="CB3124" s="115"/>
      <c r="CC3124" s="115"/>
      <c r="CD3124" s="115"/>
      <c r="CE3124" s="115"/>
      <c r="CF3124" s="115"/>
      <c r="CG3124" s="115"/>
      <c r="CH3124" s="115"/>
      <c r="CI3124" s="115"/>
      <c r="CJ3124" s="115"/>
      <c r="CK3124" s="115"/>
      <c r="CL3124" s="115"/>
      <c r="CM3124" s="115"/>
      <c r="CN3124" s="115"/>
      <c r="CO3124" s="115"/>
      <c r="CP3124" s="115"/>
      <c r="CQ3124" s="115"/>
      <c r="CR3124" s="115"/>
      <c r="CS3124" s="115"/>
      <c r="CT3124" s="115"/>
      <c r="CU3124" s="115"/>
      <c r="CV3124" s="115"/>
      <c r="CW3124" s="115"/>
      <c r="CX3124" s="115"/>
      <c r="CY3124" s="115"/>
      <c r="CZ3124" s="115"/>
      <c r="DA3124" s="115"/>
      <c r="DB3124" s="115"/>
      <c r="DC3124" s="115"/>
      <c r="DD3124" s="115"/>
      <c r="DE3124" s="115"/>
      <c r="DF3124" s="115"/>
      <c r="DG3124" s="115"/>
    </row>
    <row r="3125" spans="55:111" hidden="1">
      <c r="BC3125" s="115"/>
      <c r="BD3125" s="115"/>
      <c r="BE3125" s="115"/>
      <c r="BF3125" s="115"/>
      <c r="BG3125" s="115"/>
      <c r="BH3125" s="115"/>
      <c r="BI3125" s="115"/>
      <c r="BJ3125" s="115"/>
      <c r="BK3125" s="115"/>
      <c r="BL3125" s="115"/>
      <c r="BM3125" s="115"/>
      <c r="BN3125" s="115"/>
      <c r="BO3125" s="115"/>
      <c r="BP3125" s="115"/>
      <c r="BQ3125" s="115"/>
      <c r="BR3125" s="115"/>
      <c r="BS3125" s="115"/>
      <c r="BT3125" s="115"/>
      <c r="BU3125" s="115"/>
      <c r="BV3125" s="115"/>
      <c r="BW3125" s="115"/>
      <c r="BX3125" s="115"/>
      <c r="BY3125" s="115"/>
      <c r="BZ3125" s="115"/>
      <c r="CA3125" s="115"/>
      <c r="CB3125" s="115"/>
      <c r="CC3125" s="115"/>
      <c r="CD3125" s="115"/>
      <c r="CE3125" s="115"/>
      <c r="CF3125" s="115"/>
      <c r="CG3125" s="115"/>
      <c r="CH3125" s="115"/>
      <c r="CI3125" s="115"/>
      <c r="CJ3125" s="115"/>
      <c r="CK3125" s="115"/>
      <c r="CL3125" s="115"/>
      <c r="CM3125" s="115"/>
      <c r="CN3125" s="115"/>
      <c r="CO3125" s="115"/>
      <c r="CP3125" s="115"/>
      <c r="CQ3125" s="115"/>
      <c r="CR3125" s="115"/>
      <c r="CS3125" s="115"/>
      <c r="CT3125" s="115"/>
      <c r="CU3125" s="115"/>
      <c r="CV3125" s="115"/>
      <c r="CW3125" s="115"/>
      <c r="CX3125" s="115"/>
      <c r="CY3125" s="115"/>
      <c r="CZ3125" s="115"/>
      <c r="DA3125" s="115"/>
      <c r="DB3125" s="115"/>
      <c r="DC3125" s="115"/>
      <c r="DD3125" s="115"/>
      <c r="DE3125" s="115"/>
      <c r="DF3125" s="115"/>
      <c r="DG3125" s="115"/>
    </row>
    <row r="3126" spans="55:111" hidden="1">
      <c r="BC3126" s="115"/>
      <c r="BD3126" s="115"/>
      <c r="BE3126" s="115"/>
      <c r="BF3126" s="115"/>
      <c r="BG3126" s="115"/>
      <c r="BH3126" s="115"/>
      <c r="BI3126" s="115"/>
      <c r="BJ3126" s="115"/>
      <c r="BK3126" s="115"/>
      <c r="BL3126" s="115"/>
      <c r="BM3126" s="115"/>
      <c r="BN3126" s="115"/>
      <c r="BO3126" s="115"/>
      <c r="BP3126" s="115"/>
      <c r="BQ3126" s="115"/>
      <c r="BR3126" s="115"/>
      <c r="BS3126" s="115"/>
      <c r="BT3126" s="115"/>
      <c r="BU3126" s="115"/>
      <c r="BV3126" s="115"/>
      <c r="BW3126" s="115"/>
      <c r="BX3126" s="115"/>
      <c r="BY3126" s="115"/>
      <c r="BZ3126" s="115"/>
      <c r="CA3126" s="115"/>
      <c r="CB3126" s="115"/>
      <c r="CC3126" s="115"/>
      <c r="CD3126" s="115"/>
      <c r="CE3126" s="115"/>
      <c r="CF3126" s="115"/>
      <c r="CG3126" s="115"/>
      <c r="CH3126" s="115"/>
      <c r="CI3126" s="115"/>
      <c r="CJ3126" s="115"/>
      <c r="CK3126" s="115"/>
      <c r="CL3126" s="115"/>
      <c r="CM3126" s="115"/>
      <c r="CN3126" s="115"/>
      <c r="CO3126" s="115"/>
      <c r="CP3126" s="115"/>
      <c r="CQ3126" s="115"/>
      <c r="CR3126" s="115"/>
      <c r="CS3126" s="115"/>
      <c r="CT3126" s="115"/>
      <c r="CU3126" s="115"/>
      <c r="CV3126" s="115"/>
      <c r="CW3126" s="115"/>
      <c r="CX3126" s="115"/>
      <c r="CY3126" s="115"/>
      <c r="CZ3126" s="115"/>
      <c r="DA3126" s="115"/>
      <c r="DB3126" s="115"/>
      <c r="DC3126" s="115"/>
      <c r="DD3126" s="115"/>
      <c r="DE3126" s="115"/>
      <c r="DF3126" s="115"/>
      <c r="DG3126" s="115"/>
    </row>
    <row r="3127" spans="55:111" hidden="1">
      <c r="BC3127" s="115"/>
      <c r="BD3127" s="115"/>
      <c r="BE3127" s="115"/>
      <c r="BF3127" s="115"/>
      <c r="BG3127" s="115"/>
      <c r="BH3127" s="115"/>
      <c r="BI3127" s="115"/>
      <c r="BJ3127" s="115"/>
      <c r="BK3127" s="115"/>
      <c r="BL3127" s="115"/>
      <c r="BM3127" s="115"/>
      <c r="BN3127" s="115"/>
      <c r="BO3127" s="115"/>
      <c r="BP3127" s="115"/>
      <c r="BQ3127" s="115"/>
      <c r="BR3127" s="115"/>
      <c r="BS3127" s="115"/>
      <c r="BT3127" s="115"/>
      <c r="BU3127" s="115"/>
      <c r="BV3127" s="115"/>
      <c r="BW3127" s="115"/>
      <c r="BX3127" s="115"/>
      <c r="BY3127" s="115"/>
      <c r="BZ3127" s="115"/>
      <c r="CA3127" s="115"/>
      <c r="CB3127" s="115"/>
      <c r="CC3127" s="115"/>
      <c r="CD3127" s="115"/>
      <c r="CE3127" s="115"/>
      <c r="CF3127" s="115"/>
      <c r="CG3127" s="115"/>
      <c r="CH3127" s="115"/>
      <c r="CI3127" s="115"/>
      <c r="CJ3127" s="115"/>
      <c r="CK3127" s="115"/>
      <c r="CL3127" s="115"/>
      <c r="CM3127" s="115"/>
      <c r="CN3127" s="115"/>
      <c r="CO3127" s="115"/>
      <c r="CP3127" s="115"/>
      <c r="CQ3127" s="115"/>
      <c r="CR3127" s="115"/>
      <c r="CS3127" s="115"/>
      <c r="CT3127" s="115"/>
      <c r="CU3127" s="115"/>
      <c r="CV3127" s="115"/>
      <c r="CW3127" s="115"/>
      <c r="CX3127" s="115"/>
      <c r="CY3127" s="115"/>
      <c r="CZ3127" s="115"/>
      <c r="DA3127" s="115"/>
      <c r="DB3127" s="115"/>
      <c r="DC3127" s="115"/>
      <c r="DD3127" s="115"/>
      <c r="DE3127" s="115"/>
      <c r="DF3127" s="115"/>
      <c r="DG3127" s="115"/>
    </row>
    <row r="3128" spans="55:111" hidden="1">
      <c r="BC3128" s="115"/>
      <c r="BD3128" s="115"/>
      <c r="BE3128" s="115"/>
      <c r="BF3128" s="115"/>
      <c r="BG3128" s="115"/>
      <c r="BH3128" s="115"/>
      <c r="BI3128" s="115"/>
      <c r="BJ3128" s="115"/>
      <c r="BK3128" s="115"/>
      <c r="BL3128" s="115"/>
      <c r="BM3128" s="115"/>
      <c r="BN3128" s="115"/>
      <c r="BO3128" s="115"/>
      <c r="BP3128" s="115"/>
      <c r="BQ3128" s="115"/>
      <c r="BR3128" s="115"/>
      <c r="BS3128" s="115"/>
      <c r="BT3128" s="115"/>
      <c r="BU3128" s="115"/>
      <c r="BV3128" s="115"/>
      <c r="BW3128" s="115"/>
      <c r="BX3128" s="115"/>
      <c r="BY3128" s="115"/>
      <c r="BZ3128" s="115"/>
      <c r="CA3128" s="115"/>
      <c r="CB3128" s="115"/>
      <c r="CC3128" s="115"/>
      <c r="CD3128" s="115"/>
      <c r="CE3128" s="115"/>
      <c r="CF3128" s="115"/>
      <c r="CG3128" s="115"/>
      <c r="CH3128" s="115"/>
      <c r="CI3128" s="115"/>
      <c r="CJ3128" s="115"/>
      <c r="CK3128" s="115"/>
      <c r="CL3128" s="115"/>
      <c r="CM3128" s="115"/>
      <c r="CN3128" s="115"/>
      <c r="CO3128" s="115"/>
      <c r="CP3128" s="115"/>
      <c r="CQ3128" s="115"/>
      <c r="CR3128" s="115"/>
      <c r="CS3128" s="115"/>
      <c r="CT3128" s="115"/>
      <c r="CU3128" s="115"/>
      <c r="CV3128" s="115"/>
      <c r="CW3128" s="115"/>
      <c r="CX3128" s="115"/>
      <c r="CY3128" s="115"/>
      <c r="CZ3128" s="115"/>
      <c r="DA3128" s="115"/>
      <c r="DB3128" s="115"/>
      <c r="DC3128" s="115"/>
      <c r="DD3128" s="115"/>
      <c r="DE3128" s="115"/>
      <c r="DF3128" s="115"/>
      <c r="DG3128" s="115"/>
    </row>
    <row r="3129" spans="55:111" hidden="1">
      <c r="BC3129" s="115"/>
      <c r="BD3129" s="115"/>
      <c r="BE3129" s="115"/>
      <c r="BF3129" s="115"/>
      <c r="BG3129" s="115"/>
      <c r="BH3129" s="115"/>
      <c r="BI3129" s="115"/>
      <c r="BJ3129" s="115"/>
      <c r="BK3129" s="115"/>
      <c r="BL3129" s="115"/>
      <c r="BM3129" s="115"/>
      <c r="BN3129" s="115"/>
      <c r="BO3129" s="115"/>
      <c r="BP3129" s="115"/>
      <c r="BQ3129" s="115"/>
      <c r="BR3129" s="115"/>
      <c r="BS3129" s="115"/>
      <c r="BT3129" s="115"/>
      <c r="BU3129" s="115"/>
      <c r="BV3129" s="115"/>
      <c r="BW3129" s="115"/>
      <c r="BX3129" s="115"/>
      <c r="BY3129" s="115"/>
      <c r="BZ3129" s="115"/>
      <c r="CA3129" s="115"/>
      <c r="CB3129" s="115"/>
      <c r="CC3129" s="115"/>
      <c r="CD3129" s="115"/>
      <c r="CE3129" s="115"/>
      <c r="CF3129" s="115"/>
      <c r="CG3129" s="115"/>
      <c r="CH3129" s="115"/>
      <c r="CI3129" s="115"/>
      <c r="CJ3129" s="115"/>
      <c r="CK3129" s="115"/>
      <c r="CL3129" s="115"/>
      <c r="CM3129" s="115"/>
      <c r="CN3129" s="115"/>
      <c r="CO3129" s="115"/>
      <c r="CP3129" s="115"/>
      <c r="CQ3129" s="115"/>
      <c r="CR3129" s="115"/>
      <c r="CS3129" s="115"/>
      <c r="CT3129" s="115"/>
      <c r="CU3129" s="115"/>
      <c r="CV3129" s="115"/>
      <c r="CW3129" s="115"/>
      <c r="CX3129" s="115"/>
      <c r="CY3129" s="115"/>
      <c r="CZ3129" s="115"/>
      <c r="DA3129" s="115"/>
      <c r="DB3129" s="115"/>
      <c r="DC3129" s="115"/>
      <c r="DD3129" s="115"/>
      <c r="DE3129" s="115"/>
      <c r="DF3129" s="115"/>
      <c r="DG3129" s="115"/>
    </row>
    <row r="3130" spans="55:111" hidden="1">
      <c r="BC3130" s="115"/>
      <c r="BD3130" s="115"/>
      <c r="BE3130" s="115"/>
      <c r="BF3130" s="115"/>
      <c r="BG3130" s="115"/>
      <c r="BH3130" s="115"/>
      <c r="BI3130" s="115"/>
      <c r="BJ3130" s="115"/>
      <c r="BK3130" s="115"/>
      <c r="BL3130" s="115"/>
      <c r="BM3130" s="115"/>
      <c r="BN3130" s="115"/>
      <c r="BO3130" s="115"/>
      <c r="BP3130" s="115"/>
      <c r="BQ3130" s="115"/>
      <c r="BR3130" s="115"/>
      <c r="BS3130" s="115"/>
      <c r="BT3130" s="115"/>
      <c r="BU3130" s="115"/>
      <c r="BV3130" s="115"/>
      <c r="BW3130" s="115"/>
      <c r="BX3130" s="115"/>
      <c r="BY3130" s="115"/>
      <c r="BZ3130" s="115"/>
      <c r="CA3130" s="115"/>
      <c r="CB3130" s="115"/>
      <c r="CC3130" s="115"/>
      <c r="CD3130" s="115"/>
      <c r="CE3130" s="115"/>
      <c r="CF3130" s="115"/>
      <c r="CG3130" s="115"/>
      <c r="CH3130" s="115"/>
      <c r="CI3130" s="115"/>
      <c r="CJ3130" s="115"/>
      <c r="CK3130" s="115"/>
      <c r="CL3130" s="115"/>
      <c r="CM3130" s="115"/>
      <c r="CN3130" s="115"/>
      <c r="CO3130" s="115"/>
      <c r="CP3130" s="115"/>
      <c r="CQ3130" s="115"/>
      <c r="CR3130" s="115"/>
      <c r="CS3130" s="115"/>
      <c r="CT3130" s="115"/>
      <c r="CU3130" s="115"/>
      <c r="CV3130" s="115"/>
      <c r="CW3130" s="115"/>
      <c r="CX3130" s="115"/>
      <c r="CY3130" s="115"/>
      <c r="CZ3130" s="115"/>
      <c r="DA3130" s="115"/>
      <c r="DB3130" s="115"/>
      <c r="DC3130" s="115"/>
      <c r="DD3130" s="115"/>
      <c r="DE3130" s="115"/>
      <c r="DF3130" s="115"/>
      <c r="DG3130" s="115"/>
    </row>
    <row r="3131" spans="55:111" hidden="1">
      <c r="BC3131" s="115"/>
      <c r="BD3131" s="115"/>
      <c r="BE3131" s="115"/>
      <c r="BF3131" s="115"/>
      <c r="BG3131" s="115"/>
      <c r="BH3131" s="115"/>
      <c r="BI3131" s="115"/>
      <c r="BJ3131" s="115"/>
      <c r="BK3131" s="115"/>
      <c r="BL3131" s="115"/>
      <c r="BM3131" s="115"/>
      <c r="BN3131" s="115"/>
      <c r="BO3131" s="115"/>
      <c r="BP3131" s="115"/>
      <c r="BQ3131" s="115"/>
      <c r="BR3131" s="115"/>
      <c r="BS3131" s="115"/>
      <c r="BT3131" s="115"/>
      <c r="BU3131" s="115"/>
      <c r="BV3131" s="115"/>
      <c r="BW3131" s="115"/>
      <c r="BX3131" s="115"/>
      <c r="BY3131" s="115"/>
      <c r="BZ3131" s="115"/>
      <c r="CA3131" s="115"/>
      <c r="CB3131" s="115"/>
      <c r="CC3131" s="115"/>
      <c r="CD3131" s="115"/>
      <c r="CE3131" s="115"/>
      <c r="CF3131" s="115"/>
      <c r="CG3131" s="115"/>
      <c r="CH3131" s="115"/>
      <c r="CI3131" s="115"/>
      <c r="CJ3131" s="115"/>
      <c r="CK3131" s="115"/>
      <c r="CL3131" s="115"/>
      <c r="CM3131" s="115"/>
      <c r="CN3131" s="115"/>
      <c r="CO3131" s="115"/>
      <c r="CP3131" s="115"/>
      <c r="CQ3131" s="115"/>
      <c r="CR3131" s="115"/>
      <c r="CS3131" s="115"/>
      <c r="CT3131" s="115"/>
      <c r="CU3131" s="115"/>
      <c r="CV3131" s="115"/>
      <c r="CW3131" s="115"/>
      <c r="CX3131" s="115"/>
      <c r="CY3131" s="115"/>
      <c r="CZ3131" s="115"/>
      <c r="DA3131" s="115"/>
      <c r="DB3131" s="115"/>
      <c r="DC3131" s="115"/>
      <c r="DD3131" s="115"/>
      <c r="DE3131" s="115"/>
      <c r="DF3131" s="115"/>
      <c r="DG3131" s="115"/>
    </row>
    <row r="3132" spans="55:111" hidden="1">
      <c r="BC3132" s="115"/>
      <c r="BD3132" s="115"/>
      <c r="BE3132" s="115"/>
      <c r="BF3132" s="115"/>
      <c r="BG3132" s="115"/>
      <c r="BH3132" s="115"/>
      <c r="BI3132" s="115"/>
      <c r="BJ3132" s="115"/>
      <c r="BK3132" s="115"/>
      <c r="BL3132" s="115"/>
      <c r="BM3132" s="115"/>
      <c r="BN3132" s="115"/>
      <c r="BO3132" s="115"/>
      <c r="BP3132" s="115"/>
      <c r="BQ3132" s="115"/>
      <c r="BR3132" s="115"/>
      <c r="BS3132" s="115"/>
      <c r="BT3132" s="115"/>
      <c r="BU3132" s="115"/>
      <c r="BV3132" s="115"/>
      <c r="BW3132" s="115"/>
      <c r="BX3132" s="115"/>
      <c r="BY3132" s="115"/>
      <c r="BZ3132" s="115"/>
      <c r="CA3132" s="115"/>
      <c r="CB3132" s="115"/>
      <c r="CC3132" s="115"/>
      <c r="CD3132" s="115"/>
      <c r="CE3132" s="115"/>
      <c r="CF3132" s="115"/>
      <c r="CG3132" s="115"/>
      <c r="CH3132" s="115"/>
      <c r="CI3132" s="115"/>
      <c r="CJ3132" s="115"/>
      <c r="CK3132" s="115"/>
      <c r="CL3132" s="115"/>
      <c r="CM3132" s="115"/>
      <c r="CN3132" s="115"/>
      <c r="CO3132" s="115"/>
      <c r="CP3132" s="115"/>
      <c r="CQ3132" s="115"/>
      <c r="CR3132" s="115"/>
      <c r="CS3132" s="115"/>
      <c r="CT3132" s="115"/>
      <c r="CU3132" s="115"/>
      <c r="CV3132" s="115"/>
      <c r="CW3132" s="115"/>
      <c r="CX3132" s="115"/>
      <c r="CY3132" s="115"/>
      <c r="CZ3132" s="115"/>
      <c r="DA3132" s="115"/>
      <c r="DB3132" s="115"/>
      <c r="DC3132" s="115"/>
      <c r="DD3132" s="115"/>
      <c r="DE3132" s="115"/>
      <c r="DF3132" s="115"/>
      <c r="DG3132" s="115"/>
    </row>
    <row r="3133" spans="55:111" hidden="1">
      <c r="BC3133" s="115"/>
      <c r="BD3133" s="115"/>
      <c r="BE3133" s="115"/>
      <c r="BF3133" s="115"/>
      <c r="BG3133" s="115"/>
      <c r="BH3133" s="115"/>
      <c r="BI3133" s="115"/>
      <c r="BJ3133" s="115"/>
      <c r="BK3133" s="115"/>
      <c r="BL3133" s="115"/>
      <c r="BM3133" s="115"/>
      <c r="BN3133" s="115"/>
      <c r="BO3133" s="115"/>
      <c r="BP3133" s="115"/>
      <c r="BQ3133" s="115"/>
      <c r="BR3133" s="115"/>
      <c r="BS3133" s="115"/>
      <c r="BT3133" s="115"/>
      <c r="BU3133" s="115"/>
      <c r="BV3133" s="115"/>
      <c r="BW3133" s="115"/>
      <c r="BX3133" s="115"/>
      <c r="BY3133" s="115"/>
      <c r="BZ3133" s="115"/>
      <c r="CA3133" s="115"/>
      <c r="CB3133" s="115"/>
      <c r="CC3133" s="115"/>
      <c r="CD3133" s="115"/>
      <c r="CE3133" s="115"/>
      <c r="CF3133" s="115"/>
      <c r="CG3133" s="115"/>
      <c r="CH3133" s="115"/>
      <c r="CI3133" s="115"/>
      <c r="CJ3133" s="115"/>
      <c r="CK3133" s="115"/>
      <c r="CL3133" s="115"/>
      <c r="CM3133" s="115"/>
      <c r="CN3133" s="115"/>
      <c r="CO3133" s="115"/>
      <c r="CP3133" s="115"/>
      <c r="CQ3133" s="115"/>
      <c r="CR3133" s="115"/>
      <c r="CS3133" s="115"/>
      <c r="CT3133" s="115"/>
      <c r="CU3133" s="115"/>
      <c r="CV3133" s="115"/>
      <c r="CW3133" s="115"/>
      <c r="CX3133" s="115"/>
      <c r="CY3133" s="115"/>
      <c r="CZ3133" s="115"/>
      <c r="DA3133" s="115"/>
      <c r="DB3133" s="115"/>
      <c r="DC3133" s="115"/>
      <c r="DD3133" s="115"/>
      <c r="DE3133" s="115"/>
      <c r="DF3133" s="115"/>
      <c r="DG3133" s="115"/>
    </row>
    <row r="3134" spans="55:111" hidden="1">
      <c r="BC3134" s="115"/>
      <c r="BD3134" s="115"/>
      <c r="BE3134" s="115"/>
      <c r="BF3134" s="115"/>
      <c r="BG3134" s="115"/>
      <c r="BH3134" s="115"/>
      <c r="BI3134" s="115"/>
      <c r="BJ3134" s="115"/>
      <c r="BK3134" s="115"/>
      <c r="BL3134" s="115"/>
      <c r="BM3134" s="115"/>
      <c r="BN3134" s="115"/>
      <c r="BO3134" s="115"/>
      <c r="BP3134" s="115"/>
      <c r="BQ3134" s="115"/>
      <c r="BR3134" s="115"/>
      <c r="BS3134" s="115"/>
      <c r="BT3134" s="115"/>
      <c r="BU3134" s="115"/>
      <c r="BV3134" s="115"/>
      <c r="BW3134" s="115"/>
      <c r="BX3134" s="115"/>
      <c r="BY3134" s="115"/>
      <c r="BZ3134" s="115"/>
      <c r="CA3134" s="115"/>
      <c r="CB3134" s="115"/>
      <c r="CC3134" s="115"/>
      <c r="CD3134" s="115"/>
      <c r="CE3134" s="115"/>
      <c r="CF3134" s="115"/>
      <c r="CG3134" s="115"/>
      <c r="CH3134" s="115"/>
      <c r="CI3134" s="115"/>
      <c r="CJ3134" s="115"/>
      <c r="CK3134" s="115"/>
      <c r="CL3134" s="115"/>
      <c r="CM3134" s="115"/>
      <c r="CN3134" s="115"/>
      <c r="CO3134" s="115"/>
      <c r="CP3134" s="115"/>
      <c r="CQ3134" s="115"/>
      <c r="CR3134" s="115"/>
      <c r="CS3134" s="115"/>
      <c r="CT3134" s="115"/>
      <c r="CU3134" s="115"/>
      <c r="CV3134" s="115"/>
      <c r="CW3134" s="115"/>
      <c r="CX3134" s="115"/>
      <c r="CY3134" s="115"/>
      <c r="CZ3134" s="115"/>
      <c r="DA3134" s="115"/>
      <c r="DB3134" s="115"/>
      <c r="DC3134" s="115"/>
      <c r="DD3134" s="115"/>
      <c r="DE3134" s="115"/>
      <c r="DF3134" s="115"/>
      <c r="DG3134" s="115"/>
    </row>
    <row r="3135" spans="55:111" hidden="1">
      <c r="BC3135" s="115"/>
      <c r="BD3135" s="115"/>
      <c r="BE3135" s="115"/>
      <c r="BF3135" s="115"/>
      <c r="BG3135" s="115"/>
      <c r="BH3135" s="115"/>
      <c r="BI3135" s="115"/>
      <c r="BJ3135" s="115"/>
      <c r="BK3135" s="115"/>
      <c r="BL3135" s="115"/>
      <c r="BM3135" s="115"/>
      <c r="BN3135" s="115"/>
      <c r="BO3135" s="115"/>
      <c r="BP3135" s="115"/>
      <c r="BQ3135" s="115"/>
      <c r="BR3135" s="115"/>
      <c r="BS3135" s="115"/>
      <c r="BT3135" s="115"/>
      <c r="BU3135" s="115"/>
      <c r="BV3135" s="115"/>
      <c r="BW3135" s="115"/>
      <c r="BX3135" s="115"/>
      <c r="BY3135" s="115"/>
      <c r="BZ3135" s="115"/>
      <c r="CA3135" s="115"/>
      <c r="CB3135" s="115"/>
      <c r="CC3135" s="115"/>
      <c r="CD3135" s="115"/>
      <c r="CE3135" s="115"/>
      <c r="CF3135" s="115"/>
      <c r="CG3135" s="115"/>
      <c r="CH3135" s="115"/>
      <c r="CI3135" s="115"/>
      <c r="CJ3135" s="115"/>
      <c r="CK3135" s="115"/>
      <c r="CL3135" s="115"/>
      <c r="CM3135" s="115"/>
      <c r="CN3135" s="115"/>
      <c r="CO3135" s="115"/>
      <c r="CP3135" s="115"/>
      <c r="CQ3135" s="115"/>
      <c r="CR3135" s="115"/>
      <c r="CS3135" s="115"/>
      <c r="CT3135" s="115"/>
      <c r="CU3135" s="115"/>
      <c r="CV3135" s="115"/>
      <c r="CW3135" s="115"/>
      <c r="CX3135" s="115"/>
      <c r="CY3135" s="115"/>
      <c r="CZ3135" s="115"/>
      <c r="DA3135" s="115"/>
      <c r="DB3135" s="115"/>
      <c r="DC3135" s="115"/>
      <c r="DD3135" s="115"/>
      <c r="DE3135" s="115"/>
      <c r="DF3135" s="115"/>
      <c r="DG3135" s="115"/>
    </row>
    <row r="3136" spans="55:111" hidden="1">
      <c r="BC3136" s="115"/>
      <c r="BD3136" s="115"/>
      <c r="BE3136" s="115"/>
      <c r="BF3136" s="115"/>
      <c r="BG3136" s="115"/>
      <c r="BH3136" s="115"/>
      <c r="BI3136" s="115"/>
      <c r="BJ3136" s="115"/>
      <c r="BK3136" s="115"/>
      <c r="BL3136" s="115"/>
      <c r="BM3136" s="115"/>
      <c r="BN3136" s="115"/>
      <c r="BO3136" s="115"/>
      <c r="BP3136" s="115"/>
      <c r="BQ3136" s="115"/>
      <c r="BR3136" s="115"/>
      <c r="BS3136" s="115"/>
      <c r="BT3136" s="115"/>
      <c r="BU3136" s="115"/>
      <c r="BV3136" s="115"/>
      <c r="BW3136" s="115"/>
      <c r="BX3136" s="115"/>
      <c r="BY3136" s="115"/>
      <c r="BZ3136" s="115"/>
      <c r="CA3136" s="115"/>
      <c r="CB3136" s="115"/>
      <c r="CC3136" s="115"/>
      <c r="CD3136" s="115"/>
      <c r="CE3136" s="115"/>
      <c r="CF3136" s="115"/>
      <c r="CG3136" s="115"/>
      <c r="CH3136" s="115"/>
      <c r="CI3136" s="115"/>
      <c r="CJ3136" s="115"/>
      <c r="CK3136" s="115"/>
      <c r="CL3136" s="115"/>
      <c r="CM3136" s="115"/>
      <c r="CN3136" s="115"/>
      <c r="CO3136" s="115"/>
      <c r="CP3136" s="115"/>
      <c r="CQ3136" s="115"/>
      <c r="CR3136" s="115"/>
      <c r="CS3136" s="115"/>
      <c r="CT3136" s="115"/>
      <c r="CU3136" s="115"/>
      <c r="CV3136" s="115"/>
      <c r="CW3136" s="115"/>
      <c r="CX3136" s="115"/>
      <c r="CY3136" s="115"/>
      <c r="CZ3136" s="115"/>
      <c r="DA3136" s="115"/>
      <c r="DB3136" s="115"/>
      <c r="DC3136" s="115"/>
      <c r="DD3136" s="115"/>
      <c r="DE3136" s="115"/>
      <c r="DF3136" s="115"/>
      <c r="DG3136" s="115"/>
    </row>
    <row r="3137" spans="55:111" hidden="1">
      <c r="BC3137" s="115"/>
      <c r="BD3137" s="115"/>
      <c r="BE3137" s="115"/>
      <c r="BF3137" s="115"/>
      <c r="BG3137" s="115"/>
      <c r="BH3137" s="115"/>
      <c r="BI3137" s="115"/>
      <c r="BJ3137" s="115"/>
      <c r="BK3137" s="115"/>
      <c r="BL3137" s="115"/>
      <c r="BM3137" s="115"/>
      <c r="BN3137" s="115"/>
      <c r="BO3137" s="115"/>
      <c r="BP3137" s="115"/>
      <c r="BQ3137" s="115"/>
      <c r="BR3137" s="115"/>
      <c r="BS3137" s="115"/>
      <c r="BT3137" s="115"/>
      <c r="BU3137" s="115"/>
      <c r="BV3137" s="115"/>
      <c r="BW3137" s="115"/>
      <c r="BX3137" s="115"/>
      <c r="BY3137" s="115"/>
      <c r="BZ3137" s="115"/>
      <c r="CA3137" s="115"/>
      <c r="CB3137" s="115"/>
      <c r="CC3137" s="115"/>
      <c r="CD3137" s="115"/>
      <c r="CE3137" s="115"/>
      <c r="CF3137" s="115"/>
      <c r="CG3137" s="115"/>
      <c r="CH3137" s="115"/>
      <c r="CI3137" s="115"/>
      <c r="CJ3137" s="115"/>
      <c r="CK3137" s="115"/>
      <c r="CL3137" s="115"/>
      <c r="CM3137" s="115"/>
      <c r="CN3137" s="115"/>
      <c r="CO3137" s="115"/>
      <c r="CP3137" s="115"/>
      <c r="CQ3137" s="115"/>
      <c r="CR3137" s="115"/>
      <c r="CS3137" s="115"/>
      <c r="CT3137" s="115"/>
      <c r="CU3137" s="115"/>
      <c r="CV3137" s="115"/>
      <c r="CW3137" s="115"/>
      <c r="CX3137" s="115"/>
      <c r="CY3137" s="115"/>
      <c r="CZ3137" s="115"/>
      <c r="DA3137" s="115"/>
      <c r="DB3137" s="115"/>
      <c r="DC3137" s="115"/>
      <c r="DD3137" s="115"/>
      <c r="DE3137" s="115"/>
      <c r="DF3137" s="115"/>
      <c r="DG3137" s="115"/>
    </row>
    <row r="3138" spans="55:111" hidden="1">
      <c r="BC3138" s="115"/>
      <c r="BD3138" s="115"/>
      <c r="BE3138" s="115"/>
      <c r="BF3138" s="115"/>
      <c r="BG3138" s="115"/>
      <c r="BH3138" s="115"/>
      <c r="BI3138" s="115"/>
      <c r="BJ3138" s="115"/>
      <c r="BK3138" s="115"/>
      <c r="BL3138" s="115"/>
      <c r="BM3138" s="115"/>
      <c r="BN3138" s="115"/>
      <c r="BO3138" s="115"/>
      <c r="BP3138" s="115"/>
      <c r="BQ3138" s="115"/>
      <c r="BR3138" s="115"/>
      <c r="BS3138" s="115"/>
      <c r="BT3138" s="115"/>
      <c r="BU3138" s="115"/>
      <c r="BV3138" s="115"/>
      <c r="BW3138" s="115"/>
      <c r="BX3138" s="115"/>
      <c r="BY3138" s="115"/>
      <c r="BZ3138" s="115"/>
      <c r="CA3138" s="115"/>
      <c r="CB3138" s="115"/>
      <c r="CC3138" s="115"/>
      <c r="CD3138" s="115"/>
      <c r="CE3138" s="115"/>
      <c r="CF3138" s="115"/>
      <c r="CG3138" s="115"/>
      <c r="CH3138" s="115"/>
      <c r="CI3138" s="115"/>
      <c r="CJ3138" s="115"/>
      <c r="CK3138" s="115"/>
      <c r="CL3138" s="115"/>
      <c r="CM3138" s="115"/>
      <c r="CN3138" s="115"/>
      <c r="CO3138" s="115"/>
      <c r="CP3138" s="115"/>
      <c r="CQ3138" s="115"/>
      <c r="CR3138" s="115"/>
      <c r="CS3138" s="115"/>
      <c r="CT3138" s="115"/>
      <c r="CU3138" s="115"/>
      <c r="CV3138" s="115"/>
      <c r="CW3138" s="115"/>
      <c r="CX3138" s="115"/>
      <c r="CY3138" s="115"/>
      <c r="CZ3138" s="115"/>
      <c r="DA3138" s="115"/>
      <c r="DB3138" s="115"/>
      <c r="DC3138" s="115"/>
      <c r="DD3138" s="115"/>
      <c r="DE3138" s="115"/>
      <c r="DF3138" s="115"/>
      <c r="DG3138" s="115"/>
    </row>
    <row r="3139" spans="55:111" hidden="1">
      <c r="BC3139" s="115"/>
      <c r="BD3139" s="115"/>
      <c r="BE3139" s="115"/>
      <c r="BF3139" s="115"/>
      <c r="BG3139" s="115"/>
      <c r="BH3139" s="115"/>
      <c r="BI3139" s="115"/>
      <c r="BJ3139" s="115"/>
      <c r="BK3139" s="115"/>
      <c r="BL3139" s="115"/>
      <c r="BM3139" s="115"/>
      <c r="BN3139" s="115"/>
      <c r="BO3139" s="115"/>
      <c r="BP3139" s="115"/>
      <c r="BQ3139" s="115"/>
      <c r="BR3139" s="115"/>
      <c r="BS3139" s="115"/>
      <c r="BT3139" s="115"/>
      <c r="BU3139" s="115"/>
      <c r="BV3139" s="115"/>
      <c r="BW3139" s="115"/>
      <c r="BX3139" s="115"/>
      <c r="BY3139" s="115"/>
      <c r="BZ3139" s="115"/>
      <c r="CA3139" s="115"/>
      <c r="CB3139" s="115"/>
      <c r="CC3139" s="115"/>
      <c r="CD3139" s="115"/>
      <c r="CE3139" s="115"/>
      <c r="CF3139" s="115"/>
      <c r="CG3139" s="115"/>
      <c r="CH3139" s="115"/>
      <c r="CI3139" s="115"/>
      <c r="CJ3139" s="115"/>
      <c r="CK3139" s="115"/>
      <c r="CL3139" s="115"/>
      <c r="CM3139" s="115"/>
      <c r="CN3139" s="115"/>
      <c r="CO3139" s="115"/>
      <c r="CP3139" s="115"/>
      <c r="CQ3139" s="115"/>
      <c r="CR3139" s="115"/>
      <c r="CS3139" s="115"/>
      <c r="CT3139" s="115"/>
      <c r="CU3139" s="115"/>
      <c r="CV3139" s="115"/>
      <c r="CW3139" s="115"/>
      <c r="CX3139" s="115"/>
      <c r="CY3139" s="115"/>
      <c r="CZ3139" s="115"/>
      <c r="DA3139" s="115"/>
      <c r="DB3139" s="115"/>
      <c r="DC3139" s="115"/>
      <c r="DD3139" s="115"/>
      <c r="DE3139" s="115"/>
      <c r="DF3139" s="115"/>
      <c r="DG3139" s="115"/>
    </row>
    <row r="3140" spans="55:111" hidden="1">
      <c r="BC3140" s="115"/>
      <c r="BD3140" s="115"/>
      <c r="BE3140" s="115"/>
      <c r="BF3140" s="115"/>
      <c r="BG3140" s="115"/>
      <c r="BH3140" s="115"/>
      <c r="BI3140" s="115"/>
      <c r="BJ3140" s="115"/>
      <c r="BK3140" s="115"/>
      <c r="BL3140" s="115"/>
      <c r="BM3140" s="115"/>
      <c r="BN3140" s="115"/>
      <c r="BO3140" s="115"/>
      <c r="BP3140" s="115"/>
      <c r="BQ3140" s="115"/>
      <c r="BR3140" s="115"/>
      <c r="BS3140" s="115"/>
      <c r="BT3140" s="115"/>
      <c r="BU3140" s="115"/>
      <c r="BV3140" s="115"/>
      <c r="BW3140" s="115"/>
      <c r="BX3140" s="115"/>
      <c r="BY3140" s="115"/>
      <c r="BZ3140" s="115"/>
      <c r="CA3140" s="115"/>
      <c r="CB3140" s="115"/>
      <c r="CC3140" s="115"/>
      <c r="CD3140" s="115"/>
      <c r="CE3140" s="115"/>
      <c r="CF3140" s="115"/>
      <c r="CG3140" s="115"/>
      <c r="CH3140" s="115"/>
      <c r="CI3140" s="115"/>
      <c r="CJ3140" s="115"/>
      <c r="CK3140" s="115"/>
      <c r="CL3140" s="115"/>
      <c r="CM3140" s="115"/>
      <c r="CN3140" s="115"/>
      <c r="CO3140" s="115"/>
      <c r="CP3140" s="115"/>
      <c r="CQ3140" s="115"/>
      <c r="CR3140" s="115"/>
      <c r="CS3140" s="115"/>
      <c r="CT3140" s="115"/>
      <c r="CU3140" s="115"/>
      <c r="CV3140" s="115"/>
      <c r="CW3140" s="115"/>
      <c r="CX3140" s="115"/>
      <c r="CY3140" s="115"/>
      <c r="CZ3140" s="115"/>
      <c r="DA3140" s="115"/>
      <c r="DB3140" s="115"/>
      <c r="DC3140" s="115"/>
      <c r="DD3140" s="115"/>
      <c r="DE3140" s="115"/>
      <c r="DF3140" s="115"/>
      <c r="DG3140" s="115"/>
    </row>
    <row r="3141" spans="55:111" hidden="1">
      <c r="BC3141" s="115"/>
      <c r="BD3141" s="115"/>
      <c r="BE3141" s="115"/>
      <c r="BF3141" s="115"/>
      <c r="BG3141" s="115"/>
      <c r="BH3141" s="115"/>
      <c r="BI3141" s="115"/>
      <c r="BJ3141" s="115"/>
      <c r="BK3141" s="115"/>
      <c r="BL3141" s="115"/>
      <c r="BM3141" s="115"/>
      <c r="BN3141" s="115"/>
      <c r="BO3141" s="115"/>
      <c r="BP3141" s="115"/>
      <c r="BQ3141" s="115"/>
      <c r="BR3141" s="115"/>
      <c r="BS3141" s="115"/>
      <c r="BT3141" s="115"/>
      <c r="BU3141" s="115"/>
      <c r="BV3141" s="115"/>
      <c r="BW3141" s="115"/>
      <c r="BX3141" s="115"/>
      <c r="BY3141" s="115"/>
      <c r="BZ3141" s="115"/>
      <c r="CA3141" s="115"/>
      <c r="CB3141" s="115"/>
      <c r="CC3141" s="115"/>
      <c r="CD3141" s="115"/>
      <c r="CE3141" s="115"/>
      <c r="CF3141" s="115"/>
      <c r="CG3141" s="115"/>
      <c r="CH3141" s="115"/>
      <c r="CI3141" s="115"/>
      <c r="CJ3141" s="115"/>
      <c r="CK3141" s="115"/>
      <c r="CL3141" s="115"/>
      <c r="CM3141" s="115"/>
      <c r="CN3141" s="115"/>
      <c r="CO3141" s="115"/>
      <c r="CP3141" s="115"/>
      <c r="CQ3141" s="115"/>
      <c r="CR3141" s="115"/>
      <c r="CS3141" s="115"/>
      <c r="CT3141" s="115"/>
      <c r="CU3141" s="115"/>
      <c r="CV3141" s="115"/>
      <c r="CW3141" s="115"/>
      <c r="CX3141" s="115"/>
      <c r="CY3141" s="115"/>
      <c r="CZ3141" s="115"/>
      <c r="DA3141" s="115"/>
      <c r="DB3141" s="115"/>
      <c r="DC3141" s="115"/>
      <c r="DD3141" s="115"/>
      <c r="DE3141" s="115"/>
      <c r="DF3141" s="115"/>
      <c r="DG3141" s="115"/>
    </row>
    <row r="3142" spans="55:111" hidden="1">
      <c r="BC3142" s="115"/>
      <c r="BD3142" s="115"/>
      <c r="BE3142" s="115"/>
      <c r="BF3142" s="115"/>
      <c r="BG3142" s="115"/>
      <c r="BH3142" s="115"/>
      <c r="BI3142" s="115"/>
      <c r="BJ3142" s="115"/>
      <c r="BK3142" s="115"/>
      <c r="BL3142" s="115"/>
      <c r="BM3142" s="115"/>
      <c r="BN3142" s="115"/>
      <c r="BO3142" s="115"/>
      <c r="BP3142" s="115"/>
      <c r="BQ3142" s="115"/>
      <c r="BR3142" s="115"/>
      <c r="BS3142" s="115"/>
      <c r="BT3142" s="115"/>
      <c r="BU3142" s="115"/>
      <c r="BV3142" s="115"/>
      <c r="BW3142" s="115"/>
      <c r="BX3142" s="115"/>
      <c r="BY3142" s="115"/>
      <c r="BZ3142" s="115"/>
      <c r="CA3142" s="115"/>
      <c r="CB3142" s="115"/>
      <c r="CC3142" s="115"/>
      <c r="CD3142" s="115"/>
      <c r="CE3142" s="115"/>
      <c r="CF3142" s="115"/>
      <c r="CG3142" s="115"/>
      <c r="CH3142" s="115"/>
      <c r="CI3142" s="115"/>
      <c r="CJ3142" s="115"/>
      <c r="CK3142" s="115"/>
      <c r="CL3142" s="115"/>
      <c r="CM3142" s="115"/>
      <c r="CN3142" s="115"/>
      <c r="CO3142" s="115"/>
      <c r="CP3142" s="115"/>
      <c r="CQ3142" s="115"/>
      <c r="CR3142" s="115"/>
      <c r="CS3142" s="115"/>
      <c r="CT3142" s="115"/>
      <c r="CU3142" s="115"/>
      <c r="CV3142" s="115"/>
      <c r="CW3142" s="115"/>
      <c r="CX3142" s="115"/>
      <c r="CY3142" s="115"/>
      <c r="CZ3142" s="115"/>
      <c r="DA3142" s="115"/>
      <c r="DB3142" s="115"/>
      <c r="DC3142" s="115"/>
      <c r="DD3142" s="115"/>
      <c r="DE3142" s="115"/>
      <c r="DF3142" s="115"/>
      <c r="DG3142" s="115"/>
    </row>
    <row r="3143" spans="55:111" hidden="1">
      <c r="BC3143" s="115"/>
      <c r="BD3143" s="115"/>
      <c r="BE3143" s="115"/>
      <c r="BF3143" s="115"/>
      <c r="BG3143" s="115"/>
      <c r="BH3143" s="115"/>
      <c r="BI3143" s="115"/>
      <c r="BJ3143" s="115"/>
      <c r="BK3143" s="115"/>
      <c r="BL3143" s="115"/>
      <c r="BM3143" s="115"/>
      <c r="BN3143" s="115"/>
      <c r="BO3143" s="115"/>
      <c r="BP3143" s="115"/>
      <c r="BQ3143" s="115"/>
      <c r="BR3143" s="115"/>
      <c r="BS3143" s="115"/>
      <c r="BT3143" s="115"/>
      <c r="BU3143" s="115"/>
      <c r="BV3143" s="115"/>
      <c r="BW3143" s="115"/>
      <c r="BX3143" s="115"/>
      <c r="BY3143" s="115"/>
      <c r="BZ3143" s="115"/>
      <c r="CA3143" s="115"/>
      <c r="CB3143" s="115"/>
      <c r="CC3143" s="115"/>
      <c r="CD3143" s="115"/>
      <c r="CE3143" s="115"/>
      <c r="CF3143" s="115"/>
      <c r="CG3143" s="115"/>
      <c r="CH3143" s="115"/>
      <c r="CI3143" s="115"/>
      <c r="CJ3143" s="115"/>
      <c r="CK3143" s="115"/>
      <c r="CL3143" s="115"/>
      <c r="CM3143" s="115"/>
      <c r="CN3143" s="115"/>
      <c r="CO3143" s="115"/>
      <c r="CP3143" s="115"/>
      <c r="CQ3143" s="115"/>
      <c r="CR3143" s="115"/>
      <c r="CS3143" s="115"/>
      <c r="CT3143" s="115"/>
      <c r="CU3143" s="115"/>
      <c r="CV3143" s="115"/>
      <c r="CW3143" s="115"/>
      <c r="CX3143" s="115"/>
      <c r="CY3143" s="115"/>
      <c r="CZ3143" s="115"/>
      <c r="DA3143" s="115"/>
      <c r="DB3143" s="115"/>
      <c r="DC3143" s="115"/>
      <c r="DD3143" s="115"/>
      <c r="DE3143" s="115"/>
      <c r="DF3143" s="115"/>
      <c r="DG3143" s="115"/>
    </row>
    <row r="3144" spans="55:111" hidden="1">
      <c r="BC3144" s="115"/>
      <c r="BD3144" s="115"/>
      <c r="BE3144" s="115"/>
      <c r="BF3144" s="115"/>
      <c r="BG3144" s="115"/>
      <c r="BH3144" s="115"/>
      <c r="BI3144" s="115"/>
      <c r="BJ3144" s="115"/>
      <c r="BK3144" s="115"/>
      <c r="BL3144" s="115"/>
      <c r="BM3144" s="115"/>
      <c r="BN3144" s="115"/>
      <c r="BO3144" s="115"/>
      <c r="BP3144" s="115"/>
      <c r="BQ3144" s="115"/>
      <c r="BR3144" s="115"/>
      <c r="BS3144" s="115"/>
      <c r="BT3144" s="115"/>
      <c r="BU3144" s="115"/>
      <c r="BV3144" s="115"/>
      <c r="BW3144" s="115"/>
      <c r="BX3144" s="115"/>
      <c r="BY3144" s="115"/>
      <c r="BZ3144" s="115"/>
      <c r="CA3144" s="115"/>
      <c r="CB3144" s="115"/>
      <c r="CC3144" s="115"/>
      <c r="CD3144" s="115"/>
      <c r="CE3144" s="115"/>
      <c r="CF3144" s="115"/>
      <c r="CG3144" s="115"/>
      <c r="CH3144" s="115"/>
      <c r="CI3144" s="115"/>
      <c r="CJ3144" s="115"/>
      <c r="CK3144" s="115"/>
      <c r="CL3144" s="115"/>
      <c r="CM3144" s="115"/>
      <c r="CN3144" s="115"/>
      <c r="CO3144" s="115"/>
      <c r="CP3144" s="115"/>
      <c r="CQ3144" s="115"/>
      <c r="CR3144" s="115"/>
      <c r="CS3144" s="115"/>
      <c r="CT3144" s="115"/>
      <c r="CU3144" s="115"/>
      <c r="CV3144" s="115"/>
      <c r="CW3144" s="115"/>
      <c r="CX3144" s="115"/>
      <c r="CY3144" s="115"/>
      <c r="CZ3144" s="115"/>
      <c r="DA3144" s="115"/>
      <c r="DB3144" s="115"/>
      <c r="DC3144" s="115"/>
      <c r="DD3144" s="115"/>
      <c r="DE3144" s="115"/>
      <c r="DF3144" s="115"/>
      <c r="DG3144" s="115"/>
    </row>
    <row r="3145" spans="55:111" hidden="1">
      <c r="BC3145" s="115"/>
      <c r="BD3145" s="115"/>
      <c r="BE3145" s="115"/>
      <c r="BF3145" s="115"/>
      <c r="BG3145" s="115"/>
      <c r="BH3145" s="115"/>
      <c r="BI3145" s="115"/>
      <c r="BJ3145" s="115"/>
      <c r="BK3145" s="115"/>
      <c r="BL3145" s="115"/>
      <c r="BM3145" s="115"/>
      <c r="BN3145" s="115"/>
      <c r="BO3145" s="115"/>
      <c r="BP3145" s="115"/>
      <c r="BQ3145" s="115"/>
      <c r="BR3145" s="115"/>
      <c r="BS3145" s="115"/>
      <c r="BT3145" s="115"/>
      <c r="BU3145" s="115"/>
      <c r="BV3145" s="115"/>
      <c r="BW3145" s="115"/>
      <c r="BX3145" s="115"/>
      <c r="BY3145" s="115"/>
      <c r="BZ3145" s="115"/>
      <c r="CA3145" s="115"/>
      <c r="CB3145" s="115"/>
      <c r="CC3145" s="115"/>
      <c r="CD3145" s="115"/>
      <c r="CE3145" s="115"/>
      <c r="CF3145" s="115"/>
      <c r="CG3145" s="115"/>
      <c r="CH3145" s="115"/>
      <c r="CI3145" s="115"/>
      <c r="CJ3145" s="115"/>
      <c r="CK3145" s="115"/>
      <c r="CL3145" s="115"/>
      <c r="CM3145" s="115"/>
      <c r="CN3145" s="115"/>
      <c r="CO3145" s="115"/>
      <c r="CP3145" s="115"/>
      <c r="CQ3145" s="115"/>
      <c r="CR3145" s="115"/>
      <c r="CS3145" s="115"/>
      <c r="CT3145" s="115"/>
      <c r="CU3145" s="115"/>
      <c r="CV3145" s="115"/>
      <c r="CW3145" s="115"/>
      <c r="CX3145" s="115"/>
      <c r="CY3145" s="115"/>
      <c r="CZ3145" s="115"/>
      <c r="DA3145" s="115"/>
      <c r="DB3145" s="115"/>
      <c r="DC3145" s="115"/>
      <c r="DD3145" s="115"/>
      <c r="DE3145" s="115"/>
      <c r="DF3145" s="115"/>
      <c r="DG3145" s="115"/>
    </row>
    <row r="3146" spans="55:111" hidden="1">
      <c r="BC3146" s="115"/>
      <c r="BD3146" s="115"/>
      <c r="BE3146" s="115"/>
      <c r="BF3146" s="115"/>
      <c r="BG3146" s="115"/>
      <c r="BH3146" s="115"/>
      <c r="BI3146" s="115"/>
      <c r="BJ3146" s="115"/>
      <c r="BK3146" s="115"/>
      <c r="BL3146" s="115"/>
      <c r="BM3146" s="115"/>
      <c r="BN3146" s="115"/>
      <c r="BO3146" s="115"/>
      <c r="BP3146" s="115"/>
      <c r="BQ3146" s="115"/>
      <c r="BR3146" s="115"/>
      <c r="BS3146" s="115"/>
      <c r="BT3146" s="115"/>
      <c r="BU3146" s="115"/>
      <c r="BV3146" s="115"/>
      <c r="BW3146" s="115"/>
      <c r="BX3146" s="115"/>
      <c r="BY3146" s="115"/>
      <c r="BZ3146" s="115"/>
      <c r="CA3146" s="115"/>
      <c r="CB3146" s="115"/>
      <c r="CC3146" s="115"/>
      <c r="CD3146" s="115"/>
      <c r="CE3146" s="115"/>
      <c r="CF3146" s="115"/>
      <c r="CG3146" s="115"/>
      <c r="CH3146" s="115"/>
      <c r="CI3146" s="115"/>
      <c r="CJ3146" s="115"/>
      <c r="CK3146" s="115"/>
      <c r="CL3146" s="115"/>
      <c r="CM3146" s="115"/>
      <c r="CN3146" s="115"/>
      <c r="CO3146" s="115"/>
      <c r="CP3146" s="115"/>
      <c r="CQ3146" s="115"/>
      <c r="CR3146" s="115"/>
      <c r="CS3146" s="115"/>
      <c r="CT3146" s="115"/>
      <c r="CU3146" s="115"/>
      <c r="CV3146" s="115"/>
      <c r="CW3146" s="115"/>
      <c r="CX3146" s="115"/>
      <c r="CY3146" s="115"/>
      <c r="CZ3146" s="115"/>
      <c r="DA3146" s="115"/>
      <c r="DB3146" s="115"/>
      <c r="DC3146" s="115"/>
      <c r="DD3146" s="115"/>
      <c r="DE3146" s="115"/>
      <c r="DF3146" s="115"/>
      <c r="DG3146" s="115"/>
    </row>
    <row r="3147" spans="55:111" hidden="1">
      <c r="BC3147" s="115"/>
      <c r="BD3147" s="115"/>
      <c r="BE3147" s="115"/>
      <c r="BF3147" s="115"/>
      <c r="BG3147" s="115"/>
      <c r="BH3147" s="115"/>
      <c r="BI3147" s="115"/>
      <c r="BJ3147" s="115"/>
      <c r="BK3147" s="115"/>
      <c r="BL3147" s="115"/>
      <c r="BM3147" s="115"/>
      <c r="BN3147" s="115"/>
      <c r="BO3147" s="115"/>
      <c r="BP3147" s="115"/>
      <c r="BQ3147" s="115"/>
      <c r="BR3147" s="115"/>
      <c r="BS3147" s="115"/>
      <c r="BT3147" s="115"/>
      <c r="BU3147" s="115"/>
      <c r="BV3147" s="115"/>
      <c r="BW3147" s="115"/>
      <c r="BX3147" s="115"/>
      <c r="BY3147" s="115"/>
      <c r="BZ3147" s="115"/>
      <c r="CA3147" s="115"/>
      <c r="CB3147" s="115"/>
      <c r="CC3147" s="115"/>
      <c r="CD3147" s="115"/>
      <c r="CE3147" s="115"/>
      <c r="CF3147" s="115"/>
      <c r="CG3147" s="115"/>
      <c r="CH3147" s="115"/>
      <c r="CI3147" s="115"/>
      <c r="CJ3147" s="115"/>
      <c r="CK3147" s="115"/>
      <c r="CL3147" s="115"/>
      <c r="CM3147" s="115"/>
      <c r="CN3147" s="115"/>
      <c r="CO3147" s="115"/>
      <c r="CP3147" s="115"/>
      <c r="CQ3147" s="115"/>
      <c r="CR3147" s="115"/>
      <c r="CS3147" s="115"/>
      <c r="CT3147" s="115"/>
      <c r="CU3147" s="115"/>
      <c r="CV3147" s="115"/>
      <c r="CW3147" s="115"/>
      <c r="CX3147" s="115"/>
      <c r="CY3147" s="115"/>
      <c r="CZ3147" s="115"/>
      <c r="DA3147" s="115"/>
      <c r="DB3147" s="115"/>
      <c r="DC3147" s="115"/>
      <c r="DD3147" s="115"/>
      <c r="DE3147" s="115"/>
      <c r="DF3147" s="115"/>
      <c r="DG3147" s="115"/>
    </row>
    <row r="3148" spans="55:111" hidden="1">
      <c r="BC3148" s="115"/>
      <c r="BD3148" s="115"/>
      <c r="BE3148" s="115"/>
      <c r="BF3148" s="115"/>
      <c r="BG3148" s="115"/>
      <c r="BH3148" s="115"/>
      <c r="BI3148" s="115"/>
      <c r="BJ3148" s="115"/>
      <c r="BK3148" s="115"/>
      <c r="BL3148" s="115"/>
      <c r="BM3148" s="115"/>
      <c r="BN3148" s="115"/>
      <c r="BO3148" s="115"/>
      <c r="BP3148" s="115"/>
      <c r="BQ3148" s="115"/>
      <c r="BR3148" s="115"/>
      <c r="BS3148" s="115"/>
      <c r="BT3148" s="115"/>
      <c r="BU3148" s="115"/>
      <c r="BV3148" s="115"/>
      <c r="BW3148" s="115"/>
      <c r="BX3148" s="115"/>
      <c r="BY3148" s="115"/>
      <c r="BZ3148" s="115"/>
      <c r="CA3148" s="115"/>
      <c r="CB3148" s="115"/>
      <c r="CC3148" s="115"/>
      <c r="CD3148" s="115"/>
      <c r="CE3148" s="115"/>
      <c r="CF3148" s="115"/>
      <c r="CG3148" s="115"/>
      <c r="CH3148" s="115"/>
      <c r="CI3148" s="115"/>
      <c r="CJ3148" s="115"/>
      <c r="CK3148" s="115"/>
      <c r="CL3148" s="115"/>
      <c r="CM3148" s="115"/>
      <c r="CN3148" s="115"/>
      <c r="CO3148" s="115"/>
      <c r="CP3148" s="115"/>
      <c r="CQ3148" s="115"/>
      <c r="CR3148" s="115"/>
      <c r="CS3148" s="115"/>
      <c r="CT3148" s="115"/>
      <c r="CU3148" s="115"/>
      <c r="CV3148" s="115"/>
      <c r="CW3148" s="115"/>
      <c r="CX3148" s="115"/>
      <c r="CY3148" s="115"/>
      <c r="CZ3148" s="115"/>
      <c r="DA3148" s="115"/>
      <c r="DB3148" s="115"/>
      <c r="DC3148" s="115"/>
      <c r="DD3148" s="115"/>
      <c r="DE3148" s="115"/>
      <c r="DF3148" s="115"/>
      <c r="DG3148" s="115"/>
    </row>
    <row r="3149" spans="55:111" hidden="1">
      <c r="BC3149" s="115"/>
      <c r="BD3149" s="115"/>
      <c r="BE3149" s="115"/>
      <c r="BF3149" s="115"/>
      <c r="BG3149" s="115"/>
      <c r="BH3149" s="115"/>
      <c r="BI3149" s="115"/>
      <c r="BJ3149" s="115"/>
      <c r="BK3149" s="115"/>
      <c r="BL3149" s="115"/>
      <c r="BM3149" s="115"/>
      <c r="BN3149" s="115"/>
      <c r="BO3149" s="115"/>
      <c r="BP3149" s="115"/>
      <c r="BQ3149" s="115"/>
      <c r="BR3149" s="115"/>
      <c r="BS3149" s="115"/>
      <c r="BT3149" s="115"/>
      <c r="BU3149" s="115"/>
      <c r="BV3149" s="115"/>
      <c r="BW3149" s="115"/>
      <c r="BX3149" s="115"/>
      <c r="BY3149" s="115"/>
      <c r="BZ3149" s="115"/>
      <c r="CA3149" s="115"/>
      <c r="CB3149" s="115"/>
      <c r="CC3149" s="115"/>
      <c r="CD3149" s="115"/>
      <c r="CE3149" s="115"/>
      <c r="CF3149" s="115"/>
      <c r="CG3149" s="115"/>
      <c r="CH3149" s="115"/>
      <c r="CI3149" s="115"/>
      <c r="CJ3149" s="115"/>
      <c r="CK3149" s="115"/>
      <c r="CL3149" s="115"/>
      <c r="CM3149" s="115"/>
      <c r="CN3149" s="115"/>
      <c r="CO3149" s="115"/>
      <c r="CP3149" s="115"/>
      <c r="CQ3149" s="115"/>
      <c r="CR3149" s="115"/>
      <c r="CS3149" s="115"/>
      <c r="CT3149" s="115"/>
      <c r="CU3149" s="115"/>
      <c r="CV3149" s="115"/>
      <c r="CW3149" s="115"/>
      <c r="CX3149" s="115"/>
      <c r="CY3149" s="115"/>
      <c r="CZ3149" s="115"/>
      <c r="DA3149" s="115"/>
      <c r="DB3149" s="115"/>
      <c r="DC3149" s="115"/>
      <c r="DD3149" s="115"/>
      <c r="DE3149" s="115"/>
      <c r="DF3149" s="115"/>
      <c r="DG3149" s="115"/>
    </row>
    <row r="3150" spans="55:111" hidden="1">
      <c r="BC3150" s="115"/>
      <c r="BD3150" s="115"/>
      <c r="BE3150" s="115"/>
      <c r="BF3150" s="115"/>
      <c r="BG3150" s="115"/>
      <c r="BH3150" s="115"/>
      <c r="BI3150" s="115"/>
      <c r="BJ3150" s="115"/>
      <c r="BK3150" s="115"/>
      <c r="BL3150" s="115"/>
      <c r="BM3150" s="115"/>
      <c r="BN3150" s="115"/>
      <c r="BO3150" s="115"/>
      <c r="BP3150" s="115"/>
      <c r="BQ3150" s="115"/>
      <c r="BR3150" s="115"/>
      <c r="BS3150" s="115"/>
      <c r="BT3150" s="115"/>
      <c r="BU3150" s="115"/>
      <c r="BV3150" s="115"/>
      <c r="BW3150" s="115"/>
      <c r="BX3150" s="115"/>
      <c r="BY3150" s="115"/>
      <c r="BZ3150" s="115"/>
      <c r="CA3150" s="115"/>
      <c r="CB3150" s="115"/>
      <c r="CC3150" s="115"/>
      <c r="CD3150" s="115"/>
      <c r="CE3150" s="115"/>
      <c r="CF3150" s="115"/>
      <c r="CG3150" s="115"/>
      <c r="CH3150" s="115"/>
      <c r="CI3150" s="115"/>
      <c r="CJ3150" s="115"/>
      <c r="CK3150" s="115"/>
      <c r="CL3150" s="115"/>
      <c r="CM3150" s="115"/>
      <c r="CN3150" s="115"/>
      <c r="CO3150" s="115"/>
      <c r="CP3150" s="115"/>
      <c r="CQ3150" s="115"/>
      <c r="CR3150" s="115"/>
      <c r="CS3150" s="115"/>
      <c r="CT3150" s="115"/>
      <c r="CU3150" s="115"/>
      <c r="CV3150" s="115"/>
      <c r="CW3150" s="115"/>
      <c r="CX3150" s="115"/>
      <c r="CY3150" s="115"/>
      <c r="CZ3150" s="115"/>
      <c r="DA3150" s="115"/>
      <c r="DB3150" s="115"/>
      <c r="DC3150" s="115"/>
      <c r="DD3150" s="115"/>
      <c r="DE3150" s="115"/>
      <c r="DF3150" s="115"/>
      <c r="DG3150" s="115"/>
    </row>
    <row r="3151" spans="55:111" hidden="1">
      <c r="BC3151" s="115"/>
      <c r="BD3151" s="115"/>
      <c r="BE3151" s="115"/>
      <c r="BF3151" s="115"/>
      <c r="BG3151" s="115"/>
      <c r="BH3151" s="115"/>
      <c r="BI3151" s="115"/>
      <c r="BJ3151" s="115"/>
      <c r="BK3151" s="115"/>
      <c r="BL3151" s="115"/>
      <c r="BM3151" s="115"/>
      <c r="BN3151" s="115"/>
      <c r="BO3151" s="115"/>
      <c r="BP3151" s="115"/>
      <c r="BQ3151" s="115"/>
      <c r="BR3151" s="115"/>
      <c r="BS3151" s="115"/>
      <c r="BT3151" s="115"/>
      <c r="BU3151" s="115"/>
      <c r="BV3151" s="115"/>
      <c r="BW3151" s="115"/>
      <c r="BX3151" s="115"/>
      <c r="BY3151" s="115"/>
      <c r="BZ3151" s="115"/>
      <c r="CA3151" s="115"/>
      <c r="CB3151" s="115"/>
      <c r="CC3151" s="115"/>
      <c r="CD3151" s="115"/>
      <c r="CE3151" s="115"/>
      <c r="CF3151" s="115"/>
      <c r="CG3151" s="115"/>
      <c r="CH3151" s="115"/>
      <c r="CI3151" s="115"/>
      <c r="CJ3151" s="115"/>
      <c r="CK3151" s="115"/>
      <c r="CL3151" s="115"/>
      <c r="CM3151" s="115"/>
      <c r="CN3151" s="115"/>
      <c r="CO3151" s="115"/>
      <c r="CP3151" s="115"/>
      <c r="CQ3151" s="115"/>
      <c r="CR3151" s="115"/>
      <c r="CS3151" s="115"/>
      <c r="CT3151" s="115"/>
      <c r="CU3151" s="115"/>
      <c r="CV3151" s="115"/>
      <c r="CW3151" s="115"/>
      <c r="CX3151" s="115"/>
      <c r="CY3151" s="115"/>
      <c r="CZ3151" s="115"/>
      <c r="DA3151" s="115"/>
      <c r="DB3151" s="115"/>
      <c r="DC3151" s="115"/>
      <c r="DD3151" s="115"/>
      <c r="DE3151" s="115"/>
      <c r="DF3151" s="115"/>
      <c r="DG3151" s="115"/>
    </row>
    <row r="3152" spans="55:111" hidden="1">
      <c r="BC3152" s="115"/>
      <c r="BD3152" s="115"/>
      <c r="BE3152" s="115"/>
      <c r="BF3152" s="115"/>
      <c r="BG3152" s="115"/>
      <c r="BH3152" s="115"/>
      <c r="BI3152" s="115"/>
      <c r="BJ3152" s="115"/>
      <c r="BK3152" s="115"/>
      <c r="BL3152" s="115"/>
      <c r="BM3152" s="115"/>
      <c r="BN3152" s="115"/>
      <c r="BO3152" s="115"/>
      <c r="BP3152" s="115"/>
      <c r="BQ3152" s="115"/>
      <c r="BR3152" s="115"/>
      <c r="BS3152" s="115"/>
      <c r="BT3152" s="115"/>
      <c r="BU3152" s="115"/>
      <c r="BV3152" s="115"/>
      <c r="BW3152" s="115"/>
      <c r="BX3152" s="115"/>
      <c r="BY3152" s="115"/>
      <c r="BZ3152" s="115"/>
      <c r="CA3152" s="115"/>
      <c r="CB3152" s="115"/>
      <c r="CC3152" s="115"/>
      <c r="CD3152" s="115"/>
      <c r="CE3152" s="115"/>
      <c r="CF3152" s="115"/>
      <c r="CG3152" s="115"/>
      <c r="CH3152" s="115"/>
      <c r="CI3152" s="115"/>
      <c r="CJ3152" s="115"/>
      <c r="CK3152" s="115"/>
      <c r="CL3152" s="115"/>
      <c r="CM3152" s="115"/>
      <c r="CN3152" s="115"/>
      <c r="CO3152" s="115"/>
      <c r="CP3152" s="115"/>
      <c r="CQ3152" s="115"/>
      <c r="CR3152" s="115"/>
      <c r="CS3152" s="115"/>
      <c r="CT3152" s="115"/>
      <c r="CU3152" s="115"/>
      <c r="CV3152" s="115"/>
      <c r="CW3152" s="115"/>
      <c r="CX3152" s="115"/>
      <c r="CY3152" s="115"/>
      <c r="CZ3152" s="115"/>
      <c r="DA3152" s="115"/>
      <c r="DB3152" s="115"/>
      <c r="DC3152" s="115"/>
      <c r="DD3152" s="115"/>
      <c r="DE3152" s="115"/>
      <c r="DF3152" s="115"/>
      <c r="DG3152" s="115"/>
    </row>
    <row r="3153" spans="55:111" hidden="1">
      <c r="BC3153" s="115"/>
      <c r="BD3153" s="115"/>
      <c r="BE3153" s="115"/>
      <c r="BF3153" s="115"/>
      <c r="BG3153" s="115"/>
      <c r="BH3153" s="115"/>
      <c r="BI3153" s="115"/>
      <c r="BJ3153" s="115"/>
      <c r="BK3153" s="115"/>
      <c r="BL3153" s="115"/>
      <c r="BM3153" s="115"/>
      <c r="BN3153" s="115"/>
      <c r="BO3153" s="115"/>
      <c r="BP3153" s="115"/>
      <c r="BQ3153" s="115"/>
      <c r="BR3153" s="115"/>
      <c r="BS3153" s="115"/>
      <c r="BT3153" s="115"/>
      <c r="BU3153" s="115"/>
      <c r="BV3153" s="115"/>
      <c r="BW3153" s="115"/>
      <c r="BX3153" s="115"/>
      <c r="BY3153" s="115"/>
      <c r="BZ3153" s="115"/>
      <c r="CA3153" s="115"/>
      <c r="CB3153" s="115"/>
      <c r="CC3153" s="115"/>
      <c r="CD3153" s="115"/>
      <c r="CE3153" s="115"/>
      <c r="CF3153" s="115"/>
      <c r="CG3153" s="115"/>
      <c r="CH3153" s="115"/>
      <c r="CI3153" s="115"/>
      <c r="CJ3153" s="115"/>
      <c r="CK3153" s="115"/>
      <c r="CL3153" s="115"/>
      <c r="CM3153" s="115"/>
      <c r="CN3153" s="115"/>
      <c r="CO3153" s="115"/>
      <c r="CP3153" s="115"/>
      <c r="CQ3153" s="115"/>
      <c r="CR3153" s="115"/>
      <c r="CS3153" s="115"/>
      <c r="CT3153" s="115"/>
      <c r="CU3153" s="115"/>
      <c r="CV3153" s="115"/>
      <c r="CW3153" s="115"/>
      <c r="CX3153" s="115"/>
      <c r="CY3153" s="115"/>
      <c r="CZ3153" s="115"/>
      <c r="DA3153" s="115"/>
      <c r="DB3153" s="115"/>
      <c r="DC3153" s="115"/>
      <c r="DD3153" s="115"/>
      <c r="DE3153" s="115"/>
      <c r="DF3153" s="115"/>
      <c r="DG3153" s="115"/>
    </row>
    <row r="3154" spans="55:111" hidden="1">
      <c r="BC3154" s="115"/>
      <c r="BD3154" s="115"/>
      <c r="BE3154" s="115"/>
      <c r="BF3154" s="115"/>
      <c r="BG3154" s="115"/>
      <c r="BH3154" s="115"/>
      <c r="BI3154" s="115"/>
      <c r="BJ3154" s="115"/>
      <c r="BK3154" s="115"/>
      <c r="BL3154" s="115"/>
      <c r="BM3154" s="115"/>
      <c r="BN3154" s="115"/>
      <c r="BO3154" s="115"/>
      <c r="BP3154" s="115"/>
      <c r="BQ3154" s="115"/>
      <c r="BR3154" s="115"/>
      <c r="BS3154" s="115"/>
      <c r="BT3154" s="115"/>
      <c r="BU3154" s="115"/>
      <c r="BV3154" s="115"/>
      <c r="BW3154" s="115"/>
      <c r="BX3154" s="115"/>
      <c r="BY3154" s="115"/>
      <c r="BZ3154" s="115"/>
      <c r="CA3154" s="115"/>
      <c r="CB3154" s="115"/>
      <c r="CC3154" s="115"/>
      <c r="CD3154" s="115"/>
      <c r="CE3154" s="115"/>
      <c r="CF3154" s="115"/>
      <c r="CG3154" s="115"/>
      <c r="CH3154" s="115"/>
      <c r="CI3154" s="115"/>
      <c r="CJ3154" s="115"/>
      <c r="CK3154" s="115"/>
      <c r="CL3154" s="115"/>
      <c r="CM3154" s="115"/>
      <c r="CN3154" s="115"/>
      <c r="CO3154" s="115"/>
      <c r="CP3154" s="115"/>
      <c r="CQ3154" s="115"/>
      <c r="CR3154" s="115"/>
      <c r="CS3154" s="115"/>
      <c r="CT3154" s="115"/>
      <c r="CU3154" s="115"/>
      <c r="CV3154" s="115"/>
      <c r="CW3154" s="115"/>
      <c r="CX3154" s="115"/>
      <c r="CY3154" s="115"/>
      <c r="CZ3154" s="115"/>
      <c r="DA3154" s="115"/>
      <c r="DB3154" s="115"/>
      <c r="DC3154" s="115"/>
      <c r="DD3154" s="115"/>
      <c r="DE3154" s="115"/>
      <c r="DF3154" s="115"/>
      <c r="DG3154" s="115"/>
    </row>
    <row r="3155" spans="55:111" hidden="1">
      <c r="BC3155" s="115"/>
      <c r="BD3155" s="115"/>
      <c r="BE3155" s="115"/>
      <c r="BF3155" s="115"/>
      <c r="BG3155" s="115"/>
      <c r="BH3155" s="115"/>
      <c r="BI3155" s="115"/>
      <c r="BJ3155" s="115"/>
      <c r="BK3155" s="115"/>
      <c r="BL3155" s="115"/>
      <c r="BM3155" s="115"/>
      <c r="BN3155" s="115"/>
      <c r="BO3155" s="115"/>
      <c r="BP3155" s="115"/>
      <c r="BQ3155" s="115"/>
      <c r="BR3155" s="115"/>
      <c r="BS3155" s="115"/>
      <c r="BT3155" s="115"/>
      <c r="BU3155" s="115"/>
      <c r="BV3155" s="115"/>
      <c r="BW3155" s="115"/>
      <c r="BX3155" s="115"/>
      <c r="BY3155" s="115"/>
      <c r="BZ3155" s="115"/>
      <c r="CA3155" s="115"/>
      <c r="CB3155" s="115"/>
      <c r="CC3155" s="115"/>
      <c r="CD3155" s="115"/>
      <c r="CE3155" s="115"/>
      <c r="CF3155" s="115"/>
      <c r="CG3155" s="115"/>
      <c r="CH3155" s="115"/>
      <c r="CI3155" s="115"/>
      <c r="CJ3155" s="115"/>
      <c r="CK3155" s="115"/>
      <c r="CL3155" s="115"/>
      <c r="CM3155" s="115"/>
      <c r="CN3155" s="115"/>
      <c r="CO3155" s="115"/>
      <c r="CP3155" s="115"/>
      <c r="CQ3155" s="115"/>
      <c r="CR3155" s="115"/>
      <c r="CS3155" s="115"/>
      <c r="CT3155" s="115"/>
      <c r="CU3155" s="115"/>
      <c r="CV3155" s="115"/>
      <c r="CW3155" s="115"/>
      <c r="CX3155" s="115"/>
      <c r="CY3155" s="115"/>
      <c r="CZ3155" s="115"/>
      <c r="DA3155" s="115"/>
      <c r="DB3155" s="115"/>
      <c r="DC3155" s="115"/>
      <c r="DD3155" s="115"/>
      <c r="DE3155" s="115"/>
      <c r="DF3155" s="115"/>
      <c r="DG3155" s="115"/>
    </row>
    <row r="3156" spans="55:111" hidden="1">
      <c r="BC3156" s="115"/>
      <c r="BD3156" s="115"/>
      <c r="BE3156" s="115"/>
      <c r="BF3156" s="115"/>
      <c r="BG3156" s="115"/>
      <c r="BH3156" s="115"/>
      <c r="BI3156" s="115"/>
      <c r="BJ3156" s="115"/>
      <c r="BK3156" s="115"/>
      <c r="BL3156" s="115"/>
      <c r="BM3156" s="115"/>
      <c r="BN3156" s="115"/>
      <c r="BO3156" s="115"/>
      <c r="BP3156" s="115"/>
      <c r="BQ3156" s="115"/>
      <c r="BR3156" s="115"/>
      <c r="BS3156" s="115"/>
      <c r="BT3156" s="115"/>
      <c r="BU3156" s="115"/>
      <c r="BV3156" s="115"/>
      <c r="BW3156" s="115"/>
      <c r="BX3156" s="115"/>
      <c r="BY3156" s="115"/>
      <c r="BZ3156" s="115"/>
      <c r="CA3156" s="115"/>
      <c r="CB3156" s="115"/>
      <c r="CC3156" s="115"/>
      <c r="CD3156" s="115"/>
      <c r="CE3156" s="115"/>
      <c r="CF3156" s="115"/>
      <c r="CG3156" s="115"/>
      <c r="CH3156" s="115"/>
      <c r="CI3156" s="115"/>
      <c r="CJ3156" s="115"/>
      <c r="CK3156" s="115"/>
      <c r="CL3156" s="115"/>
      <c r="CM3156" s="115"/>
      <c r="CN3156" s="115"/>
      <c r="CO3156" s="115"/>
      <c r="CP3156" s="115"/>
      <c r="CQ3156" s="115"/>
      <c r="CR3156" s="115"/>
      <c r="CS3156" s="115"/>
      <c r="CT3156" s="115"/>
      <c r="CU3156" s="115"/>
      <c r="CV3156" s="115"/>
      <c r="CW3156" s="115"/>
      <c r="CX3156" s="115"/>
      <c r="CY3156" s="115"/>
      <c r="CZ3156" s="115"/>
      <c r="DA3156" s="115"/>
      <c r="DB3156" s="115"/>
      <c r="DC3156" s="115"/>
      <c r="DD3156" s="115"/>
      <c r="DE3156" s="115"/>
      <c r="DF3156" s="115"/>
      <c r="DG3156" s="115"/>
    </row>
    <row r="3157" spans="55:111" hidden="1">
      <c r="BC3157" s="115"/>
      <c r="BD3157" s="115"/>
      <c r="BE3157" s="115"/>
      <c r="BF3157" s="115"/>
      <c r="BG3157" s="115"/>
      <c r="BH3157" s="115"/>
      <c r="BI3157" s="115"/>
      <c r="BJ3157" s="115"/>
      <c r="BK3157" s="115"/>
      <c r="BL3157" s="115"/>
      <c r="BM3157" s="115"/>
      <c r="BN3157" s="115"/>
      <c r="BO3157" s="115"/>
      <c r="BP3157" s="115"/>
      <c r="BQ3157" s="115"/>
      <c r="BR3157" s="115"/>
      <c r="BS3157" s="115"/>
      <c r="BT3157" s="115"/>
      <c r="BU3157" s="115"/>
      <c r="BV3157" s="115"/>
      <c r="BW3157" s="115"/>
      <c r="BX3157" s="115"/>
      <c r="BY3157" s="115"/>
      <c r="BZ3157" s="115"/>
      <c r="CA3157" s="115"/>
      <c r="CB3157" s="115"/>
      <c r="CC3157" s="115"/>
      <c r="CD3157" s="115"/>
      <c r="CE3157" s="115"/>
      <c r="CF3157" s="115"/>
      <c r="CG3157" s="115"/>
      <c r="CH3157" s="115"/>
      <c r="CI3157" s="115"/>
      <c r="CJ3157" s="115"/>
      <c r="CK3157" s="115"/>
      <c r="CL3157" s="115"/>
      <c r="CM3157" s="115"/>
      <c r="CN3157" s="115"/>
      <c r="CO3157" s="115"/>
      <c r="CP3157" s="115"/>
      <c r="CQ3157" s="115"/>
      <c r="CR3157" s="115"/>
      <c r="CS3157" s="115"/>
      <c r="CT3157" s="115"/>
      <c r="CU3157" s="115"/>
      <c r="CV3157" s="115"/>
      <c r="CW3157" s="115"/>
      <c r="CX3157" s="115"/>
      <c r="CY3157" s="115"/>
      <c r="CZ3157" s="115"/>
      <c r="DA3157" s="115"/>
      <c r="DB3157" s="115"/>
      <c r="DC3157" s="115"/>
      <c r="DD3157" s="115"/>
      <c r="DE3157" s="115"/>
      <c r="DF3157" s="115"/>
      <c r="DG3157" s="115"/>
    </row>
    <row r="3158" spans="55:111" hidden="1">
      <c r="BC3158" s="115"/>
      <c r="BD3158" s="115"/>
      <c r="BE3158" s="115"/>
      <c r="BF3158" s="115"/>
      <c r="BG3158" s="115"/>
      <c r="BH3158" s="115"/>
      <c r="BI3158" s="115"/>
      <c r="BJ3158" s="115"/>
      <c r="BK3158" s="115"/>
      <c r="BL3158" s="115"/>
      <c r="BM3158" s="115"/>
      <c r="BN3158" s="115"/>
      <c r="BO3158" s="115"/>
      <c r="BP3158" s="115"/>
      <c r="BQ3158" s="115"/>
      <c r="BR3158" s="115"/>
      <c r="BS3158" s="115"/>
      <c r="BT3158" s="115"/>
      <c r="BU3158" s="115"/>
      <c r="BV3158" s="115"/>
      <c r="BW3158" s="115"/>
      <c r="BX3158" s="115"/>
      <c r="BY3158" s="115"/>
      <c r="BZ3158" s="115"/>
      <c r="CA3158" s="115"/>
      <c r="CB3158" s="115"/>
      <c r="CC3158" s="115"/>
      <c r="CD3158" s="115"/>
      <c r="CE3158" s="115"/>
      <c r="CF3158" s="115"/>
      <c r="CG3158" s="115"/>
      <c r="CH3158" s="115"/>
      <c r="CI3158" s="115"/>
      <c r="CJ3158" s="115"/>
      <c r="CK3158" s="115"/>
      <c r="CL3158" s="115"/>
      <c r="CM3158" s="115"/>
      <c r="CN3158" s="115"/>
      <c r="CO3158" s="115"/>
      <c r="CP3158" s="115"/>
      <c r="CQ3158" s="115"/>
      <c r="CR3158" s="115"/>
      <c r="CS3158" s="115"/>
      <c r="CT3158" s="115"/>
      <c r="CU3158" s="115"/>
      <c r="CV3158" s="115"/>
      <c r="CW3158" s="115"/>
      <c r="CX3158" s="115"/>
      <c r="CY3158" s="115"/>
      <c r="CZ3158" s="115"/>
      <c r="DA3158" s="115"/>
      <c r="DB3158" s="115"/>
      <c r="DC3158" s="115"/>
      <c r="DD3158" s="115"/>
      <c r="DE3158" s="115"/>
      <c r="DF3158" s="115"/>
      <c r="DG3158" s="115"/>
    </row>
    <row r="3159" spans="55:111" hidden="1">
      <c r="BC3159" s="115"/>
      <c r="BD3159" s="115"/>
      <c r="BE3159" s="115"/>
      <c r="BF3159" s="115"/>
      <c r="BG3159" s="115"/>
      <c r="BH3159" s="115"/>
      <c r="BI3159" s="115"/>
      <c r="BJ3159" s="115"/>
      <c r="BK3159" s="115"/>
      <c r="BL3159" s="115"/>
      <c r="BM3159" s="115"/>
      <c r="BN3159" s="115"/>
      <c r="BO3159" s="115"/>
      <c r="BP3159" s="115"/>
      <c r="BQ3159" s="115"/>
      <c r="BR3159" s="115"/>
      <c r="BS3159" s="115"/>
      <c r="BT3159" s="115"/>
      <c r="BU3159" s="115"/>
      <c r="BV3159" s="115"/>
      <c r="BW3159" s="115"/>
      <c r="BX3159" s="115"/>
      <c r="BY3159" s="115"/>
      <c r="BZ3159" s="115"/>
      <c r="CA3159" s="115"/>
      <c r="CB3159" s="115"/>
      <c r="CC3159" s="115"/>
      <c r="CD3159" s="115"/>
      <c r="CE3159" s="115"/>
      <c r="CF3159" s="115"/>
      <c r="CG3159" s="115"/>
      <c r="CH3159" s="115"/>
      <c r="CI3159" s="115"/>
      <c r="CJ3159" s="115"/>
      <c r="CK3159" s="115"/>
      <c r="CL3159" s="115"/>
      <c r="CM3159" s="115"/>
      <c r="CN3159" s="115"/>
      <c r="CO3159" s="115"/>
      <c r="CP3159" s="115"/>
      <c r="CQ3159" s="115"/>
      <c r="CR3159" s="115"/>
      <c r="CS3159" s="115"/>
      <c r="CT3159" s="115"/>
      <c r="CU3159" s="115"/>
      <c r="CV3159" s="115"/>
      <c r="CW3159" s="115"/>
      <c r="CX3159" s="115"/>
      <c r="CY3159" s="115"/>
      <c r="CZ3159" s="115"/>
      <c r="DA3159" s="115"/>
      <c r="DB3159" s="115"/>
      <c r="DC3159" s="115"/>
      <c r="DD3159" s="115"/>
      <c r="DE3159" s="115"/>
      <c r="DF3159" s="115"/>
      <c r="DG3159" s="115"/>
    </row>
    <row r="3160" spans="55:111" hidden="1">
      <c r="BC3160" s="115"/>
      <c r="BD3160" s="115"/>
      <c r="BE3160" s="115"/>
      <c r="BF3160" s="115"/>
      <c r="BG3160" s="115"/>
      <c r="BH3160" s="115"/>
      <c r="BI3160" s="115"/>
      <c r="BJ3160" s="115"/>
      <c r="BK3160" s="115"/>
      <c r="BL3160" s="115"/>
      <c r="BM3160" s="115"/>
      <c r="BN3160" s="115"/>
      <c r="BO3160" s="115"/>
      <c r="BP3160" s="115"/>
      <c r="BQ3160" s="115"/>
      <c r="BR3160" s="115"/>
      <c r="BS3160" s="115"/>
      <c r="BT3160" s="115"/>
      <c r="BU3160" s="115"/>
      <c r="BV3160" s="115"/>
      <c r="BW3160" s="115"/>
      <c r="BX3160" s="115"/>
      <c r="BY3160" s="115"/>
      <c r="BZ3160" s="115"/>
      <c r="CA3160" s="115"/>
      <c r="CB3160" s="115"/>
      <c r="CC3160" s="115"/>
      <c r="CD3160" s="115"/>
      <c r="CE3160" s="115"/>
      <c r="CF3160" s="115"/>
      <c r="CG3160" s="115"/>
      <c r="CH3160" s="115"/>
      <c r="CI3160" s="115"/>
      <c r="CJ3160" s="115"/>
      <c r="CK3160" s="115"/>
      <c r="CL3160" s="115"/>
      <c r="CM3160" s="115"/>
      <c r="CN3160" s="115"/>
      <c r="CO3160" s="115"/>
      <c r="CP3160" s="115"/>
      <c r="CQ3160" s="115"/>
      <c r="CR3160" s="115"/>
      <c r="CS3160" s="115"/>
      <c r="CT3160" s="115"/>
      <c r="CU3160" s="115"/>
      <c r="CV3160" s="115"/>
      <c r="CW3160" s="115"/>
      <c r="CX3160" s="115"/>
      <c r="CY3160" s="115"/>
      <c r="CZ3160" s="115"/>
      <c r="DA3160" s="115"/>
      <c r="DB3160" s="115"/>
      <c r="DC3160" s="115"/>
      <c r="DD3160" s="115"/>
      <c r="DE3160" s="115"/>
      <c r="DF3160" s="115"/>
      <c r="DG3160" s="115"/>
    </row>
    <row r="3161" spans="55:111" hidden="1">
      <c r="BC3161" s="115"/>
      <c r="BD3161" s="115"/>
      <c r="BE3161" s="115"/>
      <c r="BF3161" s="115"/>
      <c r="BG3161" s="115"/>
      <c r="BH3161" s="115"/>
      <c r="BI3161" s="115"/>
      <c r="BJ3161" s="115"/>
      <c r="BK3161" s="115"/>
      <c r="BL3161" s="115"/>
      <c r="BM3161" s="115"/>
      <c r="BN3161" s="115"/>
      <c r="BO3161" s="115"/>
      <c r="BP3161" s="115"/>
      <c r="BQ3161" s="115"/>
      <c r="BR3161" s="115"/>
      <c r="BS3161" s="115"/>
      <c r="BT3161" s="115"/>
      <c r="BU3161" s="115"/>
      <c r="BV3161" s="115"/>
      <c r="BW3161" s="115"/>
      <c r="BX3161" s="115"/>
      <c r="BY3161" s="115"/>
      <c r="BZ3161" s="115"/>
      <c r="CA3161" s="115"/>
      <c r="CB3161" s="115"/>
      <c r="CC3161" s="115"/>
      <c r="CD3161" s="115"/>
      <c r="CE3161" s="115"/>
      <c r="CF3161" s="115"/>
      <c r="CG3161" s="115"/>
      <c r="CH3161" s="115"/>
      <c r="CI3161" s="115"/>
      <c r="CJ3161" s="115"/>
      <c r="CK3161" s="115"/>
      <c r="CL3161" s="115"/>
      <c r="CM3161" s="115"/>
      <c r="CN3161" s="115"/>
      <c r="CO3161" s="115"/>
      <c r="CP3161" s="115"/>
      <c r="CQ3161" s="115"/>
      <c r="CR3161" s="115"/>
      <c r="CS3161" s="115"/>
      <c r="CT3161" s="115"/>
      <c r="CU3161" s="115"/>
      <c r="CV3161" s="115"/>
      <c r="CW3161" s="115"/>
      <c r="CX3161" s="115"/>
      <c r="CY3161" s="115"/>
      <c r="CZ3161" s="115"/>
      <c r="DA3161" s="115"/>
      <c r="DB3161" s="115"/>
      <c r="DC3161" s="115"/>
      <c r="DD3161" s="115"/>
      <c r="DE3161" s="115"/>
      <c r="DF3161" s="115"/>
      <c r="DG3161" s="115"/>
    </row>
    <row r="3162" spans="55:111" hidden="1">
      <c r="BC3162" s="115"/>
      <c r="BD3162" s="115"/>
      <c r="BE3162" s="115"/>
      <c r="BF3162" s="115"/>
      <c r="BG3162" s="115"/>
      <c r="BH3162" s="115"/>
      <c r="BI3162" s="115"/>
      <c r="BJ3162" s="115"/>
      <c r="BK3162" s="115"/>
      <c r="BL3162" s="115"/>
      <c r="BM3162" s="115"/>
      <c r="BN3162" s="115"/>
      <c r="BO3162" s="115"/>
      <c r="BP3162" s="115"/>
      <c r="BQ3162" s="115"/>
      <c r="BR3162" s="115"/>
      <c r="BS3162" s="115"/>
      <c r="BT3162" s="115"/>
      <c r="BU3162" s="115"/>
      <c r="BV3162" s="115"/>
      <c r="BW3162" s="115"/>
      <c r="BX3162" s="115"/>
      <c r="BY3162" s="115"/>
      <c r="BZ3162" s="115"/>
      <c r="CA3162" s="115"/>
      <c r="CB3162" s="115"/>
      <c r="CC3162" s="115"/>
      <c r="CD3162" s="115"/>
      <c r="CE3162" s="115"/>
      <c r="CF3162" s="115"/>
      <c r="CG3162" s="115"/>
      <c r="CH3162" s="115"/>
      <c r="CI3162" s="115"/>
      <c r="CJ3162" s="115"/>
      <c r="CK3162" s="115"/>
      <c r="CL3162" s="115"/>
      <c r="CM3162" s="115"/>
      <c r="CN3162" s="115"/>
      <c r="CO3162" s="115"/>
      <c r="CP3162" s="115"/>
      <c r="CQ3162" s="115"/>
      <c r="CR3162" s="115"/>
      <c r="CS3162" s="115"/>
      <c r="CT3162" s="115"/>
      <c r="CU3162" s="115"/>
      <c r="CV3162" s="115"/>
      <c r="CW3162" s="115"/>
      <c r="CX3162" s="115"/>
      <c r="CY3162" s="115"/>
      <c r="CZ3162" s="115"/>
      <c r="DA3162" s="115"/>
      <c r="DB3162" s="115"/>
      <c r="DC3162" s="115"/>
      <c r="DD3162" s="115"/>
      <c r="DE3162" s="115"/>
      <c r="DF3162" s="115"/>
      <c r="DG3162" s="115"/>
    </row>
    <row r="3163" spans="55:111" hidden="1">
      <c r="BC3163" s="115"/>
      <c r="BD3163" s="115"/>
      <c r="BE3163" s="115"/>
      <c r="BF3163" s="115"/>
      <c r="BG3163" s="115"/>
      <c r="BH3163" s="115"/>
      <c r="BI3163" s="115"/>
      <c r="BJ3163" s="115"/>
      <c r="BK3163" s="115"/>
      <c r="BL3163" s="115"/>
      <c r="BM3163" s="115"/>
      <c r="BN3163" s="115"/>
      <c r="BO3163" s="115"/>
      <c r="BP3163" s="115"/>
      <c r="BQ3163" s="115"/>
      <c r="BR3163" s="115"/>
      <c r="BS3163" s="115"/>
      <c r="BT3163" s="115"/>
      <c r="BU3163" s="115"/>
      <c r="BV3163" s="115"/>
      <c r="BW3163" s="115"/>
      <c r="BX3163" s="115"/>
      <c r="BY3163" s="115"/>
      <c r="BZ3163" s="115"/>
      <c r="CA3163" s="115"/>
      <c r="CB3163" s="115"/>
      <c r="CC3163" s="115"/>
      <c r="CD3163" s="115"/>
      <c r="CE3163" s="115"/>
      <c r="CF3163" s="115"/>
      <c r="CG3163" s="115"/>
      <c r="CH3163" s="115"/>
      <c r="CI3163" s="115"/>
      <c r="CJ3163" s="115"/>
      <c r="CK3163" s="115"/>
      <c r="CL3163" s="115"/>
      <c r="CM3163" s="115"/>
      <c r="CN3163" s="115"/>
      <c r="CO3163" s="115"/>
      <c r="CP3163" s="115"/>
      <c r="CQ3163" s="115"/>
      <c r="CR3163" s="115"/>
      <c r="CS3163" s="115"/>
      <c r="CT3163" s="115"/>
      <c r="CU3163" s="115"/>
      <c r="CV3163" s="115"/>
      <c r="CW3163" s="115"/>
      <c r="CX3163" s="115"/>
      <c r="CY3163" s="115"/>
      <c r="CZ3163" s="115"/>
      <c r="DA3163" s="115"/>
      <c r="DB3163" s="115"/>
      <c r="DC3163" s="115"/>
      <c r="DD3163" s="115"/>
      <c r="DE3163" s="115"/>
      <c r="DF3163" s="115"/>
      <c r="DG3163" s="115"/>
    </row>
    <row r="3164" spans="55:111" hidden="1">
      <c r="BC3164" s="115"/>
      <c r="BD3164" s="115"/>
      <c r="BE3164" s="115"/>
      <c r="BF3164" s="115"/>
      <c r="BG3164" s="115"/>
      <c r="BH3164" s="115"/>
      <c r="BI3164" s="115"/>
      <c r="BJ3164" s="115"/>
      <c r="BK3164" s="115"/>
      <c r="BL3164" s="115"/>
      <c r="BM3164" s="115"/>
      <c r="BN3164" s="115"/>
      <c r="BO3164" s="115"/>
      <c r="BP3164" s="115"/>
      <c r="BQ3164" s="115"/>
      <c r="BR3164" s="115"/>
      <c r="BS3164" s="115"/>
      <c r="BT3164" s="115"/>
      <c r="BU3164" s="115"/>
      <c r="BV3164" s="115"/>
      <c r="BW3164" s="115"/>
      <c r="BX3164" s="115"/>
      <c r="BY3164" s="115"/>
      <c r="BZ3164" s="115"/>
      <c r="CA3164" s="115"/>
      <c r="CB3164" s="115"/>
      <c r="CC3164" s="115"/>
      <c r="CD3164" s="115"/>
      <c r="CE3164" s="115"/>
      <c r="CF3164" s="115"/>
      <c r="CG3164" s="115"/>
      <c r="CH3164" s="115"/>
      <c r="CI3164" s="115"/>
      <c r="CJ3164" s="115"/>
      <c r="CK3164" s="115"/>
      <c r="CL3164" s="115"/>
      <c r="CM3164" s="115"/>
      <c r="CN3164" s="115"/>
      <c r="CO3164" s="115"/>
      <c r="CP3164" s="115"/>
      <c r="CQ3164" s="115"/>
      <c r="CR3164" s="115"/>
      <c r="CS3164" s="115"/>
      <c r="CT3164" s="115"/>
      <c r="CU3164" s="115"/>
      <c r="CV3164" s="115"/>
      <c r="CW3164" s="115"/>
      <c r="CX3164" s="115"/>
      <c r="CY3164" s="115"/>
      <c r="CZ3164" s="115"/>
      <c r="DA3164" s="115"/>
      <c r="DB3164" s="115"/>
      <c r="DC3164" s="115"/>
      <c r="DD3164" s="115"/>
      <c r="DE3164" s="115"/>
      <c r="DF3164" s="115"/>
      <c r="DG3164" s="115"/>
    </row>
    <row r="3165" spans="55:111" hidden="1">
      <c r="BC3165" s="115"/>
      <c r="BD3165" s="115"/>
      <c r="BE3165" s="115"/>
      <c r="BF3165" s="115"/>
      <c r="BG3165" s="115"/>
      <c r="BH3165" s="115"/>
      <c r="BI3165" s="115"/>
      <c r="BJ3165" s="115"/>
      <c r="BK3165" s="115"/>
      <c r="BL3165" s="115"/>
      <c r="BM3165" s="115"/>
      <c r="BN3165" s="115"/>
      <c r="BO3165" s="115"/>
      <c r="BP3165" s="115"/>
      <c r="BQ3165" s="115"/>
      <c r="BR3165" s="115"/>
      <c r="BS3165" s="115"/>
      <c r="BT3165" s="115"/>
      <c r="BU3165" s="115"/>
      <c r="BV3165" s="115"/>
      <c r="BW3165" s="115"/>
      <c r="BX3165" s="115"/>
      <c r="BY3165" s="115"/>
      <c r="BZ3165" s="115"/>
      <c r="CA3165" s="115"/>
      <c r="CB3165" s="115"/>
      <c r="CC3165" s="115"/>
      <c r="CD3165" s="115"/>
      <c r="CE3165" s="115"/>
      <c r="CF3165" s="115"/>
      <c r="CG3165" s="115"/>
      <c r="CH3165" s="115"/>
      <c r="CI3165" s="115"/>
      <c r="CJ3165" s="115"/>
      <c r="CK3165" s="115"/>
      <c r="CL3165" s="115"/>
      <c r="CM3165" s="115"/>
      <c r="CN3165" s="115"/>
      <c r="CO3165" s="115"/>
      <c r="CP3165" s="115"/>
      <c r="CQ3165" s="115"/>
      <c r="CR3165" s="115"/>
      <c r="CS3165" s="115"/>
      <c r="CT3165" s="115"/>
      <c r="CU3165" s="115"/>
      <c r="CV3165" s="115"/>
      <c r="CW3165" s="115"/>
      <c r="CX3165" s="115"/>
      <c r="CY3165" s="115"/>
      <c r="CZ3165" s="115"/>
      <c r="DA3165" s="115"/>
      <c r="DB3165" s="115"/>
      <c r="DC3165" s="115"/>
      <c r="DD3165" s="115"/>
      <c r="DE3165" s="115"/>
      <c r="DF3165" s="115"/>
      <c r="DG3165" s="115"/>
    </row>
    <row r="3166" spans="55:111" hidden="1">
      <c r="BC3166" s="115"/>
      <c r="BD3166" s="115"/>
      <c r="BE3166" s="115"/>
      <c r="BF3166" s="115"/>
      <c r="BG3166" s="115"/>
      <c r="BH3166" s="115"/>
      <c r="BI3166" s="115"/>
      <c r="BJ3166" s="115"/>
      <c r="BK3166" s="115"/>
      <c r="BL3166" s="115"/>
      <c r="BM3166" s="115"/>
      <c r="BN3166" s="115"/>
      <c r="BO3166" s="115"/>
      <c r="BP3166" s="115"/>
      <c r="BQ3166" s="115"/>
      <c r="BR3166" s="115"/>
      <c r="BS3166" s="115"/>
      <c r="BT3166" s="115"/>
      <c r="BU3166" s="115"/>
      <c r="BV3166" s="115"/>
      <c r="BW3166" s="115"/>
      <c r="BX3166" s="115"/>
      <c r="BY3166" s="115"/>
      <c r="BZ3166" s="115"/>
      <c r="CA3166" s="115"/>
      <c r="CB3166" s="115"/>
      <c r="CC3166" s="115"/>
      <c r="CD3166" s="115"/>
      <c r="CE3166" s="115"/>
      <c r="CF3166" s="115"/>
      <c r="CG3166" s="115"/>
      <c r="CH3166" s="115"/>
      <c r="CI3166" s="115"/>
      <c r="CJ3166" s="115"/>
      <c r="CK3166" s="115"/>
      <c r="CL3166" s="115"/>
      <c r="CM3166" s="115"/>
      <c r="CN3166" s="115"/>
      <c r="CO3166" s="115"/>
      <c r="CP3166" s="115"/>
      <c r="CQ3166" s="115"/>
      <c r="CR3166" s="115"/>
      <c r="CS3166" s="115"/>
      <c r="CT3166" s="115"/>
      <c r="CU3166" s="115"/>
      <c r="CV3166" s="115"/>
      <c r="CW3166" s="115"/>
      <c r="CX3166" s="115"/>
      <c r="CY3166" s="115"/>
      <c r="CZ3166" s="115"/>
      <c r="DA3166" s="115"/>
      <c r="DB3166" s="115"/>
      <c r="DC3166" s="115"/>
      <c r="DD3166" s="115"/>
      <c r="DE3166" s="115"/>
      <c r="DF3166" s="115"/>
      <c r="DG3166" s="115"/>
    </row>
    <row r="3167" spans="55:111" hidden="1">
      <c r="BC3167" s="115"/>
      <c r="BD3167" s="115"/>
      <c r="BE3167" s="115"/>
      <c r="BF3167" s="115"/>
      <c r="BG3167" s="115"/>
      <c r="BH3167" s="115"/>
      <c r="BI3167" s="115"/>
      <c r="BJ3167" s="115"/>
      <c r="BK3167" s="115"/>
      <c r="BL3167" s="115"/>
      <c r="BM3167" s="115"/>
      <c r="BN3167" s="115"/>
      <c r="BO3167" s="115"/>
      <c r="BP3167" s="115"/>
      <c r="BQ3167" s="115"/>
      <c r="BR3167" s="115"/>
      <c r="BS3167" s="115"/>
      <c r="BT3167" s="115"/>
      <c r="BU3167" s="115"/>
      <c r="BV3167" s="115"/>
      <c r="BW3167" s="115"/>
      <c r="BX3167" s="115"/>
      <c r="BY3167" s="115"/>
      <c r="BZ3167" s="115"/>
      <c r="CA3167" s="115"/>
      <c r="CB3167" s="115"/>
      <c r="CC3167" s="115"/>
      <c r="CD3167" s="115"/>
      <c r="CE3167" s="115"/>
      <c r="CF3167" s="115"/>
      <c r="CG3167" s="115"/>
      <c r="CH3167" s="115"/>
      <c r="CI3167" s="115"/>
      <c r="CJ3167" s="115"/>
      <c r="CK3167" s="115"/>
      <c r="CL3167" s="115"/>
      <c r="CM3167" s="115"/>
      <c r="CN3167" s="115"/>
      <c r="CO3167" s="115"/>
      <c r="CP3167" s="115"/>
      <c r="CQ3167" s="115"/>
      <c r="CR3167" s="115"/>
      <c r="CS3167" s="115"/>
      <c r="CT3167" s="115"/>
      <c r="CU3167" s="115"/>
      <c r="CV3167" s="115"/>
      <c r="CW3167" s="115"/>
      <c r="CX3167" s="115"/>
      <c r="CY3167" s="115"/>
      <c r="CZ3167" s="115"/>
      <c r="DA3167" s="115"/>
      <c r="DB3167" s="115"/>
      <c r="DC3167" s="115"/>
      <c r="DD3167" s="115"/>
      <c r="DE3167" s="115"/>
      <c r="DF3167" s="115"/>
      <c r="DG3167" s="115"/>
    </row>
    <row r="3168" spans="55:111" hidden="1">
      <c r="BC3168" s="115"/>
      <c r="BD3168" s="115"/>
      <c r="BE3168" s="115"/>
      <c r="BF3168" s="115"/>
      <c r="BG3168" s="115"/>
      <c r="BH3168" s="115"/>
      <c r="BI3168" s="115"/>
      <c r="BJ3168" s="115"/>
      <c r="BK3168" s="115"/>
      <c r="BL3168" s="115"/>
      <c r="BM3168" s="115"/>
      <c r="BN3168" s="115"/>
      <c r="BO3168" s="115"/>
      <c r="BP3168" s="115"/>
      <c r="BQ3168" s="115"/>
      <c r="BR3168" s="115"/>
      <c r="BS3168" s="115"/>
      <c r="BT3168" s="115"/>
      <c r="BU3168" s="115"/>
      <c r="BV3168" s="115"/>
      <c r="BW3168" s="115"/>
      <c r="BX3168" s="115"/>
      <c r="BY3168" s="115"/>
      <c r="BZ3168" s="115"/>
      <c r="CA3168" s="115"/>
      <c r="CB3168" s="115"/>
      <c r="CC3168" s="115"/>
      <c r="CD3168" s="115"/>
      <c r="CE3168" s="115"/>
      <c r="CF3168" s="115"/>
      <c r="CG3168" s="115"/>
      <c r="CH3168" s="115"/>
      <c r="CI3168" s="115"/>
      <c r="CJ3168" s="115"/>
      <c r="CK3168" s="115"/>
      <c r="CL3168" s="115"/>
      <c r="CM3168" s="115"/>
      <c r="CN3168" s="115"/>
      <c r="CO3168" s="115"/>
      <c r="CP3168" s="115"/>
      <c r="CQ3168" s="115"/>
      <c r="CR3168" s="115"/>
      <c r="CS3168" s="115"/>
      <c r="CT3168" s="115"/>
      <c r="CU3168" s="115"/>
      <c r="CV3168" s="115"/>
      <c r="CW3168" s="115"/>
      <c r="CX3168" s="115"/>
      <c r="CY3168" s="115"/>
      <c r="CZ3168" s="115"/>
      <c r="DA3168" s="115"/>
      <c r="DB3168" s="115"/>
      <c r="DC3168" s="115"/>
      <c r="DD3168" s="115"/>
      <c r="DE3168" s="115"/>
      <c r="DF3168" s="115"/>
      <c r="DG3168" s="115"/>
    </row>
    <row r="3169" spans="55:111" hidden="1">
      <c r="BC3169" s="115"/>
      <c r="BD3169" s="115"/>
      <c r="BE3169" s="115"/>
      <c r="BF3169" s="115"/>
      <c r="BG3169" s="115"/>
      <c r="BH3169" s="115"/>
      <c r="BI3169" s="115"/>
      <c r="BJ3169" s="115"/>
      <c r="BK3169" s="115"/>
      <c r="BL3169" s="115"/>
      <c r="BM3169" s="115"/>
      <c r="BN3169" s="115"/>
      <c r="BO3169" s="115"/>
      <c r="BP3169" s="115"/>
      <c r="BQ3169" s="115"/>
      <c r="BR3169" s="115"/>
      <c r="BS3169" s="115"/>
      <c r="BT3169" s="115"/>
      <c r="BU3169" s="115"/>
      <c r="BV3169" s="115"/>
      <c r="BW3169" s="115"/>
      <c r="BX3169" s="115"/>
      <c r="BY3169" s="115"/>
      <c r="BZ3169" s="115"/>
      <c r="CA3169" s="115"/>
      <c r="CB3169" s="115"/>
      <c r="CC3169" s="115"/>
      <c r="CD3169" s="115"/>
      <c r="CE3169" s="115"/>
      <c r="CF3169" s="115"/>
      <c r="CG3169" s="115"/>
      <c r="CH3169" s="115"/>
      <c r="CI3169" s="115"/>
      <c r="CJ3169" s="115"/>
      <c r="CK3169" s="115"/>
      <c r="CL3169" s="115"/>
      <c r="CM3169" s="115"/>
      <c r="CN3169" s="115"/>
      <c r="CO3169" s="115"/>
      <c r="CP3169" s="115"/>
      <c r="CQ3169" s="115"/>
      <c r="CR3169" s="115"/>
      <c r="CS3169" s="115"/>
      <c r="CT3169" s="115"/>
      <c r="CU3169" s="115"/>
      <c r="CV3169" s="115"/>
      <c r="CW3169" s="115"/>
      <c r="CX3169" s="115"/>
      <c r="CY3169" s="115"/>
      <c r="CZ3169" s="115"/>
      <c r="DA3169" s="115"/>
      <c r="DB3169" s="115"/>
      <c r="DC3169" s="115"/>
      <c r="DD3169" s="115"/>
      <c r="DE3169" s="115"/>
      <c r="DF3169" s="115"/>
      <c r="DG3169" s="115"/>
    </row>
    <row r="3170" spans="55:111" hidden="1">
      <c r="BC3170" s="115"/>
      <c r="BD3170" s="115"/>
      <c r="BE3170" s="115"/>
      <c r="BF3170" s="115"/>
      <c r="BG3170" s="115"/>
      <c r="BH3170" s="115"/>
      <c r="BI3170" s="115"/>
      <c r="BJ3170" s="115"/>
      <c r="BK3170" s="115"/>
      <c r="BL3170" s="115"/>
      <c r="BM3170" s="115"/>
      <c r="BN3170" s="115"/>
      <c r="BO3170" s="115"/>
      <c r="BP3170" s="115"/>
      <c r="BQ3170" s="115"/>
      <c r="BR3170" s="115"/>
      <c r="BS3170" s="115"/>
      <c r="BT3170" s="115"/>
      <c r="BU3170" s="115"/>
      <c r="BV3170" s="115"/>
      <c r="BW3170" s="115"/>
      <c r="BX3170" s="115"/>
      <c r="BY3170" s="115"/>
      <c r="BZ3170" s="115"/>
      <c r="CA3170" s="115"/>
      <c r="CB3170" s="115"/>
      <c r="CC3170" s="115"/>
      <c r="CD3170" s="115"/>
      <c r="CE3170" s="115"/>
      <c r="CF3170" s="115"/>
      <c r="CG3170" s="115"/>
      <c r="CH3170" s="115"/>
      <c r="CI3170" s="115"/>
      <c r="CJ3170" s="115"/>
      <c r="CK3170" s="115"/>
      <c r="CL3170" s="115"/>
      <c r="CM3170" s="115"/>
      <c r="CN3170" s="115"/>
      <c r="CO3170" s="115"/>
      <c r="CP3170" s="115"/>
      <c r="CQ3170" s="115"/>
      <c r="CR3170" s="115"/>
      <c r="CS3170" s="115"/>
      <c r="CT3170" s="115"/>
      <c r="CU3170" s="115"/>
      <c r="CV3170" s="115"/>
      <c r="CW3170" s="115"/>
      <c r="CX3170" s="115"/>
      <c r="CY3170" s="115"/>
      <c r="CZ3170" s="115"/>
      <c r="DA3170" s="115"/>
      <c r="DB3170" s="115"/>
      <c r="DC3170" s="115"/>
      <c r="DD3170" s="115"/>
      <c r="DE3170" s="115"/>
      <c r="DF3170" s="115"/>
      <c r="DG3170" s="115"/>
    </row>
    <row r="3171" spans="55:111" hidden="1">
      <c r="BC3171" s="115"/>
      <c r="BD3171" s="115"/>
      <c r="BE3171" s="115"/>
      <c r="BF3171" s="115"/>
      <c r="BG3171" s="115"/>
      <c r="BH3171" s="115"/>
      <c r="BI3171" s="115"/>
      <c r="BJ3171" s="115"/>
      <c r="BK3171" s="115"/>
      <c r="BL3171" s="115"/>
      <c r="BM3171" s="115"/>
      <c r="BN3171" s="115"/>
      <c r="BO3171" s="115"/>
      <c r="BP3171" s="115"/>
      <c r="BQ3171" s="115"/>
      <c r="BR3171" s="115"/>
      <c r="BS3171" s="115"/>
      <c r="BT3171" s="115"/>
      <c r="BU3171" s="115"/>
      <c r="BV3171" s="115"/>
      <c r="BW3171" s="115"/>
      <c r="BX3171" s="115"/>
      <c r="BY3171" s="115"/>
      <c r="BZ3171" s="115"/>
      <c r="CA3171" s="115"/>
      <c r="CB3171" s="115"/>
      <c r="CC3171" s="115"/>
      <c r="CD3171" s="115"/>
      <c r="CE3171" s="115"/>
      <c r="CF3171" s="115"/>
      <c r="CG3171" s="115"/>
      <c r="CH3171" s="115"/>
      <c r="CI3171" s="115"/>
      <c r="CJ3171" s="115"/>
      <c r="CK3171" s="115"/>
      <c r="CL3171" s="115"/>
      <c r="CM3171" s="115"/>
      <c r="CN3171" s="115"/>
      <c r="CO3171" s="115"/>
      <c r="CP3171" s="115"/>
      <c r="CQ3171" s="115"/>
      <c r="CR3171" s="115"/>
      <c r="CS3171" s="115"/>
      <c r="CT3171" s="115"/>
      <c r="CU3171" s="115"/>
      <c r="CV3171" s="115"/>
      <c r="CW3171" s="115"/>
      <c r="CX3171" s="115"/>
      <c r="CY3171" s="115"/>
      <c r="CZ3171" s="115"/>
      <c r="DA3171" s="115"/>
      <c r="DB3171" s="115"/>
      <c r="DC3171" s="115"/>
      <c r="DD3171" s="115"/>
      <c r="DE3171" s="115"/>
      <c r="DF3171" s="115"/>
      <c r="DG3171" s="115"/>
    </row>
    <row r="3172" spans="55:111" hidden="1">
      <c r="BC3172" s="115"/>
      <c r="BD3172" s="115"/>
      <c r="BE3172" s="115"/>
      <c r="BF3172" s="115"/>
      <c r="BG3172" s="115"/>
      <c r="BH3172" s="115"/>
      <c r="BI3172" s="115"/>
      <c r="BJ3172" s="115"/>
      <c r="BK3172" s="115"/>
      <c r="BL3172" s="115"/>
      <c r="BM3172" s="115"/>
      <c r="BN3172" s="115"/>
      <c r="BO3172" s="115"/>
      <c r="BP3172" s="115"/>
      <c r="BQ3172" s="115"/>
      <c r="BR3172" s="115"/>
      <c r="BS3172" s="115"/>
      <c r="BT3172" s="115"/>
      <c r="BU3172" s="115"/>
      <c r="BV3172" s="115"/>
      <c r="BW3172" s="115"/>
      <c r="BX3172" s="115"/>
      <c r="BY3172" s="115"/>
      <c r="BZ3172" s="115"/>
      <c r="CA3172" s="115"/>
      <c r="CB3172" s="115"/>
      <c r="CC3172" s="115"/>
      <c r="CD3172" s="115"/>
      <c r="CE3172" s="115"/>
      <c r="CF3172" s="115"/>
      <c r="CG3172" s="115"/>
      <c r="CH3172" s="115"/>
      <c r="CI3172" s="115"/>
      <c r="CJ3172" s="115"/>
      <c r="CK3172" s="115"/>
      <c r="CL3172" s="115"/>
      <c r="CM3172" s="115"/>
      <c r="CN3172" s="115"/>
      <c r="CO3172" s="115"/>
      <c r="CP3172" s="115"/>
      <c r="CQ3172" s="115"/>
      <c r="CR3172" s="115"/>
      <c r="CS3172" s="115"/>
      <c r="CT3172" s="115"/>
      <c r="CU3172" s="115"/>
      <c r="CV3172" s="115"/>
      <c r="CW3172" s="115"/>
      <c r="CX3172" s="115"/>
      <c r="CY3172" s="115"/>
      <c r="CZ3172" s="115"/>
      <c r="DA3172" s="115"/>
      <c r="DB3172" s="115"/>
      <c r="DC3172" s="115"/>
      <c r="DD3172" s="115"/>
      <c r="DE3172" s="115"/>
      <c r="DF3172" s="115"/>
      <c r="DG3172" s="115"/>
    </row>
    <row r="3173" spans="55:111" hidden="1">
      <c r="BC3173" s="115"/>
      <c r="BD3173" s="115"/>
      <c r="BE3173" s="115"/>
      <c r="BF3173" s="115"/>
      <c r="BG3173" s="115"/>
      <c r="BH3173" s="115"/>
      <c r="BI3173" s="115"/>
      <c r="BJ3173" s="115"/>
      <c r="BK3173" s="115"/>
      <c r="BL3173" s="115"/>
      <c r="BM3173" s="115"/>
      <c r="BN3173" s="115"/>
      <c r="BO3173" s="115"/>
      <c r="BP3173" s="115"/>
      <c r="BQ3173" s="115"/>
      <c r="BR3173" s="115"/>
      <c r="BS3173" s="115"/>
      <c r="BT3173" s="115"/>
      <c r="BU3173" s="115"/>
      <c r="BV3173" s="115"/>
      <c r="BW3173" s="115"/>
      <c r="BX3173" s="115"/>
      <c r="BY3173" s="115"/>
      <c r="BZ3173" s="115"/>
      <c r="CA3173" s="115"/>
      <c r="CB3173" s="115"/>
      <c r="CC3173" s="115"/>
      <c r="CD3173" s="115"/>
      <c r="CE3173" s="115"/>
      <c r="CF3173" s="115"/>
      <c r="CG3173" s="115"/>
      <c r="CH3173" s="115"/>
      <c r="CI3173" s="115"/>
      <c r="CJ3173" s="115"/>
      <c r="CK3173" s="115"/>
      <c r="CL3173" s="115"/>
      <c r="CM3173" s="115"/>
      <c r="CN3173" s="115"/>
      <c r="CO3173" s="115"/>
      <c r="CP3173" s="115"/>
      <c r="CQ3173" s="115"/>
      <c r="CR3173" s="115"/>
      <c r="CS3173" s="115"/>
      <c r="CT3173" s="115"/>
      <c r="CU3173" s="115"/>
      <c r="CV3173" s="115"/>
      <c r="CW3173" s="115"/>
      <c r="CX3173" s="115"/>
      <c r="CY3173" s="115"/>
      <c r="CZ3173" s="115"/>
      <c r="DA3173" s="115"/>
      <c r="DB3173" s="115"/>
      <c r="DC3173" s="115"/>
      <c r="DD3173" s="115"/>
      <c r="DE3173" s="115"/>
      <c r="DF3173" s="115"/>
      <c r="DG3173" s="115"/>
    </row>
    <row r="3174" spans="55:111" hidden="1">
      <c r="BC3174" s="115"/>
      <c r="BD3174" s="115"/>
      <c r="BE3174" s="115"/>
      <c r="BF3174" s="115"/>
      <c r="BG3174" s="115"/>
      <c r="BH3174" s="115"/>
      <c r="BI3174" s="115"/>
      <c r="BJ3174" s="115"/>
      <c r="BK3174" s="115"/>
      <c r="BL3174" s="115"/>
      <c r="BM3174" s="115"/>
      <c r="BN3174" s="115"/>
      <c r="BO3174" s="115"/>
      <c r="BP3174" s="115"/>
      <c r="BQ3174" s="115"/>
      <c r="BR3174" s="115"/>
      <c r="BS3174" s="115"/>
      <c r="BT3174" s="115"/>
      <c r="BU3174" s="115"/>
      <c r="BV3174" s="115"/>
      <c r="BW3174" s="115"/>
      <c r="BX3174" s="115"/>
      <c r="BY3174" s="115"/>
      <c r="BZ3174" s="115"/>
      <c r="CA3174" s="115"/>
      <c r="CB3174" s="115"/>
      <c r="CC3174" s="115"/>
      <c r="CD3174" s="115"/>
      <c r="CE3174" s="115"/>
      <c r="CF3174" s="115"/>
      <c r="CG3174" s="115"/>
      <c r="CH3174" s="115"/>
      <c r="CI3174" s="115"/>
      <c r="CJ3174" s="115"/>
      <c r="CK3174" s="115"/>
      <c r="CL3174" s="115"/>
      <c r="CM3174" s="115"/>
      <c r="CN3174" s="115"/>
      <c r="CO3174" s="115"/>
      <c r="CP3174" s="115"/>
      <c r="CQ3174" s="115"/>
      <c r="CR3174" s="115"/>
      <c r="CS3174" s="115"/>
      <c r="CT3174" s="115"/>
      <c r="CU3174" s="115"/>
      <c r="CV3174" s="115"/>
      <c r="CW3174" s="115"/>
      <c r="CX3174" s="115"/>
      <c r="CY3174" s="115"/>
      <c r="CZ3174" s="115"/>
      <c r="DA3174" s="115"/>
      <c r="DB3174" s="115"/>
      <c r="DC3174" s="115"/>
      <c r="DD3174" s="115"/>
      <c r="DE3174" s="115"/>
      <c r="DF3174" s="115"/>
      <c r="DG3174" s="115"/>
    </row>
    <row r="3175" spans="55:111" hidden="1">
      <c r="BC3175" s="115"/>
      <c r="BD3175" s="115"/>
      <c r="BE3175" s="115"/>
      <c r="BF3175" s="115"/>
      <c r="BG3175" s="115"/>
      <c r="BH3175" s="115"/>
      <c r="BI3175" s="115"/>
      <c r="BJ3175" s="115"/>
      <c r="BK3175" s="115"/>
      <c r="BL3175" s="115"/>
      <c r="BM3175" s="115"/>
      <c r="BN3175" s="115"/>
      <c r="BO3175" s="115"/>
      <c r="BP3175" s="115"/>
      <c r="BQ3175" s="115"/>
      <c r="BR3175" s="115"/>
      <c r="BS3175" s="115"/>
      <c r="BT3175" s="115"/>
      <c r="BU3175" s="115"/>
      <c r="BV3175" s="115"/>
      <c r="BW3175" s="115"/>
      <c r="BX3175" s="115"/>
      <c r="BY3175" s="115"/>
      <c r="BZ3175" s="115"/>
      <c r="CA3175" s="115"/>
      <c r="CB3175" s="115"/>
      <c r="CC3175" s="115"/>
      <c r="CD3175" s="115"/>
      <c r="CE3175" s="115"/>
      <c r="CF3175" s="115"/>
      <c r="CG3175" s="115"/>
      <c r="CH3175" s="115"/>
      <c r="CI3175" s="115"/>
      <c r="CJ3175" s="115"/>
      <c r="CK3175" s="115"/>
      <c r="CL3175" s="115"/>
      <c r="CM3175" s="115"/>
      <c r="CN3175" s="115"/>
      <c r="CO3175" s="115"/>
      <c r="CP3175" s="115"/>
      <c r="CQ3175" s="115"/>
      <c r="CR3175" s="115"/>
      <c r="CS3175" s="115"/>
      <c r="CT3175" s="115"/>
      <c r="CU3175" s="115"/>
      <c r="CV3175" s="115"/>
      <c r="CW3175" s="115"/>
      <c r="CX3175" s="115"/>
      <c r="CY3175" s="115"/>
      <c r="CZ3175" s="115"/>
      <c r="DA3175" s="115"/>
      <c r="DB3175" s="115"/>
      <c r="DC3175" s="115"/>
      <c r="DD3175" s="115"/>
      <c r="DE3175" s="115"/>
      <c r="DF3175" s="115"/>
      <c r="DG3175" s="115"/>
    </row>
    <row r="3176" spans="55:111" hidden="1">
      <c r="BC3176" s="115"/>
      <c r="BD3176" s="115"/>
      <c r="BE3176" s="115"/>
      <c r="BF3176" s="115"/>
      <c r="BG3176" s="115"/>
      <c r="BH3176" s="115"/>
      <c r="BI3176" s="115"/>
      <c r="BJ3176" s="115"/>
      <c r="BK3176" s="115"/>
      <c r="BL3176" s="115"/>
      <c r="BM3176" s="115"/>
      <c r="BN3176" s="115"/>
      <c r="BO3176" s="115"/>
      <c r="BP3176" s="115"/>
      <c r="BQ3176" s="115"/>
      <c r="BR3176" s="115"/>
      <c r="BS3176" s="115"/>
      <c r="BT3176" s="115"/>
      <c r="BU3176" s="115"/>
      <c r="BV3176" s="115"/>
      <c r="BW3176" s="115"/>
      <c r="BX3176" s="115"/>
      <c r="BY3176" s="115"/>
      <c r="BZ3176" s="115"/>
      <c r="CA3176" s="115"/>
      <c r="CB3176" s="115"/>
      <c r="CC3176" s="115"/>
      <c r="CD3176" s="115"/>
      <c r="CE3176" s="115"/>
      <c r="CF3176" s="115"/>
      <c r="CG3176" s="115"/>
      <c r="CH3176" s="115"/>
      <c r="CI3176" s="115"/>
      <c r="CJ3176" s="115"/>
      <c r="CK3176" s="115"/>
      <c r="CL3176" s="115"/>
      <c r="CM3176" s="115"/>
      <c r="CN3176" s="115"/>
      <c r="CO3176" s="115"/>
      <c r="CP3176" s="115"/>
      <c r="CQ3176" s="115"/>
      <c r="CR3176" s="115"/>
      <c r="CS3176" s="115"/>
      <c r="CT3176" s="115"/>
      <c r="CU3176" s="115"/>
      <c r="CV3176" s="115"/>
      <c r="CW3176" s="115"/>
      <c r="CX3176" s="115"/>
      <c r="CY3176" s="115"/>
      <c r="CZ3176" s="115"/>
      <c r="DA3176" s="115"/>
      <c r="DB3176" s="115"/>
      <c r="DC3176" s="115"/>
      <c r="DD3176" s="115"/>
      <c r="DE3176" s="115"/>
      <c r="DF3176" s="115"/>
      <c r="DG3176" s="115"/>
    </row>
    <row r="3177" spans="55:111" hidden="1">
      <c r="BC3177" s="115"/>
      <c r="BD3177" s="115"/>
      <c r="BE3177" s="115"/>
      <c r="BF3177" s="115"/>
      <c r="BG3177" s="115"/>
      <c r="BH3177" s="115"/>
      <c r="BI3177" s="115"/>
      <c r="BJ3177" s="115"/>
      <c r="BK3177" s="115"/>
      <c r="BL3177" s="115"/>
      <c r="BM3177" s="115"/>
      <c r="BN3177" s="115"/>
      <c r="BO3177" s="115"/>
      <c r="BP3177" s="115"/>
      <c r="BQ3177" s="115"/>
      <c r="BR3177" s="115"/>
      <c r="BS3177" s="115"/>
      <c r="BT3177" s="115"/>
      <c r="BU3177" s="115"/>
      <c r="BV3177" s="115"/>
      <c r="BW3177" s="115"/>
      <c r="BX3177" s="115"/>
      <c r="BY3177" s="115"/>
      <c r="BZ3177" s="115"/>
      <c r="CA3177" s="115"/>
      <c r="CB3177" s="115"/>
      <c r="CC3177" s="115"/>
      <c r="CD3177" s="115"/>
      <c r="CE3177" s="115"/>
      <c r="CF3177" s="115"/>
      <c r="CG3177" s="115"/>
      <c r="CH3177" s="115"/>
      <c r="CI3177" s="115"/>
      <c r="CJ3177" s="115"/>
      <c r="CK3177" s="115"/>
      <c r="CL3177" s="115"/>
      <c r="CM3177" s="115"/>
      <c r="CN3177" s="115"/>
      <c r="CO3177" s="115"/>
      <c r="CP3177" s="115"/>
      <c r="CQ3177" s="115"/>
      <c r="CR3177" s="115"/>
      <c r="CS3177" s="115"/>
      <c r="CT3177" s="115"/>
      <c r="CU3177" s="115"/>
      <c r="CV3177" s="115"/>
      <c r="CW3177" s="115"/>
      <c r="CX3177" s="115"/>
      <c r="CY3177" s="115"/>
      <c r="CZ3177" s="115"/>
      <c r="DA3177" s="115"/>
      <c r="DB3177" s="115"/>
      <c r="DC3177" s="115"/>
      <c r="DD3177" s="115"/>
      <c r="DE3177" s="115"/>
      <c r="DF3177" s="115"/>
      <c r="DG3177" s="115"/>
    </row>
    <row r="3178" spans="55:111" hidden="1">
      <c r="BC3178" s="115"/>
      <c r="BD3178" s="115"/>
      <c r="BE3178" s="115"/>
      <c r="BF3178" s="115"/>
      <c r="BG3178" s="115"/>
      <c r="BH3178" s="115"/>
      <c r="BI3178" s="115"/>
      <c r="BJ3178" s="115"/>
      <c r="BK3178" s="115"/>
      <c r="BL3178" s="115"/>
      <c r="BM3178" s="115"/>
      <c r="BN3178" s="115"/>
      <c r="BO3178" s="115"/>
      <c r="BP3178" s="115"/>
      <c r="BQ3178" s="115"/>
      <c r="BR3178" s="115"/>
      <c r="BS3178" s="115"/>
      <c r="BT3178" s="115"/>
      <c r="BU3178" s="115"/>
      <c r="BV3178" s="115"/>
      <c r="BW3178" s="115"/>
      <c r="BX3178" s="115"/>
      <c r="BY3178" s="115"/>
      <c r="BZ3178" s="115"/>
      <c r="CA3178" s="115"/>
      <c r="CB3178" s="115"/>
      <c r="CC3178" s="115"/>
      <c r="CD3178" s="115"/>
      <c r="CE3178" s="115"/>
      <c r="CF3178" s="115"/>
      <c r="CG3178" s="115"/>
      <c r="CH3178" s="115"/>
      <c r="CI3178" s="115"/>
      <c r="CJ3178" s="115"/>
      <c r="CK3178" s="115"/>
      <c r="CL3178" s="115"/>
      <c r="CM3178" s="115"/>
      <c r="CN3178" s="115"/>
      <c r="CO3178" s="115"/>
      <c r="CP3178" s="115"/>
      <c r="CQ3178" s="115"/>
      <c r="CR3178" s="115"/>
      <c r="CS3178" s="115"/>
      <c r="CT3178" s="115"/>
      <c r="CU3178" s="115"/>
      <c r="CV3178" s="115"/>
      <c r="CW3178" s="115"/>
      <c r="CX3178" s="115"/>
      <c r="CY3178" s="115"/>
      <c r="CZ3178" s="115"/>
      <c r="DA3178" s="115"/>
      <c r="DB3178" s="115"/>
      <c r="DC3178" s="115"/>
      <c r="DD3178" s="115"/>
      <c r="DE3178" s="115"/>
      <c r="DF3178" s="115"/>
      <c r="DG3178" s="115"/>
    </row>
    <row r="3179" spans="55:111" hidden="1">
      <c r="BC3179" s="115"/>
      <c r="BD3179" s="115"/>
      <c r="BE3179" s="115"/>
      <c r="BF3179" s="115"/>
      <c r="BG3179" s="115"/>
      <c r="BH3179" s="115"/>
      <c r="BI3179" s="115"/>
      <c r="BJ3179" s="115"/>
      <c r="BK3179" s="115"/>
      <c r="BL3179" s="115"/>
      <c r="BM3179" s="115"/>
      <c r="BN3179" s="115"/>
      <c r="BO3179" s="115"/>
      <c r="BP3179" s="115"/>
      <c r="BQ3179" s="115"/>
      <c r="BR3179" s="115"/>
      <c r="BS3179" s="115"/>
      <c r="BT3179" s="115"/>
      <c r="BU3179" s="115"/>
      <c r="BV3179" s="115"/>
      <c r="BW3179" s="115"/>
      <c r="BX3179" s="115"/>
      <c r="BY3179" s="115"/>
      <c r="BZ3179" s="115"/>
      <c r="CA3179" s="115"/>
      <c r="CB3179" s="115"/>
      <c r="CC3179" s="115"/>
      <c r="CD3179" s="115"/>
      <c r="CE3179" s="115"/>
      <c r="CF3179" s="115"/>
      <c r="CG3179" s="115"/>
      <c r="CH3179" s="115"/>
      <c r="CI3179" s="115"/>
      <c r="CJ3179" s="115"/>
      <c r="CK3179" s="115"/>
      <c r="CL3179" s="115"/>
      <c r="CM3179" s="115"/>
      <c r="CN3179" s="115"/>
      <c r="CO3179" s="115"/>
      <c r="CP3179" s="115"/>
      <c r="CQ3179" s="115"/>
      <c r="CR3179" s="115"/>
      <c r="CS3179" s="115"/>
      <c r="CT3179" s="115"/>
      <c r="CU3179" s="115"/>
      <c r="CV3179" s="115"/>
      <c r="CW3179" s="115"/>
      <c r="CX3179" s="115"/>
      <c r="CY3179" s="115"/>
      <c r="CZ3179" s="115"/>
      <c r="DA3179" s="115"/>
      <c r="DB3179" s="115"/>
      <c r="DC3179" s="115"/>
      <c r="DD3179" s="115"/>
      <c r="DE3179" s="115"/>
      <c r="DF3179" s="115"/>
      <c r="DG3179" s="115"/>
    </row>
    <row r="3180" spans="55:111" hidden="1">
      <c r="BC3180" s="115"/>
      <c r="BD3180" s="115"/>
      <c r="BE3180" s="115"/>
      <c r="BF3180" s="115"/>
      <c r="BG3180" s="115"/>
      <c r="BH3180" s="115"/>
      <c r="BI3180" s="115"/>
      <c r="BJ3180" s="115"/>
      <c r="BK3180" s="115"/>
      <c r="BL3180" s="115"/>
      <c r="BM3180" s="115"/>
      <c r="BN3180" s="115"/>
      <c r="BO3180" s="115"/>
      <c r="BP3180" s="115"/>
      <c r="BQ3180" s="115"/>
      <c r="BR3180" s="115"/>
      <c r="BS3180" s="115"/>
      <c r="BT3180" s="115"/>
      <c r="BU3180" s="115"/>
      <c r="BV3180" s="115"/>
      <c r="BW3180" s="115"/>
      <c r="BX3180" s="115"/>
      <c r="BY3180" s="115"/>
      <c r="BZ3180" s="115"/>
      <c r="CA3180" s="115"/>
      <c r="CB3180" s="115"/>
      <c r="CC3180" s="115"/>
      <c r="CD3180" s="115"/>
      <c r="CE3180" s="115"/>
      <c r="CF3180" s="115"/>
      <c r="CG3180" s="115"/>
      <c r="CH3180" s="115"/>
      <c r="CI3180" s="115"/>
      <c r="CJ3180" s="115"/>
      <c r="CK3180" s="115"/>
      <c r="CL3180" s="115"/>
      <c r="CM3180" s="115"/>
      <c r="CN3180" s="115"/>
      <c r="CO3180" s="115"/>
      <c r="CP3180" s="115"/>
      <c r="CQ3180" s="115"/>
      <c r="CR3180" s="115"/>
      <c r="CS3180" s="115"/>
      <c r="CT3180" s="115"/>
      <c r="CU3180" s="115"/>
      <c r="CV3180" s="115"/>
      <c r="CW3180" s="115"/>
      <c r="CX3180" s="115"/>
      <c r="CY3180" s="115"/>
      <c r="CZ3180" s="115"/>
      <c r="DA3180" s="115"/>
      <c r="DB3180" s="115"/>
      <c r="DC3180" s="115"/>
      <c r="DD3180" s="115"/>
      <c r="DE3180" s="115"/>
      <c r="DF3180" s="115"/>
      <c r="DG3180" s="115"/>
    </row>
    <row r="3181" spans="55:111" hidden="1">
      <c r="BC3181" s="115"/>
      <c r="BD3181" s="115"/>
      <c r="BE3181" s="115"/>
      <c r="BF3181" s="115"/>
      <c r="BG3181" s="115"/>
      <c r="BH3181" s="115"/>
      <c r="BI3181" s="115"/>
      <c r="BJ3181" s="115"/>
      <c r="BK3181" s="115"/>
      <c r="BL3181" s="115"/>
      <c r="BM3181" s="115"/>
      <c r="BN3181" s="115"/>
      <c r="BO3181" s="115"/>
      <c r="BP3181" s="115"/>
      <c r="BQ3181" s="115"/>
      <c r="BR3181" s="115"/>
      <c r="BS3181" s="115"/>
      <c r="BT3181" s="115"/>
      <c r="BU3181" s="115"/>
      <c r="BV3181" s="115"/>
      <c r="BW3181" s="115"/>
      <c r="BX3181" s="115"/>
      <c r="BY3181" s="115"/>
      <c r="BZ3181" s="115"/>
      <c r="CA3181" s="115"/>
      <c r="CB3181" s="115"/>
      <c r="CC3181" s="115"/>
      <c r="CD3181" s="115"/>
      <c r="CE3181" s="115"/>
      <c r="CF3181" s="115"/>
      <c r="CG3181" s="115"/>
      <c r="CH3181" s="115"/>
      <c r="CI3181" s="115"/>
      <c r="CJ3181" s="115"/>
      <c r="CK3181" s="115"/>
      <c r="CL3181" s="115"/>
      <c r="CM3181" s="115"/>
      <c r="CN3181" s="115"/>
      <c r="CO3181" s="115"/>
      <c r="CP3181" s="115"/>
      <c r="CQ3181" s="115"/>
      <c r="CR3181" s="115"/>
      <c r="CS3181" s="115"/>
      <c r="CT3181" s="115"/>
      <c r="CU3181" s="115"/>
      <c r="CV3181" s="115"/>
      <c r="CW3181" s="115"/>
      <c r="CX3181" s="115"/>
      <c r="CY3181" s="115"/>
      <c r="CZ3181" s="115"/>
      <c r="DA3181" s="115"/>
      <c r="DB3181" s="115"/>
      <c r="DC3181" s="115"/>
      <c r="DD3181" s="115"/>
      <c r="DE3181" s="115"/>
      <c r="DF3181" s="115"/>
      <c r="DG3181" s="115"/>
    </row>
    <row r="3182" spans="55:111" hidden="1">
      <c r="BC3182" s="115"/>
      <c r="BD3182" s="115"/>
      <c r="BE3182" s="115"/>
      <c r="BF3182" s="115"/>
      <c r="BG3182" s="115"/>
      <c r="BH3182" s="115"/>
      <c r="BI3182" s="115"/>
      <c r="BJ3182" s="115"/>
      <c r="BK3182" s="115"/>
      <c r="BL3182" s="115"/>
      <c r="BM3182" s="115"/>
      <c r="BN3182" s="115"/>
      <c r="BO3182" s="115"/>
      <c r="BP3182" s="115"/>
      <c r="BQ3182" s="115"/>
      <c r="BR3182" s="115"/>
      <c r="BS3182" s="115"/>
      <c r="BT3182" s="115"/>
      <c r="BU3182" s="115"/>
      <c r="BV3182" s="115"/>
      <c r="BW3182" s="115"/>
      <c r="BX3182" s="115"/>
      <c r="BY3182" s="115"/>
      <c r="BZ3182" s="115"/>
      <c r="CA3182" s="115"/>
      <c r="CB3182" s="115"/>
      <c r="CC3182" s="115"/>
      <c r="CD3182" s="115"/>
      <c r="CE3182" s="115"/>
      <c r="CF3182" s="115"/>
      <c r="CG3182" s="115"/>
      <c r="CH3182" s="115"/>
      <c r="CI3182" s="115"/>
      <c r="CJ3182" s="115"/>
      <c r="CK3182" s="115"/>
      <c r="CL3182" s="115"/>
      <c r="CM3182" s="115"/>
      <c r="CN3182" s="115"/>
      <c r="CO3182" s="115"/>
      <c r="CP3182" s="115"/>
      <c r="CQ3182" s="115"/>
      <c r="CR3182" s="115"/>
      <c r="CS3182" s="115"/>
      <c r="CT3182" s="115"/>
      <c r="CU3182" s="115"/>
      <c r="CV3182" s="115"/>
      <c r="CW3182" s="115"/>
      <c r="CX3182" s="115"/>
      <c r="CY3182" s="115"/>
      <c r="CZ3182" s="115"/>
      <c r="DA3182" s="115"/>
      <c r="DB3182" s="115"/>
      <c r="DC3182" s="115"/>
      <c r="DD3182" s="115"/>
      <c r="DE3182" s="115"/>
      <c r="DF3182" s="115"/>
      <c r="DG3182" s="115"/>
    </row>
    <row r="3183" spans="55:111" hidden="1">
      <c r="BC3183" s="115"/>
      <c r="BD3183" s="115"/>
      <c r="BE3183" s="115"/>
      <c r="BF3183" s="115"/>
      <c r="BG3183" s="115"/>
      <c r="BH3183" s="115"/>
      <c r="BI3183" s="115"/>
      <c r="BJ3183" s="115"/>
      <c r="BK3183" s="115"/>
      <c r="BL3183" s="115"/>
      <c r="BM3183" s="115"/>
      <c r="BN3183" s="115"/>
      <c r="BO3183" s="115"/>
      <c r="BP3183" s="115"/>
      <c r="BQ3183" s="115"/>
      <c r="BR3183" s="115"/>
      <c r="BS3183" s="115"/>
      <c r="BT3183" s="115"/>
      <c r="BU3183" s="115"/>
      <c r="BV3183" s="115"/>
      <c r="BW3183" s="115"/>
      <c r="BX3183" s="115"/>
      <c r="BY3183" s="115"/>
      <c r="BZ3183" s="115"/>
      <c r="CA3183" s="115"/>
      <c r="CB3183" s="115"/>
      <c r="CC3183" s="115"/>
      <c r="CD3183" s="115"/>
      <c r="CE3183" s="115"/>
      <c r="CF3183" s="115"/>
      <c r="CG3183" s="115"/>
      <c r="CH3183" s="115"/>
      <c r="CI3183" s="115"/>
      <c r="CJ3183" s="115"/>
      <c r="CK3183" s="115"/>
      <c r="CL3183" s="115"/>
      <c r="CM3183" s="115"/>
      <c r="CN3183" s="115"/>
      <c r="CO3183" s="115"/>
      <c r="CP3183" s="115"/>
      <c r="CQ3183" s="115"/>
      <c r="CR3183" s="115"/>
      <c r="CS3183" s="115"/>
      <c r="CT3183" s="115"/>
      <c r="CU3183" s="115"/>
      <c r="CV3183" s="115"/>
      <c r="CW3183" s="115"/>
      <c r="CX3183" s="115"/>
      <c r="CY3183" s="115"/>
      <c r="CZ3183" s="115"/>
      <c r="DA3183" s="115"/>
      <c r="DB3183" s="115"/>
      <c r="DC3183" s="115"/>
      <c r="DD3183" s="115"/>
      <c r="DE3183" s="115"/>
      <c r="DF3183" s="115"/>
      <c r="DG3183" s="115"/>
    </row>
    <row r="3184" spans="55:111" hidden="1">
      <c r="BC3184" s="115"/>
      <c r="BD3184" s="115"/>
      <c r="BE3184" s="115"/>
      <c r="BF3184" s="115"/>
      <c r="BG3184" s="115"/>
      <c r="BH3184" s="115"/>
      <c r="BI3184" s="115"/>
      <c r="BJ3184" s="115"/>
      <c r="BK3184" s="115"/>
      <c r="BL3184" s="115"/>
      <c r="BM3184" s="115"/>
      <c r="BN3184" s="115"/>
      <c r="BO3184" s="115"/>
      <c r="BP3184" s="115"/>
      <c r="BQ3184" s="115"/>
      <c r="BR3184" s="115"/>
      <c r="BS3184" s="115"/>
      <c r="BT3184" s="115"/>
      <c r="BU3184" s="115"/>
      <c r="BV3184" s="115"/>
      <c r="BW3184" s="115"/>
      <c r="BX3184" s="115"/>
      <c r="BY3184" s="115"/>
      <c r="BZ3184" s="115"/>
      <c r="CA3184" s="115"/>
      <c r="CB3184" s="115"/>
      <c r="CC3184" s="115"/>
      <c r="CD3184" s="115"/>
      <c r="CE3184" s="115"/>
      <c r="CF3184" s="115"/>
      <c r="CG3184" s="115"/>
      <c r="CH3184" s="115"/>
      <c r="CI3184" s="115"/>
      <c r="CJ3184" s="115"/>
      <c r="CK3184" s="115"/>
      <c r="CL3184" s="115"/>
      <c r="CM3184" s="115"/>
      <c r="CN3184" s="115"/>
      <c r="CO3184" s="115"/>
      <c r="CP3184" s="115"/>
      <c r="CQ3184" s="115"/>
      <c r="CR3184" s="115"/>
      <c r="CS3184" s="115"/>
      <c r="CT3184" s="115"/>
      <c r="CU3184" s="115"/>
      <c r="CV3184" s="115"/>
      <c r="CW3184" s="115"/>
      <c r="CX3184" s="115"/>
      <c r="CY3184" s="115"/>
      <c r="CZ3184" s="115"/>
      <c r="DA3184" s="115"/>
      <c r="DB3184" s="115"/>
      <c r="DC3184" s="115"/>
      <c r="DD3184" s="115"/>
      <c r="DE3184" s="115"/>
      <c r="DF3184" s="115"/>
      <c r="DG3184" s="115"/>
    </row>
    <row r="3185" spans="55:111" hidden="1">
      <c r="BC3185" s="115"/>
      <c r="BD3185" s="115"/>
      <c r="BE3185" s="115"/>
      <c r="BF3185" s="115"/>
      <c r="BG3185" s="115"/>
      <c r="BH3185" s="115"/>
      <c r="BI3185" s="115"/>
      <c r="BJ3185" s="115"/>
      <c r="BK3185" s="115"/>
      <c r="BL3185" s="115"/>
      <c r="BM3185" s="115"/>
      <c r="BN3185" s="115"/>
      <c r="BO3185" s="115"/>
      <c r="BP3185" s="115"/>
      <c r="BQ3185" s="115"/>
      <c r="BR3185" s="115"/>
      <c r="BS3185" s="115"/>
      <c r="BT3185" s="115"/>
      <c r="BU3185" s="115"/>
      <c r="BV3185" s="115"/>
      <c r="BW3185" s="115"/>
      <c r="BX3185" s="115"/>
      <c r="BY3185" s="115"/>
      <c r="BZ3185" s="115"/>
      <c r="CA3185" s="115"/>
      <c r="CB3185" s="115"/>
      <c r="CC3185" s="115"/>
      <c r="CD3185" s="115"/>
      <c r="CE3185" s="115"/>
      <c r="CF3185" s="115"/>
      <c r="CG3185" s="115"/>
      <c r="CH3185" s="115"/>
      <c r="CI3185" s="115"/>
      <c r="CJ3185" s="115"/>
      <c r="CK3185" s="115"/>
      <c r="CL3185" s="115"/>
      <c r="CM3185" s="115"/>
      <c r="CN3185" s="115"/>
      <c r="CO3185" s="115"/>
      <c r="CP3185" s="115"/>
      <c r="CQ3185" s="115"/>
      <c r="CR3185" s="115"/>
      <c r="CS3185" s="115"/>
      <c r="CT3185" s="115"/>
      <c r="CU3185" s="115"/>
      <c r="CV3185" s="115"/>
      <c r="CW3185" s="115"/>
      <c r="CX3185" s="115"/>
      <c r="CY3185" s="115"/>
      <c r="CZ3185" s="115"/>
      <c r="DA3185" s="115"/>
      <c r="DB3185" s="115"/>
      <c r="DC3185" s="115"/>
      <c r="DD3185" s="115"/>
      <c r="DE3185" s="115"/>
      <c r="DF3185" s="115"/>
      <c r="DG3185" s="115"/>
    </row>
    <row r="3186" spans="55:111" hidden="1">
      <c r="BC3186" s="115"/>
      <c r="BD3186" s="115"/>
      <c r="BE3186" s="115"/>
      <c r="BF3186" s="115"/>
      <c r="BG3186" s="115"/>
      <c r="BH3186" s="115"/>
      <c r="BI3186" s="115"/>
      <c r="BJ3186" s="115"/>
      <c r="BK3186" s="115"/>
      <c r="BL3186" s="115"/>
      <c r="BM3186" s="115"/>
      <c r="BN3186" s="115"/>
      <c r="BO3186" s="115"/>
      <c r="BP3186" s="115"/>
      <c r="BQ3186" s="115"/>
      <c r="BR3186" s="115"/>
      <c r="BS3186" s="115"/>
      <c r="BT3186" s="115"/>
      <c r="BU3186" s="115"/>
      <c r="BV3186" s="115"/>
      <c r="BW3186" s="115"/>
      <c r="BX3186" s="115"/>
      <c r="BY3186" s="115"/>
      <c r="BZ3186" s="115"/>
      <c r="CA3186" s="115"/>
      <c r="CB3186" s="115"/>
      <c r="CC3186" s="115"/>
      <c r="CD3186" s="115"/>
      <c r="CE3186" s="115"/>
      <c r="CF3186" s="115"/>
      <c r="CG3186" s="115"/>
      <c r="CH3186" s="115"/>
      <c r="CI3186" s="115"/>
      <c r="CJ3186" s="115"/>
      <c r="CK3186" s="115"/>
      <c r="CL3186" s="115"/>
      <c r="CM3186" s="115"/>
      <c r="CN3186" s="115"/>
      <c r="CO3186" s="115"/>
      <c r="CP3186" s="115"/>
      <c r="CQ3186" s="115"/>
      <c r="CR3186" s="115"/>
      <c r="CS3186" s="115"/>
      <c r="CT3186" s="115"/>
      <c r="CU3186" s="115"/>
      <c r="CV3186" s="115"/>
      <c r="CW3186" s="115"/>
      <c r="CX3186" s="115"/>
      <c r="CY3186" s="115"/>
      <c r="CZ3186" s="115"/>
      <c r="DA3186" s="115"/>
      <c r="DB3186" s="115"/>
      <c r="DC3186" s="115"/>
      <c r="DD3186" s="115"/>
      <c r="DE3186" s="115"/>
      <c r="DF3186" s="115"/>
      <c r="DG3186" s="115"/>
    </row>
    <row r="3187" spans="55:111" hidden="1">
      <c r="BC3187" s="115"/>
      <c r="BD3187" s="115"/>
      <c r="BE3187" s="115"/>
      <c r="BF3187" s="115"/>
      <c r="BG3187" s="115"/>
      <c r="BH3187" s="115"/>
      <c r="BI3187" s="115"/>
      <c r="BJ3187" s="115"/>
      <c r="BK3187" s="115"/>
      <c r="BL3187" s="115"/>
      <c r="BM3187" s="115"/>
      <c r="BN3187" s="115"/>
      <c r="BO3187" s="115"/>
      <c r="BP3187" s="115"/>
      <c r="BQ3187" s="115"/>
      <c r="BR3187" s="115"/>
      <c r="BS3187" s="115"/>
      <c r="BT3187" s="115"/>
      <c r="BU3187" s="115"/>
      <c r="BV3187" s="115"/>
      <c r="BW3187" s="115"/>
      <c r="BX3187" s="115"/>
      <c r="BY3187" s="115"/>
      <c r="BZ3187" s="115"/>
      <c r="CA3187" s="115"/>
      <c r="CB3187" s="115"/>
      <c r="CC3187" s="115"/>
      <c r="CD3187" s="115"/>
      <c r="CE3187" s="115"/>
      <c r="CF3187" s="115"/>
      <c r="CG3187" s="115"/>
      <c r="CH3187" s="115"/>
      <c r="CI3187" s="115"/>
      <c r="CJ3187" s="115"/>
      <c r="CK3187" s="115"/>
      <c r="CL3187" s="115"/>
      <c r="CM3187" s="115"/>
      <c r="CN3187" s="115"/>
      <c r="CO3187" s="115"/>
      <c r="CP3187" s="115"/>
      <c r="CQ3187" s="115"/>
      <c r="CR3187" s="115"/>
      <c r="CS3187" s="115"/>
      <c r="CT3187" s="115"/>
      <c r="CU3187" s="115"/>
      <c r="CV3187" s="115"/>
      <c r="CW3187" s="115"/>
      <c r="CX3187" s="115"/>
      <c r="CY3187" s="115"/>
      <c r="CZ3187" s="115"/>
      <c r="DA3187" s="115"/>
      <c r="DB3187" s="115"/>
      <c r="DC3187" s="115"/>
      <c r="DD3187" s="115"/>
      <c r="DE3187" s="115"/>
      <c r="DF3187" s="115"/>
      <c r="DG3187" s="115"/>
    </row>
    <row r="3188" spans="55:111" hidden="1">
      <c r="BC3188" s="115"/>
      <c r="BD3188" s="115"/>
      <c r="BE3188" s="115"/>
      <c r="BF3188" s="115"/>
      <c r="BG3188" s="115"/>
      <c r="BH3188" s="115"/>
      <c r="BI3188" s="115"/>
      <c r="BJ3188" s="115"/>
      <c r="BK3188" s="115"/>
      <c r="BL3188" s="115"/>
      <c r="BM3188" s="115"/>
      <c r="BN3188" s="115"/>
      <c r="BO3188" s="115"/>
      <c r="BP3188" s="115"/>
      <c r="BQ3188" s="115"/>
      <c r="BR3188" s="115"/>
      <c r="BS3188" s="115"/>
      <c r="BT3188" s="115"/>
      <c r="BU3188" s="115"/>
      <c r="BV3188" s="115"/>
      <c r="BW3188" s="115"/>
      <c r="BX3188" s="115"/>
      <c r="BY3188" s="115"/>
      <c r="BZ3188" s="115"/>
      <c r="CA3188" s="115"/>
      <c r="CB3188" s="115"/>
      <c r="CC3188" s="115"/>
      <c r="CD3188" s="115"/>
      <c r="CE3188" s="115"/>
      <c r="CF3188" s="115"/>
      <c r="CG3188" s="115"/>
      <c r="CH3188" s="115"/>
      <c r="CI3188" s="115"/>
      <c r="CJ3188" s="115"/>
      <c r="CK3188" s="115"/>
      <c r="CL3188" s="115"/>
      <c r="CM3188" s="115"/>
      <c r="CN3188" s="115"/>
      <c r="CO3188" s="115"/>
      <c r="CP3188" s="115"/>
      <c r="CQ3188" s="115"/>
      <c r="CR3188" s="115"/>
      <c r="CS3188" s="115"/>
      <c r="CT3188" s="115"/>
      <c r="CU3188" s="115"/>
      <c r="CV3188" s="115"/>
      <c r="CW3188" s="115"/>
      <c r="CX3188" s="115"/>
      <c r="CY3188" s="115"/>
      <c r="CZ3188" s="115"/>
      <c r="DA3188" s="115"/>
      <c r="DB3188" s="115"/>
      <c r="DC3188" s="115"/>
      <c r="DD3188" s="115"/>
      <c r="DE3188" s="115"/>
      <c r="DF3188" s="115"/>
      <c r="DG3188" s="115"/>
    </row>
    <row r="3189" spans="55:111" hidden="1">
      <c r="BC3189" s="115"/>
      <c r="BD3189" s="115"/>
      <c r="BE3189" s="115"/>
      <c r="BF3189" s="115"/>
      <c r="BG3189" s="115"/>
      <c r="BH3189" s="115"/>
      <c r="BI3189" s="115"/>
      <c r="BJ3189" s="115"/>
      <c r="BK3189" s="115"/>
      <c r="BL3189" s="115"/>
      <c r="BM3189" s="115"/>
      <c r="BN3189" s="115"/>
      <c r="BO3189" s="115"/>
      <c r="BP3189" s="115"/>
      <c r="BQ3189" s="115"/>
      <c r="BR3189" s="115"/>
      <c r="BS3189" s="115"/>
      <c r="BT3189" s="115"/>
      <c r="BU3189" s="115"/>
      <c r="BV3189" s="115"/>
      <c r="BW3189" s="115"/>
      <c r="BX3189" s="115"/>
      <c r="BY3189" s="115"/>
      <c r="BZ3189" s="115"/>
      <c r="CA3189" s="115"/>
      <c r="CB3189" s="115"/>
      <c r="CC3189" s="115"/>
      <c r="CD3189" s="115"/>
      <c r="CE3189" s="115"/>
      <c r="CF3189" s="115"/>
      <c r="CG3189" s="115"/>
      <c r="CH3189" s="115"/>
      <c r="CI3189" s="115"/>
      <c r="CJ3189" s="115"/>
      <c r="CK3189" s="115"/>
      <c r="CL3189" s="115"/>
      <c r="CM3189" s="115"/>
      <c r="CN3189" s="115"/>
      <c r="CO3189" s="115"/>
      <c r="CP3189" s="115"/>
      <c r="CQ3189" s="115"/>
      <c r="CR3189" s="115"/>
      <c r="CS3189" s="115"/>
      <c r="CT3189" s="115"/>
      <c r="CU3189" s="115"/>
      <c r="CV3189" s="115"/>
      <c r="CW3189" s="115"/>
      <c r="CX3189" s="115"/>
      <c r="CY3189" s="115"/>
      <c r="CZ3189" s="115"/>
      <c r="DA3189" s="115"/>
      <c r="DB3189" s="115"/>
      <c r="DC3189" s="115"/>
      <c r="DD3189" s="115"/>
      <c r="DE3189" s="115"/>
      <c r="DF3189" s="115"/>
      <c r="DG3189" s="115"/>
    </row>
    <row r="3190" spans="55:111" hidden="1">
      <c r="BC3190" s="115"/>
      <c r="BD3190" s="115"/>
      <c r="BE3190" s="115"/>
      <c r="BF3190" s="115"/>
      <c r="BG3190" s="115"/>
      <c r="BH3190" s="115"/>
      <c r="BI3190" s="115"/>
      <c r="BJ3190" s="115"/>
      <c r="BK3190" s="115"/>
      <c r="BL3190" s="115"/>
      <c r="BM3190" s="115"/>
      <c r="BN3190" s="115"/>
      <c r="BO3190" s="115"/>
      <c r="BP3190" s="115"/>
      <c r="BQ3190" s="115"/>
      <c r="BR3190" s="115"/>
      <c r="BS3190" s="115"/>
      <c r="BT3190" s="115"/>
      <c r="BU3190" s="115"/>
      <c r="BV3190" s="115"/>
      <c r="BW3190" s="115"/>
      <c r="BX3190" s="115"/>
      <c r="BY3190" s="115"/>
      <c r="BZ3190" s="115"/>
      <c r="CA3190" s="115"/>
      <c r="CB3190" s="115"/>
      <c r="CC3190" s="115"/>
      <c r="CD3190" s="115"/>
      <c r="CE3190" s="115"/>
      <c r="CF3190" s="115"/>
      <c r="CG3190" s="115"/>
      <c r="CH3190" s="115"/>
      <c r="CI3190" s="115"/>
      <c r="CJ3190" s="115"/>
      <c r="CK3190" s="115"/>
      <c r="CL3190" s="115"/>
      <c r="CM3190" s="115"/>
      <c r="CN3190" s="115"/>
      <c r="CO3190" s="115"/>
      <c r="CP3190" s="115"/>
      <c r="CQ3190" s="115"/>
      <c r="CR3190" s="115"/>
      <c r="CS3190" s="115"/>
      <c r="CT3190" s="115"/>
      <c r="CU3190" s="115"/>
      <c r="CV3190" s="115"/>
      <c r="CW3190" s="115"/>
      <c r="CX3190" s="115"/>
      <c r="CY3190" s="115"/>
      <c r="CZ3190" s="115"/>
      <c r="DA3190" s="115"/>
      <c r="DB3190" s="115"/>
      <c r="DC3190" s="115"/>
      <c r="DD3190" s="115"/>
      <c r="DE3190" s="115"/>
      <c r="DF3190" s="115"/>
      <c r="DG3190" s="115"/>
    </row>
    <row r="3191" spans="55:111" hidden="1">
      <c r="BC3191" s="115"/>
      <c r="BD3191" s="115"/>
      <c r="BE3191" s="115"/>
      <c r="BF3191" s="115"/>
      <c r="BG3191" s="115"/>
      <c r="BH3191" s="115"/>
      <c r="BI3191" s="115"/>
      <c r="BJ3191" s="115"/>
      <c r="BK3191" s="115"/>
      <c r="BL3191" s="115"/>
      <c r="BM3191" s="115"/>
      <c r="BN3191" s="115"/>
      <c r="BO3191" s="115"/>
      <c r="BP3191" s="115"/>
      <c r="BQ3191" s="115"/>
      <c r="BR3191" s="115"/>
      <c r="BS3191" s="115"/>
      <c r="BT3191" s="115"/>
      <c r="BU3191" s="115"/>
      <c r="BV3191" s="115"/>
      <c r="BW3191" s="115"/>
      <c r="BX3191" s="115"/>
      <c r="BY3191" s="115"/>
      <c r="BZ3191" s="115"/>
      <c r="CA3191" s="115"/>
      <c r="CB3191" s="115"/>
      <c r="CC3191" s="115"/>
      <c r="CD3191" s="115"/>
      <c r="CE3191" s="115"/>
      <c r="CF3191" s="115"/>
      <c r="CG3191" s="115"/>
      <c r="CH3191" s="115"/>
      <c r="CI3191" s="115"/>
      <c r="CJ3191" s="115"/>
      <c r="CK3191" s="115"/>
      <c r="CL3191" s="115"/>
      <c r="CM3191" s="115"/>
      <c r="CN3191" s="115"/>
      <c r="CO3191" s="115"/>
      <c r="CP3191" s="115"/>
      <c r="CQ3191" s="115"/>
      <c r="CR3191" s="115"/>
      <c r="CS3191" s="115"/>
      <c r="CT3191" s="115"/>
      <c r="CU3191" s="115"/>
      <c r="CV3191" s="115"/>
      <c r="CW3191" s="115"/>
      <c r="CX3191" s="115"/>
      <c r="CY3191" s="115"/>
      <c r="CZ3191" s="115"/>
      <c r="DA3191" s="115"/>
      <c r="DB3191" s="115"/>
      <c r="DC3191" s="115"/>
      <c r="DD3191" s="115"/>
      <c r="DE3191" s="115"/>
      <c r="DF3191" s="115"/>
      <c r="DG3191" s="115"/>
    </row>
    <row r="3192" spans="55:111" hidden="1">
      <c r="BC3192" s="115"/>
      <c r="BD3192" s="115"/>
      <c r="BE3192" s="115"/>
      <c r="BF3192" s="115"/>
      <c r="BG3192" s="115"/>
      <c r="BH3192" s="115"/>
      <c r="BI3192" s="115"/>
      <c r="BJ3192" s="115"/>
      <c r="BK3192" s="115"/>
      <c r="BL3192" s="115"/>
      <c r="BM3192" s="115"/>
      <c r="BN3192" s="115"/>
      <c r="BO3192" s="115"/>
      <c r="BP3192" s="115"/>
      <c r="BQ3192" s="115"/>
      <c r="BR3192" s="115"/>
      <c r="BS3192" s="115"/>
      <c r="BT3192" s="115"/>
      <c r="BU3192" s="115"/>
      <c r="BV3192" s="115"/>
      <c r="BW3192" s="115"/>
      <c r="BX3192" s="115"/>
      <c r="BY3192" s="115"/>
      <c r="BZ3192" s="115"/>
      <c r="CA3192" s="115"/>
      <c r="CB3192" s="115"/>
      <c r="CC3192" s="115"/>
      <c r="CD3192" s="115"/>
      <c r="CE3192" s="115"/>
      <c r="CF3192" s="115"/>
      <c r="CG3192" s="115"/>
      <c r="CH3192" s="115"/>
      <c r="CI3192" s="115"/>
      <c r="CJ3192" s="115"/>
      <c r="CK3192" s="115"/>
      <c r="CL3192" s="115"/>
      <c r="CM3192" s="115"/>
      <c r="CN3192" s="115"/>
      <c r="CO3192" s="115"/>
      <c r="CP3192" s="115"/>
      <c r="CQ3192" s="115"/>
      <c r="CR3192" s="115"/>
      <c r="CS3192" s="115"/>
      <c r="CT3192" s="115"/>
      <c r="CU3192" s="115"/>
      <c r="CV3192" s="115"/>
      <c r="CW3192" s="115"/>
      <c r="CX3192" s="115"/>
      <c r="CY3192" s="115"/>
      <c r="CZ3192" s="115"/>
      <c r="DA3192" s="115"/>
      <c r="DB3192" s="115"/>
      <c r="DC3192" s="115"/>
      <c r="DD3192" s="115"/>
      <c r="DE3192" s="115"/>
      <c r="DF3192" s="115"/>
      <c r="DG3192" s="115"/>
    </row>
    <row r="3193" spans="55:111" hidden="1">
      <c r="BC3193" s="115"/>
      <c r="BD3193" s="115"/>
      <c r="BE3193" s="115"/>
      <c r="BF3193" s="115"/>
      <c r="BG3193" s="115"/>
      <c r="BH3193" s="115"/>
      <c r="BI3193" s="115"/>
      <c r="BJ3193" s="115"/>
      <c r="BK3193" s="115"/>
      <c r="BL3193" s="115"/>
      <c r="BM3193" s="115"/>
      <c r="BN3193" s="115"/>
      <c r="BO3193" s="115"/>
      <c r="BP3193" s="115"/>
      <c r="BQ3193" s="115"/>
      <c r="BR3193" s="115"/>
      <c r="BS3193" s="115"/>
      <c r="BT3193" s="115"/>
      <c r="BU3193" s="115"/>
      <c r="BV3193" s="115"/>
      <c r="BW3193" s="115"/>
      <c r="BX3193" s="115"/>
      <c r="BY3193" s="115"/>
      <c r="BZ3193" s="115"/>
      <c r="CA3193" s="115"/>
      <c r="CB3193" s="115"/>
      <c r="CC3193" s="115"/>
      <c r="CD3193" s="115"/>
      <c r="CE3193" s="115"/>
      <c r="CF3193" s="115"/>
      <c r="CG3193" s="115"/>
      <c r="CH3193" s="115"/>
      <c r="CI3193" s="115"/>
      <c r="CJ3193" s="115"/>
      <c r="CK3193" s="115"/>
      <c r="CL3193" s="115"/>
      <c r="CM3193" s="115"/>
      <c r="CN3193" s="115"/>
      <c r="CO3193" s="115"/>
      <c r="CP3193" s="115"/>
      <c r="CQ3193" s="115"/>
      <c r="CR3193" s="115"/>
      <c r="CS3193" s="115"/>
      <c r="CT3193" s="115"/>
      <c r="CU3193" s="115"/>
      <c r="CV3193" s="115"/>
      <c r="CW3193" s="115"/>
      <c r="CX3193" s="115"/>
      <c r="CY3193" s="115"/>
      <c r="CZ3193" s="115"/>
      <c r="DA3193" s="115"/>
      <c r="DB3193" s="115"/>
      <c r="DC3193" s="115"/>
      <c r="DD3193" s="115"/>
      <c r="DE3193" s="115"/>
      <c r="DF3193" s="115"/>
      <c r="DG3193" s="115"/>
    </row>
    <row r="3194" spans="55:111" hidden="1">
      <c r="BC3194" s="115"/>
      <c r="BD3194" s="115"/>
      <c r="BE3194" s="115"/>
      <c r="BF3194" s="115"/>
      <c r="BG3194" s="115"/>
      <c r="BH3194" s="115"/>
      <c r="BI3194" s="115"/>
      <c r="BJ3194" s="115"/>
      <c r="BK3194" s="115"/>
      <c r="BL3194" s="115"/>
      <c r="BM3194" s="115"/>
      <c r="BN3194" s="115"/>
      <c r="BO3194" s="115"/>
      <c r="BP3194" s="115"/>
      <c r="BQ3194" s="115"/>
      <c r="BR3194" s="115"/>
      <c r="BS3194" s="115"/>
      <c r="BT3194" s="115"/>
      <c r="BU3194" s="115"/>
      <c r="BV3194" s="115"/>
      <c r="BW3194" s="115"/>
      <c r="BX3194" s="115"/>
      <c r="BY3194" s="115"/>
      <c r="BZ3194" s="115"/>
      <c r="CA3194" s="115"/>
      <c r="CB3194" s="115"/>
      <c r="CC3194" s="115"/>
      <c r="CD3194" s="115"/>
      <c r="CE3194" s="115"/>
      <c r="CF3194" s="115"/>
      <c r="CG3194" s="115"/>
      <c r="CH3194" s="115"/>
      <c r="CI3194" s="115"/>
      <c r="CJ3194" s="115"/>
      <c r="CK3194" s="115"/>
      <c r="CL3194" s="115"/>
      <c r="CM3194" s="115"/>
      <c r="CN3194" s="115"/>
      <c r="CO3194" s="115"/>
      <c r="CP3194" s="115"/>
      <c r="CQ3194" s="115"/>
      <c r="CR3194" s="115"/>
      <c r="CS3194" s="115"/>
      <c r="CT3194" s="115"/>
      <c r="CU3194" s="115"/>
      <c r="CV3194" s="115"/>
      <c r="CW3194" s="115"/>
      <c r="CX3194" s="115"/>
      <c r="CY3194" s="115"/>
      <c r="CZ3194" s="115"/>
      <c r="DA3194" s="115"/>
      <c r="DB3194" s="115"/>
      <c r="DC3194" s="115"/>
      <c r="DD3194" s="115"/>
      <c r="DE3194" s="115"/>
      <c r="DF3194" s="115"/>
      <c r="DG3194" s="115"/>
    </row>
    <row r="3195" spans="55:111" hidden="1">
      <c r="BC3195" s="115"/>
      <c r="BD3195" s="115"/>
      <c r="BE3195" s="115"/>
      <c r="BF3195" s="115"/>
      <c r="BG3195" s="115"/>
      <c r="BH3195" s="115"/>
      <c r="BI3195" s="115"/>
      <c r="BJ3195" s="115"/>
      <c r="BK3195" s="115"/>
      <c r="BL3195" s="115"/>
      <c r="BM3195" s="115"/>
      <c r="BN3195" s="115"/>
      <c r="BO3195" s="115"/>
      <c r="BP3195" s="115"/>
      <c r="BQ3195" s="115"/>
      <c r="BR3195" s="115"/>
      <c r="BS3195" s="115"/>
      <c r="BT3195" s="115"/>
      <c r="BU3195" s="115"/>
      <c r="BV3195" s="115"/>
      <c r="BW3195" s="115"/>
      <c r="BX3195" s="115"/>
      <c r="BY3195" s="115"/>
      <c r="BZ3195" s="115"/>
      <c r="CA3195" s="115"/>
      <c r="CB3195" s="115"/>
      <c r="CC3195" s="115"/>
      <c r="CD3195" s="115"/>
      <c r="CE3195" s="115"/>
      <c r="CF3195" s="115"/>
      <c r="CG3195" s="115"/>
      <c r="CH3195" s="115"/>
      <c r="CI3195" s="115"/>
      <c r="CJ3195" s="115"/>
      <c r="CK3195" s="115"/>
      <c r="CL3195" s="115"/>
      <c r="CM3195" s="115"/>
      <c r="CN3195" s="115"/>
      <c r="CO3195" s="115"/>
      <c r="CP3195" s="115"/>
      <c r="CQ3195" s="115"/>
      <c r="CR3195" s="115"/>
      <c r="CS3195" s="115"/>
      <c r="CT3195" s="115"/>
      <c r="CU3195" s="115"/>
      <c r="CV3195" s="115"/>
      <c r="CW3195" s="115"/>
      <c r="CX3195" s="115"/>
      <c r="CY3195" s="115"/>
      <c r="CZ3195" s="115"/>
      <c r="DA3195" s="115"/>
      <c r="DB3195" s="115"/>
      <c r="DC3195" s="115"/>
      <c r="DD3195" s="115"/>
      <c r="DE3195" s="115"/>
      <c r="DF3195" s="115"/>
      <c r="DG3195" s="115"/>
    </row>
    <row r="3196" spans="55:111" hidden="1">
      <c r="BC3196" s="115"/>
      <c r="BD3196" s="115"/>
      <c r="BE3196" s="115"/>
      <c r="BF3196" s="115"/>
      <c r="BG3196" s="115"/>
      <c r="BH3196" s="115"/>
      <c r="BI3196" s="115"/>
      <c r="BJ3196" s="115"/>
      <c r="BK3196" s="115"/>
      <c r="BL3196" s="115"/>
      <c r="BM3196" s="115"/>
      <c r="BN3196" s="115"/>
      <c r="BO3196" s="115"/>
      <c r="BP3196" s="115"/>
      <c r="BQ3196" s="115"/>
      <c r="BR3196" s="115"/>
      <c r="BS3196" s="115"/>
      <c r="BT3196" s="115"/>
      <c r="BU3196" s="115"/>
      <c r="BV3196" s="115"/>
      <c r="BW3196" s="115"/>
      <c r="BX3196" s="115"/>
      <c r="BY3196" s="115"/>
      <c r="BZ3196" s="115"/>
      <c r="CA3196" s="115"/>
      <c r="CB3196" s="115"/>
      <c r="CC3196" s="115"/>
      <c r="CD3196" s="115"/>
      <c r="CE3196" s="115"/>
      <c r="CF3196" s="115"/>
      <c r="CG3196" s="115"/>
      <c r="CH3196" s="115"/>
      <c r="CI3196" s="115"/>
      <c r="CJ3196" s="115"/>
      <c r="CK3196" s="115"/>
      <c r="CL3196" s="115"/>
      <c r="CM3196" s="115"/>
      <c r="CN3196" s="115"/>
      <c r="CO3196" s="115"/>
      <c r="CP3196" s="115"/>
      <c r="CQ3196" s="115"/>
      <c r="CR3196" s="115"/>
      <c r="CS3196" s="115"/>
      <c r="CT3196" s="115"/>
      <c r="CU3196" s="115"/>
      <c r="CV3196" s="115"/>
      <c r="CW3196" s="115"/>
      <c r="CX3196" s="115"/>
      <c r="CY3196" s="115"/>
      <c r="CZ3196" s="115"/>
      <c r="DA3196" s="115"/>
      <c r="DB3196" s="115"/>
      <c r="DC3196" s="115"/>
      <c r="DD3196" s="115"/>
      <c r="DE3196" s="115"/>
      <c r="DF3196" s="115"/>
      <c r="DG3196" s="115"/>
    </row>
    <row r="3197" spans="55:111" hidden="1">
      <c r="BC3197" s="115"/>
      <c r="BD3197" s="115"/>
      <c r="BE3197" s="115"/>
      <c r="BF3197" s="115"/>
      <c r="BG3197" s="115"/>
      <c r="BH3197" s="115"/>
      <c r="BI3197" s="115"/>
      <c r="BJ3197" s="115"/>
      <c r="BK3197" s="115"/>
      <c r="BL3197" s="115"/>
      <c r="BM3197" s="115"/>
      <c r="BN3197" s="115"/>
      <c r="BO3197" s="115"/>
      <c r="BP3197" s="115"/>
      <c r="BQ3197" s="115"/>
      <c r="BR3197" s="115"/>
      <c r="BS3197" s="115"/>
      <c r="BT3197" s="115"/>
      <c r="BU3197" s="115"/>
      <c r="BV3197" s="115"/>
      <c r="BW3197" s="115"/>
      <c r="BX3197" s="115"/>
      <c r="BY3197" s="115"/>
      <c r="BZ3197" s="115"/>
      <c r="CA3197" s="115"/>
      <c r="CB3197" s="115"/>
      <c r="CC3197" s="115"/>
      <c r="CD3197" s="115"/>
      <c r="CE3197" s="115"/>
      <c r="CF3197" s="115"/>
      <c r="CG3197" s="115"/>
      <c r="CH3197" s="115"/>
      <c r="CI3197" s="115"/>
      <c r="CJ3197" s="115"/>
      <c r="CK3197" s="115"/>
      <c r="CL3197" s="115"/>
      <c r="CM3197" s="115"/>
      <c r="CN3197" s="115"/>
      <c r="CO3197" s="115"/>
      <c r="CP3197" s="115"/>
      <c r="CQ3197" s="115"/>
      <c r="CR3197" s="115"/>
      <c r="CS3197" s="115"/>
      <c r="CT3197" s="115"/>
      <c r="CU3197" s="115"/>
      <c r="CV3197" s="115"/>
      <c r="CW3197" s="115"/>
      <c r="CX3197" s="115"/>
      <c r="CY3197" s="115"/>
      <c r="CZ3197" s="115"/>
      <c r="DA3197" s="115"/>
      <c r="DB3197" s="115"/>
      <c r="DC3197" s="115"/>
      <c r="DD3197" s="115"/>
      <c r="DE3197" s="115"/>
      <c r="DF3197" s="115"/>
      <c r="DG3197" s="115"/>
    </row>
    <row r="3198" spans="55:111" hidden="1">
      <c r="BC3198" s="115"/>
      <c r="BD3198" s="115"/>
      <c r="BE3198" s="115"/>
      <c r="BF3198" s="115"/>
      <c r="BG3198" s="115"/>
      <c r="BH3198" s="115"/>
      <c r="BI3198" s="115"/>
      <c r="BJ3198" s="115"/>
      <c r="BK3198" s="115"/>
      <c r="BL3198" s="115"/>
      <c r="BM3198" s="115"/>
      <c r="BN3198" s="115"/>
      <c r="BO3198" s="115"/>
      <c r="BP3198" s="115"/>
      <c r="BQ3198" s="115"/>
      <c r="BR3198" s="115"/>
      <c r="BS3198" s="115"/>
      <c r="BT3198" s="115"/>
      <c r="BU3198" s="115"/>
      <c r="BV3198" s="115"/>
      <c r="BW3198" s="115"/>
      <c r="BX3198" s="115"/>
      <c r="BY3198" s="115"/>
      <c r="BZ3198" s="115"/>
      <c r="CA3198" s="115"/>
      <c r="CB3198" s="115"/>
      <c r="CC3198" s="115"/>
      <c r="CD3198" s="115"/>
      <c r="CE3198" s="115"/>
      <c r="CF3198" s="115"/>
      <c r="CG3198" s="115"/>
      <c r="CH3198" s="115"/>
      <c r="CI3198" s="115"/>
      <c r="CJ3198" s="115"/>
      <c r="CK3198" s="115"/>
      <c r="CL3198" s="115"/>
      <c r="CM3198" s="115"/>
      <c r="CN3198" s="115"/>
      <c r="CO3198" s="115"/>
      <c r="CP3198" s="115"/>
      <c r="CQ3198" s="115"/>
      <c r="CR3198" s="115"/>
      <c r="CS3198" s="115"/>
      <c r="CT3198" s="115"/>
      <c r="CU3198" s="115"/>
      <c r="CV3198" s="115"/>
      <c r="CW3198" s="115"/>
      <c r="CX3198" s="115"/>
      <c r="CY3198" s="115"/>
      <c r="CZ3198" s="115"/>
      <c r="DA3198" s="115"/>
      <c r="DB3198" s="115"/>
      <c r="DC3198" s="115"/>
      <c r="DD3198" s="115"/>
      <c r="DE3198" s="115"/>
      <c r="DF3198" s="115"/>
      <c r="DG3198" s="115"/>
    </row>
    <row r="3199" spans="55:111" hidden="1">
      <c r="BC3199" s="115"/>
      <c r="BD3199" s="115"/>
      <c r="BE3199" s="115"/>
      <c r="BF3199" s="115"/>
      <c r="BG3199" s="115"/>
      <c r="BH3199" s="115"/>
      <c r="BI3199" s="115"/>
      <c r="BJ3199" s="115"/>
      <c r="BK3199" s="115"/>
      <c r="BL3199" s="115"/>
      <c r="BM3199" s="115"/>
      <c r="BN3199" s="115"/>
      <c r="BO3199" s="115"/>
      <c r="BP3199" s="115"/>
      <c r="BQ3199" s="115"/>
      <c r="BR3199" s="115"/>
      <c r="BS3199" s="115"/>
      <c r="BT3199" s="115"/>
      <c r="BU3199" s="115"/>
      <c r="BV3199" s="115"/>
      <c r="BW3199" s="115"/>
      <c r="BX3199" s="115"/>
      <c r="BY3199" s="115"/>
      <c r="BZ3199" s="115"/>
      <c r="CA3199" s="115"/>
      <c r="CB3199" s="115"/>
      <c r="CC3199" s="115"/>
      <c r="CD3199" s="115"/>
      <c r="CE3199" s="115"/>
      <c r="CF3199" s="115"/>
      <c r="CG3199" s="115"/>
      <c r="CH3199" s="115"/>
      <c r="CI3199" s="115"/>
      <c r="CJ3199" s="115"/>
      <c r="CK3199" s="115"/>
      <c r="CL3199" s="115"/>
      <c r="CM3199" s="115"/>
      <c r="CN3199" s="115"/>
      <c r="CO3199" s="115"/>
      <c r="CP3199" s="115"/>
      <c r="CQ3199" s="115"/>
      <c r="CR3199" s="115"/>
      <c r="CS3199" s="115"/>
      <c r="CT3199" s="115"/>
      <c r="CU3199" s="115"/>
      <c r="CV3199" s="115"/>
      <c r="CW3199" s="115"/>
      <c r="CX3199" s="115"/>
      <c r="CY3199" s="115"/>
      <c r="CZ3199" s="115"/>
      <c r="DA3199" s="115"/>
      <c r="DB3199" s="115"/>
      <c r="DC3199" s="115"/>
      <c r="DD3199" s="115"/>
      <c r="DE3199" s="115"/>
      <c r="DF3199" s="115"/>
      <c r="DG3199" s="115"/>
    </row>
    <row r="3200" spans="55:111" hidden="1">
      <c r="BC3200" s="115"/>
      <c r="BD3200" s="115"/>
      <c r="BE3200" s="115"/>
      <c r="BF3200" s="115"/>
      <c r="BG3200" s="115"/>
      <c r="BH3200" s="115"/>
      <c r="BI3200" s="115"/>
      <c r="BJ3200" s="115"/>
      <c r="BK3200" s="115"/>
      <c r="BL3200" s="115"/>
      <c r="BM3200" s="115"/>
      <c r="BN3200" s="115"/>
      <c r="BO3200" s="115"/>
      <c r="BP3200" s="115"/>
      <c r="BQ3200" s="115"/>
      <c r="BR3200" s="115"/>
      <c r="BS3200" s="115"/>
      <c r="BT3200" s="115"/>
      <c r="BU3200" s="115"/>
      <c r="BV3200" s="115"/>
      <c r="BW3200" s="115"/>
      <c r="BX3200" s="115"/>
      <c r="BY3200" s="115"/>
      <c r="BZ3200" s="115"/>
      <c r="CA3200" s="115"/>
      <c r="CB3200" s="115"/>
      <c r="CC3200" s="115"/>
      <c r="CD3200" s="115"/>
      <c r="CE3200" s="115"/>
      <c r="CF3200" s="115"/>
      <c r="CG3200" s="115"/>
      <c r="CH3200" s="115"/>
      <c r="CI3200" s="115"/>
      <c r="CJ3200" s="115"/>
      <c r="CK3200" s="115"/>
      <c r="CL3200" s="115"/>
      <c r="CM3200" s="115"/>
      <c r="CN3200" s="115"/>
      <c r="CO3200" s="115"/>
      <c r="CP3200" s="115"/>
      <c r="CQ3200" s="115"/>
      <c r="CR3200" s="115"/>
      <c r="CS3200" s="115"/>
      <c r="CT3200" s="115"/>
      <c r="CU3200" s="115"/>
      <c r="CV3200" s="115"/>
      <c r="CW3200" s="115"/>
      <c r="CX3200" s="115"/>
      <c r="CY3200" s="115"/>
      <c r="CZ3200" s="115"/>
      <c r="DA3200" s="115"/>
      <c r="DB3200" s="115"/>
      <c r="DC3200" s="115"/>
      <c r="DD3200" s="115"/>
      <c r="DE3200" s="115"/>
      <c r="DF3200" s="115"/>
      <c r="DG3200" s="115"/>
    </row>
    <row r="3201" spans="55:111" hidden="1">
      <c r="BC3201" s="115"/>
      <c r="BD3201" s="115"/>
      <c r="BE3201" s="115"/>
      <c r="BF3201" s="115"/>
      <c r="BG3201" s="115"/>
      <c r="BH3201" s="115"/>
      <c r="BI3201" s="115"/>
      <c r="BJ3201" s="115"/>
      <c r="BK3201" s="115"/>
      <c r="BL3201" s="115"/>
      <c r="BM3201" s="115"/>
      <c r="BN3201" s="115"/>
      <c r="BO3201" s="115"/>
      <c r="BP3201" s="115"/>
      <c r="BQ3201" s="115"/>
      <c r="BR3201" s="115"/>
      <c r="BS3201" s="115"/>
      <c r="BT3201" s="115"/>
      <c r="BU3201" s="115"/>
      <c r="BV3201" s="115"/>
      <c r="BW3201" s="115"/>
      <c r="BX3201" s="115"/>
      <c r="BY3201" s="115"/>
      <c r="BZ3201" s="115"/>
      <c r="CA3201" s="115"/>
      <c r="CB3201" s="115"/>
      <c r="CC3201" s="115"/>
      <c r="CD3201" s="115"/>
      <c r="CE3201" s="115"/>
      <c r="CF3201" s="115"/>
      <c r="CG3201" s="115"/>
      <c r="CH3201" s="115"/>
      <c r="CI3201" s="115"/>
      <c r="CJ3201" s="115"/>
      <c r="CK3201" s="115"/>
      <c r="CL3201" s="115"/>
      <c r="CM3201" s="115"/>
      <c r="CN3201" s="115"/>
      <c r="CO3201" s="115"/>
      <c r="CP3201" s="115"/>
      <c r="CQ3201" s="115"/>
      <c r="CR3201" s="115"/>
      <c r="CS3201" s="115"/>
      <c r="CT3201" s="115"/>
      <c r="CU3201" s="115"/>
      <c r="CV3201" s="115"/>
      <c r="CW3201" s="115"/>
      <c r="CX3201" s="115"/>
      <c r="CY3201" s="115"/>
      <c r="CZ3201" s="115"/>
      <c r="DA3201" s="115"/>
      <c r="DB3201" s="115"/>
      <c r="DC3201" s="115"/>
      <c r="DD3201" s="115"/>
      <c r="DE3201" s="115"/>
      <c r="DF3201" s="115"/>
      <c r="DG3201" s="115"/>
    </row>
    <row r="3202" spans="55:111" hidden="1">
      <c r="BC3202" s="115"/>
      <c r="BD3202" s="115"/>
      <c r="BE3202" s="115"/>
      <c r="BF3202" s="115"/>
      <c r="BG3202" s="115"/>
      <c r="BH3202" s="115"/>
      <c r="BI3202" s="115"/>
      <c r="BJ3202" s="115"/>
      <c r="BK3202" s="115"/>
      <c r="BL3202" s="115"/>
      <c r="BM3202" s="115"/>
      <c r="BN3202" s="115"/>
      <c r="BO3202" s="115"/>
      <c r="BP3202" s="115"/>
      <c r="BQ3202" s="115"/>
      <c r="BR3202" s="115"/>
      <c r="BS3202" s="115"/>
      <c r="BT3202" s="115"/>
      <c r="BU3202" s="115"/>
      <c r="BV3202" s="115"/>
      <c r="BW3202" s="115"/>
      <c r="BX3202" s="115"/>
      <c r="BY3202" s="115"/>
      <c r="BZ3202" s="115"/>
      <c r="CA3202" s="115"/>
      <c r="CB3202" s="115"/>
      <c r="CC3202" s="115"/>
      <c r="CD3202" s="115"/>
      <c r="CE3202" s="115"/>
      <c r="CF3202" s="115"/>
      <c r="CG3202" s="115"/>
      <c r="CH3202" s="115"/>
      <c r="CI3202" s="115"/>
      <c r="CJ3202" s="115"/>
      <c r="CK3202" s="115"/>
      <c r="CL3202" s="115"/>
      <c r="CM3202" s="115"/>
      <c r="CN3202" s="115"/>
      <c r="CO3202" s="115"/>
      <c r="CP3202" s="115"/>
      <c r="CQ3202" s="115"/>
      <c r="CR3202" s="115"/>
      <c r="CS3202" s="115"/>
      <c r="CT3202" s="115"/>
      <c r="CU3202" s="115"/>
      <c r="CV3202" s="115"/>
      <c r="CW3202" s="115"/>
      <c r="CX3202" s="115"/>
      <c r="CY3202" s="115"/>
      <c r="CZ3202" s="115"/>
      <c r="DA3202" s="115"/>
      <c r="DB3202" s="115"/>
      <c r="DC3202" s="115"/>
      <c r="DD3202" s="115"/>
      <c r="DE3202" s="115"/>
      <c r="DF3202" s="115"/>
      <c r="DG3202" s="115"/>
    </row>
    <row r="3203" spans="55:111" hidden="1">
      <c r="BC3203" s="115"/>
      <c r="BD3203" s="115"/>
      <c r="BE3203" s="115"/>
      <c r="BF3203" s="115"/>
      <c r="BG3203" s="115"/>
      <c r="BH3203" s="115"/>
      <c r="BI3203" s="115"/>
      <c r="BJ3203" s="115"/>
      <c r="BK3203" s="115"/>
      <c r="BL3203" s="115"/>
      <c r="BM3203" s="115"/>
      <c r="BN3203" s="115"/>
      <c r="BO3203" s="115"/>
      <c r="BP3203" s="115"/>
      <c r="BQ3203" s="115"/>
      <c r="BR3203" s="115"/>
      <c r="BS3203" s="115"/>
      <c r="BT3203" s="115"/>
      <c r="BU3203" s="115"/>
      <c r="BV3203" s="115"/>
      <c r="BW3203" s="115"/>
      <c r="BX3203" s="115"/>
      <c r="BY3203" s="115"/>
      <c r="BZ3203" s="115"/>
      <c r="CA3203" s="115"/>
      <c r="CB3203" s="115"/>
      <c r="CC3203" s="115"/>
      <c r="CD3203" s="115"/>
      <c r="CE3203" s="115"/>
      <c r="CF3203" s="115"/>
      <c r="CG3203" s="115"/>
      <c r="CH3203" s="115"/>
      <c r="CI3203" s="115"/>
      <c r="CJ3203" s="115"/>
      <c r="CK3203" s="115"/>
      <c r="CL3203" s="115"/>
      <c r="CM3203" s="115"/>
      <c r="CN3203" s="115"/>
      <c r="CO3203" s="115"/>
      <c r="CP3203" s="115"/>
      <c r="CQ3203" s="115"/>
      <c r="CR3203" s="115"/>
      <c r="CS3203" s="115"/>
      <c r="CT3203" s="115"/>
      <c r="CU3203" s="115"/>
      <c r="CV3203" s="115"/>
      <c r="CW3203" s="115"/>
      <c r="CX3203" s="115"/>
      <c r="CY3203" s="115"/>
      <c r="CZ3203" s="115"/>
      <c r="DA3203" s="115"/>
      <c r="DB3203" s="115"/>
      <c r="DC3203" s="115"/>
      <c r="DD3203" s="115"/>
      <c r="DE3203" s="115"/>
      <c r="DF3203" s="115"/>
      <c r="DG3203" s="115"/>
    </row>
    <row r="3204" spans="55:111" hidden="1">
      <c r="BC3204" s="115"/>
      <c r="BD3204" s="115"/>
      <c r="BE3204" s="115"/>
      <c r="BF3204" s="115"/>
      <c r="BG3204" s="115"/>
      <c r="BH3204" s="115"/>
      <c r="BI3204" s="115"/>
      <c r="BJ3204" s="115"/>
      <c r="BK3204" s="115"/>
      <c r="BL3204" s="115"/>
      <c r="BM3204" s="115"/>
      <c r="BN3204" s="115"/>
      <c r="BO3204" s="115"/>
      <c r="BP3204" s="115"/>
      <c r="BQ3204" s="115"/>
      <c r="BR3204" s="115"/>
      <c r="BS3204" s="115"/>
      <c r="BT3204" s="115"/>
      <c r="BU3204" s="115"/>
      <c r="BV3204" s="115"/>
      <c r="BW3204" s="115"/>
      <c r="BX3204" s="115"/>
      <c r="BY3204" s="115"/>
      <c r="BZ3204" s="115"/>
      <c r="CA3204" s="115"/>
      <c r="CB3204" s="115"/>
      <c r="CC3204" s="115"/>
      <c r="CD3204" s="115"/>
      <c r="CE3204" s="115"/>
      <c r="CF3204" s="115"/>
      <c r="CG3204" s="115"/>
      <c r="CH3204" s="115"/>
      <c r="CI3204" s="115"/>
      <c r="CJ3204" s="115"/>
      <c r="CK3204" s="115"/>
      <c r="CL3204" s="115"/>
      <c r="CM3204" s="115"/>
      <c r="CN3204" s="115"/>
      <c r="CO3204" s="115"/>
      <c r="CP3204" s="115"/>
      <c r="CQ3204" s="115"/>
      <c r="CR3204" s="115"/>
      <c r="CS3204" s="115"/>
      <c r="CT3204" s="115"/>
      <c r="CU3204" s="115"/>
      <c r="CV3204" s="115"/>
      <c r="CW3204" s="115"/>
      <c r="CX3204" s="115"/>
      <c r="CY3204" s="115"/>
      <c r="CZ3204" s="115"/>
      <c r="DA3204" s="115"/>
      <c r="DB3204" s="115"/>
      <c r="DC3204" s="115"/>
      <c r="DD3204" s="115"/>
      <c r="DE3204" s="115"/>
      <c r="DF3204" s="115"/>
      <c r="DG3204" s="115"/>
    </row>
    <row r="3205" spans="55:111" hidden="1">
      <c r="BC3205" s="115"/>
      <c r="BD3205" s="115"/>
      <c r="BE3205" s="115"/>
      <c r="BF3205" s="115"/>
      <c r="BG3205" s="115"/>
      <c r="BH3205" s="115"/>
      <c r="BI3205" s="115"/>
      <c r="BJ3205" s="115"/>
      <c r="BK3205" s="115"/>
      <c r="BL3205" s="115"/>
      <c r="BM3205" s="115"/>
      <c r="BN3205" s="115"/>
      <c r="BO3205" s="115"/>
      <c r="BP3205" s="115"/>
      <c r="BQ3205" s="115"/>
      <c r="BR3205" s="115"/>
      <c r="BS3205" s="115"/>
      <c r="BT3205" s="115"/>
      <c r="BU3205" s="115"/>
      <c r="BV3205" s="115"/>
      <c r="BW3205" s="115"/>
      <c r="BX3205" s="115"/>
      <c r="BY3205" s="115"/>
      <c r="BZ3205" s="115"/>
      <c r="CA3205" s="115"/>
      <c r="CB3205" s="115"/>
      <c r="CC3205" s="115"/>
      <c r="CD3205" s="115"/>
      <c r="CE3205" s="115"/>
      <c r="CF3205" s="115"/>
      <c r="CG3205" s="115"/>
      <c r="CH3205" s="115"/>
      <c r="CI3205" s="115"/>
      <c r="CJ3205" s="115"/>
      <c r="CK3205" s="115"/>
      <c r="CL3205" s="115"/>
      <c r="CM3205" s="115"/>
      <c r="CN3205" s="115"/>
      <c r="CO3205" s="115"/>
      <c r="CP3205" s="115"/>
      <c r="CQ3205" s="115"/>
      <c r="CR3205" s="115"/>
      <c r="CS3205" s="115"/>
      <c r="CT3205" s="115"/>
      <c r="CU3205" s="115"/>
      <c r="CV3205" s="115"/>
      <c r="CW3205" s="115"/>
      <c r="CX3205" s="115"/>
      <c r="CY3205" s="115"/>
      <c r="CZ3205" s="115"/>
      <c r="DA3205" s="115"/>
      <c r="DB3205" s="115"/>
      <c r="DC3205" s="115"/>
      <c r="DD3205" s="115"/>
      <c r="DE3205" s="115"/>
      <c r="DF3205" s="115"/>
      <c r="DG3205" s="115"/>
    </row>
    <row r="3206" spans="55:111" hidden="1">
      <c r="BC3206" s="115"/>
      <c r="BD3206" s="115"/>
      <c r="BE3206" s="115"/>
      <c r="BF3206" s="115"/>
      <c r="BG3206" s="115"/>
      <c r="BH3206" s="115"/>
      <c r="BI3206" s="115"/>
      <c r="BJ3206" s="115"/>
      <c r="BK3206" s="115"/>
      <c r="BL3206" s="115"/>
      <c r="BM3206" s="115"/>
      <c r="BN3206" s="115"/>
      <c r="BO3206" s="115"/>
      <c r="BP3206" s="115"/>
      <c r="BQ3206" s="115"/>
      <c r="BR3206" s="115"/>
      <c r="BS3206" s="115"/>
      <c r="BT3206" s="115"/>
      <c r="BU3206" s="115"/>
      <c r="BV3206" s="115"/>
      <c r="BW3206" s="115"/>
      <c r="BX3206" s="115"/>
      <c r="BY3206" s="115"/>
      <c r="BZ3206" s="115"/>
      <c r="CA3206" s="115"/>
      <c r="CB3206" s="115"/>
      <c r="CC3206" s="115"/>
      <c r="CD3206" s="115"/>
      <c r="CE3206" s="115"/>
      <c r="CF3206" s="115"/>
      <c r="CG3206" s="115"/>
      <c r="CH3206" s="115"/>
      <c r="CI3206" s="115"/>
      <c r="CJ3206" s="115"/>
      <c r="CK3206" s="115"/>
      <c r="CL3206" s="115"/>
      <c r="CM3206" s="115"/>
      <c r="CN3206" s="115"/>
      <c r="CO3206" s="115"/>
      <c r="CP3206" s="115"/>
      <c r="CQ3206" s="115"/>
      <c r="CR3206" s="115"/>
      <c r="CS3206" s="115"/>
      <c r="CT3206" s="115"/>
      <c r="CU3206" s="115"/>
      <c r="CV3206" s="115"/>
      <c r="CW3206" s="115"/>
      <c r="CX3206" s="115"/>
      <c r="CY3206" s="115"/>
      <c r="CZ3206" s="115"/>
      <c r="DA3206" s="115"/>
      <c r="DB3206" s="115"/>
      <c r="DC3206" s="115"/>
      <c r="DD3206" s="115"/>
      <c r="DE3206" s="115"/>
      <c r="DF3206" s="115"/>
      <c r="DG3206" s="115"/>
    </row>
    <row r="3207" spans="55:111" hidden="1">
      <c r="BC3207" s="115"/>
      <c r="BD3207" s="115"/>
      <c r="BE3207" s="115"/>
      <c r="BF3207" s="115"/>
      <c r="BG3207" s="115"/>
      <c r="BH3207" s="115"/>
      <c r="BI3207" s="115"/>
      <c r="BJ3207" s="115"/>
      <c r="BK3207" s="115"/>
      <c r="BL3207" s="115"/>
      <c r="BM3207" s="115"/>
      <c r="BN3207" s="115"/>
      <c r="BO3207" s="115"/>
      <c r="BP3207" s="115"/>
      <c r="BQ3207" s="115"/>
      <c r="BR3207" s="115"/>
      <c r="BS3207" s="115"/>
      <c r="BT3207" s="115"/>
      <c r="BU3207" s="115"/>
      <c r="BV3207" s="115"/>
      <c r="BW3207" s="115"/>
      <c r="BX3207" s="115"/>
      <c r="BY3207" s="115"/>
      <c r="BZ3207" s="115"/>
      <c r="CA3207" s="115"/>
      <c r="CB3207" s="115"/>
      <c r="CC3207" s="115"/>
      <c r="CD3207" s="115"/>
      <c r="CE3207" s="115"/>
      <c r="CF3207" s="115"/>
      <c r="CG3207" s="115"/>
      <c r="CH3207" s="115"/>
      <c r="CI3207" s="115"/>
      <c r="CJ3207" s="115"/>
      <c r="CK3207" s="115"/>
      <c r="CL3207" s="115"/>
      <c r="CM3207" s="115"/>
      <c r="CN3207" s="115"/>
      <c r="CO3207" s="115"/>
      <c r="CP3207" s="115"/>
      <c r="CQ3207" s="115"/>
      <c r="CR3207" s="115"/>
      <c r="CS3207" s="115"/>
      <c r="CT3207" s="115"/>
      <c r="CU3207" s="115"/>
      <c r="CV3207" s="115"/>
      <c r="CW3207" s="115"/>
      <c r="CX3207" s="115"/>
      <c r="CY3207" s="115"/>
      <c r="CZ3207" s="115"/>
      <c r="DA3207" s="115"/>
      <c r="DB3207" s="115"/>
      <c r="DC3207" s="115"/>
      <c r="DD3207" s="115"/>
      <c r="DE3207" s="115"/>
      <c r="DF3207" s="115"/>
      <c r="DG3207" s="115"/>
    </row>
    <row r="3208" spans="55:111" hidden="1">
      <c r="BC3208" s="115"/>
      <c r="BD3208" s="115"/>
      <c r="BE3208" s="115"/>
      <c r="BF3208" s="115"/>
      <c r="BG3208" s="115"/>
      <c r="BH3208" s="115"/>
      <c r="BI3208" s="115"/>
      <c r="BJ3208" s="115"/>
      <c r="BK3208" s="115"/>
      <c r="BL3208" s="115"/>
      <c r="BM3208" s="115"/>
      <c r="BN3208" s="115"/>
      <c r="BO3208" s="115"/>
      <c r="BP3208" s="115"/>
      <c r="BQ3208" s="115"/>
      <c r="BR3208" s="115"/>
      <c r="BS3208" s="115"/>
      <c r="BT3208" s="115"/>
      <c r="BU3208" s="115"/>
      <c r="BV3208" s="115"/>
      <c r="BW3208" s="115"/>
      <c r="BX3208" s="115"/>
      <c r="BY3208" s="115"/>
      <c r="BZ3208" s="115"/>
      <c r="CA3208" s="115"/>
      <c r="CB3208" s="115"/>
      <c r="CC3208" s="115"/>
      <c r="CD3208" s="115"/>
      <c r="CE3208" s="115"/>
      <c r="CF3208" s="115"/>
      <c r="CG3208" s="115"/>
      <c r="CH3208" s="115"/>
      <c r="CI3208" s="115"/>
      <c r="CJ3208" s="115"/>
      <c r="CK3208" s="115"/>
      <c r="CL3208" s="115"/>
      <c r="CM3208" s="115"/>
      <c r="CN3208" s="115"/>
      <c r="CO3208" s="115"/>
      <c r="CP3208" s="115"/>
      <c r="CQ3208" s="115"/>
      <c r="CR3208" s="115"/>
      <c r="CS3208" s="115"/>
      <c r="CT3208" s="115"/>
      <c r="CU3208" s="115"/>
      <c r="CV3208" s="115"/>
      <c r="CW3208" s="115"/>
      <c r="CX3208" s="115"/>
      <c r="CY3208" s="115"/>
      <c r="CZ3208" s="115"/>
      <c r="DA3208" s="115"/>
      <c r="DB3208" s="115"/>
      <c r="DC3208" s="115"/>
      <c r="DD3208" s="115"/>
      <c r="DE3208" s="115"/>
      <c r="DF3208" s="115"/>
      <c r="DG3208" s="115"/>
    </row>
    <row r="3209" spans="55:111" hidden="1">
      <c r="BC3209" s="115"/>
      <c r="BD3209" s="115"/>
      <c r="BE3209" s="115"/>
      <c r="BF3209" s="115"/>
      <c r="BG3209" s="115"/>
      <c r="BH3209" s="115"/>
      <c r="BI3209" s="115"/>
      <c r="BJ3209" s="115"/>
      <c r="BK3209" s="115"/>
      <c r="BL3209" s="115"/>
      <c r="BM3209" s="115"/>
      <c r="BN3209" s="115"/>
      <c r="BO3209" s="115"/>
      <c r="BP3209" s="115"/>
      <c r="BQ3209" s="115"/>
      <c r="BR3209" s="115"/>
      <c r="BS3209" s="115"/>
      <c r="BT3209" s="115"/>
      <c r="BU3209" s="115"/>
      <c r="BV3209" s="115"/>
      <c r="BW3209" s="115"/>
      <c r="BX3209" s="115"/>
      <c r="BY3209" s="115"/>
      <c r="BZ3209" s="115"/>
      <c r="CA3209" s="115"/>
      <c r="CB3209" s="115"/>
      <c r="CC3209" s="115"/>
      <c r="CD3209" s="115"/>
      <c r="CE3209" s="115"/>
      <c r="CF3209" s="115"/>
      <c r="CG3209" s="115"/>
      <c r="CH3209" s="115"/>
      <c r="CI3209" s="115"/>
      <c r="CJ3209" s="115"/>
      <c r="CK3209" s="115"/>
      <c r="CL3209" s="115"/>
      <c r="CM3209" s="115"/>
      <c r="CN3209" s="115"/>
      <c r="CO3209" s="115"/>
      <c r="CP3209" s="115"/>
      <c r="CQ3209" s="115"/>
      <c r="CR3209" s="115"/>
      <c r="CS3209" s="115"/>
      <c r="CT3209" s="115"/>
      <c r="CU3209" s="115"/>
      <c r="CV3209" s="115"/>
      <c r="CW3209" s="115"/>
      <c r="CX3209" s="115"/>
      <c r="CY3209" s="115"/>
      <c r="CZ3209" s="115"/>
      <c r="DA3209" s="115"/>
      <c r="DB3209" s="115"/>
      <c r="DC3209" s="115"/>
      <c r="DD3209" s="115"/>
      <c r="DE3209" s="115"/>
      <c r="DF3209" s="115"/>
      <c r="DG3209" s="115"/>
    </row>
    <row r="3210" spans="55:111" hidden="1">
      <c r="BC3210" s="115"/>
      <c r="BD3210" s="115"/>
      <c r="BE3210" s="115"/>
      <c r="BF3210" s="115"/>
      <c r="BG3210" s="115"/>
      <c r="BH3210" s="115"/>
      <c r="BI3210" s="115"/>
      <c r="BJ3210" s="115"/>
      <c r="BK3210" s="115"/>
      <c r="BL3210" s="115"/>
      <c r="BM3210" s="115"/>
      <c r="BN3210" s="115"/>
      <c r="BO3210" s="115"/>
      <c r="BP3210" s="115"/>
      <c r="BQ3210" s="115"/>
      <c r="BR3210" s="115"/>
      <c r="BS3210" s="115"/>
      <c r="BT3210" s="115"/>
      <c r="BU3210" s="115"/>
      <c r="BV3210" s="115"/>
      <c r="BW3210" s="115"/>
      <c r="BX3210" s="115"/>
      <c r="BY3210" s="115"/>
      <c r="BZ3210" s="115"/>
      <c r="CA3210" s="115"/>
      <c r="CB3210" s="115"/>
      <c r="CC3210" s="115"/>
      <c r="CD3210" s="115"/>
      <c r="CE3210" s="115"/>
      <c r="CF3210" s="115"/>
      <c r="CG3210" s="115"/>
      <c r="CH3210" s="115"/>
      <c r="CI3210" s="115"/>
      <c r="CJ3210" s="115"/>
      <c r="CK3210" s="115"/>
      <c r="CL3210" s="115"/>
      <c r="CM3210" s="115"/>
      <c r="CN3210" s="115"/>
      <c r="CO3210" s="115"/>
      <c r="CP3210" s="115"/>
      <c r="CQ3210" s="115"/>
      <c r="CR3210" s="115"/>
      <c r="CS3210" s="115"/>
      <c r="CT3210" s="115"/>
      <c r="CU3210" s="115"/>
      <c r="CV3210" s="115"/>
      <c r="CW3210" s="115"/>
      <c r="CX3210" s="115"/>
      <c r="CY3210" s="115"/>
      <c r="CZ3210" s="115"/>
      <c r="DA3210" s="115"/>
      <c r="DB3210" s="115"/>
      <c r="DC3210" s="115"/>
      <c r="DD3210" s="115"/>
      <c r="DE3210" s="115"/>
      <c r="DF3210" s="115"/>
      <c r="DG3210" s="115"/>
    </row>
    <row r="3211" spans="55:111" hidden="1">
      <c r="BC3211" s="115"/>
      <c r="BD3211" s="115"/>
      <c r="BE3211" s="115"/>
      <c r="BF3211" s="115"/>
      <c r="BG3211" s="115"/>
      <c r="BH3211" s="115"/>
      <c r="BI3211" s="115"/>
      <c r="BJ3211" s="115"/>
      <c r="BK3211" s="115"/>
      <c r="BL3211" s="115"/>
      <c r="BM3211" s="115"/>
      <c r="BN3211" s="115"/>
      <c r="BO3211" s="115"/>
      <c r="BP3211" s="115"/>
      <c r="BQ3211" s="115"/>
      <c r="BR3211" s="115"/>
      <c r="BS3211" s="115"/>
      <c r="BT3211" s="115"/>
      <c r="BU3211" s="115"/>
      <c r="BV3211" s="115"/>
      <c r="BW3211" s="115"/>
      <c r="BX3211" s="115"/>
      <c r="BY3211" s="115"/>
      <c r="BZ3211" s="115"/>
      <c r="CA3211" s="115"/>
      <c r="CB3211" s="115"/>
      <c r="CC3211" s="115"/>
      <c r="CD3211" s="115"/>
      <c r="CE3211" s="115"/>
      <c r="CF3211" s="115"/>
      <c r="CG3211" s="115"/>
      <c r="CH3211" s="115"/>
      <c r="CI3211" s="115"/>
      <c r="CJ3211" s="115"/>
      <c r="CK3211" s="115"/>
      <c r="CL3211" s="115"/>
      <c r="CM3211" s="115"/>
      <c r="CN3211" s="115"/>
      <c r="CO3211" s="115"/>
      <c r="CP3211" s="115"/>
      <c r="CQ3211" s="115"/>
      <c r="CR3211" s="115"/>
      <c r="CS3211" s="115"/>
      <c r="CT3211" s="115"/>
      <c r="CU3211" s="115"/>
      <c r="CV3211" s="115"/>
      <c r="CW3211" s="115"/>
      <c r="CX3211" s="115"/>
      <c r="CY3211" s="115"/>
      <c r="CZ3211" s="115"/>
      <c r="DA3211" s="115"/>
      <c r="DB3211" s="115"/>
      <c r="DC3211" s="115"/>
      <c r="DD3211" s="115"/>
      <c r="DE3211" s="115"/>
      <c r="DF3211" s="115"/>
      <c r="DG3211" s="115"/>
    </row>
    <row r="3212" spans="55:111" hidden="1">
      <c r="BC3212" s="115"/>
      <c r="BD3212" s="115"/>
      <c r="BE3212" s="115"/>
      <c r="BF3212" s="115"/>
      <c r="BG3212" s="115"/>
      <c r="BH3212" s="115"/>
      <c r="BI3212" s="115"/>
      <c r="BJ3212" s="115"/>
      <c r="BK3212" s="115"/>
      <c r="BL3212" s="115"/>
      <c r="BM3212" s="115"/>
      <c r="BN3212" s="115"/>
      <c r="BO3212" s="115"/>
      <c r="BP3212" s="115"/>
      <c r="BQ3212" s="115"/>
      <c r="BR3212" s="115"/>
      <c r="BS3212" s="115"/>
      <c r="BT3212" s="115"/>
      <c r="BU3212" s="115"/>
      <c r="BV3212" s="115"/>
      <c r="BW3212" s="115"/>
      <c r="BX3212" s="115"/>
      <c r="BY3212" s="115"/>
      <c r="BZ3212" s="115"/>
      <c r="CA3212" s="115"/>
      <c r="CB3212" s="115"/>
      <c r="CC3212" s="115"/>
      <c r="CD3212" s="115"/>
      <c r="CE3212" s="115"/>
      <c r="CF3212" s="115"/>
      <c r="CG3212" s="115"/>
      <c r="CH3212" s="115"/>
      <c r="CI3212" s="115"/>
      <c r="CJ3212" s="115"/>
      <c r="CK3212" s="115"/>
      <c r="CL3212" s="115"/>
      <c r="CM3212" s="115"/>
      <c r="CN3212" s="115"/>
      <c r="CO3212" s="115"/>
      <c r="CP3212" s="115"/>
      <c r="CQ3212" s="115"/>
      <c r="CR3212" s="115"/>
      <c r="CS3212" s="115"/>
      <c r="CT3212" s="115"/>
      <c r="CU3212" s="115"/>
      <c r="CV3212" s="115"/>
      <c r="CW3212" s="115"/>
      <c r="CX3212" s="115"/>
      <c r="CY3212" s="115"/>
      <c r="CZ3212" s="115"/>
      <c r="DA3212" s="115"/>
      <c r="DB3212" s="115"/>
      <c r="DC3212" s="115"/>
      <c r="DD3212" s="115"/>
      <c r="DE3212" s="115"/>
      <c r="DF3212" s="115"/>
      <c r="DG3212" s="115"/>
    </row>
    <row r="3213" spans="55:111" hidden="1">
      <c r="BC3213" s="115"/>
      <c r="BD3213" s="115"/>
      <c r="BE3213" s="115"/>
      <c r="BF3213" s="115"/>
      <c r="BG3213" s="115"/>
      <c r="BH3213" s="115"/>
      <c r="BI3213" s="115"/>
      <c r="BJ3213" s="115"/>
      <c r="BK3213" s="115"/>
      <c r="BL3213" s="115"/>
      <c r="BM3213" s="115"/>
      <c r="BN3213" s="115"/>
      <c r="BO3213" s="115"/>
      <c r="BP3213" s="115"/>
      <c r="BQ3213" s="115"/>
      <c r="BR3213" s="115"/>
      <c r="BS3213" s="115"/>
      <c r="BT3213" s="115"/>
      <c r="BU3213" s="115"/>
      <c r="BV3213" s="115"/>
      <c r="BW3213" s="115"/>
      <c r="BX3213" s="115"/>
      <c r="BY3213" s="115"/>
      <c r="BZ3213" s="115"/>
      <c r="CA3213" s="115"/>
      <c r="CB3213" s="115"/>
      <c r="CC3213" s="115"/>
      <c r="CD3213" s="115"/>
      <c r="CE3213" s="115"/>
      <c r="CF3213" s="115"/>
      <c r="CG3213" s="115"/>
      <c r="CH3213" s="115"/>
      <c r="CI3213" s="115"/>
      <c r="CJ3213" s="115"/>
      <c r="CK3213" s="115"/>
      <c r="CL3213" s="115"/>
      <c r="CM3213" s="115"/>
      <c r="CN3213" s="115"/>
      <c r="CO3213" s="115"/>
      <c r="CP3213" s="115"/>
      <c r="CQ3213" s="115"/>
      <c r="CR3213" s="115"/>
      <c r="CS3213" s="115"/>
      <c r="CT3213" s="115"/>
      <c r="CU3213" s="115"/>
      <c r="CV3213" s="115"/>
      <c r="CW3213" s="115"/>
      <c r="CX3213" s="115"/>
      <c r="CY3213" s="115"/>
      <c r="CZ3213" s="115"/>
      <c r="DA3213" s="115"/>
      <c r="DB3213" s="115"/>
      <c r="DC3213" s="115"/>
      <c r="DD3213" s="115"/>
      <c r="DE3213" s="115"/>
      <c r="DF3213" s="115"/>
      <c r="DG3213" s="115"/>
    </row>
    <row r="3214" spans="55:111" hidden="1">
      <c r="BC3214" s="115"/>
      <c r="BD3214" s="115"/>
      <c r="BE3214" s="115"/>
      <c r="BF3214" s="115"/>
      <c r="BG3214" s="115"/>
      <c r="BH3214" s="115"/>
      <c r="BI3214" s="115"/>
      <c r="BJ3214" s="115"/>
      <c r="BK3214" s="115"/>
      <c r="BL3214" s="115"/>
      <c r="BM3214" s="115"/>
      <c r="BN3214" s="115"/>
      <c r="BO3214" s="115"/>
      <c r="BP3214" s="115"/>
      <c r="BQ3214" s="115"/>
      <c r="BR3214" s="115"/>
      <c r="BS3214" s="115"/>
      <c r="BT3214" s="115"/>
      <c r="BU3214" s="115"/>
      <c r="BV3214" s="115"/>
      <c r="BW3214" s="115"/>
      <c r="BX3214" s="115"/>
      <c r="BY3214" s="115"/>
      <c r="BZ3214" s="115"/>
      <c r="CA3214" s="115"/>
      <c r="CB3214" s="115"/>
      <c r="CC3214" s="115"/>
      <c r="CD3214" s="115"/>
      <c r="CE3214" s="115"/>
      <c r="CF3214" s="115"/>
      <c r="CG3214" s="115"/>
      <c r="CH3214" s="115"/>
      <c r="CI3214" s="115"/>
      <c r="CJ3214" s="115"/>
      <c r="CK3214" s="115"/>
      <c r="CL3214" s="115"/>
      <c r="CM3214" s="115"/>
      <c r="CN3214" s="115"/>
      <c r="CO3214" s="115"/>
      <c r="CP3214" s="115"/>
      <c r="CQ3214" s="115"/>
      <c r="CR3214" s="115"/>
      <c r="CS3214" s="115"/>
      <c r="CT3214" s="115"/>
      <c r="CU3214" s="115"/>
      <c r="CV3214" s="115"/>
      <c r="CW3214" s="115"/>
      <c r="CX3214" s="115"/>
      <c r="CY3214" s="115"/>
      <c r="CZ3214" s="115"/>
      <c r="DA3214" s="115"/>
      <c r="DB3214" s="115"/>
      <c r="DC3214" s="115"/>
      <c r="DD3214" s="115"/>
      <c r="DE3214" s="115"/>
      <c r="DF3214" s="115"/>
      <c r="DG3214" s="115"/>
    </row>
    <row r="3215" spans="55:111" hidden="1">
      <c r="BC3215" s="115"/>
      <c r="BD3215" s="115"/>
      <c r="BE3215" s="115"/>
      <c r="BF3215" s="115"/>
      <c r="BG3215" s="115"/>
      <c r="BH3215" s="115"/>
      <c r="BI3215" s="115"/>
      <c r="BJ3215" s="115"/>
      <c r="BK3215" s="115"/>
      <c r="BL3215" s="115"/>
      <c r="BM3215" s="115"/>
      <c r="BN3215" s="115"/>
      <c r="BO3215" s="115"/>
      <c r="BP3215" s="115"/>
      <c r="BQ3215" s="115"/>
      <c r="BR3215" s="115"/>
      <c r="BS3215" s="115"/>
      <c r="BT3215" s="115"/>
      <c r="BU3215" s="115"/>
      <c r="BV3215" s="115"/>
      <c r="BW3215" s="115"/>
      <c r="BX3215" s="115"/>
      <c r="BY3215" s="115"/>
      <c r="BZ3215" s="115"/>
      <c r="CA3215" s="115"/>
      <c r="CB3215" s="115"/>
      <c r="CC3215" s="115"/>
      <c r="CD3215" s="115"/>
      <c r="CE3215" s="115"/>
      <c r="CF3215" s="115"/>
      <c r="CG3215" s="115"/>
      <c r="CH3215" s="115"/>
      <c r="CI3215" s="115"/>
      <c r="CJ3215" s="115"/>
      <c r="CK3215" s="115"/>
      <c r="CL3215" s="115"/>
      <c r="CM3215" s="115"/>
      <c r="CN3215" s="115"/>
      <c r="CO3215" s="115"/>
      <c r="CP3215" s="115"/>
      <c r="CQ3215" s="115"/>
      <c r="CR3215" s="115"/>
      <c r="CS3215" s="115"/>
      <c r="CT3215" s="115"/>
      <c r="CU3215" s="115"/>
      <c r="CV3215" s="115"/>
      <c r="CW3215" s="115"/>
      <c r="CX3215" s="115"/>
      <c r="CY3215" s="115"/>
      <c r="CZ3215" s="115"/>
      <c r="DA3215" s="115"/>
      <c r="DB3215" s="115"/>
      <c r="DC3215" s="115"/>
      <c r="DD3215" s="115"/>
      <c r="DE3215" s="115"/>
      <c r="DF3215" s="115"/>
      <c r="DG3215" s="115"/>
    </row>
    <row r="3216" spans="55:111" hidden="1">
      <c r="BC3216" s="115"/>
      <c r="BD3216" s="115"/>
      <c r="BE3216" s="115"/>
      <c r="BF3216" s="115"/>
      <c r="BG3216" s="115"/>
      <c r="BH3216" s="115"/>
      <c r="BI3216" s="115"/>
      <c r="BJ3216" s="115"/>
      <c r="BK3216" s="115"/>
      <c r="BL3216" s="115"/>
      <c r="BM3216" s="115"/>
      <c r="BN3216" s="115"/>
      <c r="BO3216" s="115"/>
      <c r="BP3216" s="115"/>
      <c r="BQ3216" s="115"/>
      <c r="BR3216" s="115"/>
      <c r="BS3216" s="115"/>
      <c r="BT3216" s="115"/>
      <c r="BU3216" s="115"/>
      <c r="BV3216" s="115"/>
      <c r="BW3216" s="115"/>
      <c r="BX3216" s="115"/>
      <c r="BY3216" s="115"/>
      <c r="BZ3216" s="115"/>
      <c r="CA3216" s="115"/>
      <c r="CB3216" s="115"/>
      <c r="CC3216" s="115"/>
      <c r="CD3216" s="115"/>
      <c r="CE3216" s="115"/>
      <c r="CF3216" s="115"/>
      <c r="CG3216" s="115"/>
      <c r="CH3216" s="115"/>
      <c r="CI3216" s="115"/>
      <c r="CJ3216" s="115"/>
      <c r="CK3216" s="115"/>
      <c r="CL3216" s="115"/>
      <c r="CM3216" s="115"/>
      <c r="CN3216" s="115"/>
      <c r="CO3216" s="115"/>
      <c r="CP3216" s="115"/>
      <c r="CQ3216" s="115"/>
      <c r="CR3216" s="115"/>
      <c r="CS3216" s="115"/>
      <c r="CT3216" s="115"/>
      <c r="CU3216" s="115"/>
      <c r="CV3216" s="115"/>
      <c r="CW3216" s="115"/>
      <c r="CX3216" s="115"/>
      <c r="CY3216" s="115"/>
      <c r="CZ3216" s="115"/>
      <c r="DA3216" s="115"/>
      <c r="DB3216" s="115"/>
      <c r="DC3216" s="115"/>
      <c r="DD3216" s="115"/>
      <c r="DE3216" s="115"/>
      <c r="DF3216" s="115"/>
      <c r="DG3216" s="115"/>
    </row>
    <row r="3217" spans="55:111" hidden="1">
      <c r="BC3217" s="115"/>
      <c r="BD3217" s="115"/>
      <c r="BE3217" s="115"/>
      <c r="BF3217" s="115"/>
      <c r="BG3217" s="115"/>
      <c r="BH3217" s="115"/>
      <c r="BI3217" s="115"/>
      <c r="BJ3217" s="115"/>
      <c r="BK3217" s="115"/>
      <c r="BL3217" s="115"/>
      <c r="BM3217" s="115"/>
      <c r="BN3217" s="115"/>
      <c r="BO3217" s="115"/>
      <c r="BP3217" s="115"/>
      <c r="BQ3217" s="115"/>
      <c r="BR3217" s="115"/>
      <c r="BS3217" s="115"/>
      <c r="BT3217" s="115"/>
      <c r="BU3217" s="115"/>
      <c r="BV3217" s="115"/>
      <c r="BW3217" s="115"/>
      <c r="BX3217" s="115"/>
      <c r="BY3217" s="115"/>
      <c r="BZ3217" s="115"/>
      <c r="CA3217" s="115"/>
      <c r="CB3217" s="115"/>
      <c r="CC3217" s="115"/>
      <c r="CD3217" s="115"/>
      <c r="CE3217" s="115"/>
      <c r="CF3217" s="115"/>
      <c r="CG3217" s="115"/>
      <c r="CH3217" s="115"/>
      <c r="CI3217" s="115"/>
      <c r="CJ3217" s="115"/>
      <c r="CK3217" s="115"/>
      <c r="CL3217" s="115"/>
      <c r="CM3217" s="115"/>
      <c r="CN3217" s="115"/>
      <c r="CO3217" s="115"/>
      <c r="CP3217" s="115"/>
      <c r="CQ3217" s="115"/>
      <c r="CR3217" s="115"/>
      <c r="CS3217" s="115"/>
      <c r="CT3217" s="115"/>
      <c r="CU3217" s="115"/>
      <c r="CV3217" s="115"/>
      <c r="CW3217" s="115"/>
      <c r="CX3217" s="115"/>
      <c r="CY3217" s="115"/>
      <c r="CZ3217" s="115"/>
      <c r="DA3217" s="115"/>
      <c r="DB3217" s="115"/>
      <c r="DC3217" s="115"/>
      <c r="DD3217" s="115"/>
      <c r="DE3217" s="115"/>
      <c r="DF3217" s="115"/>
      <c r="DG3217" s="115"/>
    </row>
    <row r="3218" spans="55:111" hidden="1">
      <c r="BC3218" s="115"/>
      <c r="BD3218" s="115"/>
      <c r="BE3218" s="115"/>
      <c r="BF3218" s="115"/>
      <c r="BG3218" s="115"/>
      <c r="BH3218" s="115"/>
      <c r="BI3218" s="115"/>
      <c r="BJ3218" s="115"/>
      <c r="BK3218" s="115"/>
      <c r="BL3218" s="115"/>
      <c r="BM3218" s="115"/>
      <c r="BN3218" s="115"/>
      <c r="BO3218" s="115"/>
      <c r="BP3218" s="115"/>
      <c r="BQ3218" s="115"/>
      <c r="BR3218" s="115"/>
      <c r="BS3218" s="115"/>
      <c r="BT3218" s="115"/>
      <c r="BU3218" s="115"/>
      <c r="BV3218" s="115"/>
      <c r="BW3218" s="115"/>
      <c r="BX3218" s="115"/>
      <c r="BY3218" s="115"/>
      <c r="BZ3218" s="115"/>
      <c r="CA3218" s="115"/>
      <c r="CB3218" s="115"/>
      <c r="CC3218" s="115"/>
      <c r="CD3218" s="115"/>
      <c r="CE3218" s="115"/>
      <c r="CF3218" s="115"/>
      <c r="CG3218" s="115"/>
      <c r="CH3218" s="115"/>
      <c r="CI3218" s="115"/>
      <c r="CJ3218" s="115"/>
      <c r="CK3218" s="115"/>
      <c r="CL3218" s="115"/>
      <c r="CM3218" s="115"/>
      <c r="CN3218" s="115"/>
      <c r="CO3218" s="115"/>
      <c r="CP3218" s="115"/>
      <c r="CQ3218" s="115"/>
      <c r="CR3218" s="115"/>
      <c r="CS3218" s="115"/>
      <c r="CT3218" s="115"/>
      <c r="CU3218" s="115"/>
      <c r="CV3218" s="115"/>
      <c r="CW3218" s="115"/>
      <c r="CX3218" s="115"/>
      <c r="CY3218" s="115"/>
      <c r="CZ3218" s="115"/>
      <c r="DA3218" s="115"/>
      <c r="DB3218" s="115"/>
      <c r="DC3218" s="115"/>
      <c r="DD3218" s="115"/>
      <c r="DE3218" s="115"/>
      <c r="DF3218" s="115"/>
      <c r="DG3218" s="115"/>
    </row>
    <row r="3219" spans="55:111" hidden="1">
      <c r="BC3219" s="115"/>
      <c r="BD3219" s="115"/>
      <c r="BE3219" s="115"/>
      <c r="BF3219" s="115"/>
      <c r="BG3219" s="115"/>
      <c r="BH3219" s="115"/>
      <c r="BI3219" s="115"/>
      <c r="BJ3219" s="115"/>
      <c r="BK3219" s="115"/>
      <c r="BL3219" s="115"/>
      <c r="BM3219" s="115"/>
      <c r="BN3219" s="115"/>
      <c r="BO3219" s="115"/>
      <c r="BP3219" s="115"/>
      <c r="BQ3219" s="115"/>
      <c r="BR3219" s="115"/>
      <c r="BS3219" s="115"/>
      <c r="BT3219" s="115"/>
      <c r="BU3219" s="115"/>
      <c r="BV3219" s="115"/>
      <c r="BW3219" s="115"/>
      <c r="BX3219" s="115"/>
      <c r="BY3219" s="115"/>
      <c r="BZ3219" s="115"/>
      <c r="CA3219" s="115"/>
      <c r="CB3219" s="115"/>
      <c r="CC3219" s="115"/>
      <c r="CD3219" s="115"/>
      <c r="CE3219" s="115"/>
      <c r="CF3219" s="115"/>
      <c r="CG3219" s="115"/>
      <c r="CH3219" s="115"/>
      <c r="CI3219" s="115"/>
      <c r="CJ3219" s="115"/>
      <c r="CK3219" s="115"/>
      <c r="CL3219" s="115"/>
      <c r="CM3219" s="115"/>
      <c r="CN3219" s="115"/>
      <c r="CO3219" s="115"/>
      <c r="CP3219" s="115"/>
      <c r="CQ3219" s="115"/>
      <c r="CR3219" s="115"/>
      <c r="CS3219" s="115"/>
      <c r="CT3219" s="115"/>
      <c r="CU3219" s="115"/>
      <c r="CV3219" s="115"/>
      <c r="CW3219" s="115"/>
      <c r="CX3219" s="115"/>
      <c r="CY3219" s="115"/>
      <c r="CZ3219" s="115"/>
      <c r="DA3219" s="115"/>
      <c r="DB3219" s="115"/>
      <c r="DC3219" s="115"/>
      <c r="DD3219" s="115"/>
      <c r="DE3219" s="115"/>
      <c r="DF3219" s="115"/>
      <c r="DG3219" s="115"/>
    </row>
    <row r="3220" spans="55:111" hidden="1">
      <c r="BC3220" s="115"/>
      <c r="BD3220" s="115"/>
      <c r="BE3220" s="115"/>
      <c r="BF3220" s="115"/>
      <c r="BG3220" s="115"/>
      <c r="BH3220" s="115"/>
      <c r="BI3220" s="115"/>
      <c r="BJ3220" s="115"/>
      <c r="BK3220" s="115"/>
      <c r="BL3220" s="115"/>
      <c r="BM3220" s="115"/>
      <c r="BN3220" s="115"/>
      <c r="BO3220" s="115"/>
      <c r="BP3220" s="115"/>
      <c r="BQ3220" s="115"/>
      <c r="BR3220" s="115"/>
      <c r="BS3220" s="115"/>
      <c r="BT3220" s="115"/>
      <c r="BU3220" s="115"/>
      <c r="BV3220" s="115"/>
      <c r="BW3220" s="115"/>
      <c r="BX3220" s="115"/>
      <c r="BY3220" s="115"/>
      <c r="BZ3220" s="115"/>
      <c r="CA3220" s="115"/>
      <c r="CB3220" s="115"/>
      <c r="CC3220" s="115"/>
      <c r="CD3220" s="115"/>
      <c r="CE3220" s="115"/>
      <c r="CF3220" s="115"/>
      <c r="CG3220" s="115"/>
      <c r="CH3220" s="115"/>
      <c r="CI3220" s="115"/>
      <c r="CJ3220" s="115"/>
      <c r="CK3220" s="115"/>
      <c r="CL3220" s="115"/>
      <c r="CM3220" s="115"/>
      <c r="CN3220" s="115"/>
      <c r="CO3220" s="115"/>
      <c r="CP3220" s="115"/>
      <c r="CQ3220" s="115"/>
      <c r="CR3220" s="115"/>
      <c r="CS3220" s="115"/>
      <c r="CT3220" s="115"/>
      <c r="CU3220" s="115"/>
      <c r="CV3220" s="115"/>
      <c r="CW3220" s="115"/>
      <c r="CX3220" s="115"/>
      <c r="CY3220" s="115"/>
      <c r="CZ3220" s="115"/>
      <c r="DA3220" s="115"/>
      <c r="DB3220" s="115"/>
      <c r="DC3220" s="115"/>
      <c r="DD3220" s="115"/>
      <c r="DE3220" s="115"/>
      <c r="DF3220" s="115"/>
      <c r="DG3220" s="115"/>
    </row>
    <row r="3221" spans="55:111" hidden="1">
      <c r="BC3221" s="115"/>
      <c r="BD3221" s="115"/>
      <c r="BE3221" s="115"/>
      <c r="BF3221" s="115"/>
      <c r="BG3221" s="115"/>
      <c r="BH3221" s="115"/>
      <c r="BI3221" s="115"/>
      <c r="BJ3221" s="115"/>
      <c r="BK3221" s="115"/>
      <c r="BL3221" s="115"/>
      <c r="BM3221" s="115"/>
      <c r="BN3221" s="115"/>
      <c r="BO3221" s="115"/>
      <c r="BP3221" s="115"/>
      <c r="BQ3221" s="115"/>
      <c r="BR3221" s="115"/>
      <c r="BS3221" s="115"/>
      <c r="BT3221" s="115"/>
      <c r="BU3221" s="115"/>
      <c r="BV3221" s="115"/>
      <c r="BW3221" s="115"/>
      <c r="BX3221" s="115"/>
      <c r="BY3221" s="115"/>
      <c r="BZ3221" s="115"/>
      <c r="CA3221" s="115"/>
      <c r="CB3221" s="115"/>
      <c r="CC3221" s="115"/>
      <c r="CD3221" s="115"/>
      <c r="CE3221" s="115"/>
      <c r="CF3221" s="115"/>
      <c r="CG3221" s="115"/>
      <c r="CH3221" s="115"/>
      <c r="CI3221" s="115"/>
      <c r="CJ3221" s="115"/>
      <c r="CK3221" s="115"/>
      <c r="CL3221" s="115"/>
      <c r="CM3221" s="115"/>
      <c r="CN3221" s="115"/>
      <c r="CO3221" s="115"/>
      <c r="CP3221" s="115"/>
      <c r="CQ3221" s="115"/>
      <c r="CR3221" s="115"/>
      <c r="CS3221" s="115"/>
      <c r="CT3221" s="115"/>
      <c r="CU3221" s="115"/>
      <c r="CV3221" s="115"/>
      <c r="CW3221" s="115"/>
      <c r="CX3221" s="115"/>
      <c r="CY3221" s="115"/>
      <c r="CZ3221" s="115"/>
      <c r="DA3221" s="115"/>
      <c r="DB3221" s="115"/>
      <c r="DC3221" s="115"/>
      <c r="DD3221" s="115"/>
      <c r="DE3221" s="115"/>
      <c r="DF3221" s="115"/>
      <c r="DG3221" s="115"/>
    </row>
    <row r="3222" spans="55:111" hidden="1">
      <c r="BC3222" s="115"/>
      <c r="BD3222" s="115"/>
      <c r="BE3222" s="115"/>
      <c r="BF3222" s="115"/>
      <c r="BG3222" s="115"/>
      <c r="BH3222" s="115"/>
      <c r="BI3222" s="115"/>
      <c r="BJ3222" s="115"/>
      <c r="BK3222" s="115"/>
      <c r="BL3222" s="115"/>
      <c r="BM3222" s="115"/>
      <c r="BN3222" s="115"/>
      <c r="BO3222" s="115"/>
      <c r="BP3222" s="115"/>
      <c r="BQ3222" s="115"/>
      <c r="BR3222" s="115"/>
      <c r="BS3222" s="115"/>
      <c r="BT3222" s="115"/>
      <c r="BU3222" s="115"/>
      <c r="BV3222" s="115"/>
      <c r="BW3222" s="115"/>
      <c r="BX3222" s="115"/>
      <c r="BY3222" s="115"/>
      <c r="BZ3222" s="115"/>
      <c r="CA3222" s="115"/>
      <c r="CB3222" s="115"/>
      <c r="CC3222" s="115"/>
      <c r="CD3222" s="115"/>
      <c r="CE3222" s="115"/>
      <c r="CF3222" s="115"/>
      <c r="CG3222" s="115"/>
      <c r="CH3222" s="115"/>
      <c r="CI3222" s="115"/>
      <c r="CJ3222" s="115"/>
      <c r="CK3222" s="115"/>
      <c r="CL3222" s="115"/>
      <c r="CM3222" s="115"/>
      <c r="CN3222" s="115"/>
      <c r="CO3222" s="115"/>
      <c r="CP3222" s="115"/>
      <c r="CQ3222" s="115"/>
      <c r="CR3222" s="115"/>
      <c r="CS3222" s="115"/>
      <c r="CT3222" s="115"/>
      <c r="CU3222" s="115"/>
      <c r="CV3222" s="115"/>
      <c r="CW3222" s="115"/>
      <c r="CX3222" s="115"/>
      <c r="CY3222" s="115"/>
      <c r="CZ3222" s="115"/>
      <c r="DA3222" s="115"/>
      <c r="DB3222" s="115"/>
      <c r="DC3222" s="115"/>
      <c r="DD3222" s="115"/>
      <c r="DE3222" s="115"/>
      <c r="DF3222" s="115"/>
      <c r="DG3222" s="115"/>
    </row>
    <row r="3223" spans="55:111" hidden="1">
      <c r="BC3223" s="115"/>
      <c r="BD3223" s="115"/>
      <c r="BE3223" s="115"/>
      <c r="BF3223" s="115"/>
      <c r="BG3223" s="115"/>
      <c r="BH3223" s="115"/>
      <c r="BI3223" s="115"/>
      <c r="BJ3223" s="115"/>
      <c r="BK3223" s="115"/>
      <c r="BL3223" s="115"/>
      <c r="BM3223" s="115"/>
      <c r="BN3223" s="115"/>
      <c r="BO3223" s="115"/>
      <c r="BP3223" s="115"/>
      <c r="BQ3223" s="115"/>
      <c r="BR3223" s="115"/>
      <c r="BS3223" s="115"/>
      <c r="BT3223" s="115"/>
      <c r="BU3223" s="115"/>
      <c r="BV3223" s="115"/>
      <c r="BW3223" s="115"/>
      <c r="BX3223" s="115"/>
      <c r="BY3223" s="115"/>
      <c r="BZ3223" s="115"/>
      <c r="CA3223" s="115"/>
      <c r="CB3223" s="115"/>
      <c r="CC3223" s="115"/>
      <c r="CD3223" s="115"/>
      <c r="CE3223" s="115"/>
      <c r="CF3223" s="115"/>
      <c r="CG3223" s="115"/>
      <c r="CH3223" s="115"/>
      <c r="CI3223" s="115"/>
      <c r="CJ3223" s="115"/>
      <c r="CK3223" s="115"/>
      <c r="CL3223" s="115"/>
      <c r="CM3223" s="115"/>
      <c r="CN3223" s="115"/>
      <c r="CO3223" s="115"/>
      <c r="CP3223" s="115"/>
      <c r="CQ3223" s="115"/>
      <c r="CR3223" s="115"/>
      <c r="CS3223" s="115"/>
      <c r="CT3223" s="115"/>
      <c r="CU3223" s="115"/>
      <c r="CV3223" s="115"/>
      <c r="CW3223" s="115"/>
      <c r="CX3223" s="115"/>
      <c r="CY3223" s="115"/>
      <c r="CZ3223" s="115"/>
      <c r="DA3223" s="115"/>
      <c r="DB3223" s="115"/>
      <c r="DC3223" s="115"/>
      <c r="DD3223" s="115"/>
      <c r="DE3223" s="115"/>
      <c r="DF3223" s="115"/>
      <c r="DG3223" s="115"/>
    </row>
    <row r="3224" spans="55:111" hidden="1">
      <c r="BC3224" s="115"/>
      <c r="BD3224" s="115"/>
      <c r="BE3224" s="115"/>
      <c r="BF3224" s="115"/>
      <c r="BG3224" s="115"/>
      <c r="BH3224" s="115"/>
      <c r="BI3224" s="115"/>
      <c r="BJ3224" s="115"/>
      <c r="BK3224" s="115"/>
      <c r="BL3224" s="115"/>
      <c r="BM3224" s="115"/>
      <c r="BN3224" s="115"/>
      <c r="BO3224" s="115"/>
      <c r="BP3224" s="115"/>
      <c r="BQ3224" s="115"/>
      <c r="BR3224" s="115"/>
      <c r="BS3224" s="115"/>
      <c r="BT3224" s="115"/>
      <c r="BU3224" s="115"/>
      <c r="BV3224" s="115"/>
      <c r="BW3224" s="115"/>
      <c r="BX3224" s="115"/>
      <c r="BY3224" s="115"/>
      <c r="BZ3224" s="115"/>
      <c r="CA3224" s="115"/>
      <c r="CB3224" s="115"/>
      <c r="CC3224" s="115"/>
      <c r="CD3224" s="115"/>
      <c r="CE3224" s="115"/>
      <c r="CF3224" s="115"/>
      <c r="CG3224" s="115"/>
      <c r="CH3224" s="115"/>
      <c r="CI3224" s="115"/>
      <c r="CJ3224" s="115"/>
      <c r="CK3224" s="115"/>
      <c r="CL3224" s="115"/>
      <c r="CM3224" s="115"/>
      <c r="CN3224" s="115"/>
      <c r="CO3224" s="115"/>
      <c r="CP3224" s="115"/>
      <c r="CQ3224" s="115"/>
      <c r="CR3224" s="115"/>
      <c r="CS3224" s="115"/>
      <c r="CT3224" s="115"/>
      <c r="CU3224" s="115"/>
      <c r="CV3224" s="115"/>
      <c r="CW3224" s="115"/>
      <c r="CX3224" s="115"/>
      <c r="CY3224" s="115"/>
      <c r="CZ3224" s="115"/>
      <c r="DA3224" s="115"/>
      <c r="DB3224" s="115"/>
      <c r="DC3224" s="115"/>
      <c r="DD3224" s="115"/>
      <c r="DE3224" s="115"/>
      <c r="DF3224" s="115"/>
      <c r="DG3224" s="115"/>
    </row>
    <row r="3225" spans="55:111" hidden="1">
      <c r="BC3225" s="115"/>
      <c r="BD3225" s="115"/>
      <c r="BE3225" s="115"/>
      <c r="BF3225" s="115"/>
      <c r="BG3225" s="115"/>
      <c r="BH3225" s="115"/>
      <c r="BI3225" s="115"/>
      <c r="BJ3225" s="115"/>
      <c r="BK3225" s="115"/>
      <c r="BL3225" s="115"/>
      <c r="BM3225" s="115"/>
      <c r="BN3225" s="115"/>
      <c r="BO3225" s="115"/>
      <c r="BP3225" s="115"/>
      <c r="BQ3225" s="115"/>
      <c r="BR3225" s="115"/>
      <c r="BS3225" s="115"/>
      <c r="BT3225" s="115"/>
      <c r="BU3225" s="115"/>
      <c r="BV3225" s="115"/>
      <c r="BW3225" s="115"/>
      <c r="BX3225" s="115"/>
      <c r="BY3225" s="115"/>
      <c r="BZ3225" s="115"/>
      <c r="CA3225" s="115"/>
      <c r="CB3225" s="115"/>
      <c r="CC3225" s="115"/>
      <c r="CD3225" s="115"/>
      <c r="CE3225" s="115"/>
      <c r="CF3225" s="115"/>
      <c r="CG3225" s="115"/>
      <c r="CH3225" s="115"/>
      <c r="CI3225" s="115"/>
      <c r="CJ3225" s="115"/>
      <c r="CK3225" s="115"/>
      <c r="CL3225" s="115"/>
      <c r="CM3225" s="115"/>
      <c r="CN3225" s="115"/>
      <c r="CO3225" s="115"/>
      <c r="CP3225" s="115"/>
      <c r="CQ3225" s="115"/>
      <c r="CR3225" s="115"/>
      <c r="CS3225" s="115"/>
      <c r="CT3225" s="115"/>
      <c r="CU3225" s="115"/>
      <c r="CV3225" s="115"/>
      <c r="CW3225" s="115"/>
      <c r="CX3225" s="115"/>
      <c r="CY3225" s="115"/>
      <c r="CZ3225" s="115"/>
      <c r="DA3225" s="115"/>
      <c r="DB3225" s="115"/>
      <c r="DC3225" s="115"/>
      <c r="DD3225" s="115"/>
      <c r="DE3225" s="115"/>
      <c r="DF3225" s="115"/>
      <c r="DG3225" s="115"/>
    </row>
    <row r="3226" spans="55:111" hidden="1">
      <c r="BC3226" s="115"/>
      <c r="BD3226" s="115"/>
      <c r="BE3226" s="115"/>
      <c r="BF3226" s="115"/>
      <c r="BG3226" s="115"/>
      <c r="BH3226" s="115"/>
      <c r="BI3226" s="115"/>
      <c r="BJ3226" s="115"/>
      <c r="BK3226" s="115"/>
      <c r="BL3226" s="115"/>
      <c r="BM3226" s="115"/>
      <c r="BN3226" s="115"/>
      <c r="BO3226" s="115"/>
      <c r="BP3226" s="115"/>
      <c r="BQ3226" s="115"/>
      <c r="BR3226" s="115"/>
      <c r="BS3226" s="115"/>
      <c r="BT3226" s="115"/>
      <c r="BU3226" s="115"/>
      <c r="BV3226" s="115"/>
      <c r="BW3226" s="115"/>
      <c r="BX3226" s="115"/>
      <c r="BY3226" s="115"/>
      <c r="BZ3226" s="115"/>
      <c r="CA3226" s="115"/>
      <c r="CB3226" s="115"/>
      <c r="CC3226" s="115"/>
      <c r="CD3226" s="115"/>
      <c r="CE3226" s="115"/>
      <c r="CF3226" s="115"/>
      <c r="CG3226" s="115"/>
      <c r="CH3226" s="115"/>
      <c r="CI3226" s="115"/>
      <c r="CJ3226" s="115"/>
      <c r="CK3226" s="115"/>
      <c r="CL3226" s="115"/>
      <c r="CM3226" s="115"/>
      <c r="CN3226" s="115"/>
      <c r="CO3226" s="115"/>
      <c r="CP3226" s="115"/>
      <c r="CQ3226" s="115"/>
      <c r="CR3226" s="115"/>
      <c r="CS3226" s="115"/>
      <c r="CT3226" s="115"/>
      <c r="CU3226" s="115"/>
      <c r="CV3226" s="115"/>
      <c r="CW3226" s="115"/>
      <c r="CX3226" s="115"/>
      <c r="CY3226" s="115"/>
      <c r="CZ3226" s="115"/>
      <c r="DA3226" s="115"/>
      <c r="DB3226" s="115"/>
      <c r="DC3226" s="115"/>
      <c r="DD3226" s="115"/>
      <c r="DE3226" s="115"/>
      <c r="DF3226" s="115"/>
      <c r="DG3226" s="115"/>
    </row>
    <row r="3227" spans="55:111" hidden="1">
      <c r="BC3227" s="115"/>
      <c r="BD3227" s="115"/>
      <c r="BE3227" s="115"/>
      <c r="BF3227" s="115"/>
      <c r="BG3227" s="115"/>
      <c r="BH3227" s="115"/>
      <c r="BI3227" s="115"/>
      <c r="BJ3227" s="115"/>
      <c r="BK3227" s="115"/>
      <c r="BL3227" s="115"/>
      <c r="BM3227" s="115"/>
      <c r="BN3227" s="115"/>
      <c r="BO3227" s="115"/>
      <c r="BP3227" s="115"/>
      <c r="BQ3227" s="115"/>
      <c r="BR3227" s="115"/>
      <c r="BS3227" s="115"/>
      <c r="BT3227" s="115"/>
      <c r="BU3227" s="115"/>
      <c r="BV3227" s="115"/>
      <c r="BW3227" s="115"/>
      <c r="BX3227" s="115"/>
      <c r="BY3227" s="115"/>
      <c r="BZ3227" s="115"/>
      <c r="CA3227" s="115"/>
      <c r="CB3227" s="115"/>
      <c r="CC3227" s="115"/>
      <c r="CD3227" s="115"/>
      <c r="CE3227" s="115"/>
      <c r="CF3227" s="115"/>
      <c r="CG3227" s="115"/>
      <c r="CH3227" s="115"/>
      <c r="CI3227" s="115"/>
      <c r="CJ3227" s="115"/>
      <c r="CK3227" s="115"/>
      <c r="CL3227" s="115"/>
      <c r="CM3227" s="115"/>
      <c r="CN3227" s="115"/>
      <c r="CO3227" s="115"/>
      <c r="CP3227" s="115"/>
      <c r="CQ3227" s="115"/>
      <c r="CR3227" s="115"/>
      <c r="CS3227" s="115"/>
      <c r="CT3227" s="115"/>
      <c r="CU3227" s="115"/>
      <c r="CV3227" s="115"/>
      <c r="CW3227" s="115"/>
      <c r="CX3227" s="115"/>
      <c r="CY3227" s="115"/>
      <c r="CZ3227" s="115"/>
      <c r="DA3227" s="115"/>
      <c r="DB3227" s="115"/>
      <c r="DC3227" s="115"/>
      <c r="DD3227" s="115"/>
      <c r="DE3227" s="115"/>
      <c r="DF3227" s="115"/>
      <c r="DG3227" s="115"/>
    </row>
    <row r="3228" spans="55:111" hidden="1">
      <c r="BC3228" s="115"/>
      <c r="BD3228" s="115"/>
      <c r="BE3228" s="115"/>
      <c r="BF3228" s="115"/>
      <c r="BG3228" s="115"/>
      <c r="BH3228" s="115"/>
      <c r="BI3228" s="115"/>
      <c r="BJ3228" s="115"/>
      <c r="BK3228" s="115"/>
      <c r="BL3228" s="115"/>
      <c r="BM3228" s="115"/>
      <c r="BN3228" s="115"/>
      <c r="BO3228" s="115"/>
      <c r="BP3228" s="115"/>
      <c r="BQ3228" s="115"/>
      <c r="BR3228" s="115"/>
      <c r="BS3228" s="115"/>
      <c r="BT3228" s="115"/>
      <c r="BU3228" s="115"/>
      <c r="BV3228" s="115"/>
      <c r="BW3228" s="115"/>
      <c r="BX3228" s="115"/>
      <c r="BY3228" s="115"/>
      <c r="BZ3228" s="115"/>
      <c r="CA3228" s="115"/>
      <c r="CB3228" s="115"/>
      <c r="CC3228" s="115"/>
      <c r="CD3228" s="115"/>
      <c r="CE3228" s="115"/>
      <c r="CF3228" s="115"/>
      <c r="CG3228" s="115"/>
      <c r="CH3228" s="115"/>
      <c r="CI3228" s="115"/>
      <c r="CJ3228" s="115"/>
      <c r="CK3228" s="115"/>
      <c r="CL3228" s="115"/>
      <c r="CM3228" s="115"/>
      <c r="CN3228" s="115"/>
      <c r="CO3228" s="115"/>
      <c r="CP3228" s="115"/>
      <c r="CQ3228" s="115"/>
      <c r="CR3228" s="115"/>
      <c r="CS3228" s="115"/>
      <c r="CT3228" s="115"/>
      <c r="CU3228" s="115"/>
      <c r="CV3228" s="115"/>
      <c r="CW3228" s="115"/>
      <c r="CX3228" s="115"/>
      <c r="CY3228" s="115"/>
      <c r="CZ3228" s="115"/>
      <c r="DA3228" s="115"/>
      <c r="DB3228" s="115"/>
      <c r="DC3228" s="115"/>
      <c r="DD3228" s="115"/>
      <c r="DE3228" s="115"/>
      <c r="DF3228" s="115"/>
      <c r="DG3228" s="115"/>
    </row>
    <row r="3229" spans="55:111" hidden="1">
      <c r="BC3229" s="115"/>
      <c r="BD3229" s="115"/>
      <c r="BE3229" s="115"/>
      <c r="BF3229" s="115"/>
      <c r="BG3229" s="115"/>
      <c r="BH3229" s="115"/>
      <c r="BI3229" s="115"/>
      <c r="BJ3229" s="115"/>
      <c r="BK3229" s="115"/>
      <c r="BL3229" s="115"/>
      <c r="BM3229" s="115"/>
      <c r="BN3229" s="115"/>
      <c r="BO3229" s="115"/>
      <c r="BP3229" s="115"/>
      <c r="BQ3229" s="115"/>
      <c r="BR3229" s="115"/>
      <c r="BS3229" s="115"/>
      <c r="BT3229" s="115"/>
      <c r="BU3229" s="115"/>
      <c r="BV3229" s="115"/>
      <c r="BW3229" s="115"/>
      <c r="BX3229" s="115"/>
      <c r="BY3229" s="115"/>
      <c r="BZ3229" s="115"/>
      <c r="CA3229" s="115"/>
      <c r="CB3229" s="115"/>
      <c r="CC3229" s="115"/>
      <c r="CD3229" s="115"/>
      <c r="CE3229" s="115"/>
      <c r="CF3229" s="115"/>
      <c r="CG3229" s="115"/>
      <c r="CH3229" s="115"/>
      <c r="CI3229" s="115"/>
      <c r="CJ3229" s="115"/>
      <c r="CK3229" s="115"/>
      <c r="CL3229" s="115"/>
      <c r="CM3229" s="115"/>
      <c r="CN3229" s="115"/>
      <c r="CO3229" s="115"/>
      <c r="CP3229" s="115"/>
      <c r="CQ3229" s="115"/>
      <c r="CR3229" s="115"/>
      <c r="CS3229" s="115"/>
      <c r="CT3229" s="115"/>
      <c r="CU3229" s="115"/>
      <c r="CV3229" s="115"/>
      <c r="CW3229" s="115"/>
      <c r="CX3229" s="115"/>
      <c r="CY3229" s="115"/>
      <c r="CZ3229" s="115"/>
      <c r="DA3229" s="115"/>
      <c r="DB3229" s="115"/>
      <c r="DC3229" s="115"/>
      <c r="DD3229" s="115"/>
      <c r="DE3229" s="115"/>
      <c r="DF3229" s="115"/>
      <c r="DG3229" s="115"/>
    </row>
    <row r="3230" spans="55:111" hidden="1">
      <c r="BC3230" s="115"/>
      <c r="BD3230" s="115"/>
      <c r="BE3230" s="115"/>
      <c r="BF3230" s="115"/>
      <c r="BG3230" s="115"/>
      <c r="BH3230" s="115"/>
      <c r="BI3230" s="115"/>
      <c r="BJ3230" s="115"/>
      <c r="BK3230" s="115"/>
      <c r="BL3230" s="115"/>
      <c r="BM3230" s="115"/>
      <c r="BN3230" s="115"/>
      <c r="BO3230" s="115"/>
      <c r="BP3230" s="115"/>
      <c r="BQ3230" s="115"/>
      <c r="BR3230" s="115"/>
      <c r="BS3230" s="115"/>
      <c r="BT3230" s="115"/>
      <c r="BU3230" s="115"/>
      <c r="BV3230" s="115"/>
      <c r="BW3230" s="115"/>
      <c r="BX3230" s="115"/>
      <c r="BY3230" s="115"/>
      <c r="BZ3230" s="115"/>
      <c r="CA3230" s="115"/>
      <c r="CB3230" s="115"/>
      <c r="CC3230" s="115"/>
      <c r="CD3230" s="115"/>
      <c r="CE3230" s="115"/>
      <c r="CF3230" s="115"/>
      <c r="CG3230" s="115"/>
      <c r="CH3230" s="115"/>
      <c r="CI3230" s="115"/>
      <c r="CJ3230" s="115"/>
      <c r="CK3230" s="115"/>
      <c r="CL3230" s="115"/>
      <c r="CM3230" s="115"/>
      <c r="CN3230" s="115"/>
      <c r="CO3230" s="115"/>
      <c r="CP3230" s="115"/>
      <c r="CQ3230" s="115"/>
      <c r="CR3230" s="115"/>
      <c r="CS3230" s="115"/>
      <c r="CT3230" s="115"/>
      <c r="CU3230" s="115"/>
      <c r="CV3230" s="115"/>
      <c r="CW3230" s="115"/>
      <c r="CX3230" s="115"/>
      <c r="CY3230" s="115"/>
      <c r="CZ3230" s="115"/>
      <c r="DA3230" s="115"/>
      <c r="DB3230" s="115"/>
      <c r="DC3230" s="115"/>
      <c r="DD3230" s="115"/>
      <c r="DE3230" s="115"/>
      <c r="DF3230" s="115"/>
      <c r="DG3230" s="115"/>
    </row>
    <row r="3231" spans="55:111" hidden="1">
      <c r="BC3231" s="115"/>
      <c r="BD3231" s="115"/>
      <c r="BE3231" s="115"/>
      <c r="BF3231" s="115"/>
      <c r="BG3231" s="115"/>
      <c r="BH3231" s="115"/>
      <c r="BI3231" s="115"/>
      <c r="BJ3231" s="115"/>
      <c r="BK3231" s="115"/>
      <c r="BL3231" s="115"/>
      <c r="BM3231" s="115"/>
      <c r="BN3231" s="115"/>
      <c r="BO3231" s="115"/>
      <c r="BP3231" s="115"/>
      <c r="BQ3231" s="115"/>
      <c r="BR3231" s="115"/>
      <c r="BS3231" s="115"/>
      <c r="BT3231" s="115"/>
      <c r="BU3231" s="115"/>
      <c r="BV3231" s="115"/>
      <c r="BW3231" s="115"/>
      <c r="BX3231" s="115"/>
      <c r="BY3231" s="115"/>
      <c r="BZ3231" s="115"/>
      <c r="CA3231" s="115"/>
      <c r="CB3231" s="115"/>
      <c r="CC3231" s="115"/>
      <c r="CD3231" s="115"/>
      <c r="CE3231" s="115"/>
      <c r="CF3231" s="115"/>
      <c r="CG3231" s="115"/>
      <c r="CH3231" s="115"/>
      <c r="CI3231" s="115"/>
      <c r="CJ3231" s="115"/>
      <c r="CK3231" s="115"/>
      <c r="CL3231" s="115"/>
      <c r="CM3231" s="115"/>
      <c r="CN3231" s="115"/>
      <c r="CO3231" s="115"/>
      <c r="CP3231" s="115"/>
      <c r="CQ3231" s="115"/>
      <c r="CR3231" s="115"/>
      <c r="CS3231" s="115"/>
      <c r="CT3231" s="115"/>
      <c r="CU3231" s="115"/>
      <c r="CV3231" s="115"/>
      <c r="CW3231" s="115"/>
      <c r="CX3231" s="115"/>
      <c r="CY3231" s="115"/>
      <c r="CZ3231" s="115"/>
      <c r="DA3231" s="115"/>
      <c r="DB3231" s="115"/>
      <c r="DC3231" s="115"/>
      <c r="DD3231" s="115"/>
      <c r="DE3231" s="115"/>
      <c r="DF3231" s="115"/>
      <c r="DG3231" s="115"/>
    </row>
    <row r="3232" spans="55:111" hidden="1">
      <c r="BC3232" s="115"/>
      <c r="BD3232" s="115"/>
      <c r="BE3232" s="115"/>
      <c r="BF3232" s="115"/>
      <c r="BG3232" s="115"/>
      <c r="BH3232" s="115"/>
      <c r="BI3232" s="115"/>
      <c r="BJ3232" s="115"/>
      <c r="BK3232" s="115"/>
      <c r="BL3232" s="115"/>
      <c r="BM3232" s="115"/>
      <c r="BN3232" s="115"/>
      <c r="BO3232" s="115"/>
      <c r="BP3232" s="115"/>
      <c r="BQ3232" s="115"/>
      <c r="BR3232" s="115"/>
      <c r="BS3232" s="115"/>
      <c r="BT3232" s="115"/>
      <c r="BU3232" s="115"/>
      <c r="BV3232" s="115"/>
      <c r="BW3232" s="115"/>
      <c r="BX3232" s="115"/>
      <c r="BY3232" s="115"/>
      <c r="BZ3232" s="115"/>
      <c r="CA3232" s="115"/>
      <c r="CB3232" s="115"/>
      <c r="CC3232" s="115"/>
      <c r="CD3232" s="115"/>
      <c r="CE3232" s="115"/>
      <c r="CF3232" s="115"/>
      <c r="CG3232" s="115"/>
      <c r="CH3232" s="115"/>
      <c r="CI3232" s="115"/>
      <c r="CJ3232" s="115"/>
      <c r="CK3232" s="115"/>
      <c r="CL3232" s="115"/>
      <c r="CM3232" s="115"/>
      <c r="CN3232" s="115"/>
      <c r="CO3232" s="115"/>
      <c r="CP3232" s="115"/>
      <c r="CQ3232" s="115"/>
      <c r="CR3232" s="115"/>
      <c r="CS3232" s="115"/>
      <c r="CT3232" s="115"/>
      <c r="CU3232" s="115"/>
      <c r="CV3232" s="115"/>
      <c r="CW3232" s="115"/>
      <c r="CX3232" s="115"/>
      <c r="CY3232" s="115"/>
      <c r="CZ3232" s="115"/>
      <c r="DA3232" s="115"/>
      <c r="DB3232" s="115"/>
      <c r="DC3232" s="115"/>
      <c r="DD3232" s="115"/>
      <c r="DE3232" s="115"/>
      <c r="DF3232" s="115"/>
      <c r="DG3232" s="115"/>
    </row>
    <row r="3233" spans="55:111" hidden="1">
      <c r="BC3233" s="115"/>
      <c r="BD3233" s="115"/>
      <c r="BE3233" s="115"/>
      <c r="BF3233" s="115"/>
      <c r="BG3233" s="115"/>
      <c r="BH3233" s="115"/>
      <c r="BI3233" s="115"/>
      <c r="BJ3233" s="115"/>
      <c r="BK3233" s="115"/>
      <c r="BL3233" s="115"/>
      <c r="BM3233" s="115"/>
      <c r="BN3233" s="115"/>
      <c r="BO3233" s="115"/>
      <c r="BP3233" s="115"/>
      <c r="BQ3233" s="115"/>
      <c r="BR3233" s="115"/>
      <c r="BS3233" s="115"/>
      <c r="BT3233" s="115"/>
      <c r="BU3233" s="115"/>
      <c r="BV3233" s="115"/>
      <c r="BW3233" s="115"/>
      <c r="BX3233" s="115"/>
      <c r="BY3233" s="115"/>
      <c r="BZ3233" s="115"/>
      <c r="CA3233" s="115"/>
      <c r="CB3233" s="115"/>
      <c r="CC3233" s="115"/>
      <c r="CD3233" s="115"/>
      <c r="CE3233" s="115"/>
      <c r="CF3233" s="115"/>
      <c r="CG3233" s="115"/>
      <c r="CH3233" s="115"/>
      <c r="CI3233" s="115"/>
      <c r="CJ3233" s="115"/>
      <c r="CK3233" s="115"/>
      <c r="CL3233" s="115"/>
      <c r="CM3233" s="115"/>
      <c r="CN3233" s="115"/>
      <c r="CO3233" s="115"/>
      <c r="CP3233" s="115"/>
      <c r="CQ3233" s="115"/>
      <c r="CR3233" s="115"/>
      <c r="CS3233" s="115"/>
      <c r="CT3233" s="115"/>
      <c r="CU3233" s="115"/>
      <c r="CV3233" s="115"/>
      <c r="CW3233" s="115"/>
      <c r="CX3233" s="115"/>
      <c r="CY3233" s="115"/>
      <c r="CZ3233" s="115"/>
      <c r="DA3233" s="115"/>
      <c r="DB3233" s="115"/>
      <c r="DC3233" s="115"/>
      <c r="DD3233" s="115"/>
      <c r="DE3233" s="115"/>
      <c r="DF3233" s="115"/>
      <c r="DG3233" s="115"/>
    </row>
    <row r="3234" spans="55:111" hidden="1">
      <c r="BC3234" s="115"/>
      <c r="BD3234" s="115"/>
      <c r="BE3234" s="115"/>
      <c r="BF3234" s="115"/>
      <c r="BG3234" s="115"/>
      <c r="BH3234" s="115"/>
      <c r="BI3234" s="115"/>
      <c r="BJ3234" s="115"/>
      <c r="BK3234" s="115"/>
      <c r="BL3234" s="115"/>
      <c r="BM3234" s="115"/>
      <c r="BN3234" s="115"/>
      <c r="BO3234" s="115"/>
      <c r="BP3234" s="115"/>
      <c r="BQ3234" s="115"/>
      <c r="BR3234" s="115"/>
      <c r="BS3234" s="115"/>
      <c r="BT3234" s="115"/>
      <c r="BU3234" s="115"/>
      <c r="BV3234" s="115"/>
      <c r="BW3234" s="115"/>
      <c r="BX3234" s="115"/>
      <c r="BY3234" s="115"/>
      <c r="BZ3234" s="115"/>
      <c r="CA3234" s="115"/>
      <c r="CB3234" s="115"/>
      <c r="CC3234" s="115"/>
      <c r="CD3234" s="115"/>
      <c r="CE3234" s="115"/>
      <c r="CF3234" s="115"/>
      <c r="CG3234" s="115"/>
      <c r="CH3234" s="115"/>
      <c r="CI3234" s="115"/>
      <c r="CJ3234" s="115"/>
      <c r="CK3234" s="115"/>
      <c r="CL3234" s="115"/>
      <c r="CM3234" s="115"/>
      <c r="CN3234" s="115"/>
      <c r="CO3234" s="115"/>
      <c r="CP3234" s="115"/>
      <c r="CQ3234" s="115"/>
      <c r="CR3234" s="115"/>
      <c r="CS3234" s="115"/>
      <c r="CT3234" s="115"/>
      <c r="CU3234" s="115"/>
      <c r="CV3234" s="115"/>
      <c r="CW3234" s="115"/>
      <c r="CX3234" s="115"/>
      <c r="CY3234" s="115"/>
      <c r="CZ3234" s="115"/>
      <c r="DA3234" s="115"/>
      <c r="DB3234" s="115"/>
      <c r="DC3234" s="115"/>
      <c r="DD3234" s="115"/>
      <c r="DE3234" s="115"/>
      <c r="DF3234" s="115"/>
      <c r="DG3234" s="115"/>
    </row>
    <row r="3235" spans="55:111" hidden="1">
      <c r="BC3235" s="115"/>
      <c r="BD3235" s="115"/>
      <c r="BE3235" s="115"/>
      <c r="BF3235" s="115"/>
      <c r="BG3235" s="115"/>
      <c r="BH3235" s="115"/>
      <c r="BI3235" s="115"/>
      <c r="BJ3235" s="115"/>
      <c r="BK3235" s="115"/>
      <c r="BL3235" s="115"/>
      <c r="BM3235" s="115"/>
      <c r="BN3235" s="115"/>
      <c r="BO3235" s="115"/>
      <c r="BP3235" s="115"/>
      <c r="BQ3235" s="115"/>
      <c r="BR3235" s="115"/>
      <c r="BS3235" s="115"/>
      <c r="BT3235" s="115"/>
      <c r="BU3235" s="115"/>
      <c r="BV3235" s="115"/>
      <c r="BW3235" s="115"/>
      <c r="BX3235" s="115"/>
      <c r="BY3235" s="115"/>
      <c r="BZ3235" s="115"/>
      <c r="CA3235" s="115"/>
      <c r="CB3235" s="115"/>
      <c r="CC3235" s="115"/>
      <c r="CD3235" s="115"/>
      <c r="CE3235" s="115"/>
      <c r="CF3235" s="115"/>
      <c r="CG3235" s="115"/>
      <c r="CH3235" s="115"/>
      <c r="CI3235" s="115"/>
      <c r="CJ3235" s="115"/>
      <c r="CK3235" s="115"/>
      <c r="CL3235" s="115"/>
      <c r="CM3235" s="115"/>
      <c r="CN3235" s="115"/>
      <c r="CO3235" s="115"/>
      <c r="CP3235" s="115"/>
      <c r="CQ3235" s="115"/>
      <c r="CR3235" s="115"/>
      <c r="CS3235" s="115"/>
      <c r="CT3235" s="115"/>
      <c r="CU3235" s="115"/>
      <c r="CV3235" s="115"/>
      <c r="CW3235" s="115"/>
      <c r="CX3235" s="115"/>
      <c r="CY3235" s="115"/>
      <c r="CZ3235" s="115"/>
      <c r="DA3235" s="115"/>
      <c r="DB3235" s="115"/>
      <c r="DC3235" s="115"/>
      <c r="DD3235" s="115"/>
      <c r="DE3235" s="115"/>
      <c r="DF3235" s="115"/>
      <c r="DG3235" s="115"/>
    </row>
    <row r="3236" spans="55:111" hidden="1">
      <c r="BC3236" s="115"/>
      <c r="BD3236" s="115"/>
      <c r="BE3236" s="115"/>
      <c r="BF3236" s="115"/>
      <c r="BG3236" s="115"/>
      <c r="BH3236" s="115"/>
      <c r="BI3236" s="115"/>
      <c r="BJ3236" s="115"/>
      <c r="BK3236" s="115"/>
      <c r="BL3236" s="115"/>
      <c r="BM3236" s="115"/>
      <c r="BN3236" s="115"/>
      <c r="BO3236" s="115"/>
      <c r="BP3236" s="115"/>
      <c r="BQ3236" s="115"/>
      <c r="BR3236" s="115"/>
      <c r="BS3236" s="115"/>
      <c r="BT3236" s="115"/>
      <c r="BU3236" s="115"/>
      <c r="BV3236" s="115"/>
      <c r="BW3236" s="115"/>
      <c r="BX3236" s="115"/>
      <c r="BY3236" s="115"/>
      <c r="BZ3236" s="115"/>
      <c r="CA3236" s="115"/>
      <c r="CB3236" s="115"/>
      <c r="CC3236" s="115"/>
      <c r="CD3236" s="115"/>
      <c r="CE3236" s="115"/>
      <c r="CF3236" s="115"/>
      <c r="CG3236" s="115"/>
      <c r="CH3236" s="115"/>
      <c r="CI3236" s="115"/>
      <c r="CJ3236" s="115"/>
      <c r="CK3236" s="115"/>
      <c r="CL3236" s="115"/>
      <c r="CM3236" s="115"/>
      <c r="CN3236" s="115"/>
      <c r="CO3236" s="115"/>
      <c r="CP3236" s="115"/>
      <c r="CQ3236" s="115"/>
      <c r="CR3236" s="115"/>
      <c r="CS3236" s="115"/>
      <c r="CT3236" s="115"/>
      <c r="CU3236" s="115"/>
      <c r="CV3236" s="115"/>
      <c r="CW3236" s="115"/>
      <c r="CX3236" s="115"/>
      <c r="CY3236" s="115"/>
      <c r="CZ3236" s="115"/>
      <c r="DA3236" s="115"/>
      <c r="DB3236" s="115"/>
      <c r="DC3236" s="115"/>
      <c r="DD3236" s="115"/>
      <c r="DE3236" s="115"/>
      <c r="DF3236" s="115"/>
      <c r="DG3236" s="115"/>
    </row>
    <row r="3237" spans="55:111" hidden="1">
      <c r="BC3237" s="115"/>
      <c r="BD3237" s="115"/>
      <c r="BE3237" s="115"/>
      <c r="BF3237" s="115"/>
      <c r="BG3237" s="115"/>
      <c r="BH3237" s="115"/>
      <c r="BI3237" s="115"/>
      <c r="BJ3237" s="115"/>
      <c r="BK3237" s="115"/>
      <c r="BL3237" s="115"/>
      <c r="BM3237" s="115"/>
      <c r="BN3237" s="115"/>
      <c r="BO3237" s="115"/>
      <c r="BP3237" s="115"/>
      <c r="BQ3237" s="115"/>
      <c r="BR3237" s="115"/>
      <c r="BS3237" s="115"/>
      <c r="BT3237" s="115"/>
      <c r="BU3237" s="115"/>
      <c r="BV3237" s="115"/>
      <c r="BW3237" s="115"/>
      <c r="BX3237" s="115"/>
      <c r="BY3237" s="115"/>
      <c r="BZ3237" s="115"/>
      <c r="CA3237" s="115"/>
      <c r="CB3237" s="115"/>
      <c r="CC3237" s="115"/>
      <c r="CD3237" s="115"/>
      <c r="CE3237" s="115"/>
      <c r="CF3237" s="115"/>
      <c r="CG3237" s="115"/>
      <c r="CH3237" s="115"/>
      <c r="CI3237" s="115"/>
      <c r="CJ3237" s="115"/>
      <c r="CK3237" s="115"/>
      <c r="CL3237" s="115"/>
      <c r="CM3237" s="115"/>
      <c r="CN3237" s="115"/>
      <c r="CO3237" s="115"/>
      <c r="CP3237" s="115"/>
      <c r="CQ3237" s="115"/>
      <c r="CR3237" s="115"/>
      <c r="CS3237" s="115"/>
      <c r="CT3237" s="115"/>
      <c r="CU3237" s="115"/>
      <c r="CV3237" s="115"/>
      <c r="CW3237" s="115"/>
      <c r="CX3237" s="115"/>
      <c r="CY3237" s="115"/>
      <c r="CZ3237" s="115"/>
      <c r="DA3237" s="115"/>
      <c r="DB3237" s="115"/>
      <c r="DC3237" s="115"/>
      <c r="DD3237" s="115"/>
      <c r="DE3237" s="115"/>
      <c r="DF3237" s="115"/>
      <c r="DG3237" s="115"/>
    </row>
    <row r="3238" spans="55:111" hidden="1">
      <c r="BC3238" s="115"/>
      <c r="BD3238" s="115"/>
      <c r="BE3238" s="115"/>
      <c r="BF3238" s="115"/>
      <c r="BG3238" s="115"/>
      <c r="BH3238" s="115"/>
      <c r="BI3238" s="115"/>
      <c r="BJ3238" s="115"/>
      <c r="BK3238" s="115"/>
      <c r="BL3238" s="115"/>
      <c r="BM3238" s="115"/>
      <c r="BN3238" s="115"/>
      <c r="BO3238" s="115"/>
      <c r="BP3238" s="115"/>
      <c r="BQ3238" s="115"/>
      <c r="BR3238" s="115"/>
      <c r="BS3238" s="115"/>
      <c r="BT3238" s="115"/>
      <c r="BU3238" s="115"/>
      <c r="BV3238" s="115"/>
      <c r="BW3238" s="115"/>
      <c r="BX3238" s="115"/>
      <c r="BY3238" s="115"/>
      <c r="BZ3238" s="115"/>
      <c r="CA3238" s="115"/>
      <c r="CB3238" s="115"/>
      <c r="CC3238" s="115"/>
      <c r="CD3238" s="115"/>
      <c r="CE3238" s="115"/>
      <c r="CF3238" s="115"/>
      <c r="CG3238" s="115"/>
      <c r="CH3238" s="115"/>
      <c r="CI3238" s="115"/>
      <c r="CJ3238" s="115"/>
      <c r="CK3238" s="115"/>
      <c r="CL3238" s="115"/>
      <c r="CM3238" s="115"/>
      <c r="CN3238" s="115"/>
      <c r="CO3238" s="115"/>
      <c r="CP3238" s="115"/>
      <c r="CQ3238" s="115"/>
      <c r="CR3238" s="115"/>
      <c r="CS3238" s="115"/>
      <c r="CT3238" s="115"/>
      <c r="CU3238" s="115"/>
      <c r="CV3238" s="115"/>
      <c r="CW3238" s="115"/>
      <c r="CX3238" s="115"/>
      <c r="CY3238" s="115"/>
      <c r="CZ3238" s="115"/>
      <c r="DA3238" s="115"/>
      <c r="DB3238" s="115"/>
      <c r="DC3238" s="115"/>
      <c r="DD3238" s="115"/>
      <c r="DE3238" s="115"/>
      <c r="DF3238" s="115"/>
      <c r="DG3238" s="115"/>
    </row>
    <row r="3239" spans="55:111" hidden="1">
      <c r="BC3239" s="115"/>
      <c r="BD3239" s="115"/>
      <c r="BE3239" s="115"/>
      <c r="BF3239" s="115"/>
      <c r="BG3239" s="115"/>
      <c r="BH3239" s="115"/>
      <c r="BI3239" s="115"/>
      <c r="BJ3239" s="115"/>
      <c r="BK3239" s="115"/>
      <c r="BL3239" s="115"/>
      <c r="BM3239" s="115"/>
      <c r="BN3239" s="115"/>
      <c r="BO3239" s="115"/>
      <c r="BP3239" s="115"/>
      <c r="BQ3239" s="115"/>
      <c r="BR3239" s="115"/>
      <c r="BS3239" s="115"/>
      <c r="BT3239" s="115"/>
      <c r="BU3239" s="115"/>
      <c r="BV3239" s="115"/>
      <c r="BW3239" s="115"/>
      <c r="BX3239" s="115"/>
      <c r="BY3239" s="115"/>
      <c r="BZ3239" s="115"/>
      <c r="CA3239" s="115"/>
      <c r="CB3239" s="115"/>
      <c r="CC3239" s="115"/>
      <c r="CD3239" s="115"/>
      <c r="CE3239" s="115"/>
      <c r="CF3239" s="115"/>
      <c r="CG3239" s="115"/>
      <c r="CH3239" s="115"/>
      <c r="CI3239" s="115"/>
      <c r="CJ3239" s="115"/>
      <c r="CK3239" s="115"/>
      <c r="CL3239" s="115"/>
      <c r="CM3239" s="115"/>
      <c r="CN3239" s="115"/>
      <c r="CO3239" s="115"/>
      <c r="CP3239" s="115"/>
      <c r="CQ3239" s="115"/>
      <c r="CR3239" s="115"/>
      <c r="CS3239" s="115"/>
      <c r="CT3239" s="115"/>
      <c r="CU3239" s="115"/>
      <c r="CV3239" s="115"/>
      <c r="CW3239" s="115"/>
      <c r="CX3239" s="115"/>
      <c r="CY3239" s="115"/>
      <c r="CZ3239" s="115"/>
      <c r="DA3239" s="115"/>
      <c r="DB3239" s="115"/>
      <c r="DC3239" s="115"/>
      <c r="DD3239" s="115"/>
      <c r="DE3239" s="115"/>
      <c r="DF3239" s="115"/>
      <c r="DG3239" s="115"/>
    </row>
    <row r="3240" spans="55:111" hidden="1">
      <c r="BC3240" s="115"/>
      <c r="BD3240" s="115"/>
      <c r="BE3240" s="115"/>
      <c r="BF3240" s="115"/>
      <c r="BG3240" s="115"/>
      <c r="BH3240" s="115"/>
      <c r="BI3240" s="115"/>
      <c r="BJ3240" s="115"/>
      <c r="BK3240" s="115"/>
      <c r="BL3240" s="115"/>
      <c r="BM3240" s="115"/>
      <c r="BN3240" s="115"/>
      <c r="BO3240" s="115"/>
      <c r="BP3240" s="115"/>
      <c r="BQ3240" s="115"/>
      <c r="BR3240" s="115"/>
      <c r="BS3240" s="115"/>
      <c r="BT3240" s="115"/>
      <c r="BU3240" s="115"/>
      <c r="BV3240" s="115"/>
      <c r="BW3240" s="115"/>
      <c r="BX3240" s="115"/>
      <c r="BY3240" s="115"/>
      <c r="BZ3240" s="115"/>
      <c r="CA3240" s="115"/>
      <c r="CB3240" s="115"/>
      <c r="CC3240" s="115"/>
      <c r="CD3240" s="115"/>
      <c r="CE3240" s="115"/>
      <c r="CF3240" s="115"/>
      <c r="CG3240" s="115"/>
      <c r="CH3240" s="115"/>
      <c r="CI3240" s="115"/>
      <c r="CJ3240" s="115"/>
      <c r="CK3240" s="115"/>
      <c r="CL3240" s="115"/>
      <c r="CM3240" s="115"/>
      <c r="CN3240" s="115"/>
      <c r="CO3240" s="115"/>
      <c r="CP3240" s="115"/>
      <c r="CQ3240" s="115"/>
      <c r="CR3240" s="115"/>
      <c r="CS3240" s="115"/>
      <c r="CT3240" s="115"/>
      <c r="CU3240" s="115"/>
      <c r="CV3240" s="115"/>
      <c r="CW3240" s="115"/>
      <c r="CX3240" s="115"/>
      <c r="CY3240" s="115"/>
      <c r="CZ3240" s="115"/>
      <c r="DA3240" s="115"/>
      <c r="DB3240" s="115"/>
      <c r="DC3240" s="115"/>
      <c r="DD3240" s="115"/>
      <c r="DE3240" s="115"/>
      <c r="DF3240" s="115"/>
      <c r="DG3240" s="115"/>
    </row>
    <row r="3241" spans="55:111" hidden="1">
      <c r="BC3241" s="115"/>
      <c r="BD3241" s="115"/>
      <c r="BE3241" s="115"/>
      <c r="BF3241" s="115"/>
      <c r="BG3241" s="115"/>
      <c r="BH3241" s="115"/>
      <c r="BI3241" s="115"/>
      <c r="BJ3241" s="115"/>
      <c r="BK3241" s="115"/>
      <c r="BL3241" s="115"/>
      <c r="BM3241" s="115"/>
      <c r="BN3241" s="115"/>
      <c r="BO3241" s="115"/>
      <c r="BP3241" s="115"/>
      <c r="BQ3241" s="115"/>
      <c r="BR3241" s="115"/>
      <c r="BS3241" s="115"/>
      <c r="BT3241" s="115"/>
      <c r="BU3241" s="115"/>
      <c r="BV3241" s="115"/>
      <c r="BW3241" s="115"/>
      <c r="BX3241" s="115"/>
      <c r="BY3241" s="115"/>
      <c r="BZ3241" s="115"/>
      <c r="CA3241" s="115"/>
      <c r="CB3241" s="115"/>
      <c r="CC3241" s="115"/>
      <c r="CD3241" s="115"/>
      <c r="CE3241" s="115"/>
      <c r="CF3241" s="115"/>
      <c r="CG3241" s="115"/>
      <c r="CH3241" s="115"/>
      <c r="CI3241" s="115"/>
      <c r="CJ3241" s="115"/>
      <c r="CK3241" s="115"/>
      <c r="CL3241" s="115"/>
      <c r="CM3241" s="115"/>
      <c r="CN3241" s="115"/>
      <c r="CO3241" s="115"/>
      <c r="CP3241" s="115"/>
      <c r="CQ3241" s="115"/>
      <c r="CR3241" s="115"/>
      <c r="CS3241" s="115"/>
      <c r="CT3241" s="115"/>
      <c r="CU3241" s="115"/>
      <c r="CV3241" s="115"/>
      <c r="CW3241" s="115"/>
      <c r="CX3241" s="115"/>
      <c r="CY3241" s="115"/>
      <c r="CZ3241" s="115"/>
      <c r="DA3241" s="115"/>
      <c r="DB3241" s="115"/>
      <c r="DC3241" s="115"/>
      <c r="DD3241" s="115"/>
      <c r="DE3241" s="115"/>
      <c r="DF3241" s="115"/>
      <c r="DG3241" s="115"/>
    </row>
    <row r="3242" spans="55:111" hidden="1">
      <c r="BC3242" s="115"/>
      <c r="BD3242" s="115"/>
      <c r="BE3242" s="115"/>
      <c r="BF3242" s="115"/>
      <c r="BG3242" s="115"/>
      <c r="BH3242" s="115"/>
      <c r="BI3242" s="115"/>
      <c r="BJ3242" s="115"/>
      <c r="BK3242" s="115"/>
      <c r="BL3242" s="115"/>
      <c r="BM3242" s="115"/>
      <c r="BN3242" s="115"/>
      <c r="BO3242" s="115"/>
      <c r="BP3242" s="115"/>
      <c r="BQ3242" s="115"/>
      <c r="BR3242" s="115"/>
      <c r="BS3242" s="115"/>
      <c r="BT3242" s="115"/>
      <c r="BU3242" s="115"/>
      <c r="BV3242" s="115"/>
      <c r="BW3242" s="115"/>
      <c r="BX3242" s="115"/>
      <c r="BY3242" s="115"/>
      <c r="BZ3242" s="115"/>
      <c r="CA3242" s="115"/>
      <c r="CB3242" s="115"/>
      <c r="CC3242" s="115"/>
      <c r="CD3242" s="115"/>
      <c r="CE3242" s="115"/>
      <c r="CF3242" s="115"/>
      <c r="CG3242" s="115"/>
      <c r="CH3242" s="115"/>
      <c r="CI3242" s="115"/>
      <c r="CJ3242" s="115"/>
      <c r="CK3242" s="115"/>
      <c r="CL3242" s="115"/>
      <c r="CM3242" s="115"/>
      <c r="CN3242" s="115"/>
      <c r="CO3242" s="115"/>
      <c r="CP3242" s="115"/>
      <c r="CQ3242" s="115"/>
      <c r="CR3242" s="115"/>
      <c r="CS3242" s="115"/>
      <c r="CT3242" s="115"/>
      <c r="CU3242" s="115"/>
      <c r="CV3242" s="115"/>
      <c r="CW3242" s="115"/>
      <c r="CX3242" s="115"/>
      <c r="CY3242" s="115"/>
      <c r="CZ3242" s="115"/>
      <c r="DA3242" s="115"/>
      <c r="DB3242" s="115"/>
      <c r="DC3242" s="115"/>
      <c r="DD3242" s="115"/>
      <c r="DE3242" s="115"/>
      <c r="DF3242" s="115"/>
      <c r="DG3242" s="115"/>
    </row>
    <row r="3243" spans="55:111" hidden="1">
      <c r="BC3243" s="115"/>
      <c r="BD3243" s="115"/>
      <c r="BE3243" s="115"/>
      <c r="BF3243" s="115"/>
      <c r="BG3243" s="115"/>
      <c r="BH3243" s="115"/>
      <c r="BI3243" s="115"/>
      <c r="BJ3243" s="115"/>
      <c r="BK3243" s="115"/>
      <c r="BL3243" s="115"/>
      <c r="BM3243" s="115"/>
      <c r="BN3243" s="115"/>
      <c r="BO3243" s="115"/>
      <c r="BP3243" s="115"/>
      <c r="BQ3243" s="115"/>
      <c r="BR3243" s="115"/>
      <c r="BS3243" s="115"/>
      <c r="BT3243" s="115"/>
      <c r="BU3243" s="115"/>
      <c r="BV3243" s="115"/>
      <c r="BW3243" s="115"/>
      <c r="BX3243" s="115"/>
      <c r="BY3243" s="115"/>
      <c r="BZ3243" s="115"/>
      <c r="CA3243" s="115"/>
      <c r="CB3243" s="115"/>
      <c r="CC3243" s="115"/>
      <c r="CD3243" s="115"/>
      <c r="CE3243" s="115"/>
      <c r="CF3243" s="115"/>
      <c r="CG3243" s="115"/>
      <c r="CH3243" s="115"/>
      <c r="CI3243" s="115"/>
      <c r="CJ3243" s="115"/>
      <c r="CK3243" s="115"/>
      <c r="CL3243" s="115"/>
      <c r="CM3243" s="115"/>
      <c r="CN3243" s="115"/>
      <c r="CO3243" s="115"/>
      <c r="CP3243" s="115"/>
      <c r="CQ3243" s="115"/>
      <c r="CR3243" s="115"/>
      <c r="CS3243" s="115"/>
      <c r="CT3243" s="115"/>
      <c r="CU3243" s="115"/>
      <c r="CV3243" s="115"/>
      <c r="CW3243" s="115"/>
      <c r="CX3243" s="115"/>
      <c r="CY3243" s="115"/>
      <c r="CZ3243" s="115"/>
      <c r="DA3243" s="115"/>
      <c r="DB3243" s="115"/>
      <c r="DC3243" s="115"/>
      <c r="DD3243" s="115"/>
      <c r="DE3243" s="115"/>
      <c r="DF3243" s="115"/>
      <c r="DG3243" s="115"/>
    </row>
    <row r="3244" spans="55:111" hidden="1">
      <c r="BC3244" s="115"/>
      <c r="BD3244" s="115"/>
      <c r="BE3244" s="115"/>
      <c r="BF3244" s="115"/>
      <c r="BG3244" s="115"/>
      <c r="BH3244" s="115"/>
      <c r="BI3244" s="115"/>
      <c r="BJ3244" s="115"/>
      <c r="BK3244" s="115"/>
      <c r="BL3244" s="115"/>
      <c r="BM3244" s="115"/>
      <c r="BN3244" s="115"/>
      <c r="BO3244" s="115"/>
      <c r="BP3244" s="115"/>
      <c r="BQ3244" s="115"/>
      <c r="BR3244" s="115"/>
      <c r="BS3244" s="115"/>
      <c r="BT3244" s="115"/>
      <c r="BU3244" s="115"/>
      <c r="BV3244" s="115"/>
      <c r="BW3244" s="115"/>
      <c r="BX3244" s="115"/>
      <c r="BY3244" s="115"/>
      <c r="BZ3244" s="115"/>
      <c r="CA3244" s="115"/>
      <c r="CB3244" s="115"/>
      <c r="CC3244" s="115"/>
      <c r="CD3244" s="115"/>
      <c r="CE3244" s="115"/>
      <c r="CF3244" s="115"/>
      <c r="CG3244" s="115"/>
      <c r="CH3244" s="115"/>
      <c r="CI3244" s="115"/>
      <c r="CJ3244" s="115"/>
      <c r="CK3244" s="115"/>
      <c r="CL3244" s="115"/>
      <c r="CM3244" s="115"/>
      <c r="CN3244" s="115"/>
      <c r="CO3244" s="115"/>
      <c r="CP3244" s="115"/>
      <c r="CQ3244" s="115"/>
      <c r="CR3244" s="115"/>
      <c r="CS3244" s="115"/>
      <c r="CT3244" s="115"/>
      <c r="CU3244" s="115"/>
      <c r="CV3244" s="115"/>
      <c r="CW3244" s="115"/>
      <c r="CX3244" s="115"/>
      <c r="CY3244" s="115"/>
      <c r="CZ3244" s="115"/>
      <c r="DA3244" s="115"/>
      <c r="DB3244" s="115"/>
      <c r="DC3244" s="115"/>
      <c r="DD3244" s="115"/>
      <c r="DE3244" s="115"/>
      <c r="DF3244" s="115"/>
      <c r="DG3244" s="115"/>
    </row>
    <row r="3245" spans="55:111" hidden="1">
      <c r="BC3245" s="115"/>
      <c r="BD3245" s="115"/>
      <c r="BE3245" s="115"/>
      <c r="BF3245" s="115"/>
      <c r="BG3245" s="115"/>
      <c r="BH3245" s="115"/>
      <c r="BI3245" s="115"/>
      <c r="BJ3245" s="115"/>
      <c r="BK3245" s="115"/>
      <c r="BL3245" s="115"/>
      <c r="BM3245" s="115"/>
      <c r="BN3245" s="115"/>
      <c r="BO3245" s="115"/>
      <c r="BP3245" s="115"/>
      <c r="BQ3245" s="115"/>
      <c r="BR3245" s="115"/>
      <c r="BS3245" s="115"/>
      <c r="BT3245" s="115"/>
      <c r="BU3245" s="115"/>
      <c r="BV3245" s="115"/>
      <c r="BW3245" s="115"/>
      <c r="BX3245" s="115"/>
      <c r="BY3245" s="115"/>
      <c r="BZ3245" s="115"/>
      <c r="CA3245" s="115"/>
      <c r="CB3245" s="115"/>
      <c r="CC3245" s="115"/>
      <c r="CD3245" s="115"/>
      <c r="CE3245" s="115"/>
      <c r="CF3245" s="115"/>
      <c r="CG3245" s="115"/>
      <c r="CH3245" s="115"/>
      <c r="CI3245" s="115"/>
      <c r="CJ3245" s="115"/>
      <c r="CK3245" s="115"/>
      <c r="CL3245" s="115"/>
      <c r="CM3245" s="115"/>
      <c r="CN3245" s="115"/>
      <c r="CO3245" s="115"/>
      <c r="CP3245" s="115"/>
      <c r="CQ3245" s="115"/>
      <c r="CR3245" s="115"/>
      <c r="CS3245" s="115"/>
      <c r="CT3245" s="115"/>
      <c r="CU3245" s="115"/>
      <c r="CV3245" s="115"/>
      <c r="CW3245" s="115"/>
      <c r="CX3245" s="115"/>
      <c r="CY3245" s="115"/>
      <c r="CZ3245" s="115"/>
      <c r="DA3245" s="115"/>
      <c r="DB3245" s="115"/>
      <c r="DC3245" s="115"/>
      <c r="DD3245" s="115"/>
      <c r="DE3245" s="115"/>
      <c r="DF3245" s="115"/>
      <c r="DG3245" s="115"/>
    </row>
    <row r="3246" spans="55:111" hidden="1">
      <c r="BC3246" s="115"/>
      <c r="BD3246" s="115"/>
      <c r="BE3246" s="115"/>
      <c r="BF3246" s="115"/>
      <c r="BG3246" s="115"/>
      <c r="BH3246" s="115"/>
      <c r="BI3246" s="115"/>
      <c r="BJ3246" s="115"/>
      <c r="BK3246" s="115"/>
      <c r="BL3246" s="115"/>
      <c r="BM3246" s="115"/>
      <c r="BN3246" s="115"/>
      <c r="BO3246" s="115"/>
      <c r="BP3246" s="115"/>
      <c r="BQ3246" s="115"/>
      <c r="BR3246" s="115"/>
      <c r="BS3246" s="115"/>
      <c r="BT3246" s="115"/>
      <c r="BU3246" s="115"/>
      <c r="BV3246" s="115"/>
      <c r="BW3246" s="115"/>
      <c r="BX3246" s="115"/>
      <c r="BY3246" s="115"/>
      <c r="BZ3246" s="115"/>
      <c r="CA3246" s="115"/>
      <c r="CB3246" s="115"/>
      <c r="CC3246" s="115"/>
      <c r="CD3246" s="115"/>
      <c r="CE3246" s="115"/>
      <c r="CF3246" s="115"/>
      <c r="CG3246" s="115"/>
      <c r="CH3246" s="115"/>
      <c r="CI3246" s="115"/>
      <c r="CJ3246" s="115"/>
      <c r="CK3246" s="115"/>
      <c r="CL3246" s="115"/>
      <c r="CM3246" s="115"/>
      <c r="CN3246" s="115"/>
      <c r="CO3246" s="115"/>
      <c r="CP3246" s="115"/>
      <c r="CQ3246" s="115"/>
      <c r="CR3246" s="115"/>
      <c r="CS3246" s="115"/>
      <c r="CT3246" s="115"/>
      <c r="CU3246" s="115"/>
      <c r="CV3246" s="115"/>
      <c r="CW3246" s="115"/>
      <c r="CX3246" s="115"/>
      <c r="CY3246" s="115"/>
      <c r="CZ3246" s="115"/>
      <c r="DA3246" s="115"/>
      <c r="DB3246" s="115"/>
      <c r="DC3246" s="115"/>
      <c r="DD3246" s="115"/>
      <c r="DE3246" s="115"/>
      <c r="DF3246" s="115"/>
      <c r="DG3246" s="115"/>
    </row>
    <row r="3247" spans="55:111" hidden="1">
      <c r="BC3247" s="115"/>
      <c r="BD3247" s="115"/>
      <c r="BE3247" s="115"/>
      <c r="BF3247" s="115"/>
      <c r="BG3247" s="115"/>
      <c r="BH3247" s="115"/>
      <c r="BI3247" s="115"/>
      <c r="BJ3247" s="115"/>
      <c r="BK3247" s="115"/>
      <c r="BL3247" s="115"/>
      <c r="BM3247" s="115"/>
      <c r="BN3247" s="115"/>
      <c r="BO3247" s="115"/>
      <c r="BP3247" s="115"/>
      <c r="BQ3247" s="115"/>
      <c r="BR3247" s="115"/>
      <c r="BS3247" s="115"/>
      <c r="BT3247" s="115"/>
      <c r="BU3247" s="115"/>
      <c r="BV3247" s="115"/>
      <c r="BW3247" s="115"/>
      <c r="BX3247" s="115"/>
      <c r="BY3247" s="115"/>
      <c r="BZ3247" s="115"/>
      <c r="CA3247" s="115"/>
      <c r="CB3247" s="115"/>
      <c r="CC3247" s="115"/>
      <c r="CD3247" s="115"/>
      <c r="CE3247" s="115"/>
      <c r="CF3247" s="115"/>
      <c r="CG3247" s="115"/>
      <c r="CH3247" s="115"/>
      <c r="CI3247" s="115"/>
      <c r="CJ3247" s="115"/>
      <c r="CK3247" s="115"/>
      <c r="CL3247" s="115"/>
      <c r="CM3247" s="115"/>
      <c r="CN3247" s="115"/>
      <c r="CO3247" s="115"/>
      <c r="CP3247" s="115"/>
      <c r="CQ3247" s="115"/>
      <c r="CR3247" s="115"/>
      <c r="CS3247" s="115"/>
      <c r="CT3247" s="115"/>
      <c r="CU3247" s="115"/>
      <c r="CV3247" s="115"/>
      <c r="CW3247" s="115"/>
      <c r="CX3247" s="115"/>
      <c r="CY3247" s="115"/>
      <c r="CZ3247" s="115"/>
      <c r="DA3247" s="115"/>
      <c r="DB3247" s="115"/>
      <c r="DC3247" s="115"/>
      <c r="DD3247" s="115"/>
      <c r="DE3247" s="115"/>
      <c r="DF3247" s="115"/>
      <c r="DG3247" s="115"/>
    </row>
    <row r="3248" spans="55:111" hidden="1">
      <c r="BC3248" s="115"/>
      <c r="BD3248" s="115"/>
      <c r="BE3248" s="115"/>
      <c r="BF3248" s="115"/>
      <c r="BG3248" s="115"/>
      <c r="BH3248" s="115"/>
      <c r="BI3248" s="115"/>
      <c r="BJ3248" s="115"/>
      <c r="BK3248" s="115"/>
      <c r="BL3248" s="115"/>
      <c r="BM3248" s="115"/>
      <c r="BN3248" s="115"/>
      <c r="BO3248" s="115"/>
      <c r="BP3248" s="115"/>
      <c r="BQ3248" s="115"/>
      <c r="BR3248" s="115"/>
      <c r="BS3248" s="115"/>
      <c r="BT3248" s="115"/>
      <c r="BU3248" s="115"/>
      <c r="BV3248" s="115"/>
      <c r="BW3248" s="115"/>
      <c r="BX3248" s="115"/>
      <c r="BY3248" s="115"/>
      <c r="BZ3248" s="115"/>
      <c r="CA3248" s="115"/>
      <c r="CB3248" s="115"/>
      <c r="CC3248" s="115"/>
      <c r="CD3248" s="115"/>
      <c r="CE3248" s="115"/>
      <c r="CF3248" s="115"/>
      <c r="CG3248" s="115"/>
      <c r="CH3248" s="115"/>
      <c r="CI3248" s="115"/>
      <c r="CJ3248" s="115"/>
      <c r="CK3248" s="115"/>
      <c r="CL3248" s="115"/>
      <c r="CM3248" s="115"/>
      <c r="CN3248" s="115"/>
      <c r="CO3248" s="115"/>
      <c r="CP3248" s="115"/>
      <c r="CQ3248" s="115"/>
      <c r="CR3248" s="115"/>
      <c r="CS3248" s="115"/>
      <c r="CT3248" s="115"/>
      <c r="CU3248" s="115"/>
      <c r="CV3248" s="115"/>
      <c r="CW3248" s="115"/>
      <c r="CX3248" s="115"/>
      <c r="CY3248" s="115"/>
      <c r="CZ3248" s="115"/>
      <c r="DA3248" s="115"/>
      <c r="DB3248" s="115"/>
      <c r="DC3248" s="115"/>
      <c r="DD3248" s="115"/>
      <c r="DE3248" s="115"/>
      <c r="DF3248" s="115"/>
      <c r="DG3248" s="115"/>
    </row>
    <row r="3249" spans="55:111" hidden="1">
      <c r="BC3249" s="115"/>
      <c r="BD3249" s="115"/>
      <c r="BE3249" s="115"/>
      <c r="BF3249" s="115"/>
      <c r="BG3249" s="115"/>
      <c r="BH3249" s="115"/>
      <c r="BI3249" s="115"/>
      <c r="BJ3249" s="115"/>
      <c r="BK3249" s="115"/>
      <c r="BL3249" s="115"/>
      <c r="BM3249" s="115"/>
      <c r="BN3249" s="115"/>
      <c r="BO3249" s="115"/>
      <c r="BP3249" s="115"/>
      <c r="BQ3249" s="115"/>
      <c r="BR3249" s="115"/>
      <c r="BS3249" s="115"/>
      <c r="BT3249" s="115"/>
      <c r="BU3249" s="115"/>
      <c r="BV3249" s="115"/>
      <c r="BW3249" s="115"/>
      <c r="BX3249" s="115"/>
      <c r="BY3249" s="115"/>
      <c r="BZ3249" s="115"/>
      <c r="CA3249" s="115"/>
      <c r="CB3249" s="115"/>
      <c r="CC3249" s="115"/>
      <c r="CD3249" s="115"/>
      <c r="CE3249" s="115"/>
      <c r="CF3249" s="115"/>
      <c r="CG3249" s="115"/>
      <c r="CH3249" s="115"/>
      <c r="CI3249" s="115"/>
      <c r="CJ3249" s="115"/>
      <c r="CK3249" s="115"/>
      <c r="CL3249" s="115"/>
      <c r="CM3249" s="115"/>
      <c r="CN3249" s="115"/>
      <c r="CO3249" s="115"/>
      <c r="CP3249" s="115"/>
      <c r="CQ3249" s="115"/>
      <c r="CR3249" s="115"/>
      <c r="CS3249" s="115"/>
      <c r="CT3249" s="115"/>
      <c r="CU3249" s="115"/>
      <c r="CV3249" s="115"/>
      <c r="CW3249" s="115"/>
      <c r="CX3249" s="115"/>
      <c r="CY3249" s="115"/>
      <c r="CZ3249" s="115"/>
      <c r="DA3249" s="115"/>
      <c r="DB3249" s="115"/>
      <c r="DC3249" s="115"/>
      <c r="DD3249" s="115"/>
      <c r="DE3249" s="115"/>
      <c r="DF3249" s="115"/>
      <c r="DG3249" s="115"/>
    </row>
    <row r="3250" spans="55:111" hidden="1">
      <c r="BC3250" s="115"/>
      <c r="BD3250" s="115"/>
      <c r="BE3250" s="115"/>
      <c r="BF3250" s="115"/>
      <c r="BG3250" s="115"/>
      <c r="BH3250" s="115"/>
      <c r="BI3250" s="115"/>
      <c r="BJ3250" s="115"/>
      <c r="BK3250" s="115"/>
      <c r="BL3250" s="115"/>
      <c r="BM3250" s="115"/>
      <c r="BN3250" s="115"/>
      <c r="BO3250" s="115"/>
      <c r="BP3250" s="115"/>
      <c r="BQ3250" s="115"/>
      <c r="BR3250" s="115"/>
      <c r="BS3250" s="115"/>
      <c r="BT3250" s="115"/>
      <c r="BU3250" s="115"/>
      <c r="BV3250" s="115"/>
      <c r="BW3250" s="115"/>
      <c r="BX3250" s="115"/>
      <c r="BY3250" s="115"/>
      <c r="BZ3250" s="115"/>
      <c r="CA3250" s="115"/>
      <c r="CB3250" s="115"/>
      <c r="CC3250" s="115"/>
      <c r="CD3250" s="115"/>
      <c r="CE3250" s="115"/>
      <c r="CF3250" s="115"/>
      <c r="CG3250" s="115"/>
      <c r="CH3250" s="115"/>
      <c r="CI3250" s="115"/>
      <c r="CJ3250" s="115"/>
      <c r="CK3250" s="115"/>
      <c r="CL3250" s="115"/>
      <c r="CM3250" s="115"/>
      <c r="CN3250" s="115"/>
      <c r="CO3250" s="115"/>
      <c r="CP3250" s="115"/>
      <c r="CQ3250" s="115"/>
      <c r="CR3250" s="115"/>
      <c r="CS3250" s="115"/>
      <c r="CT3250" s="115"/>
      <c r="CU3250" s="115"/>
      <c r="CV3250" s="115"/>
      <c r="CW3250" s="115"/>
      <c r="CX3250" s="115"/>
      <c r="CY3250" s="115"/>
      <c r="CZ3250" s="115"/>
      <c r="DA3250" s="115"/>
      <c r="DB3250" s="115"/>
      <c r="DC3250" s="115"/>
      <c r="DD3250" s="115"/>
      <c r="DE3250" s="115"/>
      <c r="DF3250" s="115"/>
      <c r="DG3250" s="115"/>
    </row>
    <row r="3251" spans="55:111" hidden="1">
      <c r="BC3251" s="115"/>
      <c r="BD3251" s="115"/>
      <c r="BE3251" s="115"/>
      <c r="BF3251" s="115"/>
      <c r="BG3251" s="115"/>
      <c r="BH3251" s="115"/>
      <c r="BI3251" s="115"/>
      <c r="BJ3251" s="115"/>
      <c r="BK3251" s="115"/>
      <c r="BL3251" s="115"/>
      <c r="BM3251" s="115"/>
      <c r="BN3251" s="115"/>
      <c r="BO3251" s="115"/>
      <c r="BP3251" s="115"/>
      <c r="BQ3251" s="115"/>
      <c r="BR3251" s="115"/>
      <c r="BS3251" s="115"/>
      <c r="BT3251" s="115"/>
      <c r="BU3251" s="115"/>
      <c r="BV3251" s="115"/>
      <c r="BW3251" s="115"/>
      <c r="BX3251" s="115"/>
      <c r="BY3251" s="115"/>
      <c r="BZ3251" s="115"/>
      <c r="CA3251" s="115"/>
      <c r="CB3251" s="115"/>
      <c r="CC3251" s="115"/>
      <c r="CD3251" s="115"/>
      <c r="CE3251" s="115"/>
      <c r="CF3251" s="115"/>
      <c r="CG3251" s="115"/>
      <c r="CH3251" s="115"/>
      <c r="CI3251" s="115"/>
      <c r="CJ3251" s="115"/>
      <c r="CK3251" s="115"/>
      <c r="CL3251" s="115"/>
      <c r="CM3251" s="115"/>
      <c r="CN3251" s="115"/>
      <c r="CO3251" s="115"/>
      <c r="CP3251" s="115"/>
      <c r="CQ3251" s="115"/>
      <c r="CR3251" s="115"/>
      <c r="CS3251" s="115"/>
      <c r="CT3251" s="115"/>
      <c r="CU3251" s="115"/>
      <c r="CV3251" s="115"/>
      <c r="CW3251" s="115"/>
      <c r="CX3251" s="115"/>
      <c r="CY3251" s="115"/>
      <c r="CZ3251" s="115"/>
      <c r="DA3251" s="115"/>
      <c r="DB3251" s="115"/>
      <c r="DC3251" s="115"/>
      <c r="DD3251" s="115"/>
      <c r="DE3251" s="115"/>
      <c r="DF3251" s="115"/>
      <c r="DG3251" s="115"/>
    </row>
    <row r="3252" spans="55:111" hidden="1">
      <c r="BC3252" s="115"/>
      <c r="BD3252" s="115"/>
      <c r="BE3252" s="115"/>
      <c r="BF3252" s="115"/>
      <c r="BG3252" s="115"/>
      <c r="BH3252" s="115"/>
      <c r="BI3252" s="115"/>
      <c r="BJ3252" s="115"/>
      <c r="BK3252" s="115"/>
      <c r="BL3252" s="115"/>
      <c r="BM3252" s="115"/>
      <c r="BN3252" s="115"/>
      <c r="BO3252" s="115"/>
      <c r="BP3252" s="115"/>
      <c r="BQ3252" s="115"/>
      <c r="BR3252" s="115"/>
      <c r="BS3252" s="115"/>
      <c r="BT3252" s="115"/>
      <c r="BU3252" s="115"/>
      <c r="BV3252" s="115"/>
      <c r="BW3252" s="115"/>
      <c r="BX3252" s="115"/>
      <c r="BY3252" s="115"/>
      <c r="BZ3252" s="115"/>
      <c r="CA3252" s="115"/>
      <c r="CB3252" s="115"/>
      <c r="CC3252" s="115"/>
      <c r="CD3252" s="115"/>
      <c r="CE3252" s="115"/>
      <c r="CF3252" s="115"/>
      <c r="CG3252" s="115"/>
      <c r="CH3252" s="115"/>
      <c r="CI3252" s="115"/>
      <c r="CJ3252" s="115"/>
      <c r="CK3252" s="115"/>
      <c r="CL3252" s="115"/>
      <c r="CM3252" s="115"/>
      <c r="CN3252" s="115"/>
      <c r="CO3252" s="115"/>
      <c r="CP3252" s="115"/>
      <c r="CQ3252" s="115"/>
      <c r="CR3252" s="115"/>
      <c r="CS3252" s="115"/>
      <c r="CT3252" s="115"/>
      <c r="CU3252" s="115"/>
      <c r="CV3252" s="115"/>
      <c r="CW3252" s="115"/>
      <c r="CX3252" s="115"/>
      <c r="CY3252" s="115"/>
      <c r="CZ3252" s="115"/>
      <c r="DA3252" s="115"/>
      <c r="DB3252" s="115"/>
      <c r="DC3252" s="115"/>
      <c r="DD3252" s="115"/>
      <c r="DE3252" s="115"/>
      <c r="DF3252" s="115"/>
      <c r="DG3252" s="115"/>
    </row>
    <row r="3253" spans="55:111" hidden="1">
      <c r="BC3253" s="115"/>
      <c r="BD3253" s="115"/>
      <c r="BE3253" s="115"/>
      <c r="BF3253" s="115"/>
      <c r="BG3253" s="115"/>
      <c r="BH3253" s="115"/>
      <c r="BI3253" s="115"/>
      <c r="BJ3253" s="115"/>
      <c r="BK3253" s="115"/>
      <c r="BL3253" s="115"/>
      <c r="BM3253" s="115"/>
      <c r="BN3253" s="115"/>
      <c r="BO3253" s="115"/>
      <c r="BP3253" s="115"/>
      <c r="BQ3253" s="115"/>
      <c r="BR3253" s="115"/>
      <c r="BS3253" s="115"/>
      <c r="BT3253" s="115"/>
      <c r="BU3253" s="115"/>
      <c r="BV3253" s="115"/>
      <c r="BW3253" s="115"/>
      <c r="BX3253" s="115"/>
      <c r="BY3253" s="115"/>
      <c r="BZ3253" s="115"/>
      <c r="CA3253" s="115"/>
      <c r="CB3253" s="115"/>
      <c r="CC3253" s="115"/>
      <c r="CD3253" s="115"/>
      <c r="CE3253" s="115"/>
      <c r="CF3253" s="115"/>
      <c r="CG3253" s="115"/>
      <c r="CH3253" s="115"/>
      <c r="CI3253" s="115"/>
      <c r="CJ3253" s="115"/>
      <c r="CK3253" s="115"/>
      <c r="CL3253" s="115"/>
      <c r="CM3253" s="115"/>
      <c r="CN3253" s="115"/>
      <c r="CO3253" s="115"/>
      <c r="CP3253" s="115"/>
      <c r="CQ3253" s="115"/>
      <c r="CR3253" s="115"/>
      <c r="CS3253" s="115"/>
      <c r="CT3253" s="115"/>
      <c r="CU3253" s="115"/>
      <c r="CV3253" s="115"/>
      <c r="CW3253" s="115"/>
      <c r="CX3253" s="115"/>
      <c r="CY3253" s="115"/>
      <c r="CZ3253" s="115"/>
      <c r="DA3253" s="115"/>
      <c r="DB3253" s="115"/>
      <c r="DC3253" s="115"/>
      <c r="DD3253" s="115"/>
      <c r="DE3253" s="115"/>
      <c r="DF3253" s="115"/>
      <c r="DG3253" s="115"/>
    </row>
    <row r="3254" spans="55:111" hidden="1">
      <c r="BC3254" s="115"/>
      <c r="BD3254" s="115"/>
      <c r="BE3254" s="115"/>
      <c r="BF3254" s="115"/>
      <c r="BG3254" s="115"/>
      <c r="BH3254" s="115"/>
      <c r="BI3254" s="115"/>
      <c r="BJ3254" s="115"/>
      <c r="BK3254" s="115"/>
      <c r="BL3254" s="115"/>
      <c r="BM3254" s="115"/>
      <c r="BN3254" s="115"/>
      <c r="BO3254" s="115"/>
      <c r="BP3254" s="115"/>
      <c r="BQ3254" s="115"/>
      <c r="BR3254" s="115"/>
      <c r="BS3254" s="115"/>
      <c r="BT3254" s="115"/>
      <c r="BU3254" s="115"/>
      <c r="BV3254" s="115"/>
      <c r="BW3254" s="115"/>
      <c r="BX3254" s="115"/>
      <c r="BY3254" s="115"/>
      <c r="BZ3254" s="115"/>
      <c r="CA3254" s="115"/>
      <c r="CB3254" s="115"/>
      <c r="CC3254" s="115"/>
      <c r="CD3254" s="115"/>
      <c r="CE3254" s="115"/>
      <c r="CF3254" s="115"/>
      <c r="CG3254" s="115"/>
      <c r="CH3254" s="115"/>
      <c r="CI3254" s="115"/>
      <c r="CJ3254" s="115"/>
      <c r="CK3254" s="115"/>
      <c r="CL3254" s="115"/>
      <c r="CM3254" s="115"/>
      <c r="CN3254" s="115"/>
      <c r="CO3254" s="115"/>
      <c r="CP3254" s="115"/>
      <c r="CQ3254" s="115"/>
      <c r="CR3254" s="115"/>
      <c r="CS3254" s="115"/>
      <c r="CT3254" s="115"/>
      <c r="CU3254" s="115"/>
      <c r="CV3254" s="115"/>
      <c r="CW3254" s="115"/>
      <c r="CX3254" s="115"/>
      <c r="CY3254" s="115"/>
      <c r="CZ3254" s="115"/>
      <c r="DA3254" s="115"/>
      <c r="DB3254" s="115"/>
      <c r="DC3254" s="115"/>
      <c r="DD3254" s="115"/>
      <c r="DE3254" s="115"/>
      <c r="DF3254" s="115"/>
      <c r="DG3254" s="115"/>
    </row>
    <row r="3255" spans="55:111" hidden="1">
      <c r="BC3255" s="115"/>
      <c r="BD3255" s="115"/>
      <c r="BE3255" s="115"/>
      <c r="BF3255" s="115"/>
      <c r="BG3255" s="115"/>
      <c r="BH3255" s="115"/>
      <c r="BI3255" s="115"/>
      <c r="BJ3255" s="115"/>
      <c r="BK3255" s="115"/>
      <c r="BL3255" s="115"/>
      <c r="BM3255" s="115"/>
      <c r="BN3255" s="115"/>
      <c r="BO3255" s="115"/>
      <c r="BP3255" s="115"/>
      <c r="BQ3255" s="115"/>
      <c r="BR3255" s="115"/>
      <c r="BS3255" s="115"/>
      <c r="BT3255" s="115"/>
      <c r="BU3255" s="115"/>
      <c r="BV3255" s="115"/>
      <c r="BW3255" s="115"/>
      <c r="BX3255" s="115"/>
      <c r="BY3255" s="115"/>
      <c r="BZ3255" s="115"/>
      <c r="CA3255" s="115"/>
      <c r="CB3255" s="115"/>
      <c r="CC3255" s="115"/>
      <c r="CD3255" s="115"/>
      <c r="CE3255" s="115"/>
      <c r="CF3255" s="115"/>
      <c r="CG3255" s="115"/>
      <c r="CH3255" s="115"/>
      <c r="CI3255" s="115"/>
      <c r="CJ3255" s="115"/>
      <c r="CK3255" s="115"/>
      <c r="CL3255" s="115"/>
      <c r="CM3255" s="115"/>
      <c r="CN3255" s="115"/>
      <c r="CO3255" s="115"/>
      <c r="CP3255" s="115"/>
      <c r="CQ3255" s="115"/>
      <c r="CR3255" s="115"/>
      <c r="CS3255" s="115"/>
      <c r="CT3255" s="115"/>
      <c r="CU3255" s="115"/>
      <c r="CV3255" s="115"/>
      <c r="CW3255" s="115"/>
      <c r="CX3255" s="115"/>
      <c r="CY3255" s="115"/>
      <c r="CZ3255" s="115"/>
      <c r="DA3255" s="115"/>
      <c r="DB3255" s="115"/>
      <c r="DC3255" s="115"/>
      <c r="DD3255" s="115"/>
      <c r="DE3255" s="115"/>
      <c r="DF3255" s="115"/>
      <c r="DG3255" s="115"/>
    </row>
    <row r="3256" spans="55:111" hidden="1">
      <c r="BC3256" s="115"/>
      <c r="BD3256" s="115"/>
      <c r="BE3256" s="115"/>
      <c r="BF3256" s="115"/>
      <c r="BG3256" s="115"/>
      <c r="BH3256" s="115"/>
      <c r="BI3256" s="115"/>
      <c r="BJ3256" s="115"/>
      <c r="BK3256" s="115"/>
      <c r="BL3256" s="115"/>
      <c r="BM3256" s="115"/>
      <c r="BN3256" s="115"/>
      <c r="BO3256" s="115"/>
      <c r="BP3256" s="115"/>
      <c r="BQ3256" s="115"/>
      <c r="BR3256" s="115"/>
      <c r="BS3256" s="115"/>
      <c r="BT3256" s="115"/>
      <c r="BU3256" s="115"/>
      <c r="BV3256" s="115"/>
      <c r="BW3256" s="115"/>
      <c r="BX3256" s="115"/>
      <c r="BY3256" s="115"/>
      <c r="BZ3256" s="115"/>
      <c r="CA3256" s="115"/>
      <c r="CB3256" s="115"/>
      <c r="CC3256" s="115"/>
      <c r="CD3256" s="115"/>
      <c r="CE3256" s="115"/>
      <c r="CF3256" s="115"/>
      <c r="CG3256" s="115"/>
      <c r="CH3256" s="115"/>
      <c r="CI3256" s="115"/>
      <c r="CJ3256" s="115"/>
      <c r="CK3256" s="115"/>
      <c r="CL3256" s="115"/>
      <c r="CM3256" s="115"/>
      <c r="CN3256" s="115"/>
      <c r="CO3256" s="115"/>
      <c r="CP3256" s="115"/>
      <c r="CQ3256" s="115"/>
      <c r="CR3256" s="115"/>
      <c r="CS3256" s="115"/>
      <c r="CT3256" s="115"/>
      <c r="CU3256" s="115"/>
      <c r="CV3256" s="115"/>
      <c r="CW3256" s="115"/>
      <c r="CX3256" s="115"/>
      <c r="CY3256" s="115"/>
      <c r="CZ3256" s="115"/>
      <c r="DA3256" s="115"/>
      <c r="DB3256" s="115"/>
      <c r="DC3256" s="115"/>
      <c r="DD3256" s="115"/>
      <c r="DE3256" s="115"/>
      <c r="DF3256" s="115"/>
      <c r="DG3256" s="115"/>
    </row>
    <row r="3257" spans="55:111" hidden="1">
      <c r="BC3257" s="115"/>
      <c r="BD3257" s="115"/>
      <c r="BE3257" s="115"/>
      <c r="BF3257" s="115"/>
      <c r="BG3257" s="115"/>
      <c r="BH3257" s="115"/>
      <c r="BI3257" s="115"/>
      <c r="BJ3257" s="115"/>
      <c r="BK3257" s="115"/>
      <c r="BL3257" s="115"/>
      <c r="BM3257" s="115"/>
      <c r="BN3257" s="115"/>
      <c r="BO3257" s="115"/>
      <c r="BP3257" s="115"/>
      <c r="BQ3257" s="115"/>
      <c r="BR3257" s="115"/>
      <c r="BS3257" s="115"/>
      <c r="BT3257" s="115"/>
      <c r="BU3257" s="115"/>
      <c r="BV3257" s="115"/>
      <c r="BW3257" s="115"/>
      <c r="BX3257" s="115"/>
      <c r="BY3257" s="115"/>
      <c r="BZ3257" s="115"/>
      <c r="CA3257" s="115"/>
      <c r="CB3257" s="115"/>
      <c r="CC3257" s="115"/>
      <c r="CD3257" s="115"/>
      <c r="CE3257" s="115"/>
      <c r="CF3257" s="115"/>
      <c r="CG3257" s="115"/>
      <c r="CH3257" s="115"/>
      <c r="CI3257" s="115"/>
      <c r="CJ3257" s="115"/>
      <c r="CK3257" s="115"/>
      <c r="CL3257" s="115"/>
      <c r="CM3257" s="115"/>
      <c r="CN3257" s="115"/>
      <c r="CO3257" s="115"/>
      <c r="CP3257" s="115"/>
      <c r="CQ3257" s="115"/>
      <c r="CR3257" s="115"/>
      <c r="CS3257" s="115"/>
      <c r="CT3257" s="115"/>
      <c r="CU3257" s="115"/>
      <c r="CV3257" s="115"/>
      <c r="CW3257" s="115"/>
      <c r="CX3257" s="115"/>
      <c r="CY3257" s="115"/>
      <c r="CZ3257" s="115"/>
      <c r="DA3257" s="115"/>
      <c r="DB3257" s="115"/>
      <c r="DC3257" s="115"/>
      <c r="DD3257" s="115"/>
      <c r="DE3257" s="115"/>
      <c r="DF3257" s="115"/>
      <c r="DG3257" s="115"/>
    </row>
    <row r="3258" spans="55:111" hidden="1">
      <c r="BC3258" s="115"/>
      <c r="BD3258" s="115"/>
      <c r="BE3258" s="115"/>
      <c r="BF3258" s="115"/>
      <c r="BG3258" s="115"/>
      <c r="BH3258" s="115"/>
      <c r="BI3258" s="115"/>
      <c r="BJ3258" s="115"/>
      <c r="BK3258" s="115"/>
      <c r="BL3258" s="115"/>
      <c r="BM3258" s="115"/>
      <c r="BN3258" s="115"/>
      <c r="BO3258" s="115"/>
      <c r="BP3258" s="115"/>
      <c r="BQ3258" s="115"/>
      <c r="BR3258" s="115"/>
      <c r="BS3258" s="115"/>
      <c r="BT3258" s="115"/>
      <c r="BU3258" s="115"/>
      <c r="BV3258" s="115"/>
      <c r="BW3258" s="115"/>
      <c r="BX3258" s="115"/>
      <c r="BY3258" s="115"/>
      <c r="BZ3258" s="115"/>
      <c r="CA3258" s="115"/>
      <c r="CB3258" s="115"/>
      <c r="CC3258" s="115"/>
      <c r="CD3258" s="115"/>
      <c r="CE3258" s="115"/>
      <c r="CF3258" s="115"/>
      <c r="CG3258" s="115"/>
      <c r="CH3258" s="115"/>
      <c r="CI3258" s="115"/>
      <c r="CJ3258" s="115"/>
      <c r="CK3258" s="115"/>
      <c r="CL3258" s="115"/>
      <c r="CM3258" s="115"/>
      <c r="CN3258" s="115"/>
      <c r="CO3258" s="115"/>
      <c r="CP3258" s="115"/>
      <c r="CQ3258" s="115"/>
      <c r="CR3258" s="115"/>
      <c r="CS3258" s="115"/>
      <c r="CT3258" s="115"/>
      <c r="CU3258" s="115"/>
      <c r="CV3258" s="115"/>
      <c r="CW3258" s="115"/>
      <c r="CX3258" s="115"/>
      <c r="CY3258" s="115"/>
      <c r="CZ3258" s="115"/>
      <c r="DA3258" s="115"/>
      <c r="DB3258" s="115"/>
      <c r="DC3258" s="115"/>
      <c r="DD3258" s="115"/>
      <c r="DE3258" s="115"/>
      <c r="DF3258" s="115"/>
      <c r="DG3258" s="115"/>
    </row>
    <row r="3259" spans="55:111" hidden="1">
      <c r="BC3259" s="115"/>
      <c r="BD3259" s="115"/>
      <c r="BE3259" s="115"/>
      <c r="BF3259" s="115"/>
      <c r="BG3259" s="115"/>
      <c r="BH3259" s="115"/>
      <c r="BI3259" s="115"/>
      <c r="BJ3259" s="115"/>
      <c r="BK3259" s="115"/>
      <c r="BL3259" s="115"/>
      <c r="BM3259" s="115"/>
      <c r="BN3259" s="115"/>
      <c r="BO3259" s="115"/>
      <c r="BP3259" s="115"/>
      <c r="BQ3259" s="115"/>
      <c r="BR3259" s="115"/>
      <c r="BS3259" s="115"/>
      <c r="BT3259" s="115"/>
      <c r="BU3259" s="115"/>
      <c r="BV3259" s="115"/>
      <c r="BW3259" s="115"/>
      <c r="BX3259" s="115"/>
      <c r="BY3259" s="115"/>
      <c r="BZ3259" s="115"/>
      <c r="CA3259" s="115"/>
      <c r="CB3259" s="115"/>
      <c r="CC3259" s="115"/>
      <c r="CD3259" s="115"/>
      <c r="CE3259" s="115"/>
      <c r="CF3259" s="115"/>
      <c r="CG3259" s="115"/>
      <c r="CH3259" s="115"/>
      <c r="CI3259" s="115"/>
      <c r="CJ3259" s="115"/>
      <c r="CK3259" s="115"/>
      <c r="CL3259" s="115"/>
      <c r="CM3259" s="115"/>
      <c r="CN3259" s="115"/>
      <c r="CO3259" s="115"/>
      <c r="CP3259" s="115"/>
      <c r="CQ3259" s="115"/>
      <c r="CR3259" s="115"/>
      <c r="CS3259" s="115"/>
      <c r="CT3259" s="115"/>
      <c r="CU3259" s="115"/>
      <c r="CV3259" s="115"/>
      <c r="CW3259" s="115"/>
      <c r="CX3259" s="115"/>
      <c r="CY3259" s="115"/>
      <c r="CZ3259" s="115"/>
      <c r="DA3259" s="115"/>
      <c r="DB3259" s="115"/>
      <c r="DC3259" s="115"/>
      <c r="DD3259" s="115"/>
      <c r="DE3259" s="115"/>
      <c r="DF3259" s="115"/>
      <c r="DG3259" s="115"/>
    </row>
    <row r="3260" spans="55:111" hidden="1">
      <c r="BC3260" s="115"/>
      <c r="BD3260" s="115"/>
      <c r="BE3260" s="115"/>
      <c r="BF3260" s="115"/>
      <c r="BG3260" s="115"/>
      <c r="BH3260" s="115"/>
      <c r="BI3260" s="115"/>
      <c r="BJ3260" s="115"/>
      <c r="BK3260" s="115"/>
      <c r="BL3260" s="115"/>
      <c r="BM3260" s="115"/>
      <c r="BN3260" s="115"/>
      <c r="BO3260" s="115"/>
      <c r="BP3260" s="115"/>
      <c r="BQ3260" s="115"/>
      <c r="BR3260" s="115"/>
      <c r="BS3260" s="115"/>
      <c r="BT3260" s="115"/>
      <c r="BU3260" s="115"/>
      <c r="BV3260" s="115"/>
      <c r="BW3260" s="115"/>
      <c r="BX3260" s="115"/>
      <c r="BY3260" s="115"/>
      <c r="BZ3260" s="115"/>
      <c r="CA3260" s="115"/>
      <c r="CB3260" s="115"/>
      <c r="CC3260" s="115"/>
      <c r="CD3260" s="115"/>
      <c r="CE3260" s="115"/>
      <c r="CF3260" s="115"/>
      <c r="CG3260" s="115"/>
      <c r="CH3260" s="115"/>
      <c r="CI3260" s="115"/>
      <c r="CJ3260" s="115"/>
      <c r="CK3260" s="115"/>
      <c r="CL3260" s="115"/>
      <c r="CM3260" s="115"/>
      <c r="CN3260" s="115"/>
      <c r="CO3260" s="115"/>
      <c r="CP3260" s="115"/>
      <c r="CQ3260" s="115"/>
      <c r="CR3260" s="115"/>
      <c r="CS3260" s="115"/>
      <c r="CT3260" s="115"/>
      <c r="CU3260" s="115"/>
      <c r="CV3260" s="115"/>
      <c r="CW3260" s="115"/>
      <c r="CX3260" s="115"/>
      <c r="CY3260" s="115"/>
      <c r="CZ3260" s="115"/>
      <c r="DA3260" s="115"/>
      <c r="DB3260" s="115"/>
      <c r="DC3260" s="115"/>
      <c r="DD3260" s="115"/>
      <c r="DE3260" s="115"/>
      <c r="DF3260" s="115"/>
      <c r="DG3260" s="115"/>
    </row>
    <row r="3261" spans="55:111" hidden="1">
      <c r="BC3261" s="115"/>
      <c r="BD3261" s="115"/>
      <c r="BE3261" s="115"/>
      <c r="BF3261" s="115"/>
      <c r="BG3261" s="115"/>
      <c r="BH3261" s="115"/>
      <c r="BI3261" s="115"/>
      <c r="BJ3261" s="115"/>
      <c r="BK3261" s="115"/>
      <c r="BL3261" s="115"/>
      <c r="BM3261" s="115"/>
      <c r="BN3261" s="115"/>
      <c r="BO3261" s="115"/>
      <c r="BP3261" s="115"/>
      <c r="BQ3261" s="115"/>
      <c r="BR3261" s="115"/>
      <c r="BS3261" s="115"/>
      <c r="BT3261" s="115"/>
      <c r="BU3261" s="115"/>
      <c r="BV3261" s="115"/>
      <c r="BW3261" s="115"/>
      <c r="BX3261" s="115"/>
      <c r="BY3261" s="115"/>
      <c r="BZ3261" s="115"/>
      <c r="CA3261" s="115"/>
      <c r="CB3261" s="115"/>
      <c r="CC3261" s="115"/>
      <c r="CD3261" s="115"/>
      <c r="CE3261" s="115"/>
      <c r="CF3261" s="115"/>
      <c r="CG3261" s="115"/>
      <c r="CH3261" s="115"/>
      <c r="CI3261" s="115"/>
      <c r="CJ3261" s="115"/>
      <c r="CK3261" s="115"/>
      <c r="CL3261" s="115"/>
      <c r="CM3261" s="115"/>
      <c r="CN3261" s="115"/>
      <c r="CO3261" s="115"/>
      <c r="CP3261" s="115"/>
      <c r="CQ3261" s="115"/>
      <c r="CR3261" s="115"/>
      <c r="CS3261" s="115"/>
      <c r="CT3261" s="115"/>
      <c r="CU3261" s="115"/>
      <c r="CV3261" s="115"/>
      <c r="CW3261" s="115"/>
      <c r="CX3261" s="115"/>
      <c r="CY3261" s="115"/>
      <c r="CZ3261" s="115"/>
      <c r="DA3261" s="115"/>
      <c r="DB3261" s="115"/>
      <c r="DC3261" s="115"/>
      <c r="DD3261" s="115"/>
      <c r="DE3261" s="115"/>
      <c r="DF3261" s="115"/>
      <c r="DG3261" s="115"/>
    </row>
    <row r="3262" spans="55:111" hidden="1">
      <c r="BC3262" s="115"/>
      <c r="BD3262" s="115"/>
      <c r="BE3262" s="115"/>
      <c r="BF3262" s="115"/>
      <c r="BG3262" s="115"/>
      <c r="BH3262" s="115"/>
      <c r="BI3262" s="115"/>
      <c r="BJ3262" s="115"/>
      <c r="BK3262" s="115"/>
      <c r="BL3262" s="115"/>
      <c r="BM3262" s="115"/>
      <c r="BN3262" s="115"/>
      <c r="BO3262" s="115"/>
      <c r="BP3262" s="115"/>
      <c r="BQ3262" s="115"/>
      <c r="BR3262" s="115"/>
      <c r="BS3262" s="115"/>
      <c r="BT3262" s="115"/>
      <c r="BU3262" s="115"/>
      <c r="BV3262" s="115"/>
      <c r="BW3262" s="115"/>
      <c r="BX3262" s="115"/>
      <c r="BY3262" s="115"/>
      <c r="BZ3262" s="115"/>
      <c r="CA3262" s="115"/>
      <c r="CB3262" s="115"/>
      <c r="CC3262" s="115"/>
      <c r="CD3262" s="115"/>
      <c r="CE3262" s="115"/>
      <c r="CF3262" s="115"/>
      <c r="CG3262" s="115"/>
      <c r="CH3262" s="115"/>
      <c r="CI3262" s="115"/>
      <c r="CJ3262" s="115"/>
      <c r="CK3262" s="115"/>
      <c r="CL3262" s="115"/>
      <c r="CM3262" s="115"/>
      <c r="CN3262" s="115"/>
      <c r="CO3262" s="115"/>
      <c r="CP3262" s="115"/>
      <c r="CQ3262" s="115"/>
      <c r="CR3262" s="115"/>
      <c r="CS3262" s="115"/>
      <c r="CT3262" s="115"/>
      <c r="CU3262" s="115"/>
      <c r="CV3262" s="115"/>
      <c r="CW3262" s="115"/>
      <c r="CX3262" s="115"/>
      <c r="CY3262" s="115"/>
      <c r="CZ3262" s="115"/>
      <c r="DA3262" s="115"/>
      <c r="DB3262" s="115"/>
      <c r="DC3262" s="115"/>
      <c r="DD3262" s="115"/>
      <c r="DE3262" s="115"/>
      <c r="DF3262" s="115"/>
      <c r="DG3262" s="115"/>
    </row>
    <row r="3263" spans="55:111" hidden="1">
      <c r="BC3263" s="115"/>
      <c r="BD3263" s="115"/>
      <c r="BE3263" s="115"/>
      <c r="BF3263" s="115"/>
      <c r="BG3263" s="115"/>
      <c r="BH3263" s="115"/>
      <c r="BI3263" s="115"/>
      <c r="BJ3263" s="115"/>
      <c r="BK3263" s="115"/>
      <c r="BL3263" s="115"/>
      <c r="BM3263" s="115"/>
      <c r="BN3263" s="115"/>
      <c r="BO3263" s="115"/>
      <c r="BP3263" s="115"/>
      <c r="BQ3263" s="115"/>
      <c r="BR3263" s="115"/>
      <c r="BS3263" s="115"/>
      <c r="BT3263" s="115"/>
      <c r="BU3263" s="115"/>
      <c r="BV3263" s="115"/>
      <c r="BW3263" s="115"/>
      <c r="BX3263" s="115"/>
      <c r="BY3263" s="115"/>
      <c r="BZ3263" s="115"/>
      <c r="CA3263" s="115"/>
      <c r="CB3263" s="115"/>
      <c r="CC3263" s="115"/>
      <c r="CD3263" s="115"/>
      <c r="CE3263" s="115"/>
      <c r="CF3263" s="115"/>
      <c r="CG3263" s="115"/>
      <c r="CH3263" s="115"/>
      <c r="CI3263" s="115"/>
      <c r="CJ3263" s="115"/>
      <c r="CK3263" s="115"/>
      <c r="CL3263" s="115"/>
      <c r="CM3263" s="115"/>
      <c r="CN3263" s="115"/>
      <c r="CO3263" s="115"/>
      <c r="CP3263" s="115"/>
      <c r="CQ3263" s="115"/>
      <c r="CR3263" s="115"/>
      <c r="CS3263" s="115"/>
      <c r="CT3263" s="115"/>
      <c r="CU3263" s="115"/>
      <c r="CV3263" s="115"/>
      <c r="CW3263" s="115"/>
      <c r="CX3263" s="115"/>
      <c r="CY3263" s="115"/>
      <c r="CZ3263" s="115"/>
      <c r="DA3263" s="115"/>
      <c r="DB3263" s="115"/>
      <c r="DC3263" s="115"/>
      <c r="DD3263" s="115"/>
      <c r="DE3263" s="115"/>
      <c r="DF3263" s="115"/>
      <c r="DG3263" s="115"/>
    </row>
    <row r="3264" spans="55:111" hidden="1">
      <c r="BC3264" s="115"/>
      <c r="BD3264" s="115"/>
      <c r="BE3264" s="115"/>
      <c r="BF3264" s="115"/>
      <c r="BG3264" s="115"/>
      <c r="BH3264" s="115"/>
      <c r="BI3264" s="115"/>
      <c r="BJ3264" s="115"/>
      <c r="BK3264" s="115"/>
      <c r="BL3264" s="115"/>
      <c r="BM3264" s="115"/>
      <c r="BN3264" s="115"/>
      <c r="BO3264" s="115"/>
      <c r="BP3264" s="115"/>
      <c r="BQ3264" s="115"/>
      <c r="BR3264" s="115"/>
      <c r="BS3264" s="115"/>
      <c r="BT3264" s="115"/>
      <c r="BU3264" s="115"/>
      <c r="BV3264" s="115"/>
      <c r="BW3264" s="115"/>
      <c r="BX3264" s="115"/>
      <c r="BY3264" s="115"/>
      <c r="BZ3264" s="115"/>
      <c r="CA3264" s="115"/>
      <c r="CB3264" s="115"/>
      <c r="CC3264" s="115"/>
      <c r="CD3264" s="115"/>
      <c r="CE3264" s="115"/>
      <c r="CF3264" s="115"/>
      <c r="CG3264" s="115"/>
      <c r="CH3264" s="115"/>
      <c r="CI3264" s="115"/>
      <c r="CJ3264" s="115"/>
      <c r="CK3264" s="115"/>
      <c r="CL3264" s="115"/>
      <c r="CM3264" s="115"/>
      <c r="CN3264" s="115"/>
      <c r="CO3264" s="115"/>
      <c r="CP3264" s="115"/>
      <c r="CQ3264" s="115"/>
      <c r="CR3264" s="115"/>
      <c r="CS3264" s="115"/>
      <c r="CT3264" s="115"/>
      <c r="CU3264" s="115"/>
      <c r="CV3264" s="115"/>
      <c r="CW3264" s="115"/>
      <c r="CX3264" s="115"/>
      <c r="CY3264" s="115"/>
      <c r="CZ3264" s="115"/>
      <c r="DA3264" s="115"/>
      <c r="DB3264" s="115"/>
      <c r="DC3264" s="115"/>
      <c r="DD3264" s="115"/>
      <c r="DE3264" s="115"/>
      <c r="DF3264" s="115"/>
      <c r="DG3264" s="115"/>
    </row>
    <row r="3265" spans="55:111" hidden="1">
      <c r="BC3265" s="115"/>
      <c r="BD3265" s="115"/>
      <c r="BE3265" s="115"/>
      <c r="BF3265" s="115"/>
      <c r="BG3265" s="115"/>
      <c r="BH3265" s="115"/>
      <c r="BI3265" s="115"/>
      <c r="BJ3265" s="115"/>
      <c r="BK3265" s="115"/>
      <c r="BL3265" s="115"/>
      <c r="BM3265" s="115"/>
      <c r="BN3265" s="115"/>
      <c r="BO3265" s="115"/>
      <c r="BP3265" s="115"/>
      <c r="BQ3265" s="115"/>
      <c r="BR3265" s="115"/>
      <c r="BS3265" s="115"/>
      <c r="BT3265" s="115"/>
      <c r="BU3265" s="115"/>
      <c r="BV3265" s="115"/>
      <c r="BW3265" s="115"/>
      <c r="BX3265" s="115"/>
      <c r="BY3265" s="115"/>
      <c r="BZ3265" s="115"/>
      <c r="CA3265" s="115"/>
      <c r="CB3265" s="115"/>
      <c r="CC3265" s="115"/>
      <c r="CD3265" s="115"/>
      <c r="CE3265" s="115"/>
      <c r="CF3265" s="115"/>
      <c r="CG3265" s="115"/>
      <c r="CH3265" s="115"/>
      <c r="CI3265" s="115"/>
      <c r="CJ3265" s="115"/>
      <c r="CK3265" s="115"/>
      <c r="CL3265" s="115"/>
      <c r="CM3265" s="115"/>
      <c r="CN3265" s="115"/>
      <c r="CO3265" s="115"/>
      <c r="CP3265" s="115"/>
      <c r="CQ3265" s="115"/>
      <c r="CR3265" s="115"/>
      <c r="CS3265" s="115"/>
      <c r="CT3265" s="115"/>
      <c r="CU3265" s="115"/>
      <c r="CV3265" s="115"/>
      <c r="CW3265" s="115"/>
      <c r="CX3265" s="115"/>
      <c r="CY3265" s="115"/>
      <c r="CZ3265" s="115"/>
      <c r="DA3265" s="115"/>
      <c r="DB3265" s="115"/>
      <c r="DC3265" s="115"/>
      <c r="DD3265" s="115"/>
      <c r="DE3265" s="115"/>
      <c r="DF3265" s="115"/>
      <c r="DG3265" s="115"/>
    </row>
    <row r="3266" spans="55:111" hidden="1">
      <c r="BC3266" s="115"/>
      <c r="BD3266" s="115"/>
      <c r="BE3266" s="115"/>
      <c r="BF3266" s="115"/>
      <c r="BG3266" s="115"/>
      <c r="BH3266" s="115"/>
      <c r="BI3266" s="115"/>
      <c r="BJ3266" s="115"/>
      <c r="BK3266" s="115"/>
      <c r="BL3266" s="115"/>
      <c r="BM3266" s="115"/>
      <c r="BN3266" s="115"/>
      <c r="BO3266" s="115"/>
      <c r="BP3266" s="115"/>
      <c r="BQ3266" s="115"/>
      <c r="BR3266" s="115"/>
      <c r="BS3266" s="115"/>
      <c r="BT3266" s="115"/>
      <c r="BU3266" s="115"/>
      <c r="BV3266" s="115"/>
      <c r="BW3266" s="115"/>
      <c r="BX3266" s="115"/>
      <c r="BY3266" s="115"/>
      <c r="BZ3266" s="115"/>
      <c r="CA3266" s="115"/>
      <c r="CB3266" s="115"/>
      <c r="CC3266" s="115"/>
      <c r="CD3266" s="115"/>
      <c r="CE3266" s="115"/>
      <c r="CF3266" s="115"/>
      <c r="CG3266" s="115"/>
      <c r="CH3266" s="115"/>
      <c r="CI3266" s="115"/>
      <c r="CJ3266" s="115"/>
      <c r="CK3266" s="115"/>
      <c r="CL3266" s="115"/>
      <c r="CM3266" s="115"/>
      <c r="CN3266" s="115"/>
      <c r="CO3266" s="115"/>
      <c r="CP3266" s="115"/>
      <c r="CQ3266" s="115"/>
      <c r="CR3266" s="115"/>
      <c r="CS3266" s="115"/>
      <c r="CT3266" s="115"/>
      <c r="CU3266" s="115"/>
      <c r="CV3266" s="115"/>
      <c r="CW3266" s="115"/>
      <c r="CX3266" s="115"/>
      <c r="CY3266" s="115"/>
      <c r="CZ3266" s="115"/>
      <c r="DA3266" s="115"/>
      <c r="DB3266" s="115"/>
      <c r="DC3266" s="115"/>
      <c r="DD3266" s="115"/>
      <c r="DE3266" s="115"/>
      <c r="DF3266" s="115"/>
      <c r="DG3266" s="115"/>
    </row>
    <row r="3267" spans="55:111" hidden="1">
      <c r="BC3267" s="115"/>
      <c r="BD3267" s="115"/>
      <c r="BE3267" s="115"/>
      <c r="BF3267" s="115"/>
      <c r="BG3267" s="115"/>
      <c r="BH3267" s="115"/>
      <c r="BI3267" s="115"/>
      <c r="BJ3267" s="115"/>
      <c r="BK3267" s="115"/>
      <c r="BL3267" s="115"/>
      <c r="BM3267" s="115"/>
      <c r="BN3267" s="115"/>
      <c r="BO3267" s="115"/>
      <c r="BP3267" s="115"/>
      <c r="BQ3267" s="115"/>
      <c r="BR3267" s="115"/>
      <c r="BS3267" s="115"/>
      <c r="BT3267" s="115"/>
      <c r="BU3267" s="115"/>
      <c r="BV3267" s="115"/>
      <c r="BW3267" s="115"/>
      <c r="BX3267" s="115"/>
      <c r="BY3267" s="115"/>
      <c r="BZ3267" s="115"/>
      <c r="CA3267" s="115"/>
      <c r="CB3267" s="115"/>
      <c r="CC3267" s="115"/>
      <c r="CD3267" s="115"/>
      <c r="CE3267" s="115"/>
      <c r="CF3267" s="115"/>
      <c r="CG3267" s="115"/>
      <c r="CH3267" s="115"/>
      <c r="CI3267" s="115"/>
      <c r="CJ3267" s="115"/>
      <c r="CK3267" s="115"/>
      <c r="CL3267" s="115"/>
      <c r="CM3267" s="115"/>
      <c r="CN3267" s="115"/>
      <c r="CO3267" s="115"/>
      <c r="CP3267" s="115"/>
      <c r="CQ3267" s="115"/>
      <c r="CR3267" s="115"/>
      <c r="CS3267" s="115"/>
      <c r="CT3267" s="115"/>
      <c r="CU3267" s="115"/>
      <c r="CV3267" s="115"/>
      <c r="CW3267" s="115"/>
      <c r="CX3267" s="115"/>
      <c r="CY3267" s="115"/>
      <c r="CZ3267" s="115"/>
      <c r="DA3267" s="115"/>
      <c r="DB3267" s="115"/>
      <c r="DC3267" s="115"/>
      <c r="DD3267" s="115"/>
      <c r="DE3267" s="115"/>
      <c r="DF3267" s="115"/>
      <c r="DG3267" s="115"/>
    </row>
    <row r="3268" spans="55:111" hidden="1">
      <c r="BC3268" s="115"/>
      <c r="BD3268" s="115"/>
      <c r="BE3268" s="115"/>
      <c r="BF3268" s="115"/>
      <c r="BG3268" s="115"/>
      <c r="BH3268" s="115"/>
      <c r="BI3268" s="115"/>
      <c r="BJ3268" s="115"/>
      <c r="BK3268" s="115"/>
      <c r="BL3268" s="115"/>
      <c r="BM3268" s="115"/>
      <c r="BN3268" s="115"/>
      <c r="BO3268" s="115"/>
      <c r="BP3268" s="115"/>
      <c r="BQ3268" s="115"/>
      <c r="BR3268" s="115"/>
      <c r="BS3268" s="115"/>
      <c r="BT3268" s="115"/>
      <c r="BU3268" s="115"/>
      <c r="BV3268" s="115"/>
      <c r="BW3268" s="115"/>
      <c r="BX3268" s="115"/>
      <c r="BY3268" s="115"/>
      <c r="BZ3268" s="115"/>
      <c r="CA3268" s="115"/>
      <c r="CB3268" s="115"/>
      <c r="CC3268" s="115"/>
      <c r="CD3268" s="115"/>
      <c r="CE3268" s="115"/>
      <c r="CF3268" s="115"/>
      <c r="CG3268" s="115"/>
      <c r="CH3268" s="115"/>
      <c r="CI3268" s="115"/>
      <c r="CJ3268" s="115"/>
      <c r="CK3268" s="115"/>
      <c r="CL3268" s="115"/>
      <c r="CM3268" s="115"/>
      <c r="CN3268" s="115"/>
      <c r="CO3268" s="115"/>
      <c r="CP3268" s="115"/>
      <c r="CQ3268" s="115"/>
      <c r="CR3268" s="115"/>
      <c r="CS3268" s="115"/>
      <c r="CT3268" s="115"/>
      <c r="CU3268" s="115"/>
      <c r="CV3268" s="115"/>
      <c r="CW3268" s="115"/>
      <c r="CX3268" s="115"/>
      <c r="CY3268" s="115"/>
      <c r="CZ3268" s="115"/>
      <c r="DA3268" s="115"/>
      <c r="DB3268" s="115"/>
      <c r="DC3268" s="115"/>
      <c r="DD3268" s="115"/>
      <c r="DE3268" s="115"/>
      <c r="DF3268" s="115"/>
      <c r="DG3268" s="115"/>
    </row>
    <row r="3269" spans="55:111" hidden="1">
      <c r="BC3269" s="115"/>
      <c r="BD3269" s="115"/>
      <c r="BE3269" s="115"/>
      <c r="BF3269" s="115"/>
      <c r="BG3269" s="115"/>
      <c r="BH3269" s="115"/>
      <c r="BI3269" s="115"/>
      <c r="BJ3269" s="115"/>
      <c r="BK3269" s="115"/>
      <c r="BL3269" s="115"/>
      <c r="BM3269" s="115"/>
      <c r="BN3269" s="115"/>
      <c r="BO3269" s="115"/>
      <c r="BP3269" s="115"/>
      <c r="BQ3269" s="115"/>
      <c r="BR3269" s="115"/>
      <c r="BS3269" s="115"/>
      <c r="BT3269" s="115"/>
      <c r="BU3269" s="115"/>
      <c r="BV3269" s="115"/>
      <c r="BW3269" s="115"/>
      <c r="BX3269" s="115"/>
      <c r="BY3269" s="115"/>
      <c r="BZ3269" s="115"/>
      <c r="CA3269" s="115"/>
      <c r="CB3269" s="115"/>
      <c r="CC3269" s="115"/>
      <c r="CD3269" s="115"/>
      <c r="CE3269" s="115"/>
      <c r="CF3269" s="115"/>
      <c r="CG3269" s="115"/>
      <c r="CH3269" s="115"/>
      <c r="CI3269" s="115"/>
      <c r="CJ3269" s="115"/>
      <c r="CK3269" s="115"/>
      <c r="CL3269" s="115"/>
      <c r="CM3269" s="115"/>
      <c r="CN3269" s="115"/>
      <c r="CO3269" s="115"/>
      <c r="CP3269" s="115"/>
      <c r="CQ3269" s="115"/>
      <c r="CR3269" s="115"/>
      <c r="CS3269" s="115"/>
      <c r="CT3269" s="115"/>
      <c r="CU3269" s="115"/>
      <c r="CV3269" s="115"/>
      <c r="CW3269" s="115"/>
      <c r="CX3269" s="115"/>
      <c r="CY3269" s="115"/>
      <c r="CZ3269" s="115"/>
      <c r="DA3269" s="115"/>
      <c r="DB3269" s="115"/>
      <c r="DC3269" s="115"/>
      <c r="DD3269" s="115"/>
      <c r="DE3269" s="115"/>
      <c r="DF3269" s="115"/>
      <c r="DG3269" s="115"/>
    </row>
    <row r="3270" spans="55:111" hidden="1">
      <c r="BC3270" s="115"/>
      <c r="BD3270" s="115"/>
      <c r="BE3270" s="115"/>
      <c r="BF3270" s="115"/>
      <c r="BG3270" s="115"/>
      <c r="BH3270" s="115"/>
      <c r="BI3270" s="115"/>
      <c r="BJ3270" s="115"/>
      <c r="BK3270" s="115"/>
      <c r="BL3270" s="115"/>
      <c r="BM3270" s="115"/>
      <c r="BN3270" s="115"/>
      <c r="BO3270" s="115"/>
      <c r="BP3270" s="115"/>
      <c r="BQ3270" s="115"/>
      <c r="BR3270" s="115"/>
      <c r="BS3270" s="115"/>
      <c r="BT3270" s="115"/>
      <c r="BU3270" s="115"/>
      <c r="BV3270" s="115"/>
      <c r="BW3270" s="115"/>
      <c r="BX3270" s="115"/>
      <c r="BY3270" s="115"/>
      <c r="BZ3270" s="115"/>
      <c r="CA3270" s="115"/>
      <c r="CB3270" s="115"/>
      <c r="CC3270" s="115"/>
      <c r="CD3270" s="115"/>
      <c r="CE3270" s="115"/>
      <c r="CF3270" s="115"/>
      <c r="CG3270" s="115"/>
      <c r="CH3270" s="115"/>
      <c r="CI3270" s="115"/>
      <c r="CJ3270" s="115"/>
      <c r="CK3270" s="115"/>
      <c r="CL3270" s="115"/>
      <c r="CM3270" s="115"/>
      <c r="CN3270" s="115"/>
      <c r="CO3270" s="115"/>
      <c r="CP3270" s="115"/>
      <c r="CQ3270" s="115"/>
      <c r="CR3270" s="115"/>
      <c r="CS3270" s="115"/>
      <c r="CT3270" s="115"/>
      <c r="CU3270" s="115"/>
      <c r="CV3270" s="115"/>
      <c r="CW3270" s="115"/>
      <c r="CX3270" s="115"/>
      <c r="CY3270" s="115"/>
      <c r="CZ3270" s="115"/>
      <c r="DA3270" s="115"/>
      <c r="DB3270" s="115"/>
      <c r="DC3270" s="115"/>
      <c r="DD3270" s="115"/>
      <c r="DE3270" s="115"/>
      <c r="DF3270" s="115"/>
      <c r="DG3270" s="115"/>
    </row>
    <row r="3271" spans="55:111" hidden="1">
      <c r="BC3271" s="115"/>
      <c r="BD3271" s="115"/>
      <c r="BE3271" s="115"/>
      <c r="BF3271" s="115"/>
      <c r="BG3271" s="115"/>
      <c r="BH3271" s="115"/>
      <c r="BI3271" s="115"/>
      <c r="BJ3271" s="115"/>
      <c r="BK3271" s="115"/>
      <c r="BL3271" s="115"/>
      <c r="BM3271" s="115"/>
      <c r="BN3271" s="115"/>
      <c r="BO3271" s="115"/>
      <c r="BP3271" s="115"/>
      <c r="BQ3271" s="115"/>
      <c r="BR3271" s="115"/>
      <c r="BS3271" s="115"/>
      <c r="BT3271" s="115"/>
      <c r="BU3271" s="115"/>
      <c r="BV3271" s="115"/>
      <c r="BW3271" s="115"/>
      <c r="BX3271" s="115"/>
      <c r="BY3271" s="115"/>
      <c r="BZ3271" s="115"/>
      <c r="CA3271" s="115"/>
      <c r="CB3271" s="115"/>
      <c r="CC3271" s="115"/>
      <c r="CD3271" s="115"/>
      <c r="CE3271" s="115"/>
      <c r="CF3271" s="115"/>
      <c r="CG3271" s="115"/>
      <c r="CH3271" s="115"/>
      <c r="CI3271" s="115"/>
      <c r="CJ3271" s="115"/>
      <c r="CK3271" s="115"/>
      <c r="CL3271" s="115"/>
      <c r="CM3271" s="115"/>
      <c r="CN3271" s="115"/>
      <c r="CO3271" s="115"/>
      <c r="CP3271" s="115"/>
      <c r="CQ3271" s="115"/>
      <c r="CR3271" s="115"/>
      <c r="CS3271" s="115"/>
      <c r="CT3271" s="115"/>
      <c r="CU3271" s="115"/>
      <c r="CV3271" s="115"/>
      <c r="CW3271" s="115"/>
      <c r="CX3271" s="115"/>
      <c r="CY3271" s="115"/>
      <c r="CZ3271" s="115"/>
      <c r="DA3271" s="115"/>
      <c r="DB3271" s="115"/>
      <c r="DC3271" s="115"/>
      <c r="DD3271" s="115"/>
      <c r="DE3271" s="115"/>
      <c r="DF3271" s="115"/>
      <c r="DG3271" s="115"/>
    </row>
    <row r="3272" spans="55:111" hidden="1">
      <c r="BC3272" s="115"/>
      <c r="BD3272" s="115"/>
      <c r="BE3272" s="115"/>
      <c r="BF3272" s="115"/>
      <c r="BG3272" s="115"/>
      <c r="BH3272" s="115"/>
      <c r="BI3272" s="115"/>
      <c r="BJ3272" s="115"/>
      <c r="BK3272" s="115"/>
      <c r="BL3272" s="115"/>
      <c r="BM3272" s="115"/>
      <c r="BN3272" s="115"/>
      <c r="BO3272" s="115"/>
      <c r="BP3272" s="115"/>
      <c r="BQ3272" s="115"/>
      <c r="BR3272" s="115"/>
      <c r="BS3272" s="115"/>
      <c r="BT3272" s="115"/>
      <c r="BU3272" s="115"/>
      <c r="BV3272" s="115"/>
      <c r="BW3272" s="115"/>
      <c r="BX3272" s="115"/>
      <c r="BY3272" s="115"/>
      <c r="BZ3272" s="115"/>
      <c r="CA3272" s="115"/>
      <c r="CB3272" s="115"/>
      <c r="CC3272" s="115"/>
      <c r="CD3272" s="115"/>
      <c r="CE3272" s="115"/>
      <c r="CF3272" s="115"/>
      <c r="CG3272" s="115"/>
      <c r="CH3272" s="115"/>
      <c r="CI3272" s="115"/>
      <c r="CJ3272" s="115"/>
      <c r="CK3272" s="115"/>
      <c r="CL3272" s="115"/>
      <c r="CM3272" s="115"/>
      <c r="CN3272" s="115"/>
      <c r="CO3272" s="115"/>
      <c r="CP3272" s="115"/>
      <c r="CQ3272" s="115"/>
      <c r="CR3272" s="115"/>
      <c r="CS3272" s="115"/>
      <c r="CT3272" s="115"/>
      <c r="CU3272" s="115"/>
      <c r="CV3272" s="115"/>
      <c r="CW3272" s="115"/>
      <c r="CX3272" s="115"/>
      <c r="CY3272" s="115"/>
      <c r="CZ3272" s="115"/>
      <c r="DA3272" s="115"/>
      <c r="DB3272" s="115"/>
      <c r="DC3272" s="115"/>
      <c r="DD3272" s="115"/>
      <c r="DE3272" s="115"/>
      <c r="DF3272" s="115"/>
      <c r="DG3272" s="115"/>
    </row>
    <row r="3273" spans="55:111" hidden="1">
      <c r="BC3273" s="115"/>
      <c r="BD3273" s="115"/>
      <c r="BE3273" s="115"/>
      <c r="BF3273" s="115"/>
      <c r="BG3273" s="115"/>
      <c r="BH3273" s="115"/>
      <c r="BI3273" s="115"/>
      <c r="BJ3273" s="115"/>
      <c r="BK3273" s="115"/>
      <c r="BL3273" s="115"/>
      <c r="BM3273" s="115"/>
      <c r="BN3273" s="115"/>
      <c r="BO3273" s="115"/>
      <c r="BP3273" s="115"/>
      <c r="BQ3273" s="115"/>
      <c r="BR3273" s="115"/>
      <c r="BS3273" s="115"/>
      <c r="BT3273" s="115"/>
      <c r="BU3273" s="115"/>
      <c r="BV3273" s="115"/>
      <c r="BW3273" s="115"/>
      <c r="BX3273" s="115"/>
      <c r="BY3273" s="115"/>
      <c r="BZ3273" s="115"/>
      <c r="CA3273" s="115"/>
      <c r="CB3273" s="115"/>
      <c r="CC3273" s="115"/>
      <c r="CD3273" s="115"/>
      <c r="CE3273" s="115"/>
      <c r="CF3273" s="115"/>
      <c r="CG3273" s="115"/>
      <c r="CH3273" s="115"/>
      <c r="CI3273" s="115"/>
      <c r="CJ3273" s="115"/>
      <c r="CK3273" s="115"/>
      <c r="CL3273" s="115"/>
      <c r="CM3273" s="115"/>
      <c r="CN3273" s="115"/>
      <c r="CO3273" s="115"/>
      <c r="CP3273" s="115"/>
      <c r="CQ3273" s="115"/>
      <c r="CR3273" s="115"/>
      <c r="CS3273" s="115"/>
      <c r="CT3273" s="115"/>
      <c r="CU3273" s="115"/>
      <c r="CV3273" s="115"/>
      <c r="CW3273" s="115"/>
      <c r="CX3273" s="115"/>
      <c r="CY3273" s="115"/>
      <c r="CZ3273" s="115"/>
      <c r="DA3273" s="115"/>
      <c r="DB3273" s="115"/>
      <c r="DC3273" s="115"/>
      <c r="DD3273" s="115"/>
      <c r="DE3273" s="115"/>
      <c r="DF3273" s="115"/>
      <c r="DG3273" s="115"/>
    </row>
    <row r="3274" spans="55:111" hidden="1">
      <c r="BC3274" s="115"/>
      <c r="BD3274" s="115"/>
      <c r="BE3274" s="115"/>
      <c r="BF3274" s="115"/>
      <c r="BG3274" s="115"/>
      <c r="BH3274" s="115"/>
      <c r="BI3274" s="115"/>
      <c r="BJ3274" s="115"/>
      <c r="BK3274" s="115"/>
      <c r="BL3274" s="115"/>
      <c r="BM3274" s="115"/>
      <c r="BN3274" s="115"/>
      <c r="BO3274" s="115"/>
      <c r="BP3274" s="115"/>
      <c r="BQ3274" s="115"/>
      <c r="BR3274" s="115"/>
      <c r="BS3274" s="115"/>
      <c r="BT3274" s="115"/>
      <c r="BU3274" s="115"/>
      <c r="BV3274" s="115"/>
      <c r="BW3274" s="115"/>
      <c r="BX3274" s="115"/>
      <c r="BY3274" s="115"/>
      <c r="BZ3274" s="115"/>
      <c r="CA3274" s="115"/>
      <c r="CB3274" s="115"/>
      <c r="CC3274" s="115"/>
      <c r="CD3274" s="115"/>
      <c r="CE3274" s="115"/>
      <c r="CF3274" s="115"/>
      <c r="CG3274" s="115"/>
      <c r="CH3274" s="115"/>
      <c r="CI3274" s="115"/>
      <c r="CJ3274" s="115"/>
      <c r="CK3274" s="115"/>
      <c r="CL3274" s="115"/>
      <c r="CM3274" s="115"/>
      <c r="CN3274" s="115"/>
      <c r="CO3274" s="115"/>
      <c r="CP3274" s="115"/>
      <c r="CQ3274" s="115"/>
      <c r="CR3274" s="115"/>
      <c r="CS3274" s="115"/>
      <c r="CT3274" s="115"/>
      <c r="CU3274" s="115"/>
      <c r="CV3274" s="115"/>
      <c r="CW3274" s="115"/>
      <c r="CX3274" s="115"/>
      <c r="CY3274" s="115"/>
      <c r="CZ3274" s="115"/>
      <c r="DA3274" s="115"/>
      <c r="DB3274" s="115"/>
      <c r="DC3274" s="115"/>
      <c r="DD3274" s="115"/>
      <c r="DE3274" s="115"/>
      <c r="DF3274" s="115"/>
      <c r="DG3274" s="115"/>
    </row>
    <row r="3275" spans="55:111" hidden="1">
      <c r="BC3275" s="115"/>
      <c r="BD3275" s="115"/>
      <c r="BE3275" s="115"/>
      <c r="BF3275" s="115"/>
      <c r="BG3275" s="115"/>
      <c r="BH3275" s="115"/>
      <c r="BI3275" s="115"/>
      <c r="BJ3275" s="115"/>
      <c r="BK3275" s="115"/>
      <c r="BL3275" s="115"/>
      <c r="BM3275" s="115"/>
      <c r="BN3275" s="115"/>
      <c r="BO3275" s="115"/>
      <c r="BP3275" s="115"/>
      <c r="BQ3275" s="115"/>
      <c r="BR3275" s="115"/>
      <c r="BS3275" s="115"/>
      <c r="BT3275" s="115"/>
      <c r="BU3275" s="115"/>
      <c r="BV3275" s="115"/>
      <c r="BW3275" s="115"/>
      <c r="BX3275" s="115"/>
      <c r="BY3275" s="115"/>
      <c r="BZ3275" s="115"/>
      <c r="CA3275" s="115"/>
      <c r="CB3275" s="115"/>
      <c r="CC3275" s="115"/>
      <c r="CD3275" s="115"/>
      <c r="CE3275" s="115"/>
      <c r="CF3275" s="115"/>
      <c r="CG3275" s="115"/>
      <c r="CH3275" s="115"/>
      <c r="CI3275" s="115"/>
      <c r="CJ3275" s="115"/>
      <c r="CK3275" s="115"/>
      <c r="CL3275" s="115"/>
      <c r="CM3275" s="115"/>
      <c r="CN3275" s="115"/>
      <c r="CO3275" s="115"/>
      <c r="CP3275" s="115"/>
      <c r="CQ3275" s="115"/>
      <c r="CR3275" s="115"/>
      <c r="CS3275" s="115"/>
      <c r="CT3275" s="115"/>
      <c r="CU3275" s="115"/>
      <c r="CV3275" s="115"/>
      <c r="CW3275" s="115"/>
      <c r="CX3275" s="115"/>
      <c r="CY3275" s="115"/>
      <c r="CZ3275" s="115"/>
      <c r="DA3275" s="115"/>
      <c r="DB3275" s="115"/>
      <c r="DC3275" s="115"/>
      <c r="DD3275" s="115"/>
      <c r="DE3275" s="115"/>
      <c r="DF3275" s="115"/>
      <c r="DG3275" s="115"/>
    </row>
    <row r="3276" spans="55:111" hidden="1">
      <c r="BC3276" s="115"/>
      <c r="BD3276" s="115"/>
      <c r="BE3276" s="115"/>
      <c r="BF3276" s="115"/>
      <c r="BG3276" s="115"/>
      <c r="BH3276" s="115"/>
      <c r="BI3276" s="115"/>
      <c r="BJ3276" s="115"/>
      <c r="BK3276" s="115"/>
      <c r="BL3276" s="115"/>
      <c r="BM3276" s="115"/>
      <c r="BN3276" s="115"/>
      <c r="BO3276" s="115"/>
      <c r="BP3276" s="115"/>
      <c r="BQ3276" s="115"/>
      <c r="BR3276" s="115"/>
      <c r="BS3276" s="115"/>
      <c r="BT3276" s="115"/>
      <c r="BU3276" s="115"/>
      <c r="BV3276" s="115"/>
      <c r="BW3276" s="115"/>
      <c r="BX3276" s="115"/>
      <c r="BY3276" s="115"/>
      <c r="BZ3276" s="115"/>
      <c r="CA3276" s="115"/>
      <c r="CB3276" s="115"/>
      <c r="CC3276" s="115"/>
      <c r="CD3276" s="115"/>
      <c r="CE3276" s="115"/>
      <c r="CF3276" s="115"/>
      <c r="CG3276" s="115"/>
      <c r="CH3276" s="115"/>
      <c r="CI3276" s="115"/>
      <c r="CJ3276" s="115"/>
      <c r="CK3276" s="115"/>
      <c r="CL3276" s="115"/>
      <c r="CM3276" s="115"/>
      <c r="CN3276" s="115"/>
      <c r="CO3276" s="115"/>
      <c r="CP3276" s="115"/>
      <c r="CQ3276" s="115"/>
      <c r="CR3276" s="115"/>
      <c r="CS3276" s="115"/>
      <c r="CT3276" s="115"/>
      <c r="CU3276" s="115"/>
      <c r="CV3276" s="115"/>
      <c r="CW3276" s="115"/>
      <c r="CX3276" s="115"/>
      <c r="CY3276" s="115"/>
      <c r="CZ3276" s="115"/>
      <c r="DA3276" s="115"/>
      <c r="DB3276" s="115"/>
      <c r="DC3276" s="115"/>
      <c r="DD3276" s="115"/>
      <c r="DE3276" s="115"/>
      <c r="DF3276" s="115"/>
      <c r="DG3276" s="115"/>
    </row>
    <row r="3277" spans="55:111" hidden="1">
      <c r="BC3277" s="115"/>
      <c r="BD3277" s="115"/>
      <c r="BE3277" s="115"/>
      <c r="BF3277" s="115"/>
      <c r="BG3277" s="115"/>
      <c r="BH3277" s="115"/>
      <c r="BI3277" s="115"/>
      <c r="BJ3277" s="115"/>
      <c r="BK3277" s="115"/>
      <c r="BL3277" s="115"/>
      <c r="BM3277" s="115"/>
      <c r="BN3277" s="115"/>
      <c r="BO3277" s="115"/>
      <c r="BP3277" s="115"/>
      <c r="BQ3277" s="115"/>
      <c r="BR3277" s="115"/>
      <c r="BS3277" s="115"/>
      <c r="BT3277" s="115"/>
      <c r="BU3277" s="115"/>
      <c r="BV3277" s="115"/>
      <c r="BW3277" s="115"/>
      <c r="BX3277" s="115"/>
      <c r="BY3277" s="115"/>
      <c r="BZ3277" s="115"/>
      <c r="CA3277" s="115"/>
      <c r="CB3277" s="115"/>
      <c r="CC3277" s="115"/>
      <c r="CD3277" s="115"/>
      <c r="CE3277" s="115"/>
      <c r="CF3277" s="115"/>
      <c r="CG3277" s="115"/>
      <c r="CH3277" s="115"/>
      <c r="CI3277" s="115"/>
      <c r="CJ3277" s="115"/>
      <c r="CK3277" s="115"/>
      <c r="CL3277" s="115"/>
      <c r="CM3277" s="115"/>
      <c r="CN3277" s="115"/>
      <c r="CO3277" s="115"/>
      <c r="CP3277" s="115"/>
      <c r="CQ3277" s="115"/>
      <c r="CR3277" s="115"/>
      <c r="CS3277" s="115"/>
      <c r="CT3277" s="115"/>
      <c r="CU3277" s="115"/>
      <c r="CV3277" s="115"/>
      <c r="CW3277" s="115"/>
      <c r="CX3277" s="115"/>
      <c r="CY3277" s="115"/>
      <c r="CZ3277" s="115"/>
      <c r="DA3277" s="115"/>
      <c r="DB3277" s="115"/>
      <c r="DC3277" s="115"/>
      <c r="DD3277" s="115"/>
      <c r="DE3277" s="115"/>
      <c r="DF3277" s="115"/>
      <c r="DG3277" s="115"/>
    </row>
    <row r="3278" spans="55:111" hidden="1">
      <c r="BC3278" s="115"/>
      <c r="BD3278" s="115"/>
      <c r="BE3278" s="115"/>
      <c r="BF3278" s="115"/>
      <c r="BG3278" s="115"/>
      <c r="BH3278" s="115"/>
      <c r="BI3278" s="115"/>
      <c r="BJ3278" s="115"/>
      <c r="BK3278" s="115"/>
      <c r="BL3278" s="115"/>
      <c r="BM3278" s="115"/>
      <c r="BN3278" s="115"/>
      <c r="BO3278" s="115"/>
      <c r="BP3278" s="115"/>
      <c r="BQ3278" s="115"/>
      <c r="BR3278" s="115"/>
      <c r="BS3278" s="115"/>
      <c r="BT3278" s="115"/>
      <c r="BU3278" s="115"/>
      <c r="BV3278" s="115"/>
      <c r="BW3278" s="115"/>
      <c r="BX3278" s="115"/>
      <c r="BY3278" s="115"/>
      <c r="BZ3278" s="115"/>
      <c r="CA3278" s="115"/>
      <c r="CB3278" s="115"/>
      <c r="CC3278" s="115"/>
      <c r="CD3278" s="115"/>
      <c r="CE3278" s="115"/>
      <c r="CF3278" s="115"/>
      <c r="CG3278" s="115"/>
      <c r="CH3278" s="115"/>
      <c r="CI3278" s="115"/>
      <c r="CJ3278" s="115"/>
      <c r="CK3278" s="115"/>
      <c r="CL3278" s="115"/>
      <c r="CM3278" s="115"/>
      <c r="CN3278" s="115"/>
      <c r="CO3278" s="115"/>
      <c r="CP3278" s="115"/>
      <c r="CQ3278" s="115"/>
      <c r="CR3278" s="115"/>
      <c r="CS3278" s="115"/>
      <c r="CT3278" s="115"/>
      <c r="CU3278" s="115"/>
      <c r="CV3278" s="115"/>
      <c r="CW3278" s="115"/>
      <c r="CX3278" s="115"/>
      <c r="CY3278" s="115"/>
      <c r="CZ3278" s="115"/>
      <c r="DA3278" s="115"/>
      <c r="DB3278" s="115"/>
      <c r="DC3278" s="115"/>
      <c r="DD3278" s="115"/>
      <c r="DE3278" s="115"/>
      <c r="DF3278" s="115"/>
      <c r="DG3278" s="115"/>
    </row>
    <row r="3279" spans="55:111" hidden="1">
      <c r="BC3279" s="115"/>
      <c r="BD3279" s="115"/>
      <c r="BE3279" s="115"/>
      <c r="BF3279" s="115"/>
      <c r="BG3279" s="115"/>
      <c r="BH3279" s="115"/>
      <c r="BI3279" s="115"/>
      <c r="BJ3279" s="115"/>
      <c r="BK3279" s="115"/>
      <c r="BL3279" s="115"/>
      <c r="BM3279" s="115"/>
      <c r="BN3279" s="115"/>
      <c r="BO3279" s="115"/>
      <c r="BP3279" s="115"/>
      <c r="BQ3279" s="115"/>
      <c r="BR3279" s="115"/>
      <c r="BS3279" s="115"/>
      <c r="BT3279" s="115"/>
      <c r="BU3279" s="115"/>
      <c r="BV3279" s="115"/>
      <c r="BW3279" s="115"/>
      <c r="BX3279" s="115"/>
      <c r="BY3279" s="115"/>
      <c r="BZ3279" s="115"/>
      <c r="CA3279" s="115"/>
      <c r="CB3279" s="115"/>
      <c r="CC3279" s="115"/>
      <c r="CD3279" s="115"/>
      <c r="CE3279" s="115"/>
      <c r="CF3279" s="115"/>
      <c r="CG3279" s="115"/>
      <c r="CH3279" s="115"/>
      <c r="CI3279" s="115"/>
      <c r="CJ3279" s="115"/>
      <c r="CK3279" s="115"/>
      <c r="CL3279" s="115"/>
      <c r="CM3279" s="115"/>
      <c r="CN3279" s="115"/>
      <c r="CO3279" s="115"/>
      <c r="CP3279" s="115"/>
      <c r="CQ3279" s="115"/>
      <c r="CR3279" s="115"/>
      <c r="CS3279" s="115"/>
      <c r="CT3279" s="115"/>
      <c r="CU3279" s="115"/>
      <c r="CV3279" s="115"/>
      <c r="CW3279" s="115"/>
      <c r="CX3279" s="115"/>
      <c r="CY3279" s="115"/>
      <c r="CZ3279" s="115"/>
      <c r="DA3279" s="115"/>
      <c r="DB3279" s="115"/>
      <c r="DC3279" s="115"/>
      <c r="DD3279" s="115"/>
      <c r="DE3279" s="115"/>
      <c r="DF3279" s="115"/>
      <c r="DG3279" s="115"/>
    </row>
    <row r="3280" spans="55:111" hidden="1">
      <c r="BC3280" s="115"/>
      <c r="BD3280" s="115"/>
      <c r="BE3280" s="115"/>
      <c r="BF3280" s="115"/>
      <c r="BG3280" s="115"/>
      <c r="BH3280" s="115"/>
      <c r="BI3280" s="115"/>
      <c r="BJ3280" s="115"/>
      <c r="BK3280" s="115"/>
      <c r="BL3280" s="115"/>
      <c r="BM3280" s="115"/>
      <c r="BN3280" s="115"/>
      <c r="BO3280" s="115"/>
      <c r="BP3280" s="115"/>
      <c r="BQ3280" s="115"/>
      <c r="BR3280" s="115"/>
      <c r="BS3280" s="115"/>
      <c r="BT3280" s="115"/>
      <c r="BU3280" s="115"/>
      <c r="BV3280" s="115"/>
      <c r="BW3280" s="115"/>
      <c r="BX3280" s="115"/>
      <c r="BY3280" s="115"/>
      <c r="BZ3280" s="115"/>
      <c r="CA3280" s="115"/>
      <c r="CB3280" s="115"/>
      <c r="CC3280" s="115"/>
      <c r="CD3280" s="115"/>
      <c r="CE3280" s="115"/>
      <c r="CF3280" s="115"/>
      <c r="CG3280" s="115"/>
      <c r="CH3280" s="115"/>
      <c r="CI3280" s="115"/>
      <c r="CJ3280" s="115"/>
      <c r="CK3280" s="115"/>
      <c r="CL3280" s="115"/>
      <c r="CM3280" s="115"/>
      <c r="CN3280" s="115"/>
      <c r="CO3280" s="115"/>
      <c r="CP3280" s="115"/>
      <c r="CQ3280" s="115"/>
      <c r="CR3280" s="115"/>
      <c r="CS3280" s="115"/>
      <c r="CT3280" s="115"/>
      <c r="CU3280" s="115"/>
      <c r="CV3280" s="115"/>
      <c r="CW3280" s="115"/>
      <c r="CX3280" s="115"/>
      <c r="CY3280" s="115"/>
      <c r="CZ3280" s="115"/>
      <c r="DA3280" s="115"/>
      <c r="DB3280" s="115"/>
      <c r="DC3280" s="115"/>
      <c r="DD3280" s="115"/>
      <c r="DE3280" s="115"/>
      <c r="DF3280" s="115"/>
      <c r="DG3280" s="115"/>
    </row>
    <row r="3281" spans="55:111" hidden="1">
      <c r="BC3281" s="115"/>
      <c r="BD3281" s="115"/>
      <c r="BE3281" s="115"/>
      <c r="BF3281" s="115"/>
      <c r="BG3281" s="115"/>
      <c r="BH3281" s="115"/>
      <c r="BI3281" s="115"/>
      <c r="BJ3281" s="115"/>
      <c r="BK3281" s="115"/>
      <c r="BL3281" s="115"/>
      <c r="BM3281" s="115"/>
      <c r="BN3281" s="115"/>
      <c r="BO3281" s="115"/>
      <c r="BP3281" s="115"/>
      <c r="BQ3281" s="115"/>
      <c r="BR3281" s="115"/>
      <c r="BS3281" s="115"/>
      <c r="BT3281" s="115"/>
      <c r="BU3281" s="115"/>
      <c r="BV3281" s="115"/>
      <c r="BW3281" s="115"/>
      <c r="BX3281" s="115"/>
      <c r="BY3281" s="115"/>
      <c r="BZ3281" s="115"/>
      <c r="CA3281" s="115"/>
      <c r="CB3281" s="115"/>
      <c r="CC3281" s="115"/>
      <c r="CD3281" s="115"/>
      <c r="CE3281" s="115"/>
      <c r="CF3281" s="115"/>
      <c r="CG3281" s="115"/>
      <c r="CH3281" s="115"/>
      <c r="CI3281" s="115"/>
      <c r="CJ3281" s="115"/>
      <c r="CK3281" s="115"/>
      <c r="CL3281" s="115"/>
      <c r="CM3281" s="115"/>
      <c r="CN3281" s="115"/>
      <c r="CO3281" s="115"/>
      <c r="CP3281" s="115"/>
      <c r="CQ3281" s="115"/>
      <c r="CR3281" s="115"/>
      <c r="CS3281" s="115"/>
      <c r="CT3281" s="115"/>
      <c r="CU3281" s="115"/>
      <c r="CV3281" s="115"/>
      <c r="CW3281" s="115"/>
      <c r="CX3281" s="115"/>
      <c r="CY3281" s="115"/>
      <c r="CZ3281" s="115"/>
      <c r="DA3281" s="115"/>
      <c r="DB3281" s="115"/>
      <c r="DC3281" s="115"/>
      <c r="DD3281" s="115"/>
      <c r="DE3281" s="115"/>
      <c r="DF3281" s="115"/>
      <c r="DG3281" s="115"/>
    </row>
    <row r="3282" spans="55:111" hidden="1">
      <c r="BC3282" s="115"/>
      <c r="BD3282" s="115"/>
      <c r="BE3282" s="115"/>
      <c r="BF3282" s="115"/>
      <c r="BG3282" s="115"/>
      <c r="BH3282" s="115"/>
      <c r="BI3282" s="115"/>
      <c r="BJ3282" s="115"/>
      <c r="BK3282" s="115"/>
      <c r="BL3282" s="115"/>
      <c r="BM3282" s="115"/>
      <c r="BN3282" s="115"/>
      <c r="BO3282" s="115"/>
      <c r="BP3282" s="115"/>
      <c r="BQ3282" s="115"/>
      <c r="BR3282" s="115"/>
      <c r="BS3282" s="115"/>
      <c r="BT3282" s="115"/>
      <c r="BU3282" s="115"/>
      <c r="BV3282" s="115"/>
      <c r="BW3282" s="115"/>
      <c r="BX3282" s="115"/>
      <c r="BY3282" s="115"/>
      <c r="BZ3282" s="115"/>
      <c r="CA3282" s="115"/>
      <c r="CB3282" s="115"/>
      <c r="CC3282" s="115"/>
      <c r="CD3282" s="115"/>
      <c r="CE3282" s="115"/>
      <c r="CF3282" s="115"/>
      <c r="CG3282" s="115"/>
      <c r="CH3282" s="115"/>
      <c r="CI3282" s="115"/>
      <c r="CJ3282" s="115"/>
      <c r="CK3282" s="115"/>
      <c r="CL3282" s="115"/>
      <c r="CM3282" s="115"/>
      <c r="CN3282" s="115"/>
      <c r="CO3282" s="115"/>
      <c r="CP3282" s="115"/>
      <c r="CQ3282" s="115"/>
      <c r="CR3282" s="115"/>
      <c r="CS3282" s="115"/>
      <c r="CT3282" s="115"/>
      <c r="CU3282" s="115"/>
      <c r="CV3282" s="115"/>
      <c r="CW3282" s="115"/>
      <c r="CX3282" s="115"/>
      <c r="CY3282" s="115"/>
      <c r="CZ3282" s="115"/>
      <c r="DA3282" s="115"/>
      <c r="DB3282" s="115"/>
      <c r="DC3282" s="115"/>
      <c r="DD3282" s="115"/>
      <c r="DE3282" s="115"/>
      <c r="DF3282" s="115"/>
      <c r="DG3282" s="115"/>
    </row>
    <row r="3283" spans="55:111" hidden="1">
      <c r="BC3283" s="115"/>
      <c r="BD3283" s="115"/>
      <c r="BE3283" s="115"/>
      <c r="BF3283" s="115"/>
      <c r="BG3283" s="115"/>
      <c r="BH3283" s="115"/>
      <c r="BI3283" s="115"/>
      <c r="BJ3283" s="115"/>
      <c r="BK3283" s="115"/>
      <c r="BL3283" s="115"/>
      <c r="BM3283" s="115"/>
      <c r="BN3283" s="115"/>
      <c r="BO3283" s="115"/>
      <c r="BP3283" s="115"/>
      <c r="BQ3283" s="115"/>
      <c r="BR3283" s="115"/>
      <c r="BS3283" s="115"/>
      <c r="BT3283" s="115"/>
      <c r="BU3283" s="115"/>
      <c r="BV3283" s="115"/>
      <c r="BW3283" s="115"/>
      <c r="BX3283" s="115"/>
      <c r="BY3283" s="115"/>
      <c r="BZ3283" s="115"/>
      <c r="CA3283" s="115"/>
      <c r="CB3283" s="115"/>
      <c r="CC3283" s="115"/>
      <c r="CD3283" s="115"/>
      <c r="CE3283" s="115"/>
      <c r="CF3283" s="115"/>
      <c r="CG3283" s="115"/>
      <c r="CH3283" s="115"/>
      <c r="CI3283" s="115"/>
      <c r="CJ3283" s="115"/>
      <c r="CK3283" s="115"/>
      <c r="CL3283" s="115"/>
      <c r="CM3283" s="115"/>
      <c r="CN3283" s="115"/>
      <c r="CO3283" s="115"/>
      <c r="CP3283" s="115"/>
      <c r="CQ3283" s="115"/>
      <c r="CR3283" s="115"/>
      <c r="CS3283" s="115"/>
      <c r="CT3283" s="115"/>
      <c r="CU3283" s="115"/>
      <c r="CV3283" s="115"/>
      <c r="CW3283" s="115"/>
      <c r="CX3283" s="115"/>
      <c r="CY3283" s="115"/>
      <c r="CZ3283" s="115"/>
      <c r="DA3283" s="115"/>
      <c r="DB3283" s="115"/>
      <c r="DC3283" s="115"/>
      <c r="DD3283" s="115"/>
      <c r="DE3283" s="115"/>
      <c r="DF3283" s="115"/>
      <c r="DG3283" s="115"/>
    </row>
    <row r="3284" spans="55:111" hidden="1">
      <c r="BC3284" s="115"/>
      <c r="BD3284" s="115"/>
      <c r="BE3284" s="115"/>
      <c r="BF3284" s="115"/>
      <c r="BG3284" s="115"/>
      <c r="BH3284" s="115"/>
      <c r="BI3284" s="115"/>
      <c r="BJ3284" s="115"/>
      <c r="BK3284" s="115"/>
      <c r="BL3284" s="115"/>
      <c r="BM3284" s="115"/>
      <c r="BN3284" s="115"/>
      <c r="BO3284" s="115"/>
      <c r="BP3284" s="115"/>
      <c r="BQ3284" s="115"/>
      <c r="BR3284" s="115"/>
      <c r="BS3284" s="115"/>
      <c r="BT3284" s="115"/>
      <c r="BU3284" s="115"/>
      <c r="BV3284" s="115"/>
      <c r="BW3284" s="115"/>
      <c r="BX3284" s="115"/>
      <c r="BY3284" s="115"/>
      <c r="BZ3284" s="115"/>
      <c r="CA3284" s="115"/>
      <c r="CB3284" s="115"/>
      <c r="CC3284" s="115"/>
      <c r="CD3284" s="115"/>
      <c r="CE3284" s="115"/>
      <c r="CF3284" s="115"/>
      <c r="CG3284" s="115"/>
      <c r="CH3284" s="115"/>
      <c r="CI3284" s="115"/>
      <c r="CJ3284" s="115"/>
      <c r="CK3284" s="115"/>
      <c r="CL3284" s="115"/>
      <c r="CM3284" s="115"/>
      <c r="CN3284" s="115"/>
      <c r="CO3284" s="115"/>
      <c r="CP3284" s="115"/>
      <c r="CQ3284" s="115"/>
      <c r="CR3284" s="115"/>
      <c r="CS3284" s="115"/>
      <c r="CT3284" s="115"/>
      <c r="CU3284" s="115"/>
      <c r="CV3284" s="115"/>
      <c r="CW3284" s="115"/>
      <c r="CX3284" s="115"/>
      <c r="CY3284" s="115"/>
      <c r="CZ3284" s="115"/>
      <c r="DA3284" s="115"/>
      <c r="DB3284" s="115"/>
      <c r="DC3284" s="115"/>
      <c r="DD3284" s="115"/>
      <c r="DE3284" s="115"/>
      <c r="DF3284" s="115"/>
      <c r="DG3284" s="115"/>
    </row>
    <row r="3285" spans="55:111" hidden="1">
      <c r="BC3285" s="115"/>
      <c r="BD3285" s="115"/>
      <c r="BE3285" s="115"/>
      <c r="BF3285" s="115"/>
      <c r="BG3285" s="115"/>
      <c r="BH3285" s="115"/>
      <c r="BI3285" s="115"/>
      <c r="BJ3285" s="115"/>
      <c r="BK3285" s="115"/>
      <c r="BL3285" s="115"/>
      <c r="BM3285" s="115"/>
      <c r="BN3285" s="115"/>
      <c r="BO3285" s="115"/>
      <c r="BP3285" s="115"/>
      <c r="BQ3285" s="115"/>
      <c r="BR3285" s="115"/>
      <c r="BS3285" s="115"/>
      <c r="BT3285" s="115"/>
      <c r="BU3285" s="115"/>
      <c r="BV3285" s="115"/>
      <c r="BW3285" s="115"/>
      <c r="BX3285" s="115"/>
      <c r="BY3285" s="115"/>
      <c r="BZ3285" s="115"/>
      <c r="CA3285" s="115"/>
      <c r="CB3285" s="115"/>
      <c r="CC3285" s="115"/>
      <c r="CD3285" s="115"/>
      <c r="CE3285" s="115"/>
      <c r="CF3285" s="115"/>
      <c r="CG3285" s="115"/>
      <c r="CH3285" s="115"/>
      <c r="CI3285" s="115"/>
      <c r="CJ3285" s="115"/>
      <c r="CK3285" s="115"/>
      <c r="CL3285" s="115"/>
      <c r="CM3285" s="115"/>
      <c r="CN3285" s="115"/>
      <c r="CO3285" s="115"/>
      <c r="CP3285" s="115"/>
      <c r="CQ3285" s="115"/>
      <c r="CR3285" s="115"/>
      <c r="CS3285" s="115"/>
      <c r="CT3285" s="115"/>
      <c r="CU3285" s="115"/>
      <c r="CV3285" s="115"/>
      <c r="CW3285" s="115"/>
      <c r="CX3285" s="115"/>
      <c r="CY3285" s="115"/>
      <c r="CZ3285" s="115"/>
      <c r="DA3285" s="115"/>
      <c r="DB3285" s="115"/>
      <c r="DC3285" s="115"/>
      <c r="DD3285" s="115"/>
      <c r="DE3285" s="115"/>
      <c r="DF3285" s="115"/>
      <c r="DG3285" s="115"/>
    </row>
    <row r="3286" spans="55:111" hidden="1">
      <c r="BC3286" s="115"/>
      <c r="BD3286" s="115"/>
      <c r="BE3286" s="115"/>
      <c r="BF3286" s="115"/>
      <c r="BG3286" s="115"/>
      <c r="BH3286" s="115"/>
      <c r="BI3286" s="115"/>
      <c r="BJ3286" s="115"/>
      <c r="BK3286" s="115"/>
      <c r="BL3286" s="115"/>
      <c r="BM3286" s="115"/>
      <c r="BN3286" s="115"/>
      <c r="BO3286" s="115"/>
      <c r="BP3286" s="115"/>
      <c r="BQ3286" s="115"/>
      <c r="BR3286" s="115"/>
      <c r="BS3286" s="115"/>
      <c r="BT3286" s="115"/>
      <c r="BU3286" s="115"/>
      <c r="BV3286" s="115"/>
      <c r="BW3286" s="115"/>
      <c r="BX3286" s="115"/>
      <c r="BY3286" s="115"/>
      <c r="BZ3286" s="115"/>
      <c r="CA3286" s="115"/>
      <c r="CB3286" s="115"/>
      <c r="CC3286" s="115"/>
      <c r="CD3286" s="115"/>
      <c r="CE3286" s="115"/>
      <c r="CF3286" s="115"/>
      <c r="CG3286" s="115"/>
      <c r="CH3286" s="115"/>
      <c r="CI3286" s="115"/>
      <c r="CJ3286" s="115"/>
      <c r="CK3286" s="115"/>
      <c r="CL3286" s="115"/>
      <c r="CM3286" s="115"/>
      <c r="CN3286" s="115"/>
      <c r="CO3286" s="115"/>
      <c r="CP3286" s="115"/>
      <c r="CQ3286" s="115"/>
      <c r="CR3286" s="115"/>
      <c r="CS3286" s="115"/>
      <c r="CT3286" s="115"/>
      <c r="CU3286" s="115"/>
      <c r="CV3286" s="115"/>
      <c r="CW3286" s="115"/>
      <c r="CX3286" s="115"/>
      <c r="CY3286" s="115"/>
      <c r="CZ3286" s="115"/>
      <c r="DA3286" s="115"/>
      <c r="DB3286" s="115"/>
      <c r="DC3286" s="115"/>
      <c r="DD3286" s="115"/>
      <c r="DE3286" s="115"/>
      <c r="DF3286" s="115"/>
      <c r="DG3286" s="115"/>
    </row>
    <row r="3287" spans="55:111" hidden="1">
      <c r="BC3287" s="115"/>
      <c r="BD3287" s="115"/>
      <c r="BE3287" s="115"/>
      <c r="BF3287" s="115"/>
      <c r="BG3287" s="115"/>
      <c r="BH3287" s="115"/>
      <c r="BI3287" s="115"/>
      <c r="BJ3287" s="115"/>
      <c r="BK3287" s="115"/>
      <c r="BL3287" s="115"/>
      <c r="BM3287" s="115"/>
      <c r="BN3287" s="115"/>
      <c r="BO3287" s="115"/>
      <c r="BP3287" s="115"/>
      <c r="BQ3287" s="115"/>
      <c r="BR3287" s="115"/>
      <c r="BS3287" s="115"/>
      <c r="BT3287" s="115"/>
      <c r="BU3287" s="115"/>
      <c r="BV3287" s="115"/>
      <c r="BW3287" s="115"/>
      <c r="BX3287" s="115"/>
      <c r="BY3287" s="115"/>
      <c r="BZ3287" s="115"/>
      <c r="CA3287" s="115"/>
      <c r="CB3287" s="115"/>
      <c r="CC3287" s="115"/>
      <c r="CD3287" s="115"/>
      <c r="CE3287" s="115"/>
      <c r="CF3287" s="115"/>
      <c r="CG3287" s="115"/>
      <c r="CH3287" s="115"/>
      <c r="CI3287" s="115"/>
      <c r="CJ3287" s="115"/>
      <c r="CK3287" s="115"/>
      <c r="CL3287" s="115"/>
      <c r="CM3287" s="115"/>
      <c r="CN3287" s="115"/>
      <c r="CO3287" s="115"/>
      <c r="CP3287" s="115"/>
      <c r="CQ3287" s="115"/>
      <c r="CR3287" s="115"/>
      <c r="CS3287" s="115"/>
      <c r="CT3287" s="115"/>
      <c r="CU3287" s="115"/>
      <c r="CV3287" s="115"/>
      <c r="CW3287" s="115"/>
      <c r="CX3287" s="115"/>
      <c r="CY3287" s="115"/>
      <c r="CZ3287" s="115"/>
      <c r="DA3287" s="115"/>
      <c r="DB3287" s="115"/>
      <c r="DC3287" s="115"/>
      <c r="DD3287" s="115"/>
      <c r="DE3287" s="115"/>
      <c r="DF3287" s="115"/>
      <c r="DG3287" s="115"/>
    </row>
    <row r="3288" spans="55:111" hidden="1">
      <c r="BC3288" s="115"/>
      <c r="BD3288" s="115"/>
      <c r="BE3288" s="115"/>
      <c r="BF3288" s="115"/>
      <c r="BG3288" s="115"/>
      <c r="BH3288" s="115"/>
      <c r="BI3288" s="115"/>
      <c r="BJ3288" s="115"/>
      <c r="BK3288" s="115"/>
      <c r="BL3288" s="115"/>
      <c r="BM3288" s="115"/>
      <c r="BN3288" s="115"/>
      <c r="BO3288" s="115"/>
      <c r="BP3288" s="115"/>
      <c r="BQ3288" s="115"/>
      <c r="BR3288" s="115"/>
      <c r="BS3288" s="115"/>
      <c r="BT3288" s="115"/>
      <c r="BU3288" s="115"/>
      <c r="BV3288" s="115"/>
      <c r="BW3288" s="115"/>
      <c r="BX3288" s="115"/>
      <c r="BY3288" s="115"/>
      <c r="BZ3288" s="115"/>
      <c r="CA3288" s="115"/>
      <c r="CB3288" s="115"/>
      <c r="CC3288" s="115"/>
      <c r="CD3288" s="115"/>
      <c r="CE3288" s="115"/>
      <c r="CF3288" s="115"/>
      <c r="CG3288" s="115"/>
      <c r="CH3288" s="115"/>
      <c r="CI3288" s="115"/>
      <c r="CJ3288" s="115"/>
      <c r="CK3288" s="115"/>
      <c r="CL3288" s="115"/>
      <c r="CM3288" s="115"/>
      <c r="CN3288" s="115"/>
      <c r="CO3288" s="115"/>
      <c r="CP3288" s="115"/>
      <c r="CQ3288" s="115"/>
      <c r="CR3288" s="115"/>
      <c r="CS3288" s="115"/>
      <c r="CT3288" s="115"/>
      <c r="CU3288" s="115"/>
      <c r="CV3288" s="115"/>
      <c r="CW3288" s="115"/>
      <c r="CX3288" s="115"/>
      <c r="CY3288" s="115"/>
      <c r="CZ3288" s="115"/>
      <c r="DA3288" s="115"/>
      <c r="DB3288" s="115"/>
      <c r="DC3288" s="115"/>
      <c r="DD3288" s="115"/>
      <c r="DE3288" s="115"/>
      <c r="DF3288" s="115"/>
      <c r="DG3288" s="115"/>
    </row>
    <row r="3289" spans="55:111" hidden="1">
      <c r="BC3289" s="115"/>
      <c r="BD3289" s="115"/>
      <c r="BE3289" s="115"/>
      <c r="BF3289" s="115"/>
      <c r="BG3289" s="115"/>
      <c r="BH3289" s="115"/>
      <c r="BI3289" s="115"/>
      <c r="BJ3289" s="115"/>
      <c r="BK3289" s="115"/>
      <c r="BL3289" s="115"/>
      <c r="BM3289" s="115"/>
      <c r="BN3289" s="115"/>
      <c r="BO3289" s="115"/>
      <c r="BP3289" s="115"/>
      <c r="BQ3289" s="115"/>
      <c r="BR3289" s="115"/>
      <c r="BS3289" s="115"/>
      <c r="BT3289" s="115"/>
      <c r="BU3289" s="115"/>
      <c r="BV3289" s="115"/>
      <c r="BW3289" s="115"/>
      <c r="BX3289" s="115"/>
      <c r="BY3289" s="115"/>
      <c r="BZ3289" s="115"/>
      <c r="CA3289" s="115"/>
      <c r="CB3289" s="115"/>
      <c r="CC3289" s="115"/>
      <c r="CD3289" s="115"/>
      <c r="CE3289" s="115"/>
      <c r="CF3289" s="115"/>
      <c r="CG3289" s="115"/>
      <c r="CH3289" s="115"/>
      <c r="CI3289" s="115"/>
      <c r="CJ3289" s="115"/>
      <c r="CK3289" s="115"/>
      <c r="CL3289" s="115"/>
      <c r="CM3289" s="115"/>
      <c r="CN3289" s="115"/>
      <c r="CO3289" s="115"/>
      <c r="CP3289" s="115"/>
      <c r="CQ3289" s="115"/>
      <c r="CR3289" s="115"/>
      <c r="CS3289" s="115"/>
      <c r="CT3289" s="115"/>
      <c r="CU3289" s="115"/>
      <c r="CV3289" s="115"/>
      <c r="CW3289" s="115"/>
      <c r="CX3289" s="115"/>
      <c r="CY3289" s="115"/>
      <c r="CZ3289" s="115"/>
      <c r="DA3289" s="115"/>
      <c r="DB3289" s="115"/>
      <c r="DC3289" s="115"/>
      <c r="DD3289" s="115"/>
      <c r="DE3289" s="115"/>
      <c r="DF3289" s="115"/>
      <c r="DG3289" s="115"/>
    </row>
    <row r="3290" spans="55:111" hidden="1">
      <c r="BC3290" s="115"/>
      <c r="BD3290" s="115"/>
      <c r="BE3290" s="115"/>
      <c r="BF3290" s="115"/>
      <c r="BG3290" s="115"/>
      <c r="BH3290" s="115"/>
      <c r="BI3290" s="115"/>
      <c r="BJ3290" s="115"/>
      <c r="BK3290" s="115"/>
      <c r="BL3290" s="115"/>
      <c r="BM3290" s="115"/>
      <c r="BN3290" s="115"/>
      <c r="BO3290" s="115"/>
      <c r="BP3290" s="115"/>
      <c r="BQ3290" s="115"/>
      <c r="BR3290" s="115"/>
      <c r="BS3290" s="115"/>
      <c r="BT3290" s="115"/>
      <c r="BU3290" s="115"/>
      <c r="BV3290" s="115"/>
      <c r="BW3290" s="115"/>
      <c r="BX3290" s="115"/>
      <c r="BY3290" s="115"/>
      <c r="BZ3290" s="115"/>
      <c r="CA3290" s="115"/>
      <c r="CB3290" s="115"/>
      <c r="CC3290" s="115"/>
      <c r="CD3290" s="115"/>
      <c r="CE3290" s="115"/>
      <c r="CF3290" s="115"/>
      <c r="CG3290" s="115"/>
      <c r="CH3290" s="115"/>
      <c r="CI3290" s="115"/>
      <c r="CJ3290" s="115"/>
      <c r="CK3290" s="115"/>
      <c r="CL3290" s="115"/>
      <c r="CM3290" s="115"/>
      <c r="CN3290" s="115"/>
      <c r="CO3290" s="115"/>
      <c r="CP3290" s="115"/>
      <c r="CQ3290" s="115"/>
      <c r="CR3290" s="115"/>
      <c r="CS3290" s="115"/>
      <c r="CT3290" s="115"/>
      <c r="CU3290" s="115"/>
      <c r="CV3290" s="115"/>
      <c r="CW3290" s="115"/>
      <c r="CX3290" s="115"/>
      <c r="CY3290" s="115"/>
      <c r="CZ3290" s="115"/>
      <c r="DA3290" s="115"/>
      <c r="DB3290" s="115"/>
      <c r="DC3290" s="115"/>
      <c r="DD3290" s="115"/>
      <c r="DE3290" s="115"/>
      <c r="DF3290" s="115"/>
      <c r="DG3290" s="115"/>
    </row>
    <row r="3291" spans="55:111" hidden="1">
      <c r="BC3291" s="115"/>
      <c r="BD3291" s="115"/>
      <c r="BE3291" s="115"/>
      <c r="BF3291" s="115"/>
      <c r="BG3291" s="115"/>
      <c r="BH3291" s="115"/>
      <c r="BI3291" s="115"/>
      <c r="BJ3291" s="115"/>
      <c r="BK3291" s="115"/>
      <c r="BL3291" s="115"/>
      <c r="BM3291" s="115"/>
      <c r="BN3291" s="115"/>
      <c r="BO3291" s="115"/>
      <c r="BP3291" s="115"/>
      <c r="BQ3291" s="115"/>
      <c r="BR3291" s="115"/>
      <c r="BS3291" s="115"/>
      <c r="BT3291" s="115"/>
      <c r="BU3291" s="115"/>
      <c r="BV3291" s="115"/>
      <c r="BW3291" s="115"/>
      <c r="BX3291" s="115"/>
      <c r="BY3291" s="115"/>
      <c r="BZ3291" s="115"/>
      <c r="CA3291" s="115"/>
      <c r="CB3291" s="115"/>
      <c r="CC3291" s="115"/>
      <c r="CD3291" s="115"/>
      <c r="CE3291" s="115"/>
      <c r="CF3291" s="115"/>
      <c r="CG3291" s="115"/>
      <c r="CH3291" s="115"/>
      <c r="CI3291" s="115"/>
      <c r="CJ3291" s="115"/>
      <c r="CK3291" s="115"/>
      <c r="CL3291" s="115"/>
      <c r="CM3291" s="115"/>
      <c r="CN3291" s="115"/>
      <c r="CO3291" s="115"/>
      <c r="CP3291" s="115"/>
      <c r="CQ3291" s="115"/>
      <c r="CR3291" s="115"/>
      <c r="CS3291" s="115"/>
      <c r="CT3291" s="115"/>
      <c r="CU3291" s="115"/>
      <c r="CV3291" s="115"/>
      <c r="CW3291" s="115"/>
      <c r="CX3291" s="115"/>
      <c r="CY3291" s="115"/>
      <c r="CZ3291" s="115"/>
      <c r="DA3291" s="115"/>
      <c r="DB3291" s="115"/>
      <c r="DC3291" s="115"/>
      <c r="DD3291" s="115"/>
      <c r="DE3291" s="115"/>
      <c r="DF3291" s="115"/>
      <c r="DG3291" s="115"/>
    </row>
    <row r="3292" spans="55:111" hidden="1">
      <c r="BC3292" s="115"/>
      <c r="BD3292" s="115"/>
      <c r="BE3292" s="115"/>
      <c r="BF3292" s="115"/>
      <c r="BG3292" s="115"/>
      <c r="BH3292" s="115"/>
      <c r="BI3292" s="115"/>
      <c r="BJ3292" s="115"/>
      <c r="BK3292" s="115"/>
      <c r="BL3292" s="115"/>
      <c r="BM3292" s="115"/>
      <c r="BN3292" s="115"/>
      <c r="BO3292" s="115"/>
      <c r="BP3292" s="115"/>
      <c r="BQ3292" s="115"/>
      <c r="BR3292" s="115"/>
      <c r="BS3292" s="115"/>
      <c r="BT3292" s="115"/>
      <c r="BU3292" s="115"/>
      <c r="BV3292" s="115"/>
      <c r="BW3292" s="115"/>
      <c r="BX3292" s="115"/>
      <c r="BY3292" s="115"/>
      <c r="BZ3292" s="115"/>
      <c r="CA3292" s="115"/>
      <c r="CB3292" s="115"/>
      <c r="CC3292" s="115"/>
      <c r="CD3292" s="115"/>
      <c r="CE3292" s="115"/>
      <c r="CF3292" s="115"/>
      <c r="CG3292" s="115"/>
      <c r="CH3292" s="115"/>
      <c r="CI3292" s="115"/>
      <c r="CJ3292" s="115"/>
      <c r="CK3292" s="115"/>
      <c r="CL3292" s="115"/>
      <c r="CM3292" s="115"/>
      <c r="CN3292" s="115"/>
      <c r="CO3292" s="115"/>
      <c r="CP3292" s="115"/>
      <c r="CQ3292" s="115"/>
      <c r="CR3292" s="115"/>
      <c r="CS3292" s="115"/>
      <c r="CT3292" s="115"/>
      <c r="CU3292" s="115"/>
      <c r="CV3292" s="115"/>
      <c r="CW3292" s="115"/>
      <c r="CX3292" s="115"/>
      <c r="CY3292" s="115"/>
      <c r="CZ3292" s="115"/>
      <c r="DA3292" s="115"/>
      <c r="DB3292" s="115"/>
      <c r="DC3292" s="115"/>
      <c r="DD3292" s="115"/>
      <c r="DE3292" s="115"/>
      <c r="DF3292" s="115"/>
      <c r="DG3292" s="115"/>
    </row>
    <row r="3293" spans="55:111" hidden="1">
      <c r="BC3293" s="115"/>
      <c r="BD3293" s="115"/>
      <c r="BE3293" s="115"/>
      <c r="BF3293" s="115"/>
      <c r="BG3293" s="115"/>
      <c r="BH3293" s="115"/>
      <c r="BI3293" s="115"/>
      <c r="BJ3293" s="115"/>
      <c r="BK3293" s="115"/>
      <c r="BL3293" s="115"/>
      <c r="BM3293" s="115"/>
      <c r="BN3293" s="115"/>
      <c r="BO3293" s="115"/>
      <c r="BP3293" s="115"/>
      <c r="BQ3293" s="115"/>
      <c r="BR3293" s="115"/>
      <c r="BS3293" s="115"/>
      <c r="BT3293" s="115"/>
      <c r="BU3293" s="115"/>
      <c r="BV3293" s="115"/>
      <c r="BW3293" s="115"/>
      <c r="BX3293" s="115"/>
      <c r="BY3293" s="115"/>
      <c r="BZ3293" s="115"/>
      <c r="CA3293" s="115"/>
      <c r="CB3293" s="115"/>
      <c r="CC3293" s="115"/>
      <c r="CD3293" s="115"/>
      <c r="CE3293" s="115"/>
      <c r="CF3293" s="115"/>
      <c r="CG3293" s="115"/>
      <c r="CH3293" s="115"/>
      <c r="CI3293" s="115"/>
      <c r="CJ3293" s="115"/>
      <c r="CK3293" s="115"/>
      <c r="CL3293" s="115"/>
      <c r="CM3293" s="115"/>
      <c r="CN3293" s="115"/>
      <c r="CO3293" s="115"/>
      <c r="CP3293" s="115"/>
      <c r="CQ3293" s="115"/>
      <c r="CR3293" s="115"/>
      <c r="CS3293" s="115"/>
      <c r="CT3293" s="115"/>
      <c r="CU3293" s="115"/>
      <c r="CV3293" s="115"/>
      <c r="CW3293" s="115"/>
      <c r="CX3293" s="115"/>
      <c r="CY3293" s="115"/>
      <c r="CZ3293" s="115"/>
      <c r="DA3293" s="115"/>
      <c r="DB3293" s="115"/>
      <c r="DC3293" s="115"/>
      <c r="DD3293" s="115"/>
      <c r="DE3293" s="115"/>
      <c r="DF3293" s="115"/>
      <c r="DG3293" s="115"/>
    </row>
    <row r="3294" spans="55:111" hidden="1">
      <c r="BC3294" s="115"/>
      <c r="BD3294" s="115"/>
      <c r="BE3294" s="115"/>
      <c r="BF3294" s="115"/>
      <c r="BG3294" s="115"/>
      <c r="BH3294" s="115"/>
      <c r="BI3294" s="115"/>
      <c r="BJ3294" s="115"/>
      <c r="BK3294" s="115"/>
      <c r="BL3294" s="115"/>
      <c r="BM3294" s="115"/>
      <c r="BN3294" s="115"/>
      <c r="BO3294" s="115"/>
      <c r="BP3294" s="115"/>
      <c r="BQ3294" s="115"/>
      <c r="BR3294" s="115"/>
      <c r="BS3294" s="115"/>
      <c r="BT3294" s="115"/>
      <c r="BU3294" s="115"/>
      <c r="BV3294" s="115"/>
      <c r="BW3294" s="115"/>
      <c r="BX3294" s="115"/>
      <c r="BY3294" s="115"/>
      <c r="BZ3294" s="115"/>
      <c r="CA3294" s="115"/>
      <c r="CB3294" s="115"/>
      <c r="CC3294" s="115"/>
      <c r="CD3294" s="115"/>
      <c r="CE3294" s="115"/>
      <c r="CF3294" s="115"/>
      <c r="CG3294" s="115"/>
      <c r="CH3294" s="115"/>
      <c r="CI3294" s="115"/>
      <c r="CJ3294" s="115"/>
      <c r="CK3294" s="115"/>
      <c r="CL3294" s="115"/>
      <c r="CM3294" s="115"/>
      <c r="CN3294" s="115"/>
      <c r="CO3294" s="115"/>
      <c r="CP3294" s="115"/>
      <c r="CQ3294" s="115"/>
      <c r="CR3294" s="115"/>
      <c r="CS3294" s="115"/>
      <c r="CT3294" s="115"/>
      <c r="CU3294" s="115"/>
      <c r="CV3294" s="115"/>
      <c r="CW3294" s="115"/>
      <c r="CX3294" s="115"/>
      <c r="CY3294" s="115"/>
      <c r="CZ3294" s="115"/>
      <c r="DA3294" s="115"/>
      <c r="DB3294" s="115"/>
      <c r="DC3294" s="115"/>
      <c r="DD3294" s="115"/>
      <c r="DE3294" s="115"/>
      <c r="DF3294" s="115"/>
      <c r="DG3294" s="115"/>
    </row>
    <row r="3295" spans="55:111" hidden="1">
      <c r="BC3295" s="115"/>
      <c r="BD3295" s="115"/>
      <c r="BE3295" s="115"/>
      <c r="BF3295" s="115"/>
      <c r="BG3295" s="115"/>
      <c r="BH3295" s="115"/>
      <c r="BI3295" s="115"/>
      <c r="BJ3295" s="115"/>
      <c r="BK3295" s="115"/>
      <c r="BL3295" s="115"/>
      <c r="BM3295" s="115"/>
      <c r="BN3295" s="115"/>
      <c r="BO3295" s="115"/>
      <c r="BP3295" s="115"/>
      <c r="BQ3295" s="115"/>
      <c r="BR3295" s="115"/>
      <c r="BS3295" s="115"/>
      <c r="BT3295" s="115"/>
      <c r="BU3295" s="115"/>
      <c r="BV3295" s="115"/>
      <c r="BW3295" s="115"/>
      <c r="BX3295" s="115"/>
      <c r="BY3295" s="115"/>
      <c r="BZ3295" s="115"/>
      <c r="CA3295" s="115"/>
      <c r="CB3295" s="115"/>
      <c r="CC3295" s="115"/>
      <c r="CD3295" s="115"/>
      <c r="CE3295" s="115"/>
      <c r="CF3295" s="115"/>
      <c r="CG3295" s="115"/>
      <c r="CH3295" s="115"/>
      <c r="CI3295" s="115"/>
      <c r="CJ3295" s="115"/>
      <c r="CK3295" s="115"/>
      <c r="CL3295" s="115"/>
      <c r="CM3295" s="115"/>
      <c r="CN3295" s="115"/>
      <c r="CO3295" s="115"/>
      <c r="CP3295" s="115"/>
      <c r="CQ3295" s="115"/>
      <c r="CR3295" s="115"/>
      <c r="CS3295" s="115"/>
      <c r="CT3295" s="115"/>
      <c r="CU3295" s="115"/>
      <c r="CV3295" s="115"/>
      <c r="CW3295" s="115"/>
      <c r="CX3295" s="115"/>
      <c r="CY3295" s="115"/>
      <c r="CZ3295" s="115"/>
      <c r="DA3295" s="115"/>
      <c r="DB3295" s="115"/>
      <c r="DC3295" s="115"/>
      <c r="DD3295" s="115"/>
      <c r="DE3295" s="115"/>
      <c r="DF3295" s="115"/>
      <c r="DG3295" s="115"/>
    </row>
    <row r="3296" spans="55:111" hidden="1">
      <c r="BC3296" s="115"/>
      <c r="BD3296" s="115"/>
      <c r="BE3296" s="115"/>
      <c r="BF3296" s="115"/>
      <c r="BG3296" s="115"/>
      <c r="BH3296" s="115"/>
      <c r="BI3296" s="115"/>
      <c r="BJ3296" s="115"/>
      <c r="BK3296" s="115"/>
      <c r="BL3296" s="115"/>
      <c r="BM3296" s="115"/>
      <c r="BN3296" s="115"/>
      <c r="BO3296" s="115"/>
      <c r="BP3296" s="115"/>
      <c r="BQ3296" s="115"/>
      <c r="BR3296" s="115"/>
      <c r="BS3296" s="115"/>
      <c r="BT3296" s="115"/>
      <c r="BU3296" s="115"/>
      <c r="BV3296" s="115"/>
      <c r="BW3296" s="115"/>
      <c r="BX3296" s="115"/>
      <c r="BY3296" s="115"/>
      <c r="BZ3296" s="115"/>
      <c r="CA3296" s="115"/>
      <c r="CB3296" s="115"/>
      <c r="CC3296" s="115"/>
      <c r="CD3296" s="115"/>
      <c r="CE3296" s="115"/>
      <c r="CF3296" s="115"/>
      <c r="CG3296" s="115"/>
      <c r="CH3296" s="115"/>
      <c r="CI3296" s="115"/>
      <c r="CJ3296" s="115"/>
      <c r="CK3296" s="115"/>
      <c r="CL3296" s="115"/>
      <c r="CM3296" s="115"/>
      <c r="CN3296" s="115"/>
      <c r="CO3296" s="115"/>
      <c r="CP3296" s="115"/>
      <c r="CQ3296" s="115"/>
      <c r="CR3296" s="115"/>
      <c r="CS3296" s="115"/>
      <c r="CT3296" s="115"/>
      <c r="CU3296" s="115"/>
      <c r="CV3296" s="115"/>
      <c r="CW3296" s="115"/>
      <c r="CX3296" s="115"/>
      <c r="CY3296" s="115"/>
      <c r="CZ3296" s="115"/>
      <c r="DA3296" s="115"/>
      <c r="DB3296" s="115"/>
      <c r="DC3296" s="115"/>
      <c r="DD3296" s="115"/>
      <c r="DE3296" s="115"/>
      <c r="DF3296" s="115"/>
      <c r="DG3296" s="115"/>
    </row>
    <row r="3297" spans="55:111" hidden="1">
      <c r="BC3297" s="115"/>
      <c r="BD3297" s="115"/>
      <c r="BE3297" s="115"/>
      <c r="BF3297" s="115"/>
      <c r="BG3297" s="115"/>
      <c r="BH3297" s="115"/>
      <c r="BI3297" s="115"/>
      <c r="BJ3297" s="115"/>
      <c r="BK3297" s="115"/>
      <c r="BL3297" s="115"/>
      <c r="BM3297" s="115"/>
      <c r="BN3297" s="115"/>
      <c r="BO3297" s="115"/>
      <c r="BP3297" s="115"/>
      <c r="BQ3297" s="115"/>
      <c r="BR3297" s="115"/>
      <c r="BS3297" s="115"/>
      <c r="BT3297" s="115"/>
      <c r="BU3297" s="115"/>
      <c r="BV3297" s="115"/>
      <c r="BW3297" s="115"/>
      <c r="BX3297" s="115"/>
      <c r="BY3297" s="115"/>
      <c r="BZ3297" s="115"/>
      <c r="CA3297" s="115"/>
      <c r="CB3297" s="115"/>
      <c r="CC3297" s="115"/>
      <c r="CD3297" s="115"/>
      <c r="CE3297" s="115"/>
      <c r="CF3297" s="115"/>
      <c r="CG3297" s="115"/>
      <c r="CH3297" s="115"/>
      <c r="CI3297" s="115"/>
      <c r="CJ3297" s="115"/>
      <c r="CK3297" s="115"/>
      <c r="CL3297" s="115"/>
      <c r="CM3297" s="115"/>
      <c r="CN3297" s="115"/>
      <c r="CO3297" s="115"/>
      <c r="CP3297" s="115"/>
      <c r="CQ3297" s="115"/>
      <c r="CR3297" s="115"/>
      <c r="CS3297" s="115"/>
      <c r="CT3297" s="115"/>
      <c r="CU3297" s="115"/>
      <c r="CV3297" s="115"/>
      <c r="CW3297" s="115"/>
      <c r="CX3297" s="115"/>
      <c r="CY3297" s="115"/>
      <c r="CZ3297" s="115"/>
      <c r="DA3297" s="115"/>
      <c r="DB3297" s="115"/>
      <c r="DC3297" s="115"/>
      <c r="DD3297" s="115"/>
      <c r="DE3297" s="115"/>
      <c r="DF3297" s="115"/>
      <c r="DG3297" s="115"/>
    </row>
    <row r="3298" spans="55:111" hidden="1">
      <c r="BC3298" s="115"/>
      <c r="BD3298" s="115"/>
      <c r="BE3298" s="115"/>
      <c r="BF3298" s="115"/>
      <c r="BG3298" s="115"/>
      <c r="BH3298" s="115"/>
      <c r="BI3298" s="115"/>
      <c r="BJ3298" s="115"/>
      <c r="BK3298" s="115"/>
      <c r="BL3298" s="115"/>
      <c r="BM3298" s="115"/>
      <c r="BN3298" s="115"/>
      <c r="BO3298" s="115"/>
      <c r="BP3298" s="115"/>
      <c r="BQ3298" s="115"/>
      <c r="BR3298" s="115"/>
      <c r="BS3298" s="115"/>
      <c r="BT3298" s="115"/>
      <c r="BU3298" s="115"/>
      <c r="BV3298" s="115"/>
      <c r="BW3298" s="115"/>
      <c r="BX3298" s="115"/>
      <c r="BY3298" s="115"/>
      <c r="BZ3298" s="115"/>
      <c r="CA3298" s="115"/>
      <c r="CB3298" s="115"/>
      <c r="CC3298" s="115"/>
      <c r="CD3298" s="115"/>
      <c r="CE3298" s="115"/>
      <c r="CF3298" s="115"/>
      <c r="CG3298" s="115"/>
      <c r="CH3298" s="115"/>
      <c r="CI3298" s="115"/>
      <c r="CJ3298" s="115"/>
      <c r="CK3298" s="115"/>
      <c r="CL3298" s="115"/>
      <c r="CM3298" s="115"/>
      <c r="CN3298" s="115"/>
      <c r="CO3298" s="115"/>
      <c r="CP3298" s="115"/>
      <c r="CQ3298" s="115"/>
      <c r="CR3298" s="115"/>
      <c r="CS3298" s="115"/>
      <c r="CT3298" s="115"/>
      <c r="CU3298" s="115"/>
      <c r="CV3298" s="115"/>
      <c r="CW3298" s="115"/>
      <c r="CX3298" s="115"/>
      <c r="CY3298" s="115"/>
      <c r="CZ3298" s="115"/>
      <c r="DA3298" s="115"/>
      <c r="DB3298" s="115"/>
      <c r="DC3298" s="115"/>
      <c r="DD3298" s="115"/>
      <c r="DE3298" s="115"/>
      <c r="DF3298" s="115"/>
      <c r="DG3298" s="115"/>
    </row>
    <row r="3299" spans="55:111" hidden="1">
      <c r="BC3299" s="115"/>
      <c r="BD3299" s="115"/>
      <c r="BE3299" s="115"/>
      <c r="BF3299" s="115"/>
      <c r="BG3299" s="115"/>
      <c r="BH3299" s="115"/>
      <c r="BI3299" s="115"/>
      <c r="BJ3299" s="115"/>
      <c r="BK3299" s="115"/>
      <c r="BL3299" s="115"/>
      <c r="BM3299" s="115"/>
      <c r="BN3299" s="115"/>
      <c r="BO3299" s="115"/>
      <c r="BP3299" s="115"/>
      <c r="BQ3299" s="115"/>
      <c r="BR3299" s="115"/>
      <c r="BS3299" s="115"/>
      <c r="BT3299" s="115"/>
      <c r="BU3299" s="115"/>
      <c r="BV3299" s="115"/>
      <c r="BW3299" s="115"/>
      <c r="BX3299" s="115"/>
      <c r="BY3299" s="115"/>
      <c r="BZ3299" s="115"/>
      <c r="CA3299" s="115"/>
      <c r="CB3299" s="115"/>
      <c r="CC3299" s="115"/>
      <c r="CD3299" s="115"/>
      <c r="CE3299" s="115"/>
      <c r="CF3299" s="115"/>
      <c r="CG3299" s="115"/>
      <c r="CH3299" s="115"/>
      <c r="CI3299" s="115"/>
      <c r="CJ3299" s="115"/>
      <c r="CK3299" s="115"/>
      <c r="CL3299" s="115"/>
      <c r="CM3299" s="115"/>
      <c r="CN3299" s="115"/>
      <c r="CO3299" s="115"/>
      <c r="CP3299" s="115"/>
      <c r="CQ3299" s="115"/>
      <c r="CR3299" s="115"/>
      <c r="CS3299" s="115"/>
      <c r="CT3299" s="115"/>
      <c r="CU3299" s="115"/>
      <c r="CV3299" s="115"/>
      <c r="CW3299" s="115"/>
      <c r="CX3299" s="115"/>
      <c r="CY3299" s="115"/>
      <c r="CZ3299" s="115"/>
      <c r="DA3299" s="115"/>
      <c r="DB3299" s="115"/>
      <c r="DC3299" s="115"/>
      <c r="DD3299" s="115"/>
      <c r="DE3299" s="115"/>
      <c r="DF3299" s="115"/>
      <c r="DG3299" s="115"/>
    </row>
    <row r="3300" spans="55:111" hidden="1">
      <c r="BC3300" s="115"/>
      <c r="BD3300" s="115"/>
      <c r="BE3300" s="115"/>
      <c r="BF3300" s="115"/>
      <c r="BG3300" s="115"/>
      <c r="BH3300" s="115"/>
      <c r="BI3300" s="115"/>
      <c r="BJ3300" s="115"/>
      <c r="BK3300" s="115"/>
      <c r="BL3300" s="115"/>
      <c r="BM3300" s="115"/>
      <c r="BN3300" s="115"/>
      <c r="BO3300" s="115"/>
      <c r="BP3300" s="115"/>
      <c r="BQ3300" s="115"/>
      <c r="BR3300" s="115"/>
      <c r="BS3300" s="115"/>
      <c r="BT3300" s="115"/>
      <c r="BU3300" s="115"/>
      <c r="BV3300" s="115"/>
      <c r="BW3300" s="115"/>
      <c r="BX3300" s="115"/>
      <c r="BY3300" s="115"/>
      <c r="BZ3300" s="115"/>
      <c r="CA3300" s="115"/>
      <c r="CB3300" s="115"/>
      <c r="CC3300" s="115"/>
      <c r="CD3300" s="115"/>
      <c r="CE3300" s="115"/>
      <c r="CF3300" s="115"/>
      <c r="CG3300" s="115"/>
      <c r="CH3300" s="115"/>
      <c r="CI3300" s="115"/>
      <c r="CJ3300" s="115"/>
      <c r="CK3300" s="115"/>
      <c r="CL3300" s="115"/>
      <c r="CM3300" s="115"/>
      <c r="CN3300" s="115"/>
      <c r="CO3300" s="115"/>
      <c r="CP3300" s="115"/>
      <c r="CQ3300" s="115"/>
      <c r="CR3300" s="115"/>
      <c r="CS3300" s="115"/>
      <c r="CT3300" s="115"/>
      <c r="CU3300" s="115"/>
      <c r="CV3300" s="115"/>
      <c r="CW3300" s="115"/>
      <c r="CX3300" s="115"/>
      <c r="CY3300" s="115"/>
      <c r="CZ3300" s="115"/>
      <c r="DA3300" s="115"/>
      <c r="DB3300" s="115"/>
      <c r="DC3300" s="115"/>
      <c r="DD3300" s="115"/>
      <c r="DE3300" s="115"/>
      <c r="DF3300" s="115"/>
      <c r="DG3300" s="115"/>
    </row>
    <row r="3301" spans="55:111" hidden="1">
      <c r="BC3301" s="115"/>
      <c r="BD3301" s="115"/>
      <c r="BE3301" s="115"/>
      <c r="BF3301" s="115"/>
      <c r="BG3301" s="115"/>
      <c r="BH3301" s="115"/>
      <c r="BI3301" s="115"/>
      <c r="BJ3301" s="115"/>
      <c r="BK3301" s="115"/>
      <c r="BL3301" s="115"/>
      <c r="BM3301" s="115"/>
      <c r="BN3301" s="115"/>
      <c r="BO3301" s="115"/>
      <c r="BP3301" s="115"/>
      <c r="BQ3301" s="115"/>
      <c r="BR3301" s="115"/>
      <c r="BS3301" s="115"/>
      <c r="BT3301" s="115"/>
      <c r="BU3301" s="115"/>
      <c r="BV3301" s="115"/>
      <c r="BW3301" s="115"/>
      <c r="BX3301" s="115"/>
      <c r="BY3301" s="115"/>
      <c r="BZ3301" s="115"/>
      <c r="CA3301" s="115"/>
      <c r="CB3301" s="115"/>
      <c r="CC3301" s="115"/>
      <c r="CD3301" s="115"/>
      <c r="CE3301" s="115"/>
      <c r="CF3301" s="115"/>
      <c r="CG3301" s="115"/>
      <c r="CH3301" s="115"/>
      <c r="CI3301" s="115"/>
      <c r="CJ3301" s="115"/>
      <c r="CK3301" s="115"/>
      <c r="CL3301" s="115"/>
      <c r="CM3301" s="115"/>
      <c r="CN3301" s="115"/>
      <c r="CO3301" s="115"/>
      <c r="CP3301" s="115"/>
      <c r="CQ3301" s="115"/>
      <c r="CR3301" s="115"/>
      <c r="CS3301" s="115"/>
      <c r="CT3301" s="115"/>
      <c r="CU3301" s="115"/>
      <c r="CV3301" s="115"/>
      <c r="CW3301" s="115"/>
      <c r="CX3301" s="115"/>
      <c r="CY3301" s="115"/>
      <c r="CZ3301" s="115"/>
      <c r="DA3301" s="115"/>
      <c r="DB3301" s="115"/>
      <c r="DC3301" s="115"/>
      <c r="DD3301" s="115"/>
      <c r="DE3301" s="115"/>
      <c r="DF3301" s="115"/>
      <c r="DG3301" s="115"/>
    </row>
    <row r="3302" spans="55:111" hidden="1">
      <c r="BC3302" s="115"/>
      <c r="BD3302" s="115"/>
      <c r="BE3302" s="115"/>
      <c r="BF3302" s="115"/>
      <c r="BG3302" s="115"/>
      <c r="BH3302" s="115"/>
      <c r="BI3302" s="115"/>
      <c r="BJ3302" s="115"/>
      <c r="BK3302" s="115"/>
      <c r="BL3302" s="115"/>
      <c r="BM3302" s="115"/>
      <c r="BN3302" s="115"/>
      <c r="BO3302" s="115"/>
      <c r="BP3302" s="115"/>
      <c r="BQ3302" s="115"/>
      <c r="BR3302" s="115"/>
      <c r="BS3302" s="115"/>
      <c r="BT3302" s="115"/>
      <c r="BU3302" s="115"/>
      <c r="BV3302" s="115"/>
      <c r="BW3302" s="115"/>
      <c r="BX3302" s="115"/>
      <c r="BY3302" s="115"/>
      <c r="BZ3302" s="115"/>
      <c r="CA3302" s="115"/>
      <c r="CB3302" s="115"/>
      <c r="CC3302" s="115"/>
      <c r="CD3302" s="115"/>
      <c r="CE3302" s="115"/>
      <c r="CF3302" s="115"/>
      <c r="CG3302" s="115"/>
      <c r="CH3302" s="115"/>
      <c r="CI3302" s="115"/>
      <c r="CJ3302" s="115"/>
      <c r="CK3302" s="115"/>
      <c r="CL3302" s="115"/>
      <c r="CM3302" s="115"/>
      <c r="CN3302" s="115"/>
      <c r="CO3302" s="115"/>
      <c r="CP3302" s="115"/>
      <c r="CQ3302" s="115"/>
      <c r="CR3302" s="115"/>
      <c r="CS3302" s="115"/>
      <c r="CT3302" s="115"/>
      <c r="CU3302" s="115"/>
      <c r="CV3302" s="115"/>
      <c r="CW3302" s="115"/>
      <c r="CX3302" s="115"/>
      <c r="CY3302" s="115"/>
      <c r="CZ3302" s="115"/>
      <c r="DA3302" s="115"/>
      <c r="DB3302" s="115"/>
      <c r="DC3302" s="115"/>
      <c r="DD3302" s="115"/>
      <c r="DE3302" s="115"/>
      <c r="DF3302" s="115"/>
      <c r="DG3302" s="115"/>
    </row>
    <row r="3303" spans="55:111" hidden="1">
      <c r="BC3303" s="115"/>
      <c r="BD3303" s="115"/>
      <c r="BE3303" s="115"/>
      <c r="BF3303" s="115"/>
      <c r="BG3303" s="115"/>
      <c r="BH3303" s="115"/>
      <c r="BI3303" s="115"/>
      <c r="BJ3303" s="115"/>
      <c r="BK3303" s="115"/>
      <c r="BL3303" s="115"/>
      <c r="BM3303" s="115"/>
      <c r="BN3303" s="115"/>
      <c r="BO3303" s="115"/>
      <c r="BP3303" s="115"/>
      <c r="BQ3303" s="115"/>
      <c r="BR3303" s="115"/>
      <c r="BS3303" s="115"/>
      <c r="BT3303" s="115"/>
      <c r="BU3303" s="115"/>
      <c r="BV3303" s="115"/>
      <c r="BW3303" s="115"/>
      <c r="BX3303" s="115"/>
      <c r="BY3303" s="115"/>
      <c r="BZ3303" s="115"/>
      <c r="CA3303" s="115"/>
      <c r="CB3303" s="115"/>
      <c r="CC3303" s="115"/>
      <c r="CD3303" s="115"/>
      <c r="CE3303" s="115"/>
      <c r="CF3303" s="115"/>
      <c r="CG3303" s="115"/>
      <c r="CH3303" s="115"/>
      <c r="CI3303" s="115"/>
      <c r="CJ3303" s="115"/>
      <c r="CK3303" s="115"/>
      <c r="CL3303" s="115"/>
      <c r="CM3303" s="115"/>
      <c r="CN3303" s="115"/>
      <c r="CO3303" s="115"/>
      <c r="CP3303" s="115"/>
      <c r="CQ3303" s="115"/>
      <c r="CR3303" s="115"/>
      <c r="CS3303" s="115"/>
      <c r="CT3303" s="115"/>
      <c r="CU3303" s="115"/>
      <c r="CV3303" s="115"/>
      <c r="CW3303" s="115"/>
      <c r="CX3303" s="115"/>
      <c r="CY3303" s="115"/>
      <c r="CZ3303" s="115"/>
      <c r="DA3303" s="115"/>
      <c r="DB3303" s="115"/>
      <c r="DC3303" s="115"/>
      <c r="DD3303" s="115"/>
      <c r="DE3303" s="115"/>
      <c r="DF3303" s="115"/>
      <c r="DG3303" s="115"/>
    </row>
    <row r="3304" spans="55:111" hidden="1">
      <c r="BC3304" s="115"/>
      <c r="BD3304" s="115"/>
      <c r="BE3304" s="115"/>
      <c r="BF3304" s="115"/>
      <c r="BG3304" s="115"/>
      <c r="BH3304" s="115"/>
      <c r="BI3304" s="115"/>
      <c r="BJ3304" s="115"/>
      <c r="BK3304" s="115"/>
      <c r="BL3304" s="115"/>
      <c r="BM3304" s="115"/>
      <c r="BN3304" s="115"/>
      <c r="BO3304" s="115"/>
      <c r="BP3304" s="115"/>
      <c r="BQ3304" s="115"/>
      <c r="BR3304" s="115"/>
      <c r="BS3304" s="115"/>
      <c r="BT3304" s="115"/>
      <c r="BU3304" s="115"/>
      <c r="BV3304" s="115"/>
      <c r="BW3304" s="115"/>
      <c r="BX3304" s="115"/>
      <c r="BY3304" s="115"/>
      <c r="BZ3304" s="115"/>
      <c r="CA3304" s="115"/>
      <c r="CB3304" s="115"/>
      <c r="CC3304" s="115"/>
      <c r="CD3304" s="115"/>
      <c r="CE3304" s="115"/>
      <c r="CF3304" s="115"/>
      <c r="CG3304" s="115"/>
      <c r="CH3304" s="115"/>
      <c r="CI3304" s="115"/>
      <c r="CJ3304" s="115"/>
      <c r="CK3304" s="115"/>
      <c r="CL3304" s="115"/>
      <c r="CM3304" s="115"/>
      <c r="CN3304" s="115"/>
      <c r="CO3304" s="115"/>
      <c r="CP3304" s="115"/>
      <c r="CQ3304" s="115"/>
      <c r="CR3304" s="115"/>
      <c r="CS3304" s="115"/>
      <c r="CT3304" s="115"/>
      <c r="CU3304" s="115"/>
      <c r="CV3304" s="115"/>
      <c r="CW3304" s="115"/>
      <c r="CX3304" s="115"/>
      <c r="CY3304" s="115"/>
      <c r="CZ3304" s="115"/>
      <c r="DA3304" s="115"/>
      <c r="DB3304" s="115"/>
      <c r="DC3304" s="115"/>
      <c r="DD3304" s="115"/>
      <c r="DE3304" s="115"/>
      <c r="DF3304" s="115"/>
      <c r="DG3304" s="115"/>
    </row>
    <row r="3305" spans="55:111" hidden="1">
      <c r="BC3305" s="115"/>
      <c r="BD3305" s="115"/>
      <c r="BE3305" s="115"/>
      <c r="BF3305" s="115"/>
      <c r="BG3305" s="115"/>
      <c r="BH3305" s="115"/>
      <c r="BI3305" s="115"/>
      <c r="BJ3305" s="115"/>
      <c r="BK3305" s="115"/>
      <c r="BL3305" s="115"/>
      <c r="BM3305" s="115"/>
      <c r="BN3305" s="115"/>
      <c r="BO3305" s="115"/>
      <c r="BP3305" s="115"/>
      <c r="BQ3305" s="115"/>
      <c r="BR3305" s="115"/>
      <c r="BS3305" s="115"/>
      <c r="BT3305" s="115"/>
      <c r="BU3305" s="115"/>
      <c r="BV3305" s="115"/>
      <c r="BW3305" s="115"/>
      <c r="BX3305" s="115"/>
      <c r="BY3305" s="115"/>
      <c r="BZ3305" s="115"/>
      <c r="CA3305" s="115"/>
      <c r="CB3305" s="115"/>
      <c r="CC3305" s="115"/>
      <c r="CD3305" s="115"/>
      <c r="CE3305" s="115"/>
      <c r="CF3305" s="115"/>
      <c r="CG3305" s="115"/>
      <c r="CH3305" s="115"/>
      <c r="CI3305" s="115"/>
      <c r="CJ3305" s="115"/>
      <c r="CK3305" s="115"/>
      <c r="CL3305" s="115"/>
      <c r="CM3305" s="115"/>
      <c r="CN3305" s="115"/>
      <c r="CO3305" s="115"/>
      <c r="CP3305" s="115"/>
      <c r="CQ3305" s="115"/>
      <c r="CR3305" s="115"/>
      <c r="CS3305" s="115"/>
      <c r="CT3305" s="115"/>
      <c r="CU3305" s="115"/>
      <c r="CV3305" s="115"/>
      <c r="CW3305" s="115"/>
      <c r="CX3305" s="115"/>
      <c r="CY3305" s="115"/>
      <c r="CZ3305" s="115"/>
      <c r="DA3305" s="115"/>
      <c r="DB3305" s="115"/>
      <c r="DC3305" s="115"/>
      <c r="DD3305" s="115"/>
      <c r="DE3305" s="115"/>
      <c r="DF3305" s="115"/>
      <c r="DG3305" s="115"/>
    </row>
    <row r="3306" spans="55:111" hidden="1">
      <c r="BC3306" s="115"/>
      <c r="BD3306" s="115"/>
      <c r="BE3306" s="115"/>
      <c r="BF3306" s="115"/>
      <c r="BG3306" s="115"/>
      <c r="BH3306" s="115"/>
      <c r="BI3306" s="115"/>
      <c r="BJ3306" s="115"/>
      <c r="BK3306" s="115"/>
      <c r="BL3306" s="115"/>
      <c r="BM3306" s="115"/>
      <c r="BN3306" s="115"/>
      <c r="BO3306" s="115"/>
      <c r="BP3306" s="115"/>
      <c r="BQ3306" s="115"/>
      <c r="BR3306" s="115"/>
      <c r="BS3306" s="115"/>
      <c r="BT3306" s="115"/>
      <c r="BU3306" s="115"/>
      <c r="BV3306" s="115"/>
      <c r="BW3306" s="115"/>
      <c r="BX3306" s="115"/>
      <c r="BY3306" s="115"/>
      <c r="BZ3306" s="115"/>
      <c r="CA3306" s="115"/>
      <c r="CB3306" s="115"/>
      <c r="CC3306" s="115"/>
      <c r="CD3306" s="115"/>
      <c r="CE3306" s="115"/>
      <c r="CF3306" s="115"/>
      <c r="CG3306" s="115"/>
      <c r="CH3306" s="115"/>
      <c r="CI3306" s="115"/>
      <c r="CJ3306" s="115"/>
      <c r="CK3306" s="115"/>
      <c r="CL3306" s="115"/>
      <c r="CM3306" s="115"/>
      <c r="CN3306" s="115"/>
      <c r="CO3306" s="115"/>
      <c r="CP3306" s="115"/>
      <c r="CQ3306" s="115"/>
      <c r="CR3306" s="115"/>
      <c r="CS3306" s="115"/>
      <c r="CT3306" s="115"/>
      <c r="CU3306" s="115"/>
      <c r="CV3306" s="115"/>
      <c r="CW3306" s="115"/>
      <c r="CX3306" s="115"/>
      <c r="CY3306" s="115"/>
      <c r="CZ3306" s="115"/>
      <c r="DA3306" s="115"/>
      <c r="DB3306" s="115"/>
      <c r="DC3306" s="115"/>
      <c r="DD3306" s="115"/>
      <c r="DE3306" s="115"/>
      <c r="DF3306" s="115"/>
      <c r="DG3306" s="115"/>
    </row>
    <row r="3307" spans="55:111" hidden="1">
      <c r="BC3307" s="115"/>
      <c r="BD3307" s="115"/>
      <c r="BE3307" s="115"/>
      <c r="BF3307" s="115"/>
      <c r="BG3307" s="115"/>
      <c r="BH3307" s="115"/>
      <c r="BI3307" s="115"/>
      <c r="BJ3307" s="115"/>
      <c r="BK3307" s="115"/>
      <c r="BL3307" s="115"/>
      <c r="BM3307" s="115"/>
      <c r="BN3307" s="115"/>
      <c r="BO3307" s="115"/>
      <c r="BP3307" s="115"/>
      <c r="BQ3307" s="115"/>
      <c r="BR3307" s="115"/>
      <c r="BS3307" s="115"/>
      <c r="BT3307" s="115"/>
      <c r="BU3307" s="115"/>
      <c r="BV3307" s="115"/>
      <c r="BW3307" s="115"/>
      <c r="BX3307" s="115"/>
      <c r="BY3307" s="115"/>
      <c r="BZ3307" s="115"/>
      <c r="CA3307" s="115"/>
      <c r="CB3307" s="115"/>
      <c r="CC3307" s="115"/>
      <c r="CD3307" s="115"/>
      <c r="CE3307" s="115"/>
      <c r="CF3307" s="115"/>
      <c r="CG3307" s="115"/>
      <c r="CH3307" s="115"/>
      <c r="CI3307" s="115"/>
      <c r="CJ3307" s="115"/>
      <c r="CK3307" s="115"/>
      <c r="CL3307" s="115"/>
      <c r="CM3307" s="115"/>
      <c r="CN3307" s="115"/>
      <c r="CO3307" s="115"/>
      <c r="CP3307" s="115"/>
      <c r="CQ3307" s="115"/>
      <c r="CR3307" s="115"/>
      <c r="CS3307" s="115"/>
      <c r="CT3307" s="115"/>
      <c r="CU3307" s="115"/>
      <c r="CV3307" s="115"/>
      <c r="CW3307" s="115"/>
      <c r="CX3307" s="115"/>
      <c r="CY3307" s="115"/>
      <c r="CZ3307" s="115"/>
      <c r="DA3307" s="115"/>
      <c r="DB3307" s="115"/>
      <c r="DC3307" s="115"/>
      <c r="DD3307" s="115"/>
      <c r="DE3307" s="115"/>
      <c r="DF3307" s="115"/>
      <c r="DG3307" s="115"/>
    </row>
    <row r="3308" spans="55:111" hidden="1">
      <c r="BC3308" s="115"/>
      <c r="BD3308" s="115"/>
      <c r="BE3308" s="115"/>
      <c r="BF3308" s="115"/>
      <c r="BG3308" s="115"/>
      <c r="BH3308" s="115"/>
      <c r="BI3308" s="115"/>
      <c r="BJ3308" s="115"/>
      <c r="BK3308" s="115"/>
      <c r="BL3308" s="115"/>
      <c r="BM3308" s="115"/>
      <c r="BN3308" s="115"/>
      <c r="BO3308" s="115"/>
      <c r="BP3308" s="115"/>
      <c r="BQ3308" s="115"/>
      <c r="BR3308" s="115"/>
      <c r="BS3308" s="115"/>
      <c r="BT3308" s="115"/>
      <c r="BU3308" s="115"/>
      <c r="BV3308" s="115"/>
      <c r="BW3308" s="115"/>
      <c r="BX3308" s="115"/>
      <c r="BY3308" s="115"/>
      <c r="BZ3308" s="115"/>
      <c r="CA3308" s="115"/>
      <c r="CB3308" s="115"/>
      <c r="CC3308" s="115"/>
      <c r="CD3308" s="115"/>
      <c r="CE3308" s="115"/>
      <c r="CF3308" s="115"/>
      <c r="CG3308" s="115"/>
      <c r="CH3308" s="115"/>
      <c r="CI3308" s="115"/>
      <c r="CJ3308" s="115"/>
      <c r="CK3308" s="115"/>
      <c r="CL3308" s="115"/>
      <c r="CM3308" s="115"/>
      <c r="CN3308" s="115"/>
      <c r="CO3308" s="115"/>
      <c r="CP3308" s="115"/>
      <c r="CQ3308" s="115"/>
      <c r="CR3308" s="115"/>
      <c r="CS3308" s="115"/>
      <c r="CT3308" s="115"/>
      <c r="CU3308" s="115"/>
      <c r="CV3308" s="115"/>
      <c r="CW3308" s="115"/>
      <c r="CX3308" s="115"/>
      <c r="CY3308" s="115"/>
      <c r="CZ3308" s="115"/>
      <c r="DA3308" s="115"/>
      <c r="DB3308" s="115"/>
      <c r="DC3308" s="115"/>
      <c r="DD3308" s="115"/>
      <c r="DE3308" s="115"/>
      <c r="DF3308" s="115"/>
      <c r="DG3308" s="115"/>
    </row>
    <row r="3309" spans="55:111" hidden="1">
      <c r="BC3309" s="115"/>
      <c r="BD3309" s="115"/>
      <c r="BE3309" s="115"/>
      <c r="BF3309" s="115"/>
      <c r="BG3309" s="115"/>
      <c r="BH3309" s="115"/>
      <c r="BI3309" s="115"/>
      <c r="BJ3309" s="115"/>
      <c r="BK3309" s="115"/>
      <c r="BL3309" s="115"/>
      <c r="BM3309" s="115"/>
      <c r="BN3309" s="115"/>
      <c r="BO3309" s="115"/>
      <c r="BP3309" s="115"/>
      <c r="BQ3309" s="115"/>
      <c r="BR3309" s="115"/>
      <c r="BS3309" s="115"/>
      <c r="BT3309" s="115"/>
      <c r="BU3309" s="115"/>
      <c r="BV3309" s="115"/>
      <c r="BW3309" s="115"/>
      <c r="BX3309" s="115"/>
      <c r="BY3309" s="115"/>
      <c r="BZ3309" s="115"/>
      <c r="CA3309" s="115"/>
      <c r="CB3309" s="115"/>
      <c r="CC3309" s="115"/>
      <c r="CD3309" s="115"/>
      <c r="CE3309" s="115"/>
      <c r="CF3309" s="115"/>
      <c r="CG3309" s="115"/>
      <c r="CH3309" s="115"/>
      <c r="CI3309" s="115"/>
      <c r="CJ3309" s="115"/>
      <c r="CK3309" s="115"/>
      <c r="CL3309" s="115"/>
      <c r="CM3309" s="115"/>
      <c r="CN3309" s="115"/>
      <c r="CO3309" s="115"/>
      <c r="CP3309" s="115"/>
      <c r="CQ3309" s="115"/>
      <c r="CR3309" s="115"/>
      <c r="CS3309" s="115"/>
      <c r="CT3309" s="115"/>
      <c r="CU3309" s="115"/>
      <c r="CV3309" s="115"/>
      <c r="CW3309" s="115"/>
      <c r="CX3309" s="115"/>
      <c r="CY3309" s="115"/>
      <c r="CZ3309" s="115"/>
      <c r="DA3309" s="115"/>
      <c r="DB3309" s="115"/>
      <c r="DC3309" s="115"/>
      <c r="DD3309" s="115"/>
      <c r="DE3309" s="115"/>
      <c r="DF3309" s="115"/>
      <c r="DG3309" s="115"/>
    </row>
    <row r="3310" spans="55:111" hidden="1">
      <c r="BC3310" s="115"/>
      <c r="BD3310" s="115"/>
      <c r="BE3310" s="115"/>
      <c r="BF3310" s="115"/>
      <c r="BG3310" s="115"/>
      <c r="BH3310" s="115"/>
      <c r="BI3310" s="115"/>
      <c r="BJ3310" s="115"/>
      <c r="BK3310" s="115"/>
      <c r="BL3310" s="115"/>
      <c r="BM3310" s="115"/>
      <c r="BN3310" s="115"/>
      <c r="BO3310" s="115"/>
      <c r="BP3310" s="115"/>
      <c r="BQ3310" s="115"/>
      <c r="BR3310" s="115"/>
      <c r="BS3310" s="115"/>
      <c r="BT3310" s="115"/>
      <c r="BU3310" s="115"/>
      <c r="BV3310" s="115"/>
      <c r="BW3310" s="115"/>
      <c r="BX3310" s="115"/>
      <c r="BY3310" s="115"/>
      <c r="BZ3310" s="115"/>
      <c r="CA3310" s="115"/>
      <c r="CB3310" s="115"/>
      <c r="CC3310" s="115"/>
      <c r="CD3310" s="115"/>
      <c r="CE3310" s="115"/>
      <c r="CF3310" s="115"/>
      <c r="CG3310" s="115"/>
      <c r="CH3310" s="115"/>
      <c r="CI3310" s="115"/>
      <c r="CJ3310" s="115"/>
      <c r="CK3310" s="115"/>
      <c r="CL3310" s="115"/>
      <c r="CM3310" s="115"/>
      <c r="CN3310" s="115"/>
      <c r="CO3310" s="115"/>
      <c r="CP3310" s="115"/>
      <c r="CQ3310" s="115"/>
      <c r="CR3310" s="115"/>
      <c r="CS3310" s="115"/>
      <c r="CT3310" s="115"/>
      <c r="CU3310" s="115"/>
      <c r="CV3310" s="115"/>
      <c r="CW3310" s="115"/>
      <c r="CX3310" s="115"/>
      <c r="CY3310" s="115"/>
      <c r="CZ3310" s="115"/>
      <c r="DA3310" s="115"/>
      <c r="DB3310" s="115"/>
      <c r="DC3310" s="115"/>
      <c r="DD3310" s="115"/>
      <c r="DE3310" s="115"/>
      <c r="DF3310" s="115"/>
      <c r="DG3310" s="115"/>
    </row>
    <row r="3311" spans="55:111" hidden="1">
      <c r="BC3311" s="115"/>
      <c r="BD3311" s="115"/>
      <c r="BE3311" s="115"/>
      <c r="BF3311" s="115"/>
      <c r="BG3311" s="115"/>
      <c r="BH3311" s="115"/>
      <c r="BI3311" s="115"/>
      <c r="BJ3311" s="115"/>
      <c r="BK3311" s="115"/>
      <c r="BL3311" s="115"/>
      <c r="BM3311" s="115"/>
      <c r="BN3311" s="115"/>
      <c r="BO3311" s="115"/>
      <c r="BP3311" s="115"/>
      <c r="BQ3311" s="115"/>
      <c r="BR3311" s="115"/>
      <c r="BS3311" s="115"/>
      <c r="BT3311" s="115"/>
      <c r="BU3311" s="115"/>
      <c r="BV3311" s="115"/>
      <c r="BW3311" s="115"/>
      <c r="BX3311" s="115"/>
      <c r="BY3311" s="115"/>
      <c r="BZ3311" s="115"/>
      <c r="CA3311" s="115"/>
      <c r="CB3311" s="115"/>
      <c r="CC3311" s="115"/>
      <c r="CD3311" s="115"/>
      <c r="CE3311" s="115"/>
      <c r="CF3311" s="115"/>
      <c r="CG3311" s="115"/>
      <c r="CH3311" s="115"/>
      <c r="CI3311" s="115"/>
      <c r="CJ3311" s="115"/>
      <c r="CK3311" s="115"/>
      <c r="CL3311" s="115"/>
      <c r="CM3311" s="115"/>
      <c r="CN3311" s="115"/>
      <c r="CO3311" s="115"/>
      <c r="CP3311" s="115"/>
      <c r="CQ3311" s="115"/>
      <c r="CR3311" s="115"/>
      <c r="CS3311" s="115"/>
      <c r="CT3311" s="115"/>
      <c r="CU3311" s="115"/>
      <c r="CV3311" s="115"/>
      <c r="CW3311" s="115"/>
      <c r="CX3311" s="115"/>
      <c r="CY3311" s="115"/>
      <c r="CZ3311" s="115"/>
      <c r="DA3311" s="115"/>
      <c r="DB3311" s="115"/>
      <c r="DC3311" s="115"/>
      <c r="DD3311" s="115"/>
      <c r="DE3311" s="115"/>
      <c r="DF3311" s="115"/>
      <c r="DG3311" s="115"/>
    </row>
    <row r="3312" spans="55:111" hidden="1">
      <c r="BC3312" s="115"/>
      <c r="BD3312" s="115"/>
      <c r="BE3312" s="115"/>
      <c r="BF3312" s="115"/>
      <c r="BG3312" s="115"/>
      <c r="BH3312" s="115"/>
      <c r="BI3312" s="115"/>
      <c r="BJ3312" s="115"/>
      <c r="BK3312" s="115"/>
      <c r="BL3312" s="115"/>
      <c r="BM3312" s="115"/>
      <c r="BN3312" s="115"/>
      <c r="BO3312" s="115"/>
      <c r="BP3312" s="115"/>
      <c r="BQ3312" s="115"/>
      <c r="BR3312" s="115"/>
      <c r="BS3312" s="115"/>
      <c r="BT3312" s="115"/>
      <c r="BU3312" s="115"/>
      <c r="BV3312" s="115"/>
      <c r="BW3312" s="115"/>
      <c r="BX3312" s="115"/>
      <c r="BY3312" s="115"/>
      <c r="BZ3312" s="115"/>
      <c r="CA3312" s="115"/>
      <c r="CB3312" s="115"/>
      <c r="CC3312" s="115"/>
      <c r="CD3312" s="115"/>
      <c r="CE3312" s="115"/>
      <c r="CF3312" s="115"/>
      <c r="CG3312" s="115"/>
      <c r="CH3312" s="115"/>
      <c r="CI3312" s="115"/>
      <c r="CJ3312" s="115"/>
      <c r="CK3312" s="115"/>
      <c r="CL3312" s="115"/>
      <c r="CM3312" s="115"/>
      <c r="CN3312" s="115"/>
      <c r="CO3312" s="115"/>
      <c r="CP3312" s="115"/>
      <c r="CQ3312" s="115"/>
      <c r="CR3312" s="115"/>
      <c r="CS3312" s="115"/>
      <c r="CT3312" s="115"/>
      <c r="CU3312" s="115"/>
      <c r="CV3312" s="115"/>
      <c r="CW3312" s="115"/>
      <c r="CX3312" s="115"/>
      <c r="CY3312" s="115"/>
      <c r="CZ3312" s="115"/>
      <c r="DA3312" s="115"/>
      <c r="DB3312" s="115"/>
      <c r="DC3312" s="115"/>
      <c r="DD3312" s="115"/>
      <c r="DE3312" s="115"/>
      <c r="DF3312" s="115"/>
      <c r="DG3312" s="115"/>
    </row>
    <row r="3313" spans="55:111" hidden="1">
      <c r="BC3313" s="115"/>
      <c r="BD3313" s="115"/>
      <c r="BE3313" s="115"/>
      <c r="BF3313" s="115"/>
      <c r="BG3313" s="115"/>
      <c r="BH3313" s="115"/>
      <c r="BI3313" s="115"/>
      <c r="BJ3313" s="115"/>
      <c r="BK3313" s="115"/>
      <c r="BL3313" s="115"/>
      <c r="BM3313" s="115"/>
      <c r="BN3313" s="115"/>
      <c r="BO3313" s="115"/>
      <c r="BP3313" s="115"/>
      <c r="BQ3313" s="115"/>
      <c r="BR3313" s="115"/>
      <c r="BS3313" s="115"/>
      <c r="BT3313" s="115"/>
      <c r="BU3313" s="115"/>
      <c r="BV3313" s="115"/>
      <c r="BW3313" s="115"/>
      <c r="BX3313" s="115"/>
      <c r="BY3313" s="115"/>
      <c r="BZ3313" s="115"/>
      <c r="CA3313" s="115"/>
      <c r="CB3313" s="115"/>
      <c r="CC3313" s="115"/>
      <c r="CD3313" s="115"/>
      <c r="CE3313" s="115"/>
      <c r="CF3313" s="115"/>
      <c r="CG3313" s="115"/>
      <c r="CH3313" s="115"/>
      <c r="CI3313" s="115"/>
      <c r="CJ3313" s="115"/>
      <c r="CK3313" s="115"/>
      <c r="CL3313" s="115"/>
      <c r="CM3313" s="115"/>
      <c r="CN3313" s="115"/>
      <c r="CO3313" s="115"/>
      <c r="CP3313" s="115"/>
      <c r="CQ3313" s="115"/>
      <c r="CR3313" s="115"/>
      <c r="CS3313" s="115"/>
      <c r="CT3313" s="115"/>
      <c r="CU3313" s="115"/>
      <c r="CV3313" s="115"/>
      <c r="CW3313" s="115"/>
      <c r="CX3313" s="115"/>
      <c r="CY3313" s="115"/>
      <c r="CZ3313" s="115"/>
      <c r="DA3313" s="115"/>
      <c r="DB3313" s="115"/>
      <c r="DC3313" s="115"/>
      <c r="DD3313" s="115"/>
      <c r="DE3313" s="115"/>
      <c r="DF3313" s="115"/>
      <c r="DG3313" s="115"/>
    </row>
    <row r="3314" spans="55:111" hidden="1">
      <c r="BC3314" s="115"/>
      <c r="BD3314" s="115"/>
      <c r="BE3314" s="115"/>
      <c r="BF3314" s="115"/>
      <c r="BG3314" s="115"/>
      <c r="BH3314" s="115"/>
      <c r="BI3314" s="115"/>
      <c r="BJ3314" s="115"/>
      <c r="BK3314" s="115"/>
      <c r="BL3314" s="115"/>
      <c r="BM3314" s="115"/>
      <c r="BN3314" s="115"/>
      <c r="BO3314" s="115"/>
      <c r="BP3314" s="115"/>
      <c r="BQ3314" s="115"/>
      <c r="BR3314" s="115"/>
      <c r="BS3314" s="115"/>
      <c r="BT3314" s="115"/>
      <c r="BU3314" s="115"/>
      <c r="BV3314" s="115"/>
      <c r="BW3314" s="115"/>
      <c r="BX3314" s="115"/>
      <c r="BY3314" s="115"/>
      <c r="BZ3314" s="115"/>
      <c r="CA3314" s="115"/>
      <c r="CB3314" s="115"/>
      <c r="CC3314" s="115"/>
      <c r="CD3314" s="115"/>
      <c r="CE3314" s="115"/>
      <c r="CF3314" s="115"/>
      <c r="CG3314" s="115"/>
      <c r="CH3314" s="115"/>
      <c r="CI3314" s="115"/>
      <c r="CJ3314" s="115"/>
      <c r="CK3314" s="115"/>
      <c r="CL3314" s="115"/>
      <c r="CM3314" s="115"/>
      <c r="CN3314" s="115"/>
      <c r="CO3314" s="115"/>
      <c r="CP3314" s="115"/>
      <c r="CQ3314" s="115"/>
      <c r="CR3314" s="115"/>
      <c r="CS3314" s="115"/>
      <c r="CT3314" s="115"/>
      <c r="CU3314" s="115"/>
      <c r="CV3314" s="115"/>
      <c r="CW3314" s="115"/>
      <c r="CX3314" s="115"/>
      <c r="CY3314" s="115"/>
      <c r="CZ3314" s="115"/>
      <c r="DA3314" s="115"/>
      <c r="DB3314" s="115"/>
      <c r="DC3314" s="115"/>
      <c r="DD3314" s="115"/>
      <c r="DE3314" s="115"/>
      <c r="DF3314" s="115"/>
      <c r="DG3314" s="115"/>
    </row>
    <row r="3315" spans="55:111" hidden="1">
      <c r="BC3315" s="115"/>
      <c r="BD3315" s="115"/>
      <c r="BE3315" s="115"/>
      <c r="BF3315" s="115"/>
      <c r="BG3315" s="115"/>
      <c r="BH3315" s="115"/>
      <c r="BI3315" s="115"/>
      <c r="BJ3315" s="115"/>
      <c r="BK3315" s="115"/>
      <c r="BL3315" s="115"/>
      <c r="BM3315" s="115"/>
      <c r="BN3315" s="115"/>
      <c r="BO3315" s="115"/>
      <c r="BP3315" s="115"/>
      <c r="BQ3315" s="115"/>
      <c r="BR3315" s="115"/>
      <c r="BS3315" s="115"/>
      <c r="BT3315" s="115"/>
      <c r="BU3315" s="115"/>
      <c r="BV3315" s="115"/>
      <c r="BW3315" s="115"/>
      <c r="BX3315" s="115"/>
      <c r="BY3315" s="115"/>
      <c r="BZ3315" s="115"/>
      <c r="CA3315" s="115"/>
      <c r="CB3315" s="115"/>
      <c r="CC3315" s="115"/>
      <c r="CD3315" s="115"/>
      <c r="CE3315" s="115"/>
      <c r="CF3315" s="115"/>
      <c r="CG3315" s="115"/>
      <c r="CH3315" s="115"/>
      <c r="CI3315" s="115"/>
      <c r="CJ3315" s="115"/>
      <c r="CK3315" s="115"/>
      <c r="CL3315" s="115"/>
      <c r="CM3315" s="115"/>
      <c r="CN3315" s="115"/>
      <c r="CO3315" s="115"/>
      <c r="CP3315" s="115"/>
      <c r="CQ3315" s="115"/>
      <c r="CR3315" s="115"/>
      <c r="CS3315" s="115"/>
      <c r="CT3315" s="115"/>
      <c r="CU3315" s="115"/>
      <c r="CV3315" s="115"/>
      <c r="CW3315" s="115"/>
      <c r="CX3315" s="115"/>
      <c r="CY3315" s="115"/>
      <c r="CZ3315" s="115"/>
      <c r="DA3315" s="115"/>
      <c r="DB3315" s="115"/>
      <c r="DC3315" s="115"/>
      <c r="DD3315" s="115"/>
      <c r="DE3315" s="115"/>
      <c r="DF3315" s="115"/>
      <c r="DG3315" s="115"/>
    </row>
    <row r="3316" spans="55:111" hidden="1">
      <c r="BC3316" s="115"/>
      <c r="BD3316" s="115"/>
      <c r="BE3316" s="115"/>
      <c r="BF3316" s="115"/>
      <c r="BG3316" s="115"/>
      <c r="BH3316" s="115"/>
      <c r="BI3316" s="115"/>
      <c r="BJ3316" s="115"/>
      <c r="BK3316" s="115"/>
      <c r="BL3316" s="115"/>
      <c r="BM3316" s="115"/>
      <c r="BN3316" s="115"/>
      <c r="BO3316" s="115"/>
      <c r="BP3316" s="115"/>
      <c r="BQ3316" s="115"/>
      <c r="BR3316" s="115"/>
      <c r="BS3316" s="115"/>
      <c r="BT3316" s="115"/>
      <c r="BU3316" s="115"/>
      <c r="BV3316" s="115"/>
      <c r="BW3316" s="115"/>
      <c r="BX3316" s="115"/>
      <c r="BY3316" s="115"/>
      <c r="BZ3316" s="115"/>
      <c r="CA3316" s="115"/>
      <c r="CB3316" s="115"/>
      <c r="CC3316" s="115"/>
      <c r="CD3316" s="115"/>
      <c r="CE3316" s="115"/>
      <c r="CF3316" s="115"/>
      <c r="CG3316" s="115"/>
      <c r="CH3316" s="115"/>
      <c r="CI3316" s="115"/>
      <c r="CJ3316" s="115"/>
      <c r="CK3316" s="115"/>
      <c r="CL3316" s="115"/>
      <c r="CM3316" s="115"/>
      <c r="CN3316" s="115"/>
      <c r="CO3316" s="115"/>
      <c r="CP3316" s="115"/>
      <c r="CQ3316" s="115"/>
      <c r="CR3316" s="115"/>
      <c r="CS3316" s="115"/>
      <c r="CT3316" s="115"/>
      <c r="CU3316" s="115"/>
      <c r="CV3316" s="115"/>
      <c r="CW3316" s="115"/>
      <c r="CX3316" s="115"/>
      <c r="CY3316" s="115"/>
      <c r="CZ3316" s="115"/>
      <c r="DA3316" s="115"/>
      <c r="DB3316" s="115"/>
      <c r="DC3316" s="115"/>
      <c r="DD3316" s="115"/>
      <c r="DE3316" s="115"/>
      <c r="DF3316" s="115"/>
      <c r="DG3316" s="115"/>
    </row>
    <row r="3317" spans="55:111" hidden="1">
      <c r="BC3317" s="115"/>
      <c r="BD3317" s="115"/>
      <c r="BE3317" s="115"/>
      <c r="BF3317" s="115"/>
      <c r="BG3317" s="115"/>
      <c r="BH3317" s="115"/>
      <c r="BI3317" s="115"/>
      <c r="BJ3317" s="115"/>
      <c r="BK3317" s="115"/>
      <c r="BL3317" s="115"/>
      <c r="BM3317" s="115"/>
      <c r="BN3317" s="115"/>
      <c r="BO3317" s="115"/>
      <c r="BP3317" s="115"/>
      <c r="BQ3317" s="115"/>
      <c r="BR3317" s="115"/>
      <c r="BS3317" s="115"/>
      <c r="BT3317" s="115"/>
      <c r="BU3317" s="115"/>
      <c r="BV3317" s="115"/>
      <c r="BW3317" s="115"/>
      <c r="BX3317" s="115"/>
      <c r="BY3317" s="115"/>
      <c r="BZ3317" s="115"/>
      <c r="CA3317" s="115"/>
      <c r="CB3317" s="115"/>
      <c r="CC3317" s="115"/>
      <c r="CD3317" s="115"/>
      <c r="CE3317" s="115"/>
      <c r="CF3317" s="115"/>
      <c r="CG3317" s="115"/>
      <c r="CH3317" s="115"/>
      <c r="CI3317" s="115"/>
      <c r="CJ3317" s="115"/>
      <c r="CK3317" s="115"/>
      <c r="CL3317" s="115"/>
      <c r="CM3317" s="115"/>
      <c r="CN3317" s="115"/>
      <c r="CO3317" s="115"/>
      <c r="CP3317" s="115"/>
      <c r="CQ3317" s="115"/>
      <c r="CR3317" s="115"/>
      <c r="CS3317" s="115"/>
      <c r="CT3317" s="115"/>
      <c r="CU3317" s="115"/>
      <c r="CV3317" s="115"/>
      <c r="CW3317" s="115"/>
      <c r="CX3317" s="115"/>
      <c r="CY3317" s="115"/>
      <c r="CZ3317" s="115"/>
      <c r="DA3317" s="115"/>
      <c r="DB3317" s="115"/>
      <c r="DC3317" s="115"/>
      <c r="DD3317" s="115"/>
      <c r="DE3317" s="115"/>
      <c r="DF3317" s="115"/>
      <c r="DG3317" s="115"/>
    </row>
    <row r="3318" spans="55:111" hidden="1">
      <c r="BC3318" s="115"/>
      <c r="BD3318" s="115"/>
      <c r="BE3318" s="115"/>
      <c r="BF3318" s="115"/>
      <c r="BG3318" s="115"/>
      <c r="BH3318" s="115"/>
      <c r="BI3318" s="115"/>
      <c r="BJ3318" s="115"/>
      <c r="BK3318" s="115"/>
      <c r="BL3318" s="115"/>
      <c r="BM3318" s="115"/>
      <c r="BN3318" s="115"/>
      <c r="BO3318" s="115"/>
      <c r="BP3318" s="115"/>
      <c r="BQ3318" s="115"/>
      <c r="BR3318" s="115"/>
      <c r="BS3318" s="115"/>
      <c r="BT3318" s="115"/>
      <c r="BU3318" s="115"/>
      <c r="BV3318" s="115"/>
      <c r="BW3318" s="115"/>
      <c r="BX3318" s="115"/>
      <c r="BY3318" s="115"/>
      <c r="BZ3318" s="115"/>
      <c r="CA3318" s="115"/>
      <c r="CB3318" s="115"/>
      <c r="CC3318" s="115"/>
      <c r="CD3318" s="115"/>
      <c r="CE3318" s="115"/>
      <c r="CF3318" s="115"/>
      <c r="CG3318" s="115"/>
      <c r="CH3318" s="115"/>
      <c r="CI3318" s="115"/>
      <c r="CJ3318" s="115"/>
      <c r="CK3318" s="115"/>
      <c r="CL3318" s="115"/>
      <c r="CM3318" s="115"/>
      <c r="CN3318" s="115"/>
      <c r="CO3318" s="115"/>
      <c r="CP3318" s="115"/>
      <c r="CQ3318" s="115"/>
      <c r="CR3318" s="115"/>
      <c r="CS3318" s="115"/>
      <c r="CT3318" s="115"/>
      <c r="CU3318" s="115"/>
      <c r="CV3318" s="115"/>
      <c r="CW3318" s="115"/>
      <c r="CX3318" s="115"/>
      <c r="CY3318" s="115"/>
      <c r="CZ3318" s="115"/>
      <c r="DA3318" s="115"/>
      <c r="DB3318" s="115"/>
      <c r="DC3318" s="115"/>
      <c r="DD3318" s="115"/>
      <c r="DE3318" s="115"/>
      <c r="DF3318" s="115"/>
      <c r="DG3318" s="115"/>
    </row>
    <row r="3319" spans="55:111" hidden="1">
      <c r="BC3319" s="115"/>
      <c r="BD3319" s="115"/>
      <c r="BE3319" s="115"/>
      <c r="BF3319" s="115"/>
      <c r="BG3319" s="115"/>
      <c r="BH3319" s="115"/>
      <c r="BI3319" s="115"/>
      <c r="BJ3319" s="115"/>
      <c r="BK3319" s="115"/>
      <c r="BL3319" s="115"/>
      <c r="BM3319" s="115"/>
      <c r="BN3319" s="115"/>
      <c r="BO3319" s="115"/>
      <c r="BP3319" s="115"/>
      <c r="BQ3319" s="115"/>
      <c r="BR3319" s="115"/>
      <c r="BS3319" s="115"/>
      <c r="BT3319" s="115"/>
      <c r="BU3319" s="115"/>
      <c r="BV3319" s="115"/>
      <c r="BW3319" s="115"/>
      <c r="BX3319" s="115"/>
      <c r="BY3319" s="115"/>
      <c r="BZ3319" s="115"/>
      <c r="CA3319" s="115"/>
      <c r="CB3319" s="115"/>
      <c r="CC3319" s="115"/>
      <c r="CD3319" s="115"/>
      <c r="CE3319" s="115"/>
      <c r="CF3319" s="115"/>
      <c r="CG3319" s="115"/>
      <c r="CH3319" s="115"/>
      <c r="CI3319" s="115"/>
      <c r="CJ3319" s="115"/>
      <c r="CK3319" s="115"/>
      <c r="CL3319" s="115"/>
      <c r="CM3319" s="115"/>
      <c r="CN3319" s="115"/>
      <c r="CO3319" s="115"/>
      <c r="CP3319" s="115"/>
      <c r="CQ3319" s="115"/>
      <c r="CR3319" s="115"/>
      <c r="CS3319" s="115"/>
      <c r="CT3319" s="115"/>
      <c r="CU3319" s="115"/>
      <c r="CV3319" s="115"/>
      <c r="CW3319" s="115"/>
      <c r="CX3319" s="115"/>
      <c r="CY3319" s="115"/>
      <c r="CZ3319" s="115"/>
      <c r="DA3319" s="115"/>
      <c r="DB3319" s="115"/>
      <c r="DC3319" s="115"/>
      <c r="DD3319" s="115"/>
      <c r="DE3319" s="115"/>
      <c r="DF3319" s="115"/>
      <c r="DG3319" s="115"/>
    </row>
    <row r="3320" spans="55:111" hidden="1">
      <c r="BC3320" s="115"/>
      <c r="BD3320" s="115"/>
      <c r="BE3320" s="115"/>
      <c r="BF3320" s="115"/>
      <c r="BG3320" s="115"/>
      <c r="BH3320" s="115"/>
      <c r="BI3320" s="115"/>
      <c r="BJ3320" s="115"/>
      <c r="BK3320" s="115"/>
      <c r="BL3320" s="115"/>
      <c r="BM3320" s="115"/>
      <c r="BN3320" s="115"/>
      <c r="BO3320" s="115"/>
      <c r="BP3320" s="115"/>
      <c r="BQ3320" s="115"/>
      <c r="BR3320" s="115"/>
      <c r="BS3320" s="115"/>
      <c r="BT3320" s="115"/>
      <c r="BU3320" s="115"/>
      <c r="BV3320" s="115"/>
      <c r="BW3320" s="115"/>
      <c r="BX3320" s="115"/>
      <c r="BY3320" s="115"/>
      <c r="BZ3320" s="115"/>
      <c r="CA3320" s="115"/>
      <c r="CB3320" s="115"/>
      <c r="CC3320" s="115"/>
      <c r="CD3320" s="115"/>
      <c r="CE3320" s="115"/>
      <c r="CF3320" s="115"/>
      <c r="CG3320" s="115"/>
      <c r="CH3320" s="115"/>
      <c r="CI3320" s="115"/>
      <c r="CJ3320" s="115"/>
      <c r="CK3320" s="115"/>
      <c r="CL3320" s="115"/>
      <c r="CM3320" s="115"/>
      <c r="CN3320" s="115"/>
      <c r="CO3320" s="115"/>
      <c r="CP3320" s="115"/>
      <c r="CQ3320" s="115"/>
      <c r="CR3320" s="115"/>
      <c r="CS3320" s="115"/>
      <c r="CT3320" s="115"/>
      <c r="CU3320" s="115"/>
      <c r="CV3320" s="115"/>
      <c r="CW3320" s="115"/>
      <c r="CX3320" s="115"/>
      <c r="CY3320" s="115"/>
      <c r="CZ3320" s="115"/>
      <c r="DA3320" s="115"/>
      <c r="DB3320" s="115"/>
      <c r="DC3320" s="115"/>
      <c r="DD3320" s="115"/>
      <c r="DE3320" s="115"/>
      <c r="DF3320" s="115"/>
      <c r="DG3320" s="115"/>
    </row>
    <row r="3321" spans="55:111" hidden="1">
      <c r="BC3321" s="115"/>
      <c r="BD3321" s="115"/>
      <c r="BE3321" s="115"/>
      <c r="BF3321" s="115"/>
      <c r="BG3321" s="115"/>
      <c r="BH3321" s="115"/>
      <c r="BI3321" s="115"/>
      <c r="BJ3321" s="115"/>
      <c r="BK3321" s="115"/>
      <c r="BL3321" s="115"/>
      <c r="BM3321" s="115"/>
      <c r="BN3321" s="115"/>
      <c r="BO3321" s="115"/>
      <c r="BP3321" s="115"/>
      <c r="BQ3321" s="115"/>
      <c r="BR3321" s="115"/>
      <c r="BS3321" s="115"/>
      <c r="BT3321" s="115"/>
      <c r="BU3321" s="115"/>
      <c r="BV3321" s="115"/>
      <c r="BW3321" s="115"/>
      <c r="BX3321" s="115"/>
      <c r="BY3321" s="115"/>
      <c r="BZ3321" s="115"/>
      <c r="CA3321" s="115"/>
      <c r="CB3321" s="115"/>
      <c r="CC3321" s="115"/>
      <c r="CD3321" s="115"/>
      <c r="CE3321" s="115"/>
      <c r="CF3321" s="115"/>
      <c r="CG3321" s="115"/>
      <c r="CH3321" s="115"/>
      <c r="CI3321" s="115"/>
      <c r="CJ3321" s="115"/>
      <c r="CK3321" s="115"/>
      <c r="CL3321" s="115"/>
      <c r="CM3321" s="115"/>
      <c r="CN3321" s="115"/>
      <c r="CO3321" s="115"/>
      <c r="CP3321" s="115"/>
      <c r="CQ3321" s="115"/>
      <c r="CR3321" s="115"/>
      <c r="CS3321" s="115"/>
      <c r="CT3321" s="115"/>
      <c r="CU3321" s="115"/>
      <c r="CV3321" s="115"/>
      <c r="CW3321" s="115"/>
      <c r="CX3321" s="115"/>
      <c r="CY3321" s="115"/>
      <c r="CZ3321" s="115"/>
      <c r="DA3321" s="115"/>
      <c r="DB3321" s="115"/>
      <c r="DC3321" s="115"/>
      <c r="DD3321" s="115"/>
      <c r="DE3321" s="115"/>
      <c r="DF3321" s="115"/>
      <c r="DG3321" s="115"/>
    </row>
    <row r="3322" spans="55:111" hidden="1">
      <c r="BC3322" s="115"/>
      <c r="BD3322" s="115"/>
      <c r="BE3322" s="115"/>
      <c r="BF3322" s="115"/>
      <c r="BG3322" s="115"/>
      <c r="BH3322" s="115"/>
      <c r="BI3322" s="115"/>
      <c r="BJ3322" s="115"/>
      <c r="BK3322" s="115"/>
      <c r="BL3322" s="115"/>
      <c r="BM3322" s="115"/>
      <c r="BN3322" s="115"/>
      <c r="BO3322" s="115"/>
      <c r="BP3322" s="115"/>
      <c r="BQ3322" s="115"/>
      <c r="BR3322" s="115"/>
      <c r="BS3322" s="115"/>
      <c r="BT3322" s="115"/>
      <c r="BU3322" s="115"/>
      <c r="BV3322" s="115"/>
      <c r="BW3322" s="115"/>
      <c r="BX3322" s="115"/>
      <c r="BY3322" s="115"/>
      <c r="BZ3322" s="115"/>
      <c r="CA3322" s="115"/>
      <c r="CB3322" s="115"/>
      <c r="CC3322" s="115"/>
      <c r="CD3322" s="115"/>
      <c r="CE3322" s="115"/>
      <c r="CF3322" s="115"/>
      <c r="CG3322" s="115"/>
      <c r="CH3322" s="115"/>
      <c r="CI3322" s="115"/>
      <c r="CJ3322" s="115"/>
      <c r="CK3322" s="115"/>
      <c r="CL3322" s="115"/>
      <c r="CM3322" s="115"/>
      <c r="CN3322" s="115"/>
      <c r="CO3322" s="115"/>
      <c r="CP3322" s="115"/>
      <c r="CQ3322" s="115"/>
      <c r="CR3322" s="115"/>
      <c r="CS3322" s="115"/>
      <c r="CT3322" s="115"/>
      <c r="CU3322" s="115"/>
      <c r="CV3322" s="115"/>
      <c r="CW3322" s="115"/>
      <c r="CX3322" s="115"/>
      <c r="CY3322" s="115"/>
      <c r="CZ3322" s="115"/>
      <c r="DA3322" s="115"/>
      <c r="DB3322" s="115"/>
      <c r="DC3322" s="115"/>
      <c r="DD3322" s="115"/>
      <c r="DE3322" s="115"/>
      <c r="DF3322" s="115"/>
      <c r="DG3322" s="115"/>
    </row>
    <row r="3323" spans="55:111" hidden="1">
      <c r="BC3323" s="115"/>
      <c r="BD3323" s="115"/>
      <c r="BE3323" s="115"/>
      <c r="BF3323" s="115"/>
      <c r="BG3323" s="115"/>
      <c r="BH3323" s="115"/>
      <c r="BI3323" s="115"/>
      <c r="BJ3323" s="115"/>
      <c r="BK3323" s="115"/>
      <c r="BL3323" s="115"/>
      <c r="BM3323" s="115"/>
      <c r="BN3323" s="115"/>
      <c r="BO3323" s="115"/>
      <c r="BP3323" s="115"/>
      <c r="BQ3323" s="115"/>
      <c r="BR3323" s="115"/>
      <c r="BS3323" s="115"/>
      <c r="BT3323" s="115"/>
      <c r="BU3323" s="115"/>
      <c r="BV3323" s="115"/>
      <c r="BW3323" s="115"/>
      <c r="BX3323" s="115"/>
      <c r="BY3323" s="115"/>
      <c r="BZ3323" s="115"/>
      <c r="CA3323" s="115"/>
      <c r="CB3323" s="115"/>
      <c r="CC3323" s="115"/>
      <c r="CD3323" s="115"/>
      <c r="CE3323" s="115"/>
      <c r="CF3323" s="115"/>
      <c r="CG3323" s="115"/>
      <c r="CH3323" s="115"/>
      <c r="CI3323" s="115"/>
      <c r="CJ3323" s="115"/>
      <c r="CK3323" s="115"/>
      <c r="CL3323" s="115"/>
      <c r="CM3323" s="115"/>
      <c r="CN3323" s="115"/>
      <c r="CO3323" s="115"/>
      <c r="CP3323" s="115"/>
      <c r="CQ3323" s="115"/>
      <c r="CR3323" s="115"/>
      <c r="CS3323" s="115"/>
      <c r="CT3323" s="115"/>
      <c r="CU3323" s="115"/>
      <c r="CV3323" s="115"/>
      <c r="CW3323" s="115"/>
      <c r="CX3323" s="115"/>
      <c r="CY3323" s="115"/>
      <c r="CZ3323" s="115"/>
      <c r="DA3323" s="115"/>
      <c r="DB3323" s="115"/>
      <c r="DC3323" s="115"/>
      <c r="DD3323" s="115"/>
      <c r="DE3323" s="115"/>
      <c r="DF3323" s="115"/>
      <c r="DG3323" s="115"/>
    </row>
    <row r="3324" spans="55:111" hidden="1">
      <c r="BC3324" s="115"/>
      <c r="BD3324" s="115"/>
      <c r="BE3324" s="115"/>
      <c r="BF3324" s="115"/>
      <c r="BG3324" s="115"/>
      <c r="BH3324" s="115"/>
      <c r="BI3324" s="115"/>
      <c r="BJ3324" s="115"/>
      <c r="BK3324" s="115"/>
      <c r="BL3324" s="115"/>
      <c r="BM3324" s="115"/>
      <c r="BN3324" s="115"/>
      <c r="BO3324" s="115"/>
      <c r="BP3324" s="115"/>
      <c r="BQ3324" s="115"/>
      <c r="BR3324" s="115"/>
      <c r="BS3324" s="115"/>
      <c r="BT3324" s="115"/>
      <c r="BU3324" s="115"/>
      <c r="BV3324" s="115"/>
      <c r="BW3324" s="115"/>
      <c r="BX3324" s="115"/>
      <c r="BY3324" s="115"/>
      <c r="BZ3324" s="115"/>
      <c r="CA3324" s="115"/>
      <c r="CB3324" s="115"/>
      <c r="CC3324" s="115"/>
      <c r="CD3324" s="115"/>
      <c r="CE3324" s="115"/>
      <c r="CF3324" s="115"/>
      <c r="CG3324" s="115"/>
      <c r="CH3324" s="115"/>
      <c r="CI3324" s="115"/>
      <c r="CJ3324" s="115"/>
      <c r="CK3324" s="115"/>
      <c r="CL3324" s="115"/>
      <c r="CM3324" s="115"/>
      <c r="CN3324" s="115"/>
      <c r="CO3324" s="115"/>
      <c r="CP3324" s="115"/>
      <c r="CQ3324" s="115"/>
      <c r="CR3324" s="115"/>
      <c r="CS3324" s="115"/>
      <c r="CT3324" s="115"/>
      <c r="CU3324" s="115"/>
      <c r="CV3324" s="115"/>
      <c r="CW3324" s="115"/>
      <c r="CX3324" s="115"/>
      <c r="CY3324" s="115"/>
      <c r="CZ3324" s="115"/>
      <c r="DA3324" s="115"/>
      <c r="DB3324" s="115"/>
      <c r="DC3324" s="115"/>
      <c r="DD3324" s="115"/>
      <c r="DE3324" s="115"/>
      <c r="DF3324" s="115"/>
      <c r="DG3324" s="115"/>
    </row>
    <row r="3325" spans="55:111" hidden="1">
      <c r="BC3325" s="115"/>
      <c r="BD3325" s="115"/>
      <c r="BE3325" s="115"/>
      <c r="BF3325" s="115"/>
      <c r="BG3325" s="115"/>
      <c r="BH3325" s="115"/>
      <c r="BI3325" s="115"/>
      <c r="BJ3325" s="115"/>
      <c r="BK3325" s="115"/>
      <c r="BL3325" s="115"/>
      <c r="BM3325" s="115"/>
      <c r="BN3325" s="115"/>
      <c r="BO3325" s="115"/>
      <c r="BP3325" s="115"/>
      <c r="BQ3325" s="115"/>
      <c r="BR3325" s="115"/>
      <c r="BS3325" s="115"/>
      <c r="BT3325" s="115"/>
      <c r="BU3325" s="115"/>
      <c r="BV3325" s="115"/>
      <c r="BW3325" s="115"/>
      <c r="BX3325" s="115"/>
      <c r="BY3325" s="115"/>
      <c r="BZ3325" s="115"/>
      <c r="CA3325" s="115"/>
      <c r="CB3325" s="115"/>
      <c r="CC3325" s="115"/>
      <c r="CD3325" s="115"/>
      <c r="CE3325" s="115"/>
      <c r="CF3325" s="115"/>
      <c r="CG3325" s="115"/>
      <c r="CH3325" s="115"/>
      <c r="CI3325" s="115"/>
      <c r="CJ3325" s="115"/>
      <c r="CK3325" s="115"/>
      <c r="CL3325" s="115"/>
      <c r="CM3325" s="115"/>
      <c r="CN3325" s="115"/>
      <c r="CO3325" s="115"/>
      <c r="CP3325" s="115"/>
      <c r="CQ3325" s="115"/>
      <c r="CR3325" s="115"/>
      <c r="CS3325" s="115"/>
      <c r="CT3325" s="115"/>
      <c r="CU3325" s="115"/>
      <c r="CV3325" s="115"/>
      <c r="CW3325" s="115"/>
      <c r="CX3325" s="115"/>
      <c r="CY3325" s="115"/>
      <c r="CZ3325" s="115"/>
      <c r="DA3325" s="115"/>
      <c r="DB3325" s="115"/>
      <c r="DC3325" s="115"/>
      <c r="DD3325" s="115"/>
      <c r="DE3325" s="115"/>
      <c r="DF3325" s="115"/>
      <c r="DG3325" s="115"/>
    </row>
    <row r="3326" spans="55:111" hidden="1">
      <c r="BC3326" s="115"/>
      <c r="BD3326" s="115"/>
      <c r="BE3326" s="115"/>
      <c r="BF3326" s="115"/>
      <c r="BG3326" s="115"/>
      <c r="BH3326" s="115"/>
      <c r="BI3326" s="115"/>
      <c r="BJ3326" s="115"/>
      <c r="BK3326" s="115"/>
      <c r="BL3326" s="115"/>
      <c r="BM3326" s="115"/>
      <c r="BN3326" s="115"/>
      <c r="BO3326" s="115"/>
      <c r="BP3326" s="115"/>
      <c r="BQ3326" s="115"/>
      <c r="BR3326" s="115"/>
      <c r="BS3326" s="115"/>
      <c r="BT3326" s="115"/>
      <c r="BU3326" s="115"/>
      <c r="BV3326" s="115"/>
      <c r="BW3326" s="115"/>
      <c r="BX3326" s="115"/>
      <c r="BY3326" s="115"/>
      <c r="BZ3326" s="115"/>
      <c r="CA3326" s="115"/>
      <c r="CB3326" s="115"/>
      <c r="CC3326" s="115"/>
      <c r="CD3326" s="115"/>
      <c r="CE3326" s="115"/>
      <c r="CF3326" s="115"/>
      <c r="CG3326" s="115"/>
      <c r="CH3326" s="115"/>
      <c r="CI3326" s="115"/>
      <c r="CJ3326" s="115"/>
      <c r="CK3326" s="115"/>
      <c r="CL3326" s="115"/>
      <c r="CM3326" s="115"/>
      <c r="CN3326" s="115"/>
      <c r="CO3326" s="115"/>
      <c r="CP3326" s="115"/>
      <c r="CQ3326" s="115"/>
      <c r="CR3326" s="115"/>
      <c r="CS3326" s="115"/>
      <c r="CT3326" s="115"/>
      <c r="CU3326" s="115"/>
      <c r="CV3326" s="115"/>
      <c r="CW3326" s="115"/>
      <c r="CX3326" s="115"/>
      <c r="CY3326" s="115"/>
      <c r="CZ3326" s="115"/>
      <c r="DA3326" s="115"/>
      <c r="DB3326" s="115"/>
      <c r="DC3326" s="115"/>
      <c r="DD3326" s="115"/>
      <c r="DE3326" s="115"/>
      <c r="DF3326" s="115"/>
      <c r="DG3326" s="115"/>
    </row>
    <row r="3327" spans="55:111" hidden="1">
      <c r="BC3327" s="115"/>
      <c r="BD3327" s="115"/>
      <c r="BE3327" s="115"/>
      <c r="BF3327" s="115"/>
      <c r="BG3327" s="115"/>
      <c r="BH3327" s="115"/>
      <c r="BI3327" s="115"/>
      <c r="BJ3327" s="115"/>
      <c r="BK3327" s="115"/>
      <c r="BL3327" s="115"/>
      <c r="BM3327" s="115"/>
      <c r="BN3327" s="115"/>
      <c r="BO3327" s="115"/>
      <c r="BP3327" s="115"/>
      <c r="BQ3327" s="115"/>
      <c r="BR3327" s="115"/>
      <c r="BS3327" s="115"/>
      <c r="BT3327" s="115"/>
      <c r="BU3327" s="115"/>
      <c r="BV3327" s="115"/>
      <c r="BW3327" s="115"/>
      <c r="BX3327" s="115"/>
      <c r="BY3327" s="115"/>
      <c r="BZ3327" s="115"/>
      <c r="CA3327" s="115"/>
      <c r="CB3327" s="115"/>
      <c r="CC3327" s="115"/>
      <c r="CD3327" s="115"/>
      <c r="CE3327" s="115"/>
      <c r="CF3327" s="115"/>
      <c r="CG3327" s="115"/>
      <c r="CH3327" s="115"/>
      <c r="CI3327" s="115"/>
      <c r="CJ3327" s="115"/>
      <c r="CK3327" s="115"/>
      <c r="CL3327" s="115"/>
      <c r="CM3327" s="115"/>
      <c r="CN3327" s="115"/>
      <c r="CO3327" s="115"/>
      <c r="CP3327" s="115"/>
      <c r="CQ3327" s="115"/>
      <c r="CR3327" s="115"/>
      <c r="CS3327" s="115"/>
      <c r="CT3327" s="115"/>
      <c r="CU3327" s="115"/>
      <c r="CV3327" s="115"/>
      <c r="CW3327" s="115"/>
      <c r="CX3327" s="115"/>
      <c r="CY3327" s="115"/>
      <c r="CZ3327" s="115"/>
      <c r="DA3327" s="115"/>
      <c r="DB3327" s="115"/>
      <c r="DC3327" s="115"/>
      <c r="DD3327" s="115"/>
      <c r="DE3327" s="115"/>
      <c r="DF3327" s="115"/>
      <c r="DG3327" s="115"/>
    </row>
    <row r="3328" spans="55:111" hidden="1">
      <c r="BC3328" s="115"/>
      <c r="BD3328" s="115"/>
      <c r="BE3328" s="115"/>
      <c r="BF3328" s="115"/>
      <c r="BG3328" s="115"/>
      <c r="BH3328" s="115"/>
      <c r="BI3328" s="115"/>
      <c r="BJ3328" s="115"/>
      <c r="BK3328" s="115"/>
      <c r="BL3328" s="115"/>
      <c r="BM3328" s="115"/>
      <c r="BN3328" s="115"/>
      <c r="BO3328" s="115"/>
      <c r="BP3328" s="115"/>
      <c r="BQ3328" s="115"/>
      <c r="BR3328" s="115"/>
      <c r="BS3328" s="115"/>
      <c r="BT3328" s="115"/>
      <c r="BU3328" s="115"/>
      <c r="BV3328" s="115"/>
      <c r="BW3328" s="115"/>
      <c r="BX3328" s="115"/>
      <c r="BY3328" s="115"/>
      <c r="BZ3328" s="115"/>
      <c r="CA3328" s="115"/>
      <c r="CB3328" s="115"/>
      <c r="CC3328" s="115"/>
      <c r="CD3328" s="115"/>
      <c r="CE3328" s="115"/>
      <c r="CF3328" s="115"/>
      <c r="CG3328" s="115"/>
      <c r="CH3328" s="115"/>
      <c r="CI3328" s="115"/>
      <c r="CJ3328" s="115"/>
      <c r="CK3328" s="115"/>
      <c r="CL3328" s="115"/>
      <c r="CM3328" s="115"/>
      <c r="CN3328" s="115"/>
      <c r="CO3328" s="115"/>
      <c r="CP3328" s="115"/>
      <c r="CQ3328" s="115"/>
      <c r="CR3328" s="115"/>
      <c r="CS3328" s="115"/>
      <c r="CT3328" s="115"/>
      <c r="CU3328" s="115"/>
      <c r="CV3328" s="115"/>
      <c r="CW3328" s="115"/>
      <c r="CX3328" s="115"/>
      <c r="CY3328" s="115"/>
      <c r="CZ3328" s="115"/>
      <c r="DA3328" s="115"/>
      <c r="DB3328" s="115"/>
      <c r="DC3328" s="115"/>
      <c r="DD3328" s="115"/>
      <c r="DE3328" s="115"/>
      <c r="DF3328" s="115"/>
      <c r="DG3328" s="115"/>
    </row>
    <row r="3329" spans="55:111" hidden="1">
      <c r="BC3329" s="115"/>
      <c r="BD3329" s="115"/>
      <c r="BE3329" s="115"/>
      <c r="BF3329" s="115"/>
      <c r="BG3329" s="115"/>
      <c r="BH3329" s="115"/>
      <c r="BI3329" s="115"/>
      <c r="BJ3329" s="115"/>
      <c r="BK3329" s="115"/>
      <c r="BL3329" s="115"/>
      <c r="BM3329" s="115"/>
      <c r="BN3329" s="115"/>
      <c r="BO3329" s="115"/>
      <c r="BP3329" s="115"/>
      <c r="BQ3329" s="115"/>
      <c r="BR3329" s="115"/>
      <c r="BS3329" s="115"/>
      <c r="BT3329" s="115"/>
      <c r="BU3329" s="115"/>
      <c r="BV3329" s="115"/>
      <c r="BW3329" s="115"/>
      <c r="BX3329" s="115"/>
      <c r="BY3329" s="115"/>
      <c r="BZ3329" s="115"/>
      <c r="CA3329" s="115"/>
      <c r="CB3329" s="115"/>
      <c r="CC3329" s="115"/>
      <c r="CD3329" s="115"/>
      <c r="CE3329" s="115"/>
      <c r="CF3329" s="115"/>
      <c r="CG3329" s="115"/>
      <c r="CH3329" s="115"/>
      <c r="CI3329" s="115"/>
      <c r="CJ3329" s="115"/>
      <c r="CK3329" s="115"/>
      <c r="CL3329" s="115"/>
      <c r="CM3329" s="115"/>
      <c r="CN3329" s="115"/>
      <c r="CO3329" s="115"/>
      <c r="CP3329" s="115"/>
      <c r="CQ3329" s="115"/>
      <c r="CR3329" s="115"/>
      <c r="CS3329" s="115"/>
      <c r="CT3329" s="115"/>
      <c r="CU3329" s="115"/>
      <c r="CV3329" s="115"/>
      <c r="CW3329" s="115"/>
      <c r="CX3329" s="115"/>
      <c r="CY3329" s="115"/>
      <c r="CZ3329" s="115"/>
      <c r="DA3329" s="115"/>
      <c r="DB3329" s="115"/>
      <c r="DC3329" s="115"/>
      <c r="DD3329" s="115"/>
      <c r="DE3329" s="115"/>
      <c r="DF3329" s="115"/>
      <c r="DG3329" s="115"/>
    </row>
    <row r="3330" spans="55:111" hidden="1">
      <c r="BC3330" s="115"/>
      <c r="BD3330" s="115"/>
      <c r="BE3330" s="115"/>
      <c r="BF3330" s="115"/>
      <c r="BG3330" s="115"/>
      <c r="BH3330" s="115"/>
      <c r="BI3330" s="115"/>
      <c r="BJ3330" s="115"/>
      <c r="BK3330" s="115"/>
      <c r="BL3330" s="115"/>
      <c r="BM3330" s="115"/>
      <c r="BN3330" s="115"/>
      <c r="BO3330" s="115"/>
      <c r="BP3330" s="115"/>
      <c r="BQ3330" s="115"/>
      <c r="BR3330" s="115"/>
      <c r="BS3330" s="115"/>
      <c r="BT3330" s="115"/>
      <c r="BU3330" s="115"/>
      <c r="BV3330" s="115"/>
      <c r="BW3330" s="115"/>
      <c r="BX3330" s="115"/>
      <c r="BY3330" s="115"/>
      <c r="BZ3330" s="115"/>
      <c r="CA3330" s="115"/>
      <c r="CB3330" s="115"/>
      <c r="CC3330" s="115"/>
      <c r="CD3330" s="115"/>
      <c r="CE3330" s="115"/>
      <c r="CF3330" s="115"/>
      <c r="CG3330" s="115"/>
      <c r="CH3330" s="115"/>
      <c r="CI3330" s="115"/>
      <c r="CJ3330" s="115"/>
      <c r="CK3330" s="115"/>
      <c r="CL3330" s="115"/>
      <c r="CM3330" s="115"/>
      <c r="CN3330" s="115"/>
      <c r="CO3330" s="115"/>
      <c r="CP3330" s="115"/>
      <c r="CQ3330" s="115"/>
      <c r="CR3330" s="115"/>
      <c r="CS3330" s="115"/>
      <c r="CT3330" s="115"/>
      <c r="CU3330" s="115"/>
      <c r="CV3330" s="115"/>
      <c r="CW3330" s="115"/>
      <c r="CX3330" s="115"/>
      <c r="CY3330" s="115"/>
      <c r="CZ3330" s="115"/>
      <c r="DA3330" s="115"/>
      <c r="DB3330" s="115"/>
      <c r="DC3330" s="115"/>
      <c r="DD3330" s="115"/>
      <c r="DE3330" s="115"/>
      <c r="DF3330" s="115"/>
      <c r="DG3330" s="115"/>
    </row>
    <row r="3331" spans="55:111" hidden="1">
      <c r="BC3331" s="115"/>
      <c r="BD3331" s="115"/>
      <c r="BE3331" s="115"/>
      <c r="BF3331" s="115"/>
      <c r="BG3331" s="115"/>
      <c r="BH3331" s="115"/>
      <c r="BI3331" s="115"/>
      <c r="BJ3331" s="115"/>
      <c r="BK3331" s="115"/>
      <c r="BL3331" s="115"/>
      <c r="BM3331" s="115"/>
      <c r="BN3331" s="115"/>
      <c r="BO3331" s="115"/>
      <c r="BP3331" s="115"/>
      <c r="BQ3331" s="115"/>
      <c r="BR3331" s="115"/>
      <c r="BS3331" s="115"/>
      <c r="BT3331" s="115"/>
      <c r="BU3331" s="115"/>
      <c r="BV3331" s="115"/>
      <c r="BW3331" s="115"/>
      <c r="BX3331" s="115"/>
      <c r="BY3331" s="115"/>
      <c r="BZ3331" s="115"/>
      <c r="CA3331" s="115"/>
      <c r="CB3331" s="115"/>
      <c r="CC3331" s="115"/>
      <c r="CD3331" s="115"/>
      <c r="CE3331" s="115"/>
      <c r="CF3331" s="115"/>
      <c r="CG3331" s="115"/>
      <c r="CH3331" s="115"/>
      <c r="CI3331" s="115"/>
      <c r="CJ3331" s="115"/>
      <c r="CK3331" s="115"/>
      <c r="CL3331" s="115"/>
      <c r="CM3331" s="115"/>
      <c r="CN3331" s="115"/>
      <c r="CO3331" s="115"/>
      <c r="CP3331" s="115"/>
      <c r="CQ3331" s="115"/>
      <c r="CR3331" s="115"/>
      <c r="CS3331" s="115"/>
      <c r="CT3331" s="115"/>
      <c r="CU3331" s="115"/>
      <c r="CV3331" s="115"/>
      <c r="CW3331" s="115"/>
      <c r="CX3331" s="115"/>
      <c r="CY3331" s="115"/>
      <c r="CZ3331" s="115"/>
      <c r="DA3331" s="115"/>
      <c r="DB3331" s="115"/>
      <c r="DC3331" s="115"/>
      <c r="DD3331" s="115"/>
      <c r="DE3331" s="115"/>
      <c r="DF3331" s="115"/>
      <c r="DG3331" s="115"/>
    </row>
    <row r="3332" spans="55:111" hidden="1">
      <c r="BC3332" s="115"/>
      <c r="BD3332" s="115"/>
      <c r="BE3332" s="115"/>
      <c r="BF3332" s="115"/>
      <c r="BG3332" s="115"/>
      <c r="BH3332" s="115"/>
      <c r="BI3332" s="115"/>
      <c r="BJ3332" s="115"/>
      <c r="BK3332" s="115"/>
      <c r="BL3332" s="115"/>
      <c r="BM3332" s="115"/>
      <c r="BN3332" s="115"/>
      <c r="BO3332" s="115"/>
      <c r="BP3332" s="115"/>
      <c r="BQ3332" s="115"/>
      <c r="BR3332" s="115"/>
      <c r="BS3332" s="115"/>
      <c r="BT3332" s="115"/>
      <c r="BU3332" s="115"/>
      <c r="BV3332" s="115"/>
      <c r="BW3332" s="115"/>
      <c r="BX3332" s="115"/>
      <c r="BY3332" s="115"/>
      <c r="BZ3332" s="115"/>
      <c r="CA3332" s="115"/>
      <c r="CB3332" s="115"/>
      <c r="CC3332" s="115"/>
      <c r="CD3332" s="115"/>
      <c r="CE3332" s="115"/>
      <c r="CF3332" s="115"/>
      <c r="CG3332" s="115"/>
      <c r="CH3332" s="115"/>
      <c r="CI3332" s="115"/>
      <c r="CJ3332" s="115"/>
      <c r="CK3332" s="115"/>
      <c r="CL3332" s="115"/>
      <c r="CM3332" s="115"/>
      <c r="CN3332" s="115"/>
      <c r="CO3332" s="115"/>
      <c r="CP3332" s="115"/>
      <c r="CQ3332" s="115"/>
      <c r="CR3332" s="115"/>
      <c r="CS3332" s="115"/>
      <c r="CT3332" s="115"/>
      <c r="CU3332" s="115"/>
      <c r="CV3332" s="115"/>
      <c r="CW3332" s="115"/>
      <c r="CX3332" s="115"/>
      <c r="CY3332" s="115"/>
      <c r="CZ3332" s="115"/>
      <c r="DA3332" s="115"/>
      <c r="DB3332" s="115"/>
      <c r="DC3332" s="115"/>
      <c r="DD3332" s="115"/>
      <c r="DE3332" s="115"/>
      <c r="DF3332" s="115"/>
      <c r="DG3332" s="115"/>
    </row>
    <row r="3333" spans="55:111" hidden="1">
      <c r="BC3333" s="115"/>
      <c r="BD3333" s="115"/>
      <c r="BE3333" s="115"/>
      <c r="BF3333" s="115"/>
      <c r="BG3333" s="115"/>
      <c r="BH3333" s="115"/>
      <c r="BI3333" s="115"/>
      <c r="BJ3333" s="115"/>
      <c r="BK3333" s="115"/>
      <c r="BL3333" s="115"/>
      <c r="BM3333" s="115"/>
      <c r="BN3333" s="115"/>
      <c r="BO3333" s="115"/>
      <c r="BP3333" s="115"/>
      <c r="BQ3333" s="115"/>
      <c r="BR3333" s="115"/>
      <c r="BS3333" s="115"/>
      <c r="BT3333" s="115"/>
      <c r="BU3333" s="115"/>
      <c r="BV3333" s="115"/>
      <c r="BW3333" s="115"/>
      <c r="BX3333" s="115"/>
      <c r="BY3333" s="115"/>
      <c r="BZ3333" s="115"/>
      <c r="CA3333" s="115"/>
      <c r="CB3333" s="115"/>
      <c r="CC3333" s="115"/>
      <c r="CD3333" s="115"/>
      <c r="CE3333" s="115"/>
      <c r="CF3333" s="115"/>
      <c r="CG3333" s="115"/>
      <c r="CH3333" s="115"/>
      <c r="CI3333" s="115"/>
      <c r="CJ3333" s="115"/>
      <c r="CK3333" s="115"/>
      <c r="CL3333" s="115"/>
      <c r="CM3333" s="115"/>
      <c r="CN3333" s="115"/>
      <c r="CO3333" s="115"/>
      <c r="CP3333" s="115"/>
      <c r="CQ3333" s="115"/>
      <c r="CR3333" s="115"/>
      <c r="CS3333" s="115"/>
      <c r="CT3333" s="115"/>
      <c r="CU3333" s="115"/>
      <c r="CV3333" s="115"/>
      <c r="CW3333" s="115"/>
      <c r="CX3333" s="115"/>
      <c r="CY3333" s="115"/>
      <c r="CZ3333" s="115"/>
      <c r="DA3333" s="115"/>
      <c r="DB3333" s="115"/>
      <c r="DC3333" s="115"/>
      <c r="DD3333" s="115"/>
      <c r="DE3333" s="115"/>
      <c r="DF3333" s="115"/>
      <c r="DG3333" s="115"/>
    </row>
    <row r="3334" spans="55:111" hidden="1">
      <c r="BC3334" s="115"/>
      <c r="BD3334" s="115"/>
      <c r="BE3334" s="115"/>
      <c r="BF3334" s="115"/>
      <c r="BG3334" s="115"/>
      <c r="BH3334" s="115"/>
      <c r="BI3334" s="115"/>
      <c r="BJ3334" s="115"/>
      <c r="BK3334" s="115"/>
      <c r="BL3334" s="115"/>
      <c r="BM3334" s="115"/>
      <c r="BN3334" s="115"/>
      <c r="BO3334" s="115"/>
      <c r="BP3334" s="115"/>
      <c r="BQ3334" s="115"/>
      <c r="BR3334" s="115"/>
      <c r="BS3334" s="115"/>
      <c r="BT3334" s="115"/>
      <c r="BU3334" s="115"/>
      <c r="BV3334" s="115"/>
      <c r="BW3334" s="115"/>
      <c r="BX3334" s="115"/>
      <c r="BY3334" s="115"/>
      <c r="BZ3334" s="115"/>
      <c r="CA3334" s="115"/>
      <c r="CB3334" s="115"/>
      <c r="CC3334" s="115"/>
      <c r="CD3334" s="115"/>
      <c r="CE3334" s="115"/>
      <c r="CF3334" s="115"/>
      <c r="CG3334" s="115"/>
      <c r="CH3334" s="115"/>
      <c r="CI3334" s="115"/>
      <c r="CJ3334" s="115"/>
      <c r="CK3334" s="115"/>
      <c r="CL3334" s="115"/>
      <c r="CM3334" s="115"/>
      <c r="CN3334" s="115"/>
      <c r="CO3334" s="115"/>
      <c r="CP3334" s="115"/>
      <c r="CQ3334" s="115"/>
      <c r="CR3334" s="115"/>
      <c r="CS3334" s="115"/>
      <c r="CT3334" s="115"/>
      <c r="CU3334" s="115"/>
      <c r="CV3334" s="115"/>
      <c r="CW3334" s="115"/>
      <c r="CX3334" s="115"/>
      <c r="CY3334" s="115"/>
      <c r="CZ3334" s="115"/>
      <c r="DA3334" s="115"/>
      <c r="DB3334" s="115"/>
      <c r="DC3334" s="115"/>
      <c r="DD3334" s="115"/>
      <c r="DE3334" s="115"/>
      <c r="DF3334" s="115"/>
      <c r="DG3334" s="115"/>
    </row>
    <row r="3335" spans="55:111" hidden="1">
      <c r="BC3335" s="115"/>
      <c r="BD3335" s="115"/>
      <c r="BE3335" s="115"/>
      <c r="BF3335" s="115"/>
      <c r="BG3335" s="115"/>
      <c r="BH3335" s="115"/>
      <c r="BI3335" s="115"/>
      <c r="BJ3335" s="115"/>
      <c r="BK3335" s="115"/>
      <c r="BL3335" s="115"/>
      <c r="BM3335" s="115"/>
      <c r="BN3335" s="115"/>
      <c r="BO3335" s="115"/>
      <c r="BP3335" s="115"/>
      <c r="BQ3335" s="115"/>
      <c r="BR3335" s="115"/>
      <c r="BS3335" s="115"/>
      <c r="BT3335" s="115"/>
      <c r="BU3335" s="115"/>
      <c r="BV3335" s="115"/>
      <c r="BW3335" s="115"/>
      <c r="BX3335" s="115"/>
      <c r="BY3335" s="115"/>
      <c r="BZ3335" s="115"/>
      <c r="CA3335" s="115"/>
      <c r="CB3335" s="115"/>
      <c r="CC3335" s="115"/>
      <c r="CD3335" s="115"/>
      <c r="CE3335" s="115"/>
      <c r="CF3335" s="115"/>
      <c r="CG3335" s="115"/>
      <c r="CH3335" s="115"/>
      <c r="CI3335" s="115"/>
      <c r="CJ3335" s="115"/>
      <c r="CK3335" s="115"/>
      <c r="CL3335" s="115"/>
      <c r="CM3335" s="115"/>
      <c r="CN3335" s="115"/>
      <c r="CO3335" s="115"/>
      <c r="CP3335" s="115"/>
      <c r="CQ3335" s="115"/>
      <c r="CR3335" s="115"/>
      <c r="CS3335" s="115"/>
      <c r="CT3335" s="115"/>
      <c r="CU3335" s="115"/>
      <c r="CV3335" s="115"/>
      <c r="CW3335" s="115"/>
      <c r="CX3335" s="115"/>
      <c r="CY3335" s="115"/>
      <c r="CZ3335" s="115"/>
      <c r="DA3335" s="115"/>
      <c r="DB3335" s="115"/>
      <c r="DC3335" s="115"/>
      <c r="DD3335" s="115"/>
      <c r="DE3335" s="115"/>
      <c r="DF3335" s="115"/>
      <c r="DG3335" s="115"/>
    </row>
    <row r="3336" spans="55:111" hidden="1">
      <c r="BC3336" s="115"/>
      <c r="BD3336" s="115"/>
      <c r="BE3336" s="115"/>
      <c r="BF3336" s="115"/>
      <c r="BG3336" s="115"/>
      <c r="BH3336" s="115"/>
      <c r="BI3336" s="115"/>
      <c r="BJ3336" s="115"/>
      <c r="BK3336" s="115"/>
      <c r="BL3336" s="115"/>
      <c r="BM3336" s="115"/>
      <c r="BN3336" s="115"/>
      <c r="BO3336" s="115"/>
      <c r="BP3336" s="115"/>
      <c r="BQ3336" s="115"/>
      <c r="BR3336" s="115"/>
      <c r="BS3336" s="115"/>
      <c r="BT3336" s="115"/>
      <c r="BU3336" s="115"/>
      <c r="BV3336" s="115"/>
      <c r="BW3336" s="115"/>
      <c r="BX3336" s="115"/>
      <c r="BY3336" s="115"/>
      <c r="BZ3336" s="115"/>
      <c r="CA3336" s="115"/>
      <c r="CB3336" s="115"/>
      <c r="CC3336" s="115"/>
      <c r="CD3336" s="115"/>
      <c r="CE3336" s="115"/>
      <c r="CF3336" s="115"/>
      <c r="CG3336" s="115"/>
      <c r="CH3336" s="115"/>
      <c r="CI3336" s="115"/>
      <c r="CJ3336" s="115"/>
      <c r="CK3336" s="115"/>
      <c r="CL3336" s="115"/>
      <c r="CM3336" s="115"/>
      <c r="CN3336" s="115"/>
      <c r="CO3336" s="115"/>
      <c r="CP3336" s="115"/>
      <c r="CQ3336" s="115"/>
      <c r="CR3336" s="115"/>
      <c r="CS3336" s="115"/>
      <c r="CT3336" s="115"/>
      <c r="CU3336" s="115"/>
      <c r="CV3336" s="115"/>
      <c r="CW3336" s="115"/>
      <c r="CX3336" s="115"/>
      <c r="CY3336" s="115"/>
      <c r="CZ3336" s="115"/>
      <c r="DA3336" s="115"/>
      <c r="DB3336" s="115"/>
      <c r="DC3336" s="115"/>
      <c r="DD3336" s="115"/>
      <c r="DE3336" s="115"/>
      <c r="DF3336" s="115"/>
      <c r="DG3336" s="115"/>
    </row>
    <row r="3337" spans="55:111" hidden="1">
      <c r="BC3337" s="115"/>
      <c r="BD3337" s="115"/>
      <c r="BE3337" s="115"/>
      <c r="BF3337" s="115"/>
      <c r="BG3337" s="115"/>
      <c r="BH3337" s="115"/>
      <c r="BI3337" s="115"/>
      <c r="BJ3337" s="115"/>
      <c r="BK3337" s="115"/>
      <c r="BL3337" s="115"/>
      <c r="BM3337" s="115"/>
      <c r="BN3337" s="115"/>
      <c r="BO3337" s="115"/>
      <c r="BP3337" s="115"/>
      <c r="BQ3337" s="115"/>
      <c r="BR3337" s="115"/>
      <c r="BS3337" s="115"/>
      <c r="BT3337" s="115"/>
      <c r="BU3337" s="115"/>
      <c r="BV3337" s="115"/>
      <c r="BW3337" s="115"/>
      <c r="BX3337" s="115"/>
      <c r="BY3337" s="115"/>
      <c r="BZ3337" s="115"/>
      <c r="CA3337" s="115"/>
      <c r="CB3337" s="115"/>
      <c r="CC3337" s="115"/>
      <c r="CD3337" s="115"/>
      <c r="CE3337" s="115"/>
      <c r="CF3337" s="115"/>
      <c r="CG3337" s="115"/>
      <c r="CH3337" s="115"/>
      <c r="CI3337" s="115"/>
      <c r="CJ3337" s="115"/>
      <c r="CK3337" s="115"/>
      <c r="CL3337" s="115"/>
      <c r="CM3337" s="115"/>
      <c r="CN3337" s="115"/>
      <c r="CO3337" s="115"/>
      <c r="CP3337" s="115"/>
      <c r="CQ3337" s="115"/>
      <c r="CR3337" s="115"/>
      <c r="CS3337" s="115"/>
      <c r="CT3337" s="115"/>
      <c r="CU3337" s="115"/>
      <c r="CV3337" s="115"/>
      <c r="CW3337" s="115"/>
      <c r="CX3337" s="115"/>
      <c r="CY3337" s="115"/>
      <c r="CZ3337" s="115"/>
      <c r="DA3337" s="115"/>
      <c r="DB3337" s="115"/>
      <c r="DC3337" s="115"/>
      <c r="DD3337" s="115"/>
      <c r="DE3337" s="115"/>
      <c r="DF3337" s="115"/>
      <c r="DG3337" s="115"/>
    </row>
    <row r="3338" spans="55:111" hidden="1">
      <c r="BC3338" s="115"/>
      <c r="BD3338" s="115"/>
      <c r="BE3338" s="115"/>
      <c r="BF3338" s="115"/>
      <c r="BG3338" s="115"/>
      <c r="BH3338" s="115"/>
      <c r="BI3338" s="115"/>
      <c r="BJ3338" s="115"/>
      <c r="BK3338" s="115"/>
      <c r="BL3338" s="115"/>
      <c r="BM3338" s="115"/>
      <c r="BN3338" s="115"/>
      <c r="BO3338" s="115"/>
      <c r="BP3338" s="115"/>
      <c r="BQ3338" s="115"/>
      <c r="BR3338" s="115"/>
      <c r="BS3338" s="115"/>
      <c r="BT3338" s="115"/>
      <c r="BU3338" s="115"/>
      <c r="BV3338" s="115"/>
      <c r="BW3338" s="115"/>
      <c r="BX3338" s="115"/>
      <c r="BY3338" s="115"/>
      <c r="BZ3338" s="115"/>
      <c r="CA3338" s="115"/>
      <c r="CB3338" s="115"/>
      <c r="CC3338" s="115"/>
      <c r="CD3338" s="115"/>
      <c r="CE3338" s="115"/>
      <c r="CF3338" s="115"/>
      <c r="CG3338" s="115"/>
      <c r="CH3338" s="115"/>
      <c r="CI3338" s="115"/>
      <c r="CJ3338" s="115"/>
      <c r="CK3338" s="115"/>
      <c r="CL3338" s="115"/>
      <c r="CM3338" s="115"/>
      <c r="CN3338" s="115"/>
      <c r="CO3338" s="115"/>
      <c r="CP3338" s="115"/>
      <c r="CQ3338" s="115"/>
      <c r="CR3338" s="115"/>
      <c r="CS3338" s="115"/>
      <c r="CT3338" s="115"/>
      <c r="CU3338" s="115"/>
      <c r="CV3338" s="115"/>
      <c r="CW3338" s="115"/>
      <c r="CX3338" s="115"/>
      <c r="CY3338" s="115"/>
      <c r="CZ3338" s="115"/>
      <c r="DA3338" s="115"/>
      <c r="DB3338" s="115"/>
      <c r="DC3338" s="115"/>
      <c r="DD3338" s="115"/>
      <c r="DE3338" s="115"/>
      <c r="DF3338" s="115"/>
      <c r="DG3338" s="115"/>
    </row>
    <row r="3339" spans="55:111" hidden="1">
      <c r="BC3339" s="115"/>
      <c r="BD3339" s="115"/>
      <c r="BE3339" s="115"/>
      <c r="BF3339" s="115"/>
      <c r="BG3339" s="115"/>
      <c r="BH3339" s="115"/>
      <c r="BI3339" s="115"/>
      <c r="BJ3339" s="115"/>
      <c r="BK3339" s="115"/>
      <c r="BL3339" s="115"/>
      <c r="BM3339" s="115"/>
      <c r="BN3339" s="115"/>
      <c r="BO3339" s="115"/>
      <c r="BP3339" s="115"/>
      <c r="BQ3339" s="115"/>
      <c r="BR3339" s="115"/>
      <c r="BS3339" s="115"/>
      <c r="BT3339" s="115"/>
      <c r="BU3339" s="115"/>
      <c r="BV3339" s="115"/>
      <c r="BW3339" s="115"/>
      <c r="BX3339" s="115"/>
      <c r="BY3339" s="115"/>
      <c r="BZ3339" s="115"/>
      <c r="CA3339" s="115"/>
      <c r="CB3339" s="115"/>
      <c r="CC3339" s="115"/>
      <c r="CD3339" s="115"/>
      <c r="CE3339" s="115"/>
      <c r="CF3339" s="115"/>
      <c r="CG3339" s="115"/>
      <c r="CH3339" s="115"/>
      <c r="CI3339" s="115"/>
      <c r="CJ3339" s="115"/>
      <c r="CK3339" s="115"/>
      <c r="CL3339" s="115"/>
      <c r="CM3339" s="115"/>
      <c r="CN3339" s="115"/>
      <c r="CO3339" s="115"/>
      <c r="CP3339" s="115"/>
      <c r="CQ3339" s="115"/>
      <c r="CR3339" s="115"/>
      <c r="CS3339" s="115"/>
      <c r="CT3339" s="115"/>
      <c r="CU3339" s="115"/>
      <c r="CV3339" s="115"/>
      <c r="CW3339" s="115"/>
      <c r="CX3339" s="115"/>
      <c r="CY3339" s="115"/>
      <c r="CZ3339" s="115"/>
      <c r="DA3339" s="115"/>
      <c r="DB3339" s="115"/>
      <c r="DC3339" s="115"/>
      <c r="DD3339" s="115"/>
      <c r="DE3339" s="115"/>
      <c r="DF3339" s="115"/>
      <c r="DG3339" s="115"/>
    </row>
    <row r="3340" spans="55:111" hidden="1">
      <c r="BC3340" s="115"/>
      <c r="BD3340" s="115"/>
      <c r="BE3340" s="115"/>
      <c r="BF3340" s="115"/>
      <c r="BG3340" s="115"/>
      <c r="BH3340" s="115"/>
      <c r="BI3340" s="115"/>
      <c r="BJ3340" s="115"/>
      <c r="BK3340" s="115"/>
      <c r="BL3340" s="115"/>
      <c r="BM3340" s="115"/>
      <c r="BN3340" s="115"/>
      <c r="BO3340" s="115"/>
      <c r="BP3340" s="115"/>
      <c r="BQ3340" s="115"/>
      <c r="BR3340" s="115"/>
      <c r="BS3340" s="115"/>
      <c r="BT3340" s="115"/>
      <c r="BU3340" s="115"/>
      <c r="BV3340" s="115"/>
      <c r="BW3340" s="115"/>
      <c r="BX3340" s="115"/>
      <c r="BY3340" s="115"/>
      <c r="BZ3340" s="115"/>
      <c r="CA3340" s="115"/>
      <c r="CB3340" s="115"/>
      <c r="CC3340" s="115"/>
      <c r="CD3340" s="115"/>
      <c r="CE3340" s="115"/>
      <c r="CF3340" s="115"/>
      <c r="CG3340" s="115"/>
      <c r="CH3340" s="115"/>
      <c r="CI3340" s="115"/>
      <c r="CJ3340" s="115"/>
      <c r="CK3340" s="115"/>
      <c r="CL3340" s="115"/>
      <c r="CM3340" s="115"/>
      <c r="CN3340" s="115"/>
      <c r="CO3340" s="115"/>
      <c r="CP3340" s="115"/>
      <c r="CQ3340" s="115"/>
      <c r="CR3340" s="115"/>
      <c r="CS3340" s="115"/>
      <c r="CT3340" s="115"/>
      <c r="CU3340" s="115"/>
      <c r="CV3340" s="115"/>
      <c r="CW3340" s="115"/>
      <c r="CX3340" s="115"/>
      <c r="CY3340" s="115"/>
      <c r="CZ3340" s="115"/>
      <c r="DA3340" s="115"/>
      <c r="DB3340" s="115"/>
      <c r="DC3340" s="115"/>
      <c r="DD3340" s="115"/>
      <c r="DE3340" s="115"/>
      <c r="DF3340" s="115"/>
      <c r="DG3340" s="115"/>
    </row>
    <row r="3341" spans="55:111" hidden="1">
      <c r="BC3341" s="115"/>
      <c r="BD3341" s="115"/>
      <c r="BE3341" s="115"/>
      <c r="BF3341" s="115"/>
      <c r="BG3341" s="115"/>
      <c r="BH3341" s="115"/>
      <c r="BI3341" s="115"/>
      <c r="BJ3341" s="115"/>
      <c r="BK3341" s="115"/>
      <c r="BL3341" s="115"/>
      <c r="BM3341" s="115"/>
      <c r="BN3341" s="115"/>
      <c r="BO3341" s="115"/>
      <c r="BP3341" s="115"/>
      <c r="BQ3341" s="115"/>
      <c r="BR3341" s="115"/>
      <c r="BS3341" s="115"/>
      <c r="BT3341" s="115"/>
      <c r="BU3341" s="115"/>
      <c r="BV3341" s="115"/>
      <c r="BW3341" s="115"/>
      <c r="BX3341" s="115"/>
      <c r="BY3341" s="115"/>
      <c r="BZ3341" s="115"/>
      <c r="CA3341" s="115"/>
      <c r="CB3341" s="115"/>
      <c r="CC3341" s="115"/>
      <c r="CD3341" s="115"/>
      <c r="CE3341" s="115"/>
      <c r="CF3341" s="115"/>
      <c r="CG3341" s="115"/>
      <c r="CH3341" s="115"/>
      <c r="CI3341" s="115"/>
      <c r="CJ3341" s="115"/>
      <c r="CK3341" s="115"/>
      <c r="CL3341" s="115"/>
      <c r="CM3341" s="115"/>
      <c r="CN3341" s="115"/>
      <c r="CO3341" s="115"/>
      <c r="CP3341" s="115"/>
      <c r="CQ3341" s="115"/>
      <c r="CR3341" s="115"/>
      <c r="CS3341" s="115"/>
      <c r="CT3341" s="115"/>
      <c r="CU3341" s="115"/>
      <c r="CV3341" s="115"/>
      <c r="CW3341" s="115"/>
      <c r="CX3341" s="115"/>
      <c r="CY3341" s="115"/>
      <c r="CZ3341" s="115"/>
      <c r="DA3341" s="115"/>
      <c r="DB3341" s="115"/>
      <c r="DC3341" s="115"/>
      <c r="DD3341" s="115"/>
      <c r="DE3341" s="115"/>
      <c r="DF3341" s="115"/>
      <c r="DG3341" s="115"/>
    </row>
    <row r="3342" spans="55:111" hidden="1">
      <c r="BC3342" s="115"/>
      <c r="BD3342" s="115"/>
      <c r="BE3342" s="115"/>
      <c r="BF3342" s="115"/>
      <c r="BG3342" s="115"/>
      <c r="BH3342" s="115"/>
      <c r="BI3342" s="115"/>
      <c r="BJ3342" s="115"/>
      <c r="BK3342" s="115"/>
      <c r="BL3342" s="115"/>
      <c r="BM3342" s="115"/>
      <c r="BN3342" s="115"/>
      <c r="BO3342" s="115"/>
      <c r="BP3342" s="115"/>
      <c r="BQ3342" s="115"/>
      <c r="BR3342" s="115"/>
      <c r="BS3342" s="115"/>
      <c r="BT3342" s="115"/>
      <c r="BU3342" s="115"/>
      <c r="BV3342" s="115"/>
      <c r="BW3342" s="115"/>
      <c r="BX3342" s="115"/>
      <c r="BY3342" s="115"/>
      <c r="BZ3342" s="115"/>
      <c r="CA3342" s="115"/>
      <c r="CB3342" s="115"/>
      <c r="CC3342" s="115"/>
      <c r="CD3342" s="115"/>
      <c r="CE3342" s="115"/>
      <c r="CF3342" s="115"/>
      <c r="CG3342" s="115"/>
      <c r="CH3342" s="115"/>
      <c r="CI3342" s="115"/>
      <c r="CJ3342" s="115"/>
      <c r="CK3342" s="115"/>
      <c r="CL3342" s="115"/>
      <c r="CM3342" s="115"/>
      <c r="CN3342" s="115"/>
      <c r="CO3342" s="115"/>
      <c r="CP3342" s="115"/>
      <c r="CQ3342" s="115"/>
      <c r="CR3342" s="115"/>
      <c r="CS3342" s="115"/>
      <c r="CT3342" s="115"/>
      <c r="CU3342" s="115"/>
      <c r="CV3342" s="115"/>
      <c r="CW3342" s="115"/>
      <c r="CX3342" s="115"/>
      <c r="CY3342" s="115"/>
      <c r="CZ3342" s="115"/>
      <c r="DA3342" s="115"/>
      <c r="DB3342" s="115"/>
      <c r="DC3342" s="115"/>
      <c r="DD3342" s="115"/>
      <c r="DE3342" s="115"/>
      <c r="DF3342" s="115"/>
      <c r="DG3342" s="115"/>
    </row>
    <row r="3343" spans="55:111" hidden="1">
      <c r="BC3343" s="115"/>
      <c r="BD3343" s="115"/>
      <c r="BE3343" s="115"/>
      <c r="BF3343" s="115"/>
      <c r="BG3343" s="115"/>
      <c r="BH3343" s="115"/>
      <c r="BI3343" s="115"/>
      <c r="BJ3343" s="115"/>
      <c r="BK3343" s="115"/>
      <c r="BL3343" s="115"/>
      <c r="BM3343" s="115"/>
      <c r="BN3343" s="115"/>
      <c r="BO3343" s="115"/>
      <c r="BP3343" s="115"/>
      <c r="BQ3343" s="115"/>
      <c r="BR3343" s="115"/>
      <c r="BS3343" s="115"/>
      <c r="BT3343" s="115"/>
      <c r="BU3343" s="115"/>
      <c r="BV3343" s="115"/>
      <c r="BW3343" s="115"/>
      <c r="BX3343" s="115"/>
      <c r="BY3343" s="115"/>
      <c r="BZ3343" s="115"/>
      <c r="CA3343" s="115"/>
      <c r="CB3343" s="115"/>
      <c r="CC3343" s="115"/>
      <c r="CD3343" s="115"/>
      <c r="CE3343" s="115"/>
      <c r="CF3343" s="115"/>
      <c r="CG3343" s="115"/>
      <c r="CH3343" s="115"/>
      <c r="CI3343" s="115"/>
      <c r="CJ3343" s="115"/>
      <c r="CK3343" s="115"/>
      <c r="CL3343" s="115"/>
      <c r="CM3343" s="115"/>
      <c r="CN3343" s="115"/>
      <c r="CO3343" s="115"/>
      <c r="CP3343" s="115"/>
      <c r="CQ3343" s="115"/>
      <c r="CR3343" s="115"/>
      <c r="CS3343" s="115"/>
      <c r="CT3343" s="115"/>
      <c r="CU3343" s="115"/>
      <c r="CV3343" s="115"/>
      <c r="CW3343" s="115"/>
      <c r="CX3343" s="115"/>
      <c r="CY3343" s="115"/>
      <c r="CZ3343" s="115"/>
      <c r="DA3343" s="115"/>
      <c r="DB3343" s="115"/>
      <c r="DC3343" s="115"/>
      <c r="DD3343" s="115"/>
      <c r="DE3343" s="115"/>
      <c r="DF3343" s="115"/>
      <c r="DG3343" s="115"/>
    </row>
    <row r="3344" spans="55:111" hidden="1">
      <c r="BC3344" s="115"/>
      <c r="BD3344" s="115"/>
      <c r="BE3344" s="115"/>
      <c r="BF3344" s="115"/>
      <c r="BG3344" s="115"/>
      <c r="BH3344" s="115"/>
      <c r="BI3344" s="115"/>
      <c r="BJ3344" s="115"/>
      <c r="BK3344" s="115"/>
      <c r="BL3344" s="115"/>
      <c r="BM3344" s="115"/>
      <c r="BN3344" s="115"/>
      <c r="BO3344" s="115"/>
      <c r="BP3344" s="115"/>
      <c r="BQ3344" s="115"/>
      <c r="BR3344" s="115"/>
      <c r="BS3344" s="115"/>
      <c r="BT3344" s="115"/>
      <c r="BU3344" s="115"/>
      <c r="BV3344" s="115"/>
      <c r="BW3344" s="115"/>
      <c r="BX3344" s="115"/>
      <c r="BY3344" s="115"/>
      <c r="BZ3344" s="115"/>
      <c r="CA3344" s="115"/>
      <c r="CB3344" s="115"/>
      <c r="CC3344" s="115"/>
      <c r="CD3344" s="115"/>
      <c r="CE3344" s="115"/>
      <c r="CF3344" s="115"/>
      <c r="CG3344" s="115"/>
      <c r="CH3344" s="115"/>
      <c r="CI3344" s="115"/>
      <c r="CJ3344" s="115"/>
      <c r="CK3344" s="115"/>
      <c r="CL3344" s="115"/>
      <c r="CM3344" s="115"/>
      <c r="CN3344" s="115"/>
      <c r="CO3344" s="115"/>
      <c r="CP3344" s="115"/>
      <c r="CQ3344" s="115"/>
      <c r="CR3344" s="115"/>
      <c r="CS3344" s="115"/>
      <c r="CT3344" s="115"/>
      <c r="CU3344" s="115"/>
      <c r="CV3344" s="115"/>
      <c r="CW3344" s="115"/>
      <c r="CX3344" s="115"/>
      <c r="CY3344" s="115"/>
      <c r="CZ3344" s="115"/>
      <c r="DA3344" s="115"/>
      <c r="DB3344" s="115"/>
      <c r="DC3344" s="115"/>
      <c r="DD3344" s="115"/>
      <c r="DE3344" s="115"/>
      <c r="DF3344" s="115"/>
      <c r="DG3344" s="115"/>
    </row>
    <row r="3345" spans="55:111" hidden="1">
      <c r="BC3345" s="115"/>
      <c r="BD3345" s="115"/>
      <c r="BE3345" s="115"/>
      <c r="BF3345" s="115"/>
      <c r="BG3345" s="115"/>
      <c r="BH3345" s="115"/>
      <c r="BI3345" s="115"/>
      <c r="BJ3345" s="115"/>
      <c r="BK3345" s="115"/>
      <c r="BL3345" s="115"/>
      <c r="BM3345" s="115"/>
      <c r="BN3345" s="115"/>
      <c r="BO3345" s="115"/>
      <c r="BP3345" s="115"/>
      <c r="BQ3345" s="115"/>
      <c r="BR3345" s="115"/>
      <c r="BS3345" s="115"/>
      <c r="BT3345" s="115"/>
      <c r="BU3345" s="115"/>
      <c r="BV3345" s="115"/>
      <c r="BW3345" s="115"/>
      <c r="BX3345" s="115"/>
      <c r="BY3345" s="115"/>
      <c r="BZ3345" s="115"/>
      <c r="CA3345" s="115"/>
      <c r="CB3345" s="115"/>
      <c r="CC3345" s="115"/>
      <c r="CD3345" s="115"/>
      <c r="CE3345" s="115"/>
      <c r="CF3345" s="115"/>
      <c r="CG3345" s="115"/>
      <c r="CH3345" s="115"/>
      <c r="CI3345" s="115"/>
      <c r="CJ3345" s="115"/>
      <c r="CK3345" s="115"/>
      <c r="CL3345" s="115"/>
      <c r="CM3345" s="115"/>
      <c r="CN3345" s="115"/>
      <c r="CO3345" s="115"/>
      <c r="CP3345" s="115"/>
      <c r="CQ3345" s="115"/>
      <c r="CR3345" s="115"/>
      <c r="CS3345" s="115"/>
      <c r="CT3345" s="115"/>
      <c r="CU3345" s="115"/>
      <c r="CV3345" s="115"/>
      <c r="CW3345" s="115"/>
      <c r="CX3345" s="115"/>
      <c r="CY3345" s="115"/>
      <c r="CZ3345" s="115"/>
      <c r="DA3345" s="115"/>
      <c r="DB3345" s="115"/>
      <c r="DC3345" s="115"/>
      <c r="DD3345" s="115"/>
      <c r="DE3345" s="115"/>
      <c r="DF3345" s="115"/>
      <c r="DG3345" s="115"/>
    </row>
    <row r="3346" spans="55:111" hidden="1">
      <c r="BC3346" s="115"/>
      <c r="BD3346" s="115"/>
      <c r="BE3346" s="115"/>
      <c r="BF3346" s="115"/>
      <c r="BG3346" s="115"/>
      <c r="BH3346" s="115"/>
      <c r="BI3346" s="115"/>
      <c r="BJ3346" s="115"/>
      <c r="BK3346" s="115"/>
      <c r="BL3346" s="115"/>
      <c r="BM3346" s="115"/>
      <c r="BN3346" s="115"/>
      <c r="BO3346" s="115"/>
      <c r="BP3346" s="115"/>
      <c r="BQ3346" s="115"/>
      <c r="BR3346" s="115"/>
      <c r="BS3346" s="115"/>
      <c r="BT3346" s="115"/>
      <c r="BU3346" s="115"/>
      <c r="BV3346" s="115"/>
      <c r="BW3346" s="115"/>
      <c r="BX3346" s="115"/>
      <c r="BY3346" s="115"/>
      <c r="BZ3346" s="115"/>
      <c r="CA3346" s="115"/>
      <c r="CB3346" s="115"/>
      <c r="CC3346" s="115"/>
      <c r="CD3346" s="115"/>
      <c r="CE3346" s="115"/>
      <c r="CF3346" s="115"/>
      <c r="CG3346" s="115"/>
      <c r="CH3346" s="115"/>
      <c r="CI3346" s="115"/>
      <c r="CJ3346" s="115"/>
      <c r="CK3346" s="115"/>
      <c r="CL3346" s="115"/>
      <c r="CM3346" s="115"/>
      <c r="CN3346" s="115"/>
      <c r="CO3346" s="115"/>
      <c r="CP3346" s="115"/>
      <c r="CQ3346" s="115"/>
      <c r="CR3346" s="115"/>
      <c r="CS3346" s="115"/>
      <c r="CT3346" s="115"/>
      <c r="CU3346" s="115"/>
      <c r="CV3346" s="115"/>
      <c r="CW3346" s="115"/>
      <c r="CX3346" s="115"/>
      <c r="CY3346" s="115"/>
      <c r="CZ3346" s="115"/>
      <c r="DA3346" s="115"/>
      <c r="DB3346" s="115"/>
      <c r="DC3346" s="115"/>
      <c r="DD3346" s="115"/>
      <c r="DE3346" s="115"/>
      <c r="DF3346" s="115"/>
      <c r="DG3346" s="115"/>
    </row>
    <row r="3347" spans="55:111" hidden="1">
      <c r="BC3347" s="115"/>
      <c r="BD3347" s="115"/>
      <c r="BE3347" s="115"/>
      <c r="BF3347" s="115"/>
      <c r="BG3347" s="115"/>
      <c r="BH3347" s="115"/>
      <c r="BI3347" s="115"/>
      <c r="BJ3347" s="115"/>
      <c r="BK3347" s="115"/>
      <c r="BL3347" s="115"/>
      <c r="BM3347" s="115"/>
      <c r="BN3347" s="115"/>
      <c r="BO3347" s="115"/>
      <c r="BP3347" s="115"/>
      <c r="BQ3347" s="115"/>
      <c r="BR3347" s="115"/>
      <c r="BS3347" s="115"/>
      <c r="BT3347" s="115"/>
      <c r="BU3347" s="115"/>
      <c r="BV3347" s="115"/>
      <c r="BW3347" s="115"/>
      <c r="BX3347" s="115"/>
      <c r="BY3347" s="115"/>
      <c r="BZ3347" s="115"/>
      <c r="CA3347" s="115"/>
      <c r="CB3347" s="115"/>
      <c r="CC3347" s="115"/>
      <c r="CD3347" s="115"/>
      <c r="CE3347" s="115"/>
      <c r="CF3347" s="115"/>
      <c r="CG3347" s="115"/>
      <c r="CH3347" s="115"/>
      <c r="CI3347" s="115"/>
      <c r="CJ3347" s="115"/>
      <c r="CK3347" s="115"/>
      <c r="CL3347" s="115"/>
      <c r="CM3347" s="115"/>
      <c r="CN3347" s="115"/>
      <c r="CO3347" s="115"/>
      <c r="CP3347" s="115"/>
      <c r="CQ3347" s="115"/>
      <c r="CR3347" s="115"/>
      <c r="CS3347" s="115"/>
      <c r="CT3347" s="115"/>
      <c r="CU3347" s="115"/>
      <c r="CV3347" s="115"/>
      <c r="CW3347" s="115"/>
      <c r="CX3347" s="115"/>
      <c r="CY3347" s="115"/>
      <c r="CZ3347" s="115"/>
      <c r="DA3347" s="115"/>
      <c r="DB3347" s="115"/>
      <c r="DC3347" s="115"/>
      <c r="DD3347" s="115"/>
      <c r="DE3347" s="115"/>
      <c r="DF3347" s="115"/>
      <c r="DG3347" s="115"/>
    </row>
    <row r="3348" spans="55:111" hidden="1">
      <c r="BC3348" s="115"/>
      <c r="BD3348" s="115"/>
      <c r="BE3348" s="115"/>
      <c r="BF3348" s="115"/>
      <c r="BG3348" s="115"/>
      <c r="BH3348" s="115"/>
      <c r="BI3348" s="115"/>
      <c r="BJ3348" s="115"/>
      <c r="BK3348" s="115"/>
      <c r="BL3348" s="115"/>
      <c r="BM3348" s="115"/>
      <c r="BN3348" s="115"/>
      <c r="BO3348" s="115"/>
      <c r="BP3348" s="115"/>
      <c r="BQ3348" s="115"/>
      <c r="BR3348" s="115"/>
      <c r="BS3348" s="115"/>
      <c r="BT3348" s="115"/>
      <c r="BU3348" s="115"/>
      <c r="BV3348" s="115"/>
      <c r="BW3348" s="115"/>
      <c r="BX3348" s="115"/>
      <c r="BY3348" s="115"/>
      <c r="BZ3348" s="115"/>
      <c r="CA3348" s="115"/>
      <c r="CB3348" s="115"/>
      <c r="CC3348" s="115"/>
      <c r="CD3348" s="115"/>
      <c r="CE3348" s="115"/>
      <c r="CF3348" s="115"/>
      <c r="CG3348" s="115"/>
      <c r="CH3348" s="115"/>
      <c r="CI3348" s="115"/>
      <c r="CJ3348" s="115"/>
      <c r="CK3348" s="115"/>
      <c r="CL3348" s="115"/>
      <c r="CM3348" s="115"/>
      <c r="CN3348" s="115"/>
      <c r="CO3348" s="115"/>
      <c r="CP3348" s="115"/>
      <c r="CQ3348" s="115"/>
      <c r="CR3348" s="115"/>
      <c r="CS3348" s="115"/>
      <c r="CT3348" s="115"/>
      <c r="CU3348" s="115"/>
      <c r="CV3348" s="115"/>
      <c r="CW3348" s="115"/>
      <c r="CX3348" s="115"/>
      <c r="CY3348" s="115"/>
      <c r="CZ3348" s="115"/>
      <c r="DA3348" s="115"/>
      <c r="DB3348" s="115"/>
      <c r="DC3348" s="115"/>
      <c r="DD3348" s="115"/>
      <c r="DE3348" s="115"/>
      <c r="DF3348" s="115"/>
      <c r="DG3348" s="115"/>
    </row>
    <row r="3349" spans="55:111" hidden="1">
      <c r="BC3349" s="115"/>
      <c r="BD3349" s="115"/>
      <c r="BE3349" s="115"/>
      <c r="BF3349" s="115"/>
      <c r="BG3349" s="115"/>
      <c r="BH3349" s="115"/>
      <c r="BI3349" s="115"/>
      <c r="BJ3349" s="115"/>
      <c r="BK3349" s="115"/>
      <c r="BL3349" s="115"/>
      <c r="BM3349" s="115"/>
      <c r="BN3349" s="115"/>
      <c r="BO3349" s="115"/>
      <c r="BP3349" s="115"/>
      <c r="BQ3349" s="115"/>
      <c r="BR3349" s="115"/>
      <c r="BS3349" s="115"/>
      <c r="BT3349" s="115"/>
      <c r="BU3349" s="115"/>
      <c r="BV3349" s="115"/>
      <c r="BW3349" s="115"/>
      <c r="BX3349" s="115"/>
      <c r="BY3349" s="115"/>
      <c r="BZ3349" s="115"/>
      <c r="CA3349" s="115"/>
      <c r="CB3349" s="115"/>
      <c r="CC3349" s="115"/>
      <c r="CD3349" s="115"/>
      <c r="CE3349" s="115"/>
      <c r="CF3349" s="115"/>
      <c r="CG3349" s="115"/>
      <c r="CH3349" s="115"/>
      <c r="CI3349" s="115"/>
      <c r="CJ3349" s="115"/>
      <c r="CK3349" s="115"/>
      <c r="CL3349" s="115"/>
      <c r="CM3349" s="115"/>
      <c r="CN3349" s="115"/>
      <c r="CO3349" s="115"/>
      <c r="CP3349" s="115"/>
      <c r="CQ3349" s="115"/>
      <c r="CR3349" s="115"/>
      <c r="CS3349" s="115"/>
      <c r="CT3349" s="115"/>
      <c r="CU3349" s="115"/>
      <c r="CV3349" s="115"/>
      <c r="CW3349" s="115"/>
      <c r="CX3349" s="115"/>
      <c r="CY3349" s="115"/>
      <c r="CZ3349" s="115"/>
      <c r="DA3349" s="115"/>
      <c r="DB3349" s="115"/>
      <c r="DC3349" s="115"/>
      <c r="DD3349" s="115"/>
      <c r="DE3349" s="115"/>
      <c r="DF3349" s="115"/>
      <c r="DG3349" s="115"/>
    </row>
    <row r="3350" spans="55:111" hidden="1">
      <c r="BC3350" s="115"/>
      <c r="BD3350" s="115"/>
      <c r="BE3350" s="115"/>
      <c r="BF3350" s="115"/>
      <c r="BG3350" s="115"/>
      <c r="BH3350" s="115"/>
      <c r="BI3350" s="115"/>
      <c r="BJ3350" s="115"/>
      <c r="BK3350" s="115"/>
      <c r="BL3350" s="115"/>
      <c r="BM3350" s="115"/>
      <c r="BN3350" s="115"/>
      <c r="BO3350" s="115"/>
      <c r="BP3350" s="115"/>
      <c r="BQ3350" s="115"/>
      <c r="BR3350" s="115"/>
      <c r="BS3350" s="115"/>
      <c r="BT3350" s="115"/>
      <c r="BU3350" s="115"/>
      <c r="BV3350" s="115"/>
      <c r="BW3350" s="115"/>
      <c r="BX3350" s="115"/>
      <c r="BY3350" s="115"/>
      <c r="BZ3350" s="115"/>
      <c r="CA3350" s="115"/>
      <c r="CB3350" s="115"/>
      <c r="CC3350" s="115"/>
      <c r="CD3350" s="115"/>
      <c r="CE3350" s="115"/>
      <c r="CF3350" s="115"/>
      <c r="CG3350" s="115"/>
      <c r="CH3350" s="115"/>
      <c r="CI3350" s="115"/>
      <c r="CJ3350" s="115"/>
      <c r="CK3350" s="115"/>
      <c r="CL3350" s="115"/>
      <c r="CM3350" s="115"/>
      <c r="CN3350" s="115"/>
      <c r="CO3350" s="115"/>
      <c r="CP3350" s="115"/>
      <c r="CQ3350" s="115"/>
      <c r="CR3350" s="115"/>
      <c r="CS3350" s="115"/>
      <c r="CT3350" s="115"/>
      <c r="CU3350" s="115"/>
      <c r="CV3350" s="115"/>
      <c r="CW3350" s="115"/>
      <c r="CX3350" s="115"/>
      <c r="CY3350" s="115"/>
      <c r="CZ3350" s="115"/>
      <c r="DA3350" s="115"/>
      <c r="DB3350" s="115"/>
      <c r="DC3350" s="115"/>
      <c r="DD3350" s="115"/>
      <c r="DE3350" s="115"/>
      <c r="DF3350" s="115"/>
      <c r="DG3350" s="115"/>
    </row>
    <row r="3351" spans="55:111" hidden="1">
      <c r="BC3351" s="115"/>
      <c r="BD3351" s="115"/>
      <c r="BE3351" s="115"/>
      <c r="BF3351" s="115"/>
      <c r="BG3351" s="115"/>
      <c r="BH3351" s="115"/>
      <c r="BI3351" s="115"/>
      <c r="BJ3351" s="115"/>
      <c r="BK3351" s="115"/>
      <c r="BL3351" s="115"/>
      <c r="BM3351" s="115"/>
      <c r="BN3351" s="115"/>
      <c r="BO3351" s="115"/>
      <c r="BP3351" s="115"/>
      <c r="BQ3351" s="115"/>
      <c r="BR3351" s="115"/>
      <c r="BS3351" s="115"/>
      <c r="BT3351" s="115"/>
      <c r="BU3351" s="115"/>
      <c r="BV3351" s="115"/>
      <c r="BW3351" s="115"/>
      <c r="BX3351" s="115"/>
      <c r="BY3351" s="115"/>
      <c r="BZ3351" s="115"/>
      <c r="CA3351" s="115"/>
      <c r="CB3351" s="115"/>
      <c r="CC3351" s="115"/>
      <c r="CD3351" s="115"/>
      <c r="CE3351" s="115"/>
      <c r="CF3351" s="115"/>
      <c r="CG3351" s="115"/>
      <c r="CH3351" s="115"/>
      <c r="CI3351" s="115"/>
      <c r="CJ3351" s="115"/>
      <c r="CK3351" s="115"/>
      <c r="CL3351" s="115"/>
      <c r="CM3351" s="115"/>
      <c r="CN3351" s="115"/>
      <c r="CO3351" s="115"/>
      <c r="CP3351" s="115"/>
      <c r="CQ3351" s="115"/>
      <c r="CR3351" s="115"/>
      <c r="CS3351" s="115"/>
      <c r="CT3351" s="115"/>
      <c r="CU3351" s="115"/>
      <c r="CV3351" s="115"/>
      <c r="CW3351" s="115"/>
      <c r="CX3351" s="115"/>
      <c r="CY3351" s="115"/>
      <c r="CZ3351" s="115"/>
      <c r="DA3351" s="115"/>
      <c r="DB3351" s="115"/>
      <c r="DC3351" s="115"/>
      <c r="DD3351" s="115"/>
      <c r="DE3351" s="115"/>
      <c r="DF3351" s="115"/>
      <c r="DG3351" s="115"/>
    </row>
    <row r="3352" spans="55:111" hidden="1">
      <c r="BC3352" s="115"/>
      <c r="BD3352" s="115"/>
      <c r="BE3352" s="115"/>
      <c r="BF3352" s="115"/>
      <c r="BG3352" s="115"/>
      <c r="BH3352" s="115"/>
      <c r="BI3352" s="115"/>
      <c r="BJ3352" s="115"/>
      <c r="BK3352" s="115"/>
      <c r="BL3352" s="115"/>
      <c r="BM3352" s="115"/>
      <c r="BN3352" s="115"/>
      <c r="BO3352" s="115"/>
      <c r="BP3352" s="115"/>
      <c r="BQ3352" s="115"/>
      <c r="BR3352" s="115"/>
      <c r="BS3352" s="115"/>
      <c r="BT3352" s="115"/>
      <c r="BU3352" s="115"/>
      <c r="BV3352" s="115"/>
      <c r="BW3352" s="115"/>
      <c r="BX3352" s="115"/>
      <c r="BY3352" s="115"/>
      <c r="BZ3352" s="115"/>
      <c r="CA3352" s="115"/>
      <c r="CB3352" s="115"/>
      <c r="CC3352" s="115"/>
      <c r="CD3352" s="115"/>
      <c r="CE3352" s="115"/>
      <c r="CF3352" s="115"/>
      <c r="CG3352" s="115"/>
      <c r="CH3352" s="115"/>
      <c r="CI3352" s="115"/>
      <c r="CJ3352" s="115"/>
      <c r="CK3352" s="115"/>
      <c r="CL3352" s="115"/>
      <c r="CM3352" s="115"/>
      <c r="CN3352" s="115"/>
      <c r="CO3352" s="115"/>
      <c r="CP3352" s="115"/>
      <c r="CQ3352" s="115"/>
      <c r="CR3352" s="115"/>
      <c r="CS3352" s="115"/>
      <c r="CT3352" s="115"/>
      <c r="CU3352" s="115"/>
      <c r="CV3352" s="115"/>
      <c r="CW3352" s="115"/>
      <c r="CX3352" s="115"/>
      <c r="CY3352" s="115"/>
      <c r="CZ3352" s="115"/>
      <c r="DA3352" s="115"/>
      <c r="DB3352" s="115"/>
      <c r="DC3352" s="115"/>
      <c r="DD3352" s="115"/>
      <c r="DE3352" s="115"/>
      <c r="DF3352" s="115"/>
      <c r="DG3352" s="115"/>
    </row>
    <row r="3353" spans="55:111" hidden="1">
      <c r="BC3353" s="115"/>
      <c r="BD3353" s="115"/>
      <c r="BE3353" s="115"/>
      <c r="BF3353" s="115"/>
      <c r="BG3353" s="115"/>
      <c r="BH3353" s="115"/>
      <c r="BI3353" s="115"/>
      <c r="BJ3353" s="115"/>
      <c r="BK3353" s="115"/>
      <c r="BL3353" s="115"/>
      <c r="BM3353" s="115"/>
      <c r="BN3353" s="115"/>
      <c r="BO3353" s="115"/>
      <c r="BP3353" s="115"/>
      <c r="BQ3353" s="115"/>
      <c r="BR3353" s="115"/>
      <c r="BS3353" s="115"/>
      <c r="BT3353" s="115"/>
      <c r="BU3353" s="115"/>
      <c r="BV3353" s="115"/>
      <c r="BW3353" s="115"/>
      <c r="BX3353" s="115"/>
      <c r="BY3353" s="115"/>
      <c r="BZ3353" s="115"/>
      <c r="CA3353" s="115"/>
      <c r="CB3353" s="115"/>
      <c r="CC3353" s="115"/>
      <c r="CD3353" s="115"/>
      <c r="CE3353" s="115"/>
      <c r="CF3353" s="115"/>
      <c r="CG3353" s="115"/>
      <c r="CH3353" s="115"/>
      <c r="CI3353" s="115"/>
      <c r="CJ3353" s="115"/>
      <c r="CK3353" s="115"/>
      <c r="CL3353" s="115"/>
      <c r="CM3353" s="115"/>
      <c r="CN3353" s="115"/>
      <c r="CO3353" s="115"/>
      <c r="CP3353" s="115"/>
      <c r="CQ3353" s="115"/>
      <c r="CR3353" s="115"/>
      <c r="CS3353" s="115"/>
      <c r="CT3353" s="115"/>
      <c r="CU3353" s="115"/>
      <c r="CV3353" s="115"/>
      <c r="CW3353" s="115"/>
      <c r="CX3353" s="115"/>
      <c r="CY3353" s="115"/>
      <c r="CZ3353" s="115"/>
      <c r="DA3353" s="115"/>
      <c r="DB3353" s="115"/>
      <c r="DC3353" s="115"/>
      <c r="DD3353" s="115"/>
      <c r="DE3353" s="115"/>
      <c r="DF3353" s="115"/>
      <c r="DG3353" s="115"/>
    </row>
    <row r="3354" spans="55:111" hidden="1">
      <c r="BC3354" s="115"/>
      <c r="BD3354" s="115"/>
      <c r="BE3354" s="115"/>
      <c r="BF3354" s="115"/>
      <c r="BG3354" s="115"/>
      <c r="BH3354" s="115"/>
      <c r="BI3354" s="115"/>
      <c r="BJ3354" s="115"/>
      <c r="BK3354" s="115"/>
      <c r="BL3354" s="115"/>
      <c r="BM3354" s="115"/>
      <c r="BN3354" s="115"/>
      <c r="BO3354" s="115"/>
      <c r="BP3354" s="115"/>
      <c r="BQ3354" s="115"/>
      <c r="BR3354" s="115"/>
      <c r="BS3354" s="115"/>
      <c r="BT3354" s="115"/>
      <c r="BU3354" s="115"/>
      <c r="BV3354" s="115"/>
      <c r="BW3354" s="115"/>
      <c r="BX3354" s="115"/>
      <c r="BY3354" s="115"/>
      <c r="BZ3354" s="115"/>
      <c r="CA3354" s="115"/>
      <c r="CB3354" s="115"/>
      <c r="CC3354" s="115"/>
      <c r="CD3354" s="115"/>
      <c r="CE3354" s="115"/>
      <c r="CF3354" s="115"/>
      <c r="CG3354" s="115"/>
      <c r="CH3354" s="115"/>
      <c r="CI3354" s="115"/>
      <c r="CJ3354" s="115"/>
      <c r="CK3354" s="115"/>
      <c r="CL3354" s="115"/>
      <c r="CM3354" s="115"/>
      <c r="CN3354" s="115"/>
      <c r="CO3354" s="115"/>
      <c r="CP3354" s="115"/>
      <c r="CQ3354" s="115"/>
      <c r="CR3354" s="115"/>
      <c r="CS3354" s="115"/>
      <c r="CT3354" s="115"/>
      <c r="CU3354" s="115"/>
      <c r="CV3354" s="115"/>
      <c r="CW3354" s="115"/>
      <c r="CX3354" s="115"/>
      <c r="CY3354" s="115"/>
      <c r="CZ3354" s="115"/>
      <c r="DA3354" s="115"/>
      <c r="DB3354" s="115"/>
      <c r="DC3354" s="115"/>
      <c r="DD3354" s="115"/>
      <c r="DE3354" s="115"/>
      <c r="DF3354" s="115"/>
      <c r="DG3354" s="115"/>
    </row>
    <row r="3355" spans="55:111" hidden="1">
      <c r="BC3355" s="115"/>
      <c r="BD3355" s="115"/>
      <c r="BE3355" s="115"/>
      <c r="BF3355" s="115"/>
      <c r="BG3355" s="115"/>
      <c r="BH3355" s="115"/>
      <c r="BI3355" s="115"/>
      <c r="BJ3355" s="115"/>
      <c r="BK3355" s="115"/>
      <c r="BL3355" s="115"/>
      <c r="BM3355" s="115"/>
      <c r="BN3355" s="115"/>
      <c r="BO3355" s="115"/>
      <c r="BP3355" s="115"/>
      <c r="BQ3355" s="115"/>
      <c r="BR3355" s="115"/>
      <c r="BS3355" s="115"/>
      <c r="BT3355" s="115"/>
      <c r="BU3355" s="115"/>
      <c r="BV3355" s="115"/>
      <c r="BW3355" s="115"/>
      <c r="BX3355" s="115"/>
      <c r="BY3355" s="115"/>
      <c r="BZ3355" s="115"/>
      <c r="CA3355" s="115"/>
      <c r="CB3355" s="115"/>
      <c r="CC3355" s="115"/>
      <c r="CD3355" s="115"/>
      <c r="CE3355" s="115"/>
      <c r="CF3355" s="115"/>
      <c r="CG3355" s="115"/>
      <c r="CH3355" s="115"/>
      <c r="CI3355" s="115"/>
      <c r="CJ3355" s="115"/>
      <c r="CK3355" s="115"/>
      <c r="CL3355" s="115"/>
      <c r="CM3355" s="115"/>
      <c r="CN3355" s="115"/>
      <c r="CO3355" s="115"/>
      <c r="CP3355" s="115"/>
      <c r="CQ3355" s="115"/>
      <c r="CR3355" s="115"/>
      <c r="CS3355" s="115"/>
      <c r="CT3355" s="115"/>
      <c r="CU3355" s="115"/>
      <c r="CV3355" s="115"/>
      <c r="CW3355" s="115"/>
      <c r="CX3355" s="115"/>
      <c r="CY3355" s="115"/>
      <c r="CZ3355" s="115"/>
      <c r="DA3355" s="115"/>
      <c r="DB3355" s="115"/>
      <c r="DC3355" s="115"/>
      <c r="DD3355" s="115"/>
      <c r="DE3355" s="115"/>
      <c r="DF3355" s="115"/>
      <c r="DG3355" s="115"/>
    </row>
    <row r="3356" spans="55:111" hidden="1">
      <c r="BC3356" s="115"/>
      <c r="BD3356" s="115"/>
      <c r="BE3356" s="115"/>
      <c r="BF3356" s="115"/>
      <c r="BG3356" s="115"/>
      <c r="BH3356" s="115"/>
      <c r="BI3356" s="115"/>
      <c r="BJ3356" s="115"/>
      <c r="BK3356" s="115"/>
      <c r="BL3356" s="115"/>
      <c r="BM3356" s="115"/>
      <c r="BN3356" s="115"/>
      <c r="BO3356" s="115"/>
      <c r="BP3356" s="115"/>
      <c r="BQ3356" s="115"/>
      <c r="BR3356" s="115"/>
      <c r="BS3356" s="115"/>
      <c r="BT3356" s="115"/>
      <c r="BU3356" s="115"/>
      <c r="BV3356" s="115"/>
      <c r="BW3356" s="115"/>
      <c r="BX3356" s="115"/>
      <c r="BY3356" s="115"/>
      <c r="BZ3356" s="115"/>
      <c r="CA3356" s="115"/>
      <c r="CB3356" s="115"/>
      <c r="CC3356" s="115"/>
      <c r="CD3356" s="115"/>
      <c r="CE3356" s="115"/>
      <c r="CF3356" s="115"/>
      <c r="CG3356" s="115"/>
      <c r="CH3356" s="115"/>
      <c r="CI3356" s="115"/>
      <c r="CJ3356" s="115"/>
      <c r="CK3356" s="115"/>
      <c r="CL3356" s="115"/>
      <c r="CM3356" s="115"/>
      <c r="CN3356" s="115"/>
      <c r="CO3356" s="115"/>
      <c r="CP3356" s="115"/>
      <c r="CQ3356" s="115"/>
      <c r="CR3356" s="115"/>
      <c r="CS3356" s="115"/>
      <c r="CT3356" s="115"/>
      <c r="CU3356" s="115"/>
      <c r="CV3356" s="115"/>
      <c r="CW3356" s="115"/>
      <c r="CX3356" s="115"/>
      <c r="CY3356" s="115"/>
      <c r="CZ3356" s="115"/>
      <c r="DA3356" s="115"/>
      <c r="DB3356" s="115"/>
      <c r="DC3356" s="115"/>
      <c r="DD3356" s="115"/>
      <c r="DE3356" s="115"/>
      <c r="DF3356" s="115"/>
      <c r="DG3356" s="115"/>
    </row>
    <row r="3357" spans="55:111" hidden="1">
      <c r="BC3357" s="115"/>
      <c r="BD3357" s="115"/>
      <c r="BE3357" s="115"/>
      <c r="BF3357" s="115"/>
      <c r="BG3357" s="115"/>
      <c r="BH3357" s="115"/>
      <c r="BI3357" s="115"/>
      <c r="BJ3357" s="115"/>
      <c r="BK3357" s="115"/>
      <c r="BL3357" s="115"/>
      <c r="BM3357" s="115"/>
      <c r="BN3357" s="115"/>
      <c r="BO3357" s="115"/>
      <c r="BP3357" s="115"/>
      <c r="BQ3357" s="115"/>
      <c r="BR3357" s="115"/>
      <c r="BS3357" s="115"/>
      <c r="BT3357" s="115"/>
      <c r="BU3357" s="115"/>
      <c r="BV3357" s="115"/>
      <c r="BW3357" s="115"/>
      <c r="BX3357" s="115"/>
      <c r="BY3357" s="115"/>
      <c r="BZ3357" s="115"/>
      <c r="CA3357" s="115"/>
      <c r="CB3357" s="115"/>
      <c r="CC3357" s="115"/>
      <c r="CD3357" s="115"/>
      <c r="CE3357" s="115"/>
      <c r="CF3357" s="115"/>
      <c r="CG3357" s="115"/>
      <c r="CH3357" s="115"/>
      <c r="CI3357" s="115"/>
      <c r="CJ3357" s="115"/>
      <c r="CK3357" s="115"/>
      <c r="CL3357" s="115"/>
      <c r="CM3357" s="115"/>
      <c r="CN3357" s="115"/>
      <c r="CO3357" s="115"/>
      <c r="CP3357" s="115"/>
      <c r="CQ3357" s="115"/>
      <c r="CR3357" s="115"/>
      <c r="CS3357" s="115"/>
      <c r="CT3357" s="115"/>
      <c r="CU3357" s="115"/>
      <c r="CV3357" s="115"/>
      <c r="CW3357" s="115"/>
      <c r="CX3357" s="115"/>
      <c r="CY3357" s="115"/>
      <c r="CZ3357" s="115"/>
      <c r="DA3357" s="115"/>
      <c r="DB3357" s="115"/>
      <c r="DC3357" s="115"/>
      <c r="DD3357" s="115"/>
      <c r="DE3357" s="115"/>
      <c r="DF3357" s="115"/>
      <c r="DG3357" s="115"/>
    </row>
    <row r="3358" spans="55:111" hidden="1">
      <c r="BC3358" s="115"/>
      <c r="BD3358" s="115"/>
      <c r="BE3358" s="115"/>
      <c r="BF3358" s="115"/>
      <c r="BG3358" s="115"/>
      <c r="BH3358" s="115"/>
      <c r="BI3358" s="115"/>
      <c r="BJ3358" s="115"/>
      <c r="BK3358" s="115"/>
      <c r="BL3358" s="115"/>
      <c r="BM3358" s="115"/>
      <c r="BN3358" s="115"/>
      <c r="BO3358" s="115"/>
      <c r="BP3358" s="115"/>
      <c r="BQ3358" s="115"/>
      <c r="BR3358" s="115"/>
      <c r="BS3358" s="115"/>
      <c r="BT3358" s="115"/>
      <c r="BU3358" s="115"/>
      <c r="BV3358" s="115"/>
      <c r="BW3358" s="115"/>
      <c r="BX3358" s="115"/>
      <c r="BY3358" s="115"/>
      <c r="BZ3358" s="115"/>
      <c r="CA3358" s="115"/>
      <c r="CB3358" s="115"/>
      <c r="CC3358" s="115"/>
      <c r="CD3358" s="115"/>
      <c r="CE3358" s="115"/>
      <c r="CF3358" s="115"/>
      <c r="CG3358" s="115"/>
      <c r="CH3358" s="115"/>
      <c r="CI3358" s="115"/>
      <c r="CJ3358" s="115"/>
      <c r="CK3358" s="115"/>
      <c r="CL3358" s="115"/>
      <c r="CM3358" s="115"/>
      <c r="CN3358" s="115"/>
      <c r="CO3358" s="115"/>
      <c r="CP3358" s="115"/>
      <c r="CQ3358" s="115"/>
      <c r="CR3358" s="115"/>
      <c r="CS3358" s="115"/>
      <c r="CT3358" s="115"/>
      <c r="CU3358" s="115"/>
      <c r="CV3358" s="115"/>
      <c r="CW3358" s="115"/>
      <c r="CX3358" s="115"/>
      <c r="CY3358" s="115"/>
      <c r="CZ3358" s="115"/>
      <c r="DA3358" s="115"/>
      <c r="DB3358" s="115"/>
      <c r="DC3358" s="115"/>
      <c r="DD3358" s="115"/>
      <c r="DE3358" s="115"/>
      <c r="DF3358" s="115"/>
      <c r="DG3358" s="115"/>
    </row>
    <row r="3359" spans="55:111" hidden="1">
      <c r="BC3359" s="115"/>
      <c r="BD3359" s="115"/>
      <c r="BE3359" s="115"/>
      <c r="BF3359" s="115"/>
      <c r="BG3359" s="115"/>
      <c r="BH3359" s="115"/>
      <c r="BI3359" s="115"/>
      <c r="BJ3359" s="115"/>
      <c r="BK3359" s="115"/>
      <c r="BL3359" s="115"/>
      <c r="BM3359" s="115"/>
      <c r="BN3359" s="115"/>
      <c r="BO3359" s="115"/>
      <c r="BP3359" s="115"/>
      <c r="BQ3359" s="115"/>
      <c r="BR3359" s="115"/>
      <c r="BS3359" s="115"/>
      <c r="BT3359" s="115"/>
      <c r="BU3359" s="115"/>
      <c r="BV3359" s="115"/>
      <c r="BW3359" s="115"/>
      <c r="BX3359" s="115"/>
      <c r="BY3359" s="115"/>
      <c r="BZ3359" s="115"/>
      <c r="CA3359" s="115"/>
      <c r="CB3359" s="115"/>
      <c r="CC3359" s="115"/>
      <c r="CD3359" s="115"/>
      <c r="CE3359" s="115"/>
      <c r="CF3359" s="115"/>
      <c r="CG3359" s="115"/>
      <c r="CH3359" s="115"/>
      <c r="CI3359" s="115"/>
      <c r="CJ3359" s="115"/>
      <c r="CK3359" s="115"/>
      <c r="CL3359" s="115"/>
      <c r="CM3359" s="115"/>
      <c r="CN3359" s="115"/>
      <c r="CO3359" s="115"/>
      <c r="CP3359" s="115"/>
      <c r="CQ3359" s="115"/>
      <c r="CR3359" s="115"/>
      <c r="CS3359" s="115"/>
      <c r="CT3359" s="115"/>
      <c r="CU3359" s="115"/>
      <c r="CV3359" s="115"/>
      <c r="CW3359" s="115"/>
      <c r="CX3359" s="115"/>
      <c r="CY3359" s="115"/>
      <c r="CZ3359" s="115"/>
      <c r="DA3359" s="115"/>
      <c r="DB3359" s="115"/>
      <c r="DC3359" s="115"/>
      <c r="DD3359" s="115"/>
      <c r="DE3359" s="115"/>
      <c r="DF3359" s="115"/>
      <c r="DG3359" s="115"/>
    </row>
    <row r="3360" spans="55:111" hidden="1">
      <c r="BC3360" s="115"/>
      <c r="BD3360" s="115"/>
      <c r="BE3360" s="115"/>
      <c r="BF3360" s="115"/>
      <c r="BG3360" s="115"/>
      <c r="BH3360" s="115"/>
      <c r="BI3360" s="115"/>
      <c r="BJ3360" s="115"/>
      <c r="BK3360" s="115"/>
      <c r="BL3360" s="115"/>
      <c r="BM3360" s="115"/>
      <c r="BN3360" s="115"/>
      <c r="BO3360" s="115"/>
      <c r="BP3360" s="115"/>
      <c r="BQ3360" s="115"/>
      <c r="BR3360" s="115"/>
      <c r="BS3360" s="115"/>
      <c r="BT3360" s="115"/>
      <c r="BU3360" s="115"/>
      <c r="BV3360" s="115"/>
      <c r="BW3360" s="115"/>
      <c r="BX3360" s="115"/>
      <c r="BY3360" s="115"/>
      <c r="BZ3360" s="115"/>
      <c r="CA3360" s="115"/>
      <c r="CB3360" s="115"/>
      <c r="CC3360" s="115"/>
      <c r="CD3360" s="115"/>
      <c r="CE3360" s="115"/>
      <c r="CF3360" s="115"/>
      <c r="CG3360" s="115"/>
      <c r="CH3360" s="115"/>
      <c r="CI3360" s="115"/>
      <c r="CJ3360" s="115"/>
      <c r="CK3360" s="115"/>
      <c r="CL3360" s="115"/>
      <c r="CM3360" s="115"/>
      <c r="CN3360" s="115"/>
      <c r="CO3360" s="115"/>
      <c r="CP3360" s="115"/>
      <c r="CQ3360" s="115"/>
      <c r="CR3360" s="115"/>
      <c r="CS3360" s="115"/>
      <c r="CT3360" s="115"/>
      <c r="CU3360" s="115"/>
      <c r="CV3360" s="115"/>
      <c r="CW3360" s="115"/>
      <c r="CX3360" s="115"/>
      <c r="CY3360" s="115"/>
      <c r="CZ3360" s="115"/>
      <c r="DA3360" s="115"/>
      <c r="DB3360" s="115"/>
      <c r="DC3360" s="115"/>
      <c r="DD3360" s="115"/>
      <c r="DE3360" s="115"/>
      <c r="DF3360" s="115"/>
      <c r="DG3360" s="115"/>
    </row>
    <row r="3361" spans="55:111" hidden="1">
      <c r="BC3361" s="115"/>
      <c r="BD3361" s="115"/>
      <c r="BE3361" s="115"/>
      <c r="BF3361" s="115"/>
      <c r="BG3361" s="115"/>
      <c r="BH3361" s="115"/>
      <c r="BI3361" s="115"/>
      <c r="BJ3361" s="115"/>
      <c r="BK3361" s="115"/>
      <c r="BL3361" s="115"/>
      <c r="BM3361" s="115"/>
      <c r="BN3361" s="115"/>
      <c r="BO3361" s="115"/>
      <c r="BP3361" s="115"/>
      <c r="BQ3361" s="115"/>
      <c r="BR3361" s="115"/>
      <c r="BS3361" s="115"/>
      <c r="BT3361" s="115"/>
      <c r="BU3361" s="115"/>
      <c r="BV3361" s="115"/>
      <c r="BW3361" s="115"/>
      <c r="BX3361" s="115"/>
      <c r="BY3361" s="115"/>
      <c r="BZ3361" s="115"/>
      <c r="CA3361" s="115"/>
      <c r="CB3361" s="115"/>
      <c r="CC3361" s="115"/>
      <c r="CD3361" s="115"/>
      <c r="CE3361" s="115"/>
      <c r="CF3361" s="115"/>
      <c r="CG3361" s="115"/>
      <c r="CH3361" s="115"/>
      <c r="CI3361" s="115"/>
      <c r="CJ3361" s="115"/>
      <c r="CK3361" s="115"/>
      <c r="CL3361" s="115"/>
      <c r="CM3361" s="115"/>
      <c r="CN3361" s="115"/>
      <c r="CO3361" s="115"/>
      <c r="CP3361" s="115"/>
      <c r="CQ3361" s="115"/>
      <c r="CR3361" s="115"/>
      <c r="CS3361" s="115"/>
      <c r="CT3361" s="115"/>
      <c r="CU3361" s="115"/>
      <c r="CV3361" s="115"/>
      <c r="CW3361" s="115"/>
      <c r="CX3361" s="115"/>
      <c r="CY3361" s="115"/>
      <c r="CZ3361" s="115"/>
      <c r="DA3361" s="115"/>
      <c r="DB3361" s="115"/>
      <c r="DC3361" s="115"/>
      <c r="DD3361" s="115"/>
      <c r="DE3361" s="115"/>
      <c r="DF3361" s="115"/>
      <c r="DG3361" s="115"/>
    </row>
    <row r="3362" spans="55:111" hidden="1">
      <c r="BC3362" s="115"/>
      <c r="BD3362" s="115"/>
      <c r="BE3362" s="115"/>
      <c r="BF3362" s="115"/>
      <c r="BG3362" s="115"/>
      <c r="BH3362" s="115"/>
      <c r="BI3362" s="115"/>
      <c r="BJ3362" s="115"/>
      <c r="BK3362" s="115"/>
      <c r="BL3362" s="115"/>
      <c r="BM3362" s="115"/>
      <c r="BN3362" s="115"/>
      <c r="BO3362" s="115"/>
      <c r="BP3362" s="115"/>
      <c r="BQ3362" s="115"/>
      <c r="BR3362" s="115"/>
      <c r="BS3362" s="115"/>
      <c r="BT3362" s="115"/>
      <c r="BU3362" s="115"/>
      <c r="BV3362" s="115"/>
      <c r="BW3362" s="115"/>
      <c r="BX3362" s="115"/>
      <c r="BY3362" s="115"/>
      <c r="BZ3362" s="115"/>
      <c r="CA3362" s="115"/>
      <c r="CB3362" s="115"/>
      <c r="CC3362" s="115"/>
      <c r="CD3362" s="115"/>
      <c r="CE3362" s="115"/>
      <c r="CF3362" s="115"/>
      <c r="CG3362" s="115"/>
      <c r="CH3362" s="115"/>
      <c r="CI3362" s="115"/>
      <c r="CJ3362" s="115"/>
      <c r="CK3362" s="115"/>
      <c r="CL3362" s="115"/>
      <c r="CM3362" s="115"/>
      <c r="CN3362" s="115"/>
      <c r="CO3362" s="115"/>
      <c r="CP3362" s="115"/>
      <c r="CQ3362" s="115"/>
      <c r="CR3362" s="115"/>
      <c r="CS3362" s="115"/>
      <c r="CT3362" s="115"/>
      <c r="CU3362" s="115"/>
      <c r="CV3362" s="115"/>
      <c r="CW3362" s="115"/>
      <c r="CX3362" s="115"/>
      <c r="CY3362" s="115"/>
      <c r="CZ3362" s="115"/>
      <c r="DA3362" s="115"/>
      <c r="DB3362" s="115"/>
      <c r="DC3362" s="115"/>
      <c r="DD3362" s="115"/>
      <c r="DE3362" s="115"/>
      <c r="DF3362" s="115"/>
      <c r="DG3362" s="115"/>
    </row>
    <row r="3363" spans="55:111" hidden="1">
      <c r="BC3363" s="115"/>
      <c r="BD3363" s="115"/>
      <c r="BE3363" s="115"/>
      <c r="BF3363" s="115"/>
      <c r="BG3363" s="115"/>
      <c r="BH3363" s="115"/>
      <c r="BI3363" s="115"/>
      <c r="BJ3363" s="115"/>
      <c r="BK3363" s="115"/>
      <c r="BL3363" s="115"/>
      <c r="BM3363" s="115"/>
      <c r="BN3363" s="115"/>
      <c r="BO3363" s="115"/>
      <c r="BP3363" s="115"/>
      <c r="BQ3363" s="115"/>
      <c r="BR3363" s="115"/>
      <c r="BS3363" s="115"/>
      <c r="BT3363" s="115"/>
      <c r="BU3363" s="115"/>
      <c r="BV3363" s="115"/>
      <c r="BW3363" s="115"/>
      <c r="BX3363" s="115"/>
      <c r="BY3363" s="115"/>
      <c r="BZ3363" s="115"/>
      <c r="CA3363" s="115"/>
      <c r="CB3363" s="115"/>
      <c r="CC3363" s="115"/>
      <c r="CD3363" s="115"/>
      <c r="CE3363" s="115"/>
      <c r="CF3363" s="115"/>
      <c r="CG3363" s="115"/>
      <c r="CH3363" s="115"/>
      <c r="CI3363" s="115"/>
      <c r="CJ3363" s="115"/>
      <c r="CK3363" s="115"/>
      <c r="CL3363" s="115"/>
      <c r="CM3363" s="115"/>
      <c r="CN3363" s="115"/>
      <c r="CO3363" s="115"/>
      <c r="CP3363" s="115"/>
      <c r="CQ3363" s="115"/>
      <c r="CR3363" s="115"/>
      <c r="CS3363" s="115"/>
      <c r="CT3363" s="115"/>
      <c r="CU3363" s="115"/>
      <c r="CV3363" s="115"/>
      <c r="CW3363" s="115"/>
      <c r="CX3363" s="115"/>
      <c r="CY3363" s="115"/>
      <c r="CZ3363" s="115"/>
      <c r="DA3363" s="115"/>
      <c r="DB3363" s="115"/>
      <c r="DC3363" s="115"/>
      <c r="DD3363" s="115"/>
      <c r="DE3363" s="115"/>
      <c r="DF3363" s="115"/>
      <c r="DG3363" s="115"/>
    </row>
    <row r="3364" spans="55:111" hidden="1">
      <c r="BC3364" s="115"/>
      <c r="BD3364" s="115"/>
      <c r="BE3364" s="115"/>
      <c r="BF3364" s="115"/>
      <c r="BG3364" s="115"/>
      <c r="BH3364" s="115"/>
      <c r="BI3364" s="115"/>
      <c r="BJ3364" s="115"/>
      <c r="BK3364" s="115"/>
      <c r="BL3364" s="115"/>
      <c r="BM3364" s="115"/>
      <c r="BN3364" s="115"/>
      <c r="BO3364" s="115"/>
      <c r="BP3364" s="115"/>
      <c r="BQ3364" s="115"/>
      <c r="BR3364" s="115"/>
      <c r="BS3364" s="115"/>
      <c r="BT3364" s="115"/>
      <c r="BU3364" s="115"/>
      <c r="BV3364" s="115"/>
      <c r="BW3364" s="115"/>
      <c r="BX3364" s="115"/>
      <c r="BY3364" s="115"/>
      <c r="BZ3364" s="115"/>
      <c r="CA3364" s="115"/>
      <c r="CB3364" s="115"/>
      <c r="CC3364" s="115"/>
      <c r="CD3364" s="115"/>
      <c r="CE3364" s="115"/>
      <c r="CF3364" s="115"/>
      <c r="CG3364" s="115"/>
      <c r="CH3364" s="115"/>
      <c r="CI3364" s="115"/>
      <c r="CJ3364" s="115"/>
      <c r="CK3364" s="115"/>
      <c r="CL3364" s="115"/>
      <c r="CM3364" s="115"/>
      <c r="CN3364" s="115"/>
      <c r="CO3364" s="115"/>
      <c r="CP3364" s="115"/>
      <c r="CQ3364" s="115"/>
      <c r="CR3364" s="115"/>
      <c r="CS3364" s="115"/>
      <c r="CT3364" s="115"/>
      <c r="CU3364" s="115"/>
      <c r="CV3364" s="115"/>
      <c r="CW3364" s="115"/>
      <c r="CX3364" s="115"/>
      <c r="CY3364" s="115"/>
      <c r="CZ3364" s="115"/>
      <c r="DA3364" s="115"/>
      <c r="DB3364" s="115"/>
      <c r="DC3364" s="115"/>
      <c r="DD3364" s="115"/>
      <c r="DE3364" s="115"/>
      <c r="DF3364" s="115"/>
      <c r="DG3364" s="115"/>
    </row>
    <row r="3365" spans="55:111" hidden="1">
      <c r="BC3365" s="115"/>
      <c r="BD3365" s="115"/>
      <c r="BE3365" s="115"/>
      <c r="BF3365" s="115"/>
      <c r="BG3365" s="115"/>
      <c r="BH3365" s="115"/>
      <c r="BI3365" s="115"/>
      <c r="BJ3365" s="115"/>
      <c r="BK3365" s="115"/>
      <c r="BL3365" s="115"/>
      <c r="BM3365" s="115"/>
      <c r="BN3365" s="115"/>
      <c r="BO3365" s="115"/>
      <c r="BP3365" s="115"/>
      <c r="BQ3365" s="115"/>
      <c r="BR3365" s="115"/>
      <c r="BS3365" s="115"/>
      <c r="BT3365" s="115"/>
      <c r="BU3365" s="115"/>
      <c r="BV3365" s="115"/>
      <c r="BW3365" s="115"/>
      <c r="BX3365" s="115"/>
      <c r="BY3365" s="115"/>
      <c r="BZ3365" s="115"/>
      <c r="CA3365" s="115"/>
      <c r="CB3365" s="115"/>
      <c r="CC3365" s="115"/>
      <c r="CD3365" s="115"/>
      <c r="CE3365" s="115"/>
      <c r="CF3365" s="115"/>
      <c r="CG3365" s="115"/>
      <c r="CH3365" s="115"/>
      <c r="CI3365" s="115"/>
      <c r="CJ3365" s="115"/>
      <c r="CK3365" s="115"/>
      <c r="CL3365" s="115"/>
      <c r="CM3365" s="115"/>
      <c r="CN3365" s="115"/>
      <c r="CO3365" s="115"/>
      <c r="CP3365" s="115"/>
      <c r="CQ3365" s="115"/>
      <c r="CR3365" s="115"/>
      <c r="CS3365" s="115"/>
      <c r="CT3365" s="115"/>
      <c r="CU3365" s="115"/>
      <c r="CV3365" s="115"/>
      <c r="CW3365" s="115"/>
      <c r="CX3365" s="115"/>
      <c r="CY3365" s="115"/>
      <c r="CZ3365" s="115"/>
      <c r="DA3365" s="115"/>
      <c r="DB3365" s="115"/>
      <c r="DC3365" s="115"/>
      <c r="DD3365" s="115"/>
      <c r="DE3365" s="115"/>
      <c r="DF3365" s="115"/>
      <c r="DG3365" s="115"/>
    </row>
    <row r="3366" spans="55:111" hidden="1">
      <c r="BC3366" s="115"/>
      <c r="BD3366" s="115"/>
      <c r="BE3366" s="115"/>
      <c r="BF3366" s="115"/>
      <c r="BG3366" s="115"/>
      <c r="BH3366" s="115"/>
      <c r="BI3366" s="115"/>
      <c r="BJ3366" s="115"/>
      <c r="BK3366" s="115"/>
      <c r="BL3366" s="115"/>
      <c r="BM3366" s="115"/>
      <c r="BN3366" s="115"/>
      <c r="BO3366" s="115"/>
      <c r="BP3366" s="115"/>
      <c r="BQ3366" s="115"/>
      <c r="BR3366" s="115"/>
      <c r="BS3366" s="115"/>
      <c r="BT3366" s="115"/>
      <c r="BU3366" s="115"/>
      <c r="BV3366" s="115"/>
      <c r="BW3366" s="115"/>
      <c r="BX3366" s="115"/>
      <c r="BY3366" s="115"/>
      <c r="BZ3366" s="115"/>
      <c r="CA3366" s="115"/>
      <c r="CB3366" s="115"/>
      <c r="CC3366" s="115"/>
      <c r="CD3366" s="115"/>
      <c r="CE3366" s="115"/>
      <c r="CF3366" s="115"/>
      <c r="CG3366" s="115"/>
      <c r="CH3366" s="115"/>
      <c r="CI3366" s="115"/>
      <c r="CJ3366" s="115"/>
      <c r="CK3366" s="115"/>
      <c r="CL3366" s="115"/>
      <c r="CM3366" s="115"/>
      <c r="CN3366" s="115"/>
      <c r="CO3366" s="115"/>
      <c r="CP3366" s="115"/>
      <c r="CQ3366" s="115"/>
      <c r="CR3366" s="115"/>
      <c r="CS3366" s="115"/>
      <c r="CT3366" s="115"/>
      <c r="CU3366" s="115"/>
      <c r="CV3366" s="115"/>
      <c r="CW3366" s="115"/>
      <c r="CX3366" s="115"/>
      <c r="CY3366" s="115"/>
      <c r="CZ3366" s="115"/>
      <c r="DA3366" s="115"/>
      <c r="DB3366" s="115"/>
      <c r="DC3366" s="115"/>
      <c r="DD3366" s="115"/>
      <c r="DE3366" s="115"/>
      <c r="DF3366" s="115"/>
      <c r="DG3366" s="115"/>
    </row>
    <row r="3367" spans="55:111" hidden="1">
      <c r="BC3367" s="115"/>
      <c r="BD3367" s="115"/>
      <c r="BE3367" s="115"/>
      <c r="BF3367" s="115"/>
      <c r="BG3367" s="115"/>
      <c r="BH3367" s="115"/>
      <c r="BI3367" s="115"/>
      <c r="BJ3367" s="115"/>
      <c r="BK3367" s="115"/>
      <c r="BL3367" s="115"/>
      <c r="BM3367" s="115"/>
      <c r="BN3367" s="115"/>
      <c r="BO3367" s="115"/>
      <c r="BP3367" s="115"/>
      <c r="BQ3367" s="115"/>
      <c r="BR3367" s="115"/>
      <c r="BS3367" s="115"/>
      <c r="BT3367" s="115"/>
      <c r="BU3367" s="115"/>
      <c r="BV3367" s="115"/>
      <c r="BW3367" s="115"/>
      <c r="BX3367" s="115"/>
      <c r="BY3367" s="115"/>
      <c r="BZ3367" s="115"/>
      <c r="CA3367" s="115"/>
      <c r="CB3367" s="115"/>
      <c r="CC3367" s="115"/>
      <c r="CD3367" s="115"/>
      <c r="CE3367" s="115"/>
      <c r="CF3367" s="115"/>
      <c r="CG3367" s="115"/>
      <c r="CH3367" s="115"/>
      <c r="CI3367" s="115"/>
      <c r="CJ3367" s="115"/>
      <c r="CK3367" s="115"/>
      <c r="CL3367" s="115"/>
      <c r="CM3367" s="115"/>
      <c r="CN3367" s="115"/>
      <c r="CO3367" s="115"/>
      <c r="CP3367" s="115"/>
      <c r="CQ3367" s="115"/>
      <c r="CR3367" s="115"/>
      <c r="CS3367" s="115"/>
      <c r="CT3367" s="115"/>
      <c r="CU3367" s="115"/>
      <c r="CV3367" s="115"/>
      <c r="CW3367" s="115"/>
      <c r="CX3367" s="115"/>
      <c r="CY3367" s="115"/>
      <c r="CZ3367" s="115"/>
      <c r="DA3367" s="115"/>
      <c r="DB3367" s="115"/>
      <c r="DC3367" s="115"/>
      <c r="DD3367" s="115"/>
      <c r="DE3367" s="115"/>
      <c r="DF3367" s="115"/>
      <c r="DG3367" s="115"/>
    </row>
    <row r="3368" spans="55:111" hidden="1">
      <c r="BC3368" s="115"/>
      <c r="BD3368" s="115"/>
      <c r="BE3368" s="115"/>
      <c r="BF3368" s="115"/>
      <c r="BG3368" s="115"/>
      <c r="BH3368" s="115"/>
      <c r="BI3368" s="115"/>
      <c r="BJ3368" s="115"/>
      <c r="BK3368" s="115"/>
      <c r="BL3368" s="115"/>
      <c r="BM3368" s="115"/>
      <c r="BN3368" s="115"/>
      <c r="BO3368" s="115"/>
      <c r="BP3368" s="115"/>
      <c r="BQ3368" s="115"/>
      <c r="BR3368" s="115"/>
      <c r="BS3368" s="115"/>
      <c r="BT3368" s="115"/>
      <c r="BU3368" s="115"/>
      <c r="BV3368" s="115"/>
      <c r="BW3368" s="115"/>
      <c r="BX3368" s="115"/>
      <c r="BY3368" s="115"/>
      <c r="BZ3368" s="115"/>
      <c r="CA3368" s="115"/>
      <c r="CB3368" s="115"/>
      <c r="CC3368" s="115"/>
      <c r="CD3368" s="115"/>
      <c r="CE3368" s="115"/>
      <c r="CF3368" s="115"/>
      <c r="CG3368" s="115"/>
      <c r="CH3368" s="115"/>
      <c r="CI3368" s="115"/>
      <c r="CJ3368" s="115"/>
      <c r="CK3368" s="115"/>
      <c r="CL3368" s="115"/>
      <c r="CM3368" s="115"/>
      <c r="CN3368" s="115"/>
      <c r="CO3368" s="115"/>
      <c r="CP3368" s="115"/>
      <c r="CQ3368" s="115"/>
      <c r="CR3368" s="115"/>
      <c r="CS3368" s="115"/>
      <c r="CT3368" s="115"/>
      <c r="CU3368" s="115"/>
      <c r="CV3368" s="115"/>
      <c r="CW3368" s="115"/>
      <c r="CX3368" s="115"/>
      <c r="CY3368" s="115"/>
      <c r="CZ3368" s="115"/>
      <c r="DA3368" s="115"/>
      <c r="DB3368" s="115"/>
      <c r="DC3368" s="115"/>
      <c r="DD3368" s="115"/>
      <c r="DE3368" s="115"/>
      <c r="DF3368" s="115"/>
      <c r="DG3368" s="115"/>
    </row>
    <row r="3369" spans="55:111" hidden="1">
      <c r="BC3369" s="115"/>
      <c r="BD3369" s="115"/>
      <c r="BE3369" s="115"/>
      <c r="BF3369" s="115"/>
      <c r="BG3369" s="115"/>
      <c r="BH3369" s="115"/>
      <c r="BI3369" s="115"/>
      <c r="BJ3369" s="115"/>
      <c r="BK3369" s="115"/>
      <c r="BL3369" s="115"/>
      <c r="BM3369" s="115"/>
      <c r="BN3369" s="115"/>
      <c r="BO3369" s="115"/>
      <c r="BP3369" s="115"/>
      <c r="BQ3369" s="115"/>
      <c r="BR3369" s="115"/>
      <c r="BS3369" s="115"/>
      <c r="BT3369" s="115"/>
      <c r="BU3369" s="115"/>
      <c r="BV3369" s="115"/>
      <c r="BW3369" s="115"/>
      <c r="BX3369" s="115"/>
      <c r="BY3369" s="115"/>
      <c r="BZ3369" s="115"/>
      <c r="CA3369" s="115"/>
      <c r="CB3369" s="115"/>
      <c r="CC3369" s="115"/>
      <c r="CD3369" s="115"/>
      <c r="CE3369" s="115"/>
      <c r="CF3369" s="115"/>
      <c r="CG3369" s="115"/>
      <c r="CH3369" s="115"/>
      <c r="CI3369" s="115"/>
      <c r="CJ3369" s="115"/>
      <c r="CK3369" s="115"/>
      <c r="CL3369" s="115"/>
      <c r="CM3369" s="115"/>
      <c r="CN3369" s="115"/>
      <c r="CO3369" s="115"/>
      <c r="CP3369" s="115"/>
      <c r="CQ3369" s="115"/>
      <c r="CR3369" s="115"/>
      <c r="CS3369" s="115"/>
      <c r="CT3369" s="115"/>
      <c r="CU3369" s="115"/>
      <c r="CV3369" s="115"/>
      <c r="CW3369" s="115"/>
      <c r="CX3369" s="115"/>
      <c r="CY3369" s="115"/>
      <c r="CZ3369" s="115"/>
      <c r="DA3369" s="115"/>
      <c r="DB3369" s="115"/>
      <c r="DC3369" s="115"/>
      <c r="DD3369" s="115"/>
      <c r="DE3369" s="115"/>
      <c r="DF3369" s="115"/>
      <c r="DG3369" s="115"/>
    </row>
    <row r="3370" spans="55:111" hidden="1">
      <c r="BC3370" s="115"/>
      <c r="BD3370" s="115"/>
      <c r="BE3370" s="115"/>
      <c r="BF3370" s="115"/>
      <c r="BG3370" s="115"/>
      <c r="BH3370" s="115"/>
      <c r="BI3370" s="115"/>
      <c r="BJ3370" s="115"/>
      <c r="BK3370" s="115"/>
      <c r="BL3370" s="115"/>
      <c r="BM3370" s="115"/>
      <c r="BN3370" s="115"/>
      <c r="BO3370" s="115"/>
      <c r="BP3370" s="115"/>
      <c r="BQ3370" s="115"/>
      <c r="BR3370" s="115"/>
      <c r="BS3370" s="115"/>
      <c r="BT3370" s="115"/>
      <c r="BU3370" s="115"/>
      <c r="BV3370" s="115"/>
      <c r="BW3370" s="115"/>
      <c r="BX3370" s="115"/>
      <c r="BY3370" s="115"/>
      <c r="BZ3370" s="115"/>
      <c r="CA3370" s="115"/>
      <c r="CB3370" s="115"/>
      <c r="CC3370" s="115"/>
      <c r="CD3370" s="115"/>
      <c r="CE3370" s="115"/>
      <c r="CF3370" s="115"/>
      <c r="CG3370" s="115"/>
      <c r="CH3370" s="115"/>
      <c r="CI3370" s="115"/>
      <c r="CJ3370" s="115"/>
      <c r="CK3370" s="115"/>
      <c r="CL3370" s="115"/>
      <c r="CM3370" s="115"/>
      <c r="CN3370" s="115"/>
      <c r="CO3370" s="115"/>
      <c r="CP3370" s="115"/>
      <c r="CQ3370" s="115"/>
      <c r="CR3370" s="115"/>
      <c r="CS3370" s="115"/>
      <c r="CT3370" s="115"/>
      <c r="CU3370" s="115"/>
      <c r="CV3370" s="115"/>
      <c r="CW3370" s="115"/>
      <c r="CX3370" s="115"/>
      <c r="CY3370" s="115"/>
      <c r="CZ3370" s="115"/>
      <c r="DA3370" s="115"/>
      <c r="DB3370" s="115"/>
      <c r="DC3370" s="115"/>
      <c r="DD3370" s="115"/>
      <c r="DE3370" s="115"/>
      <c r="DF3370" s="115"/>
      <c r="DG3370" s="115"/>
    </row>
    <row r="3371" spans="55:111" hidden="1">
      <c r="BC3371" s="115"/>
      <c r="BD3371" s="115"/>
      <c r="BE3371" s="115"/>
      <c r="BF3371" s="115"/>
      <c r="BG3371" s="115"/>
      <c r="BH3371" s="115"/>
      <c r="BI3371" s="115"/>
      <c r="BJ3371" s="115"/>
      <c r="BK3371" s="115"/>
      <c r="BL3371" s="115"/>
      <c r="BM3371" s="115"/>
      <c r="BN3371" s="115"/>
      <c r="BO3371" s="115"/>
      <c r="BP3371" s="115"/>
      <c r="BQ3371" s="115"/>
      <c r="BR3371" s="115"/>
      <c r="BS3371" s="115"/>
      <c r="BT3371" s="115"/>
      <c r="BU3371" s="115"/>
      <c r="BV3371" s="115"/>
      <c r="BW3371" s="115"/>
      <c r="BX3371" s="115"/>
      <c r="BY3371" s="115"/>
      <c r="BZ3371" s="115"/>
      <c r="CA3371" s="115"/>
      <c r="CB3371" s="115"/>
      <c r="CC3371" s="115"/>
      <c r="CD3371" s="115"/>
      <c r="CE3371" s="115"/>
      <c r="CF3371" s="115"/>
      <c r="CG3371" s="115"/>
      <c r="CH3371" s="115"/>
      <c r="CI3371" s="115"/>
      <c r="CJ3371" s="115"/>
      <c r="CK3371" s="115"/>
      <c r="CL3371" s="115"/>
      <c r="CM3371" s="115"/>
      <c r="CN3371" s="115"/>
      <c r="CO3371" s="115"/>
      <c r="CP3371" s="115"/>
      <c r="CQ3371" s="115"/>
      <c r="CR3371" s="115"/>
      <c r="CS3371" s="115"/>
      <c r="CT3371" s="115"/>
      <c r="CU3371" s="115"/>
      <c r="CV3371" s="115"/>
      <c r="CW3371" s="115"/>
      <c r="CX3371" s="115"/>
      <c r="CY3371" s="115"/>
      <c r="CZ3371" s="115"/>
      <c r="DA3371" s="115"/>
      <c r="DB3371" s="115"/>
      <c r="DC3371" s="115"/>
      <c r="DD3371" s="115"/>
      <c r="DE3371" s="115"/>
      <c r="DF3371" s="115"/>
      <c r="DG3371" s="115"/>
    </row>
    <row r="3372" spans="55:111" hidden="1">
      <c r="BC3372" s="115"/>
      <c r="BD3372" s="115"/>
      <c r="BE3372" s="115"/>
      <c r="BF3372" s="115"/>
      <c r="BG3372" s="115"/>
      <c r="BH3372" s="115"/>
      <c r="BI3372" s="115"/>
      <c r="BJ3372" s="115"/>
      <c r="BK3372" s="115"/>
      <c r="BL3372" s="115"/>
      <c r="BM3372" s="115"/>
      <c r="BN3372" s="115"/>
      <c r="BO3372" s="115"/>
      <c r="BP3372" s="115"/>
      <c r="BQ3372" s="115"/>
      <c r="BR3372" s="115"/>
      <c r="BS3372" s="115"/>
      <c r="BT3372" s="115"/>
      <c r="BU3372" s="115"/>
      <c r="BV3372" s="115"/>
      <c r="BW3372" s="115"/>
      <c r="BX3372" s="115"/>
      <c r="BY3372" s="115"/>
      <c r="BZ3372" s="115"/>
      <c r="CA3372" s="115"/>
      <c r="CB3372" s="115"/>
      <c r="CC3372" s="115"/>
      <c r="CD3372" s="115"/>
      <c r="CE3372" s="115"/>
      <c r="CF3372" s="115"/>
      <c r="CG3372" s="115"/>
      <c r="CH3372" s="115"/>
      <c r="CI3372" s="115"/>
      <c r="CJ3372" s="115"/>
      <c r="CK3372" s="115"/>
      <c r="CL3372" s="115"/>
      <c r="CM3372" s="115"/>
      <c r="CN3372" s="115"/>
      <c r="CO3372" s="115"/>
      <c r="CP3372" s="115"/>
      <c r="CQ3372" s="115"/>
      <c r="CR3372" s="115"/>
      <c r="CS3372" s="115"/>
      <c r="CT3372" s="115"/>
      <c r="CU3372" s="115"/>
      <c r="CV3372" s="115"/>
      <c r="CW3372" s="115"/>
      <c r="CX3372" s="115"/>
      <c r="CY3372" s="115"/>
      <c r="CZ3372" s="115"/>
      <c r="DA3372" s="115"/>
      <c r="DB3372" s="115"/>
      <c r="DC3372" s="115"/>
      <c r="DD3372" s="115"/>
      <c r="DE3372" s="115"/>
      <c r="DF3372" s="115"/>
      <c r="DG3372" s="115"/>
    </row>
    <row r="3373" spans="55:111" hidden="1">
      <c r="BC3373" s="115"/>
      <c r="BD3373" s="115"/>
      <c r="BE3373" s="115"/>
      <c r="BF3373" s="115"/>
      <c r="BG3373" s="115"/>
      <c r="BH3373" s="115"/>
      <c r="BI3373" s="115"/>
      <c r="BJ3373" s="115"/>
      <c r="BK3373" s="115"/>
      <c r="BL3373" s="115"/>
      <c r="BM3373" s="115"/>
      <c r="BN3373" s="115"/>
      <c r="BO3373" s="115"/>
      <c r="BP3373" s="115"/>
      <c r="BQ3373" s="115"/>
      <c r="BR3373" s="115"/>
      <c r="BS3373" s="115"/>
      <c r="BT3373" s="115"/>
      <c r="BU3373" s="115"/>
      <c r="BV3373" s="115"/>
      <c r="BW3373" s="115"/>
      <c r="BX3373" s="115"/>
      <c r="BY3373" s="115"/>
      <c r="BZ3373" s="115"/>
      <c r="CA3373" s="115"/>
      <c r="CB3373" s="115"/>
      <c r="CC3373" s="115"/>
      <c r="CD3373" s="115"/>
      <c r="CE3373" s="115"/>
      <c r="CF3373" s="115"/>
      <c r="CG3373" s="115"/>
      <c r="CH3373" s="115"/>
      <c r="CI3373" s="115"/>
      <c r="CJ3373" s="115"/>
      <c r="CK3373" s="115"/>
      <c r="CL3373" s="115"/>
      <c r="CM3373" s="115"/>
      <c r="CN3373" s="115"/>
      <c r="CO3373" s="115"/>
      <c r="CP3373" s="115"/>
      <c r="CQ3373" s="115"/>
      <c r="CR3373" s="115"/>
      <c r="CS3373" s="115"/>
      <c r="CT3373" s="115"/>
      <c r="CU3373" s="115"/>
      <c r="CV3373" s="115"/>
      <c r="CW3373" s="115"/>
      <c r="CX3373" s="115"/>
      <c r="CY3373" s="115"/>
      <c r="CZ3373" s="115"/>
      <c r="DA3373" s="115"/>
      <c r="DB3373" s="115"/>
      <c r="DC3373" s="115"/>
      <c r="DD3373" s="115"/>
      <c r="DE3373" s="115"/>
      <c r="DF3373" s="115"/>
      <c r="DG3373" s="115"/>
    </row>
    <row r="3374" spans="55:111" hidden="1">
      <c r="BC3374" s="115"/>
      <c r="BD3374" s="115"/>
      <c r="BE3374" s="115"/>
      <c r="BF3374" s="115"/>
      <c r="BG3374" s="115"/>
      <c r="BH3374" s="115"/>
      <c r="BI3374" s="115"/>
      <c r="BJ3374" s="115"/>
      <c r="BK3374" s="115"/>
      <c r="BL3374" s="115"/>
      <c r="BM3374" s="115"/>
      <c r="BN3374" s="115"/>
      <c r="BO3374" s="115"/>
      <c r="BP3374" s="115"/>
      <c r="BQ3374" s="115"/>
      <c r="BR3374" s="115"/>
      <c r="BS3374" s="115"/>
      <c r="BT3374" s="115"/>
      <c r="BU3374" s="115"/>
      <c r="BV3374" s="115"/>
      <c r="BW3374" s="115"/>
      <c r="BX3374" s="115"/>
      <c r="BY3374" s="115"/>
      <c r="BZ3374" s="115"/>
      <c r="CA3374" s="115"/>
      <c r="CB3374" s="115"/>
      <c r="CC3374" s="115"/>
      <c r="CD3374" s="115"/>
      <c r="CE3374" s="115"/>
      <c r="CF3374" s="115"/>
      <c r="CG3374" s="115"/>
      <c r="CH3374" s="115"/>
      <c r="CI3374" s="115"/>
      <c r="CJ3374" s="115"/>
      <c r="CK3374" s="115"/>
      <c r="CL3374" s="115"/>
      <c r="CM3374" s="115"/>
      <c r="CN3374" s="115"/>
      <c r="CO3374" s="115"/>
      <c r="CP3374" s="115"/>
      <c r="CQ3374" s="115"/>
      <c r="CR3374" s="115"/>
      <c r="CS3374" s="115"/>
      <c r="CT3374" s="115"/>
      <c r="CU3374" s="115"/>
      <c r="CV3374" s="115"/>
      <c r="CW3374" s="115"/>
      <c r="CX3374" s="115"/>
      <c r="CY3374" s="115"/>
      <c r="CZ3374" s="115"/>
      <c r="DA3374" s="115"/>
      <c r="DB3374" s="115"/>
      <c r="DC3374" s="115"/>
      <c r="DD3374" s="115"/>
      <c r="DE3374" s="115"/>
      <c r="DF3374" s="115"/>
      <c r="DG3374" s="115"/>
    </row>
    <row r="3375" spans="55:111" hidden="1">
      <c r="BC3375" s="115"/>
      <c r="BD3375" s="115"/>
      <c r="BE3375" s="115"/>
      <c r="BF3375" s="115"/>
      <c r="BG3375" s="115"/>
      <c r="BH3375" s="115"/>
      <c r="BI3375" s="115"/>
      <c r="BJ3375" s="115"/>
      <c r="BK3375" s="115"/>
      <c r="BL3375" s="115"/>
      <c r="BM3375" s="115"/>
      <c r="BN3375" s="115"/>
      <c r="BO3375" s="115"/>
      <c r="BP3375" s="115"/>
      <c r="BQ3375" s="115"/>
      <c r="BR3375" s="115"/>
      <c r="BS3375" s="115"/>
      <c r="BT3375" s="115"/>
      <c r="BU3375" s="115"/>
      <c r="BV3375" s="115"/>
      <c r="BW3375" s="115"/>
      <c r="BX3375" s="115"/>
      <c r="BY3375" s="115"/>
      <c r="BZ3375" s="115"/>
      <c r="CA3375" s="115"/>
      <c r="CB3375" s="115"/>
      <c r="CC3375" s="115"/>
      <c r="CD3375" s="115"/>
      <c r="CE3375" s="115"/>
      <c r="CF3375" s="115"/>
      <c r="CG3375" s="115"/>
      <c r="CH3375" s="115"/>
      <c r="CI3375" s="115"/>
      <c r="CJ3375" s="115"/>
      <c r="CK3375" s="115"/>
      <c r="CL3375" s="115"/>
      <c r="CM3375" s="115"/>
      <c r="CN3375" s="115"/>
      <c r="CO3375" s="115"/>
      <c r="CP3375" s="115"/>
      <c r="CQ3375" s="115"/>
      <c r="CR3375" s="115"/>
      <c r="CS3375" s="115"/>
      <c r="CT3375" s="115"/>
      <c r="CU3375" s="115"/>
      <c r="CV3375" s="115"/>
      <c r="CW3375" s="115"/>
      <c r="CX3375" s="115"/>
      <c r="CY3375" s="115"/>
      <c r="CZ3375" s="115"/>
      <c r="DA3375" s="115"/>
      <c r="DB3375" s="115"/>
      <c r="DC3375" s="115"/>
      <c r="DD3375" s="115"/>
      <c r="DE3375" s="115"/>
      <c r="DF3375" s="115"/>
      <c r="DG3375" s="115"/>
    </row>
    <row r="3376" spans="55:111" hidden="1">
      <c r="BC3376" s="115"/>
      <c r="BD3376" s="115"/>
      <c r="BE3376" s="115"/>
      <c r="BF3376" s="115"/>
      <c r="BG3376" s="115"/>
      <c r="BH3376" s="115"/>
      <c r="BI3376" s="115"/>
      <c r="BJ3376" s="115"/>
      <c r="BK3376" s="115"/>
      <c r="BL3376" s="115"/>
      <c r="BM3376" s="115"/>
      <c r="BN3376" s="115"/>
      <c r="BO3376" s="115"/>
      <c r="BP3376" s="115"/>
      <c r="BQ3376" s="115"/>
      <c r="BR3376" s="115"/>
      <c r="BS3376" s="115"/>
      <c r="BT3376" s="115"/>
      <c r="BU3376" s="115"/>
      <c r="BV3376" s="115"/>
      <c r="BW3376" s="115"/>
      <c r="BX3376" s="115"/>
      <c r="BY3376" s="115"/>
      <c r="BZ3376" s="115"/>
      <c r="CA3376" s="115"/>
      <c r="CB3376" s="115"/>
      <c r="CC3376" s="115"/>
      <c r="CD3376" s="115"/>
      <c r="CE3376" s="115"/>
      <c r="CF3376" s="115"/>
      <c r="CG3376" s="115"/>
      <c r="CH3376" s="115"/>
      <c r="CI3376" s="115"/>
      <c r="CJ3376" s="115"/>
      <c r="CK3376" s="115"/>
      <c r="CL3376" s="115"/>
      <c r="CM3376" s="115"/>
      <c r="CN3376" s="115"/>
      <c r="CO3376" s="115"/>
      <c r="CP3376" s="115"/>
      <c r="CQ3376" s="115"/>
      <c r="CR3376" s="115"/>
      <c r="CS3376" s="115"/>
      <c r="CT3376" s="115"/>
      <c r="CU3376" s="115"/>
      <c r="CV3376" s="115"/>
      <c r="CW3376" s="115"/>
      <c r="CX3376" s="115"/>
      <c r="CY3376" s="115"/>
      <c r="CZ3376" s="115"/>
      <c r="DA3376" s="115"/>
      <c r="DB3376" s="115"/>
      <c r="DC3376" s="115"/>
      <c r="DD3376" s="115"/>
      <c r="DE3376" s="115"/>
      <c r="DF3376" s="115"/>
      <c r="DG3376" s="115"/>
    </row>
    <row r="3377" spans="55:111" hidden="1">
      <c r="BC3377" s="115"/>
      <c r="BD3377" s="115"/>
      <c r="BE3377" s="115"/>
      <c r="BF3377" s="115"/>
      <c r="BG3377" s="115"/>
      <c r="BH3377" s="115"/>
      <c r="BI3377" s="115"/>
      <c r="BJ3377" s="115"/>
      <c r="BK3377" s="115"/>
      <c r="BL3377" s="115"/>
      <c r="BM3377" s="115"/>
      <c r="BN3377" s="115"/>
      <c r="BO3377" s="115"/>
      <c r="BP3377" s="115"/>
      <c r="BQ3377" s="115"/>
      <c r="BR3377" s="115"/>
      <c r="BS3377" s="115"/>
      <c r="BT3377" s="115"/>
      <c r="BU3377" s="115"/>
      <c r="BV3377" s="115"/>
      <c r="BW3377" s="115"/>
      <c r="BX3377" s="115"/>
      <c r="BY3377" s="115"/>
      <c r="BZ3377" s="115"/>
      <c r="CA3377" s="115"/>
      <c r="CB3377" s="115"/>
      <c r="CC3377" s="115"/>
      <c r="CD3377" s="115"/>
      <c r="CE3377" s="115"/>
      <c r="CF3377" s="115"/>
      <c r="CG3377" s="115"/>
      <c r="CH3377" s="115"/>
      <c r="CI3377" s="115"/>
      <c r="CJ3377" s="115"/>
      <c r="CK3377" s="115"/>
      <c r="CL3377" s="115"/>
      <c r="CM3377" s="115"/>
      <c r="CN3377" s="115"/>
      <c r="CO3377" s="115"/>
      <c r="CP3377" s="115"/>
      <c r="CQ3377" s="115"/>
      <c r="CR3377" s="115"/>
      <c r="CS3377" s="115"/>
      <c r="CT3377" s="115"/>
      <c r="CU3377" s="115"/>
      <c r="CV3377" s="115"/>
      <c r="CW3377" s="115"/>
      <c r="CX3377" s="115"/>
      <c r="CY3377" s="115"/>
      <c r="CZ3377" s="115"/>
      <c r="DA3377" s="115"/>
      <c r="DB3377" s="115"/>
      <c r="DC3377" s="115"/>
      <c r="DD3377" s="115"/>
      <c r="DE3377" s="115"/>
      <c r="DF3377" s="115"/>
      <c r="DG3377" s="115"/>
    </row>
    <row r="3378" spans="55:111" hidden="1">
      <c r="BC3378" s="115"/>
      <c r="BD3378" s="115"/>
      <c r="BE3378" s="115"/>
      <c r="BF3378" s="115"/>
      <c r="BG3378" s="115"/>
      <c r="BH3378" s="115"/>
      <c r="BI3378" s="115"/>
      <c r="BJ3378" s="115"/>
      <c r="BK3378" s="115"/>
      <c r="BL3378" s="115"/>
      <c r="BM3378" s="115"/>
      <c r="BN3378" s="115"/>
      <c r="BO3378" s="115"/>
      <c r="BP3378" s="115"/>
      <c r="BQ3378" s="115"/>
      <c r="BR3378" s="115"/>
      <c r="BS3378" s="115"/>
      <c r="BT3378" s="115"/>
      <c r="BU3378" s="115"/>
      <c r="BV3378" s="115"/>
      <c r="BW3378" s="115"/>
      <c r="BX3378" s="115"/>
      <c r="BY3378" s="115"/>
      <c r="BZ3378" s="115"/>
      <c r="CA3378" s="115"/>
      <c r="CB3378" s="115"/>
      <c r="CC3378" s="115"/>
      <c r="CD3378" s="115"/>
      <c r="CE3378" s="115"/>
      <c r="CF3378" s="115"/>
      <c r="CG3378" s="115"/>
      <c r="CH3378" s="115"/>
      <c r="CI3378" s="115"/>
      <c r="CJ3378" s="115"/>
      <c r="CK3378" s="115"/>
      <c r="CL3378" s="115"/>
      <c r="CM3378" s="115"/>
      <c r="CN3378" s="115"/>
      <c r="CO3378" s="115"/>
      <c r="CP3378" s="115"/>
      <c r="CQ3378" s="115"/>
      <c r="CR3378" s="115"/>
      <c r="CS3378" s="115"/>
      <c r="CT3378" s="115"/>
      <c r="CU3378" s="115"/>
      <c r="CV3378" s="115"/>
      <c r="CW3378" s="115"/>
      <c r="CX3378" s="115"/>
      <c r="CY3378" s="115"/>
      <c r="CZ3378" s="115"/>
      <c r="DA3378" s="115"/>
      <c r="DB3378" s="115"/>
      <c r="DC3378" s="115"/>
      <c r="DD3378" s="115"/>
      <c r="DE3378" s="115"/>
      <c r="DF3378" s="115"/>
      <c r="DG3378" s="115"/>
    </row>
    <row r="3379" spans="55:111" hidden="1">
      <c r="BC3379" s="115"/>
      <c r="BD3379" s="115"/>
      <c r="BE3379" s="115"/>
      <c r="BF3379" s="115"/>
      <c r="BG3379" s="115"/>
      <c r="BH3379" s="115"/>
      <c r="BI3379" s="115"/>
      <c r="BJ3379" s="115"/>
      <c r="BK3379" s="115"/>
      <c r="BL3379" s="115"/>
      <c r="BM3379" s="115"/>
      <c r="BN3379" s="115"/>
      <c r="BO3379" s="115"/>
      <c r="BP3379" s="115"/>
      <c r="BQ3379" s="115"/>
      <c r="BR3379" s="115"/>
      <c r="BS3379" s="115"/>
      <c r="BT3379" s="115"/>
      <c r="BU3379" s="115"/>
      <c r="BV3379" s="115"/>
      <c r="BW3379" s="115"/>
      <c r="BX3379" s="115"/>
      <c r="BY3379" s="115"/>
      <c r="BZ3379" s="115"/>
      <c r="CA3379" s="115"/>
      <c r="CB3379" s="115"/>
      <c r="CC3379" s="115"/>
      <c r="CD3379" s="115"/>
      <c r="CE3379" s="115"/>
      <c r="CF3379" s="115"/>
      <c r="CG3379" s="115"/>
      <c r="CH3379" s="115"/>
      <c r="CI3379" s="115"/>
      <c r="CJ3379" s="115"/>
      <c r="CK3379" s="115"/>
      <c r="CL3379" s="115"/>
      <c r="CM3379" s="115"/>
      <c r="CN3379" s="115"/>
      <c r="CO3379" s="115"/>
      <c r="CP3379" s="115"/>
      <c r="CQ3379" s="115"/>
      <c r="CR3379" s="115"/>
      <c r="CS3379" s="115"/>
      <c r="CT3379" s="115"/>
      <c r="CU3379" s="115"/>
      <c r="CV3379" s="115"/>
      <c r="CW3379" s="115"/>
      <c r="CX3379" s="115"/>
      <c r="CY3379" s="115"/>
      <c r="CZ3379" s="115"/>
      <c r="DA3379" s="115"/>
      <c r="DB3379" s="115"/>
      <c r="DC3379" s="115"/>
      <c r="DD3379" s="115"/>
      <c r="DE3379" s="115"/>
      <c r="DF3379" s="115"/>
      <c r="DG3379" s="115"/>
    </row>
    <row r="3380" spans="55:111" hidden="1">
      <c r="BC3380" s="115"/>
      <c r="BD3380" s="115"/>
      <c r="BE3380" s="115"/>
      <c r="BF3380" s="115"/>
      <c r="BG3380" s="115"/>
      <c r="BH3380" s="115"/>
      <c r="BI3380" s="115"/>
      <c r="BJ3380" s="115"/>
      <c r="BK3380" s="115"/>
      <c r="BL3380" s="115"/>
      <c r="BM3380" s="115"/>
      <c r="BN3380" s="115"/>
      <c r="BO3380" s="115"/>
      <c r="BP3380" s="115"/>
      <c r="BQ3380" s="115"/>
      <c r="BR3380" s="115"/>
      <c r="BS3380" s="115"/>
      <c r="BT3380" s="115"/>
      <c r="BU3380" s="115"/>
      <c r="BV3380" s="115"/>
      <c r="BW3380" s="115"/>
      <c r="BX3380" s="115"/>
      <c r="BY3380" s="115"/>
      <c r="BZ3380" s="115"/>
      <c r="CA3380" s="115"/>
      <c r="CB3380" s="115"/>
      <c r="CC3380" s="115"/>
      <c r="CD3380" s="115"/>
      <c r="CE3380" s="115"/>
      <c r="CF3380" s="115"/>
      <c r="CG3380" s="115"/>
      <c r="CH3380" s="115"/>
      <c r="CI3380" s="115"/>
      <c r="CJ3380" s="115"/>
      <c r="CK3380" s="115"/>
      <c r="CL3380" s="115"/>
      <c r="CM3380" s="115"/>
      <c r="CN3380" s="115"/>
      <c r="CO3380" s="115"/>
      <c r="CP3380" s="115"/>
      <c r="CQ3380" s="115"/>
      <c r="CR3380" s="115"/>
      <c r="CS3380" s="115"/>
      <c r="CT3380" s="115"/>
      <c r="CU3380" s="115"/>
      <c r="CV3380" s="115"/>
      <c r="CW3380" s="115"/>
      <c r="CX3380" s="115"/>
      <c r="CY3380" s="115"/>
      <c r="CZ3380" s="115"/>
      <c r="DA3380" s="115"/>
      <c r="DB3380" s="115"/>
      <c r="DC3380" s="115"/>
      <c r="DD3380" s="115"/>
      <c r="DE3380" s="115"/>
      <c r="DF3380" s="115"/>
      <c r="DG3380" s="115"/>
    </row>
    <row r="3381" spans="55:111" hidden="1">
      <c r="BC3381" s="115"/>
      <c r="BD3381" s="115"/>
      <c r="BE3381" s="115"/>
      <c r="BF3381" s="115"/>
      <c r="BG3381" s="115"/>
      <c r="BH3381" s="115"/>
      <c r="BI3381" s="115"/>
      <c r="BJ3381" s="115"/>
      <c r="BK3381" s="115"/>
      <c r="BL3381" s="115"/>
      <c r="BM3381" s="115"/>
      <c r="BN3381" s="115"/>
      <c r="BO3381" s="115"/>
      <c r="BP3381" s="115"/>
      <c r="BQ3381" s="115"/>
      <c r="BR3381" s="115"/>
      <c r="BS3381" s="115"/>
      <c r="BT3381" s="115"/>
      <c r="BU3381" s="115"/>
      <c r="BV3381" s="115"/>
      <c r="BW3381" s="115"/>
      <c r="BX3381" s="115"/>
      <c r="BY3381" s="115"/>
      <c r="BZ3381" s="115"/>
      <c r="CA3381" s="115"/>
      <c r="CB3381" s="115"/>
      <c r="CC3381" s="115"/>
      <c r="CD3381" s="115"/>
      <c r="CE3381" s="115"/>
      <c r="CF3381" s="115"/>
      <c r="CG3381" s="115"/>
      <c r="CH3381" s="115"/>
      <c r="CI3381" s="115"/>
      <c r="CJ3381" s="115"/>
      <c r="CK3381" s="115"/>
      <c r="CL3381" s="115"/>
      <c r="CM3381" s="115"/>
      <c r="CN3381" s="115"/>
      <c r="CO3381" s="115"/>
      <c r="CP3381" s="115"/>
      <c r="CQ3381" s="115"/>
      <c r="CR3381" s="115"/>
      <c r="CS3381" s="115"/>
      <c r="CT3381" s="115"/>
      <c r="CU3381" s="115"/>
      <c r="CV3381" s="115"/>
      <c r="CW3381" s="115"/>
      <c r="CX3381" s="115"/>
      <c r="CY3381" s="115"/>
      <c r="CZ3381" s="115"/>
      <c r="DA3381" s="115"/>
      <c r="DB3381" s="115"/>
      <c r="DC3381" s="115"/>
      <c r="DD3381" s="115"/>
      <c r="DE3381" s="115"/>
      <c r="DF3381" s="115"/>
      <c r="DG3381" s="115"/>
    </row>
    <row r="3382" spans="55:111" hidden="1">
      <c r="BC3382" s="115"/>
      <c r="BD3382" s="115"/>
      <c r="BE3382" s="115"/>
      <c r="BF3382" s="115"/>
      <c r="BG3382" s="115"/>
      <c r="BH3382" s="115"/>
      <c r="BI3382" s="115"/>
      <c r="BJ3382" s="115"/>
      <c r="BK3382" s="115"/>
      <c r="BL3382" s="115"/>
      <c r="BM3382" s="115"/>
      <c r="BN3382" s="115"/>
      <c r="BO3382" s="115"/>
      <c r="BP3382" s="115"/>
      <c r="BQ3382" s="115"/>
      <c r="BR3382" s="115"/>
      <c r="BS3382" s="115"/>
      <c r="BT3382" s="115"/>
      <c r="BU3382" s="115"/>
      <c r="BV3382" s="115"/>
      <c r="BW3382" s="115"/>
      <c r="BX3382" s="115"/>
      <c r="BY3382" s="115"/>
      <c r="BZ3382" s="115"/>
      <c r="CA3382" s="115"/>
      <c r="CB3382" s="115"/>
      <c r="CC3382" s="115"/>
      <c r="CD3382" s="115"/>
      <c r="CE3382" s="115"/>
      <c r="CF3382" s="115"/>
      <c r="CG3382" s="115"/>
      <c r="CH3382" s="115"/>
      <c r="CI3382" s="115"/>
      <c r="CJ3382" s="115"/>
      <c r="CK3382" s="115"/>
      <c r="CL3382" s="115"/>
      <c r="CM3382" s="115"/>
      <c r="CN3382" s="115"/>
      <c r="CO3382" s="115"/>
      <c r="CP3382" s="115"/>
      <c r="CQ3382" s="115"/>
      <c r="CR3382" s="115"/>
      <c r="CS3382" s="115"/>
      <c r="CT3382" s="115"/>
      <c r="CU3382" s="115"/>
      <c r="CV3382" s="115"/>
      <c r="CW3382" s="115"/>
      <c r="CX3382" s="115"/>
      <c r="CY3382" s="115"/>
      <c r="CZ3382" s="115"/>
      <c r="DA3382" s="115"/>
      <c r="DB3382" s="115"/>
      <c r="DC3382" s="115"/>
      <c r="DD3382" s="115"/>
      <c r="DE3382" s="115"/>
      <c r="DF3382" s="115"/>
      <c r="DG3382" s="115"/>
    </row>
    <row r="3383" spans="55:111" hidden="1">
      <c r="BC3383" s="115"/>
      <c r="BD3383" s="115"/>
      <c r="BE3383" s="115"/>
      <c r="BF3383" s="115"/>
      <c r="BG3383" s="115"/>
      <c r="BH3383" s="115"/>
      <c r="BI3383" s="115"/>
      <c r="BJ3383" s="115"/>
      <c r="BK3383" s="115"/>
      <c r="BL3383" s="115"/>
      <c r="BM3383" s="115"/>
      <c r="BN3383" s="115"/>
      <c r="BO3383" s="115"/>
      <c r="BP3383" s="115"/>
      <c r="BQ3383" s="115"/>
      <c r="BR3383" s="115"/>
      <c r="BS3383" s="115"/>
      <c r="BT3383" s="115"/>
      <c r="BU3383" s="115"/>
      <c r="BV3383" s="115"/>
      <c r="BW3383" s="115"/>
      <c r="BX3383" s="115"/>
      <c r="BY3383" s="115"/>
      <c r="BZ3383" s="115"/>
      <c r="CA3383" s="115"/>
      <c r="CB3383" s="115"/>
      <c r="CC3383" s="115"/>
      <c r="CD3383" s="115"/>
      <c r="CE3383" s="115"/>
      <c r="CF3383" s="115"/>
      <c r="CG3383" s="115"/>
      <c r="CH3383" s="115"/>
      <c r="CI3383" s="115"/>
      <c r="CJ3383" s="115"/>
      <c r="CK3383" s="115"/>
      <c r="CL3383" s="115"/>
      <c r="CM3383" s="115"/>
      <c r="CN3383" s="115"/>
      <c r="CO3383" s="115"/>
      <c r="CP3383" s="115"/>
      <c r="CQ3383" s="115"/>
      <c r="CR3383" s="115"/>
      <c r="CS3383" s="115"/>
      <c r="CT3383" s="115"/>
      <c r="CU3383" s="115"/>
      <c r="CV3383" s="115"/>
      <c r="CW3383" s="115"/>
      <c r="CX3383" s="115"/>
      <c r="CY3383" s="115"/>
      <c r="CZ3383" s="115"/>
      <c r="DA3383" s="115"/>
      <c r="DB3383" s="115"/>
      <c r="DC3383" s="115"/>
      <c r="DD3383" s="115"/>
      <c r="DE3383" s="115"/>
      <c r="DF3383" s="115"/>
      <c r="DG3383" s="115"/>
    </row>
    <row r="3384" spans="55:111" hidden="1">
      <c r="BC3384" s="115"/>
      <c r="BD3384" s="115"/>
      <c r="BE3384" s="115"/>
      <c r="BF3384" s="115"/>
      <c r="BG3384" s="115"/>
      <c r="BH3384" s="115"/>
      <c r="BI3384" s="115"/>
      <c r="BJ3384" s="115"/>
      <c r="BK3384" s="115"/>
      <c r="BL3384" s="115"/>
      <c r="BM3384" s="115"/>
      <c r="BN3384" s="115"/>
      <c r="BO3384" s="115"/>
      <c r="BP3384" s="115"/>
      <c r="BQ3384" s="115"/>
      <c r="BR3384" s="115"/>
      <c r="BS3384" s="115"/>
      <c r="BT3384" s="115"/>
      <c r="BU3384" s="115"/>
      <c r="BV3384" s="115"/>
      <c r="BW3384" s="115"/>
      <c r="BX3384" s="115"/>
      <c r="BY3384" s="115"/>
      <c r="BZ3384" s="115"/>
      <c r="CA3384" s="115"/>
      <c r="CB3384" s="115"/>
      <c r="CC3384" s="115"/>
      <c r="CD3384" s="115"/>
      <c r="CE3384" s="115"/>
      <c r="CF3384" s="115"/>
      <c r="CG3384" s="115"/>
      <c r="CH3384" s="115"/>
      <c r="CI3384" s="115"/>
      <c r="CJ3384" s="115"/>
      <c r="CK3384" s="115"/>
      <c r="CL3384" s="115"/>
      <c r="CM3384" s="115"/>
      <c r="CN3384" s="115"/>
      <c r="CO3384" s="115"/>
      <c r="CP3384" s="115"/>
      <c r="CQ3384" s="115"/>
      <c r="CR3384" s="115"/>
      <c r="CS3384" s="115"/>
      <c r="CT3384" s="115"/>
      <c r="CU3384" s="115"/>
      <c r="CV3384" s="115"/>
      <c r="CW3384" s="115"/>
      <c r="CX3384" s="115"/>
      <c r="CY3384" s="115"/>
      <c r="CZ3384" s="115"/>
      <c r="DA3384" s="115"/>
      <c r="DB3384" s="115"/>
      <c r="DC3384" s="115"/>
      <c r="DD3384" s="115"/>
      <c r="DE3384" s="115"/>
      <c r="DF3384" s="115"/>
      <c r="DG3384" s="115"/>
    </row>
    <row r="3385" spans="55:111" hidden="1">
      <c r="BC3385" s="115"/>
      <c r="BD3385" s="115"/>
      <c r="BE3385" s="115"/>
      <c r="BF3385" s="115"/>
      <c r="BG3385" s="115"/>
      <c r="BH3385" s="115"/>
      <c r="BI3385" s="115"/>
      <c r="BJ3385" s="115"/>
      <c r="BK3385" s="115"/>
      <c r="BL3385" s="115"/>
      <c r="BM3385" s="115"/>
      <c r="BN3385" s="115"/>
      <c r="BO3385" s="115"/>
      <c r="BP3385" s="115"/>
      <c r="BQ3385" s="115"/>
      <c r="BR3385" s="115"/>
      <c r="BS3385" s="115"/>
      <c r="BT3385" s="115"/>
      <c r="BU3385" s="115"/>
      <c r="BV3385" s="115"/>
      <c r="BW3385" s="115"/>
      <c r="BX3385" s="115"/>
      <c r="BY3385" s="115"/>
      <c r="BZ3385" s="115"/>
      <c r="CA3385" s="115"/>
      <c r="CB3385" s="115"/>
      <c r="CC3385" s="115"/>
      <c r="CD3385" s="115"/>
      <c r="CE3385" s="115"/>
      <c r="CF3385" s="115"/>
      <c r="CG3385" s="115"/>
      <c r="CH3385" s="115"/>
      <c r="CI3385" s="115"/>
      <c r="CJ3385" s="115"/>
      <c r="CK3385" s="115"/>
      <c r="CL3385" s="115"/>
      <c r="CM3385" s="115"/>
      <c r="CN3385" s="115"/>
      <c r="CO3385" s="115"/>
      <c r="CP3385" s="115"/>
      <c r="CQ3385" s="115"/>
      <c r="CR3385" s="115"/>
      <c r="CS3385" s="115"/>
      <c r="CT3385" s="115"/>
      <c r="CU3385" s="115"/>
      <c r="CV3385" s="115"/>
      <c r="CW3385" s="115"/>
      <c r="CX3385" s="115"/>
      <c r="CY3385" s="115"/>
      <c r="CZ3385" s="115"/>
      <c r="DA3385" s="115"/>
      <c r="DB3385" s="115"/>
      <c r="DC3385" s="115"/>
      <c r="DD3385" s="115"/>
      <c r="DE3385" s="115"/>
      <c r="DF3385" s="115"/>
      <c r="DG3385" s="115"/>
    </row>
    <row r="3386" spans="55:111" hidden="1">
      <c r="BC3386" s="115"/>
      <c r="BD3386" s="115"/>
      <c r="BE3386" s="115"/>
      <c r="BF3386" s="115"/>
      <c r="BG3386" s="115"/>
      <c r="BH3386" s="115"/>
      <c r="BI3386" s="115"/>
      <c r="BJ3386" s="115"/>
      <c r="BK3386" s="115"/>
      <c r="BL3386" s="115"/>
      <c r="BM3386" s="115"/>
      <c r="BN3386" s="115"/>
      <c r="BO3386" s="115"/>
      <c r="BP3386" s="115"/>
      <c r="BQ3386" s="115"/>
      <c r="BR3386" s="115"/>
      <c r="BS3386" s="115"/>
      <c r="BT3386" s="115"/>
      <c r="BU3386" s="115"/>
      <c r="BV3386" s="115"/>
      <c r="BW3386" s="115"/>
      <c r="BX3386" s="115"/>
      <c r="BY3386" s="115"/>
      <c r="BZ3386" s="115"/>
      <c r="CA3386" s="115"/>
      <c r="CB3386" s="115"/>
      <c r="CC3386" s="115"/>
      <c r="CD3386" s="115"/>
      <c r="CE3386" s="115"/>
      <c r="CF3386" s="115"/>
      <c r="CG3386" s="115"/>
      <c r="CH3386" s="115"/>
      <c r="CI3386" s="115"/>
      <c r="CJ3386" s="115"/>
      <c r="CK3386" s="115"/>
      <c r="CL3386" s="115"/>
      <c r="CM3386" s="115"/>
      <c r="CN3386" s="115"/>
      <c r="CO3386" s="115"/>
      <c r="CP3386" s="115"/>
      <c r="CQ3386" s="115"/>
      <c r="CR3386" s="115"/>
      <c r="CS3386" s="115"/>
      <c r="CT3386" s="115"/>
      <c r="CU3386" s="115"/>
      <c r="CV3386" s="115"/>
      <c r="CW3386" s="115"/>
      <c r="CX3386" s="115"/>
      <c r="CY3386" s="115"/>
      <c r="CZ3386" s="115"/>
      <c r="DA3386" s="115"/>
      <c r="DB3386" s="115"/>
      <c r="DC3386" s="115"/>
      <c r="DD3386" s="115"/>
      <c r="DE3386" s="115"/>
      <c r="DF3386" s="115"/>
      <c r="DG3386" s="115"/>
    </row>
    <row r="3387" spans="55:111" hidden="1">
      <c r="BC3387" s="115"/>
      <c r="BD3387" s="115"/>
      <c r="BE3387" s="115"/>
      <c r="BF3387" s="115"/>
      <c r="BG3387" s="115"/>
      <c r="BH3387" s="115"/>
      <c r="BI3387" s="115"/>
      <c r="BJ3387" s="115"/>
      <c r="BK3387" s="115"/>
      <c r="BL3387" s="115"/>
      <c r="BM3387" s="115"/>
      <c r="BN3387" s="115"/>
      <c r="BO3387" s="115"/>
      <c r="BP3387" s="115"/>
      <c r="BQ3387" s="115"/>
      <c r="BR3387" s="115"/>
      <c r="BS3387" s="115"/>
      <c r="BT3387" s="115"/>
      <c r="BU3387" s="115"/>
      <c r="BV3387" s="115"/>
      <c r="BW3387" s="115"/>
      <c r="BX3387" s="115"/>
      <c r="BY3387" s="115"/>
      <c r="BZ3387" s="115"/>
      <c r="CA3387" s="115"/>
      <c r="CB3387" s="115"/>
      <c r="CC3387" s="115"/>
      <c r="CD3387" s="115"/>
      <c r="CE3387" s="115"/>
      <c r="CF3387" s="115"/>
      <c r="CG3387" s="115"/>
      <c r="CH3387" s="115"/>
      <c r="CI3387" s="115"/>
      <c r="CJ3387" s="115"/>
      <c r="CK3387" s="115"/>
      <c r="CL3387" s="115"/>
      <c r="CM3387" s="115"/>
      <c r="CN3387" s="115"/>
      <c r="CO3387" s="115"/>
      <c r="CP3387" s="115"/>
      <c r="CQ3387" s="115"/>
      <c r="CR3387" s="115"/>
      <c r="CS3387" s="115"/>
      <c r="CT3387" s="115"/>
      <c r="CU3387" s="115"/>
      <c r="CV3387" s="115"/>
      <c r="CW3387" s="115"/>
      <c r="CX3387" s="115"/>
      <c r="CY3387" s="115"/>
      <c r="CZ3387" s="115"/>
      <c r="DA3387" s="115"/>
      <c r="DB3387" s="115"/>
      <c r="DC3387" s="115"/>
      <c r="DD3387" s="115"/>
      <c r="DE3387" s="115"/>
      <c r="DF3387" s="115"/>
      <c r="DG3387" s="115"/>
    </row>
    <row r="3388" spans="55:111" hidden="1">
      <c r="BC3388" s="115"/>
      <c r="BD3388" s="115"/>
      <c r="BE3388" s="115"/>
      <c r="BF3388" s="115"/>
      <c r="BG3388" s="115"/>
      <c r="BH3388" s="115"/>
      <c r="BI3388" s="115"/>
      <c r="BJ3388" s="115"/>
      <c r="BK3388" s="115"/>
      <c r="BL3388" s="115"/>
      <c r="BM3388" s="115"/>
      <c r="BN3388" s="115"/>
      <c r="BO3388" s="115"/>
      <c r="BP3388" s="115"/>
      <c r="BQ3388" s="115"/>
      <c r="BR3388" s="115"/>
      <c r="BS3388" s="115"/>
      <c r="BT3388" s="115"/>
      <c r="BU3388" s="115"/>
      <c r="BV3388" s="115"/>
      <c r="BW3388" s="115"/>
      <c r="BX3388" s="115"/>
      <c r="BY3388" s="115"/>
      <c r="BZ3388" s="115"/>
      <c r="CA3388" s="115"/>
      <c r="CB3388" s="115"/>
      <c r="CC3388" s="115"/>
      <c r="CD3388" s="115"/>
      <c r="CE3388" s="115"/>
      <c r="CF3388" s="115"/>
      <c r="CG3388" s="115"/>
      <c r="CH3388" s="115"/>
      <c r="CI3388" s="115"/>
      <c r="CJ3388" s="115"/>
      <c r="CK3388" s="115"/>
      <c r="CL3388" s="115"/>
      <c r="CM3388" s="115"/>
      <c r="CN3388" s="115"/>
      <c r="CO3388" s="115"/>
      <c r="CP3388" s="115"/>
      <c r="CQ3388" s="115"/>
      <c r="CR3388" s="115"/>
      <c r="CS3388" s="115"/>
      <c r="CT3388" s="115"/>
      <c r="CU3388" s="115"/>
      <c r="CV3388" s="115"/>
      <c r="CW3388" s="115"/>
      <c r="CX3388" s="115"/>
      <c r="CY3388" s="115"/>
      <c r="CZ3388" s="115"/>
      <c r="DA3388" s="115"/>
      <c r="DB3388" s="115"/>
      <c r="DC3388" s="115"/>
      <c r="DD3388" s="115"/>
      <c r="DE3388" s="115"/>
      <c r="DF3388" s="115"/>
      <c r="DG3388" s="115"/>
    </row>
    <row r="3389" spans="55:111" hidden="1">
      <c r="BC3389" s="115"/>
      <c r="BD3389" s="115"/>
      <c r="BE3389" s="115"/>
      <c r="BF3389" s="115"/>
      <c r="BG3389" s="115"/>
      <c r="BH3389" s="115"/>
      <c r="BI3389" s="115"/>
      <c r="BJ3389" s="115"/>
      <c r="BK3389" s="115"/>
      <c r="BL3389" s="115"/>
      <c r="BM3389" s="115"/>
      <c r="BN3389" s="115"/>
      <c r="BO3389" s="115"/>
      <c r="BP3389" s="115"/>
      <c r="BQ3389" s="115"/>
      <c r="BR3389" s="115"/>
      <c r="BS3389" s="115"/>
      <c r="BT3389" s="115"/>
      <c r="BU3389" s="115"/>
      <c r="BV3389" s="115"/>
      <c r="BW3389" s="115"/>
      <c r="BX3389" s="115"/>
      <c r="BY3389" s="115"/>
      <c r="BZ3389" s="115"/>
      <c r="CA3389" s="115"/>
      <c r="CB3389" s="115"/>
      <c r="CC3389" s="115"/>
      <c r="CD3389" s="115"/>
      <c r="CE3389" s="115"/>
      <c r="CF3389" s="115"/>
      <c r="CG3389" s="115"/>
      <c r="CH3389" s="115"/>
      <c r="CI3389" s="115"/>
      <c r="CJ3389" s="115"/>
      <c r="CK3389" s="115"/>
      <c r="CL3389" s="115"/>
      <c r="CM3389" s="115"/>
      <c r="CN3389" s="115"/>
      <c r="CO3389" s="115"/>
      <c r="CP3389" s="115"/>
      <c r="CQ3389" s="115"/>
      <c r="CR3389" s="115"/>
      <c r="CS3389" s="115"/>
      <c r="CT3389" s="115"/>
      <c r="CU3389" s="115"/>
      <c r="CV3389" s="115"/>
      <c r="CW3389" s="115"/>
      <c r="CX3389" s="115"/>
      <c r="CY3389" s="115"/>
      <c r="CZ3389" s="115"/>
      <c r="DA3389" s="115"/>
      <c r="DB3389" s="115"/>
      <c r="DC3389" s="115"/>
      <c r="DD3389" s="115"/>
      <c r="DE3389" s="115"/>
      <c r="DF3389" s="115"/>
      <c r="DG3389" s="115"/>
    </row>
    <row r="3390" spans="55:111" hidden="1">
      <c r="BC3390" s="115"/>
      <c r="BD3390" s="115"/>
      <c r="BE3390" s="115"/>
      <c r="BF3390" s="115"/>
      <c r="BG3390" s="115"/>
      <c r="BH3390" s="115"/>
      <c r="BI3390" s="115"/>
      <c r="BJ3390" s="115"/>
      <c r="BK3390" s="115"/>
      <c r="BL3390" s="115"/>
      <c r="BM3390" s="115"/>
      <c r="BN3390" s="115"/>
      <c r="BO3390" s="115"/>
      <c r="BP3390" s="115"/>
      <c r="BQ3390" s="115"/>
      <c r="BR3390" s="115"/>
      <c r="BS3390" s="115"/>
      <c r="BT3390" s="115"/>
      <c r="BU3390" s="115"/>
      <c r="BV3390" s="115"/>
      <c r="BW3390" s="115"/>
      <c r="BX3390" s="115"/>
      <c r="BY3390" s="115"/>
      <c r="BZ3390" s="115"/>
      <c r="CA3390" s="115"/>
      <c r="CB3390" s="115"/>
      <c r="CC3390" s="115"/>
      <c r="CD3390" s="115"/>
      <c r="CE3390" s="115"/>
      <c r="CF3390" s="115"/>
      <c r="CG3390" s="115"/>
      <c r="CH3390" s="115"/>
      <c r="CI3390" s="115"/>
      <c r="CJ3390" s="115"/>
      <c r="CK3390" s="115"/>
      <c r="CL3390" s="115"/>
      <c r="CM3390" s="115"/>
      <c r="CN3390" s="115"/>
      <c r="CO3390" s="115"/>
      <c r="CP3390" s="115"/>
      <c r="CQ3390" s="115"/>
      <c r="CR3390" s="115"/>
      <c r="CS3390" s="115"/>
      <c r="CT3390" s="115"/>
      <c r="CU3390" s="115"/>
      <c r="CV3390" s="115"/>
      <c r="CW3390" s="115"/>
      <c r="CX3390" s="115"/>
      <c r="CY3390" s="115"/>
      <c r="CZ3390" s="115"/>
      <c r="DA3390" s="115"/>
      <c r="DB3390" s="115"/>
      <c r="DC3390" s="115"/>
      <c r="DD3390" s="115"/>
      <c r="DE3390" s="115"/>
      <c r="DF3390" s="115"/>
      <c r="DG3390" s="115"/>
    </row>
    <row r="3391" spans="55:111" hidden="1">
      <c r="BC3391" s="115"/>
      <c r="BD3391" s="115"/>
      <c r="BE3391" s="115"/>
      <c r="BF3391" s="115"/>
      <c r="BG3391" s="115"/>
      <c r="BH3391" s="115"/>
      <c r="BI3391" s="115"/>
      <c r="BJ3391" s="115"/>
      <c r="BK3391" s="115"/>
      <c r="BL3391" s="115"/>
      <c r="BM3391" s="115"/>
      <c r="BN3391" s="115"/>
      <c r="BO3391" s="115"/>
      <c r="BP3391" s="115"/>
      <c r="BQ3391" s="115"/>
      <c r="BR3391" s="115"/>
      <c r="BS3391" s="115"/>
      <c r="BT3391" s="115"/>
      <c r="BU3391" s="115"/>
      <c r="BV3391" s="115"/>
      <c r="BW3391" s="115"/>
      <c r="BX3391" s="115"/>
      <c r="BY3391" s="115"/>
      <c r="BZ3391" s="115"/>
      <c r="CA3391" s="115"/>
      <c r="CB3391" s="115"/>
      <c r="CC3391" s="115"/>
      <c r="CD3391" s="115"/>
      <c r="CE3391" s="115"/>
      <c r="CF3391" s="115"/>
      <c r="CG3391" s="115"/>
      <c r="CH3391" s="115"/>
      <c r="CI3391" s="115"/>
      <c r="CJ3391" s="115"/>
      <c r="CK3391" s="115"/>
      <c r="CL3391" s="115"/>
      <c r="CM3391" s="115"/>
      <c r="CN3391" s="115"/>
      <c r="CO3391" s="115"/>
      <c r="CP3391" s="115"/>
      <c r="CQ3391" s="115"/>
      <c r="CR3391" s="115"/>
      <c r="CS3391" s="115"/>
      <c r="CT3391" s="115"/>
      <c r="CU3391" s="115"/>
      <c r="CV3391" s="115"/>
      <c r="CW3391" s="115"/>
      <c r="CX3391" s="115"/>
      <c r="CY3391" s="115"/>
      <c r="CZ3391" s="115"/>
      <c r="DA3391" s="115"/>
      <c r="DB3391" s="115"/>
      <c r="DC3391" s="115"/>
      <c r="DD3391" s="115"/>
      <c r="DE3391" s="115"/>
      <c r="DF3391" s="115"/>
      <c r="DG3391" s="115"/>
    </row>
    <row r="3392" spans="55:111" hidden="1">
      <c r="BC3392" s="115"/>
      <c r="BD3392" s="115"/>
      <c r="BE3392" s="115"/>
      <c r="BF3392" s="115"/>
      <c r="BG3392" s="115"/>
      <c r="BH3392" s="115"/>
      <c r="BI3392" s="115"/>
      <c r="BJ3392" s="115"/>
      <c r="BK3392" s="115"/>
      <c r="BL3392" s="115"/>
      <c r="BM3392" s="115"/>
      <c r="BN3392" s="115"/>
      <c r="BO3392" s="115"/>
      <c r="BP3392" s="115"/>
      <c r="BQ3392" s="115"/>
      <c r="BR3392" s="115"/>
      <c r="BS3392" s="115"/>
      <c r="BT3392" s="115"/>
      <c r="BU3392" s="115"/>
      <c r="BV3392" s="115"/>
      <c r="BW3392" s="115"/>
      <c r="BX3392" s="115"/>
      <c r="BY3392" s="115"/>
      <c r="BZ3392" s="115"/>
      <c r="CA3392" s="115"/>
      <c r="CB3392" s="115"/>
      <c r="CC3392" s="115"/>
      <c r="CD3392" s="115"/>
      <c r="CE3392" s="115"/>
      <c r="CF3392" s="115"/>
      <c r="CG3392" s="115"/>
      <c r="CH3392" s="115"/>
      <c r="CI3392" s="115"/>
      <c r="CJ3392" s="115"/>
      <c r="CK3392" s="115"/>
      <c r="CL3392" s="115"/>
      <c r="CM3392" s="115"/>
      <c r="CN3392" s="115"/>
      <c r="CO3392" s="115"/>
      <c r="CP3392" s="115"/>
      <c r="CQ3392" s="115"/>
      <c r="CR3392" s="115"/>
      <c r="CS3392" s="115"/>
      <c r="CT3392" s="115"/>
      <c r="CU3392" s="115"/>
      <c r="CV3392" s="115"/>
      <c r="CW3392" s="115"/>
      <c r="CX3392" s="115"/>
      <c r="CY3392" s="115"/>
      <c r="CZ3392" s="115"/>
      <c r="DA3392" s="115"/>
      <c r="DB3392" s="115"/>
      <c r="DC3392" s="115"/>
      <c r="DD3392" s="115"/>
      <c r="DE3392" s="115"/>
      <c r="DF3392" s="115"/>
      <c r="DG3392" s="115"/>
    </row>
    <row r="3393" spans="55:111" hidden="1">
      <c r="BC3393" s="115"/>
      <c r="BD3393" s="115"/>
      <c r="BE3393" s="115"/>
      <c r="BF3393" s="115"/>
      <c r="BG3393" s="115"/>
      <c r="BH3393" s="115"/>
      <c r="BI3393" s="115"/>
      <c r="BJ3393" s="115"/>
      <c r="BK3393" s="115"/>
      <c r="BL3393" s="115"/>
      <c r="BM3393" s="115"/>
      <c r="BN3393" s="115"/>
      <c r="BO3393" s="115"/>
      <c r="BP3393" s="115"/>
      <c r="BQ3393" s="115"/>
      <c r="BR3393" s="115"/>
      <c r="BS3393" s="115"/>
      <c r="BT3393" s="115"/>
      <c r="BU3393" s="115"/>
      <c r="BV3393" s="115"/>
      <c r="BW3393" s="115"/>
      <c r="BX3393" s="115"/>
      <c r="BY3393" s="115"/>
      <c r="BZ3393" s="115"/>
      <c r="CA3393" s="115"/>
      <c r="CB3393" s="115"/>
      <c r="CC3393" s="115"/>
      <c r="CD3393" s="115"/>
      <c r="CE3393" s="115"/>
      <c r="CF3393" s="115"/>
      <c r="CG3393" s="115"/>
      <c r="CH3393" s="115"/>
      <c r="CI3393" s="115"/>
      <c r="CJ3393" s="115"/>
      <c r="CK3393" s="115"/>
      <c r="CL3393" s="115"/>
      <c r="CM3393" s="115"/>
      <c r="CN3393" s="115"/>
      <c r="CO3393" s="115"/>
      <c r="CP3393" s="115"/>
      <c r="CQ3393" s="115"/>
      <c r="CR3393" s="115"/>
      <c r="CS3393" s="115"/>
      <c r="CT3393" s="115"/>
      <c r="CU3393" s="115"/>
      <c r="CV3393" s="115"/>
      <c r="CW3393" s="115"/>
      <c r="CX3393" s="115"/>
      <c r="CY3393" s="115"/>
      <c r="CZ3393" s="115"/>
      <c r="DA3393" s="115"/>
      <c r="DB3393" s="115"/>
      <c r="DC3393" s="115"/>
      <c r="DD3393" s="115"/>
      <c r="DE3393" s="115"/>
      <c r="DF3393" s="115"/>
      <c r="DG3393" s="115"/>
    </row>
    <row r="3394" spans="55:111" hidden="1">
      <c r="BC3394" s="115"/>
      <c r="BD3394" s="115"/>
      <c r="BE3394" s="115"/>
      <c r="BF3394" s="115"/>
      <c r="BG3394" s="115"/>
      <c r="BH3394" s="115"/>
      <c r="BI3394" s="115"/>
      <c r="BJ3394" s="115"/>
      <c r="BK3394" s="115"/>
      <c r="BL3394" s="115"/>
      <c r="BM3394" s="115"/>
      <c r="BN3394" s="115"/>
      <c r="BO3394" s="115"/>
      <c r="BP3394" s="115"/>
      <c r="BQ3394" s="115"/>
      <c r="BR3394" s="115"/>
      <c r="BS3394" s="115"/>
      <c r="BT3394" s="115"/>
      <c r="BU3394" s="115"/>
      <c r="BV3394" s="115"/>
      <c r="BW3394" s="115"/>
      <c r="BX3394" s="115"/>
      <c r="BY3394" s="115"/>
      <c r="BZ3394" s="115"/>
      <c r="CA3394" s="115"/>
      <c r="CB3394" s="115"/>
      <c r="CC3394" s="115"/>
      <c r="CD3394" s="115"/>
      <c r="CE3394" s="115"/>
      <c r="CF3394" s="115"/>
      <c r="CG3394" s="115"/>
      <c r="CH3394" s="115"/>
      <c r="CI3394" s="115"/>
      <c r="CJ3394" s="115"/>
      <c r="CK3394" s="115"/>
      <c r="CL3394" s="115"/>
      <c r="CM3394" s="115"/>
      <c r="CN3394" s="115"/>
      <c r="CO3394" s="115"/>
      <c r="CP3394" s="115"/>
      <c r="CQ3394" s="115"/>
      <c r="CR3394" s="115"/>
      <c r="CS3394" s="115"/>
      <c r="CT3394" s="115"/>
      <c r="CU3394" s="115"/>
      <c r="CV3394" s="115"/>
      <c r="CW3394" s="115"/>
      <c r="CX3394" s="115"/>
      <c r="CY3394" s="115"/>
      <c r="CZ3394" s="115"/>
      <c r="DA3394" s="115"/>
      <c r="DB3394" s="115"/>
      <c r="DC3394" s="115"/>
      <c r="DD3394" s="115"/>
      <c r="DE3394" s="115"/>
      <c r="DF3394" s="115"/>
      <c r="DG3394" s="115"/>
    </row>
    <row r="3395" spans="55:111" hidden="1">
      <c r="BC3395" s="115"/>
      <c r="BD3395" s="115"/>
      <c r="BE3395" s="115"/>
      <c r="BF3395" s="115"/>
      <c r="BG3395" s="115"/>
      <c r="BH3395" s="115"/>
      <c r="BI3395" s="115"/>
      <c r="BJ3395" s="115"/>
      <c r="BK3395" s="115"/>
      <c r="BL3395" s="115"/>
      <c r="BM3395" s="115"/>
      <c r="BN3395" s="115"/>
      <c r="BO3395" s="115"/>
      <c r="BP3395" s="115"/>
      <c r="BQ3395" s="115"/>
      <c r="BR3395" s="115"/>
      <c r="BS3395" s="115"/>
      <c r="BT3395" s="115"/>
      <c r="BU3395" s="115"/>
      <c r="BV3395" s="115"/>
      <c r="BW3395" s="115"/>
      <c r="BX3395" s="115"/>
      <c r="BY3395" s="115"/>
      <c r="BZ3395" s="115"/>
      <c r="CA3395" s="115"/>
      <c r="CB3395" s="115"/>
      <c r="CC3395" s="115"/>
      <c r="CD3395" s="115"/>
      <c r="CE3395" s="115"/>
      <c r="CF3395" s="115"/>
      <c r="CG3395" s="115"/>
      <c r="CH3395" s="115"/>
      <c r="CI3395" s="115"/>
      <c r="CJ3395" s="115"/>
      <c r="CK3395" s="115"/>
      <c r="CL3395" s="115"/>
      <c r="CM3395" s="115"/>
      <c r="CN3395" s="115"/>
      <c r="CO3395" s="115"/>
      <c r="CP3395" s="115"/>
      <c r="CQ3395" s="115"/>
      <c r="CR3395" s="115"/>
      <c r="CS3395" s="115"/>
      <c r="CT3395" s="115"/>
      <c r="CU3395" s="115"/>
      <c r="CV3395" s="115"/>
      <c r="CW3395" s="115"/>
      <c r="CX3395" s="115"/>
      <c r="CY3395" s="115"/>
      <c r="CZ3395" s="115"/>
      <c r="DA3395" s="115"/>
      <c r="DB3395" s="115"/>
      <c r="DC3395" s="115"/>
      <c r="DD3395" s="115"/>
      <c r="DE3395" s="115"/>
      <c r="DF3395" s="115"/>
      <c r="DG3395" s="115"/>
    </row>
    <row r="3396" spans="55:111" hidden="1">
      <c r="BC3396" s="115"/>
      <c r="BD3396" s="115"/>
      <c r="BE3396" s="115"/>
      <c r="BF3396" s="115"/>
      <c r="BG3396" s="115"/>
      <c r="BH3396" s="115"/>
      <c r="BI3396" s="115"/>
      <c r="BJ3396" s="115"/>
      <c r="BK3396" s="115"/>
      <c r="BL3396" s="115"/>
      <c r="BM3396" s="115"/>
      <c r="BN3396" s="115"/>
      <c r="BO3396" s="115"/>
      <c r="BP3396" s="115"/>
      <c r="BQ3396" s="115"/>
      <c r="BR3396" s="115"/>
      <c r="BS3396" s="115"/>
      <c r="BT3396" s="115"/>
      <c r="BU3396" s="115"/>
      <c r="BV3396" s="115"/>
      <c r="BW3396" s="115"/>
      <c r="BX3396" s="115"/>
      <c r="BY3396" s="115"/>
      <c r="BZ3396" s="115"/>
      <c r="CA3396" s="115"/>
      <c r="CB3396" s="115"/>
      <c r="CC3396" s="115"/>
      <c r="CD3396" s="115"/>
      <c r="CE3396" s="115"/>
      <c r="CF3396" s="115"/>
      <c r="CG3396" s="115"/>
      <c r="CH3396" s="115"/>
      <c r="CI3396" s="115"/>
      <c r="CJ3396" s="115"/>
      <c r="CK3396" s="115"/>
      <c r="CL3396" s="115"/>
      <c r="CM3396" s="115"/>
      <c r="CN3396" s="115"/>
      <c r="CO3396" s="115"/>
      <c r="CP3396" s="115"/>
      <c r="CQ3396" s="115"/>
      <c r="CR3396" s="115"/>
      <c r="CS3396" s="115"/>
      <c r="CT3396" s="115"/>
      <c r="CU3396" s="115"/>
      <c r="CV3396" s="115"/>
      <c r="CW3396" s="115"/>
      <c r="CX3396" s="115"/>
      <c r="CY3396" s="115"/>
      <c r="CZ3396" s="115"/>
      <c r="DA3396" s="115"/>
      <c r="DB3396" s="115"/>
      <c r="DC3396" s="115"/>
      <c r="DD3396" s="115"/>
      <c r="DE3396" s="115"/>
      <c r="DF3396" s="115"/>
      <c r="DG3396" s="115"/>
    </row>
    <row r="3397" spans="55:111" hidden="1">
      <c r="BC3397" s="115"/>
      <c r="BD3397" s="115"/>
      <c r="BE3397" s="115"/>
      <c r="BF3397" s="115"/>
      <c r="BG3397" s="115"/>
      <c r="BH3397" s="115"/>
      <c r="BI3397" s="115"/>
      <c r="BJ3397" s="115"/>
      <c r="BK3397" s="115"/>
      <c r="BL3397" s="115"/>
      <c r="BM3397" s="115"/>
      <c r="BN3397" s="115"/>
      <c r="BO3397" s="115"/>
      <c r="BP3397" s="115"/>
      <c r="BQ3397" s="115"/>
      <c r="BR3397" s="115"/>
      <c r="BS3397" s="115"/>
      <c r="BT3397" s="115"/>
      <c r="BU3397" s="115"/>
      <c r="BV3397" s="115"/>
      <c r="BW3397" s="115"/>
      <c r="BX3397" s="115"/>
      <c r="BY3397" s="115"/>
      <c r="BZ3397" s="115"/>
      <c r="CA3397" s="115"/>
      <c r="CB3397" s="115"/>
      <c r="CC3397" s="115"/>
      <c r="CD3397" s="115"/>
      <c r="CE3397" s="115"/>
      <c r="CF3397" s="115"/>
      <c r="CG3397" s="115"/>
      <c r="CH3397" s="115"/>
      <c r="CI3397" s="115"/>
      <c r="CJ3397" s="115"/>
      <c r="CK3397" s="115"/>
      <c r="CL3397" s="115"/>
      <c r="CM3397" s="115"/>
      <c r="CN3397" s="115"/>
      <c r="CO3397" s="115"/>
      <c r="CP3397" s="115"/>
      <c r="CQ3397" s="115"/>
      <c r="CR3397" s="115"/>
      <c r="CS3397" s="115"/>
      <c r="CT3397" s="115"/>
      <c r="CU3397" s="115"/>
      <c r="CV3397" s="115"/>
      <c r="CW3397" s="115"/>
      <c r="CX3397" s="115"/>
      <c r="CY3397" s="115"/>
      <c r="CZ3397" s="115"/>
      <c r="DA3397" s="115"/>
      <c r="DB3397" s="115"/>
      <c r="DC3397" s="115"/>
      <c r="DD3397" s="115"/>
      <c r="DE3397" s="115"/>
      <c r="DF3397" s="115"/>
      <c r="DG3397" s="115"/>
    </row>
    <row r="3398" spans="55:111" hidden="1">
      <c r="BC3398" s="115"/>
      <c r="BD3398" s="115"/>
      <c r="BE3398" s="115"/>
      <c r="BF3398" s="115"/>
      <c r="BG3398" s="115"/>
      <c r="BH3398" s="115"/>
      <c r="BI3398" s="115"/>
      <c r="BJ3398" s="115"/>
      <c r="BK3398" s="115"/>
      <c r="BL3398" s="115"/>
      <c r="BM3398" s="115"/>
      <c r="BN3398" s="115"/>
      <c r="BO3398" s="115"/>
      <c r="BP3398" s="115"/>
      <c r="BQ3398" s="115"/>
      <c r="BR3398" s="115"/>
      <c r="BS3398" s="115"/>
      <c r="BT3398" s="115"/>
      <c r="BU3398" s="115"/>
      <c r="BV3398" s="115"/>
      <c r="BW3398" s="115"/>
      <c r="BX3398" s="115"/>
      <c r="BY3398" s="115"/>
      <c r="BZ3398" s="115"/>
      <c r="CA3398" s="115"/>
      <c r="CB3398" s="115"/>
      <c r="CC3398" s="115"/>
      <c r="CD3398" s="115"/>
      <c r="CE3398" s="115"/>
      <c r="CF3398" s="115"/>
      <c r="CG3398" s="115"/>
      <c r="CH3398" s="115"/>
      <c r="CI3398" s="115"/>
      <c r="CJ3398" s="115"/>
      <c r="CK3398" s="115"/>
      <c r="CL3398" s="115"/>
      <c r="CM3398" s="115"/>
      <c r="CN3398" s="115"/>
      <c r="CO3398" s="115"/>
      <c r="CP3398" s="115"/>
      <c r="CQ3398" s="115"/>
      <c r="CR3398" s="115"/>
      <c r="CS3398" s="115"/>
      <c r="CT3398" s="115"/>
      <c r="CU3398" s="115"/>
      <c r="CV3398" s="115"/>
      <c r="CW3398" s="115"/>
      <c r="CX3398" s="115"/>
      <c r="CY3398" s="115"/>
      <c r="CZ3398" s="115"/>
      <c r="DA3398" s="115"/>
      <c r="DB3398" s="115"/>
      <c r="DC3398" s="115"/>
      <c r="DD3398" s="115"/>
      <c r="DE3398" s="115"/>
      <c r="DF3398" s="115"/>
      <c r="DG3398" s="115"/>
    </row>
    <row r="3399" spans="55:111" hidden="1">
      <c r="BC3399" s="115"/>
      <c r="BD3399" s="115"/>
      <c r="BE3399" s="115"/>
      <c r="BF3399" s="115"/>
      <c r="BG3399" s="115"/>
      <c r="BH3399" s="115"/>
      <c r="BI3399" s="115"/>
      <c r="BJ3399" s="115"/>
      <c r="BK3399" s="115"/>
      <c r="BL3399" s="115"/>
      <c r="BM3399" s="115"/>
      <c r="BN3399" s="115"/>
      <c r="BO3399" s="115"/>
      <c r="BP3399" s="115"/>
      <c r="BQ3399" s="115"/>
      <c r="BR3399" s="115"/>
      <c r="BS3399" s="115"/>
      <c r="BT3399" s="115"/>
      <c r="BU3399" s="115"/>
      <c r="BV3399" s="115"/>
      <c r="BW3399" s="115"/>
      <c r="BX3399" s="115"/>
      <c r="BY3399" s="115"/>
      <c r="BZ3399" s="115"/>
      <c r="CA3399" s="115"/>
      <c r="CB3399" s="115"/>
      <c r="CC3399" s="115"/>
      <c r="CD3399" s="115"/>
      <c r="CE3399" s="115"/>
      <c r="CF3399" s="115"/>
      <c r="CG3399" s="115"/>
      <c r="CH3399" s="115"/>
      <c r="CI3399" s="115"/>
      <c r="CJ3399" s="115"/>
      <c r="CK3399" s="115"/>
      <c r="CL3399" s="115"/>
      <c r="CM3399" s="115"/>
      <c r="CN3399" s="115"/>
      <c r="CO3399" s="115"/>
      <c r="CP3399" s="115"/>
      <c r="CQ3399" s="115"/>
      <c r="CR3399" s="115"/>
      <c r="CS3399" s="115"/>
      <c r="CT3399" s="115"/>
      <c r="CU3399" s="115"/>
      <c r="CV3399" s="115"/>
      <c r="CW3399" s="115"/>
      <c r="CX3399" s="115"/>
      <c r="CY3399" s="115"/>
      <c r="CZ3399" s="115"/>
      <c r="DA3399" s="115"/>
      <c r="DB3399" s="115"/>
      <c r="DC3399" s="115"/>
      <c r="DD3399" s="115"/>
      <c r="DE3399" s="115"/>
      <c r="DF3399" s="115"/>
      <c r="DG3399" s="115"/>
    </row>
    <row r="3400" spans="55:111" hidden="1">
      <c r="BC3400" s="115"/>
      <c r="BD3400" s="115"/>
      <c r="BE3400" s="115"/>
      <c r="BF3400" s="115"/>
      <c r="BG3400" s="115"/>
      <c r="BH3400" s="115"/>
      <c r="BI3400" s="115"/>
      <c r="BJ3400" s="115"/>
      <c r="BK3400" s="115"/>
      <c r="BL3400" s="115"/>
      <c r="BM3400" s="115"/>
      <c r="BN3400" s="115"/>
      <c r="BO3400" s="115"/>
      <c r="BP3400" s="115"/>
      <c r="BQ3400" s="115"/>
      <c r="BR3400" s="115"/>
      <c r="BS3400" s="115"/>
      <c r="BT3400" s="115"/>
      <c r="BU3400" s="115"/>
      <c r="BV3400" s="115"/>
      <c r="BW3400" s="115"/>
      <c r="BX3400" s="115"/>
      <c r="BY3400" s="115"/>
      <c r="BZ3400" s="115"/>
      <c r="CA3400" s="115"/>
      <c r="CB3400" s="115"/>
      <c r="CC3400" s="115"/>
      <c r="CD3400" s="115"/>
      <c r="CE3400" s="115"/>
      <c r="CF3400" s="115"/>
      <c r="CG3400" s="115"/>
      <c r="CH3400" s="115"/>
      <c r="CI3400" s="115"/>
      <c r="CJ3400" s="115"/>
      <c r="CK3400" s="115"/>
      <c r="CL3400" s="115"/>
      <c r="CM3400" s="115"/>
      <c r="CN3400" s="115"/>
      <c r="CO3400" s="115"/>
      <c r="CP3400" s="115"/>
      <c r="CQ3400" s="115"/>
      <c r="CR3400" s="115"/>
      <c r="CS3400" s="115"/>
      <c r="CT3400" s="115"/>
      <c r="CU3400" s="115"/>
      <c r="CV3400" s="115"/>
      <c r="CW3400" s="115"/>
      <c r="CX3400" s="115"/>
      <c r="CY3400" s="115"/>
      <c r="CZ3400" s="115"/>
      <c r="DA3400" s="115"/>
      <c r="DB3400" s="115"/>
      <c r="DC3400" s="115"/>
      <c r="DD3400" s="115"/>
      <c r="DE3400" s="115"/>
      <c r="DF3400" s="115"/>
      <c r="DG3400" s="115"/>
    </row>
    <row r="3401" spans="55:111" hidden="1">
      <c r="BC3401" s="115"/>
      <c r="BD3401" s="115"/>
      <c r="BE3401" s="115"/>
      <c r="BF3401" s="115"/>
      <c r="BG3401" s="115"/>
      <c r="BH3401" s="115"/>
      <c r="BI3401" s="115"/>
      <c r="BJ3401" s="115"/>
      <c r="BK3401" s="115"/>
      <c r="BL3401" s="115"/>
      <c r="BM3401" s="115"/>
      <c r="BN3401" s="115"/>
      <c r="BO3401" s="115"/>
      <c r="BP3401" s="115"/>
      <c r="BQ3401" s="115"/>
      <c r="BR3401" s="115"/>
      <c r="BS3401" s="115"/>
      <c r="BT3401" s="115"/>
      <c r="BU3401" s="115"/>
      <c r="BV3401" s="115"/>
      <c r="BW3401" s="115"/>
      <c r="BX3401" s="115"/>
      <c r="BY3401" s="115"/>
      <c r="BZ3401" s="115"/>
      <c r="CA3401" s="115"/>
      <c r="CB3401" s="115"/>
      <c r="CC3401" s="115"/>
      <c r="CD3401" s="115"/>
      <c r="CE3401" s="115"/>
      <c r="CF3401" s="115"/>
      <c r="CG3401" s="115"/>
      <c r="CH3401" s="115"/>
      <c r="CI3401" s="115"/>
      <c r="CJ3401" s="115"/>
      <c r="CK3401" s="115"/>
      <c r="CL3401" s="115"/>
      <c r="CM3401" s="115"/>
      <c r="CN3401" s="115"/>
      <c r="CO3401" s="115"/>
      <c r="CP3401" s="115"/>
      <c r="CQ3401" s="115"/>
      <c r="CR3401" s="115"/>
      <c r="CS3401" s="115"/>
      <c r="CT3401" s="115"/>
      <c r="CU3401" s="115"/>
      <c r="CV3401" s="115"/>
      <c r="CW3401" s="115"/>
      <c r="CX3401" s="115"/>
      <c r="CY3401" s="115"/>
      <c r="CZ3401" s="115"/>
      <c r="DA3401" s="115"/>
      <c r="DB3401" s="115"/>
      <c r="DC3401" s="115"/>
      <c r="DD3401" s="115"/>
      <c r="DE3401" s="115"/>
      <c r="DF3401" s="115"/>
      <c r="DG3401" s="115"/>
    </row>
    <row r="3402" spans="55:111" hidden="1">
      <c r="BC3402" s="115"/>
      <c r="BD3402" s="115"/>
      <c r="BE3402" s="115"/>
      <c r="BF3402" s="115"/>
      <c r="BG3402" s="115"/>
      <c r="BH3402" s="115"/>
      <c r="BI3402" s="115"/>
      <c r="BJ3402" s="115"/>
      <c r="BK3402" s="115"/>
      <c r="BL3402" s="115"/>
      <c r="BM3402" s="115"/>
      <c r="BN3402" s="115"/>
      <c r="BO3402" s="115"/>
      <c r="BP3402" s="115"/>
      <c r="BQ3402" s="115"/>
      <c r="BR3402" s="115"/>
      <c r="BS3402" s="115"/>
      <c r="BT3402" s="115"/>
      <c r="BU3402" s="115"/>
      <c r="BV3402" s="115"/>
      <c r="BW3402" s="115"/>
      <c r="BX3402" s="115"/>
      <c r="BY3402" s="115"/>
      <c r="BZ3402" s="115"/>
      <c r="CA3402" s="115"/>
      <c r="CB3402" s="115"/>
      <c r="CC3402" s="115"/>
      <c r="CD3402" s="115"/>
      <c r="CE3402" s="115"/>
      <c r="CF3402" s="115"/>
      <c r="CG3402" s="115"/>
      <c r="CH3402" s="115"/>
      <c r="CI3402" s="115"/>
      <c r="CJ3402" s="115"/>
      <c r="CK3402" s="115"/>
      <c r="CL3402" s="115"/>
      <c r="CM3402" s="115"/>
      <c r="CN3402" s="115"/>
      <c r="CO3402" s="115"/>
      <c r="CP3402" s="115"/>
      <c r="CQ3402" s="115"/>
      <c r="CR3402" s="115"/>
      <c r="CS3402" s="115"/>
      <c r="CT3402" s="115"/>
      <c r="CU3402" s="115"/>
      <c r="CV3402" s="115"/>
      <c r="CW3402" s="115"/>
      <c r="CX3402" s="115"/>
      <c r="CY3402" s="115"/>
      <c r="CZ3402" s="115"/>
      <c r="DA3402" s="115"/>
      <c r="DB3402" s="115"/>
      <c r="DC3402" s="115"/>
      <c r="DD3402" s="115"/>
      <c r="DE3402" s="115"/>
      <c r="DF3402" s="115"/>
      <c r="DG3402" s="115"/>
    </row>
    <row r="3403" spans="55:111" hidden="1">
      <c r="BC3403" s="115"/>
      <c r="BD3403" s="115"/>
      <c r="BE3403" s="115"/>
      <c r="BF3403" s="115"/>
      <c r="BG3403" s="115"/>
      <c r="BH3403" s="115"/>
      <c r="BI3403" s="115"/>
      <c r="BJ3403" s="115"/>
      <c r="BK3403" s="115"/>
      <c r="BL3403" s="115"/>
      <c r="BM3403" s="115"/>
      <c r="BN3403" s="115"/>
      <c r="BO3403" s="115"/>
      <c r="BP3403" s="115"/>
      <c r="BQ3403" s="115"/>
      <c r="BR3403" s="115"/>
      <c r="BS3403" s="115"/>
      <c r="BT3403" s="115"/>
      <c r="BU3403" s="115"/>
      <c r="BV3403" s="115"/>
      <c r="BW3403" s="115"/>
      <c r="BX3403" s="115"/>
      <c r="BY3403" s="115"/>
      <c r="BZ3403" s="115"/>
      <c r="CA3403" s="115"/>
      <c r="CB3403" s="115"/>
      <c r="CC3403" s="115"/>
      <c r="CD3403" s="115"/>
      <c r="CE3403" s="115"/>
      <c r="CF3403" s="115"/>
      <c r="CG3403" s="115"/>
      <c r="CH3403" s="115"/>
      <c r="CI3403" s="115"/>
      <c r="CJ3403" s="115"/>
      <c r="CK3403" s="115"/>
      <c r="CL3403" s="115"/>
      <c r="CM3403" s="115"/>
      <c r="CN3403" s="115"/>
      <c r="CO3403" s="115"/>
      <c r="CP3403" s="115"/>
      <c r="CQ3403" s="115"/>
      <c r="CR3403" s="115"/>
      <c r="CS3403" s="115"/>
      <c r="CT3403" s="115"/>
      <c r="CU3403" s="115"/>
      <c r="CV3403" s="115"/>
      <c r="CW3403" s="115"/>
      <c r="CX3403" s="115"/>
      <c r="CY3403" s="115"/>
      <c r="CZ3403" s="115"/>
      <c r="DA3403" s="115"/>
      <c r="DB3403" s="115"/>
      <c r="DC3403" s="115"/>
      <c r="DD3403" s="115"/>
      <c r="DE3403" s="115"/>
      <c r="DF3403" s="115"/>
      <c r="DG3403" s="115"/>
    </row>
    <row r="3404" spans="55:111" hidden="1">
      <c r="BC3404" s="115"/>
      <c r="BD3404" s="115"/>
      <c r="BE3404" s="115"/>
      <c r="BF3404" s="115"/>
      <c r="BG3404" s="115"/>
      <c r="BH3404" s="115"/>
      <c r="BI3404" s="115"/>
      <c r="BJ3404" s="115"/>
      <c r="BK3404" s="115"/>
      <c r="BL3404" s="115"/>
      <c r="BM3404" s="115"/>
      <c r="BN3404" s="115"/>
      <c r="BO3404" s="115"/>
      <c r="BP3404" s="115"/>
      <c r="BQ3404" s="115"/>
      <c r="BR3404" s="115"/>
      <c r="BS3404" s="115"/>
      <c r="BT3404" s="115"/>
      <c r="BU3404" s="115"/>
      <c r="BV3404" s="115"/>
      <c r="BW3404" s="115"/>
      <c r="BX3404" s="115"/>
      <c r="BY3404" s="115"/>
      <c r="BZ3404" s="115"/>
      <c r="CA3404" s="115"/>
      <c r="CB3404" s="115"/>
      <c r="CC3404" s="115"/>
      <c r="CD3404" s="115"/>
      <c r="CE3404" s="115"/>
      <c r="CF3404" s="115"/>
      <c r="CG3404" s="115"/>
      <c r="CH3404" s="115"/>
      <c r="CI3404" s="115"/>
      <c r="CJ3404" s="115"/>
      <c r="CK3404" s="115"/>
      <c r="CL3404" s="115"/>
      <c r="CM3404" s="115"/>
      <c r="CN3404" s="115"/>
      <c r="CO3404" s="115"/>
      <c r="CP3404" s="115"/>
      <c r="CQ3404" s="115"/>
      <c r="CR3404" s="115"/>
      <c r="CS3404" s="115"/>
      <c r="CT3404" s="115"/>
      <c r="CU3404" s="115"/>
      <c r="CV3404" s="115"/>
      <c r="CW3404" s="115"/>
      <c r="CX3404" s="115"/>
      <c r="CY3404" s="115"/>
      <c r="CZ3404" s="115"/>
      <c r="DA3404" s="115"/>
      <c r="DB3404" s="115"/>
      <c r="DC3404" s="115"/>
      <c r="DD3404" s="115"/>
      <c r="DE3404" s="115"/>
      <c r="DF3404" s="115"/>
      <c r="DG3404" s="115"/>
    </row>
    <row r="3405" spans="55:111" hidden="1">
      <c r="BC3405" s="115"/>
      <c r="BD3405" s="115"/>
      <c r="BE3405" s="115"/>
      <c r="BF3405" s="115"/>
      <c r="BG3405" s="115"/>
      <c r="BH3405" s="115"/>
      <c r="BI3405" s="115"/>
      <c r="BJ3405" s="115"/>
      <c r="BK3405" s="115"/>
      <c r="BL3405" s="115"/>
      <c r="BM3405" s="115"/>
      <c r="BN3405" s="115"/>
      <c r="BO3405" s="115"/>
      <c r="BP3405" s="115"/>
      <c r="BQ3405" s="115"/>
      <c r="BR3405" s="115"/>
      <c r="BS3405" s="115"/>
      <c r="BT3405" s="115"/>
      <c r="BU3405" s="115"/>
      <c r="BV3405" s="115"/>
      <c r="BW3405" s="115"/>
      <c r="BX3405" s="115"/>
      <c r="BY3405" s="115"/>
      <c r="BZ3405" s="115"/>
      <c r="CA3405" s="115"/>
      <c r="CB3405" s="115"/>
      <c r="CC3405" s="115"/>
      <c r="CD3405" s="115"/>
      <c r="CE3405" s="115"/>
      <c r="CF3405" s="115"/>
      <c r="CG3405" s="115"/>
      <c r="CH3405" s="115"/>
      <c r="CI3405" s="115"/>
      <c r="CJ3405" s="115"/>
      <c r="CK3405" s="115"/>
      <c r="CL3405" s="115"/>
      <c r="CM3405" s="115"/>
      <c r="CN3405" s="115"/>
      <c r="CO3405" s="115"/>
      <c r="CP3405" s="115"/>
      <c r="CQ3405" s="115"/>
      <c r="CR3405" s="115"/>
      <c r="CS3405" s="115"/>
      <c r="CT3405" s="115"/>
      <c r="CU3405" s="115"/>
      <c r="CV3405" s="115"/>
      <c r="CW3405" s="115"/>
      <c r="CX3405" s="115"/>
      <c r="CY3405" s="115"/>
      <c r="CZ3405" s="115"/>
      <c r="DA3405" s="115"/>
      <c r="DB3405" s="115"/>
      <c r="DC3405" s="115"/>
      <c r="DD3405" s="115"/>
      <c r="DE3405" s="115"/>
      <c r="DF3405" s="115"/>
      <c r="DG3405" s="115"/>
    </row>
    <row r="3406" spans="55:111" hidden="1">
      <c r="BC3406" s="115"/>
      <c r="BD3406" s="115"/>
      <c r="BE3406" s="115"/>
      <c r="BF3406" s="115"/>
      <c r="BG3406" s="115"/>
      <c r="BH3406" s="115"/>
      <c r="BI3406" s="115"/>
      <c r="BJ3406" s="115"/>
      <c r="BK3406" s="115"/>
      <c r="BL3406" s="115"/>
      <c r="BM3406" s="115"/>
      <c r="BN3406" s="115"/>
      <c r="BO3406" s="115"/>
      <c r="BP3406" s="115"/>
      <c r="BQ3406" s="115"/>
      <c r="BR3406" s="115"/>
      <c r="BS3406" s="115"/>
      <c r="BT3406" s="115"/>
      <c r="BU3406" s="115"/>
      <c r="BV3406" s="115"/>
      <c r="BW3406" s="115"/>
      <c r="BX3406" s="115"/>
      <c r="BY3406" s="115"/>
      <c r="BZ3406" s="115"/>
      <c r="CA3406" s="115"/>
      <c r="CB3406" s="115"/>
      <c r="CC3406" s="115"/>
      <c r="CD3406" s="115"/>
      <c r="CE3406" s="115"/>
      <c r="CF3406" s="115"/>
      <c r="CG3406" s="115"/>
      <c r="CH3406" s="115"/>
      <c r="CI3406" s="115"/>
      <c r="CJ3406" s="115"/>
      <c r="CK3406" s="115"/>
      <c r="CL3406" s="115"/>
      <c r="CM3406" s="115"/>
      <c r="CN3406" s="115"/>
      <c r="CO3406" s="115"/>
      <c r="CP3406" s="115"/>
      <c r="CQ3406" s="115"/>
      <c r="CR3406" s="115"/>
      <c r="CS3406" s="115"/>
      <c r="CT3406" s="115"/>
      <c r="CU3406" s="115"/>
      <c r="CV3406" s="115"/>
      <c r="CW3406" s="115"/>
      <c r="CX3406" s="115"/>
      <c r="CY3406" s="115"/>
      <c r="CZ3406" s="115"/>
      <c r="DA3406" s="115"/>
      <c r="DB3406" s="115"/>
      <c r="DC3406" s="115"/>
      <c r="DD3406" s="115"/>
      <c r="DE3406" s="115"/>
      <c r="DF3406" s="115"/>
      <c r="DG3406" s="115"/>
    </row>
    <row r="3407" spans="55:111" hidden="1">
      <c r="BC3407" s="115"/>
      <c r="BD3407" s="115"/>
      <c r="BE3407" s="115"/>
      <c r="BF3407" s="115"/>
      <c r="BG3407" s="115"/>
      <c r="BH3407" s="115"/>
      <c r="BI3407" s="115"/>
      <c r="BJ3407" s="115"/>
      <c r="BK3407" s="115"/>
      <c r="BL3407" s="115"/>
      <c r="BM3407" s="115"/>
      <c r="BN3407" s="115"/>
      <c r="BO3407" s="115"/>
      <c r="BP3407" s="115"/>
      <c r="BQ3407" s="115"/>
      <c r="BR3407" s="115"/>
      <c r="BS3407" s="115"/>
      <c r="BT3407" s="115"/>
      <c r="BU3407" s="115"/>
      <c r="BV3407" s="115"/>
      <c r="BW3407" s="115"/>
      <c r="BX3407" s="115"/>
      <c r="BY3407" s="115"/>
      <c r="BZ3407" s="115"/>
      <c r="CA3407" s="115"/>
      <c r="CB3407" s="115"/>
      <c r="CC3407" s="115"/>
      <c r="CD3407" s="115"/>
      <c r="CE3407" s="115"/>
      <c r="CF3407" s="115"/>
      <c r="CG3407" s="115"/>
      <c r="CH3407" s="115"/>
      <c r="CI3407" s="115"/>
      <c r="CJ3407" s="115"/>
      <c r="CK3407" s="115"/>
      <c r="CL3407" s="115"/>
      <c r="CM3407" s="115"/>
      <c r="CN3407" s="115"/>
      <c r="CO3407" s="115"/>
      <c r="CP3407" s="115"/>
      <c r="CQ3407" s="115"/>
      <c r="CR3407" s="115"/>
      <c r="CS3407" s="115"/>
      <c r="CT3407" s="115"/>
      <c r="CU3407" s="115"/>
      <c r="CV3407" s="115"/>
      <c r="CW3407" s="115"/>
      <c r="CX3407" s="115"/>
      <c r="CY3407" s="115"/>
      <c r="CZ3407" s="115"/>
      <c r="DA3407" s="115"/>
      <c r="DB3407" s="115"/>
      <c r="DC3407" s="115"/>
      <c r="DD3407" s="115"/>
      <c r="DE3407" s="115"/>
      <c r="DF3407" s="115"/>
      <c r="DG3407" s="115"/>
    </row>
    <row r="3408" spans="55:111" hidden="1">
      <c r="BC3408" s="115"/>
      <c r="BD3408" s="115"/>
      <c r="BE3408" s="115"/>
      <c r="BF3408" s="115"/>
      <c r="BG3408" s="115"/>
      <c r="BH3408" s="115"/>
      <c r="BI3408" s="115"/>
      <c r="BJ3408" s="115"/>
      <c r="BK3408" s="115"/>
      <c r="BL3408" s="115"/>
      <c r="BM3408" s="115"/>
      <c r="BN3408" s="115"/>
      <c r="BO3408" s="115"/>
      <c r="BP3408" s="115"/>
      <c r="BQ3408" s="115"/>
      <c r="BR3408" s="115"/>
      <c r="BS3408" s="115"/>
      <c r="BT3408" s="115"/>
      <c r="BU3408" s="115"/>
      <c r="BV3408" s="115"/>
      <c r="BW3408" s="115"/>
      <c r="BX3408" s="115"/>
      <c r="BY3408" s="115"/>
      <c r="BZ3408" s="115"/>
      <c r="CA3408" s="115"/>
      <c r="CB3408" s="115"/>
      <c r="CC3408" s="115"/>
      <c r="CD3408" s="115"/>
      <c r="CE3408" s="115"/>
      <c r="CF3408" s="115"/>
      <c r="CG3408" s="115"/>
      <c r="CH3408" s="115"/>
      <c r="CI3408" s="115"/>
      <c r="CJ3408" s="115"/>
      <c r="CK3408" s="115"/>
      <c r="CL3408" s="115"/>
      <c r="CM3408" s="115"/>
      <c r="CN3408" s="115"/>
      <c r="CO3408" s="115"/>
      <c r="CP3408" s="115"/>
      <c r="CQ3408" s="115"/>
      <c r="CR3408" s="115"/>
      <c r="CS3408" s="115"/>
      <c r="CT3408" s="115"/>
      <c r="CU3408" s="115"/>
      <c r="CV3408" s="115"/>
      <c r="CW3408" s="115"/>
      <c r="CX3408" s="115"/>
      <c r="CY3408" s="115"/>
      <c r="CZ3408" s="115"/>
      <c r="DA3408" s="115"/>
      <c r="DB3408" s="115"/>
      <c r="DC3408" s="115"/>
      <c r="DD3408" s="115"/>
      <c r="DE3408" s="115"/>
      <c r="DF3408" s="115"/>
      <c r="DG3408" s="115"/>
    </row>
    <row r="3409" spans="55:111" hidden="1">
      <c r="BC3409" s="115"/>
      <c r="BD3409" s="115"/>
      <c r="BE3409" s="115"/>
      <c r="BF3409" s="115"/>
      <c r="BG3409" s="115"/>
      <c r="BH3409" s="115"/>
      <c r="BI3409" s="115"/>
      <c r="BJ3409" s="115"/>
      <c r="BK3409" s="115"/>
      <c r="BL3409" s="115"/>
      <c r="BM3409" s="115"/>
      <c r="BN3409" s="115"/>
      <c r="BO3409" s="115"/>
      <c r="BP3409" s="115"/>
      <c r="BQ3409" s="115"/>
      <c r="BR3409" s="115"/>
      <c r="BS3409" s="115"/>
      <c r="BT3409" s="115"/>
      <c r="BU3409" s="115"/>
      <c r="BV3409" s="115"/>
      <c r="BW3409" s="115"/>
      <c r="BX3409" s="115"/>
      <c r="BY3409" s="115"/>
      <c r="BZ3409" s="115"/>
      <c r="CA3409" s="115"/>
      <c r="CB3409" s="115"/>
      <c r="CC3409" s="115"/>
      <c r="CD3409" s="115"/>
      <c r="CE3409" s="115"/>
      <c r="CF3409" s="115"/>
      <c r="CG3409" s="115"/>
      <c r="CH3409" s="115"/>
      <c r="CI3409" s="115"/>
      <c r="CJ3409" s="115"/>
      <c r="CK3409" s="115"/>
      <c r="CL3409" s="115"/>
      <c r="CM3409" s="115"/>
      <c r="CN3409" s="115"/>
      <c r="CO3409" s="115"/>
      <c r="CP3409" s="115"/>
      <c r="CQ3409" s="115"/>
      <c r="CR3409" s="115"/>
      <c r="CS3409" s="115"/>
      <c r="CT3409" s="115"/>
      <c r="CU3409" s="115"/>
      <c r="CV3409" s="115"/>
      <c r="CW3409" s="115"/>
      <c r="CX3409" s="115"/>
      <c r="CY3409" s="115"/>
      <c r="CZ3409" s="115"/>
      <c r="DA3409" s="115"/>
      <c r="DB3409" s="115"/>
      <c r="DC3409" s="115"/>
      <c r="DD3409" s="115"/>
      <c r="DE3409" s="115"/>
      <c r="DF3409" s="115"/>
      <c r="DG3409" s="115"/>
    </row>
    <row r="3410" spans="55:111" hidden="1">
      <c r="BC3410" s="115"/>
      <c r="BD3410" s="115"/>
      <c r="BE3410" s="115"/>
      <c r="BF3410" s="115"/>
      <c r="BG3410" s="115"/>
      <c r="BH3410" s="115"/>
      <c r="BI3410" s="115"/>
      <c r="BJ3410" s="115"/>
      <c r="BK3410" s="115"/>
      <c r="BL3410" s="115"/>
      <c r="BM3410" s="115"/>
      <c r="BN3410" s="115"/>
      <c r="BO3410" s="115"/>
      <c r="BP3410" s="115"/>
      <c r="BQ3410" s="115"/>
      <c r="BR3410" s="115"/>
      <c r="BS3410" s="115"/>
      <c r="BT3410" s="115"/>
      <c r="BU3410" s="115"/>
      <c r="BV3410" s="115"/>
      <c r="BW3410" s="115"/>
      <c r="BX3410" s="115"/>
      <c r="BY3410" s="115"/>
      <c r="BZ3410" s="115"/>
      <c r="CA3410" s="115"/>
      <c r="CB3410" s="115"/>
      <c r="CC3410" s="115"/>
      <c r="CD3410" s="115"/>
      <c r="CE3410" s="115"/>
      <c r="CF3410" s="115"/>
      <c r="CG3410" s="115"/>
      <c r="CH3410" s="115"/>
      <c r="CI3410" s="115"/>
      <c r="CJ3410" s="115"/>
      <c r="CK3410" s="115"/>
      <c r="CL3410" s="115"/>
      <c r="CM3410" s="115"/>
      <c r="CN3410" s="115"/>
      <c r="CO3410" s="115"/>
      <c r="CP3410" s="115"/>
      <c r="CQ3410" s="115"/>
      <c r="CR3410" s="115"/>
      <c r="CS3410" s="115"/>
      <c r="CT3410" s="115"/>
      <c r="CU3410" s="115"/>
      <c r="CV3410" s="115"/>
      <c r="CW3410" s="115"/>
      <c r="CX3410" s="115"/>
      <c r="CY3410" s="115"/>
      <c r="CZ3410" s="115"/>
      <c r="DA3410" s="115"/>
      <c r="DB3410" s="115"/>
      <c r="DC3410" s="115"/>
      <c r="DD3410" s="115"/>
      <c r="DE3410" s="115"/>
      <c r="DF3410" s="115"/>
      <c r="DG3410" s="115"/>
    </row>
    <row r="3411" spans="55:111" hidden="1">
      <c r="BC3411" s="115"/>
      <c r="BD3411" s="115"/>
      <c r="BE3411" s="115"/>
      <c r="BF3411" s="115"/>
      <c r="BG3411" s="115"/>
      <c r="BH3411" s="115"/>
      <c r="BI3411" s="115"/>
      <c r="BJ3411" s="115"/>
      <c r="BK3411" s="115"/>
      <c r="BL3411" s="115"/>
      <c r="BM3411" s="115"/>
      <c r="BN3411" s="115"/>
      <c r="BO3411" s="115"/>
      <c r="BP3411" s="115"/>
      <c r="BQ3411" s="115"/>
      <c r="BR3411" s="115"/>
      <c r="BS3411" s="115"/>
      <c r="BT3411" s="115"/>
      <c r="BU3411" s="115"/>
      <c r="BV3411" s="115"/>
      <c r="BW3411" s="115"/>
      <c r="BX3411" s="115"/>
      <c r="BY3411" s="115"/>
      <c r="BZ3411" s="115"/>
      <c r="CA3411" s="115"/>
      <c r="CB3411" s="115"/>
      <c r="CC3411" s="115"/>
      <c r="CD3411" s="115"/>
      <c r="CE3411" s="115"/>
      <c r="CF3411" s="115"/>
      <c r="CG3411" s="115"/>
      <c r="CH3411" s="115"/>
      <c r="CI3411" s="115"/>
      <c r="CJ3411" s="115"/>
      <c r="CK3411" s="115"/>
      <c r="CL3411" s="115"/>
      <c r="CM3411" s="115"/>
      <c r="CN3411" s="115"/>
      <c r="CO3411" s="115"/>
      <c r="CP3411" s="115"/>
      <c r="CQ3411" s="115"/>
      <c r="CR3411" s="115"/>
      <c r="CS3411" s="115"/>
      <c r="CT3411" s="115"/>
      <c r="CU3411" s="115"/>
      <c r="CV3411" s="115"/>
      <c r="CW3411" s="115"/>
      <c r="CX3411" s="115"/>
      <c r="CY3411" s="115"/>
      <c r="CZ3411" s="115"/>
      <c r="DA3411" s="115"/>
      <c r="DB3411" s="115"/>
      <c r="DC3411" s="115"/>
      <c r="DD3411" s="115"/>
      <c r="DE3411" s="115"/>
      <c r="DF3411" s="115"/>
      <c r="DG3411" s="115"/>
    </row>
    <row r="3412" spans="55:111" hidden="1">
      <c r="BC3412" s="115"/>
      <c r="BD3412" s="115"/>
      <c r="BE3412" s="115"/>
      <c r="BF3412" s="115"/>
      <c r="BG3412" s="115"/>
      <c r="BH3412" s="115"/>
      <c r="BI3412" s="115"/>
      <c r="BJ3412" s="115"/>
      <c r="BK3412" s="115"/>
      <c r="BL3412" s="115"/>
      <c r="BM3412" s="115"/>
      <c r="BN3412" s="115"/>
      <c r="BO3412" s="115"/>
      <c r="BP3412" s="115"/>
      <c r="BQ3412" s="115"/>
      <c r="BR3412" s="115"/>
      <c r="BS3412" s="115"/>
      <c r="BT3412" s="115"/>
      <c r="BU3412" s="115"/>
      <c r="BV3412" s="115"/>
      <c r="BW3412" s="115"/>
      <c r="BX3412" s="115"/>
      <c r="BY3412" s="115"/>
      <c r="BZ3412" s="115"/>
      <c r="CA3412" s="115"/>
      <c r="CB3412" s="115"/>
      <c r="CC3412" s="115"/>
      <c r="CD3412" s="115"/>
      <c r="CE3412" s="115"/>
      <c r="CF3412" s="115"/>
      <c r="CG3412" s="115"/>
      <c r="CH3412" s="115"/>
      <c r="CI3412" s="115"/>
      <c r="CJ3412" s="115"/>
      <c r="CK3412" s="115"/>
      <c r="CL3412" s="115"/>
      <c r="CM3412" s="115"/>
      <c r="CN3412" s="115"/>
      <c r="CO3412" s="115"/>
      <c r="CP3412" s="115"/>
      <c r="CQ3412" s="115"/>
      <c r="CR3412" s="115"/>
      <c r="CS3412" s="115"/>
      <c r="CT3412" s="115"/>
      <c r="CU3412" s="115"/>
      <c r="CV3412" s="115"/>
      <c r="CW3412" s="115"/>
      <c r="CX3412" s="115"/>
      <c r="CY3412" s="115"/>
      <c r="CZ3412" s="115"/>
      <c r="DA3412" s="115"/>
      <c r="DB3412" s="115"/>
      <c r="DC3412" s="115"/>
      <c r="DD3412" s="115"/>
      <c r="DE3412" s="115"/>
      <c r="DF3412" s="115"/>
      <c r="DG3412" s="115"/>
    </row>
    <row r="3413" spans="55:111" hidden="1">
      <c r="BC3413" s="115"/>
      <c r="BD3413" s="115"/>
      <c r="BE3413" s="115"/>
      <c r="BF3413" s="115"/>
      <c r="BG3413" s="115"/>
      <c r="BH3413" s="115"/>
      <c r="BI3413" s="115"/>
      <c r="BJ3413" s="115"/>
      <c r="BK3413" s="115"/>
      <c r="BL3413" s="115"/>
      <c r="BM3413" s="115"/>
      <c r="BN3413" s="115"/>
      <c r="BO3413" s="115"/>
      <c r="BP3413" s="115"/>
      <c r="BQ3413" s="115"/>
      <c r="BR3413" s="115"/>
      <c r="BS3413" s="115"/>
      <c r="BT3413" s="115"/>
      <c r="BU3413" s="115"/>
      <c r="BV3413" s="115"/>
      <c r="BW3413" s="115"/>
      <c r="BX3413" s="115"/>
      <c r="BY3413" s="115"/>
      <c r="BZ3413" s="115"/>
      <c r="CA3413" s="115"/>
      <c r="CB3413" s="115"/>
      <c r="CC3413" s="115"/>
      <c r="CD3413" s="115"/>
      <c r="CE3413" s="115"/>
      <c r="CF3413" s="115"/>
      <c r="CG3413" s="115"/>
      <c r="CH3413" s="115"/>
      <c r="CI3413" s="115"/>
      <c r="CJ3413" s="115"/>
      <c r="CK3413" s="115"/>
      <c r="CL3413" s="115"/>
      <c r="CM3413" s="115"/>
      <c r="CN3413" s="115"/>
      <c r="CO3413" s="115"/>
      <c r="CP3413" s="115"/>
      <c r="CQ3413" s="115"/>
      <c r="CR3413" s="115"/>
      <c r="CS3413" s="115"/>
      <c r="CT3413" s="115"/>
      <c r="CU3413" s="115"/>
      <c r="CV3413" s="115"/>
      <c r="CW3413" s="115"/>
      <c r="CX3413" s="115"/>
      <c r="CY3413" s="115"/>
      <c r="CZ3413" s="115"/>
      <c r="DA3413" s="115"/>
      <c r="DB3413" s="115"/>
      <c r="DC3413" s="115"/>
      <c r="DD3413" s="115"/>
      <c r="DE3413" s="115"/>
      <c r="DF3413" s="115"/>
      <c r="DG3413" s="115"/>
    </row>
    <row r="3414" spans="55:111" hidden="1">
      <c r="BC3414" s="115"/>
      <c r="BD3414" s="115"/>
      <c r="BE3414" s="115"/>
      <c r="BF3414" s="115"/>
      <c r="BG3414" s="115"/>
      <c r="BH3414" s="115"/>
      <c r="BI3414" s="115"/>
      <c r="BJ3414" s="115"/>
      <c r="BK3414" s="115"/>
      <c r="BL3414" s="115"/>
      <c r="BM3414" s="115"/>
      <c r="BN3414" s="115"/>
      <c r="BO3414" s="115"/>
      <c r="BP3414" s="115"/>
      <c r="BQ3414" s="115"/>
      <c r="BR3414" s="115"/>
      <c r="BS3414" s="115"/>
      <c r="BT3414" s="115"/>
      <c r="BU3414" s="115"/>
      <c r="BV3414" s="115"/>
      <c r="BW3414" s="115"/>
      <c r="BX3414" s="115"/>
      <c r="BY3414" s="115"/>
      <c r="BZ3414" s="115"/>
      <c r="CA3414" s="115"/>
      <c r="CB3414" s="115"/>
      <c r="CC3414" s="115"/>
      <c r="CD3414" s="115"/>
      <c r="CE3414" s="115"/>
      <c r="CF3414" s="115"/>
      <c r="CG3414" s="115"/>
      <c r="CH3414" s="115"/>
      <c r="CI3414" s="115"/>
      <c r="CJ3414" s="115"/>
      <c r="CK3414" s="115"/>
      <c r="CL3414" s="115"/>
      <c r="CM3414" s="115"/>
      <c r="CN3414" s="115"/>
      <c r="CO3414" s="115"/>
      <c r="CP3414" s="115"/>
      <c r="CQ3414" s="115"/>
      <c r="CR3414" s="115"/>
      <c r="CS3414" s="115"/>
      <c r="CT3414" s="115"/>
      <c r="CU3414" s="115"/>
      <c r="CV3414" s="115"/>
      <c r="CW3414" s="115"/>
      <c r="CX3414" s="115"/>
      <c r="CY3414" s="115"/>
      <c r="CZ3414" s="115"/>
      <c r="DA3414" s="115"/>
      <c r="DB3414" s="115"/>
      <c r="DC3414" s="115"/>
      <c r="DD3414" s="115"/>
      <c r="DE3414" s="115"/>
      <c r="DF3414" s="115"/>
      <c r="DG3414" s="115"/>
    </row>
    <row r="3415" spans="55:111" hidden="1">
      <c r="BC3415" s="115"/>
      <c r="BD3415" s="115"/>
      <c r="BE3415" s="115"/>
      <c r="BF3415" s="115"/>
      <c r="BG3415" s="115"/>
      <c r="BH3415" s="115"/>
      <c r="BI3415" s="115"/>
      <c r="BJ3415" s="115"/>
      <c r="BK3415" s="115"/>
      <c r="BL3415" s="115"/>
      <c r="BM3415" s="115"/>
      <c r="BN3415" s="115"/>
      <c r="BO3415" s="115"/>
      <c r="BP3415" s="115"/>
      <c r="BQ3415" s="115"/>
      <c r="BR3415" s="115"/>
      <c r="BS3415" s="115"/>
      <c r="BT3415" s="115"/>
      <c r="BU3415" s="115"/>
      <c r="BV3415" s="115"/>
      <c r="BW3415" s="115"/>
      <c r="BX3415" s="115"/>
      <c r="BY3415" s="115"/>
      <c r="BZ3415" s="115"/>
      <c r="CA3415" s="115"/>
      <c r="CB3415" s="115"/>
      <c r="CC3415" s="115"/>
      <c r="CD3415" s="115"/>
      <c r="CE3415" s="115"/>
      <c r="CF3415" s="115"/>
      <c r="CG3415" s="115"/>
      <c r="CH3415" s="115"/>
      <c r="CI3415" s="115"/>
      <c r="CJ3415" s="115"/>
      <c r="CK3415" s="115"/>
      <c r="CL3415" s="115"/>
      <c r="CM3415" s="115"/>
      <c r="CN3415" s="115"/>
      <c r="CO3415" s="115"/>
      <c r="CP3415" s="115"/>
      <c r="CQ3415" s="115"/>
      <c r="CR3415" s="115"/>
      <c r="CS3415" s="115"/>
      <c r="CT3415" s="115"/>
      <c r="CU3415" s="115"/>
      <c r="CV3415" s="115"/>
      <c r="CW3415" s="115"/>
      <c r="CX3415" s="115"/>
      <c r="CY3415" s="115"/>
      <c r="CZ3415" s="115"/>
      <c r="DA3415" s="115"/>
      <c r="DB3415" s="115"/>
      <c r="DC3415" s="115"/>
      <c r="DD3415" s="115"/>
      <c r="DE3415" s="115"/>
      <c r="DF3415" s="115"/>
      <c r="DG3415" s="115"/>
    </row>
    <row r="3416" spans="55:111" hidden="1">
      <c r="BC3416" s="115"/>
      <c r="BD3416" s="115"/>
      <c r="BE3416" s="115"/>
      <c r="BF3416" s="115"/>
      <c r="BG3416" s="115"/>
      <c r="BH3416" s="115"/>
      <c r="BI3416" s="115"/>
      <c r="BJ3416" s="115"/>
      <c r="BK3416" s="115"/>
      <c r="BL3416" s="115"/>
      <c r="BM3416" s="115"/>
      <c r="BN3416" s="115"/>
      <c r="BO3416" s="115"/>
      <c r="BP3416" s="115"/>
      <c r="BQ3416" s="115"/>
      <c r="BR3416" s="115"/>
      <c r="BS3416" s="115"/>
      <c r="BT3416" s="115"/>
      <c r="BU3416" s="115"/>
      <c r="BV3416" s="115"/>
      <c r="BW3416" s="115"/>
      <c r="BX3416" s="115"/>
      <c r="BY3416" s="115"/>
      <c r="BZ3416" s="115"/>
      <c r="CA3416" s="115"/>
      <c r="CB3416" s="115"/>
      <c r="CC3416" s="115"/>
      <c r="CD3416" s="115"/>
      <c r="CE3416" s="115"/>
      <c r="CF3416" s="115"/>
      <c r="CG3416" s="115"/>
      <c r="CH3416" s="115"/>
      <c r="CI3416" s="115"/>
      <c r="CJ3416" s="115"/>
      <c r="CK3416" s="115"/>
      <c r="CL3416" s="115"/>
      <c r="CM3416" s="115"/>
      <c r="CN3416" s="115"/>
      <c r="CO3416" s="115"/>
      <c r="CP3416" s="115"/>
      <c r="CQ3416" s="115"/>
      <c r="CR3416" s="115"/>
      <c r="CS3416" s="115"/>
      <c r="CT3416" s="115"/>
      <c r="CU3416" s="115"/>
      <c r="CV3416" s="115"/>
      <c r="CW3416" s="115"/>
      <c r="CX3416" s="115"/>
      <c r="CY3416" s="115"/>
      <c r="CZ3416" s="115"/>
      <c r="DA3416" s="115"/>
      <c r="DB3416" s="115"/>
      <c r="DC3416" s="115"/>
      <c r="DD3416" s="115"/>
      <c r="DE3416" s="115"/>
      <c r="DF3416" s="115"/>
      <c r="DG3416" s="115"/>
    </row>
    <row r="3417" spans="55:111" hidden="1">
      <c r="BC3417" s="115"/>
      <c r="BD3417" s="115"/>
      <c r="BE3417" s="115"/>
      <c r="BF3417" s="115"/>
      <c r="BG3417" s="115"/>
      <c r="BH3417" s="115"/>
      <c r="BI3417" s="115"/>
      <c r="BJ3417" s="115"/>
      <c r="BK3417" s="115"/>
      <c r="BL3417" s="115"/>
      <c r="BM3417" s="115"/>
      <c r="BN3417" s="115"/>
      <c r="BO3417" s="115"/>
      <c r="BP3417" s="115"/>
      <c r="BQ3417" s="115"/>
      <c r="BR3417" s="115"/>
      <c r="BS3417" s="115"/>
      <c r="BT3417" s="115"/>
      <c r="BU3417" s="115"/>
      <c r="BV3417" s="115"/>
      <c r="BW3417" s="115"/>
      <c r="BX3417" s="115"/>
      <c r="BY3417" s="115"/>
      <c r="BZ3417" s="115"/>
      <c r="CA3417" s="115"/>
      <c r="CB3417" s="115"/>
      <c r="CC3417" s="115"/>
      <c r="CD3417" s="115"/>
      <c r="CE3417" s="115"/>
      <c r="CF3417" s="115"/>
      <c r="CG3417" s="115"/>
      <c r="CH3417" s="115"/>
      <c r="CI3417" s="115"/>
      <c r="CJ3417" s="115"/>
      <c r="CK3417" s="115"/>
      <c r="CL3417" s="115"/>
      <c r="CM3417" s="115"/>
      <c r="CN3417" s="115"/>
      <c r="CO3417" s="115"/>
      <c r="CP3417" s="115"/>
      <c r="CQ3417" s="115"/>
      <c r="CR3417" s="115"/>
      <c r="CS3417" s="115"/>
      <c r="CT3417" s="115"/>
      <c r="CU3417" s="115"/>
      <c r="CV3417" s="115"/>
      <c r="CW3417" s="115"/>
      <c r="CX3417" s="115"/>
      <c r="CY3417" s="115"/>
      <c r="CZ3417" s="115"/>
      <c r="DA3417" s="115"/>
      <c r="DB3417" s="115"/>
      <c r="DC3417" s="115"/>
      <c r="DD3417" s="115"/>
      <c r="DE3417" s="115"/>
      <c r="DF3417" s="115"/>
      <c r="DG3417" s="115"/>
    </row>
    <row r="3418" spans="55:111" hidden="1">
      <c r="BC3418" s="115"/>
      <c r="BD3418" s="115"/>
      <c r="BE3418" s="115"/>
      <c r="BF3418" s="115"/>
      <c r="BG3418" s="115"/>
      <c r="BH3418" s="115"/>
      <c r="BI3418" s="115"/>
      <c r="BJ3418" s="115"/>
      <c r="BK3418" s="115"/>
      <c r="BL3418" s="115"/>
      <c r="BM3418" s="115"/>
      <c r="BN3418" s="115"/>
      <c r="BO3418" s="115"/>
      <c r="BP3418" s="115"/>
      <c r="BQ3418" s="115"/>
      <c r="BR3418" s="115"/>
      <c r="BS3418" s="115"/>
      <c r="BT3418" s="115"/>
      <c r="BU3418" s="115"/>
      <c r="BV3418" s="115"/>
      <c r="BW3418" s="115"/>
      <c r="BX3418" s="115"/>
      <c r="BY3418" s="115"/>
      <c r="BZ3418" s="115"/>
      <c r="CA3418" s="115"/>
      <c r="CB3418" s="115"/>
      <c r="CC3418" s="115"/>
      <c r="CD3418" s="115"/>
      <c r="CE3418" s="115"/>
      <c r="CF3418" s="115"/>
      <c r="CG3418" s="115"/>
      <c r="CH3418" s="115"/>
      <c r="CI3418" s="115"/>
      <c r="CJ3418" s="115"/>
      <c r="CK3418" s="115"/>
      <c r="CL3418" s="115"/>
      <c r="CM3418" s="115"/>
      <c r="CN3418" s="115"/>
      <c r="CO3418" s="115"/>
      <c r="CP3418" s="115"/>
      <c r="CQ3418" s="115"/>
      <c r="CR3418" s="115"/>
      <c r="CS3418" s="115"/>
      <c r="CT3418" s="115"/>
      <c r="CU3418" s="115"/>
      <c r="CV3418" s="115"/>
      <c r="CW3418" s="115"/>
      <c r="CX3418" s="115"/>
      <c r="CY3418" s="115"/>
      <c r="CZ3418" s="115"/>
      <c r="DA3418" s="115"/>
      <c r="DB3418" s="115"/>
      <c r="DC3418" s="115"/>
      <c r="DD3418" s="115"/>
      <c r="DE3418" s="115"/>
      <c r="DF3418" s="115"/>
      <c r="DG3418" s="115"/>
    </row>
    <row r="3419" spans="55:111" hidden="1">
      <c r="BC3419" s="115"/>
      <c r="BD3419" s="115"/>
      <c r="BE3419" s="115"/>
      <c r="BF3419" s="115"/>
      <c r="BG3419" s="115"/>
      <c r="BH3419" s="115"/>
      <c r="BI3419" s="115"/>
      <c r="BJ3419" s="115"/>
      <c r="BK3419" s="115"/>
      <c r="BL3419" s="115"/>
      <c r="BM3419" s="115"/>
      <c r="BN3419" s="115"/>
      <c r="BO3419" s="115"/>
      <c r="BP3419" s="115"/>
      <c r="BQ3419" s="115"/>
      <c r="BR3419" s="115"/>
      <c r="BS3419" s="115"/>
      <c r="BT3419" s="115"/>
      <c r="BU3419" s="115"/>
      <c r="BV3419" s="115"/>
      <c r="BW3419" s="115"/>
      <c r="BX3419" s="115"/>
      <c r="BY3419" s="115"/>
      <c r="BZ3419" s="115"/>
      <c r="CA3419" s="115"/>
      <c r="CB3419" s="115"/>
      <c r="CC3419" s="115"/>
      <c r="CD3419" s="115"/>
      <c r="CE3419" s="115"/>
      <c r="CF3419" s="115"/>
      <c r="CG3419" s="115"/>
      <c r="CH3419" s="115"/>
      <c r="CI3419" s="115"/>
      <c r="CJ3419" s="115"/>
      <c r="CK3419" s="115"/>
      <c r="CL3419" s="115"/>
      <c r="CM3419" s="115"/>
      <c r="CN3419" s="115"/>
      <c r="CO3419" s="115"/>
      <c r="CP3419" s="115"/>
      <c r="CQ3419" s="115"/>
      <c r="CR3419" s="115"/>
      <c r="CS3419" s="115"/>
      <c r="CT3419" s="115"/>
      <c r="CU3419" s="115"/>
      <c r="CV3419" s="115"/>
      <c r="CW3419" s="115"/>
      <c r="CX3419" s="115"/>
      <c r="CY3419" s="115"/>
      <c r="CZ3419" s="115"/>
      <c r="DA3419" s="115"/>
      <c r="DB3419" s="115"/>
      <c r="DC3419" s="115"/>
      <c r="DD3419" s="115"/>
      <c r="DE3419" s="115"/>
      <c r="DF3419" s="115"/>
      <c r="DG3419" s="115"/>
    </row>
    <row r="3420" spans="55:111" hidden="1">
      <c r="BC3420" s="115"/>
      <c r="BD3420" s="115"/>
      <c r="BE3420" s="115"/>
      <c r="BF3420" s="115"/>
      <c r="BG3420" s="115"/>
      <c r="BH3420" s="115"/>
      <c r="BI3420" s="115"/>
      <c r="BJ3420" s="115"/>
      <c r="BK3420" s="115"/>
      <c r="BL3420" s="115"/>
      <c r="BM3420" s="115"/>
      <c r="BN3420" s="115"/>
      <c r="BO3420" s="115"/>
      <c r="BP3420" s="115"/>
      <c r="BQ3420" s="115"/>
      <c r="BR3420" s="115"/>
      <c r="BS3420" s="115"/>
      <c r="BT3420" s="115"/>
      <c r="BU3420" s="115"/>
      <c r="BV3420" s="115"/>
      <c r="BW3420" s="115"/>
      <c r="BX3420" s="115"/>
      <c r="BY3420" s="115"/>
      <c r="BZ3420" s="115"/>
      <c r="CA3420" s="115"/>
      <c r="CB3420" s="115"/>
      <c r="CC3420" s="115"/>
      <c r="CD3420" s="115"/>
      <c r="CE3420" s="115"/>
      <c r="CF3420" s="115"/>
      <c r="CG3420" s="115"/>
      <c r="CH3420" s="115"/>
      <c r="CI3420" s="115"/>
      <c r="CJ3420" s="115"/>
      <c r="CK3420" s="115"/>
      <c r="CL3420" s="115"/>
      <c r="CM3420" s="115"/>
      <c r="CN3420" s="115"/>
      <c r="CO3420" s="115"/>
      <c r="CP3420" s="115"/>
      <c r="CQ3420" s="115"/>
      <c r="CR3420" s="115"/>
      <c r="CS3420" s="115"/>
      <c r="CT3420" s="115"/>
      <c r="CU3420" s="115"/>
      <c r="CV3420" s="115"/>
      <c r="CW3420" s="115"/>
      <c r="CX3420" s="115"/>
      <c r="CY3420" s="115"/>
      <c r="CZ3420" s="115"/>
      <c r="DA3420" s="115"/>
      <c r="DB3420" s="115"/>
      <c r="DC3420" s="115"/>
      <c r="DD3420" s="115"/>
      <c r="DE3420" s="115"/>
      <c r="DF3420" s="115"/>
      <c r="DG3420" s="115"/>
    </row>
    <row r="3421" spans="55:111" hidden="1">
      <c r="BC3421" s="115"/>
      <c r="BD3421" s="115"/>
      <c r="BE3421" s="115"/>
      <c r="BF3421" s="115"/>
      <c r="BG3421" s="115"/>
      <c r="BH3421" s="115"/>
      <c r="BI3421" s="115"/>
      <c r="BJ3421" s="115"/>
      <c r="BK3421" s="115"/>
      <c r="BL3421" s="115"/>
      <c r="BM3421" s="115"/>
      <c r="BN3421" s="115"/>
      <c r="BO3421" s="115"/>
      <c r="BP3421" s="115"/>
      <c r="BQ3421" s="115"/>
      <c r="BR3421" s="115"/>
      <c r="BS3421" s="115"/>
      <c r="BT3421" s="115"/>
      <c r="BU3421" s="115"/>
      <c r="BV3421" s="115"/>
      <c r="BW3421" s="115"/>
      <c r="BX3421" s="115"/>
      <c r="BY3421" s="115"/>
      <c r="BZ3421" s="115"/>
      <c r="CA3421" s="115"/>
      <c r="CB3421" s="115"/>
      <c r="CC3421" s="115"/>
      <c r="CD3421" s="115"/>
      <c r="CE3421" s="115"/>
      <c r="CF3421" s="115"/>
      <c r="CG3421" s="115"/>
      <c r="CH3421" s="115"/>
      <c r="CI3421" s="115"/>
      <c r="CJ3421" s="115"/>
      <c r="CK3421" s="115"/>
      <c r="CL3421" s="115"/>
      <c r="CM3421" s="115"/>
      <c r="CN3421" s="115"/>
      <c r="CO3421" s="115"/>
      <c r="CP3421" s="115"/>
      <c r="CQ3421" s="115"/>
      <c r="CR3421" s="115"/>
      <c r="CS3421" s="115"/>
      <c r="CT3421" s="115"/>
      <c r="CU3421" s="115"/>
      <c r="CV3421" s="115"/>
      <c r="CW3421" s="115"/>
      <c r="CX3421" s="115"/>
      <c r="CY3421" s="115"/>
      <c r="CZ3421" s="115"/>
      <c r="DA3421" s="115"/>
      <c r="DB3421" s="115"/>
      <c r="DC3421" s="115"/>
      <c r="DD3421" s="115"/>
      <c r="DE3421" s="115"/>
      <c r="DF3421" s="115"/>
      <c r="DG3421" s="115"/>
    </row>
    <row r="3422" spans="55:111" hidden="1">
      <c r="BC3422" s="115"/>
      <c r="BD3422" s="115"/>
      <c r="BE3422" s="115"/>
      <c r="BF3422" s="115"/>
      <c r="BG3422" s="115"/>
      <c r="BH3422" s="115"/>
      <c r="BI3422" s="115"/>
      <c r="BJ3422" s="115"/>
      <c r="BK3422" s="115"/>
      <c r="BL3422" s="115"/>
      <c r="BM3422" s="115"/>
      <c r="BN3422" s="115"/>
      <c r="BO3422" s="115"/>
      <c r="BP3422" s="115"/>
      <c r="BQ3422" s="115"/>
      <c r="BR3422" s="115"/>
      <c r="BS3422" s="115"/>
      <c r="BT3422" s="115"/>
      <c r="BU3422" s="115"/>
      <c r="BV3422" s="115"/>
      <c r="BW3422" s="115"/>
      <c r="BX3422" s="115"/>
      <c r="BY3422" s="115"/>
      <c r="BZ3422" s="115"/>
      <c r="CA3422" s="115"/>
      <c r="CB3422" s="115"/>
      <c r="CC3422" s="115"/>
      <c r="CD3422" s="115"/>
      <c r="CE3422" s="115"/>
      <c r="CF3422" s="115"/>
      <c r="CG3422" s="115"/>
      <c r="CH3422" s="115"/>
      <c r="CI3422" s="115"/>
      <c r="CJ3422" s="115"/>
      <c r="CK3422" s="115"/>
      <c r="CL3422" s="115"/>
      <c r="CM3422" s="115"/>
      <c r="CN3422" s="115"/>
      <c r="CO3422" s="115"/>
      <c r="CP3422" s="115"/>
      <c r="CQ3422" s="115"/>
      <c r="CR3422" s="115"/>
      <c r="CS3422" s="115"/>
      <c r="CT3422" s="115"/>
      <c r="CU3422" s="115"/>
      <c r="CV3422" s="115"/>
      <c r="CW3422" s="115"/>
      <c r="CX3422" s="115"/>
      <c r="CY3422" s="115"/>
      <c r="CZ3422" s="115"/>
      <c r="DA3422" s="115"/>
      <c r="DB3422" s="115"/>
      <c r="DC3422" s="115"/>
      <c r="DD3422" s="115"/>
      <c r="DE3422" s="115"/>
      <c r="DF3422" s="115"/>
      <c r="DG3422" s="115"/>
    </row>
    <row r="3423" spans="55:111" hidden="1">
      <c r="BC3423" s="115"/>
      <c r="BD3423" s="115"/>
      <c r="BE3423" s="115"/>
      <c r="BF3423" s="115"/>
      <c r="BG3423" s="115"/>
      <c r="BH3423" s="115"/>
      <c r="BI3423" s="115"/>
      <c r="BJ3423" s="115"/>
      <c r="BK3423" s="115"/>
      <c r="BL3423" s="115"/>
      <c r="BM3423" s="115"/>
      <c r="BN3423" s="115"/>
      <c r="BO3423" s="115"/>
      <c r="BP3423" s="115"/>
      <c r="BQ3423" s="115"/>
      <c r="BR3423" s="115"/>
      <c r="BS3423" s="115"/>
      <c r="BT3423" s="115"/>
      <c r="BU3423" s="115"/>
      <c r="BV3423" s="115"/>
      <c r="BW3423" s="115"/>
      <c r="BX3423" s="115"/>
      <c r="BY3423" s="115"/>
      <c r="BZ3423" s="115"/>
      <c r="CA3423" s="115"/>
      <c r="CB3423" s="115"/>
      <c r="CC3423" s="115"/>
      <c r="CD3423" s="115"/>
      <c r="CE3423" s="115"/>
      <c r="CF3423" s="115"/>
      <c r="CG3423" s="115"/>
      <c r="CH3423" s="115"/>
      <c r="CI3423" s="115"/>
      <c r="CJ3423" s="115"/>
      <c r="CK3423" s="115"/>
      <c r="CL3423" s="115"/>
      <c r="CM3423" s="115"/>
      <c r="CN3423" s="115"/>
      <c r="CO3423" s="115"/>
      <c r="CP3423" s="115"/>
      <c r="CQ3423" s="115"/>
      <c r="CR3423" s="115"/>
      <c r="CS3423" s="115"/>
      <c r="CT3423" s="115"/>
      <c r="CU3423" s="115"/>
      <c r="CV3423" s="115"/>
      <c r="CW3423" s="115"/>
      <c r="CX3423" s="115"/>
      <c r="CY3423" s="115"/>
      <c r="CZ3423" s="115"/>
      <c r="DA3423" s="115"/>
      <c r="DB3423" s="115"/>
      <c r="DC3423" s="115"/>
      <c r="DD3423" s="115"/>
      <c r="DE3423" s="115"/>
      <c r="DF3423" s="115"/>
      <c r="DG3423" s="115"/>
    </row>
    <row r="3424" spans="55:111" hidden="1">
      <c r="BC3424" s="115"/>
      <c r="BD3424" s="115"/>
      <c r="BE3424" s="115"/>
      <c r="BF3424" s="115"/>
      <c r="BG3424" s="115"/>
      <c r="BH3424" s="115"/>
      <c r="BI3424" s="115"/>
      <c r="BJ3424" s="115"/>
      <c r="BK3424" s="115"/>
      <c r="BL3424" s="115"/>
      <c r="BM3424" s="115"/>
      <c r="BN3424" s="115"/>
      <c r="BO3424" s="115"/>
      <c r="BP3424" s="115"/>
      <c r="BQ3424" s="115"/>
      <c r="BR3424" s="115"/>
      <c r="BS3424" s="115"/>
      <c r="BT3424" s="115"/>
      <c r="BU3424" s="115"/>
      <c r="BV3424" s="115"/>
      <c r="BW3424" s="115"/>
      <c r="BX3424" s="115"/>
      <c r="BY3424" s="115"/>
      <c r="BZ3424" s="115"/>
      <c r="CA3424" s="115"/>
      <c r="CB3424" s="115"/>
      <c r="CC3424" s="115"/>
      <c r="CD3424" s="115"/>
      <c r="CE3424" s="115"/>
      <c r="CF3424" s="115"/>
      <c r="CG3424" s="115"/>
      <c r="CH3424" s="115"/>
      <c r="CI3424" s="115"/>
      <c r="CJ3424" s="115"/>
      <c r="CK3424" s="115"/>
      <c r="CL3424" s="115"/>
      <c r="CM3424" s="115"/>
      <c r="CN3424" s="115"/>
      <c r="CO3424" s="115"/>
      <c r="CP3424" s="115"/>
      <c r="CQ3424" s="115"/>
      <c r="CR3424" s="115"/>
      <c r="CS3424" s="115"/>
      <c r="CT3424" s="115"/>
      <c r="CU3424" s="115"/>
      <c r="CV3424" s="115"/>
      <c r="CW3424" s="115"/>
      <c r="CX3424" s="115"/>
      <c r="CY3424" s="115"/>
      <c r="CZ3424" s="115"/>
      <c r="DA3424" s="115"/>
      <c r="DB3424" s="115"/>
      <c r="DC3424" s="115"/>
      <c r="DD3424" s="115"/>
      <c r="DE3424" s="115"/>
      <c r="DF3424" s="115"/>
      <c r="DG3424" s="115"/>
    </row>
    <row r="3425" spans="55:111" hidden="1">
      <c r="BC3425" s="115"/>
      <c r="BD3425" s="115"/>
      <c r="BE3425" s="115"/>
      <c r="BF3425" s="115"/>
      <c r="BG3425" s="115"/>
      <c r="BH3425" s="115"/>
      <c r="BI3425" s="115"/>
      <c r="BJ3425" s="115"/>
      <c r="BK3425" s="115"/>
      <c r="BL3425" s="115"/>
      <c r="BM3425" s="115"/>
      <c r="BN3425" s="115"/>
      <c r="BO3425" s="115"/>
      <c r="BP3425" s="115"/>
      <c r="BQ3425" s="115"/>
      <c r="BR3425" s="115"/>
      <c r="BS3425" s="115"/>
      <c r="BT3425" s="115"/>
      <c r="BU3425" s="115"/>
      <c r="BV3425" s="115"/>
      <c r="BW3425" s="115"/>
      <c r="BX3425" s="115"/>
      <c r="BY3425" s="115"/>
      <c r="BZ3425" s="115"/>
      <c r="CA3425" s="115"/>
      <c r="CB3425" s="115"/>
      <c r="CC3425" s="115"/>
      <c r="CD3425" s="115"/>
      <c r="CE3425" s="115"/>
      <c r="CF3425" s="115"/>
      <c r="CG3425" s="115"/>
      <c r="CH3425" s="115"/>
      <c r="CI3425" s="115"/>
      <c r="CJ3425" s="115"/>
      <c r="CK3425" s="115"/>
      <c r="CL3425" s="115"/>
      <c r="CM3425" s="115"/>
      <c r="CN3425" s="115"/>
      <c r="CO3425" s="115"/>
      <c r="CP3425" s="115"/>
      <c r="CQ3425" s="115"/>
      <c r="CR3425" s="115"/>
      <c r="CS3425" s="115"/>
      <c r="CT3425" s="115"/>
      <c r="CU3425" s="115"/>
      <c r="CV3425" s="115"/>
      <c r="CW3425" s="115"/>
      <c r="CX3425" s="115"/>
      <c r="CY3425" s="115"/>
      <c r="CZ3425" s="115"/>
      <c r="DA3425" s="115"/>
      <c r="DB3425" s="115"/>
      <c r="DC3425" s="115"/>
      <c r="DD3425" s="115"/>
      <c r="DE3425" s="115"/>
      <c r="DF3425" s="115"/>
      <c r="DG3425" s="115"/>
    </row>
    <row r="3426" spans="55:111" hidden="1">
      <c r="BC3426" s="115"/>
      <c r="BD3426" s="115"/>
      <c r="BE3426" s="115"/>
      <c r="BF3426" s="115"/>
      <c r="BG3426" s="115"/>
      <c r="BH3426" s="115"/>
      <c r="BI3426" s="115"/>
      <c r="BJ3426" s="115"/>
      <c r="BK3426" s="115"/>
      <c r="BL3426" s="115"/>
      <c r="BM3426" s="115"/>
      <c r="BN3426" s="115"/>
      <c r="BO3426" s="115"/>
      <c r="BP3426" s="115"/>
      <c r="BQ3426" s="115"/>
      <c r="BR3426" s="115"/>
      <c r="BS3426" s="115"/>
      <c r="BT3426" s="115"/>
      <c r="BU3426" s="115"/>
      <c r="BV3426" s="115"/>
      <c r="BW3426" s="115"/>
      <c r="BX3426" s="115"/>
      <c r="BY3426" s="115"/>
      <c r="BZ3426" s="115"/>
      <c r="CA3426" s="115"/>
      <c r="CB3426" s="115"/>
      <c r="CC3426" s="115"/>
      <c r="CD3426" s="115"/>
      <c r="CE3426" s="115"/>
      <c r="CF3426" s="115"/>
      <c r="CG3426" s="115"/>
      <c r="CH3426" s="115"/>
      <c r="CI3426" s="115"/>
      <c r="CJ3426" s="115"/>
      <c r="CK3426" s="115"/>
      <c r="CL3426" s="115"/>
      <c r="CM3426" s="115"/>
      <c r="CN3426" s="115"/>
      <c r="CO3426" s="115"/>
      <c r="CP3426" s="115"/>
      <c r="CQ3426" s="115"/>
      <c r="CR3426" s="115"/>
      <c r="CS3426" s="115"/>
      <c r="CT3426" s="115"/>
      <c r="CU3426" s="115"/>
      <c r="CV3426" s="115"/>
      <c r="CW3426" s="115"/>
      <c r="CX3426" s="115"/>
      <c r="CY3426" s="115"/>
      <c r="CZ3426" s="115"/>
      <c r="DA3426" s="115"/>
      <c r="DB3426" s="115"/>
      <c r="DC3426" s="115"/>
      <c r="DD3426" s="115"/>
      <c r="DE3426" s="115"/>
      <c r="DF3426" s="115"/>
      <c r="DG3426" s="115"/>
    </row>
    <row r="3427" spans="55:111" hidden="1">
      <c r="BC3427" s="115"/>
      <c r="BD3427" s="115"/>
      <c r="BE3427" s="115"/>
      <c r="BF3427" s="115"/>
      <c r="BG3427" s="115"/>
      <c r="BH3427" s="115"/>
      <c r="BI3427" s="115"/>
      <c r="BJ3427" s="115"/>
      <c r="BK3427" s="115"/>
      <c r="BL3427" s="115"/>
      <c r="BM3427" s="115"/>
      <c r="BN3427" s="115"/>
      <c r="BO3427" s="115"/>
      <c r="BP3427" s="115"/>
      <c r="BQ3427" s="115"/>
      <c r="BR3427" s="115"/>
      <c r="BS3427" s="115"/>
      <c r="BT3427" s="115"/>
      <c r="BU3427" s="115"/>
      <c r="BV3427" s="115"/>
      <c r="BW3427" s="115"/>
      <c r="BX3427" s="115"/>
      <c r="BY3427" s="115"/>
      <c r="BZ3427" s="115"/>
      <c r="CA3427" s="115"/>
      <c r="CB3427" s="115"/>
      <c r="CC3427" s="115"/>
      <c r="CD3427" s="115"/>
      <c r="CE3427" s="115"/>
      <c r="CF3427" s="115"/>
      <c r="CG3427" s="115"/>
      <c r="CH3427" s="115"/>
      <c r="CI3427" s="115"/>
      <c r="CJ3427" s="115"/>
      <c r="CK3427" s="115"/>
      <c r="CL3427" s="115"/>
      <c r="CM3427" s="115"/>
      <c r="CN3427" s="115"/>
      <c r="CO3427" s="115"/>
      <c r="CP3427" s="115"/>
      <c r="CQ3427" s="115"/>
      <c r="CR3427" s="115"/>
      <c r="CS3427" s="115"/>
      <c r="CT3427" s="115"/>
      <c r="CU3427" s="115"/>
      <c r="CV3427" s="115"/>
      <c r="CW3427" s="115"/>
      <c r="CX3427" s="115"/>
      <c r="CY3427" s="115"/>
      <c r="CZ3427" s="115"/>
      <c r="DA3427" s="115"/>
      <c r="DB3427" s="115"/>
      <c r="DC3427" s="115"/>
      <c r="DD3427" s="115"/>
      <c r="DE3427" s="115"/>
      <c r="DF3427" s="115"/>
      <c r="DG3427" s="115"/>
    </row>
    <row r="3428" spans="55:111" hidden="1">
      <c r="BC3428" s="115"/>
      <c r="BD3428" s="115"/>
      <c r="BE3428" s="115"/>
      <c r="BF3428" s="115"/>
      <c r="BG3428" s="115"/>
      <c r="BH3428" s="115"/>
      <c r="BI3428" s="115"/>
      <c r="BJ3428" s="115"/>
      <c r="BK3428" s="115"/>
      <c r="BL3428" s="115"/>
      <c r="BM3428" s="115"/>
      <c r="BN3428" s="115"/>
      <c r="BO3428" s="115"/>
      <c r="BP3428" s="115"/>
      <c r="BQ3428" s="115"/>
      <c r="BR3428" s="115"/>
      <c r="BS3428" s="115"/>
      <c r="BT3428" s="115"/>
      <c r="BU3428" s="115"/>
      <c r="BV3428" s="115"/>
      <c r="BW3428" s="115"/>
      <c r="BX3428" s="115"/>
      <c r="BY3428" s="115"/>
      <c r="BZ3428" s="115"/>
      <c r="CA3428" s="115"/>
      <c r="CB3428" s="115"/>
      <c r="CC3428" s="115"/>
      <c r="CD3428" s="115"/>
      <c r="CE3428" s="115"/>
      <c r="CF3428" s="115"/>
      <c r="CG3428" s="115"/>
      <c r="CH3428" s="115"/>
      <c r="CI3428" s="115"/>
      <c r="CJ3428" s="115"/>
      <c r="CK3428" s="115"/>
      <c r="CL3428" s="115"/>
      <c r="CM3428" s="115"/>
      <c r="CN3428" s="115"/>
      <c r="CO3428" s="115"/>
      <c r="CP3428" s="115"/>
      <c r="CQ3428" s="115"/>
      <c r="CR3428" s="115"/>
      <c r="CS3428" s="115"/>
      <c r="CT3428" s="115"/>
      <c r="CU3428" s="115"/>
      <c r="CV3428" s="115"/>
      <c r="CW3428" s="115"/>
      <c r="CX3428" s="115"/>
      <c r="CY3428" s="115"/>
      <c r="CZ3428" s="115"/>
      <c r="DA3428" s="115"/>
      <c r="DB3428" s="115"/>
      <c r="DC3428" s="115"/>
      <c r="DD3428" s="115"/>
      <c r="DE3428" s="115"/>
      <c r="DF3428" s="115"/>
      <c r="DG3428" s="115"/>
    </row>
    <row r="3429" spans="55:111" hidden="1">
      <c r="BC3429" s="115"/>
      <c r="BD3429" s="115"/>
      <c r="BE3429" s="115"/>
      <c r="BF3429" s="115"/>
      <c r="BG3429" s="115"/>
      <c r="BH3429" s="115"/>
      <c r="BI3429" s="115"/>
      <c r="BJ3429" s="115"/>
      <c r="BK3429" s="115"/>
      <c r="BL3429" s="115"/>
      <c r="BM3429" s="115"/>
      <c r="BN3429" s="115"/>
      <c r="BO3429" s="115"/>
      <c r="BP3429" s="115"/>
      <c r="BQ3429" s="115"/>
      <c r="BR3429" s="115"/>
      <c r="BS3429" s="115"/>
      <c r="BT3429" s="115"/>
      <c r="BU3429" s="115"/>
      <c r="BV3429" s="115"/>
      <c r="BW3429" s="115"/>
      <c r="BX3429" s="115"/>
      <c r="BY3429" s="115"/>
      <c r="BZ3429" s="115"/>
      <c r="CA3429" s="115"/>
      <c r="CB3429" s="115"/>
      <c r="CC3429" s="115"/>
      <c r="CD3429" s="115"/>
      <c r="CE3429" s="115"/>
      <c r="CF3429" s="115"/>
      <c r="CG3429" s="115"/>
      <c r="CH3429" s="115"/>
      <c r="CI3429" s="115"/>
      <c r="CJ3429" s="115"/>
      <c r="CK3429" s="115"/>
      <c r="CL3429" s="115"/>
      <c r="CM3429" s="115"/>
      <c r="CN3429" s="115"/>
      <c r="CO3429" s="115"/>
      <c r="CP3429" s="115"/>
      <c r="CQ3429" s="115"/>
      <c r="CR3429" s="115"/>
      <c r="CS3429" s="115"/>
      <c r="CT3429" s="115"/>
      <c r="CU3429" s="115"/>
      <c r="CV3429" s="115"/>
      <c r="CW3429" s="115"/>
      <c r="CX3429" s="115"/>
      <c r="CY3429" s="115"/>
      <c r="CZ3429" s="115"/>
      <c r="DA3429" s="115"/>
      <c r="DB3429" s="115"/>
      <c r="DC3429" s="115"/>
      <c r="DD3429" s="115"/>
      <c r="DE3429" s="115"/>
      <c r="DF3429" s="115"/>
      <c r="DG3429" s="115"/>
    </row>
    <row r="3430" spans="55:111" hidden="1">
      <c r="BC3430" s="115"/>
      <c r="BD3430" s="115"/>
      <c r="BE3430" s="115"/>
      <c r="BF3430" s="115"/>
      <c r="BG3430" s="115"/>
      <c r="BH3430" s="115"/>
      <c r="BI3430" s="115"/>
      <c r="BJ3430" s="115"/>
      <c r="BK3430" s="115"/>
      <c r="BL3430" s="115"/>
      <c r="BM3430" s="115"/>
      <c r="BN3430" s="115"/>
      <c r="BO3430" s="115"/>
      <c r="BP3430" s="115"/>
      <c r="BQ3430" s="115"/>
      <c r="BR3430" s="115"/>
      <c r="BS3430" s="115"/>
      <c r="BT3430" s="115"/>
      <c r="BU3430" s="115"/>
      <c r="BV3430" s="115"/>
      <c r="BW3430" s="115"/>
      <c r="BX3430" s="115"/>
      <c r="BY3430" s="115"/>
      <c r="BZ3430" s="115"/>
      <c r="CA3430" s="115"/>
      <c r="CB3430" s="115"/>
      <c r="CC3430" s="115"/>
      <c r="CD3430" s="115"/>
      <c r="CE3430" s="115"/>
      <c r="CF3430" s="115"/>
      <c r="CG3430" s="115"/>
      <c r="CH3430" s="115"/>
      <c r="CI3430" s="115"/>
      <c r="CJ3430" s="115"/>
      <c r="CK3430" s="115"/>
      <c r="CL3430" s="115"/>
      <c r="CM3430" s="115"/>
      <c r="CN3430" s="115"/>
      <c r="CO3430" s="115"/>
      <c r="CP3430" s="115"/>
      <c r="CQ3430" s="115"/>
      <c r="CR3430" s="115"/>
      <c r="CS3430" s="115"/>
      <c r="CT3430" s="115"/>
      <c r="CU3430" s="115"/>
      <c r="CV3430" s="115"/>
      <c r="CW3430" s="115"/>
      <c r="CX3430" s="115"/>
      <c r="CY3430" s="115"/>
      <c r="CZ3430" s="115"/>
      <c r="DA3430" s="115"/>
      <c r="DB3430" s="115"/>
      <c r="DC3430" s="115"/>
      <c r="DD3430" s="115"/>
      <c r="DE3430" s="115"/>
      <c r="DF3430" s="115"/>
      <c r="DG3430" s="115"/>
    </row>
    <row r="3431" spans="55:111" hidden="1">
      <c r="BC3431" s="115"/>
      <c r="BD3431" s="115"/>
      <c r="BE3431" s="115"/>
      <c r="BF3431" s="115"/>
      <c r="BG3431" s="115"/>
      <c r="BH3431" s="115"/>
      <c r="BI3431" s="115"/>
      <c r="BJ3431" s="115"/>
      <c r="BK3431" s="115"/>
      <c r="BL3431" s="115"/>
      <c r="BM3431" s="115"/>
      <c r="BN3431" s="115"/>
      <c r="BO3431" s="115"/>
      <c r="BP3431" s="115"/>
      <c r="BQ3431" s="115"/>
      <c r="BR3431" s="115"/>
      <c r="BS3431" s="115"/>
      <c r="BT3431" s="115"/>
      <c r="BU3431" s="115"/>
      <c r="BV3431" s="115"/>
      <c r="BW3431" s="115"/>
      <c r="BX3431" s="115"/>
      <c r="BY3431" s="115"/>
      <c r="BZ3431" s="115"/>
      <c r="CA3431" s="115"/>
      <c r="CB3431" s="115"/>
      <c r="CC3431" s="115"/>
      <c r="CD3431" s="115"/>
      <c r="CE3431" s="115"/>
      <c r="CF3431" s="115"/>
      <c r="CG3431" s="115"/>
      <c r="CH3431" s="115"/>
      <c r="CI3431" s="115"/>
      <c r="CJ3431" s="115"/>
      <c r="CK3431" s="115"/>
      <c r="CL3431" s="115"/>
      <c r="CM3431" s="115"/>
      <c r="CN3431" s="115"/>
      <c r="CO3431" s="115"/>
      <c r="CP3431" s="115"/>
      <c r="CQ3431" s="115"/>
      <c r="CR3431" s="115"/>
      <c r="CS3431" s="115"/>
      <c r="CT3431" s="115"/>
      <c r="CU3431" s="115"/>
      <c r="CV3431" s="115"/>
      <c r="CW3431" s="115"/>
      <c r="CX3431" s="115"/>
      <c r="CY3431" s="115"/>
      <c r="CZ3431" s="115"/>
      <c r="DA3431" s="115"/>
      <c r="DB3431" s="115"/>
      <c r="DC3431" s="115"/>
      <c r="DD3431" s="115"/>
      <c r="DE3431" s="115"/>
      <c r="DF3431" s="115"/>
      <c r="DG3431" s="115"/>
    </row>
    <row r="3432" spans="55:111" hidden="1">
      <c r="BC3432" s="115"/>
      <c r="BD3432" s="115"/>
      <c r="BE3432" s="115"/>
      <c r="BF3432" s="115"/>
      <c r="BG3432" s="115"/>
      <c r="BH3432" s="115"/>
      <c r="BI3432" s="115"/>
      <c r="BJ3432" s="115"/>
      <c r="BK3432" s="115"/>
      <c r="BL3432" s="115"/>
      <c r="BM3432" s="115"/>
      <c r="BN3432" s="115"/>
      <c r="BO3432" s="115"/>
      <c r="BP3432" s="115"/>
      <c r="BQ3432" s="115"/>
      <c r="BR3432" s="115"/>
      <c r="BS3432" s="115"/>
      <c r="BT3432" s="115"/>
      <c r="BU3432" s="115"/>
      <c r="BV3432" s="115"/>
      <c r="BW3432" s="115"/>
      <c r="BX3432" s="115"/>
      <c r="BY3432" s="115"/>
      <c r="BZ3432" s="115"/>
      <c r="CA3432" s="115"/>
      <c r="CB3432" s="115"/>
      <c r="CC3432" s="115"/>
      <c r="CD3432" s="115"/>
      <c r="CE3432" s="115"/>
      <c r="CF3432" s="115"/>
      <c r="CG3432" s="115"/>
      <c r="CH3432" s="115"/>
      <c r="CI3432" s="115"/>
      <c r="CJ3432" s="115"/>
      <c r="CK3432" s="115"/>
      <c r="CL3432" s="115"/>
      <c r="CM3432" s="115"/>
      <c r="CN3432" s="115"/>
      <c r="CO3432" s="115"/>
      <c r="CP3432" s="115"/>
      <c r="CQ3432" s="115"/>
      <c r="CR3432" s="115"/>
      <c r="CS3432" s="115"/>
      <c r="CT3432" s="115"/>
      <c r="CU3432" s="115"/>
      <c r="CV3432" s="115"/>
      <c r="CW3432" s="115"/>
      <c r="CX3432" s="115"/>
      <c r="CY3432" s="115"/>
      <c r="CZ3432" s="115"/>
      <c r="DA3432" s="115"/>
      <c r="DB3432" s="115"/>
      <c r="DC3432" s="115"/>
      <c r="DD3432" s="115"/>
      <c r="DE3432" s="115"/>
      <c r="DF3432" s="115"/>
      <c r="DG3432" s="115"/>
    </row>
    <row r="3433" spans="55:111" hidden="1">
      <c r="BC3433" s="115"/>
      <c r="BD3433" s="115"/>
      <c r="BE3433" s="115"/>
      <c r="BF3433" s="115"/>
      <c r="BG3433" s="115"/>
      <c r="BH3433" s="115"/>
      <c r="BI3433" s="115"/>
      <c r="BJ3433" s="115"/>
      <c r="BK3433" s="115"/>
      <c r="BL3433" s="115"/>
      <c r="BM3433" s="115"/>
      <c r="BN3433" s="115"/>
      <c r="BO3433" s="115"/>
      <c r="BP3433" s="115"/>
      <c r="BQ3433" s="115"/>
      <c r="BR3433" s="115"/>
      <c r="BS3433" s="115"/>
      <c r="BT3433" s="115"/>
      <c r="BU3433" s="115"/>
      <c r="BV3433" s="115"/>
      <c r="BW3433" s="115"/>
      <c r="BX3433" s="115"/>
      <c r="BY3433" s="115"/>
      <c r="BZ3433" s="115"/>
      <c r="CA3433" s="115"/>
      <c r="CB3433" s="115"/>
      <c r="CC3433" s="115"/>
      <c r="CD3433" s="115"/>
      <c r="CE3433" s="115"/>
      <c r="CF3433" s="115"/>
      <c r="CG3433" s="115"/>
      <c r="CH3433" s="115"/>
      <c r="CI3433" s="115"/>
      <c r="CJ3433" s="115"/>
      <c r="CK3433" s="115"/>
      <c r="CL3433" s="115"/>
      <c r="CM3433" s="115"/>
      <c r="CN3433" s="115"/>
      <c r="CO3433" s="115"/>
      <c r="CP3433" s="115"/>
      <c r="CQ3433" s="115"/>
      <c r="CR3433" s="115"/>
      <c r="CS3433" s="115"/>
      <c r="CT3433" s="115"/>
      <c r="CU3433" s="115"/>
      <c r="CV3433" s="115"/>
      <c r="CW3433" s="115"/>
      <c r="CX3433" s="115"/>
      <c r="CY3433" s="115"/>
      <c r="CZ3433" s="115"/>
      <c r="DA3433" s="115"/>
      <c r="DB3433" s="115"/>
      <c r="DC3433" s="115"/>
      <c r="DD3433" s="115"/>
      <c r="DE3433" s="115"/>
      <c r="DF3433" s="115"/>
      <c r="DG3433" s="115"/>
    </row>
    <row r="3434" spans="55:111" hidden="1">
      <c r="BC3434" s="115"/>
      <c r="BD3434" s="115"/>
      <c r="BE3434" s="115"/>
      <c r="BF3434" s="115"/>
      <c r="BG3434" s="115"/>
      <c r="BH3434" s="115"/>
      <c r="BI3434" s="115"/>
      <c r="BJ3434" s="115"/>
      <c r="BK3434" s="115"/>
      <c r="BL3434" s="115"/>
      <c r="BM3434" s="115"/>
      <c r="BN3434" s="115"/>
      <c r="BO3434" s="115"/>
      <c r="BP3434" s="115"/>
      <c r="BQ3434" s="115"/>
      <c r="BR3434" s="115"/>
      <c r="BS3434" s="115"/>
      <c r="BT3434" s="115"/>
      <c r="BU3434" s="115"/>
      <c r="BV3434" s="115"/>
      <c r="BW3434" s="115"/>
      <c r="BX3434" s="115"/>
      <c r="BY3434" s="115"/>
      <c r="BZ3434" s="115"/>
      <c r="CA3434" s="115"/>
      <c r="CB3434" s="115"/>
      <c r="CC3434" s="115"/>
      <c r="CD3434" s="115"/>
      <c r="CE3434" s="115"/>
      <c r="CF3434" s="115"/>
      <c r="CG3434" s="115"/>
      <c r="CH3434" s="115"/>
      <c r="CI3434" s="115"/>
      <c r="CJ3434" s="115"/>
      <c r="CK3434" s="115"/>
      <c r="CL3434" s="115"/>
      <c r="CM3434" s="115"/>
      <c r="CN3434" s="115"/>
      <c r="CO3434" s="115"/>
      <c r="CP3434" s="115"/>
      <c r="CQ3434" s="115"/>
      <c r="CR3434" s="115"/>
      <c r="CS3434" s="115"/>
      <c r="CT3434" s="115"/>
      <c r="CU3434" s="115"/>
      <c r="CV3434" s="115"/>
      <c r="CW3434" s="115"/>
      <c r="CX3434" s="115"/>
      <c r="CY3434" s="115"/>
      <c r="CZ3434" s="115"/>
      <c r="DA3434" s="115"/>
      <c r="DB3434" s="115"/>
      <c r="DC3434" s="115"/>
      <c r="DD3434" s="115"/>
      <c r="DE3434" s="115"/>
      <c r="DF3434" s="115"/>
      <c r="DG3434" s="115"/>
    </row>
    <row r="3435" spans="55:111" hidden="1">
      <c r="BC3435" s="115"/>
      <c r="BD3435" s="115"/>
      <c r="BE3435" s="115"/>
      <c r="BF3435" s="115"/>
      <c r="BG3435" s="115"/>
      <c r="BH3435" s="115"/>
      <c r="BI3435" s="115"/>
      <c r="BJ3435" s="115"/>
      <c r="BK3435" s="115"/>
      <c r="BL3435" s="115"/>
      <c r="BM3435" s="115"/>
      <c r="BN3435" s="115"/>
      <c r="BO3435" s="115"/>
      <c r="BP3435" s="115"/>
      <c r="BQ3435" s="115"/>
      <c r="BR3435" s="115"/>
      <c r="BS3435" s="115"/>
      <c r="BT3435" s="115"/>
      <c r="BU3435" s="115"/>
      <c r="BV3435" s="115"/>
      <c r="BW3435" s="115"/>
      <c r="BX3435" s="115"/>
      <c r="BY3435" s="115"/>
      <c r="BZ3435" s="115"/>
      <c r="CA3435" s="115"/>
      <c r="CB3435" s="115"/>
      <c r="CC3435" s="115"/>
      <c r="CD3435" s="115"/>
      <c r="CE3435" s="115"/>
      <c r="CF3435" s="115"/>
      <c r="CG3435" s="115"/>
      <c r="CH3435" s="115"/>
      <c r="CI3435" s="115"/>
      <c r="CJ3435" s="115"/>
      <c r="CK3435" s="115"/>
      <c r="CL3435" s="115"/>
      <c r="CM3435" s="115"/>
      <c r="CN3435" s="115"/>
      <c r="CO3435" s="115"/>
      <c r="CP3435" s="115"/>
      <c r="CQ3435" s="115"/>
      <c r="CR3435" s="115"/>
      <c r="CS3435" s="115"/>
      <c r="CT3435" s="115"/>
      <c r="CU3435" s="115"/>
      <c r="CV3435" s="115"/>
      <c r="CW3435" s="115"/>
      <c r="CX3435" s="115"/>
      <c r="CY3435" s="115"/>
      <c r="CZ3435" s="115"/>
      <c r="DA3435" s="115"/>
      <c r="DB3435" s="115"/>
      <c r="DC3435" s="115"/>
      <c r="DD3435" s="115"/>
      <c r="DE3435" s="115"/>
      <c r="DF3435" s="115"/>
      <c r="DG3435" s="115"/>
    </row>
    <row r="3436" spans="55:111" hidden="1">
      <c r="BC3436" s="115"/>
      <c r="BD3436" s="115"/>
      <c r="BE3436" s="115"/>
      <c r="BF3436" s="115"/>
      <c r="BG3436" s="115"/>
      <c r="BH3436" s="115"/>
      <c r="BI3436" s="115"/>
      <c r="BJ3436" s="115"/>
      <c r="BK3436" s="115"/>
      <c r="BL3436" s="115"/>
      <c r="BM3436" s="115"/>
      <c r="BN3436" s="115"/>
      <c r="BO3436" s="115"/>
      <c r="BP3436" s="115"/>
      <c r="BQ3436" s="115"/>
      <c r="BR3436" s="115"/>
      <c r="BS3436" s="115"/>
      <c r="BT3436" s="115"/>
      <c r="BU3436" s="115"/>
      <c r="BV3436" s="115"/>
      <c r="BW3436" s="115"/>
      <c r="BX3436" s="115"/>
      <c r="BY3436" s="115"/>
      <c r="BZ3436" s="115"/>
      <c r="CA3436" s="115"/>
      <c r="CB3436" s="115"/>
      <c r="CC3436" s="115"/>
      <c r="CD3436" s="115"/>
      <c r="CE3436" s="115"/>
      <c r="CF3436" s="115"/>
      <c r="CG3436" s="115"/>
      <c r="CH3436" s="115"/>
      <c r="CI3436" s="115"/>
      <c r="CJ3436" s="115"/>
      <c r="CK3436" s="115"/>
      <c r="CL3436" s="115"/>
      <c r="CM3436" s="115"/>
      <c r="CN3436" s="115"/>
      <c r="CO3436" s="115"/>
      <c r="CP3436" s="115"/>
      <c r="CQ3436" s="115"/>
      <c r="CR3436" s="115"/>
      <c r="CS3436" s="115"/>
      <c r="CT3436" s="115"/>
      <c r="CU3436" s="115"/>
      <c r="CV3436" s="115"/>
      <c r="CW3436" s="115"/>
      <c r="CX3436" s="115"/>
      <c r="CY3436" s="115"/>
      <c r="CZ3436" s="115"/>
      <c r="DA3436" s="115"/>
      <c r="DB3436" s="115"/>
      <c r="DC3436" s="115"/>
      <c r="DD3436" s="115"/>
      <c r="DE3436" s="115"/>
      <c r="DF3436" s="115"/>
      <c r="DG3436" s="115"/>
    </row>
    <row r="3437" spans="55:111" hidden="1">
      <c r="BC3437" s="115"/>
      <c r="BD3437" s="115"/>
      <c r="BE3437" s="115"/>
      <c r="BF3437" s="115"/>
      <c r="BG3437" s="115"/>
      <c r="BH3437" s="115"/>
      <c r="BI3437" s="115"/>
      <c r="BJ3437" s="115"/>
      <c r="BK3437" s="115"/>
      <c r="BL3437" s="115"/>
      <c r="BM3437" s="115"/>
      <c r="BN3437" s="115"/>
      <c r="BO3437" s="115"/>
      <c r="BP3437" s="115"/>
      <c r="BQ3437" s="115"/>
      <c r="BR3437" s="115"/>
      <c r="BS3437" s="115"/>
      <c r="BT3437" s="115"/>
      <c r="BU3437" s="115"/>
      <c r="BV3437" s="115"/>
      <c r="BW3437" s="115"/>
      <c r="BX3437" s="115"/>
      <c r="BY3437" s="115"/>
      <c r="BZ3437" s="115"/>
      <c r="CA3437" s="115"/>
      <c r="CB3437" s="115"/>
      <c r="CC3437" s="115"/>
      <c r="CD3437" s="115"/>
      <c r="CE3437" s="115"/>
      <c r="CF3437" s="115"/>
      <c r="CG3437" s="115"/>
      <c r="CH3437" s="115"/>
      <c r="CI3437" s="115"/>
      <c r="CJ3437" s="115"/>
      <c r="CK3437" s="115"/>
      <c r="CL3437" s="115"/>
      <c r="CM3437" s="115"/>
      <c r="CN3437" s="115"/>
      <c r="CO3437" s="115"/>
      <c r="CP3437" s="115"/>
      <c r="CQ3437" s="115"/>
      <c r="CR3437" s="115"/>
      <c r="CS3437" s="115"/>
      <c r="CT3437" s="115"/>
      <c r="CU3437" s="115"/>
      <c r="CV3437" s="115"/>
      <c r="CW3437" s="115"/>
      <c r="CX3437" s="115"/>
      <c r="CY3437" s="115"/>
      <c r="CZ3437" s="115"/>
      <c r="DA3437" s="115"/>
      <c r="DB3437" s="115"/>
      <c r="DC3437" s="115"/>
      <c r="DD3437" s="115"/>
      <c r="DE3437" s="115"/>
      <c r="DF3437" s="115"/>
      <c r="DG3437" s="115"/>
    </row>
    <row r="3438" spans="55:111" hidden="1">
      <c r="BC3438" s="115"/>
      <c r="BD3438" s="115"/>
      <c r="BE3438" s="115"/>
      <c r="BF3438" s="115"/>
      <c r="BG3438" s="115"/>
      <c r="BH3438" s="115"/>
      <c r="BI3438" s="115"/>
      <c r="BJ3438" s="115"/>
      <c r="BK3438" s="115"/>
      <c r="BL3438" s="115"/>
      <c r="BM3438" s="115"/>
      <c r="BN3438" s="115"/>
      <c r="BO3438" s="115"/>
      <c r="BP3438" s="115"/>
      <c r="BQ3438" s="115"/>
      <c r="BR3438" s="115"/>
      <c r="BS3438" s="115"/>
      <c r="BT3438" s="115"/>
      <c r="BU3438" s="115"/>
      <c r="BV3438" s="115"/>
      <c r="BW3438" s="115"/>
      <c r="BX3438" s="115"/>
      <c r="BY3438" s="115"/>
      <c r="BZ3438" s="115"/>
      <c r="CA3438" s="115"/>
      <c r="CB3438" s="115"/>
      <c r="CC3438" s="115"/>
      <c r="CD3438" s="115"/>
      <c r="CE3438" s="115"/>
      <c r="CF3438" s="115"/>
      <c r="CG3438" s="115"/>
      <c r="CH3438" s="115"/>
      <c r="CI3438" s="115"/>
      <c r="CJ3438" s="115"/>
      <c r="CK3438" s="115"/>
      <c r="CL3438" s="115"/>
      <c r="CM3438" s="115"/>
      <c r="CN3438" s="115"/>
      <c r="CO3438" s="115"/>
      <c r="CP3438" s="115"/>
      <c r="CQ3438" s="115"/>
      <c r="CR3438" s="115"/>
      <c r="CS3438" s="115"/>
      <c r="CT3438" s="115"/>
      <c r="CU3438" s="115"/>
      <c r="CV3438" s="115"/>
      <c r="CW3438" s="115"/>
      <c r="CX3438" s="115"/>
      <c r="CY3438" s="115"/>
      <c r="CZ3438" s="115"/>
      <c r="DA3438" s="115"/>
      <c r="DB3438" s="115"/>
      <c r="DC3438" s="115"/>
      <c r="DD3438" s="115"/>
      <c r="DE3438" s="115"/>
      <c r="DF3438" s="115"/>
      <c r="DG3438" s="115"/>
    </row>
    <row r="3439" spans="55:111" hidden="1">
      <c r="BC3439" s="115"/>
      <c r="BD3439" s="115"/>
      <c r="BE3439" s="115"/>
      <c r="BF3439" s="115"/>
      <c r="BG3439" s="115"/>
      <c r="BH3439" s="115"/>
      <c r="BI3439" s="115"/>
      <c r="BJ3439" s="115"/>
      <c r="BK3439" s="115"/>
      <c r="BL3439" s="115"/>
      <c r="BM3439" s="115"/>
      <c r="BN3439" s="115"/>
      <c r="BO3439" s="115"/>
      <c r="BP3439" s="115"/>
      <c r="BQ3439" s="115"/>
      <c r="BR3439" s="115"/>
      <c r="BS3439" s="115"/>
      <c r="BT3439" s="115"/>
      <c r="BU3439" s="115"/>
      <c r="BV3439" s="115"/>
      <c r="BW3439" s="115"/>
      <c r="BX3439" s="115"/>
      <c r="BY3439" s="115"/>
      <c r="BZ3439" s="115"/>
      <c r="CA3439" s="115"/>
      <c r="CB3439" s="115"/>
      <c r="CC3439" s="115"/>
      <c r="CD3439" s="115"/>
      <c r="CE3439" s="115"/>
      <c r="CF3439" s="115"/>
      <c r="CG3439" s="115"/>
      <c r="CH3439" s="115"/>
      <c r="CI3439" s="115"/>
      <c r="CJ3439" s="115"/>
      <c r="CK3439" s="115"/>
      <c r="CL3439" s="115"/>
      <c r="CM3439" s="115"/>
      <c r="CN3439" s="115"/>
      <c r="CO3439" s="115"/>
      <c r="CP3439" s="115"/>
      <c r="CQ3439" s="115"/>
      <c r="CR3439" s="115"/>
      <c r="CS3439" s="115"/>
      <c r="CT3439" s="115"/>
      <c r="CU3439" s="115"/>
      <c r="CV3439" s="115"/>
      <c r="CW3439" s="115"/>
      <c r="CX3439" s="115"/>
      <c r="CY3439" s="115"/>
      <c r="CZ3439" s="115"/>
      <c r="DA3439" s="115"/>
      <c r="DB3439" s="115"/>
      <c r="DC3439" s="115"/>
      <c r="DD3439" s="115"/>
      <c r="DE3439" s="115"/>
      <c r="DF3439" s="115"/>
      <c r="DG3439" s="115"/>
    </row>
    <row r="3440" spans="55:111" hidden="1">
      <c r="BC3440" s="115"/>
      <c r="BD3440" s="115"/>
      <c r="BE3440" s="115"/>
      <c r="BF3440" s="115"/>
      <c r="BG3440" s="115"/>
      <c r="BH3440" s="115"/>
      <c r="BI3440" s="115"/>
      <c r="BJ3440" s="115"/>
      <c r="BK3440" s="115"/>
      <c r="BL3440" s="115"/>
      <c r="BM3440" s="115"/>
      <c r="BN3440" s="115"/>
      <c r="BO3440" s="115"/>
      <c r="BP3440" s="115"/>
      <c r="BQ3440" s="115"/>
      <c r="BR3440" s="115"/>
      <c r="BS3440" s="115"/>
      <c r="BT3440" s="115"/>
      <c r="BU3440" s="115"/>
      <c r="BV3440" s="115"/>
      <c r="BW3440" s="115"/>
      <c r="BX3440" s="115"/>
      <c r="BY3440" s="115"/>
      <c r="BZ3440" s="115"/>
      <c r="CA3440" s="115"/>
      <c r="CB3440" s="115"/>
      <c r="CC3440" s="115"/>
      <c r="CD3440" s="115"/>
      <c r="CE3440" s="115"/>
      <c r="CF3440" s="115"/>
      <c r="CG3440" s="115"/>
      <c r="CH3440" s="115"/>
      <c r="CI3440" s="115"/>
      <c r="CJ3440" s="115"/>
      <c r="CK3440" s="115"/>
      <c r="CL3440" s="115"/>
      <c r="CM3440" s="115"/>
      <c r="CN3440" s="115"/>
      <c r="CO3440" s="115"/>
      <c r="CP3440" s="115"/>
      <c r="CQ3440" s="115"/>
      <c r="CR3440" s="115"/>
      <c r="CS3440" s="115"/>
      <c r="CT3440" s="115"/>
      <c r="CU3440" s="115"/>
      <c r="CV3440" s="115"/>
      <c r="CW3440" s="115"/>
      <c r="CX3440" s="115"/>
      <c r="CY3440" s="115"/>
      <c r="CZ3440" s="115"/>
      <c r="DA3440" s="115"/>
      <c r="DB3440" s="115"/>
      <c r="DC3440" s="115"/>
      <c r="DD3440" s="115"/>
      <c r="DE3440" s="115"/>
      <c r="DF3440" s="115"/>
      <c r="DG3440" s="115"/>
    </row>
    <row r="3441" spans="55:111" hidden="1">
      <c r="BC3441" s="115"/>
      <c r="BD3441" s="115"/>
      <c r="BE3441" s="115"/>
      <c r="BF3441" s="115"/>
      <c r="BG3441" s="115"/>
      <c r="BH3441" s="115"/>
      <c r="BI3441" s="115"/>
      <c r="BJ3441" s="115"/>
      <c r="BK3441" s="115"/>
      <c r="BL3441" s="115"/>
      <c r="BM3441" s="115"/>
      <c r="BN3441" s="115"/>
      <c r="BO3441" s="115"/>
      <c r="BP3441" s="115"/>
      <c r="BQ3441" s="115"/>
      <c r="BR3441" s="115"/>
      <c r="BS3441" s="115"/>
      <c r="BT3441" s="115"/>
      <c r="BU3441" s="115"/>
      <c r="BV3441" s="115"/>
      <c r="BW3441" s="115"/>
      <c r="BX3441" s="115"/>
      <c r="BY3441" s="115"/>
      <c r="BZ3441" s="115"/>
      <c r="CA3441" s="115"/>
      <c r="CB3441" s="115"/>
      <c r="CC3441" s="115"/>
      <c r="CD3441" s="115"/>
      <c r="CE3441" s="115"/>
      <c r="CF3441" s="115"/>
      <c r="CG3441" s="115"/>
      <c r="CH3441" s="115"/>
      <c r="CI3441" s="115"/>
      <c r="CJ3441" s="115"/>
      <c r="CK3441" s="115"/>
      <c r="CL3441" s="115"/>
      <c r="CM3441" s="115"/>
      <c r="CN3441" s="115"/>
      <c r="CO3441" s="115"/>
      <c r="CP3441" s="115"/>
      <c r="CQ3441" s="115"/>
      <c r="CR3441" s="115"/>
      <c r="CS3441" s="115"/>
      <c r="CT3441" s="115"/>
      <c r="CU3441" s="115"/>
      <c r="CV3441" s="115"/>
      <c r="CW3441" s="115"/>
      <c r="CX3441" s="115"/>
      <c r="CY3441" s="115"/>
      <c r="CZ3441" s="115"/>
      <c r="DA3441" s="115"/>
      <c r="DB3441" s="115"/>
      <c r="DC3441" s="115"/>
      <c r="DD3441" s="115"/>
      <c r="DE3441" s="115"/>
      <c r="DF3441" s="115"/>
      <c r="DG3441" s="115"/>
    </row>
    <row r="3442" spans="55:111" hidden="1">
      <c r="BC3442" s="115"/>
      <c r="BD3442" s="115"/>
      <c r="BE3442" s="115"/>
      <c r="BF3442" s="115"/>
      <c r="BG3442" s="115"/>
      <c r="BH3442" s="115"/>
      <c r="BI3442" s="115"/>
      <c r="BJ3442" s="115"/>
      <c r="BK3442" s="115"/>
      <c r="BL3442" s="115"/>
      <c r="BM3442" s="115"/>
      <c r="BN3442" s="115"/>
      <c r="BO3442" s="115"/>
      <c r="BP3442" s="115"/>
      <c r="BQ3442" s="115"/>
      <c r="BR3442" s="115"/>
      <c r="BS3442" s="115"/>
      <c r="BT3442" s="115"/>
      <c r="BU3442" s="115"/>
      <c r="BV3442" s="115"/>
      <c r="BW3442" s="115"/>
      <c r="BX3442" s="115"/>
      <c r="BY3442" s="115"/>
      <c r="BZ3442" s="115"/>
      <c r="CA3442" s="115"/>
      <c r="CB3442" s="115"/>
      <c r="CC3442" s="115"/>
      <c r="CD3442" s="115"/>
      <c r="CE3442" s="115"/>
      <c r="CF3442" s="115"/>
      <c r="CG3442" s="115"/>
      <c r="CH3442" s="115"/>
      <c r="CI3442" s="115"/>
      <c r="CJ3442" s="115"/>
      <c r="CK3442" s="115"/>
      <c r="CL3442" s="115"/>
      <c r="CM3442" s="115"/>
      <c r="CN3442" s="115"/>
      <c r="CO3442" s="115"/>
      <c r="CP3442" s="115"/>
      <c r="CQ3442" s="115"/>
      <c r="CR3442" s="115"/>
      <c r="CS3442" s="115"/>
      <c r="CT3442" s="115"/>
      <c r="CU3442" s="115"/>
      <c r="CV3442" s="115"/>
      <c r="CW3442" s="115"/>
      <c r="CX3442" s="115"/>
      <c r="CY3442" s="115"/>
      <c r="CZ3442" s="115"/>
      <c r="DA3442" s="115"/>
      <c r="DB3442" s="115"/>
      <c r="DC3442" s="115"/>
      <c r="DD3442" s="115"/>
      <c r="DE3442" s="115"/>
      <c r="DF3442" s="115"/>
      <c r="DG3442" s="115"/>
    </row>
    <row r="3443" spans="55:111" hidden="1">
      <c r="BC3443" s="115"/>
      <c r="BD3443" s="115"/>
      <c r="BE3443" s="115"/>
      <c r="BF3443" s="115"/>
      <c r="BG3443" s="115"/>
      <c r="BH3443" s="115"/>
      <c r="BI3443" s="115"/>
      <c r="BJ3443" s="115"/>
      <c r="BK3443" s="115"/>
      <c r="BL3443" s="115"/>
      <c r="BM3443" s="115"/>
      <c r="BN3443" s="115"/>
      <c r="BO3443" s="115"/>
      <c r="BP3443" s="115"/>
      <c r="BQ3443" s="115"/>
      <c r="BR3443" s="115"/>
      <c r="BS3443" s="115"/>
      <c r="BT3443" s="115"/>
      <c r="BU3443" s="115"/>
      <c r="BV3443" s="115"/>
      <c r="BW3443" s="115"/>
      <c r="BX3443" s="115"/>
      <c r="BY3443" s="115"/>
      <c r="BZ3443" s="115"/>
      <c r="CA3443" s="115"/>
      <c r="CB3443" s="115"/>
      <c r="CC3443" s="115"/>
      <c r="CD3443" s="115"/>
      <c r="CE3443" s="115"/>
      <c r="CF3443" s="115"/>
      <c r="CG3443" s="115"/>
      <c r="CH3443" s="115"/>
      <c r="CI3443" s="115"/>
      <c r="CJ3443" s="115"/>
      <c r="CK3443" s="115"/>
      <c r="CL3443" s="115"/>
      <c r="CM3443" s="115"/>
      <c r="CN3443" s="115"/>
      <c r="CO3443" s="115"/>
      <c r="CP3443" s="115"/>
      <c r="CQ3443" s="115"/>
      <c r="CR3443" s="115"/>
      <c r="CS3443" s="115"/>
      <c r="CT3443" s="115"/>
      <c r="CU3443" s="115"/>
      <c r="CV3443" s="115"/>
      <c r="CW3443" s="115"/>
      <c r="CX3443" s="115"/>
      <c r="CY3443" s="115"/>
      <c r="CZ3443" s="115"/>
      <c r="DA3443" s="115"/>
      <c r="DB3443" s="115"/>
      <c r="DC3443" s="115"/>
      <c r="DD3443" s="115"/>
      <c r="DE3443" s="115"/>
      <c r="DF3443" s="115"/>
      <c r="DG3443" s="115"/>
    </row>
    <row r="3444" spans="55:111" hidden="1">
      <c r="BC3444" s="115"/>
      <c r="BD3444" s="115"/>
      <c r="BE3444" s="115"/>
      <c r="BF3444" s="115"/>
      <c r="BG3444" s="115"/>
      <c r="BH3444" s="115"/>
      <c r="BI3444" s="115"/>
      <c r="BJ3444" s="115"/>
      <c r="BK3444" s="115"/>
      <c r="BL3444" s="115"/>
      <c r="BM3444" s="115"/>
      <c r="BN3444" s="115"/>
      <c r="BO3444" s="115"/>
      <c r="BP3444" s="115"/>
      <c r="BQ3444" s="115"/>
      <c r="BR3444" s="115"/>
      <c r="BS3444" s="115"/>
      <c r="BT3444" s="115"/>
      <c r="BU3444" s="115"/>
      <c r="BV3444" s="115"/>
      <c r="BW3444" s="115"/>
      <c r="BX3444" s="115"/>
      <c r="BY3444" s="115"/>
      <c r="BZ3444" s="115"/>
      <c r="CA3444" s="115"/>
      <c r="CB3444" s="115"/>
      <c r="CC3444" s="115"/>
      <c r="CD3444" s="115"/>
      <c r="CE3444" s="115"/>
      <c r="CF3444" s="115"/>
      <c r="CG3444" s="115"/>
      <c r="CH3444" s="115"/>
      <c r="CI3444" s="115"/>
      <c r="CJ3444" s="115"/>
      <c r="CK3444" s="115"/>
      <c r="CL3444" s="115"/>
      <c r="CM3444" s="115"/>
      <c r="CN3444" s="115"/>
      <c r="CO3444" s="115"/>
      <c r="CP3444" s="115"/>
      <c r="CQ3444" s="115"/>
      <c r="CR3444" s="115"/>
      <c r="CS3444" s="115"/>
      <c r="CT3444" s="115"/>
      <c r="CU3444" s="115"/>
      <c r="CV3444" s="115"/>
      <c r="CW3444" s="115"/>
      <c r="CX3444" s="115"/>
      <c r="CY3444" s="115"/>
      <c r="CZ3444" s="115"/>
      <c r="DA3444" s="115"/>
      <c r="DB3444" s="115"/>
      <c r="DC3444" s="115"/>
      <c r="DD3444" s="115"/>
      <c r="DE3444" s="115"/>
      <c r="DF3444" s="115"/>
      <c r="DG3444" s="115"/>
    </row>
    <row r="3445" spans="55:111" hidden="1">
      <c r="BC3445" s="115"/>
      <c r="BD3445" s="115"/>
      <c r="BE3445" s="115"/>
      <c r="BF3445" s="115"/>
      <c r="BG3445" s="115"/>
      <c r="BH3445" s="115"/>
      <c r="BI3445" s="115"/>
      <c r="BJ3445" s="115"/>
      <c r="BK3445" s="115"/>
      <c r="BL3445" s="115"/>
      <c r="BM3445" s="115"/>
      <c r="BN3445" s="115"/>
      <c r="BO3445" s="115"/>
      <c r="BP3445" s="115"/>
      <c r="BQ3445" s="115"/>
      <c r="BR3445" s="115"/>
      <c r="BS3445" s="115"/>
      <c r="BT3445" s="115"/>
      <c r="BU3445" s="115"/>
      <c r="BV3445" s="115"/>
      <c r="BW3445" s="115"/>
      <c r="BX3445" s="115"/>
      <c r="BY3445" s="115"/>
      <c r="BZ3445" s="115"/>
      <c r="CA3445" s="115"/>
      <c r="CB3445" s="115"/>
      <c r="CC3445" s="115"/>
      <c r="CD3445" s="115"/>
      <c r="CE3445" s="115"/>
      <c r="CF3445" s="115"/>
      <c r="CG3445" s="115"/>
      <c r="CH3445" s="115"/>
      <c r="CI3445" s="115"/>
      <c r="CJ3445" s="115"/>
      <c r="CK3445" s="115"/>
      <c r="CL3445" s="115"/>
      <c r="CM3445" s="115"/>
      <c r="CN3445" s="115"/>
      <c r="CO3445" s="115"/>
      <c r="CP3445" s="115"/>
      <c r="CQ3445" s="115"/>
      <c r="CR3445" s="115"/>
      <c r="CS3445" s="115"/>
      <c r="CT3445" s="115"/>
      <c r="CU3445" s="115"/>
      <c r="CV3445" s="115"/>
      <c r="CW3445" s="115"/>
      <c r="CX3445" s="115"/>
      <c r="CY3445" s="115"/>
      <c r="CZ3445" s="115"/>
      <c r="DA3445" s="115"/>
      <c r="DB3445" s="115"/>
      <c r="DC3445" s="115"/>
      <c r="DD3445" s="115"/>
      <c r="DE3445" s="115"/>
      <c r="DF3445" s="115"/>
      <c r="DG3445" s="115"/>
    </row>
    <row r="3446" spans="55:111" hidden="1">
      <c r="BC3446" s="115"/>
      <c r="BD3446" s="115"/>
      <c r="BE3446" s="115"/>
      <c r="BF3446" s="115"/>
      <c r="BG3446" s="115"/>
      <c r="BH3446" s="115"/>
      <c r="BI3446" s="115"/>
      <c r="BJ3446" s="115"/>
      <c r="BK3446" s="115"/>
      <c r="BL3446" s="115"/>
      <c r="BM3446" s="115"/>
      <c r="BN3446" s="115"/>
      <c r="BO3446" s="115"/>
      <c r="BP3446" s="115"/>
      <c r="BQ3446" s="115"/>
      <c r="BR3446" s="115"/>
      <c r="BS3446" s="115"/>
      <c r="BT3446" s="115"/>
      <c r="BU3446" s="115"/>
      <c r="BV3446" s="115"/>
      <c r="BW3446" s="115"/>
      <c r="BX3446" s="115"/>
      <c r="BY3446" s="115"/>
      <c r="BZ3446" s="115"/>
      <c r="CA3446" s="115"/>
      <c r="CB3446" s="115"/>
      <c r="CC3446" s="115"/>
      <c r="CD3446" s="115"/>
      <c r="CE3446" s="115"/>
      <c r="CF3446" s="115"/>
      <c r="CG3446" s="115"/>
      <c r="CH3446" s="115"/>
      <c r="CI3446" s="115"/>
      <c r="CJ3446" s="115"/>
      <c r="CK3446" s="115"/>
      <c r="CL3446" s="115"/>
      <c r="CM3446" s="115"/>
      <c r="CN3446" s="115"/>
      <c r="CO3446" s="115"/>
      <c r="CP3446" s="115"/>
      <c r="CQ3446" s="115"/>
      <c r="CR3446" s="115"/>
      <c r="CS3446" s="115"/>
      <c r="CT3446" s="115"/>
      <c r="CU3446" s="115"/>
      <c r="CV3446" s="115"/>
      <c r="CW3446" s="115"/>
      <c r="CX3446" s="115"/>
      <c r="CY3446" s="115"/>
      <c r="CZ3446" s="115"/>
      <c r="DA3446" s="115"/>
      <c r="DB3446" s="115"/>
      <c r="DC3446" s="115"/>
      <c r="DD3446" s="115"/>
      <c r="DE3446" s="115"/>
      <c r="DF3446" s="115"/>
      <c r="DG3446" s="115"/>
    </row>
    <row r="3447" spans="55:111" hidden="1">
      <c r="BC3447" s="115"/>
      <c r="BD3447" s="115"/>
      <c r="BE3447" s="115"/>
      <c r="BF3447" s="115"/>
      <c r="BG3447" s="115"/>
      <c r="BH3447" s="115"/>
      <c r="BI3447" s="115"/>
      <c r="BJ3447" s="115"/>
      <c r="BK3447" s="115"/>
      <c r="BL3447" s="115"/>
      <c r="BM3447" s="115"/>
      <c r="BN3447" s="115"/>
      <c r="BO3447" s="115"/>
      <c r="BP3447" s="115"/>
      <c r="BQ3447" s="115"/>
      <c r="BR3447" s="115"/>
      <c r="BS3447" s="115"/>
      <c r="BT3447" s="115"/>
      <c r="BU3447" s="115"/>
      <c r="BV3447" s="115"/>
      <c r="BW3447" s="115"/>
      <c r="BX3447" s="115"/>
      <c r="BY3447" s="115"/>
      <c r="BZ3447" s="115"/>
      <c r="CA3447" s="115"/>
      <c r="CB3447" s="115"/>
      <c r="CC3447" s="115"/>
      <c r="CD3447" s="115"/>
      <c r="CE3447" s="115"/>
      <c r="CF3447" s="115"/>
      <c r="CG3447" s="115"/>
      <c r="CH3447" s="115"/>
      <c r="CI3447" s="115"/>
      <c r="CJ3447" s="115"/>
      <c r="CK3447" s="115"/>
      <c r="CL3447" s="115"/>
      <c r="CM3447" s="115"/>
      <c r="CN3447" s="115"/>
      <c r="CO3447" s="115"/>
      <c r="CP3447" s="115"/>
      <c r="CQ3447" s="115"/>
      <c r="CR3447" s="115"/>
      <c r="CS3447" s="115"/>
      <c r="CT3447" s="115"/>
      <c r="CU3447" s="115"/>
      <c r="CV3447" s="115"/>
      <c r="CW3447" s="115"/>
      <c r="CX3447" s="115"/>
      <c r="CY3447" s="115"/>
      <c r="CZ3447" s="115"/>
      <c r="DA3447" s="115"/>
      <c r="DB3447" s="115"/>
      <c r="DC3447" s="115"/>
      <c r="DD3447" s="115"/>
      <c r="DE3447" s="115"/>
      <c r="DF3447" s="115"/>
      <c r="DG3447" s="115"/>
    </row>
    <row r="3448" spans="55:111" hidden="1">
      <c r="BC3448" s="115"/>
      <c r="BD3448" s="115"/>
      <c r="BE3448" s="115"/>
      <c r="BF3448" s="115"/>
      <c r="BG3448" s="115"/>
      <c r="BH3448" s="115"/>
      <c r="BI3448" s="115"/>
      <c r="BJ3448" s="115"/>
      <c r="BK3448" s="115"/>
      <c r="BL3448" s="115"/>
      <c r="BM3448" s="115"/>
      <c r="BN3448" s="115"/>
      <c r="BO3448" s="115"/>
      <c r="BP3448" s="115"/>
      <c r="BQ3448" s="115"/>
      <c r="BR3448" s="115"/>
      <c r="BS3448" s="115"/>
      <c r="BT3448" s="115"/>
      <c r="BU3448" s="115"/>
      <c r="BV3448" s="115"/>
      <c r="BW3448" s="115"/>
      <c r="BX3448" s="115"/>
      <c r="BY3448" s="115"/>
      <c r="BZ3448" s="115"/>
      <c r="CA3448" s="115"/>
      <c r="CB3448" s="115"/>
      <c r="CC3448" s="115"/>
      <c r="CD3448" s="115"/>
      <c r="CE3448" s="115"/>
      <c r="CF3448" s="115"/>
      <c r="CG3448" s="115"/>
      <c r="CH3448" s="115"/>
      <c r="CI3448" s="115"/>
      <c r="CJ3448" s="115"/>
      <c r="CK3448" s="115"/>
      <c r="CL3448" s="115"/>
      <c r="CM3448" s="115"/>
      <c r="CN3448" s="115"/>
      <c r="CO3448" s="115"/>
      <c r="CP3448" s="115"/>
      <c r="CQ3448" s="115"/>
      <c r="CR3448" s="115"/>
      <c r="CS3448" s="115"/>
      <c r="CT3448" s="115"/>
      <c r="CU3448" s="115"/>
      <c r="CV3448" s="115"/>
      <c r="CW3448" s="115"/>
      <c r="CX3448" s="115"/>
      <c r="CY3448" s="115"/>
      <c r="CZ3448" s="115"/>
      <c r="DA3448" s="115"/>
      <c r="DB3448" s="115"/>
      <c r="DC3448" s="115"/>
      <c r="DD3448" s="115"/>
      <c r="DE3448" s="115"/>
      <c r="DF3448" s="115"/>
      <c r="DG3448" s="115"/>
    </row>
    <row r="3449" spans="55:111" hidden="1">
      <c r="BC3449" s="115"/>
      <c r="BD3449" s="115"/>
      <c r="BE3449" s="115"/>
      <c r="BF3449" s="115"/>
      <c r="BG3449" s="115"/>
      <c r="BH3449" s="115"/>
      <c r="BI3449" s="115"/>
      <c r="BJ3449" s="115"/>
      <c r="BK3449" s="115"/>
      <c r="BL3449" s="115"/>
      <c r="BM3449" s="115"/>
      <c r="BN3449" s="115"/>
      <c r="BO3449" s="115"/>
      <c r="BP3449" s="115"/>
      <c r="BQ3449" s="115"/>
      <c r="BR3449" s="115"/>
      <c r="BS3449" s="115"/>
      <c r="BT3449" s="115"/>
      <c r="BU3449" s="115"/>
      <c r="BV3449" s="115"/>
      <c r="BW3449" s="115"/>
      <c r="BX3449" s="115"/>
      <c r="BY3449" s="115"/>
      <c r="BZ3449" s="115"/>
      <c r="CA3449" s="115"/>
      <c r="CB3449" s="115"/>
      <c r="CC3449" s="115"/>
      <c r="CD3449" s="115"/>
      <c r="CE3449" s="115"/>
      <c r="CF3449" s="115"/>
      <c r="CG3449" s="115"/>
      <c r="CH3449" s="115"/>
      <c r="CI3449" s="115"/>
      <c r="CJ3449" s="115"/>
      <c r="CK3449" s="115"/>
      <c r="CL3449" s="115"/>
      <c r="CM3449" s="115"/>
      <c r="CN3449" s="115"/>
      <c r="CO3449" s="115"/>
      <c r="CP3449" s="115"/>
      <c r="CQ3449" s="115"/>
      <c r="CR3449" s="115"/>
      <c r="CS3449" s="115"/>
      <c r="CT3449" s="115"/>
      <c r="CU3449" s="115"/>
      <c r="CV3449" s="115"/>
      <c r="CW3449" s="115"/>
      <c r="CX3449" s="115"/>
      <c r="CY3449" s="115"/>
      <c r="CZ3449" s="115"/>
      <c r="DA3449" s="115"/>
      <c r="DB3449" s="115"/>
      <c r="DC3449" s="115"/>
      <c r="DD3449" s="115"/>
      <c r="DE3449" s="115"/>
      <c r="DF3449" s="115"/>
      <c r="DG3449" s="115"/>
    </row>
    <row r="3450" spans="55:111" hidden="1">
      <c r="BC3450" s="115"/>
      <c r="BD3450" s="115"/>
      <c r="BE3450" s="115"/>
      <c r="BF3450" s="115"/>
      <c r="BG3450" s="115"/>
      <c r="BH3450" s="115"/>
      <c r="BI3450" s="115"/>
      <c r="BJ3450" s="115"/>
      <c r="BK3450" s="115"/>
      <c r="BL3450" s="115"/>
      <c r="BM3450" s="115"/>
      <c r="BN3450" s="115"/>
      <c r="BO3450" s="115"/>
      <c r="BP3450" s="115"/>
      <c r="BQ3450" s="115"/>
      <c r="BR3450" s="115"/>
      <c r="BS3450" s="115"/>
      <c r="BT3450" s="115"/>
      <c r="BU3450" s="115"/>
      <c r="BV3450" s="115"/>
      <c r="BW3450" s="115"/>
      <c r="BX3450" s="115"/>
      <c r="BY3450" s="115"/>
      <c r="BZ3450" s="115"/>
      <c r="CA3450" s="115"/>
      <c r="CB3450" s="115"/>
      <c r="CC3450" s="115"/>
      <c r="CD3450" s="115"/>
      <c r="CE3450" s="115"/>
      <c r="CF3450" s="115"/>
      <c r="CG3450" s="115"/>
      <c r="CH3450" s="115"/>
      <c r="CI3450" s="115"/>
      <c r="CJ3450" s="115"/>
      <c r="CK3450" s="115"/>
      <c r="CL3450" s="115"/>
      <c r="CM3450" s="115"/>
      <c r="CN3450" s="115"/>
      <c r="CO3450" s="115"/>
      <c r="CP3450" s="115"/>
      <c r="CQ3450" s="115"/>
      <c r="CR3450" s="115"/>
      <c r="CS3450" s="115"/>
      <c r="CT3450" s="115"/>
      <c r="CU3450" s="115"/>
      <c r="CV3450" s="115"/>
      <c r="CW3450" s="115"/>
      <c r="CX3450" s="115"/>
      <c r="CY3450" s="115"/>
      <c r="CZ3450" s="115"/>
      <c r="DA3450" s="115"/>
      <c r="DB3450" s="115"/>
      <c r="DC3450" s="115"/>
      <c r="DD3450" s="115"/>
      <c r="DE3450" s="115"/>
      <c r="DF3450" s="115"/>
      <c r="DG3450" s="115"/>
    </row>
    <row r="3451" spans="55:111" hidden="1">
      <c r="BC3451" s="115"/>
      <c r="BD3451" s="115"/>
      <c r="BE3451" s="115"/>
      <c r="BF3451" s="115"/>
      <c r="BG3451" s="115"/>
      <c r="BH3451" s="115"/>
      <c r="BI3451" s="115"/>
      <c r="BJ3451" s="115"/>
      <c r="BK3451" s="115"/>
      <c r="BL3451" s="115"/>
      <c r="BM3451" s="115"/>
      <c r="BN3451" s="115"/>
      <c r="BO3451" s="115"/>
      <c r="BP3451" s="115"/>
      <c r="BQ3451" s="115"/>
      <c r="BR3451" s="115"/>
      <c r="BS3451" s="115"/>
      <c r="BT3451" s="115"/>
      <c r="BU3451" s="115"/>
      <c r="BV3451" s="115"/>
      <c r="BW3451" s="115"/>
      <c r="BX3451" s="115"/>
      <c r="BY3451" s="115"/>
      <c r="BZ3451" s="115"/>
      <c r="CA3451" s="115"/>
      <c r="CB3451" s="115"/>
      <c r="CC3451" s="115"/>
      <c r="CD3451" s="115"/>
      <c r="CE3451" s="115"/>
      <c r="CF3451" s="115"/>
      <c r="CG3451" s="115"/>
      <c r="CH3451" s="115"/>
      <c r="CI3451" s="115"/>
      <c r="CJ3451" s="115"/>
      <c r="CK3451" s="115"/>
      <c r="CL3451" s="115"/>
      <c r="CM3451" s="115"/>
      <c r="CN3451" s="115"/>
      <c r="CO3451" s="115"/>
      <c r="CP3451" s="115"/>
      <c r="CQ3451" s="115"/>
      <c r="CR3451" s="115"/>
      <c r="CS3451" s="115"/>
      <c r="CT3451" s="115"/>
      <c r="CU3451" s="115"/>
      <c r="CV3451" s="115"/>
      <c r="CW3451" s="115"/>
      <c r="CX3451" s="115"/>
      <c r="CY3451" s="115"/>
      <c r="CZ3451" s="115"/>
      <c r="DA3451" s="115"/>
      <c r="DB3451" s="115"/>
      <c r="DC3451" s="115"/>
      <c r="DD3451" s="115"/>
      <c r="DE3451" s="115"/>
      <c r="DF3451" s="115"/>
      <c r="DG3451" s="115"/>
    </row>
    <row r="3452" spans="55:111" hidden="1">
      <c r="BC3452" s="115"/>
      <c r="BD3452" s="115"/>
      <c r="BE3452" s="115"/>
      <c r="BF3452" s="115"/>
      <c r="BG3452" s="115"/>
      <c r="BH3452" s="115"/>
      <c r="BI3452" s="115"/>
      <c r="BJ3452" s="115"/>
      <c r="BK3452" s="115"/>
      <c r="BL3452" s="115"/>
      <c r="BM3452" s="115"/>
      <c r="BN3452" s="115"/>
      <c r="BO3452" s="115"/>
      <c r="BP3452" s="115"/>
      <c r="BQ3452" s="115"/>
      <c r="BR3452" s="115"/>
      <c r="BS3452" s="115"/>
      <c r="BT3452" s="115"/>
      <c r="BU3452" s="115"/>
      <c r="BV3452" s="115"/>
      <c r="BW3452" s="115"/>
      <c r="BX3452" s="115"/>
      <c r="BY3452" s="115"/>
      <c r="BZ3452" s="115"/>
      <c r="CA3452" s="115"/>
      <c r="CB3452" s="115"/>
      <c r="CC3452" s="115"/>
      <c r="CD3452" s="115"/>
      <c r="CE3452" s="115"/>
      <c r="CF3452" s="115"/>
      <c r="CG3452" s="115"/>
      <c r="CH3452" s="115"/>
      <c r="CI3452" s="115"/>
      <c r="CJ3452" s="115"/>
      <c r="CK3452" s="115"/>
      <c r="CL3452" s="115"/>
      <c r="CM3452" s="115"/>
      <c r="CN3452" s="115"/>
      <c r="CO3452" s="115"/>
      <c r="CP3452" s="115"/>
      <c r="CQ3452" s="115"/>
      <c r="CR3452" s="115"/>
      <c r="CS3452" s="115"/>
      <c r="CT3452" s="115"/>
      <c r="CU3452" s="115"/>
      <c r="CV3452" s="115"/>
      <c r="CW3452" s="115"/>
      <c r="CX3452" s="115"/>
      <c r="CY3452" s="115"/>
      <c r="CZ3452" s="115"/>
      <c r="DA3452" s="115"/>
      <c r="DB3452" s="115"/>
      <c r="DC3452" s="115"/>
      <c r="DD3452" s="115"/>
      <c r="DE3452" s="115"/>
      <c r="DF3452" s="115"/>
      <c r="DG3452" s="115"/>
    </row>
    <row r="3453" spans="55:111" hidden="1">
      <c r="BC3453" s="115"/>
      <c r="BD3453" s="115"/>
      <c r="BE3453" s="115"/>
      <c r="BF3453" s="115"/>
      <c r="BG3453" s="115"/>
      <c r="BH3453" s="115"/>
      <c r="BI3453" s="115"/>
      <c r="BJ3453" s="115"/>
      <c r="BK3453" s="115"/>
      <c r="BL3453" s="115"/>
      <c r="BM3453" s="115"/>
      <c r="BN3453" s="115"/>
      <c r="BO3453" s="115"/>
      <c r="BP3453" s="115"/>
      <c r="BQ3453" s="115"/>
      <c r="BR3453" s="115"/>
      <c r="BS3453" s="115"/>
      <c r="BT3453" s="115"/>
      <c r="BU3453" s="115"/>
      <c r="BV3453" s="115"/>
      <c r="BW3453" s="115"/>
      <c r="BX3453" s="115"/>
      <c r="BY3453" s="115"/>
      <c r="BZ3453" s="115"/>
      <c r="CA3453" s="115"/>
      <c r="CB3453" s="115"/>
      <c r="CC3453" s="115"/>
      <c r="CD3453" s="115"/>
      <c r="CE3453" s="115"/>
      <c r="CF3453" s="115"/>
      <c r="CG3453" s="115"/>
      <c r="CH3453" s="115"/>
      <c r="CI3453" s="115"/>
      <c r="CJ3453" s="115"/>
      <c r="CK3453" s="115"/>
      <c r="CL3453" s="115"/>
      <c r="CM3453" s="115"/>
      <c r="CN3453" s="115"/>
      <c r="CO3453" s="115"/>
      <c r="CP3453" s="115"/>
      <c r="CQ3453" s="115"/>
      <c r="CR3453" s="115"/>
      <c r="CS3453" s="115"/>
      <c r="CT3453" s="115"/>
      <c r="CU3453" s="115"/>
      <c r="CV3453" s="115"/>
      <c r="CW3453" s="115"/>
      <c r="CX3453" s="115"/>
      <c r="CY3453" s="115"/>
      <c r="CZ3453" s="115"/>
      <c r="DA3453" s="115"/>
      <c r="DB3453" s="115"/>
      <c r="DC3453" s="115"/>
      <c r="DD3453" s="115"/>
      <c r="DE3453" s="115"/>
      <c r="DF3453" s="115"/>
      <c r="DG3453" s="115"/>
    </row>
    <row r="3454" spans="55:111" hidden="1">
      <c r="BC3454" s="115"/>
      <c r="BD3454" s="115"/>
      <c r="BE3454" s="115"/>
      <c r="BF3454" s="115"/>
      <c r="BG3454" s="115"/>
      <c r="BH3454" s="115"/>
      <c r="BI3454" s="115"/>
      <c r="BJ3454" s="115"/>
      <c r="BK3454" s="115"/>
      <c r="BL3454" s="115"/>
      <c r="BM3454" s="115"/>
      <c r="BN3454" s="115"/>
      <c r="BO3454" s="115"/>
      <c r="BP3454" s="115"/>
      <c r="BQ3454" s="115"/>
      <c r="BR3454" s="115"/>
      <c r="BS3454" s="115"/>
      <c r="BT3454" s="115"/>
      <c r="BU3454" s="115"/>
      <c r="BV3454" s="115"/>
      <c r="BW3454" s="115"/>
      <c r="BX3454" s="115"/>
      <c r="BY3454" s="115"/>
      <c r="BZ3454" s="115"/>
      <c r="CA3454" s="115"/>
      <c r="CB3454" s="115"/>
      <c r="CC3454" s="115"/>
      <c r="CD3454" s="115"/>
      <c r="CE3454" s="115"/>
      <c r="CF3454" s="115"/>
      <c r="CG3454" s="115"/>
      <c r="CH3454" s="115"/>
      <c r="CI3454" s="115"/>
      <c r="CJ3454" s="115"/>
      <c r="CK3454" s="115"/>
      <c r="CL3454" s="115"/>
      <c r="CM3454" s="115"/>
      <c r="CN3454" s="115"/>
      <c r="CO3454" s="115"/>
      <c r="CP3454" s="115"/>
      <c r="CQ3454" s="115"/>
      <c r="CR3454" s="115"/>
      <c r="CS3454" s="115"/>
      <c r="CT3454" s="115"/>
      <c r="CU3454" s="115"/>
      <c r="CV3454" s="115"/>
      <c r="CW3454" s="115"/>
      <c r="CX3454" s="115"/>
      <c r="CY3454" s="115"/>
      <c r="CZ3454" s="115"/>
      <c r="DA3454" s="115"/>
      <c r="DB3454" s="115"/>
      <c r="DC3454" s="115"/>
      <c r="DD3454" s="115"/>
      <c r="DE3454" s="115"/>
      <c r="DF3454" s="115"/>
      <c r="DG3454" s="115"/>
    </row>
    <row r="3455" spans="55:111" hidden="1">
      <c r="BC3455" s="115"/>
      <c r="BD3455" s="115"/>
      <c r="BE3455" s="115"/>
      <c r="BF3455" s="115"/>
      <c r="BG3455" s="115"/>
      <c r="BH3455" s="115"/>
      <c r="BI3455" s="115"/>
      <c r="BJ3455" s="115"/>
      <c r="BK3455" s="115"/>
      <c r="BL3455" s="115"/>
      <c r="BM3455" s="115"/>
      <c r="BN3455" s="115"/>
      <c r="BO3455" s="115"/>
      <c r="BP3455" s="115"/>
      <c r="BQ3455" s="115"/>
      <c r="BR3455" s="115"/>
      <c r="BS3455" s="115"/>
      <c r="BT3455" s="115"/>
      <c r="BU3455" s="115"/>
      <c r="BV3455" s="115"/>
      <c r="BW3455" s="115"/>
      <c r="BX3455" s="115"/>
      <c r="BY3455" s="115"/>
      <c r="BZ3455" s="115"/>
      <c r="CA3455" s="115"/>
      <c r="CB3455" s="115"/>
      <c r="CC3455" s="115"/>
      <c r="CD3455" s="115"/>
      <c r="CE3455" s="115"/>
      <c r="CF3455" s="115"/>
      <c r="CG3455" s="115"/>
      <c r="CH3455" s="115"/>
      <c r="CI3455" s="115"/>
      <c r="CJ3455" s="115"/>
      <c r="CK3455" s="115"/>
      <c r="CL3455" s="115"/>
      <c r="CM3455" s="115"/>
      <c r="CN3455" s="115"/>
      <c r="CO3455" s="115"/>
      <c r="CP3455" s="115"/>
      <c r="CQ3455" s="115"/>
      <c r="CR3455" s="115"/>
      <c r="CS3455" s="115"/>
      <c r="CT3455" s="115"/>
      <c r="CU3455" s="115"/>
      <c r="CV3455" s="115"/>
      <c r="CW3455" s="115"/>
      <c r="CX3455" s="115"/>
      <c r="CY3455" s="115"/>
      <c r="CZ3455" s="115"/>
      <c r="DA3455" s="115"/>
      <c r="DB3455" s="115"/>
      <c r="DC3455" s="115"/>
      <c r="DD3455" s="115"/>
      <c r="DE3455" s="115"/>
      <c r="DF3455" s="115"/>
      <c r="DG3455" s="115"/>
    </row>
    <row r="3456" spans="55:111" hidden="1">
      <c r="BC3456" s="115"/>
      <c r="BD3456" s="115"/>
      <c r="BE3456" s="115"/>
      <c r="BF3456" s="115"/>
      <c r="BG3456" s="115"/>
      <c r="BH3456" s="115"/>
      <c r="BI3456" s="115"/>
      <c r="BJ3456" s="115"/>
      <c r="BK3456" s="115"/>
      <c r="BL3456" s="115"/>
      <c r="BM3456" s="115"/>
      <c r="BN3456" s="115"/>
      <c r="BO3456" s="115"/>
      <c r="BP3456" s="115"/>
      <c r="BQ3456" s="115"/>
      <c r="BR3456" s="115"/>
      <c r="BS3456" s="115"/>
      <c r="BT3456" s="115"/>
      <c r="BU3456" s="115"/>
      <c r="BV3456" s="115"/>
      <c r="BW3456" s="115"/>
      <c r="BX3456" s="115"/>
      <c r="BY3456" s="115"/>
      <c r="BZ3456" s="115"/>
      <c r="CA3456" s="115"/>
      <c r="CB3456" s="115"/>
      <c r="CC3456" s="115"/>
      <c r="CD3456" s="115"/>
      <c r="CE3456" s="115"/>
      <c r="CF3456" s="115"/>
      <c r="CG3456" s="115"/>
      <c r="CH3456" s="115"/>
      <c r="CI3456" s="115"/>
      <c r="CJ3456" s="115"/>
      <c r="CK3456" s="115"/>
      <c r="CL3456" s="115"/>
      <c r="CM3456" s="115"/>
      <c r="CN3456" s="115"/>
      <c r="CO3456" s="115"/>
      <c r="CP3456" s="115"/>
      <c r="CQ3456" s="115"/>
      <c r="CR3456" s="115"/>
      <c r="CS3456" s="115"/>
      <c r="CT3456" s="115"/>
      <c r="CU3456" s="115"/>
      <c r="CV3456" s="115"/>
      <c r="CW3456" s="115"/>
      <c r="CX3456" s="115"/>
      <c r="CY3456" s="115"/>
      <c r="CZ3456" s="115"/>
      <c r="DA3456" s="115"/>
      <c r="DB3456" s="115"/>
      <c r="DC3456" s="115"/>
      <c r="DD3456" s="115"/>
      <c r="DE3456" s="115"/>
      <c r="DF3456" s="115"/>
      <c r="DG3456" s="115"/>
    </row>
    <row r="3457" spans="55:111" hidden="1">
      <c r="BC3457" s="115"/>
      <c r="BD3457" s="115"/>
      <c r="BE3457" s="115"/>
      <c r="BF3457" s="115"/>
      <c r="BG3457" s="115"/>
      <c r="BH3457" s="115"/>
      <c r="BI3457" s="115"/>
      <c r="BJ3457" s="115"/>
      <c r="BK3457" s="115"/>
      <c r="BL3457" s="115"/>
      <c r="BM3457" s="115"/>
      <c r="BN3457" s="115"/>
      <c r="BO3457" s="115"/>
      <c r="BP3457" s="115"/>
      <c r="BQ3457" s="115"/>
      <c r="BR3457" s="115"/>
      <c r="BS3457" s="115"/>
      <c r="BT3457" s="115"/>
      <c r="BU3457" s="115"/>
      <c r="BV3457" s="115"/>
      <c r="BW3457" s="115"/>
      <c r="BX3457" s="115"/>
      <c r="BY3457" s="115"/>
      <c r="BZ3457" s="115"/>
      <c r="CA3457" s="115"/>
      <c r="CB3457" s="115"/>
      <c r="CC3457" s="115"/>
      <c r="CD3457" s="115"/>
      <c r="CE3457" s="115"/>
      <c r="CF3457" s="115"/>
      <c r="CG3457" s="115"/>
      <c r="CH3457" s="115"/>
      <c r="CI3457" s="115"/>
      <c r="CJ3457" s="115"/>
      <c r="CK3457" s="115"/>
      <c r="CL3457" s="115"/>
      <c r="CM3457" s="115"/>
      <c r="CN3457" s="115"/>
      <c r="CO3457" s="115"/>
      <c r="CP3457" s="115"/>
      <c r="CQ3457" s="115"/>
      <c r="CR3457" s="115"/>
      <c r="CS3457" s="115"/>
      <c r="CT3457" s="115"/>
      <c r="CU3457" s="115"/>
      <c r="CV3457" s="115"/>
      <c r="CW3457" s="115"/>
      <c r="CX3457" s="115"/>
      <c r="CY3457" s="115"/>
      <c r="CZ3457" s="115"/>
      <c r="DA3457" s="115"/>
      <c r="DB3457" s="115"/>
      <c r="DC3457" s="115"/>
      <c r="DD3457" s="115"/>
      <c r="DE3457" s="115"/>
      <c r="DF3457" s="115"/>
      <c r="DG3457" s="115"/>
    </row>
    <row r="3458" spans="55:111" hidden="1">
      <c r="BC3458" s="115"/>
      <c r="BD3458" s="115"/>
      <c r="BE3458" s="115"/>
      <c r="BF3458" s="115"/>
      <c r="BG3458" s="115"/>
      <c r="BH3458" s="115"/>
      <c r="BI3458" s="115"/>
      <c r="BJ3458" s="115"/>
      <c r="BK3458" s="115"/>
      <c r="BL3458" s="115"/>
      <c r="BM3458" s="115"/>
      <c r="BN3458" s="115"/>
      <c r="BO3458" s="115"/>
      <c r="BP3458" s="115"/>
      <c r="BQ3458" s="115"/>
      <c r="BR3458" s="115"/>
      <c r="BS3458" s="115"/>
      <c r="BT3458" s="115"/>
      <c r="BU3458" s="115"/>
      <c r="BV3458" s="115"/>
      <c r="BW3458" s="115"/>
      <c r="BX3458" s="115"/>
      <c r="BY3458" s="115"/>
      <c r="BZ3458" s="115"/>
      <c r="CA3458" s="115"/>
      <c r="CB3458" s="115"/>
      <c r="CC3458" s="115"/>
      <c r="CD3458" s="115"/>
      <c r="CE3458" s="115"/>
      <c r="CF3458" s="115"/>
      <c r="CG3458" s="115"/>
      <c r="CH3458" s="115"/>
      <c r="CI3458" s="115"/>
      <c r="CJ3458" s="115"/>
      <c r="CK3458" s="115"/>
      <c r="CL3458" s="115"/>
      <c r="CM3458" s="115"/>
      <c r="CN3458" s="115"/>
      <c r="CO3458" s="115"/>
      <c r="CP3458" s="115"/>
      <c r="CQ3458" s="115"/>
      <c r="CR3458" s="115"/>
      <c r="CS3458" s="115"/>
      <c r="CT3458" s="115"/>
      <c r="CU3458" s="115"/>
      <c r="CV3458" s="115"/>
      <c r="CW3458" s="115"/>
      <c r="CX3458" s="115"/>
      <c r="CY3458" s="115"/>
      <c r="CZ3458" s="115"/>
      <c r="DA3458" s="115"/>
      <c r="DB3458" s="115"/>
      <c r="DC3458" s="115"/>
      <c r="DD3458" s="115"/>
      <c r="DE3458" s="115"/>
      <c r="DF3458" s="115"/>
      <c r="DG3458" s="115"/>
    </row>
    <row r="3459" spans="55:111" hidden="1">
      <c r="BC3459" s="115"/>
      <c r="BD3459" s="115"/>
      <c r="BE3459" s="115"/>
      <c r="BF3459" s="115"/>
      <c r="BG3459" s="115"/>
      <c r="BH3459" s="115"/>
      <c r="BI3459" s="115"/>
      <c r="BJ3459" s="115"/>
      <c r="BK3459" s="115"/>
      <c r="BL3459" s="115"/>
      <c r="BM3459" s="115"/>
      <c r="BN3459" s="115"/>
      <c r="BO3459" s="115"/>
      <c r="BP3459" s="115"/>
      <c r="BQ3459" s="115"/>
      <c r="BR3459" s="115"/>
      <c r="BS3459" s="115"/>
      <c r="BT3459" s="115"/>
      <c r="BU3459" s="115"/>
      <c r="BV3459" s="115"/>
      <c r="BW3459" s="115"/>
      <c r="BX3459" s="115"/>
      <c r="BY3459" s="115"/>
      <c r="BZ3459" s="115"/>
      <c r="CA3459" s="115"/>
      <c r="CB3459" s="115"/>
      <c r="CC3459" s="115"/>
      <c r="CD3459" s="115"/>
      <c r="CE3459" s="115"/>
      <c r="CF3459" s="115"/>
      <c r="CG3459" s="115"/>
      <c r="CH3459" s="115"/>
      <c r="CI3459" s="115"/>
      <c r="CJ3459" s="115"/>
      <c r="CK3459" s="115"/>
      <c r="CL3459" s="115"/>
      <c r="CM3459" s="115"/>
      <c r="CN3459" s="115"/>
      <c r="CO3459" s="115"/>
      <c r="CP3459" s="115"/>
      <c r="CQ3459" s="115"/>
      <c r="CR3459" s="115"/>
      <c r="CS3459" s="115"/>
      <c r="CT3459" s="115"/>
      <c r="CU3459" s="115"/>
      <c r="CV3459" s="115"/>
      <c r="CW3459" s="115"/>
      <c r="CX3459" s="115"/>
      <c r="CY3459" s="115"/>
      <c r="CZ3459" s="115"/>
      <c r="DA3459" s="115"/>
      <c r="DB3459" s="115"/>
      <c r="DC3459" s="115"/>
      <c r="DD3459" s="115"/>
      <c r="DE3459" s="115"/>
      <c r="DF3459" s="115"/>
      <c r="DG3459" s="115"/>
    </row>
    <row r="3460" spans="55:111" hidden="1">
      <c r="BC3460" s="115"/>
      <c r="BD3460" s="115"/>
      <c r="BE3460" s="115"/>
      <c r="BF3460" s="115"/>
      <c r="BG3460" s="115"/>
      <c r="BH3460" s="115"/>
      <c r="BI3460" s="115"/>
      <c r="BJ3460" s="115"/>
      <c r="BK3460" s="115"/>
      <c r="BL3460" s="115"/>
      <c r="BM3460" s="115"/>
      <c r="BN3460" s="115"/>
      <c r="BO3460" s="115"/>
      <c r="BP3460" s="115"/>
      <c r="BQ3460" s="115"/>
      <c r="BR3460" s="115"/>
      <c r="BS3460" s="115"/>
      <c r="BT3460" s="115"/>
      <c r="BU3460" s="115"/>
      <c r="BV3460" s="115"/>
      <c r="BW3460" s="115"/>
      <c r="BX3460" s="115"/>
      <c r="BY3460" s="115"/>
      <c r="BZ3460" s="115"/>
      <c r="CA3460" s="115"/>
      <c r="CB3460" s="115"/>
      <c r="CC3460" s="115"/>
      <c r="CD3460" s="115"/>
      <c r="CE3460" s="115"/>
      <c r="CF3460" s="115"/>
      <c r="CG3460" s="115"/>
      <c r="CH3460" s="115"/>
      <c r="CI3460" s="115"/>
      <c r="CJ3460" s="115"/>
      <c r="CK3460" s="115"/>
      <c r="CL3460" s="115"/>
      <c r="CM3460" s="115"/>
      <c r="CN3460" s="115"/>
      <c r="CO3460" s="115"/>
      <c r="CP3460" s="115"/>
      <c r="CQ3460" s="115"/>
      <c r="CR3460" s="115"/>
      <c r="CS3460" s="115"/>
      <c r="CT3460" s="115"/>
      <c r="CU3460" s="115"/>
      <c r="CV3460" s="115"/>
      <c r="CW3460" s="115"/>
      <c r="CX3460" s="115"/>
      <c r="CY3460" s="115"/>
      <c r="CZ3460" s="115"/>
      <c r="DA3460" s="115"/>
      <c r="DB3460" s="115"/>
      <c r="DC3460" s="115"/>
      <c r="DD3460" s="115"/>
      <c r="DE3460" s="115"/>
      <c r="DF3460" s="115"/>
      <c r="DG3460" s="115"/>
    </row>
    <row r="3461" spans="55:111" hidden="1">
      <c r="BC3461" s="115"/>
      <c r="BD3461" s="115"/>
      <c r="BE3461" s="115"/>
      <c r="BF3461" s="115"/>
      <c r="BG3461" s="115"/>
      <c r="BH3461" s="115"/>
      <c r="BI3461" s="115"/>
      <c r="BJ3461" s="115"/>
      <c r="BK3461" s="115"/>
      <c r="BL3461" s="115"/>
      <c r="BM3461" s="115"/>
      <c r="BN3461" s="115"/>
      <c r="BO3461" s="115"/>
      <c r="BP3461" s="115"/>
      <c r="BQ3461" s="115"/>
      <c r="BR3461" s="115"/>
      <c r="BS3461" s="115"/>
      <c r="BT3461" s="115"/>
      <c r="BU3461" s="115"/>
      <c r="BV3461" s="115"/>
      <c r="BW3461" s="115"/>
      <c r="BX3461" s="115"/>
      <c r="BY3461" s="115"/>
      <c r="BZ3461" s="115"/>
      <c r="CA3461" s="115"/>
      <c r="CB3461" s="115"/>
      <c r="CC3461" s="115"/>
      <c r="CD3461" s="115"/>
      <c r="CE3461" s="115"/>
      <c r="CF3461" s="115"/>
      <c r="CG3461" s="115"/>
      <c r="CH3461" s="115"/>
      <c r="CI3461" s="115"/>
      <c r="CJ3461" s="115"/>
      <c r="CK3461" s="115"/>
      <c r="CL3461" s="115"/>
      <c r="CM3461" s="115"/>
      <c r="CN3461" s="115"/>
      <c r="CO3461" s="115"/>
      <c r="CP3461" s="115"/>
      <c r="CQ3461" s="115"/>
      <c r="CR3461" s="115"/>
      <c r="CS3461" s="115"/>
      <c r="CT3461" s="115"/>
      <c r="CU3461" s="115"/>
      <c r="CV3461" s="115"/>
      <c r="CW3461" s="115"/>
      <c r="CX3461" s="115"/>
      <c r="CY3461" s="115"/>
      <c r="CZ3461" s="115"/>
      <c r="DA3461" s="115"/>
      <c r="DB3461" s="115"/>
      <c r="DC3461" s="115"/>
      <c r="DD3461" s="115"/>
      <c r="DE3461" s="115"/>
      <c r="DF3461" s="115"/>
      <c r="DG3461" s="115"/>
    </row>
    <row r="3462" spans="55:111" hidden="1">
      <c r="BC3462" s="115"/>
      <c r="BD3462" s="115"/>
      <c r="BE3462" s="115"/>
      <c r="BF3462" s="115"/>
      <c r="BG3462" s="115"/>
      <c r="BH3462" s="115"/>
      <c r="BI3462" s="115"/>
      <c r="BJ3462" s="115"/>
      <c r="BK3462" s="115"/>
      <c r="BL3462" s="115"/>
      <c r="BM3462" s="115"/>
      <c r="BN3462" s="115"/>
      <c r="BO3462" s="115"/>
      <c r="BP3462" s="115"/>
      <c r="BQ3462" s="115"/>
      <c r="BR3462" s="115"/>
      <c r="BS3462" s="115"/>
      <c r="BT3462" s="115"/>
      <c r="BU3462" s="115"/>
      <c r="BV3462" s="115"/>
      <c r="BW3462" s="115"/>
      <c r="BX3462" s="115"/>
      <c r="BY3462" s="115"/>
      <c r="BZ3462" s="115"/>
      <c r="CA3462" s="115"/>
      <c r="CB3462" s="115"/>
      <c r="CC3462" s="115"/>
      <c r="CD3462" s="115"/>
      <c r="CE3462" s="115"/>
      <c r="CF3462" s="115"/>
      <c r="CG3462" s="115"/>
      <c r="CH3462" s="115"/>
      <c r="CI3462" s="115"/>
      <c r="CJ3462" s="115"/>
      <c r="CK3462" s="115"/>
      <c r="CL3462" s="115"/>
      <c r="CM3462" s="115"/>
      <c r="CN3462" s="115"/>
      <c r="CO3462" s="115"/>
      <c r="CP3462" s="115"/>
      <c r="CQ3462" s="115"/>
      <c r="CR3462" s="115"/>
      <c r="CS3462" s="115"/>
      <c r="CT3462" s="115"/>
      <c r="CU3462" s="115"/>
      <c r="CV3462" s="115"/>
      <c r="CW3462" s="115"/>
      <c r="CX3462" s="115"/>
      <c r="CY3462" s="115"/>
      <c r="CZ3462" s="115"/>
      <c r="DA3462" s="115"/>
      <c r="DB3462" s="115"/>
      <c r="DC3462" s="115"/>
      <c r="DD3462" s="115"/>
      <c r="DE3462" s="115"/>
      <c r="DF3462" s="115"/>
      <c r="DG3462" s="115"/>
    </row>
    <row r="3463" spans="55:111" hidden="1">
      <c r="BC3463" s="115"/>
      <c r="BD3463" s="115"/>
      <c r="BE3463" s="115"/>
      <c r="BF3463" s="115"/>
      <c r="BG3463" s="115"/>
      <c r="BH3463" s="115"/>
      <c r="BI3463" s="115"/>
      <c r="BJ3463" s="115"/>
      <c r="BK3463" s="115"/>
      <c r="BL3463" s="115"/>
      <c r="BM3463" s="115"/>
      <c r="BN3463" s="115"/>
      <c r="BO3463" s="115"/>
      <c r="BP3463" s="115"/>
      <c r="BQ3463" s="115"/>
      <c r="BR3463" s="115"/>
      <c r="BS3463" s="115"/>
      <c r="BT3463" s="115"/>
      <c r="BU3463" s="115"/>
      <c r="BV3463" s="115"/>
      <c r="BW3463" s="115"/>
      <c r="BX3463" s="115"/>
      <c r="BY3463" s="115"/>
      <c r="BZ3463" s="115"/>
      <c r="CA3463" s="115"/>
      <c r="CB3463" s="115"/>
      <c r="CC3463" s="115"/>
      <c r="CD3463" s="115"/>
      <c r="CE3463" s="115"/>
      <c r="CF3463" s="115"/>
      <c r="CG3463" s="115"/>
      <c r="CH3463" s="115"/>
      <c r="CI3463" s="115"/>
      <c r="CJ3463" s="115"/>
      <c r="CK3463" s="115"/>
      <c r="CL3463" s="115"/>
      <c r="CM3463" s="115"/>
      <c r="CN3463" s="115"/>
      <c r="CO3463" s="115"/>
      <c r="CP3463" s="115"/>
      <c r="CQ3463" s="115"/>
      <c r="CR3463" s="115"/>
      <c r="CS3463" s="115"/>
      <c r="CT3463" s="115"/>
      <c r="CU3463" s="115"/>
      <c r="CV3463" s="115"/>
      <c r="CW3463" s="115"/>
      <c r="CX3463" s="115"/>
      <c r="CY3463" s="115"/>
      <c r="CZ3463" s="115"/>
      <c r="DA3463" s="115"/>
      <c r="DB3463" s="115"/>
      <c r="DC3463" s="115"/>
      <c r="DD3463" s="115"/>
      <c r="DE3463" s="115"/>
      <c r="DF3463" s="115"/>
      <c r="DG3463" s="115"/>
    </row>
    <row r="3464" spans="55:111" hidden="1">
      <c r="BC3464" s="115"/>
      <c r="BD3464" s="115"/>
      <c r="BE3464" s="115"/>
      <c r="BF3464" s="115"/>
      <c r="BG3464" s="115"/>
      <c r="BH3464" s="115"/>
      <c r="BI3464" s="115"/>
      <c r="BJ3464" s="115"/>
      <c r="BK3464" s="115"/>
      <c r="BL3464" s="115"/>
      <c r="BM3464" s="115"/>
      <c r="BN3464" s="115"/>
      <c r="BO3464" s="115"/>
      <c r="BP3464" s="115"/>
      <c r="BQ3464" s="115"/>
      <c r="BR3464" s="115"/>
      <c r="BS3464" s="115"/>
      <c r="BT3464" s="115"/>
      <c r="BU3464" s="115"/>
      <c r="BV3464" s="115"/>
      <c r="BW3464" s="115"/>
      <c r="BX3464" s="115"/>
      <c r="BY3464" s="115"/>
      <c r="BZ3464" s="115"/>
      <c r="CA3464" s="115"/>
      <c r="CB3464" s="115"/>
      <c r="CC3464" s="115"/>
      <c r="CD3464" s="115"/>
      <c r="CE3464" s="115"/>
      <c r="CF3464" s="115"/>
      <c r="CG3464" s="115"/>
      <c r="CH3464" s="115"/>
      <c r="CI3464" s="115"/>
      <c r="CJ3464" s="115"/>
      <c r="CK3464" s="115"/>
      <c r="CL3464" s="115"/>
      <c r="CM3464" s="115"/>
      <c r="CN3464" s="115"/>
      <c r="CO3464" s="115"/>
      <c r="CP3464" s="115"/>
      <c r="CQ3464" s="115"/>
      <c r="CR3464" s="115"/>
      <c r="CS3464" s="115"/>
      <c r="CT3464" s="115"/>
      <c r="CU3464" s="115"/>
      <c r="CV3464" s="115"/>
      <c r="CW3464" s="115"/>
      <c r="CX3464" s="115"/>
      <c r="CY3464" s="115"/>
      <c r="CZ3464" s="115"/>
      <c r="DA3464" s="115"/>
      <c r="DB3464" s="115"/>
      <c r="DC3464" s="115"/>
      <c r="DD3464" s="115"/>
      <c r="DE3464" s="115"/>
      <c r="DF3464" s="115"/>
      <c r="DG3464" s="115"/>
    </row>
    <row r="3465" spans="55:111" hidden="1">
      <c r="BC3465" s="115"/>
      <c r="BD3465" s="115"/>
      <c r="BE3465" s="115"/>
      <c r="BF3465" s="115"/>
      <c r="BG3465" s="115"/>
      <c r="BH3465" s="115"/>
      <c r="BI3465" s="115"/>
      <c r="BJ3465" s="115"/>
      <c r="BK3465" s="115"/>
      <c r="BL3465" s="115"/>
      <c r="BM3465" s="115"/>
      <c r="BN3465" s="115"/>
      <c r="BO3465" s="115"/>
      <c r="BP3465" s="115"/>
      <c r="BQ3465" s="115"/>
      <c r="BR3465" s="115"/>
      <c r="BS3465" s="115"/>
      <c r="BT3465" s="115"/>
      <c r="BU3465" s="115"/>
      <c r="BV3465" s="115"/>
      <c r="BW3465" s="115"/>
      <c r="BX3465" s="115"/>
      <c r="BY3465" s="115"/>
      <c r="BZ3465" s="115"/>
      <c r="CA3465" s="115"/>
      <c r="CB3465" s="115"/>
      <c r="CC3465" s="115"/>
      <c r="CD3465" s="115"/>
      <c r="CE3465" s="115"/>
      <c r="CF3465" s="115"/>
      <c r="CG3465" s="115"/>
      <c r="CH3465" s="115"/>
      <c r="CI3465" s="115"/>
      <c r="CJ3465" s="115"/>
      <c r="CK3465" s="115"/>
      <c r="CL3465" s="115"/>
      <c r="CM3465" s="115"/>
      <c r="CN3465" s="115"/>
      <c r="CO3465" s="115"/>
      <c r="CP3465" s="115"/>
      <c r="CQ3465" s="115"/>
      <c r="CR3465" s="115"/>
      <c r="CS3465" s="115"/>
      <c r="CT3465" s="115"/>
      <c r="CU3465" s="115"/>
      <c r="CV3465" s="115"/>
      <c r="CW3465" s="115"/>
      <c r="CX3465" s="115"/>
      <c r="CY3465" s="115"/>
      <c r="CZ3465" s="115"/>
      <c r="DA3465" s="115"/>
      <c r="DB3465" s="115"/>
      <c r="DC3465" s="115"/>
      <c r="DD3465" s="115"/>
      <c r="DE3465" s="115"/>
      <c r="DF3465" s="115"/>
      <c r="DG3465" s="115"/>
    </row>
    <row r="3466" spans="55:111" hidden="1">
      <c r="BC3466" s="115"/>
      <c r="BD3466" s="115"/>
      <c r="BE3466" s="115"/>
      <c r="BF3466" s="115"/>
      <c r="BG3466" s="115"/>
      <c r="BH3466" s="115"/>
      <c r="BI3466" s="115"/>
      <c r="BJ3466" s="115"/>
      <c r="BK3466" s="115"/>
      <c r="BL3466" s="115"/>
      <c r="BM3466" s="115"/>
      <c r="BN3466" s="115"/>
      <c r="BO3466" s="115"/>
      <c r="BP3466" s="115"/>
      <c r="BQ3466" s="115"/>
      <c r="BR3466" s="115"/>
      <c r="BS3466" s="115"/>
      <c r="BT3466" s="115"/>
      <c r="BU3466" s="115"/>
      <c r="BV3466" s="115"/>
      <c r="BW3466" s="115"/>
      <c r="BX3466" s="115"/>
      <c r="BY3466" s="115"/>
      <c r="BZ3466" s="115"/>
      <c r="CA3466" s="115"/>
      <c r="CB3466" s="115"/>
      <c r="CC3466" s="115"/>
      <c r="CD3466" s="115"/>
      <c r="CE3466" s="115"/>
      <c r="CF3466" s="115"/>
      <c r="CG3466" s="115"/>
      <c r="CH3466" s="115"/>
      <c r="CI3466" s="115"/>
      <c r="CJ3466" s="115"/>
      <c r="CK3466" s="115"/>
      <c r="CL3466" s="115"/>
      <c r="CM3466" s="115"/>
      <c r="CN3466" s="115"/>
      <c r="CO3466" s="115"/>
      <c r="CP3466" s="115"/>
      <c r="CQ3466" s="115"/>
      <c r="CR3466" s="115"/>
      <c r="CS3466" s="115"/>
      <c r="CT3466" s="115"/>
      <c r="CU3466" s="115"/>
      <c r="CV3466" s="115"/>
      <c r="CW3466" s="115"/>
      <c r="CX3466" s="115"/>
      <c r="CY3466" s="115"/>
      <c r="CZ3466" s="115"/>
      <c r="DA3466" s="115"/>
      <c r="DB3466" s="115"/>
      <c r="DC3466" s="115"/>
      <c r="DD3466" s="115"/>
      <c r="DE3466" s="115"/>
      <c r="DF3466" s="115"/>
      <c r="DG3466" s="115"/>
    </row>
    <row r="3467" spans="55:111" hidden="1">
      <c r="BC3467" s="115"/>
      <c r="BD3467" s="115"/>
      <c r="BE3467" s="115"/>
      <c r="BF3467" s="115"/>
      <c r="BG3467" s="115"/>
      <c r="BH3467" s="115"/>
      <c r="BI3467" s="115"/>
      <c r="BJ3467" s="115"/>
      <c r="BK3467" s="115"/>
      <c r="BL3467" s="115"/>
      <c r="BM3467" s="115"/>
      <c r="BN3467" s="115"/>
      <c r="BO3467" s="115"/>
      <c r="BP3467" s="115"/>
      <c r="BQ3467" s="115"/>
      <c r="BR3467" s="115"/>
      <c r="BS3467" s="115"/>
      <c r="BT3467" s="115"/>
      <c r="BU3467" s="115"/>
      <c r="BV3467" s="115"/>
      <c r="BW3467" s="115"/>
      <c r="BX3467" s="115"/>
      <c r="BY3467" s="115"/>
      <c r="BZ3467" s="115"/>
      <c r="CA3467" s="115"/>
      <c r="CB3467" s="115"/>
      <c r="CC3467" s="115"/>
      <c r="CD3467" s="115"/>
      <c r="CE3467" s="115"/>
      <c r="CF3467" s="115"/>
      <c r="CG3467" s="115"/>
      <c r="CH3467" s="115"/>
      <c r="CI3467" s="115"/>
      <c r="CJ3467" s="115"/>
      <c r="CK3467" s="115"/>
      <c r="CL3467" s="115"/>
      <c r="CM3467" s="115"/>
      <c r="CN3467" s="115"/>
      <c r="CO3467" s="115"/>
      <c r="CP3467" s="115"/>
      <c r="CQ3467" s="115"/>
      <c r="CR3467" s="115"/>
      <c r="CS3467" s="115"/>
      <c r="CT3467" s="115"/>
      <c r="CU3467" s="115"/>
      <c r="CV3467" s="115"/>
      <c r="CW3467" s="115"/>
      <c r="CX3467" s="115"/>
      <c r="CY3467" s="115"/>
      <c r="CZ3467" s="115"/>
      <c r="DA3467" s="115"/>
      <c r="DB3467" s="115"/>
      <c r="DC3467" s="115"/>
      <c r="DD3467" s="115"/>
      <c r="DE3467" s="115"/>
      <c r="DF3467" s="115"/>
      <c r="DG3467" s="115"/>
    </row>
    <row r="3468" spans="55:111" hidden="1">
      <c r="BC3468" s="115"/>
      <c r="BD3468" s="115"/>
      <c r="BE3468" s="115"/>
      <c r="BF3468" s="115"/>
      <c r="BG3468" s="115"/>
      <c r="BH3468" s="115"/>
      <c r="BI3468" s="115"/>
      <c r="BJ3468" s="115"/>
      <c r="BK3468" s="115"/>
      <c r="BL3468" s="115"/>
      <c r="BM3468" s="115"/>
      <c r="BN3468" s="115"/>
      <c r="BO3468" s="115"/>
      <c r="BP3468" s="115"/>
      <c r="BQ3468" s="115"/>
      <c r="BR3468" s="115"/>
      <c r="BS3468" s="115"/>
      <c r="BT3468" s="115"/>
      <c r="BU3468" s="115"/>
      <c r="BV3468" s="115"/>
      <c r="BW3468" s="115"/>
      <c r="BX3468" s="115"/>
      <c r="BY3468" s="115"/>
      <c r="BZ3468" s="115"/>
      <c r="CA3468" s="115"/>
      <c r="CB3468" s="115"/>
      <c r="CC3468" s="115"/>
      <c r="CD3468" s="115"/>
      <c r="CE3468" s="115"/>
      <c r="CF3468" s="115"/>
      <c r="CG3468" s="115"/>
      <c r="CH3468" s="115"/>
      <c r="CI3468" s="115"/>
      <c r="CJ3468" s="115"/>
      <c r="CK3468" s="115"/>
      <c r="CL3468" s="115"/>
      <c r="CM3468" s="115"/>
      <c r="CN3468" s="115"/>
      <c r="CO3468" s="115"/>
      <c r="CP3468" s="115"/>
      <c r="CQ3468" s="115"/>
      <c r="CR3468" s="115"/>
      <c r="CS3468" s="115"/>
      <c r="CT3468" s="115"/>
      <c r="CU3468" s="115"/>
      <c r="CV3468" s="115"/>
      <c r="CW3468" s="115"/>
      <c r="CX3468" s="115"/>
      <c r="CY3468" s="115"/>
      <c r="CZ3468" s="115"/>
      <c r="DA3468" s="115"/>
      <c r="DB3468" s="115"/>
      <c r="DC3468" s="115"/>
      <c r="DD3468" s="115"/>
      <c r="DE3468" s="115"/>
      <c r="DF3468" s="115"/>
      <c r="DG3468" s="115"/>
    </row>
    <row r="3469" spans="55:111" hidden="1">
      <c r="BC3469" s="115"/>
      <c r="BD3469" s="115"/>
      <c r="BE3469" s="115"/>
      <c r="BF3469" s="115"/>
      <c r="BG3469" s="115"/>
      <c r="BH3469" s="115"/>
      <c r="BI3469" s="115"/>
      <c r="BJ3469" s="115"/>
      <c r="BK3469" s="115"/>
      <c r="BL3469" s="115"/>
      <c r="BM3469" s="115"/>
      <c r="BN3469" s="115"/>
      <c r="BO3469" s="115"/>
      <c r="BP3469" s="115"/>
      <c r="BQ3469" s="115"/>
      <c r="BR3469" s="115"/>
      <c r="BS3469" s="115"/>
      <c r="BT3469" s="115"/>
      <c r="BU3469" s="115"/>
      <c r="BV3469" s="115"/>
      <c r="BW3469" s="115"/>
      <c r="BX3469" s="115"/>
      <c r="BY3469" s="115"/>
      <c r="BZ3469" s="115"/>
      <c r="CA3469" s="115"/>
      <c r="CB3469" s="115"/>
      <c r="CC3469" s="115"/>
      <c r="CD3469" s="115"/>
      <c r="CE3469" s="115"/>
      <c r="CF3469" s="115"/>
      <c r="CG3469" s="115"/>
      <c r="CH3469" s="115"/>
      <c r="CI3469" s="115"/>
      <c r="CJ3469" s="115"/>
      <c r="CK3469" s="115"/>
      <c r="CL3469" s="115"/>
      <c r="CM3469" s="115"/>
      <c r="CN3469" s="115"/>
      <c r="CO3469" s="115"/>
      <c r="CP3469" s="115"/>
      <c r="CQ3469" s="115"/>
      <c r="CR3469" s="115"/>
      <c r="CS3469" s="115"/>
      <c r="CT3469" s="115"/>
      <c r="CU3469" s="115"/>
      <c r="CV3469" s="115"/>
      <c r="CW3469" s="115"/>
      <c r="CX3469" s="115"/>
      <c r="CY3469" s="115"/>
      <c r="CZ3469" s="115"/>
      <c r="DA3469" s="115"/>
      <c r="DB3469" s="115"/>
      <c r="DC3469" s="115"/>
      <c r="DD3469" s="115"/>
      <c r="DE3469" s="115"/>
      <c r="DF3469" s="115"/>
      <c r="DG3469" s="115"/>
    </row>
    <row r="3470" spans="55:111" hidden="1">
      <c r="BC3470" s="115"/>
      <c r="BD3470" s="115"/>
      <c r="BE3470" s="115"/>
      <c r="BF3470" s="115"/>
      <c r="BG3470" s="115"/>
      <c r="BH3470" s="115"/>
      <c r="BI3470" s="115"/>
      <c r="BJ3470" s="115"/>
      <c r="BK3470" s="115"/>
      <c r="BL3470" s="115"/>
      <c r="BM3470" s="115"/>
      <c r="BN3470" s="115"/>
      <c r="BO3470" s="115"/>
      <c r="BP3470" s="115"/>
      <c r="BQ3470" s="115"/>
      <c r="BR3470" s="115"/>
      <c r="BS3470" s="115"/>
      <c r="BT3470" s="115"/>
      <c r="BU3470" s="115"/>
      <c r="BV3470" s="115"/>
      <c r="BW3470" s="115"/>
      <c r="BX3470" s="115"/>
      <c r="BY3470" s="115"/>
      <c r="BZ3470" s="115"/>
      <c r="CA3470" s="115"/>
      <c r="CB3470" s="115"/>
      <c r="CC3470" s="115"/>
      <c r="CD3470" s="115"/>
      <c r="CE3470" s="115"/>
      <c r="CF3470" s="115"/>
      <c r="CG3470" s="115"/>
      <c r="CH3470" s="115"/>
      <c r="CI3470" s="115"/>
      <c r="CJ3470" s="115"/>
      <c r="CK3470" s="115"/>
      <c r="CL3470" s="115"/>
      <c r="CM3470" s="115"/>
      <c r="CN3470" s="115"/>
      <c r="CO3470" s="115"/>
      <c r="CP3470" s="115"/>
      <c r="CQ3470" s="115"/>
      <c r="CR3470" s="115"/>
      <c r="CS3470" s="115"/>
      <c r="CT3470" s="115"/>
      <c r="CU3470" s="115"/>
      <c r="CV3470" s="115"/>
      <c r="CW3470" s="115"/>
      <c r="CX3470" s="115"/>
      <c r="CY3470" s="115"/>
      <c r="CZ3470" s="115"/>
      <c r="DA3470" s="115"/>
      <c r="DB3470" s="115"/>
      <c r="DC3470" s="115"/>
      <c r="DD3470" s="115"/>
      <c r="DE3470" s="115"/>
      <c r="DF3470" s="115"/>
      <c r="DG3470" s="115"/>
    </row>
    <row r="3471" spans="55:111" hidden="1">
      <c r="BC3471" s="115"/>
      <c r="BD3471" s="115"/>
      <c r="BE3471" s="115"/>
      <c r="BF3471" s="115"/>
      <c r="BG3471" s="115"/>
      <c r="BH3471" s="115"/>
      <c r="BI3471" s="115"/>
      <c r="BJ3471" s="115"/>
      <c r="BK3471" s="115"/>
      <c r="BL3471" s="115"/>
      <c r="BM3471" s="115"/>
      <c r="BN3471" s="115"/>
      <c r="BO3471" s="115"/>
      <c r="BP3471" s="115"/>
      <c r="BQ3471" s="115"/>
      <c r="BR3471" s="115"/>
      <c r="BS3471" s="115"/>
      <c r="BT3471" s="115"/>
      <c r="BU3471" s="115"/>
      <c r="BV3471" s="115"/>
      <c r="BW3471" s="115"/>
      <c r="BX3471" s="115"/>
      <c r="BY3471" s="115"/>
      <c r="BZ3471" s="115"/>
      <c r="CA3471" s="115"/>
      <c r="CB3471" s="115"/>
      <c r="CC3471" s="115"/>
      <c r="CD3471" s="115"/>
      <c r="CE3471" s="115"/>
      <c r="CF3471" s="115"/>
      <c r="CG3471" s="115"/>
      <c r="CH3471" s="115"/>
      <c r="CI3471" s="115"/>
      <c r="CJ3471" s="115"/>
      <c r="CK3471" s="115"/>
      <c r="CL3471" s="115"/>
      <c r="CM3471" s="115"/>
      <c r="CN3471" s="115"/>
      <c r="CO3471" s="115"/>
      <c r="CP3471" s="115"/>
      <c r="CQ3471" s="115"/>
      <c r="CR3471" s="115"/>
      <c r="CS3471" s="115"/>
      <c r="CT3471" s="115"/>
      <c r="CU3471" s="115"/>
      <c r="CV3471" s="115"/>
      <c r="CW3471" s="115"/>
      <c r="CX3471" s="115"/>
      <c r="CY3471" s="115"/>
      <c r="CZ3471" s="115"/>
      <c r="DA3471" s="115"/>
      <c r="DB3471" s="115"/>
      <c r="DC3471" s="115"/>
      <c r="DD3471" s="115"/>
      <c r="DE3471" s="115"/>
      <c r="DF3471" s="115"/>
      <c r="DG3471" s="115"/>
    </row>
    <row r="3472" spans="55:111" hidden="1">
      <c r="BC3472" s="115"/>
      <c r="BD3472" s="115"/>
      <c r="BE3472" s="115"/>
      <c r="BF3472" s="115"/>
      <c r="BG3472" s="115"/>
      <c r="BH3472" s="115"/>
      <c r="BI3472" s="115"/>
      <c r="BJ3472" s="115"/>
      <c r="BK3472" s="115"/>
      <c r="BL3472" s="115"/>
      <c r="BM3472" s="115"/>
      <c r="BN3472" s="115"/>
      <c r="BO3472" s="115"/>
      <c r="BP3472" s="115"/>
      <c r="BQ3472" s="115"/>
      <c r="BR3472" s="115"/>
      <c r="BS3472" s="115"/>
      <c r="BT3472" s="115"/>
      <c r="BU3472" s="115"/>
      <c r="BV3472" s="115"/>
      <c r="BW3472" s="115"/>
      <c r="BX3472" s="115"/>
      <c r="BY3472" s="115"/>
      <c r="BZ3472" s="115"/>
      <c r="CA3472" s="115"/>
      <c r="CB3472" s="115"/>
      <c r="CC3472" s="115"/>
      <c r="CD3472" s="115"/>
      <c r="CE3472" s="115"/>
      <c r="CF3472" s="115"/>
      <c r="CG3472" s="115"/>
      <c r="CH3472" s="115"/>
      <c r="CI3472" s="115"/>
      <c r="CJ3472" s="115"/>
      <c r="CK3472" s="115"/>
      <c r="CL3472" s="115"/>
      <c r="CM3472" s="115"/>
      <c r="CN3472" s="115"/>
      <c r="CO3472" s="115"/>
      <c r="CP3472" s="115"/>
      <c r="CQ3472" s="115"/>
      <c r="CR3472" s="115"/>
      <c r="CS3472" s="115"/>
      <c r="CT3472" s="115"/>
      <c r="CU3472" s="115"/>
      <c r="CV3472" s="115"/>
      <c r="CW3472" s="115"/>
      <c r="CX3472" s="115"/>
      <c r="CY3472" s="115"/>
      <c r="CZ3472" s="115"/>
      <c r="DA3472" s="115"/>
      <c r="DB3472" s="115"/>
      <c r="DC3472" s="115"/>
      <c r="DD3472" s="115"/>
      <c r="DE3472" s="115"/>
      <c r="DF3472" s="115"/>
      <c r="DG3472" s="115"/>
    </row>
    <row r="3473" spans="55:111" hidden="1">
      <c r="BC3473" s="115"/>
      <c r="BD3473" s="115"/>
      <c r="BE3473" s="115"/>
      <c r="BF3473" s="115"/>
      <c r="BG3473" s="115"/>
      <c r="BH3473" s="115"/>
      <c r="BI3473" s="115"/>
      <c r="BJ3473" s="115"/>
      <c r="BK3473" s="115"/>
      <c r="BL3473" s="115"/>
      <c r="BM3473" s="115"/>
      <c r="BN3473" s="115"/>
      <c r="BO3473" s="115"/>
      <c r="BP3473" s="115"/>
      <c r="BQ3473" s="115"/>
      <c r="BR3473" s="115"/>
      <c r="BS3473" s="115"/>
      <c r="BT3473" s="115"/>
      <c r="BU3473" s="115"/>
      <c r="BV3473" s="115"/>
      <c r="BW3473" s="115"/>
      <c r="BX3473" s="115"/>
      <c r="BY3473" s="115"/>
      <c r="BZ3473" s="115"/>
      <c r="CA3473" s="115"/>
      <c r="CB3473" s="115"/>
      <c r="CC3473" s="115"/>
      <c r="CD3473" s="115"/>
      <c r="CE3473" s="115"/>
      <c r="CF3473" s="115"/>
      <c r="CG3473" s="115"/>
      <c r="CH3473" s="115"/>
      <c r="CI3473" s="115"/>
      <c r="CJ3473" s="115"/>
      <c r="CK3473" s="115"/>
      <c r="CL3473" s="115"/>
      <c r="CM3473" s="115"/>
      <c r="CN3473" s="115"/>
      <c r="CO3473" s="115"/>
      <c r="CP3473" s="115"/>
      <c r="CQ3473" s="115"/>
      <c r="CR3473" s="115"/>
      <c r="CS3473" s="115"/>
      <c r="CT3473" s="115"/>
      <c r="CU3473" s="115"/>
      <c r="CV3473" s="115"/>
      <c r="CW3473" s="115"/>
      <c r="CX3473" s="115"/>
      <c r="CY3473" s="115"/>
      <c r="CZ3473" s="115"/>
      <c r="DA3473" s="115"/>
      <c r="DB3473" s="115"/>
      <c r="DC3473" s="115"/>
      <c r="DD3473" s="115"/>
      <c r="DE3473" s="115"/>
      <c r="DF3473" s="115"/>
      <c r="DG3473" s="115"/>
    </row>
    <row r="3474" spans="55:111" hidden="1">
      <c r="BC3474" s="115"/>
      <c r="BD3474" s="115"/>
      <c r="BE3474" s="115"/>
      <c r="BF3474" s="115"/>
      <c r="BG3474" s="115"/>
      <c r="BH3474" s="115"/>
      <c r="BI3474" s="115"/>
      <c r="BJ3474" s="115"/>
      <c r="BK3474" s="115"/>
      <c r="BL3474" s="115"/>
      <c r="BM3474" s="115"/>
      <c r="BN3474" s="115"/>
      <c r="BO3474" s="115"/>
      <c r="BP3474" s="115"/>
      <c r="BQ3474" s="115"/>
      <c r="BR3474" s="115"/>
      <c r="BS3474" s="115"/>
      <c r="BT3474" s="115"/>
      <c r="BU3474" s="115"/>
      <c r="BV3474" s="115"/>
      <c r="BW3474" s="115"/>
      <c r="BX3474" s="115"/>
      <c r="BY3474" s="115"/>
      <c r="BZ3474" s="115"/>
      <c r="CA3474" s="115"/>
      <c r="CB3474" s="115"/>
      <c r="CC3474" s="115"/>
      <c r="CD3474" s="115"/>
      <c r="CE3474" s="115"/>
      <c r="CF3474" s="115"/>
      <c r="CG3474" s="115"/>
      <c r="CH3474" s="115"/>
      <c r="CI3474" s="115"/>
      <c r="CJ3474" s="115"/>
      <c r="CK3474" s="115"/>
      <c r="CL3474" s="115"/>
      <c r="CM3474" s="115"/>
      <c r="CN3474" s="115"/>
      <c r="CO3474" s="115"/>
      <c r="CP3474" s="115"/>
      <c r="CQ3474" s="115"/>
      <c r="CR3474" s="115"/>
      <c r="CS3474" s="115"/>
      <c r="CT3474" s="115"/>
      <c r="CU3474" s="115"/>
      <c r="CV3474" s="115"/>
      <c r="CW3474" s="115"/>
      <c r="CX3474" s="115"/>
      <c r="CY3474" s="115"/>
      <c r="CZ3474" s="115"/>
      <c r="DA3474" s="115"/>
      <c r="DB3474" s="115"/>
      <c r="DC3474" s="115"/>
      <c r="DD3474" s="115"/>
      <c r="DE3474" s="115"/>
      <c r="DF3474" s="115"/>
      <c r="DG3474" s="115"/>
    </row>
    <row r="3475" spans="55:111" hidden="1">
      <c r="BC3475" s="115"/>
      <c r="BD3475" s="115"/>
      <c r="BE3475" s="115"/>
      <c r="BF3475" s="115"/>
      <c r="BG3475" s="115"/>
      <c r="BH3475" s="115"/>
      <c r="BI3475" s="115"/>
      <c r="BJ3475" s="115"/>
      <c r="BK3475" s="115"/>
      <c r="BL3475" s="115"/>
      <c r="BM3475" s="115"/>
      <c r="BN3475" s="115"/>
      <c r="BO3475" s="115"/>
      <c r="BP3475" s="115"/>
      <c r="BQ3475" s="115"/>
      <c r="BR3475" s="115"/>
      <c r="BS3475" s="115"/>
      <c r="BT3475" s="115"/>
      <c r="BU3475" s="115"/>
      <c r="BV3475" s="115"/>
      <c r="BW3475" s="115"/>
      <c r="BX3475" s="115"/>
      <c r="BY3475" s="115"/>
      <c r="BZ3475" s="115"/>
      <c r="CA3475" s="115"/>
      <c r="CB3475" s="115"/>
      <c r="CC3475" s="115"/>
      <c r="CD3475" s="115"/>
      <c r="CE3475" s="115"/>
      <c r="CF3475" s="115"/>
      <c r="CG3475" s="115"/>
      <c r="CH3475" s="115"/>
      <c r="CI3475" s="115"/>
      <c r="CJ3475" s="115"/>
      <c r="CK3475" s="115"/>
      <c r="CL3475" s="115"/>
      <c r="CM3475" s="115"/>
      <c r="CN3475" s="115"/>
      <c r="CO3475" s="115"/>
      <c r="CP3475" s="115"/>
      <c r="CQ3475" s="115"/>
      <c r="CR3475" s="115"/>
      <c r="CS3475" s="115"/>
      <c r="CT3475" s="115"/>
      <c r="CU3475" s="115"/>
      <c r="CV3475" s="115"/>
      <c r="CW3475" s="115"/>
      <c r="CX3475" s="115"/>
      <c r="CY3475" s="115"/>
      <c r="CZ3475" s="115"/>
      <c r="DA3475" s="115"/>
      <c r="DB3475" s="115"/>
      <c r="DC3475" s="115"/>
      <c r="DD3475" s="115"/>
      <c r="DE3475" s="115"/>
      <c r="DF3475" s="115"/>
      <c r="DG3475" s="115"/>
    </row>
    <row r="3476" spans="55:111" hidden="1">
      <c r="BC3476" s="115"/>
      <c r="BD3476" s="115"/>
      <c r="BE3476" s="115"/>
      <c r="BF3476" s="115"/>
      <c r="BG3476" s="115"/>
      <c r="BH3476" s="115"/>
      <c r="BI3476" s="115"/>
      <c r="BJ3476" s="115"/>
      <c r="BK3476" s="115"/>
      <c r="BL3476" s="115"/>
      <c r="BM3476" s="115"/>
      <c r="BN3476" s="115"/>
      <c r="BO3476" s="115"/>
      <c r="BP3476" s="115"/>
      <c r="BQ3476" s="115"/>
      <c r="BR3476" s="115"/>
      <c r="BS3476" s="115"/>
      <c r="BT3476" s="115"/>
      <c r="BU3476" s="115"/>
      <c r="BV3476" s="115"/>
      <c r="BW3476" s="115"/>
      <c r="BX3476" s="115"/>
      <c r="BY3476" s="115"/>
      <c r="BZ3476" s="115"/>
      <c r="CA3476" s="115"/>
      <c r="CB3476" s="115"/>
      <c r="CC3476" s="115"/>
      <c r="CD3476" s="115"/>
      <c r="CE3476" s="115"/>
      <c r="CF3476" s="115"/>
      <c r="CG3476" s="115"/>
      <c r="CH3476" s="115"/>
      <c r="CI3476" s="115"/>
      <c r="CJ3476" s="115"/>
      <c r="CK3476" s="115"/>
      <c r="CL3476" s="115"/>
      <c r="CM3476" s="115"/>
      <c r="CN3476" s="115"/>
      <c r="CO3476" s="115"/>
      <c r="CP3476" s="115"/>
      <c r="CQ3476" s="115"/>
      <c r="CR3476" s="115"/>
      <c r="CS3476" s="115"/>
      <c r="CT3476" s="115"/>
      <c r="CU3476" s="115"/>
      <c r="CV3476" s="115"/>
      <c r="CW3476" s="115"/>
      <c r="CX3476" s="115"/>
      <c r="CY3476" s="115"/>
      <c r="CZ3476" s="115"/>
      <c r="DA3476" s="115"/>
      <c r="DB3476" s="115"/>
      <c r="DC3476" s="115"/>
      <c r="DD3476" s="115"/>
      <c r="DE3476" s="115"/>
      <c r="DF3476" s="115"/>
      <c r="DG3476" s="115"/>
    </row>
    <row r="3477" spans="55:111" hidden="1">
      <c r="BC3477" s="115"/>
      <c r="BD3477" s="115"/>
      <c r="BE3477" s="115"/>
      <c r="BF3477" s="115"/>
      <c r="BG3477" s="115"/>
      <c r="BH3477" s="115"/>
      <c r="BI3477" s="115"/>
      <c r="BJ3477" s="115"/>
      <c r="BK3477" s="115"/>
      <c r="BL3477" s="115"/>
      <c r="BM3477" s="115"/>
      <c r="BN3477" s="115"/>
      <c r="BO3477" s="115"/>
      <c r="BP3477" s="115"/>
      <c r="BQ3477" s="115"/>
      <c r="BR3477" s="115"/>
      <c r="BS3477" s="115"/>
      <c r="BT3477" s="115"/>
      <c r="BU3477" s="115"/>
      <c r="BV3477" s="115"/>
      <c r="BW3477" s="115"/>
      <c r="BX3477" s="115"/>
      <c r="BY3477" s="115"/>
      <c r="BZ3477" s="115"/>
      <c r="CA3477" s="115"/>
      <c r="CB3477" s="115"/>
      <c r="CC3477" s="115"/>
      <c r="CD3477" s="115"/>
      <c r="CE3477" s="115"/>
      <c r="CF3477" s="115"/>
      <c r="CG3477" s="115"/>
      <c r="CH3477" s="115"/>
      <c r="CI3477" s="115"/>
      <c r="CJ3477" s="115"/>
      <c r="CK3477" s="115"/>
      <c r="CL3477" s="115"/>
      <c r="CM3477" s="115"/>
      <c r="CN3477" s="115"/>
      <c r="CO3477" s="115"/>
      <c r="CP3477" s="115"/>
      <c r="CQ3477" s="115"/>
      <c r="CR3477" s="115"/>
      <c r="CS3477" s="115"/>
      <c r="CT3477" s="115"/>
      <c r="CU3477" s="115"/>
      <c r="CV3477" s="115"/>
      <c r="CW3477" s="115"/>
      <c r="CX3477" s="115"/>
      <c r="CY3477" s="115"/>
      <c r="CZ3477" s="115"/>
      <c r="DA3477" s="115"/>
      <c r="DB3477" s="115"/>
      <c r="DC3477" s="115"/>
      <c r="DD3477" s="115"/>
      <c r="DE3477" s="115"/>
      <c r="DF3477" s="115"/>
      <c r="DG3477" s="115"/>
    </row>
    <row r="3478" spans="55:111" hidden="1">
      <c r="BC3478" s="115"/>
      <c r="BD3478" s="115"/>
      <c r="BE3478" s="115"/>
      <c r="BF3478" s="115"/>
      <c r="BG3478" s="115"/>
      <c r="BH3478" s="115"/>
      <c r="BI3478" s="115"/>
      <c r="BJ3478" s="115"/>
      <c r="BK3478" s="115"/>
      <c r="BL3478" s="115"/>
      <c r="BM3478" s="115"/>
      <c r="BN3478" s="115"/>
      <c r="BO3478" s="115"/>
      <c r="BP3478" s="115"/>
      <c r="BQ3478" s="115"/>
      <c r="BR3478" s="115"/>
      <c r="BS3478" s="115"/>
      <c r="BT3478" s="115"/>
      <c r="BU3478" s="115"/>
      <c r="BV3478" s="115"/>
      <c r="BW3478" s="115"/>
      <c r="BX3478" s="115"/>
      <c r="BY3478" s="115"/>
      <c r="BZ3478" s="115"/>
      <c r="CA3478" s="115"/>
      <c r="CB3478" s="115"/>
      <c r="CC3478" s="115"/>
      <c r="CD3478" s="115"/>
      <c r="CE3478" s="115"/>
      <c r="CF3478" s="115"/>
      <c r="CG3478" s="115"/>
      <c r="CH3478" s="115"/>
      <c r="CI3478" s="115"/>
      <c r="CJ3478" s="115"/>
      <c r="CK3478" s="115"/>
      <c r="CL3478" s="115"/>
      <c r="CM3478" s="115"/>
      <c r="CN3478" s="115"/>
      <c r="CO3478" s="115"/>
      <c r="CP3478" s="115"/>
      <c r="CQ3478" s="115"/>
      <c r="CR3478" s="115"/>
      <c r="CS3478" s="115"/>
      <c r="CT3478" s="115"/>
      <c r="CU3478" s="115"/>
      <c r="CV3478" s="115"/>
      <c r="CW3478" s="115"/>
      <c r="CX3478" s="115"/>
      <c r="CY3478" s="115"/>
      <c r="CZ3478" s="115"/>
      <c r="DA3478" s="115"/>
      <c r="DB3478" s="115"/>
      <c r="DC3478" s="115"/>
      <c r="DD3478" s="115"/>
      <c r="DE3478" s="115"/>
      <c r="DF3478" s="115"/>
      <c r="DG3478" s="115"/>
    </row>
    <row r="3479" spans="55:111" hidden="1">
      <c r="BC3479" s="115"/>
      <c r="BD3479" s="115"/>
      <c r="BE3479" s="115"/>
      <c r="BF3479" s="115"/>
      <c r="BG3479" s="115"/>
      <c r="BH3479" s="115"/>
      <c r="BI3479" s="115"/>
      <c r="BJ3479" s="115"/>
      <c r="BK3479" s="115"/>
      <c r="BL3479" s="115"/>
      <c r="BM3479" s="115"/>
      <c r="BN3479" s="115"/>
      <c r="BO3479" s="115"/>
      <c r="BP3479" s="115"/>
      <c r="BQ3479" s="115"/>
      <c r="BR3479" s="115"/>
      <c r="BS3479" s="115"/>
      <c r="BT3479" s="115"/>
      <c r="BU3479" s="115"/>
      <c r="BV3479" s="115"/>
      <c r="BW3479" s="115"/>
      <c r="BX3479" s="115"/>
      <c r="BY3479" s="115"/>
      <c r="BZ3479" s="115"/>
      <c r="CA3479" s="115"/>
      <c r="CB3479" s="115"/>
      <c r="CC3479" s="115"/>
      <c r="CD3479" s="115"/>
      <c r="CE3479" s="115"/>
      <c r="CF3479" s="115"/>
      <c r="CG3479" s="115"/>
      <c r="CH3479" s="115"/>
      <c r="CI3479" s="115"/>
      <c r="CJ3479" s="115"/>
      <c r="CK3479" s="115"/>
      <c r="CL3479" s="115"/>
      <c r="CM3479" s="115"/>
      <c r="CN3479" s="115"/>
      <c r="CO3479" s="115"/>
      <c r="CP3479" s="115"/>
      <c r="CQ3479" s="115"/>
      <c r="CR3479" s="115"/>
      <c r="CS3479" s="115"/>
      <c r="CT3479" s="115"/>
      <c r="CU3479" s="115"/>
      <c r="CV3479" s="115"/>
      <c r="CW3479" s="115"/>
      <c r="CX3479" s="115"/>
      <c r="CY3479" s="115"/>
      <c r="CZ3479" s="115"/>
      <c r="DA3479" s="115"/>
      <c r="DB3479" s="115"/>
      <c r="DC3479" s="115"/>
      <c r="DD3479" s="115"/>
      <c r="DE3479" s="115"/>
      <c r="DF3479" s="115"/>
      <c r="DG3479" s="115"/>
    </row>
    <row r="3480" spans="55:111" hidden="1">
      <c r="BC3480" s="115"/>
      <c r="BD3480" s="115"/>
      <c r="BE3480" s="115"/>
      <c r="BF3480" s="115"/>
      <c r="BG3480" s="115"/>
      <c r="BH3480" s="115"/>
      <c r="BI3480" s="115"/>
      <c r="BJ3480" s="115"/>
      <c r="BK3480" s="115"/>
      <c r="BL3480" s="115"/>
      <c r="BM3480" s="115"/>
      <c r="BN3480" s="115"/>
      <c r="BO3480" s="115"/>
      <c r="BP3480" s="115"/>
      <c r="BQ3480" s="115"/>
      <c r="BR3480" s="115"/>
      <c r="BS3480" s="115"/>
      <c r="BT3480" s="115"/>
      <c r="BU3480" s="115"/>
      <c r="BV3480" s="115"/>
      <c r="BW3480" s="115"/>
      <c r="BX3480" s="115"/>
      <c r="BY3480" s="115"/>
      <c r="BZ3480" s="115"/>
      <c r="CA3480" s="115"/>
      <c r="CB3480" s="115"/>
      <c r="CC3480" s="115"/>
      <c r="CD3480" s="115"/>
      <c r="CE3480" s="115"/>
      <c r="CF3480" s="115"/>
      <c r="CG3480" s="115"/>
      <c r="CH3480" s="115"/>
      <c r="CI3480" s="115"/>
      <c r="CJ3480" s="115"/>
      <c r="CK3480" s="115"/>
      <c r="CL3480" s="115"/>
      <c r="CM3480" s="115"/>
      <c r="CN3480" s="115"/>
      <c r="CO3480" s="115"/>
      <c r="CP3480" s="115"/>
      <c r="CQ3480" s="115"/>
      <c r="CR3480" s="115"/>
      <c r="CS3480" s="115"/>
      <c r="CT3480" s="115"/>
      <c r="CU3480" s="115"/>
      <c r="CV3480" s="115"/>
      <c r="CW3480" s="115"/>
      <c r="CX3480" s="115"/>
      <c r="CY3480" s="115"/>
      <c r="CZ3480" s="115"/>
      <c r="DA3480" s="115"/>
      <c r="DB3480" s="115"/>
      <c r="DC3480" s="115"/>
      <c r="DD3480" s="115"/>
      <c r="DE3480" s="115"/>
      <c r="DF3480" s="115"/>
      <c r="DG3480" s="115"/>
    </row>
    <row r="3481" spans="55:111" hidden="1">
      <c r="BC3481" s="115"/>
      <c r="BD3481" s="115"/>
      <c r="BE3481" s="115"/>
      <c r="BF3481" s="115"/>
      <c r="BG3481" s="115"/>
      <c r="BH3481" s="115"/>
      <c r="BI3481" s="115"/>
      <c r="BJ3481" s="115"/>
      <c r="BK3481" s="115"/>
      <c r="BL3481" s="115"/>
      <c r="BM3481" s="115"/>
      <c r="BN3481" s="115"/>
      <c r="BO3481" s="115"/>
      <c r="BP3481" s="115"/>
      <c r="BQ3481" s="115"/>
      <c r="BR3481" s="115"/>
      <c r="BS3481" s="115"/>
      <c r="BT3481" s="115"/>
      <c r="BU3481" s="115"/>
      <c r="BV3481" s="115"/>
      <c r="BW3481" s="115"/>
      <c r="BX3481" s="115"/>
      <c r="BY3481" s="115"/>
      <c r="BZ3481" s="115"/>
      <c r="CA3481" s="115"/>
      <c r="CB3481" s="115"/>
      <c r="CC3481" s="115"/>
      <c r="CD3481" s="115"/>
      <c r="CE3481" s="115"/>
      <c r="CF3481" s="115"/>
      <c r="CG3481" s="115"/>
      <c r="CH3481" s="115"/>
      <c r="CI3481" s="115"/>
      <c r="CJ3481" s="115"/>
      <c r="CK3481" s="115"/>
      <c r="CL3481" s="115"/>
      <c r="CM3481" s="115"/>
      <c r="CN3481" s="115"/>
      <c r="CO3481" s="115"/>
      <c r="CP3481" s="115"/>
      <c r="CQ3481" s="115"/>
      <c r="CR3481" s="115"/>
      <c r="CS3481" s="115"/>
      <c r="CT3481" s="115"/>
      <c r="CU3481" s="115"/>
      <c r="CV3481" s="115"/>
      <c r="CW3481" s="115"/>
      <c r="CX3481" s="115"/>
      <c r="CY3481" s="115"/>
      <c r="CZ3481" s="115"/>
      <c r="DA3481" s="115"/>
      <c r="DB3481" s="115"/>
      <c r="DC3481" s="115"/>
      <c r="DD3481" s="115"/>
      <c r="DE3481" s="115"/>
      <c r="DF3481" s="115"/>
      <c r="DG3481" s="115"/>
    </row>
    <row r="3482" spans="55:111" hidden="1">
      <c r="BC3482" s="115"/>
      <c r="BD3482" s="115"/>
      <c r="BE3482" s="115"/>
      <c r="BF3482" s="115"/>
      <c r="BG3482" s="115"/>
      <c r="BH3482" s="115"/>
      <c r="BI3482" s="115"/>
      <c r="BJ3482" s="115"/>
      <c r="BK3482" s="115"/>
      <c r="BL3482" s="115"/>
      <c r="BM3482" s="115"/>
      <c r="BN3482" s="115"/>
      <c r="BO3482" s="115"/>
      <c r="BP3482" s="115"/>
      <c r="BQ3482" s="115"/>
      <c r="BR3482" s="115"/>
      <c r="BS3482" s="115"/>
      <c r="BT3482" s="115"/>
      <c r="BU3482" s="115"/>
      <c r="BV3482" s="115"/>
      <c r="BW3482" s="115"/>
      <c r="BX3482" s="115"/>
      <c r="BY3482" s="115"/>
      <c r="BZ3482" s="115"/>
      <c r="CA3482" s="115"/>
      <c r="CB3482" s="115"/>
      <c r="CC3482" s="115"/>
      <c r="CD3482" s="115"/>
      <c r="CE3482" s="115"/>
      <c r="CF3482" s="115"/>
      <c r="CG3482" s="115"/>
      <c r="CH3482" s="115"/>
      <c r="CI3482" s="115"/>
      <c r="CJ3482" s="115"/>
      <c r="CK3482" s="115"/>
      <c r="CL3482" s="115"/>
      <c r="CM3482" s="115"/>
      <c r="CN3482" s="115"/>
      <c r="CO3482" s="115"/>
      <c r="CP3482" s="115"/>
      <c r="CQ3482" s="115"/>
      <c r="CR3482" s="115"/>
      <c r="CS3482" s="115"/>
      <c r="CT3482" s="115"/>
      <c r="CU3482" s="115"/>
      <c r="CV3482" s="115"/>
      <c r="CW3482" s="115"/>
      <c r="CX3482" s="115"/>
      <c r="CY3482" s="115"/>
      <c r="CZ3482" s="115"/>
      <c r="DA3482" s="115"/>
      <c r="DB3482" s="115"/>
      <c r="DC3482" s="115"/>
      <c r="DD3482" s="115"/>
      <c r="DE3482" s="115"/>
      <c r="DF3482" s="115"/>
      <c r="DG3482" s="115"/>
    </row>
    <row r="3483" spans="55:111" hidden="1">
      <c r="BC3483" s="115"/>
      <c r="BD3483" s="115"/>
      <c r="BE3483" s="115"/>
      <c r="BF3483" s="115"/>
      <c r="BG3483" s="115"/>
      <c r="BH3483" s="115"/>
      <c r="BI3483" s="115"/>
      <c r="BJ3483" s="115"/>
      <c r="BK3483" s="115"/>
      <c r="BL3483" s="115"/>
      <c r="BM3483" s="115"/>
      <c r="BN3483" s="115"/>
      <c r="BO3483" s="115"/>
      <c r="BP3483" s="115"/>
      <c r="BQ3483" s="115"/>
      <c r="BR3483" s="115"/>
      <c r="BS3483" s="115"/>
      <c r="BT3483" s="115"/>
      <c r="BU3483" s="115"/>
      <c r="BV3483" s="115"/>
      <c r="BW3483" s="115"/>
      <c r="BX3483" s="115"/>
      <c r="BY3483" s="115"/>
      <c r="BZ3483" s="115"/>
      <c r="CA3483" s="115"/>
      <c r="CB3483" s="115"/>
      <c r="CC3483" s="115"/>
      <c r="CD3483" s="115"/>
      <c r="CE3483" s="115"/>
      <c r="CF3483" s="115"/>
      <c r="CG3483" s="115"/>
      <c r="CH3483" s="115"/>
      <c r="CI3483" s="115"/>
      <c r="CJ3483" s="115"/>
      <c r="CK3483" s="115"/>
      <c r="CL3483" s="115"/>
      <c r="CM3483" s="115"/>
      <c r="CN3483" s="115"/>
      <c r="CO3483" s="115"/>
      <c r="CP3483" s="115"/>
      <c r="CQ3483" s="115"/>
      <c r="CR3483" s="115"/>
      <c r="CS3483" s="115"/>
      <c r="CT3483" s="115"/>
      <c r="CU3483" s="115"/>
      <c r="CV3483" s="115"/>
      <c r="CW3483" s="115"/>
      <c r="CX3483" s="115"/>
      <c r="CY3483" s="115"/>
      <c r="CZ3483" s="115"/>
      <c r="DA3483" s="115"/>
      <c r="DB3483" s="115"/>
      <c r="DC3483" s="115"/>
      <c r="DD3483" s="115"/>
      <c r="DE3483" s="115"/>
      <c r="DF3483" s="115"/>
      <c r="DG3483" s="115"/>
    </row>
    <row r="3484" spans="55:111" hidden="1">
      <c r="BC3484" s="115"/>
      <c r="BD3484" s="115"/>
      <c r="BE3484" s="115"/>
      <c r="BF3484" s="115"/>
      <c r="BG3484" s="115"/>
      <c r="BH3484" s="115"/>
      <c r="BI3484" s="115"/>
      <c r="BJ3484" s="115"/>
      <c r="BK3484" s="115"/>
      <c r="BL3484" s="115"/>
      <c r="BM3484" s="115"/>
      <c r="BN3484" s="115"/>
      <c r="BO3484" s="115"/>
      <c r="BP3484" s="115"/>
      <c r="BQ3484" s="115"/>
      <c r="BR3484" s="115"/>
      <c r="BS3484" s="115"/>
      <c r="BT3484" s="115"/>
      <c r="BU3484" s="115"/>
      <c r="BV3484" s="115"/>
      <c r="BW3484" s="115"/>
      <c r="BX3484" s="115"/>
      <c r="BY3484" s="115"/>
      <c r="BZ3484" s="115"/>
      <c r="CA3484" s="115"/>
      <c r="CB3484" s="115"/>
      <c r="CC3484" s="115"/>
      <c r="CD3484" s="115"/>
      <c r="CE3484" s="115"/>
      <c r="CF3484" s="115"/>
      <c r="CG3484" s="115"/>
      <c r="CH3484" s="115"/>
      <c r="CI3484" s="115"/>
      <c r="CJ3484" s="115"/>
      <c r="CK3484" s="115"/>
      <c r="CL3484" s="115"/>
      <c r="CM3484" s="115"/>
      <c r="CN3484" s="115"/>
      <c r="CO3484" s="115"/>
      <c r="CP3484" s="115"/>
      <c r="CQ3484" s="115"/>
      <c r="CR3484" s="115"/>
      <c r="CS3484" s="115"/>
      <c r="CT3484" s="115"/>
      <c r="CU3484" s="115"/>
      <c r="CV3484" s="115"/>
      <c r="CW3484" s="115"/>
      <c r="CX3484" s="115"/>
      <c r="CY3484" s="115"/>
      <c r="CZ3484" s="115"/>
      <c r="DA3484" s="115"/>
      <c r="DB3484" s="115"/>
      <c r="DC3484" s="115"/>
      <c r="DD3484" s="115"/>
      <c r="DE3484" s="115"/>
      <c r="DF3484" s="115"/>
      <c r="DG3484" s="115"/>
    </row>
    <row r="3485" spans="55:111" hidden="1">
      <c r="BC3485" s="115"/>
      <c r="BD3485" s="115"/>
      <c r="BE3485" s="115"/>
      <c r="BF3485" s="115"/>
      <c r="BG3485" s="115"/>
      <c r="BH3485" s="115"/>
      <c r="BI3485" s="115"/>
      <c r="BJ3485" s="115"/>
      <c r="BK3485" s="115"/>
      <c r="BL3485" s="115"/>
      <c r="BM3485" s="115"/>
      <c r="BN3485" s="115"/>
      <c r="BO3485" s="115"/>
      <c r="BP3485" s="115"/>
      <c r="BQ3485" s="115"/>
      <c r="BR3485" s="115"/>
      <c r="BS3485" s="115"/>
      <c r="BT3485" s="115"/>
      <c r="BU3485" s="115"/>
      <c r="BV3485" s="115"/>
      <c r="BW3485" s="115"/>
      <c r="BX3485" s="115"/>
      <c r="BY3485" s="115"/>
      <c r="BZ3485" s="115"/>
      <c r="CA3485" s="115"/>
      <c r="CB3485" s="115"/>
      <c r="CC3485" s="115"/>
      <c r="CD3485" s="115"/>
      <c r="CE3485" s="115"/>
      <c r="CF3485" s="115"/>
      <c r="CG3485" s="115"/>
      <c r="CH3485" s="115"/>
      <c r="CI3485" s="115"/>
      <c r="CJ3485" s="115"/>
      <c r="CK3485" s="115"/>
      <c r="CL3485" s="115"/>
      <c r="CM3485" s="115"/>
      <c r="CN3485" s="115"/>
      <c r="CO3485" s="115"/>
      <c r="CP3485" s="115"/>
      <c r="CQ3485" s="115"/>
      <c r="CR3485" s="115"/>
      <c r="CS3485" s="115"/>
      <c r="CT3485" s="115"/>
      <c r="CU3485" s="115"/>
      <c r="CV3485" s="115"/>
      <c r="CW3485" s="115"/>
      <c r="CX3485" s="115"/>
      <c r="CY3485" s="115"/>
      <c r="CZ3485" s="115"/>
      <c r="DA3485" s="115"/>
      <c r="DB3485" s="115"/>
      <c r="DC3485" s="115"/>
      <c r="DD3485" s="115"/>
      <c r="DE3485" s="115"/>
      <c r="DF3485" s="115"/>
      <c r="DG3485" s="115"/>
    </row>
    <row r="3486" spans="55:111" hidden="1">
      <c r="BC3486" s="115"/>
      <c r="BD3486" s="115"/>
      <c r="BE3486" s="115"/>
      <c r="BF3486" s="115"/>
      <c r="BG3486" s="115"/>
      <c r="BH3486" s="115"/>
      <c r="BI3486" s="115"/>
      <c r="BJ3486" s="115"/>
      <c r="BK3486" s="115"/>
      <c r="BL3486" s="115"/>
      <c r="BM3486" s="115"/>
      <c r="BN3486" s="115"/>
      <c r="BO3486" s="115"/>
      <c r="BP3486" s="115"/>
      <c r="BQ3486" s="115"/>
      <c r="BR3486" s="115"/>
      <c r="BS3486" s="115"/>
      <c r="BT3486" s="115"/>
      <c r="BU3486" s="115"/>
      <c r="BV3486" s="115"/>
      <c r="BW3486" s="115"/>
      <c r="BX3486" s="115"/>
      <c r="BY3486" s="115"/>
      <c r="BZ3486" s="115"/>
      <c r="CA3486" s="115"/>
      <c r="CB3486" s="115"/>
      <c r="CC3486" s="115"/>
      <c r="CD3486" s="115"/>
      <c r="CE3486" s="115"/>
      <c r="CF3486" s="115"/>
      <c r="CG3486" s="115"/>
      <c r="CH3486" s="115"/>
      <c r="CI3486" s="115"/>
      <c r="CJ3486" s="115"/>
      <c r="CK3486" s="115"/>
      <c r="CL3486" s="115"/>
      <c r="CM3486" s="115"/>
      <c r="CN3486" s="115"/>
      <c r="CO3486" s="115"/>
      <c r="CP3486" s="115"/>
      <c r="CQ3486" s="115"/>
      <c r="CR3486" s="115"/>
      <c r="CS3486" s="115"/>
      <c r="CT3486" s="115"/>
      <c r="CU3486" s="115"/>
      <c r="CV3486" s="115"/>
      <c r="CW3486" s="115"/>
      <c r="CX3486" s="115"/>
      <c r="CY3486" s="115"/>
      <c r="CZ3486" s="115"/>
      <c r="DA3486" s="115"/>
      <c r="DB3486" s="115"/>
      <c r="DC3486" s="115"/>
      <c r="DD3486" s="115"/>
      <c r="DE3486" s="115"/>
      <c r="DF3486" s="115"/>
      <c r="DG3486" s="115"/>
    </row>
    <row r="3487" spans="55:111" hidden="1">
      <c r="BC3487" s="115"/>
      <c r="BD3487" s="115"/>
      <c r="BE3487" s="115"/>
      <c r="BF3487" s="115"/>
      <c r="BG3487" s="115"/>
      <c r="BH3487" s="115"/>
      <c r="BI3487" s="115"/>
      <c r="BJ3487" s="115"/>
      <c r="BK3487" s="115"/>
      <c r="BL3487" s="115"/>
      <c r="BM3487" s="115"/>
      <c r="BN3487" s="115"/>
      <c r="BO3487" s="115"/>
      <c r="BP3487" s="115"/>
      <c r="BQ3487" s="115"/>
      <c r="BR3487" s="115"/>
      <c r="BS3487" s="115"/>
      <c r="BT3487" s="115"/>
      <c r="BU3487" s="115"/>
      <c r="BV3487" s="115"/>
      <c r="BW3487" s="115"/>
      <c r="BX3487" s="115"/>
      <c r="BY3487" s="115"/>
      <c r="BZ3487" s="115"/>
      <c r="CA3487" s="115"/>
      <c r="CB3487" s="115"/>
      <c r="CC3487" s="115"/>
      <c r="CD3487" s="115"/>
      <c r="CE3487" s="115"/>
      <c r="CF3487" s="115"/>
      <c r="CG3487" s="115"/>
      <c r="CH3487" s="115"/>
      <c r="CI3487" s="115"/>
      <c r="CJ3487" s="115"/>
      <c r="CK3487" s="115"/>
      <c r="CL3487" s="115"/>
      <c r="CM3487" s="115"/>
      <c r="CN3487" s="115"/>
      <c r="CO3487" s="115"/>
      <c r="CP3487" s="115"/>
      <c r="CQ3487" s="115"/>
      <c r="CR3487" s="115"/>
      <c r="CS3487" s="115"/>
      <c r="CT3487" s="115"/>
      <c r="CU3487" s="115"/>
      <c r="CV3487" s="115"/>
      <c r="CW3487" s="115"/>
      <c r="CX3487" s="115"/>
      <c r="CY3487" s="115"/>
      <c r="CZ3487" s="115"/>
      <c r="DA3487" s="115"/>
      <c r="DB3487" s="115"/>
      <c r="DC3487" s="115"/>
      <c r="DD3487" s="115"/>
      <c r="DE3487" s="115"/>
      <c r="DF3487" s="115"/>
      <c r="DG3487" s="115"/>
    </row>
    <row r="3488" spans="55:111" hidden="1">
      <c r="BC3488" s="115"/>
      <c r="BD3488" s="115"/>
      <c r="BE3488" s="115"/>
      <c r="BF3488" s="115"/>
      <c r="BG3488" s="115"/>
      <c r="BH3488" s="115"/>
      <c r="BI3488" s="115"/>
      <c r="BJ3488" s="115"/>
      <c r="BK3488" s="115"/>
      <c r="BL3488" s="115"/>
      <c r="BM3488" s="115"/>
      <c r="BN3488" s="115"/>
      <c r="BO3488" s="115"/>
      <c r="BP3488" s="115"/>
      <c r="BQ3488" s="115"/>
      <c r="BR3488" s="115"/>
      <c r="BS3488" s="115"/>
      <c r="BT3488" s="115"/>
      <c r="BU3488" s="115"/>
      <c r="BV3488" s="115"/>
      <c r="BW3488" s="115"/>
      <c r="BX3488" s="115"/>
      <c r="BY3488" s="115"/>
      <c r="BZ3488" s="115"/>
      <c r="CA3488" s="115"/>
      <c r="CB3488" s="115"/>
      <c r="CC3488" s="115"/>
      <c r="CD3488" s="115"/>
      <c r="CE3488" s="115"/>
      <c r="CF3488" s="115"/>
      <c r="CG3488" s="115"/>
      <c r="CH3488" s="115"/>
      <c r="CI3488" s="115"/>
      <c r="CJ3488" s="115"/>
      <c r="CK3488" s="115"/>
      <c r="CL3488" s="115"/>
      <c r="CM3488" s="115"/>
      <c r="CN3488" s="115"/>
      <c r="CO3488" s="115"/>
      <c r="CP3488" s="115"/>
      <c r="CQ3488" s="115"/>
      <c r="CR3488" s="115"/>
      <c r="CS3488" s="115"/>
      <c r="CT3488" s="115"/>
      <c r="CU3488" s="115"/>
      <c r="CV3488" s="115"/>
      <c r="CW3488" s="115"/>
      <c r="CX3488" s="115"/>
      <c r="CY3488" s="115"/>
      <c r="CZ3488" s="115"/>
      <c r="DA3488" s="115"/>
      <c r="DB3488" s="115"/>
      <c r="DC3488" s="115"/>
      <c r="DD3488" s="115"/>
      <c r="DE3488" s="115"/>
      <c r="DF3488" s="115"/>
      <c r="DG3488" s="115"/>
    </row>
    <row r="3489" spans="55:111" hidden="1">
      <c r="BC3489" s="115"/>
      <c r="BD3489" s="115"/>
      <c r="BE3489" s="115"/>
      <c r="BF3489" s="115"/>
      <c r="BG3489" s="115"/>
      <c r="BH3489" s="115"/>
      <c r="BI3489" s="115"/>
      <c r="BJ3489" s="115"/>
      <c r="BK3489" s="115"/>
      <c r="BL3489" s="115"/>
      <c r="BM3489" s="115"/>
      <c r="BN3489" s="115"/>
      <c r="BO3489" s="115"/>
      <c r="BP3489" s="115"/>
      <c r="BQ3489" s="115"/>
      <c r="BR3489" s="115"/>
      <c r="BS3489" s="115"/>
      <c r="BT3489" s="115"/>
      <c r="BU3489" s="115"/>
      <c r="BV3489" s="115"/>
      <c r="BW3489" s="115"/>
      <c r="BX3489" s="115"/>
      <c r="BY3489" s="115"/>
      <c r="BZ3489" s="115"/>
      <c r="CA3489" s="115"/>
      <c r="CB3489" s="115"/>
      <c r="CC3489" s="115"/>
      <c r="CD3489" s="115"/>
      <c r="CE3489" s="115"/>
      <c r="CF3489" s="115"/>
      <c r="CG3489" s="115"/>
      <c r="CH3489" s="115"/>
      <c r="CI3489" s="115"/>
      <c r="CJ3489" s="115"/>
      <c r="CK3489" s="115"/>
      <c r="CL3489" s="115"/>
      <c r="CM3489" s="115"/>
      <c r="CN3489" s="115"/>
      <c r="CO3489" s="115"/>
      <c r="CP3489" s="115"/>
      <c r="CQ3489" s="115"/>
      <c r="CR3489" s="115"/>
      <c r="CS3489" s="115"/>
      <c r="CT3489" s="115"/>
      <c r="CU3489" s="115"/>
      <c r="CV3489" s="115"/>
      <c r="CW3489" s="115"/>
      <c r="CX3489" s="115"/>
      <c r="CY3489" s="115"/>
      <c r="CZ3489" s="115"/>
      <c r="DA3489" s="115"/>
      <c r="DB3489" s="115"/>
      <c r="DC3489" s="115"/>
      <c r="DD3489" s="115"/>
      <c r="DE3489" s="115"/>
      <c r="DF3489" s="115"/>
      <c r="DG3489" s="115"/>
    </row>
    <row r="3490" spans="55:111" hidden="1">
      <c r="BC3490" s="115"/>
      <c r="BD3490" s="115"/>
      <c r="BE3490" s="115"/>
      <c r="BF3490" s="115"/>
      <c r="BG3490" s="115"/>
      <c r="BH3490" s="115"/>
      <c r="BI3490" s="115"/>
      <c r="BJ3490" s="115"/>
      <c r="BK3490" s="115"/>
      <c r="BL3490" s="115"/>
      <c r="BM3490" s="115"/>
      <c r="BN3490" s="115"/>
      <c r="BO3490" s="115"/>
      <c r="BP3490" s="115"/>
      <c r="BQ3490" s="115"/>
      <c r="BR3490" s="115"/>
      <c r="BS3490" s="115"/>
      <c r="BT3490" s="115"/>
      <c r="BU3490" s="115"/>
      <c r="BV3490" s="115"/>
      <c r="BW3490" s="115"/>
      <c r="BX3490" s="115"/>
      <c r="BY3490" s="115"/>
      <c r="BZ3490" s="115"/>
      <c r="CA3490" s="115"/>
      <c r="CB3490" s="115"/>
      <c r="CC3490" s="115"/>
      <c r="CD3490" s="115"/>
      <c r="CE3490" s="115"/>
      <c r="CF3490" s="115"/>
      <c r="CG3490" s="115"/>
      <c r="CH3490" s="115"/>
      <c r="CI3490" s="115"/>
      <c r="CJ3490" s="115"/>
      <c r="CK3490" s="115"/>
      <c r="CL3490" s="115"/>
      <c r="CM3490" s="115"/>
      <c r="CN3490" s="115"/>
      <c r="CO3490" s="115"/>
      <c r="CP3490" s="115"/>
      <c r="CQ3490" s="115"/>
      <c r="CR3490" s="115"/>
      <c r="CS3490" s="115"/>
      <c r="CT3490" s="115"/>
      <c r="CU3490" s="115"/>
      <c r="CV3490" s="115"/>
      <c r="CW3490" s="115"/>
      <c r="CX3490" s="115"/>
      <c r="CY3490" s="115"/>
      <c r="CZ3490" s="115"/>
      <c r="DA3490" s="115"/>
      <c r="DB3490" s="115"/>
      <c r="DC3490" s="115"/>
      <c r="DD3490" s="115"/>
      <c r="DE3490" s="115"/>
      <c r="DF3490" s="115"/>
      <c r="DG3490" s="115"/>
    </row>
    <row r="3491" spans="55:111" hidden="1">
      <c r="BC3491" s="115"/>
      <c r="BD3491" s="115"/>
      <c r="BE3491" s="115"/>
      <c r="BF3491" s="115"/>
      <c r="BG3491" s="115"/>
      <c r="BH3491" s="115"/>
      <c r="BI3491" s="115"/>
      <c r="BJ3491" s="115"/>
      <c r="BK3491" s="115"/>
      <c r="BL3491" s="115"/>
      <c r="BM3491" s="115"/>
      <c r="BN3491" s="115"/>
      <c r="BO3491" s="115"/>
      <c r="BP3491" s="115"/>
      <c r="BQ3491" s="115"/>
      <c r="BR3491" s="115"/>
      <c r="BS3491" s="115"/>
      <c r="BT3491" s="115"/>
      <c r="BU3491" s="115"/>
      <c r="BV3491" s="115"/>
      <c r="BW3491" s="115"/>
      <c r="BX3491" s="115"/>
      <c r="BY3491" s="115"/>
      <c r="BZ3491" s="115"/>
      <c r="CA3491" s="115"/>
      <c r="CB3491" s="115"/>
      <c r="CC3491" s="115"/>
      <c r="CD3491" s="115"/>
      <c r="CE3491" s="115"/>
      <c r="CF3491" s="115"/>
      <c r="CG3491" s="115"/>
      <c r="CH3491" s="115"/>
      <c r="CI3491" s="115"/>
      <c r="CJ3491" s="115"/>
      <c r="CK3491" s="115"/>
      <c r="CL3491" s="115"/>
      <c r="CM3491" s="115"/>
      <c r="CN3491" s="115"/>
      <c r="CO3491" s="115"/>
      <c r="CP3491" s="115"/>
      <c r="CQ3491" s="115"/>
      <c r="CR3491" s="115"/>
      <c r="CS3491" s="115"/>
      <c r="CT3491" s="115"/>
      <c r="CU3491" s="115"/>
      <c r="CV3491" s="115"/>
      <c r="CW3491" s="115"/>
      <c r="CX3491" s="115"/>
      <c r="CY3491" s="115"/>
      <c r="CZ3491" s="115"/>
      <c r="DA3491" s="115"/>
      <c r="DB3491" s="115"/>
      <c r="DC3491" s="115"/>
      <c r="DD3491" s="115"/>
      <c r="DE3491" s="115"/>
      <c r="DF3491" s="115"/>
      <c r="DG3491" s="115"/>
    </row>
    <row r="3492" spans="55:111" hidden="1">
      <c r="BC3492" s="115"/>
      <c r="BD3492" s="115"/>
      <c r="BE3492" s="115"/>
      <c r="BF3492" s="115"/>
      <c r="BG3492" s="115"/>
      <c r="BH3492" s="115"/>
      <c r="BI3492" s="115"/>
      <c r="BJ3492" s="115"/>
      <c r="BK3492" s="115"/>
      <c r="BL3492" s="115"/>
      <c r="BM3492" s="115"/>
      <c r="BN3492" s="115"/>
      <c r="BO3492" s="115"/>
      <c r="BP3492" s="115"/>
      <c r="BQ3492" s="115"/>
      <c r="BR3492" s="115"/>
      <c r="BS3492" s="115"/>
      <c r="BT3492" s="115"/>
      <c r="BU3492" s="115"/>
      <c r="BV3492" s="115"/>
      <c r="BW3492" s="115"/>
      <c r="BX3492" s="115"/>
      <c r="BY3492" s="115"/>
      <c r="BZ3492" s="115"/>
      <c r="CA3492" s="115"/>
      <c r="CB3492" s="115"/>
      <c r="CC3492" s="115"/>
      <c r="CD3492" s="115"/>
      <c r="CE3492" s="115"/>
      <c r="CF3492" s="115"/>
      <c r="CG3492" s="115"/>
      <c r="CH3492" s="115"/>
      <c r="CI3492" s="115"/>
      <c r="CJ3492" s="115"/>
      <c r="CK3492" s="115"/>
      <c r="CL3492" s="115"/>
      <c r="CM3492" s="115"/>
      <c r="CN3492" s="115"/>
      <c r="CO3492" s="115"/>
      <c r="CP3492" s="115"/>
      <c r="CQ3492" s="115"/>
      <c r="CR3492" s="115"/>
      <c r="CS3492" s="115"/>
      <c r="CT3492" s="115"/>
      <c r="CU3492" s="115"/>
      <c r="CV3492" s="115"/>
      <c r="CW3492" s="115"/>
      <c r="CX3492" s="115"/>
      <c r="CY3492" s="115"/>
      <c r="CZ3492" s="115"/>
      <c r="DA3492" s="115"/>
      <c r="DB3492" s="115"/>
      <c r="DC3492" s="115"/>
      <c r="DD3492" s="115"/>
      <c r="DE3492" s="115"/>
      <c r="DF3492" s="115"/>
      <c r="DG3492" s="115"/>
    </row>
    <row r="3493" spans="55:111" hidden="1">
      <c r="BC3493" s="115"/>
      <c r="BD3493" s="115"/>
      <c r="BE3493" s="115"/>
      <c r="BF3493" s="115"/>
      <c r="BG3493" s="115"/>
      <c r="BH3493" s="115"/>
      <c r="BI3493" s="115"/>
      <c r="BJ3493" s="115"/>
      <c r="BK3493" s="115"/>
      <c r="BL3493" s="115"/>
      <c r="BM3493" s="115"/>
      <c r="BN3493" s="115"/>
      <c r="BO3493" s="115"/>
      <c r="BP3493" s="115"/>
      <c r="BQ3493" s="115"/>
      <c r="BR3493" s="115"/>
      <c r="BS3493" s="115"/>
      <c r="BT3493" s="115"/>
      <c r="BU3493" s="115"/>
      <c r="BV3493" s="115"/>
      <c r="BW3493" s="115"/>
      <c r="BX3493" s="115"/>
      <c r="BY3493" s="115"/>
      <c r="BZ3493" s="115"/>
      <c r="CA3493" s="115"/>
      <c r="CB3493" s="115"/>
      <c r="CC3493" s="115"/>
      <c r="CD3493" s="115"/>
      <c r="CE3493" s="115"/>
      <c r="CF3493" s="115"/>
      <c r="CG3493" s="115"/>
      <c r="CH3493" s="115"/>
      <c r="CI3493" s="115"/>
      <c r="CJ3493" s="115"/>
      <c r="CK3493" s="115"/>
      <c r="CL3493" s="115"/>
      <c r="CM3493" s="115"/>
      <c r="CN3493" s="115"/>
      <c r="CO3493" s="115"/>
      <c r="CP3493" s="115"/>
      <c r="CQ3493" s="115"/>
      <c r="CR3493" s="115"/>
      <c r="CS3493" s="115"/>
      <c r="CT3493" s="115"/>
      <c r="CU3493" s="115"/>
      <c r="CV3493" s="115"/>
      <c r="CW3493" s="115"/>
      <c r="CX3493" s="115"/>
      <c r="CY3493" s="115"/>
      <c r="CZ3493" s="115"/>
      <c r="DA3493" s="115"/>
      <c r="DB3493" s="115"/>
      <c r="DC3493" s="115"/>
      <c r="DD3493" s="115"/>
      <c r="DE3493" s="115"/>
      <c r="DF3493" s="115"/>
      <c r="DG3493" s="115"/>
    </row>
    <row r="3494" spans="55:111" hidden="1">
      <c r="BC3494" s="115"/>
      <c r="BD3494" s="115"/>
      <c r="BE3494" s="115"/>
      <c r="BF3494" s="115"/>
      <c r="BG3494" s="115"/>
      <c r="BH3494" s="115"/>
      <c r="BI3494" s="115"/>
      <c r="BJ3494" s="115"/>
      <c r="BK3494" s="115"/>
      <c r="BL3494" s="115"/>
      <c r="BM3494" s="115"/>
      <c r="BN3494" s="115"/>
      <c r="BO3494" s="115"/>
      <c r="BP3494" s="115"/>
      <c r="BQ3494" s="115"/>
      <c r="BR3494" s="115"/>
      <c r="BS3494" s="115"/>
      <c r="BT3494" s="115"/>
      <c r="BU3494" s="115"/>
      <c r="BV3494" s="115"/>
      <c r="BW3494" s="115"/>
      <c r="BX3494" s="115"/>
      <c r="BY3494" s="115"/>
      <c r="BZ3494" s="115"/>
      <c r="CA3494" s="115"/>
      <c r="CB3494" s="115"/>
      <c r="CC3494" s="115"/>
      <c r="CD3494" s="115"/>
      <c r="CE3494" s="115"/>
      <c r="CF3494" s="115"/>
      <c r="CG3494" s="115"/>
      <c r="CH3494" s="115"/>
      <c r="CI3494" s="115"/>
      <c r="CJ3494" s="115"/>
      <c r="CK3494" s="115"/>
      <c r="CL3494" s="115"/>
      <c r="CM3494" s="115"/>
      <c r="CN3494" s="115"/>
      <c r="CO3494" s="115"/>
      <c r="CP3494" s="115"/>
      <c r="CQ3494" s="115"/>
      <c r="CR3494" s="115"/>
      <c r="CS3494" s="115"/>
      <c r="CT3494" s="115"/>
      <c r="CU3494" s="115"/>
      <c r="CV3494" s="115"/>
      <c r="CW3494" s="115"/>
      <c r="CX3494" s="115"/>
      <c r="CY3494" s="115"/>
      <c r="CZ3494" s="115"/>
      <c r="DA3494" s="115"/>
      <c r="DB3494" s="115"/>
      <c r="DC3494" s="115"/>
      <c r="DD3494" s="115"/>
      <c r="DE3494" s="115"/>
      <c r="DF3494" s="115"/>
      <c r="DG3494" s="115"/>
    </row>
    <row r="3495" spans="55:111" hidden="1">
      <c r="BC3495" s="115"/>
      <c r="BD3495" s="115"/>
      <c r="BE3495" s="115"/>
      <c r="BF3495" s="115"/>
      <c r="BG3495" s="115"/>
      <c r="BH3495" s="115"/>
      <c r="BI3495" s="115"/>
      <c r="BJ3495" s="115"/>
      <c r="BK3495" s="115"/>
      <c r="BL3495" s="115"/>
      <c r="BM3495" s="115"/>
      <c r="BN3495" s="115"/>
      <c r="BO3495" s="115"/>
      <c r="BP3495" s="115"/>
      <c r="BQ3495" s="115"/>
      <c r="BR3495" s="115"/>
      <c r="BS3495" s="115"/>
      <c r="BT3495" s="115"/>
      <c r="BU3495" s="115"/>
      <c r="BV3495" s="115"/>
      <c r="BW3495" s="115"/>
      <c r="BX3495" s="115"/>
      <c r="BY3495" s="115"/>
      <c r="BZ3495" s="115"/>
      <c r="CA3495" s="115"/>
      <c r="CB3495" s="115"/>
      <c r="CC3495" s="115"/>
      <c r="CD3495" s="115"/>
      <c r="CE3495" s="115"/>
      <c r="CF3495" s="115"/>
      <c r="CG3495" s="115"/>
      <c r="CH3495" s="115"/>
      <c r="CI3495" s="115"/>
      <c r="CJ3495" s="115"/>
      <c r="CK3495" s="115"/>
      <c r="CL3495" s="115"/>
      <c r="CM3495" s="115"/>
      <c r="CN3495" s="115"/>
      <c r="CO3495" s="115"/>
      <c r="CP3495" s="115"/>
      <c r="CQ3495" s="115"/>
      <c r="CR3495" s="115"/>
      <c r="CS3495" s="115"/>
      <c r="CT3495" s="115"/>
      <c r="CU3495" s="115"/>
      <c r="CV3495" s="115"/>
      <c r="CW3495" s="115"/>
      <c r="CX3495" s="115"/>
      <c r="CY3495" s="115"/>
      <c r="CZ3495" s="115"/>
      <c r="DA3495" s="115"/>
      <c r="DB3495" s="115"/>
      <c r="DC3495" s="115"/>
      <c r="DD3495" s="115"/>
      <c r="DE3495" s="115"/>
      <c r="DF3495" s="115"/>
      <c r="DG3495" s="115"/>
    </row>
    <row r="3496" spans="55:111" hidden="1">
      <c r="BC3496" s="115"/>
      <c r="BD3496" s="115"/>
      <c r="BE3496" s="115"/>
      <c r="BF3496" s="115"/>
      <c r="BG3496" s="115"/>
      <c r="BH3496" s="115"/>
      <c r="BI3496" s="115"/>
      <c r="BJ3496" s="115"/>
      <c r="BK3496" s="115"/>
      <c r="BL3496" s="115"/>
      <c r="BM3496" s="115"/>
      <c r="BN3496" s="115"/>
      <c r="BO3496" s="115"/>
      <c r="BP3496" s="115"/>
      <c r="BQ3496" s="115"/>
      <c r="BR3496" s="115"/>
      <c r="BS3496" s="115"/>
      <c r="BT3496" s="115"/>
      <c r="BU3496" s="115"/>
      <c r="BV3496" s="115"/>
      <c r="BW3496" s="115"/>
      <c r="BX3496" s="115"/>
      <c r="BY3496" s="115"/>
      <c r="BZ3496" s="115"/>
      <c r="CA3496" s="115"/>
      <c r="CB3496" s="115"/>
      <c r="CC3496" s="115"/>
      <c r="CD3496" s="115"/>
      <c r="CE3496" s="115"/>
      <c r="CF3496" s="115"/>
      <c r="CG3496" s="115"/>
      <c r="CH3496" s="115"/>
      <c r="CI3496" s="115"/>
      <c r="CJ3496" s="115"/>
      <c r="CK3496" s="115"/>
      <c r="CL3496" s="115"/>
      <c r="CM3496" s="115"/>
      <c r="CN3496" s="115"/>
      <c r="CO3496" s="115"/>
      <c r="CP3496" s="115"/>
      <c r="CQ3496" s="115"/>
      <c r="CR3496" s="115"/>
      <c r="CS3496" s="115"/>
      <c r="CT3496" s="115"/>
      <c r="CU3496" s="115"/>
      <c r="CV3496" s="115"/>
      <c r="CW3496" s="115"/>
      <c r="CX3496" s="115"/>
      <c r="CY3496" s="115"/>
      <c r="CZ3496" s="115"/>
      <c r="DA3496" s="115"/>
      <c r="DB3496" s="115"/>
      <c r="DC3496" s="115"/>
      <c r="DD3496" s="115"/>
      <c r="DE3496" s="115"/>
      <c r="DF3496" s="115"/>
      <c r="DG3496" s="115"/>
    </row>
    <row r="3497" spans="55:111" hidden="1">
      <c r="BC3497" s="115"/>
      <c r="BD3497" s="115"/>
      <c r="BE3497" s="115"/>
      <c r="BF3497" s="115"/>
      <c r="BG3497" s="115"/>
      <c r="BH3497" s="115"/>
      <c r="BI3497" s="115"/>
      <c r="BJ3497" s="115"/>
      <c r="BK3497" s="115"/>
      <c r="BL3497" s="115"/>
      <c r="BM3497" s="115"/>
      <c r="BN3497" s="115"/>
      <c r="BO3497" s="115"/>
      <c r="BP3497" s="115"/>
      <c r="BQ3497" s="115"/>
      <c r="BR3497" s="115"/>
      <c r="BS3497" s="115"/>
      <c r="BT3497" s="115"/>
      <c r="BU3497" s="115"/>
      <c r="BV3497" s="115"/>
      <c r="BW3497" s="115"/>
      <c r="BX3497" s="115"/>
      <c r="BY3497" s="115"/>
      <c r="BZ3497" s="115"/>
      <c r="CA3497" s="115"/>
      <c r="CB3497" s="115"/>
      <c r="CC3497" s="115"/>
      <c r="CD3497" s="115"/>
      <c r="CE3497" s="115"/>
      <c r="CF3497" s="115"/>
      <c r="CG3497" s="115"/>
      <c r="CH3497" s="115"/>
      <c r="CI3497" s="115"/>
      <c r="CJ3497" s="115"/>
      <c r="CK3497" s="115"/>
      <c r="CL3497" s="115"/>
      <c r="CM3497" s="115"/>
      <c r="CN3497" s="115"/>
      <c r="CO3497" s="115"/>
      <c r="CP3497" s="115"/>
      <c r="CQ3497" s="115"/>
      <c r="CR3497" s="115"/>
      <c r="CS3497" s="115"/>
      <c r="CT3497" s="115"/>
      <c r="CU3497" s="115"/>
      <c r="CV3497" s="115"/>
      <c r="CW3497" s="115"/>
      <c r="CX3497" s="115"/>
      <c r="CY3497" s="115"/>
      <c r="CZ3497" s="115"/>
      <c r="DA3497" s="115"/>
      <c r="DB3497" s="115"/>
      <c r="DC3497" s="115"/>
      <c r="DD3497" s="115"/>
      <c r="DE3497" s="115"/>
      <c r="DF3497" s="115"/>
      <c r="DG3497" s="115"/>
    </row>
    <row r="3498" spans="55:111" hidden="1">
      <c r="BC3498" s="115"/>
      <c r="BD3498" s="115"/>
      <c r="BE3498" s="115"/>
      <c r="BF3498" s="115"/>
      <c r="BG3498" s="115"/>
      <c r="BH3498" s="115"/>
      <c r="BI3498" s="115"/>
      <c r="BJ3498" s="115"/>
      <c r="BK3498" s="115"/>
      <c r="BL3498" s="115"/>
      <c r="BM3498" s="115"/>
      <c r="BN3498" s="115"/>
      <c r="BO3498" s="115"/>
      <c r="BP3498" s="115"/>
      <c r="BQ3498" s="115"/>
      <c r="BR3498" s="115"/>
      <c r="BS3498" s="115"/>
      <c r="BT3498" s="115"/>
      <c r="BU3498" s="115"/>
      <c r="BV3498" s="115"/>
      <c r="BW3498" s="115"/>
      <c r="BX3498" s="115"/>
      <c r="BY3498" s="115"/>
      <c r="BZ3498" s="115"/>
      <c r="CA3498" s="115"/>
      <c r="CB3498" s="115"/>
      <c r="CC3498" s="115"/>
      <c r="CD3498" s="115"/>
      <c r="CE3498" s="115"/>
      <c r="CF3498" s="115"/>
      <c r="CG3498" s="115"/>
      <c r="CH3498" s="115"/>
      <c r="CI3498" s="115"/>
      <c r="CJ3498" s="115"/>
      <c r="CK3498" s="115"/>
      <c r="CL3498" s="115"/>
      <c r="CM3498" s="115"/>
      <c r="CN3498" s="115"/>
      <c r="CO3498" s="115"/>
      <c r="CP3498" s="115"/>
      <c r="CQ3498" s="115"/>
      <c r="CR3498" s="115"/>
      <c r="CS3498" s="115"/>
      <c r="CT3498" s="115"/>
      <c r="CU3498" s="115"/>
      <c r="CV3498" s="115"/>
      <c r="CW3498" s="115"/>
      <c r="CX3498" s="115"/>
      <c r="CY3498" s="115"/>
      <c r="CZ3498" s="115"/>
      <c r="DA3498" s="115"/>
      <c r="DB3498" s="115"/>
      <c r="DC3498" s="115"/>
      <c r="DD3498" s="115"/>
      <c r="DE3498" s="115"/>
      <c r="DF3498" s="115"/>
      <c r="DG3498" s="115"/>
    </row>
    <row r="3499" spans="55:111" hidden="1">
      <c r="BC3499" s="115"/>
      <c r="BD3499" s="115"/>
      <c r="BE3499" s="115"/>
      <c r="BF3499" s="115"/>
      <c r="BG3499" s="115"/>
      <c r="BH3499" s="115"/>
      <c r="BI3499" s="115"/>
      <c r="BJ3499" s="115"/>
      <c r="BK3499" s="115"/>
      <c r="BL3499" s="115"/>
      <c r="BM3499" s="115"/>
      <c r="BN3499" s="115"/>
      <c r="BO3499" s="115"/>
      <c r="BP3499" s="115"/>
      <c r="BQ3499" s="115"/>
      <c r="BR3499" s="115"/>
      <c r="BS3499" s="115"/>
      <c r="BT3499" s="115"/>
      <c r="BU3499" s="115"/>
      <c r="BV3499" s="115"/>
      <c r="BW3499" s="115"/>
      <c r="BX3499" s="115"/>
      <c r="BY3499" s="115"/>
      <c r="BZ3499" s="115"/>
      <c r="CA3499" s="115"/>
      <c r="CB3499" s="115"/>
      <c r="CC3499" s="115"/>
      <c r="CD3499" s="115"/>
      <c r="CE3499" s="115"/>
      <c r="CF3499" s="115"/>
      <c r="CG3499" s="115"/>
      <c r="CH3499" s="115"/>
      <c r="CI3499" s="115"/>
      <c r="CJ3499" s="115"/>
      <c r="CK3499" s="115"/>
      <c r="CL3499" s="115"/>
      <c r="CM3499" s="115"/>
      <c r="CN3499" s="115"/>
      <c r="CO3499" s="115"/>
      <c r="CP3499" s="115"/>
      <c r="CQ3499" s="115"/>
      <c r="CR3499" s="115"/>
      <c r="CS3499" s="115"/>
      <c r="CT3499" s="115"/>
      <c r="CU3499" s="115"/>
      <c r="CV3499" s="115"/>
      <c r="CW3499" s="115"/>
      <c r="CX3499" s="115"/>
      <c r="CY3499" s="115"/>
      <c r="CZ3499" s="115"/>
      <c r="DA3499" s="115"/>
      <c r="DB3499" s="115"/>
      <c r="DC3499" s="115"/>
      <c r="DD3499" s="115"/>
      <c r="DE3499" s="115"/>
      <c r="DF3499" s="115"/>
      <c r="DG3499" s="115"/>
    </row>
    <row r="3500" spans="55:111" hidden="1">
      <c r="BC3500" s="115"/>
      <c r="BD3500" s="115"/>
      <c r="BE3500" s="115"/>
      <c r="BF3500" s="115"/>
      <c r="BG3500" s="115"/>
      <c r="BH3500" s="115"/>
      <c r="BI3500" s="115"/>
      <c r="BJ3500" s="115"/>
      <c r="BK3500" s="115"/>
      <c r="BL3500" s="115"/>
      <c r="BM3500" s="115"/>
      <c r="BN3500" s="115"/>
      <c r="BO3500" s="115"/>
      <c r="BP3500" s="115"/>
      <c r="BQ3500" s="115"/>
      <c r="BR3500" s="115"/>
      <c r="BS3500" s="115"/>
      <c r="BT3500" s="115"/>
      <c r="BU3500" s="115"/>
      <c r="BV3500" s="115"/>
      <c r="BW3500" s="115"/>
      <c r="BX3500" s="115"/>
      <c r="BY3500" s="115"/>
      <c r="BZ3500" s="115"/>
      <c r="CA3500" s="115"/>
      <c r="CB3500" s="115"/>
      <c r="CC3500" s="115"/>
      <c r="CD3500" s="115"/>
      <c r="CE3500" s="115"/>
      <c r="CF3500" s="115"/>
      <c r="CG3500" s="115"/>
      <c r="CH3500" s="115"/>
      <c r="CI3500" s="115"/>
      <c r="CJ3500" s="115"/>
      <c r="CK3500" s="115"/>
      <c r="CL3500" s="115"/>
      <c r="CM3500" s="115"/>
      <c r="CN3500" s="115"/>
      <c r="CO3500" s="115"/>
      <c r="CP3500" s="115"/>
      <c r="CQ3500" s="115"/>
      <c r="CR3500" s="115"/>
      <c r="CS3500" s="115"/>
      <c r="CT3500" s="115"/>
      <c r="CU3500" s="115"/>
      <c r="CV3500" s="115"/>
      <c r="CW3500" s="115"/>
      <c r="CX3500" s="115"/>
      <c r="CY3500" s="115"/>
      <c r="CZ3500" s="115"/>
      <c r="DA3500" s="115"/>
      <c r="DB3500" s="115"/>
      <c r="DC3500" s="115"/>
      <c r="DD3500" s="115"/>
      <c r="DE3500" s="115"/>
      <c r="DF3500" s="115"/>
      <c r="DG3500" s="115"/>
    </row>
    <row r="3501" spans="55:111" hidden="1">
      <c r="BC3501" s="115"/>
      <c r="BD3501" s="115"/>
      <c r="BE3501" s="115"/>
      <c r="BF3501" s="115"/>
      <c r="BG3501" s="115"/>
      <c r="BH3501" s="115"/>
      <c r="BI3501" s="115"/>
      <c r="BJ3501" s="115"/>
      <c r="BK3501" s="115"/>
      <c r="BL3501" s="115"/>
      <c r="BM3501" s="115"/>
      <c r="BN3501" s="115"/>
      <c r="BO3501" s="115"/>
      <c r="BP3501" s="115"/>
      <c r="BQ3501" s="115"/>
      <c r="BR3501" s="115"/>
      <c r="BS3501" s="115"/>
      <c r="BT3501" s="115"/>
      <c r="BU3501" s="115"/>
      <c r="BV3501" s="115"/>
      <c r="BW3501" s="115"/>
      <c r="BX3501" s="115"/>
      <c r="BY3501" s="115"/>
      <c r="BZ3501" s="115"/>
      <c r="CA3501" s="115"/>
      <c r="CB3501" s="115"/>
      <c r="CC3501" s="115"/>
      <c r="CD3501" s="115"/>
      <c r="CE3501" s="115"/>
      <c r="CF3501" s="115"/>
      <c r="CG3501" s="115"/>
      <c r="CH3501" s="115"/>
      <c r="CI3501" s="115"/>
      <c r="CJ3501" s="115"/>
      <c r="CK3501" s="115"/>
      <c r="CL3501" s="115"/>
      <c r="CM3501" s="115"/>
      <c r="CN3501" s="115"/>
      <c r="CO3501" s="115"/>
      <c r="CP3501" s="115"/>
      <c r="CQ3501" s="115"/>
      <c r="CR3501" s="115"/>
      <c r="CS3501" s="115"/>
      <c r="CT3501" s="115"/>
      <c r="CU3501" s="115"/>
      <c r="CV3501" s="115"/>
      <c r="CW3501" s="115"/>
      <c r="CX3501" s="115"/>
      <c r="CY3501" s="115"/>
      <c r="CZ3501" s="115"/>
      <c r="DA3501" s="115"/>
      <c r="DB3501" s="115"/>
      <c r="DC3501" s="115"/>
      <c r="DD3501" s="115"/>
      <c r="DE3501" s="115"/>
      <c r="DF3501" s="115"/>
      <c r="DG3501" s="115"/>
    </row>
    <row r="3502" spans="55:111" hidden="1">
      <c r="BC3502" s="115"/>
      <c r="BD3502" s="115"/>
      <c r="BE3502" s="115"/>
      <c r="BF3502" s="115"/>
      <c r="BG3502" s="115"/>
      <c r="BH3502" s="115"/>
      <c r="BI3502" s="115"/>
      <c r="BJ3502" s="115"/>
      <c r="BK3502" s="115"/>
      <c r="BL3502" s="115"/>
      <c r="BM3502" s="115"/>
      <c r="BN3502" s="115"/>
      <c r="BO3502" s="115"/>
      <c r="BP3502" s="115"/>
      <c r="BQ3502" s="115"/>
      <c r="BR3502" s="115"/>
      <c r="BS3502" s="115"/>
      <c r="BT3502" s="115"/>
      <c r="BU3502" s="115"/>
      <c r="BV3502" s="115"/>
      <c r="BW3502" s="115"/>
      <c r="BX3502" s="115"/>
      <c r="BY3502" s="115"/>
      <c r="BZ3502" s="115"/>
      <c r="CA3502" s="115"/>
      <c r="CB3502" s="115"/>
      <c r="CC3502" s="115"/>
      <c r="CD3502" s="115"/>
      <c r="CE3502" s="115"/>
      <c r="CF3502" s="115"/>
      <c r="CG3502" s="115"/>
      <c r="CH3502" s="115"/>
      <c r="CI3502" s="115"/>
      <c r="CJ3502" s="115"/>
      <c r="CK3502" s="115"/>
      <c r="CL3502" s="115"/>
      <c r="CM3502" s="115"/>
      <c r="CN3502" s="115"/>
      <c r="CO3502" s="115"/>
      <c r="CP3502" s="115"/>
      <c r="CQ3502" s="115"/>
      <c r="CR3502" s="115"/>
      <c r="CS3502" s="115"/>
      <c r="CT3502" s="115"/>
      <c r="CU3502" s="115"/>
      <c r="CV3502" s="115"/>
      <c r="CW3502" s="115"/>
      <c r="CX3502" s="115"/>
      <c r="CY3502" s="115"/>
      <c r="CZ3502" s="115"/>
      <c r="DA3502" s="115"/>
      <c r="DB3502" s="115"/>
      <c r="DC3502" s="115"/>
      <c r="DD3502" s="115"/>
      <c r="DE3502" s="115"/>
      <c r="DF3502" s="115"/>
      <c r="DG3502" s="115"/>
    </row>
    <row r="3503" spans="55:111" hidden="1">
      <c r="BC3503" s="115"/>
      <c r="BD3503" s="115"/>
      <c r="BE3503" s="115"/>
      <c r="BF3503" s="115"/>
      <c r="BG3503" s="115"/>
      <c r="BH3503" s="115"/>
      <c r="BI3503" s="115"/>
      <c r="BJ3503" s="115"/>
      <c r="BK3503" s="115"/>
      <c r="BL3503" s="115"/>
      <c r="BM3503" s="115"/>
      <c r="BN3503" s="115"/>
      <c r="BO3503" s="115"/>
      <c r="BP3503" s="115"/>
      <c r="BQ3503" s="115"/>
      <c r="BR3503" s="115"/>
      <c r="BS3503" s="115"/>
      <c r="BT3503" s="115"/>
      <c r="BU3503" s="115"/>
      <c r="BV3503" s="115"/>
      <c r="BW3503" s="115"/>
      <c r="BX3503" s="115"/>
      <c r="BY3503" s="115"/>
      <c r="BZ3503" s="115"/>
      <c r="CA3503" s="115"/>
      <c r="CB3503" s="115"/>
      <c r="CC3503" s="115"/>
      <c r="CD3503" s="115"/>
      <c r="CE3503" s="115"/>
      <c r="CF3503" s="115"/>
      <c r="CG3503" s="115"/>
      <c r="CH3503" s="115"/>
      <c r="CI3503" s="115"/>
      <c r="CJ3503" s="115"/>
      <c r="CK3503" s="115"/>
      <c r="CL3503" s="115"/>
      <c r="CM3503" s="115"/>
      <c r="CN3503" s="115"/>
      <c r="CO3503" s="115"/>
      <c r="CP3503" s="115"/>
      <c r="CQ3503" s="115"/>
      <c r="CR3503" s="115"/>
      <c r="CS3503" s="115"/>
      <c r="CT3503" s="115"/>
      <c r="CU3503" s="115"/>
      <c r="CV3503" s="115"/>
      <c r="CW3503" s="115"/>
      <c r="CX3503" s="115"/>
      <c r="CY3503" s="115"/>
      <c r="CZ3503" s="115"/>
      <c r="DA3503" s="115"/>
      <c r="DB3503" s="115"/>
      <c r="DC3503" s="115"/>
      <c r="DD3503" s="115"/>
      <c r="DE3503" s="115"/>
      <c r="DF3503" s="115"/>
      <c r="DG3503" s="115"/>
    </row>
    <row r="3504" spans="55:111" hidden="1">
      <c r="BC3504" s="115"/>
      <c r="BD3504" s="115"/>
      <c r="BE3504" s="115"/>
      <c r="BF3504" s="115"/>
      <c r="BG3504" s="115"/>
      <c r="BH3504" s="115"/>
      <c r="BI3504" s="115"/>
      <c r="BJ3504" s="115"/>
      <c r="BK3504" s="115"/>
      <c r="BL3504" s="115"/>
      <c r="BM3504" s="115"/>
      <c r="BN3504" s="115"/>
      <c r="BO3504" s="115"/>
      <c r="BP3504" s="115"/>
      <c r="BQ3504" s="115"/>
      <c r="BR3504" s="115"/>
      <c r="BS3504" s="115"/>
      <c r="BT3504" s="115"/>
      <c r="BU3504" s="115"/>
      <c r="BV3504" s="115"/>
      <c r="BW3504" s="115"/>
      <c r="BX3504" s="115"/>
      <c r="BY3504" s="115"/>
      <c r="BZ3504" s="115"/>
      <c r="CA3504" s="115"/>
      <c r="CB3504" s="115"/>
      <c r="CC3504" s="115"/>
      <c r="CD3504" s="115"/>
      <c r="CE3504" s="115"/>
      <c r="CF3504" s="115"/>
      <c r="CG3504" s="115"/>
      <c r="CH3504" s="115"/>
      <c r="CI3504" s="115"/>
      <c r="CJ3504" s="115"/>
      <c r="CK3504" s="115"/>
      <c r="CL3504" s="115"/>
      <c r="CM3504" s="115"/>
      <c r="CN3504" s="115"/>
      <c r="CO3504" s="115"/>
      <c r="CP3504" s="115"/>
      <c r="CQ3504" s="115"/>
      <c r="CR3504" s="115"/>
      <c r="CS3504" s="115"/>
      <c r="CT3504" s="115"/>
      <c r="CU3504" s="115"/>
      <c r="CV3504" s="115"/>
      <c r="CW3504" s="115"/>
      <c r="CX3504" s="115"/>
      <c r="CY3504" s="115"/>
      <c r="CZ3504" s="115"/>
      <c r="DA3504" s="115"/>
      <c r="DB3504" s="115"/>
      <c r="DC3504" s="115"/>
      <c r="DD3504" s="115"/>
      <c r="DE3504" s="115"/>
      <c r="DF3504" s="115"/>
      <c r="DG3504" s="115"/>
    </row>
    <row r="3505" spans="55:111" hidden="1">
      <c r="BC3505" s="115"/>
      <c r="BD3505" s="115"/>
      <c r="BE3505" s="115"/>
      <c r="BF3505" s="115"/>
      <c r="BG3505" s="115"/>
      <c r="BH3505" s="115"/>
      <c r="BI3505" s="115"/>
      <c r="BJ3505" s="115"/>
      <c r="BK3505" s="115"/>
      <c r="BL3505" s="115"/>
      <c r="BM3505" s="115"/>
      <c r="BN3505" s="115"/>
      <c r="BO3505" s="115"/>
      <c r="BP3505" s="115"/>
      <c r="BQ3505" s="115"/>
      <c r="BR3505" s="115"/>
      <c r="BS3505" s="115"/>
      <c r="BT3505" s="115"/>
      <c r="BU3505" s="115"/>
      <c r="BV3505" s="115"/>
      <c r="BW3505" s="115"/>
      <c r="BX3505" s="115"/>
      <c r="BY3505" s="115"/>
      <c r="BZ3505" s="115"/>
      <c r="CA3505" s="115"/>
      <c r="CB3505" s="115"/>
      <c r="CC3505" s="115"/>
      <c r="CD3505" s="115"/>
      <c r="CE3505" s="115"/>
      <c r="CF3505" s="115"/>
      <c r="CG3505" s="115"/>
      <c r="CH3505" s="115"/>
      <c r="CI3505" s="115"/>
      <c r="CJ3505" s="115"/>
      <c r="CK3505" s="115"/>
      <c r="CL3505" s="115"/>
      <c r="CM3505" s="115"/>
      <c r="CN3505" s="115"/>
      <c r="CO3505" s="115"/>
      <c r="CP3505" s="115"/>
      <c r="CQ3505" s="115"/>
      <c r="CR3505" s="115"/>
      <c r="CS3505" s="115"/>
      <c r="CT3505" s="115"/>
      <c r="CU3505" s="115"/>
      <c r="CV3505" s="115"/>
      <c r="CW3505" s="115"/>
      <c r="CX3505" s="115"/>
      <c r="CY3505" s="115"/>
      <c r="CZ3505" s="115"/>
      <c r="DA3505" s="115"/>
      <c r="DB3505" s="115"/>
      <c r="DC3505" s="115"/>
      <c r="DD3505" s="115"/>
      <c r="DE3505" s="115"/>
      <c r="DF3505" s="115"/>
      <c r="DG3505" s="115"/>
    </row>
    <row r="3506" spans="55:111" hidden="1">
      <c r="BC3506" s="115"/>
      <c r="BD3506" s="115"/>
      <c r="BE3506" s="115"/>
      <c r="BF3506" s="115"/>
      <c r="BG3506" s="115"/>
      <c r="BH3506" s="115"/>
      <c r="BI3506" s="115"/>
      <c r="BJ3506" s="115"/>
      <c r="BK3506" s="115"/>
      <c r="BL3506" s="115"/>
      <c r="BM3506" s="115"/>
      <c r="BN3506" s="115"/>
      <c r="BO3506" s="115"/>
      <c r="BP3506" s="115"/>
      <c r="BQ3506" s="115"/>
      <c r="BR3506" s="115"/>
      <c r="BS3506" s="115"/>
      <c r="BT3506" s="115"/>
      <c r="BU3506" s="115"/>
      <c r="BV3506" s="115"/>
      <c r="BW3506" s="115"/>
      <c r="BX3506" s="115"/>
      <c r="BY3506" s="115"/>
      <c r="BZ3506" s="115"/>
      <c r="CA3506" s="115"/>
      <c r="CB3506" s="115"/>
      <c r="CC3506" s="115"/>
      <c r="CD3506" s="115"/>
      <c r="CE3506" s="115"/>
      <c r="CF3506" s="115"/>
      <c r="CG3506" s="115"/>
      <c r="CH3506" s="115"/>
      <c r="CI3506" s="115"/>
      <c r="CJ3506" s="115"/>
      <c r="CK3506" s="115"/>
      <c r="CL3506" s="115"/>
      <c r="CM3506" s="115"/>
      <c r="CN3506" s="115"/>
      <c r="CO3506" s="115"/>
      <c r="CP3506" s="115"/>
      <c r="CQ3506" s="115"/>
      <c r="CR3506" s="115"/>
      <c r="CS3506" s="115"/>
      <c r="CT3506" s="115"/>
      <c r="CU3506" s="115"/>
      <c r="CV3506" s="115"/>
      <c r="CW3506" s="115"/>
      <c r="CX3506" s="115"/>
      <c r="CY3506" s="115"/>
      <c r="CZ3506" s="115"/>
      <c r="DA3506" s="115"/>
      <c r="DB3506" s="115"/>
      <c r="DC3506" s="115"/>
      <c r="DD3506" s="115"/>
      <c r="DE3506" s="115"/>
      <c r="DF3506" s="115"/>
      <c r="DG3506" s="115"/>
    </row>
    <row r="3507" spans="55:111" hidden="1">
      <c r="BC3507" s="115"/>
      <c r="BD3507" s="115"/>
      <c r="BE3507" s="115"/>
      <c r="BF3507" s="115"/>
      <c r="BG3507" s="115"/>
      <c r="BH3507" s="115"/>
      <c r="BI3507" s="115"/>
      <c r="BJ3507" s="115"/>
      <c r="BK3507" s="115"/>
      <c r="BL3507" s="115"/>
      <c r="BM3507" s="115"/>
      <c r="BN3507" s="115"/>
      <c r="BO3507" s="115"/>
      <c r="BP3507" s="115"/>
      <c r="BQ3507" s="115"/>
      <c r="BR3507" s="115"/>
      <c r="BS3507" s="115"/>
      <c r="BT3507" s="115"/>
      <c r="BU3507" s="115"/>
      <c r="BV3507" s="115"/>
      <c r="BW3507" s="115"/>
      <c r="BX3507" s="115"/>
      <c r="BY3507" s="115"/>
      <c r="BZ3507" s="115"/>
      <c r="CA3507" s="115"/>
      <c r="CB3507" s="115"/>
      <c r="CC3507" s="115"/>
      <c r="CD3507" s="115"/>
      <c r="CE3507" s="115"/>
      <c r="CF3507" s="115"/>
      <c r="CG3507" s="115"/>
      <c r="CH3507" s="115"/>
      <c r="CI3507" s="115"/>
      <c r="CJ3507" s="115"/>
      <c r="CK3507" s="115"/>
      <c r="CL3507" s="115"/>
      <c r="CM3507" s="115"/>
      <c r="CN3507" s="115"/>
      <c r="CO3507" s="115"/>
      <c r="CP3507" s="115"/>
      <c r="CQ3507" s="115"/>
      <c r="CR3507" s="115"/>
      <c r="CS3507" s="115"/>
      <c r="CT3507" s="115"/>
      <c r="CU3507" s="115"/>
      <c r="CV3507" s="115"/>
      <c r="CW3507" s="115"/>
      <c r="CX3507" s="115"/>
      <c r="CY3507" s="115"/>
      <c r="CZ3507" s="115"/>
      <c r="DA3507" s="115"/>
      <c r="DB3507" s="115"/>
      <c r="DC3507" s="115"/>
      <c r="DD3507" s="115"/>
      <c r="DE3507" s="115"/>
      <c r="DF3507" s="115"/>
      <c r="DG3507" s="115"/>
    </row>
    <row r="3508" spans="55:111" hidden="1">
      <c r="BC3508" s="115"/>
      <c r="BD3508" s="115"/>
      <c r="BE3508" s="115"/>
      <c r="BF3508" s="115"/>
      <c r="BG3508" s="115"/>
      <c r="BH3508" s="115"/>
      <c r="BI3508" s="115"/>
      <c r="BJ3508" s="115"/>
      <c r="BK3508" s="115"/>
      <c r="BL3508" s="115"/>
      <c r="BM3508" s="115"/>
      <c r="BN3508" s="115"/>
      <c r="BO3508" s="115"/>
      <c r="BP3508" s="115"/>
      <c r="BQ3508" s="115"/>
      <c r="BR3508" s="115"/>
      <c r="BS3508" s="115"/>
      <c r="BT3508" s="115"/>
      <c r="BU3508" s="115"/>
      <c r="BV3508" s="115"/>
      <c r="BW3508" s="115"/>
      <c r="BX3508" s="115"/>
      <c r="BY3508" s="115"/>
      <c r="BZ3508" s="115"/>
      <c r="CA3508" s="115"/>
      <c r="CB3508" s="115"/>
      <c r="CC3508" s="115"/>
      <c r="CD3508" s="115"/>
      <c r="CE3508" s="115"/>
      <c r="CF3508" s="115"/>
      <c r="CG3508" s="115"/>
      <c r="CH3508" s="115"/>
      <c r="CI3508" s="115"/>
      <c r="CJ3508" s="115"/>
      <c r="CK3508" s="115"/>
      <c r="CL3508" s="115"/>
      <c r="CM3508" s="115"/>
      <c r="CN3508" s="115"/>
      <c r="CO3508" s="115"/>
      <c r="CP3508" s="115"/>
      <c r="CQ3508" s="115"/>
      <c r="CR3508" s="115"/>
      <c r="CS3508" s="115"/>
      <c r="CT3508" s="115"/>
      <c r="CU3508" s="115"/>
      <c r="CV3508" s="115"/>
      <c r="CW3508" s="115"/>
      <c r="CX3508" s="115"/>
      <c r="CY3508" s="115"/>
      <c r="CZ3508" s="115"/>
      <c r="DA3508" s="115"/>
      <c r="DB3508" s="115"/>
      <c r="DC3508" s="115"/>
      <c r="DD3508" s="115"/>
      <c r="DE3508" s="115"/>
      <c r="DF3508" s="115"/>
      <c r="DG3508" s="115"/>
    </row>
    <row r="3509" spans="55:111" hidden="1">
      <c r="BC3509" s="115"/>
      <c r="BD3509" s="115"/>
      <c r="BE3509" s="115"/>
      <c r="BF3509" s="115"/>
      <c r="BG3509" s="115"/>
      <c r="BH3509" s="115"/>
      <c r="BI3509" s="115"/>
      <c r="BJ3509" s="115"/>
      <c r="BK3509" s="115"/>
      <c r="BL3509" s="115"/>
      <c r="BM3509" s="115"/>
      <c r="BN3509" s="115"/>
      <c r="BO3509" s="115"/>
      <c r="BP3509" s="115"/>
      <c r="BQ3509" s="115"/>
      <c r="BR3509" s="115"/>
      <c r="BS3509" s="115"/>
      <c r="BT3509" s="115"/>
      <c r="BU3509" s="115"/>
      <c r="BV3509" s="115"/>
      <c r="BW3509" s="115"/>
      <c r="BX3509" s="115"/>
      <c r="BY3509" s="115"/>
      <c r="BZ3509" s="115"/>
      <c r="CA3509" s="115"/>
      <c r="CB3509" s="115"/>
      <c r="CC3509" s="115"/>
      <c r="CD3509" s="115"/>
      <c r="CE3509" s="115"/>
      <c r="CF3509" s="115"/>
      <c r="CG3509" s="115"/>
      <c r="CH3509" s="115"/>
      <c r="CI3509" s="115"/>
      <c r="CJ3509" s="115"/>
      <c r="CK3509" s="115"/>
      <c r="CL3509" s="115"/>
      <c r="CM3509" s="115"/>
      <c r="CN3509" s="115"/>
      <c r="CO3509" s="115"/>
      <c r="CP3509" s="115"/>
      <c r="CQ3509" s="115"/>
      <c r="CR3509" s="115"/>
      <c r="CS3509" s="115"/>
      <c r="CT3509" s="115"/>
      <c r="CU3509" s="115"/>
      <c r="CV3509" s="115"/>
      <c r="CW3509" s="115"/>
      <c r="CX3509" s="115"/>
      <c r="CY3509" s="115"/>
      <c r="CZ3509" s="115"/>
      <c r="DA3509" s="115"/>
      <c r="DB3509" s="115"/>
      <c r="DC3509" s="115"/>
      <c r="DD3509" s="115"/>
      <c r="DE3509" s="115"/>
      <c r="DF3509" s="115"/>
      <c r="DG3509" s="115"/>
    </row>
    <row r="3510" spans="55:111" hidden="1">
      <c r="BC3510" s="115"/>
      <c r="BD3510" s="115"/>
      <c r="BE3510" s="115"/>
      <c r="BF3510" s="115"/>
      <c r="BG3510" s="115"/>
      <c r="BH3510" s="115"/>
      <c r="BI3510" s="115"/>
      <c r="BJ3510" s="115"/>
      <c r="BK3510" s="115"/>
      <c r="BL3510" s="115"/>
      <c r="BM3510" s="115"/>
      <c r="BN3510" s="115"/>
      <c r="BO3510" s="115"/>
      <c r="BP3510" s="115"/>
      <c r="BQ3510" s="115"/>
      <c r="BR3510" s="115"/>
      <c r="BS3510" s="115"/>
      <c r="BT3510" s="115"/>
      <c r="BU3510" s="115"/>
      <c r="BV3510" s="115"/>
      <c r="BW3510" s="115"/>
      <c r="BX3510" s="115"/>
      <c r="BY3510" s="115"/>
      <c r="BZ3510" s="115"/>
      <c r="CA3510" s="115"/>
      <c r="CB3510" s="115"/>
      <c r="CC3510" s="115"/>
      <c r="CD3510" s="115"/>
      <c r="CE3510" s="115"/>
      <c r="CF3510" s="115"/>
      <c r="CG3510" s="115"/>
      <c r="CH3510" s="115"/>
      <c r="CI3510" s="115"/>
      <c r="CJ3510" s="115"/>
      <c r="CK3510" s="115"/>
      <c r="CL3510" s="115"/>
      <c r="CM3510" s="115"/>
      <c r="CN3510" s="115"/>
      <c r="CO3510" s="115"/>
      <c r="CP3510" s="115"/>
      <c r="CQ3510" s="115"/>
      <c r="CR3510" s="115"/>
      <c r="CS3510" s="115"/>
      <c r="CT3510" s="115"/>
      <c r="CU3510" s="115"/>
      <c r="CV3510" s="115"/>
      <c r="CW3510" s="115"/>
      <c r="CX3510" s="115"/>
      <c r="CY3510" s="115"/>
      <c r="CZ3510" s="115"/>
      <c r="DA3510" s="115"/>
      <c r="DB3510" s="115"/>
      <c r="DC3510" s="115"/>
      <c r="DD3510" s="115"/>
      <c r="DE3510" s="115"/>
      <c r="DF3510" s="115"/>
      <c r="DG3510" s="115"/>
    </row>
    <row r="3511" spans="55:111" hidden="1">
      <c r="BC3511" s="115"/>
      <c r="BD3511" s="115"/>
      <c r="BE3511" s="115"/>
      <c r="BF3511" s="115"/>
      <c r="BG3511" s="115"/>
      <c r="BH3511" s="115"/>
      <c r="BI3511" s="115"/>
      <c r="BJ3511" s="115"/>
      <c r="BK3511" s="115"/>
      <c r="BL3511" s="115"/>
      <c r="BM3511" s="115"/>
      <c r="BN3511" s="115"/>
      <c r="BO3511" s="115"/>
      <c r="BP3511" s="115"/>
      <c r="BQ3511" s="115"/>
      <c r="BR3511" s="115"/>
      <c r="BS3511" s="115"/>
      <c r="BT3511" s="115"/>
      <c r="BU3511" s="115"/>
      <c r="BV3511" s="115"/>
      <c r="BW3511" s="115"/>
      <c r="BX3511" s="115"/>
      <c r="BY3511" s="115"/>
      <c r="BZ3511" s="115"/>
      <c r="CA3511" s="115"/>
      <c r="CB3511" s="115"/>
      <c r="CC3511" s="115"/>
      <c r="CD3511" s="115"/>
      <c r="CE3511" s="115"/>
      <c r="CF3511" s="115"/>
      <c r="CG3511" s="115"/>
      <c r="CH3511" s="115"/>
      <c r="CI3511" s="115"/>
      <c r="CJ3511" s="115"/>
      <c r="CK3511" s="115"/>
      <c r="CL3511" s="115"/>
      <c r="CM3511" s="115"/>
      <c r="CN3511" s="115"/>
      <c r="CO3511" s="115"/>
      <c r="CP3511" s="115"/>
      <c r="CQ3511" s="115"/>
      <c r="CR3511" s="115"/>
      <c r="CS3511" s="115"/>
      <c r="CT3511" s="115"/>
      <c r="CU3511" s="115"/>
      <c r="CV3511" s="115"/>
      <c r="CW3511" s="115"/>
      <c r="CX3511" s="115"/>
      <c r="CY3511" s="115"/>
      <c r="CZ3511" s="115"/>
      <c r="DA3511" s="115"/>
      <c r="DB3511" s="115"/>
      <c r="DC3511" s="115"/>
      <c r="DD3511" s="115"/>
      <c r="DE3511" s="115"/>
      <c r="DF3511" s="115"/>
      <c r="DG3511" s="115"/>
    </row>
    <row r="3512" spans="55:111" hidden="1">
      <c r="BC3512" s="115"/>
      <c r="BD3512" s="115"/>
      <c r="BE3512" s="115"/>
      <c r="BF3512" s="115"/>
      <c r="BG3512" s="115"/>
      <c r="BH3512" s="115"/>
      <c r="BI3512" s="115"/>
      <c r="BJ3512" s="115"/>
      <c r="BK3512" s="115"/>
      <c r="BL3512" s="115"/>
      <c r="BM3512" s="115"/>
      <c r="BN3512" s="115"/>
      <c r="BO3512" s="115"/>
      <c r="BP3512" s="115"/>
      <c r="BQ3512" s="115"/>
      <c r="BR3512" s="115"/>
      <c r="BS3512" s="115"/>
      <c r="BT3512" s="115"/>
      <c r="BU3512" s="115"/>
      <c r="BV3512" s="115"/>
      <c r="BW3512" s="115"/>
      <c r="BX3512" s="115"/>
      <c r="BY3512" s="115"/>
      <c r="BZ3512" s="115"/>
      <c r="CA3512" s="115"/>
      <c r="CB3512" s="115"/>
      <c r="CC3512" s="115"/>
      <c r="CD3512" s="115"/>
      <c r="CE3512" s="115"/>
      <c r="CF3512" s="115"/>
      <c r="CG3512" s="115"/>
      <c r="CH3512" s="115"/>
      <c r="CI3512" s="115"/>
      <c r="CJ3512" s="115"/>
      <c r="CK3512" s="115"/>
      <c r="CL3512" s="115"/>
      <c r="CM3512" s="115"/>
      <c r="CN3512" s="115"/>
      <c r="CO3512" s="115"/>
      <c r="CP3512" s="115"/>
      <c r="CQ3512" s="115"/>
      <c r="CR3512" s="115"/>
      <c r="CS3512" s="115"/>
      <c r="CT3512" s="115"/>
      <c r="CU3512" s="115"/>
      <c r="CV3512" s="115"/>
      <c r="CW3512" s="115"/>
      <c r="CX3512" s="115"/>
      <c r="CY3512" s="115"/>
      <c r="CZ3512" s="115"/>
      <c r="DA3512" s="115"/>
      <c r="DB3512" s="115"/>
      <c r="DC3512" s="115"/>
      <c r="DD3512" s="115"/>
      <c r="DE3512" s="115"/>
      <c r="DF3512" s="115"/>
      <c r="DG3512" s="115"/>
    </row>
    <row r="3513" spans="55:111" hidden="1">
      <c r="BC3513" s="115"/>
      <c r="BD3513" s="115"/>
      <c r="BE3513" s="115"/>
      <c r="BF3513" s="115"/>
      <c r="BG3513" s="115"/>
      <c r="BH3513" s="115"/>
      <c r="BI3513" s="115"/>
      <c r="BJ3513" s="115"/>
      <c r="BK3513" s="115"/>
      <c r="BL3513" s="115"/>
      <c r="BM3513" s="115"/>
      <c r="BN3513" s="115"/>
      <c r="BO3513" s="115"/>
      <c r="BP3513" s="115"/>
      <c r="BQ3513" s="115"/>
      <c r="BR3513" s="115"/>
      <c r="BS3513" s="115"/>
      <c r="BT3513" s="115"/>
      <c r="BU3513" s="115"/>
      <c r="BV3513" s="115"/>
      <c r="BW3513" s="115"/>
      <c r="BX3513" s="115"/>
      <c r="BY3513" s="115"/>
      <c r="BZ3513" s="115"/>
      <c r="CA3513" s="115"/>
      <c r="CB3513" s="115"/>
      <c r="CC3513" s="115"/>
      <c r="CD3513" s="115"/>
      <c r="CE3513" s="115"/>
      <c r="CF3513" s="115"/>
      <c r="CG3513" s="115"/>
      <c r="CH3513" s="115"/>
      <c r="CI3513" s="115"/>
      <c r="CJ3513" s="115"/>
      <c r="CK3513" s="115"/>
      <c r="CL3513" s="115"/>
      <c r="CM3513" s="115"/>
      <c r="CN3513" s="115"/>
      <c r="CO3513" s="115"/>
      <c r="CP3513" s="115"/>
      <c r="CQ3513" s="115"/>
      <c r="CR3513" s="115"/>
      <c r="CS3513" s="115"/>
      <c r="CT3513" s="115"/>
      <c r="CU3513" s="115"/>
      <c r="CV3513" s="115"/>
      <c r="CW3513" s="115"/>
      <c r="CX3513" s="115"/>
      <c r="CY3513" s="115"/>
      <c r="CZ3513" s="115"/>
      <c r="DA3513" s="115"/>
      <c r="DB3513" s="115"/>
      <c r="DC3513" s="115"/>
      <c r="DD3513" s="115"/>
      <c r="DE3513" s="115"/>
      <c r="DF3513" s="115"/>
      <c r="DG3513" s="115"/>
    </row>
    <row r="3514" spans="55:111" hidden="1">
      <c r="BC3514" s="115"/>
      <c r="BD3514" s="115"/>
      <c r="BE3514" s="115"/>
      <c r="BF3514" s="115"/>
      <c r="BG3514" s="115"/>
      <c r="BH3514" s="115"/>
      <c r="BI3514" s="115"/>
      <c r="BJ3514" s="115"/>
      <c r="BK3514" s="115"/>
      <c r="BL3514" s="115"/>
      <c r="BM3514" s="115"/>
      <c r="BN3514" s="115"/>
      <c r="BO3514" s="115"/>
      <c r="BP3514" s="115"/>
      <c r="BQ3514" s="115"/>
      <c r="BR3514" s="115"/>
      <c r="BS3514" s="115"/>
      <c r="BT3514" s="115"/>
      <c r="BU3514" s="115"/>
      <c r="BV3514" s="115"/>
      <c r="BW3514" s="115"/>
      <c r="BX3514" s="115"/>
      <c r="BY3514" s="115"/>
      <c r="BZ3514" s="115"/>
      <c r="CA3514" s="115"/>
      <c r="CB3514" s="115"/>
      <c r="CC3514" s="115"/>
      <c r="CD3514" s="115"/>
      <c r="CE3514" s="115"/>
      <c r="CF3514" s="115"/>
      <c r="CG3514" s="115"/>
      <c r="CH3514" s="115"/>
      <c r="CI3514" s="115"/>
      <c r="CJ3514" s="115"/>
      <c r="CK3514" s="115"/>
      <c r="CL3514" s="115"/>
      <c r="CM3514" s="115"/>
      <c r="CN3514" s="115"/>
      <c r="CO3514" s="115"/>
      <c r="CP3514" s="115"/>
      <c r="CQ3514" s="115"/>
      <c r="CR3514" s="115"/>
      <c r="CS3514" s="115"/>
      <c r="CT3514" s="115"/>
      <c r="CU3514" s="115"/>
      <c r="CV3514" s="115"/>
      <c r="CW3514" s="115"/>
      <c r="CX3514" s="115"/>
      <c r="CY3514" s="115"/>
      <c r="CZ3514" s="115"/>
      <c r="DA3514" s="115"/>
      <c r="DB3514" s="115"/>
      <c r="DC3514" s="115"/>
      <c r="DD3514" s="115"/>
      <c r="DE3514" s="115"/>
      <c r="DF3514" s="115"/>
      <c r="DG3514" s="115"/>
    </row>
    <row r="3515" spans="55:111" hidden="1">
      <c r="BC3515" s="115"/>
      <c r="BD3515" s="115"/>
      <c r="BE3515" s="115"/>
      <c r="BF3515" s="115"/>
      <c r="BG3515" s="115"/>
      <c r="BH3515" s="115"/>
      <c r="BI3515" s="115"/>
      <c r="BJ3515" s="115"/>
      <c r="BK3515" s="115"/>
      <c r="BL3515" s="115"/>
      <c r="BM3515" s="115"/>
      <c r="BN3515" s="115"/>
      <c r="BO3515" s="115"/>
      <c r="BP3515" s="115"/>
      <c r="BQ3515" s="115"/>
      <c r="BR3515" s="115"/>
      <c r="BS3515" s="115"/>
      <c r="BT3515" s="115"/>
      <c r="BU3515" s="115"/>
      <c r="BV3515" s="115"/>
      <c r="BW3515" s="115"/>
      <c r="BX3515" s="115"/>
      <c r="BY3515" s="115"/>
      <c r="BZ3515" s="115"/>
      <c r="CA3515" s="115"/>
      <c r="CB3515" s="115"/>
      <c r="CC3515" s="115"/>
      <c r="CD3515" s="115"/>
      <c r="CE3515" s="115"/>
      <c r="CF3515" s="115"/>
      <c r="CG3515" s="115"/>
      <c r="CH3515" s="115"/>
      <c r="CI3515" s="115"/>
      <c r="CJ3515" s="115"/>
      <c r="CK3515" s="115"/>
      <c r="CL3515" s="115"/>
      <c r="CM3515" s="115"/>
      <c r="CN3515" s="115"/>
      <c r="CO3515" s="115"/>
      <c r="CP3515" s="115"/>
      <c r="CQ3515" s="115"/>
      <c r="CR3515" s="115"/>
      <c r="CS3515" s="115"/>
      <c r="CT3515" s="115"/>
      <c r="CU3515" s="115"/>
      <c r="CV3515" s="115"/>
      <c r="CW3515" s="115"/>
      <c r="CX3515" s="115"/>
      <c r="CY3515" s="115"/>
      <c r="CZ3515" s="115"/>
      <c r="DA3515" s="115"/>
      <c r="DB3515" s="115"/>
      <c r="DC3515" s="115"/>
      <c r="DD3515" s="115"/>
      <c r="DE3515" s="115"/>
      <c r="DF3515" s="115"/>
      <c r="DG3515" s="115"/>
    </row>
    <row r="3516" spans="55:111" hidden="1">
      <c r="BC3516" s="115"/>
      <c r="BD3516" s="115"/>
      <c r="BE3516" s="115"/>
      <c r="BF3516" s="115"/>
      <c r="BG3516" s="115"/>
      <c r="BH3516" s="115"/>
      <c r="BI3516" s="115"/>
      <c r="BJ3516" s="115"/>
      <c r="BK3516" s="115"/>
      <c r="BL3516" s="115"/>
      <c r="BM3516" s="115"/>
      <c r="BN3516" s="115"/>
      <c r="BO3516" s="115"/>
      <c r="BP3516" s="115"/>
      <c r="BQ3516" s="115"/>
      <c r="BR3516" s="115"/>
      <c r="BS3516" s="115"/>
      <c r="BT3516" s="115"/>
      <c r="BU3516" s="115"/>
      <c r="BV3516" s="115"/>
      <c r="BW3516" s="115"/>
      <c r="BX3516" s="115"/>
      <c r="BY3516" s="115"/>
      <c r="BZ3516" s="115"/>
      <c r="CA3516" s="115"/>
      <c r="CB3516" s="115"/>
      <c r="CC3516" s="115"/>
      <c r="CD3516" s="115"/>
      <c r="CE3516" s="115"/>
      <c r="CF3516" s="115"/>
      <c r="CG3516" s="115"/>
      <c r="CH3516" s="115"/>
      <c r="CI3516" s="115"/>
      <c r="CJ3516" s="115"/>
      <c r="CK3516" s="115"/>
      <c r="CL3516" s="115"/>
      <c r="CM3516" s="115"/>
      <c r="CN3516" s="115"/>
      <c r="CO3516" s="115"/>
      <c r="CP3516" s="115"/>
      <c r="CQ3516" s="115"/>
      <c r="CR3516" s="115"/>
      <c r="CS3516" s="115"/>
      <c r="CT3516" s="115"/>
      <c r="CU3516" s="115"/>
      <c r="CV3516" s="115"/>
      <c r="CW3516" s="115"/>
      <c r="CX3516" s="115"/>
      <c r="CY3516" s="115"/>
      <c r="CZ3516" s="115"/>
      <c r="DA3516" s="115"/>
      <c r="DB3516" s="115"/>
      <c r="DC3516" s="115"/>
      <c r="DD3516" s="115"/>
      <c r="DE3516" s="115"/>
      <c r="DF3516" s="115"/>
      <c r="DG3516" s="115"/>
    </row>
    <row r="3517" spans="55:111" hidden="1">
      <c r="BC3517" s="115"/>
      <c r="BD3517" s="115"/>
      <c r="BE3517" s="115"/>
      <c r="BF3517" s="115"/>
      <c r="BG3517" s="115"/>
      <c r="BH3517" s="115"/>
      <c r="BI3517" s="115"/>
      <c r="BJ3517" s="115"/>
      <c r="BK3517" s="115"/>
      <c r="BL3517" s="115"/>
      <c r="BM3517" s="115"/>
      <c r="BN3517" s="115"/>
      <c r="BO3517" s="115"/>
      <c r="BP3517" s="115"/>
      <c r="BQ3517" s="115"/>
      <c r="BR3517" s="115"/>
      <c r="BS3517" s="115"/>
      <c r="BT3517" s="115"/>
      <c r="BU3517" s="115"/>
      <c r="BV3517" s="115"/>
      <c r="BW3517" s="115"/>
      <c r="BX3517" s="115"/>
      <c r="BY3517" s="115"/>
      <c r="BZ3517" s="115"/>
      <c r="CA3517" s="115"/>
      <c r="CB3517" s="115"/>
      <c r="CC3517" s="115"/>
      <c r="CD3517" s="115"/>
      <c r="CE3517" s="115"/>
      <c r="CF3517" s="115"/>
      <c r="CG3517" s="115"/>
      <c r="CH3517" s="115"/>
      <c r="CI3517" s="115"/>
      <c r="CJ3517" s="115"/>
      <c r="CK3517" s="115"/>
      <c r="CL3517" s="115"/>
      <c r="CM3517" s="115"/>
      <c r="CN3517" s="115"/>
      <c r="CO3517" s="115"/>
      <c r="CP3517" s="115"/>
      <c r="CQ3517" s="115"/>
      <c r="CR3517" s="115"/>
      <c r="CS3517" s="115"/>
      <c r="CT3517" s="115"/>
      <c r="CU3517" s="115"/>
      <c r="CV3517" s="115"/>
      <c r="CW3517" s="115"/>
      <c r="CX3517" s="115"/>
      <c r="CY3517" s="115"/>
      <c r="CZ3517" s="115"/>
      <c r="DA3517" s="115"/>
      <c r="DB3517" s="115"/>
      <c r="DC3517" s="115"/>
      <c r="DD3517" s="115"/>
      <c r="DE3517" s="115"/>
      <c r="DF3517" s="115"/>
      <c r="DG3517" s="115"/>
    </row>
    <row r="3518" spans="55:111" hidden="1">
      <c r="BC3518" s="115"/>
      <c r="BD3518" s="115"/>
      <c r="BE3518" s="115"/>
      <c r="BF3518" s="115"/>
      <c r="BG3518" s="115"/>
      <c r="BH3518" s="115"/>
      <c r="BI3518" s="115"/>
      <c r="BJ3518" s="115"/>
      <c r="BK3518" s="115"/>
      <c r="BL3518" s="115"/>
      <c r="BM3518" s="115"/>
      <c r="BN3518" s="115"/>
      <c r="BO3518" s="115"/>
      <c r="BP3518" s="115"/>
      <c r="BQ3518" s="115"/>
      <c r="BR3518" s="115"/>
      <c r="BS3518" s="115"/>
      <c r="BT3518" s="115"/>
      <c r="BU3518" s="115"/>
      <c r="BV3518" s="115"/>
      <c r="BW3518" s="115"/>
      <c r="BX3518" s="115"/>
      <c r="BY3518" s="115"/>
      <c r="BZ3518" s="115"/>
      <c r="CA3518" s="115"/>
      <c r="CB3518" s="115"/>
      <c r="CC3518" s="115"/>
      <c r="CD3518" s="115"/>
      <c r="CE3518" s="115"/>
      <c r="CF3518" s="115"/>
      <c r="CG3518" s="115"/>
      <c r="CH3518" s="115"/>
      <c r="CI3518" s="115"/>
      <c r="CJ3518" s="115"/>
      <c r="CK3518" s="115"/>
      <c r="CL3518" s="115"/>
      <c r="CM3518" s="115"/>
      <c r="CN3518" s="115"/>
      <c r="CO3518" s="115"/>
      <c r="CP3518" s="115"/>
      <c r="CQ3518" s="115"/>
      <c r="CR3518" s="115"/>
      <c r="CS3518" s="115"/>
      <c r="CT3518" s="115"/>
      <c r="CU3518" s="115"/>
      <c r="CV3518" s="115"/>
      <c r="CW3518" s="115"/>
      <c r="CX3518" s="115"/>
      <c r="CY3518" s="115"/>
      <c r="CZ3518" s="115"/>
      <c r="DA3518" s="115"/>
      <c r="DB3518" s="115"/>
      <c r="DC3518" s="115"/>
      <c r="DD3518" s="115"/>
      <c r="DE3518" s="115"/>
      <c r="DF3518" s="115"/>
      <c r="DG3518" s="115"/>
    </row>
    <row r="3519" spans="55:111" hidden="1">
      <c r="BC3519" s="115"/>
      <c r="BD3519" s="115"/>
      <c r="BE3519" s="115"/>
      <c r="BF3519" s="115"/>
      <c r="BG3519" s="115"/>
      <c r="BH3519" s="115"/>
      <c r="BI3519" s="115"/>
      <c r="BJ3519" s="115"/>
      <c r="BK3519" s="115"/>
      <c r="BL3519" s="115"/>
      <c r="BM3519" s="115"/>
      <c r="BN3519" s="115"/>
      <c r="BO3519" s="115"/>
      <c r="BP3519" s="115"/>
      <c r="BQ3519" s="115"/>
      <c r="BR3519" s="115"/>
      <c r="BS3519" s="115"/>
      <c r="BT3519" s="115"/>
      <c r="BU3519" s="115"/>
      <c r="BV3519" s="115"/>
      <c r="BW3519" s="115"/>
      <c r="BX3519" s="115"/>
      <c r="BY3519" s="115"/>
      <c r="BZ3519" s="115"/>
      <c r="CA3519" s="115"/>
      <c r="CB3519" s="115"/>
      <c r="CC3519" s="115"/>
      <c r="CD3519" s="115"/>
      <c r="CE3519" s="115"/>
      <c r="CF3519" s="115"/>
      <c r="CG3519" s="115"/>
      <c r="CH3519" s="115"/>
      <c r="CI3519" s="115"/>
      <c r="CJ3519" s="115"/>
      <c r="CK3519" s="115"/>
      <c r="CL3519" s="115"/>
      <c r="CM3519" s="115"/>
      <c r="CN3519" s="115"/>
      <c r="CO3519" s="115"/>
      <c r="CP3519" s="115"/>
      <c r="CQ3519" s="115"/>
      <c r="CR3519" s="115"/>
      <c r="CS3519" s="115"/>
      <c r="CT3519" s="115"/>
      <c r="CU3519" s="115"/>
      <c r="CV3519" s="115"/>
      <c r="CW3519" s="115"/>
      <c r="CX3519" s="115"/>
      <c r="CY3519" s="115"/>
      <c r="CZ3519" s="115"/>
      <c r="DA3519" s="115"/>
      <c r="DB3519" s="115"/>
      <c r="DC3519" s="115"/>
      <c r="DD3519" s="115"/>
      <c r="DE3519" s="115"/>
      <c r="DF3519" s="115"/>
      <c r="DG3519" s="115"/>
    </row>
    <row r="3520" spans="55:111" hidden="1">
      <c r="BC3520" s="115"/>
      <c r="BD3520" s="115"/>
      <c r="BE3520" s="115"/>
      <c r="BF3520" s="115"/>
      <c r="BG3520" s="115"/>
      <c r="BH3520" s="115"/>
      <c r="BI3520" s="115"/>
      <c r="BJ3520" s="115"/>
      <c r="BK3520" s="115"/>
      <c r="BL3520" s="115"/>
      <c r="BM3520" s="115"/>
      <c r="BN3520" s="115"/>
      <c r="BO3520" s="115"/>
      <c r="BP3520" s="115"/>
      <c r="BQ3520" s="115"/>
      <c r="BR3520" s="115"/>
      <c r="BS3520" s="115"/>
      <c r="BT3520" s="115"/>
      <c r="BU3520" s="115"/>
      <c r="BV3520" s="115"/>
      <c r="BW3520" s="115"/>
      <c r="BX3520" s="115"/>
      <c r="BY3520" s="115"/>
      <c r="BZ3520" s="115"/>
      <c r="CA3520" s="115"/>
      <c r="CB3520" s="115"/>
      <c r="CC3520" s="115"/>
      <c r="CD3520" s="115"/>
      <c r="CE3520" s="115"/>
      <c r="CF3520" s="115"/>
      <c r="CG3520" s="115"/>
      <c r="CH3520" s="115"/>
      <c r="CI3520" s="115"/>
      <c r="CJ3520" s="115"/>
      <c r="CK3520" s="115"/>
      <c r="CL3520" s="115"/>
      <c r="CM3520" s="115"/>
      <c r="CN3520" s="115"/>
      <c r="CO3520" s="115"/>
      <c r="CP3520" s="115"/>
      <c r="CQ3520" s="115"/>
      <c r="CR3520" s="115"/>
      <c r="CS3520" s="115"/>
      <c r="CT3520" s="115"/>
      <c r="CU3520" s="115"/>
      <c r="CV3520" s="115"/>
      <c r="CW3520" s="115"/>
      <c r="CX3520" s="115"/>
      <c r="CY3520" s="115"/>
      <c r="CZ3520" s="115"/>
      <c r="DA3520" s="115"/>
      <c r="DB3520" s="115"/>
      <c r="DC3520" s="115"/>
      <c r="DD3520" s="115"/>
      <c r="DE3520" s="115"/>
      <c r="DF3520" s="115"/>
      <c r="DG3520" s="115"/>
    </row>
    <row r="3521" spans="55:111" hidden="1">
      <c r="BC3521" s="115"/>
      <c r="BD3521" s="115"/>
      <c r="BE3521" s="115"/>
      <c r="BF3521" s="115"/>
      <c r="BG3521" s="115"/>
      <c r="BH3521" s="115"/>
      <c r="BI3521" s="115"/>
      <c r="BJ3521" s="115"/>
      <c r="BK3521" s="115"/>
      <c r="BL3521" s="115"/>
      <c r="BM3521" s="115"/>
      <c r="BN3521" s="115"/>
      <c r="BO3521" s="115"/>
      <c r="BP3521" s="115"/>
      <c r="BQ3521" s="115"/>
      <c r="BR3521" s="115"/>
      <c r="BS3521" s="115"/>
      <c r="BT3521" s="115"/>
      <c r="BU3521" s="115"/>
      <c r="BV3521" s="115"/>
      <c r="BW3521" s="115"/>
      <c r="BX3521" s="115"/>
      <c r="BY3521" s="115"/>
      <c r="BZ3521" s="115"/>
      <c r="CA3521" s="115"/>
      <c r="CB3521" s="115"/>
      <c r="CC3521" s="115"/>
      <c r="CD3521" s="115"/>
      <c r="CE3521" s="115"/>
      <c r="CF3521" s="115"/>
      <c r="CG3521" s="115"/>
      <c r="CH3521" s="115"/>
      <c r="CI3521" s="115"/>
      <c r="CJ3521" s="115"/>
      <c r="CK3521" s="115"/>
      <c r="CL3521" s="115"/>
      <c r="CM3521" s="115"/>
      <c r="CN3521" s="115"/>
      <c r="CO3521" s="115"/>
      <c r="CP3521" s="115"/>
      <c r="CQ3521" s="115"/>
      <c r="CR3521" s="115"/>
      <c r="CS3521" s="115"/>
      <c r="CT3521" s="115"/>
      <c r="CU3521" s="115"/>
      <c r="CV3521" s="115"/>
      <c r="CW3521" s="115"/>
      <c r="CX3521" s="115"/>
      <c r="CY3521" s="115"/>
      <c r="CZ3521" s="115"/>
      <c r="DA3521" s="115"/>
      <c r="DB3521" s="115"/>
      <c r="DC3521" s="115"/>
      <c r="DD3521" s="115"/>
      <c r="DE3521" s="115"/>
      <c r="DF3521" s="115"/>
      <c r="DG3521" s="115"/>
    </row>
    <row r="3522" spans="55:111" hidden="1">
      <c r="BC3522" s="115"/>
      <c r="BD3522" s="115"/>
      <c r="BE3522" s="115"/>
      <c r="BF3522" s="115"/>
      <c r="BG3522" s="115"/>
      <c r="BH3522" s="115"/>
      <c r="BI3522" s="115"/>
      <c r="BJ3522" s="115"/>
      <c r="BK3522" s="115"/>
      <c r="BL3522" s="115"/>
      <c r="BM3522" s="115"/>
      <c r="BN3522" s="115"/>
      <c r="BO3522" s="115"/>
      <c r="BP3522" s="115"/>
      <c r="BQ3522" s="115"/>
      <c r="BR3522" s="115"/>
      <c r="BS3522" s="115"/>
      <c r="BT3522" s="115"/>
      <c r="BU3522" s="115"/>
      <c r="BV3522" s="115"/>
      <c r="BW3522" s="115"/>
      <c r="BX3522" s="115"/>
      <c r="BY3522" s="115"/>
      <c r="BZ3522" s="115"/>
      <c r="CA3522" s="115"/>
      <c r="CB3522" s="115"/>
      <c r="CC3522" s="115"/>
      <c r="CD3522" s="115"/>
      <c r="CE3522" s="115"/>
      <c r="CF3522" s="115"/>
      <c r="CG3522" s="115"/>
      <c r="CH3522" s="115"/>
      <c r="CI3522" s="115"/>
      <c r="CJ3522" s="115"/>
      <c r="CK3522" s="115"/>
      <c r="CL3522" s="115"/>
      <c r="CM3522" s="115"/>
      <c r="CN3522" s="115"/>
      <c r="CO3522" s="115"/>
      <c r="CP3522" s="115"/>
      <c r="CQ3522" s="115"/>
      <c r="CR3522" s="115"/>
      <c r="CS3522" s="115"/>
      <c r="CT3522" s="115"/>
      <c r="CU3522" s="115"/>
      <c r="CV3522" s="115"/>
      <c r="CW3522" s="115"/>
      <c r="CX3522" s="115"/>
      <c r="CY3522" s="115"/>
      <c r="CZ3522" s="115"/>
      <c r="DA3522" s="115"/>
      <c r="DB3522" s="115"/>
      <c r="DC3522" s="115"/>
      <c r="DD3522" s="115"/>
      <c r="DE3522" s="115"/>
      <c r="DF3522" s="115"/>
      <c r="DG3522" s="115"/>
    </row>
    <row r="3523" spans="55:111" hidden="1">
      <c r="BC3523" s="115"/>
      <c r="BD3523" s="115"/>
      <c r="BE3523" s="115"/>
      <c r="BF3523" s="115"/>
      <c r="BG3523" s="115"/>
      <c r="BH3523" s="115"/>
      <c r="BI3523" s="115"/>
      <c r="BJ3523" s="115"/>
      <c r="BK3523" s="115"/>
      <c r="BL3523" s="115"/>
      <c r="BM3523" s="115"/>
      <c r="BN3523" s="115"/>
      <c r="BO3523" s="115"/>
      <c r="BP3523" s="115"/>
      <c r="BQ3523" s="115"/>
      <c r="BR3523" s="115"/>
      <c r="BS3523" s="115"/>
      <c r="BT3523" s="115"/>
      <c r="BU3523" s="115"/>
      <c r="BV3523" s="115"/>
      <c r="BW3523" s="115"/>
      <c r="BX3523" s="115"/>
      <c r="BY3523" s="115"/>
      <c r="BZ3523" s="115"/>
      <c r="CA3523" s="115"/>
      <c r="CB3523" s="115"/>
      <c r="CC3523" s="115"/>
      <c r="CD3523" s="115"/>
      <c r="CE3523" s="115"/>
      <c r="CF3523" s="115"/>
      <c r="CG3523" s="115"/>
      <c r="CH3523" s="115"/>
      <c r="CI3523" s="115"/>
      <c r="CJ3523" s="115"/>
      <c r="CK3523" s="115"/>
      <c r="CL3523" s="115"/>
      <c r="CM3523" s="115"/>
      <c r="CN3523" s="115"/>
      <c r="CO3523" s="115"/>
      <c r="CP3523" s="115"/>
      <c r="CQ3523" s="115"/>
      <c r="CR3523" s="115"/>
      <c r="CS3523" s="115"/>
      <c r="CT3523" s="115"/>
      <c r="CU3523" s="115"/>
      <c r="CV3523" s="115"/>
      <c r="CW3523" s="115"/>
      <c r="CX3523" s="115"/>
      <c r="CY3523" s="115"/>
      <c r="CZ3523" s="115"/>
      <c r="DA3523" s="115"/>
      <c r="DB3523" s="115"/>
      <c r="DC3523" s="115"/>
      <c r="DD3523" s="115"/>
      <c r="DE3523" s="115"/>
      <c r="DF3523" s="115"/>
      <c r="DG3523" s="115"/>
    </row>
    <row r="3524" spans="55:111" hidden="1">
      <c r="BC3524" s="115"/>
      <c r="BD3524" s="115"/>
      <c r="BE3524" s="115"/>
      <c r="BF3524" s="115"/>
      <c r="BG3524" s="115"/>
      <c r="BH3524" s="115"/>
      <c r="BI3524" s="115"/>
      <c r="BJ3524" s="115"/>
      <c r="BK3524" s="115"/>
      <c r="BL3524" s="115"/>
      <c r="BM3524" s="115"/>
      <c r="BN3524" s="115"/>
      <c r="BO3524" s="115"/>
      <c r="BP3524" s="115"/>
      <c r="BQ3524" s="115"/>
      <c r="BR3524" s="115"/>
      <c r="BS3524" s="115"/>
      <c r="BT3524" s="115"/>
      <c r="BU3524" s="115"/>
      <c r="BV3524" s="115"/>
      <c r="BW3524" s="115"/>
      <c r="BX3524" s="115"/>
      <c r="BY3524" s="115"/>
      <c r="BZ3524" s="115"/>
      <c r="CA3524" s="115"/>
      <c r="CB3524" s="115"/>
      <c r="CC3524" s="115"/>
      <c r="CD3524" s="115"/>
      <c r="CE3524" s="115"/>
      <c r="CF3524" s="115"/>
      <c r="CG3524" s="115"/>
      <c r="CH3524" s="115"/>
      <c r="CI3524" s="115"/>
      <c r="CJ3524" s="115"/>
      <c r="CK3524" s="115"/>
      <c r="CL3524" s="115"/>
      <c r="CM3524" s="115"/>
      <c r="CN3524" s="115"/>
      <c r="CO3524" s="115"/>
      <c r="CP3524" s="115"/>
      <c r="CQ3524" s="115"/>
      <c r="CR3524" s="115"/>
      <c r="CS3524" s="115"/>
      <c r="CT3524" s="115"/>
      <c r="CU3524" s="115"/>
      <c r="CV3524" s="115"/>
      <c r="CW3524" s="115"/>
      <c r="CX3524" s="115"/>
      <c r="CY3524" s="115"/>
      <c r="CZ3524" s="115"/>
      <c r="DA3524" s="115"/>
      <c r="DB3524" s="115"/>
      <c r="DC3524" s="115"/>
      <c r="DD3524" s="115"/>
      <c r="DE3524" s="115"/>
      <c r="DF3524" s="115"/>
      <c r="DG3524" s="115"/>
    </row>
    <row r="3525" spans="55:111" hidden="1">
      <c r="BC3525" s="115"/>
      <c r="BD3525" s="115"/>
      <c r="BE3525" s="115"/>
      <c r="BF3525" s="115"/>
      <c r="BG3525" s="115"/>
      <c r="BH3525" s="115"/>
      <c r="BI3525" s="115"/>
      <c r="BJ3525" s="115"/>
      <c r="BK3525" s="115"/>
      <c r="BL3525" s="115"/>
      <c r="BM3525" s="115"/>
      <c r="BN3525" s="115"/>
      <c r="BO3525" s="115"/>
      <c r="BP3525" s="115"/>
      <c r="BQ3525" s="115"/>
      <c r="BR3525" s="115"/>
      <c r="BS3525" s="115"/>
      <c r="BT3525" s="115"/>
      <c r="BU3525" s="115"/>
      <c r="BV3525" s="115"/>
      <c r="BW3525" s="115"/>
      <c r="BX3525" s="115"/>
      <c r="BY3525" s="115"/>
      <c r="BZ3525" s="115"/>
      <c r="CA3525" s="115"/>
      <c r="CB3525" s="115"/>
      <c r="CC3525" s="115"/>
      <c r="CD3525" s="115"/>
      <c r="CE3525" s="115"/>
      <c r="CF3525" s="115"/>
      <c r="CG3525" s="115"/>
      <c r="CH3525" s="115"/>
      <c r="CI3525" s="115"/>
      <c r="CJ3525" s="115"/>
      <c r="CK3525" s="115"/>
      <c r="CL3525" s="115"/>
      <c r="CM3525" s="115"/>
      <c r="CN3525" s="115"/>
      <c r="CO3525" s="115"/>
      <c r="CP3525" s="115"/>
      <c r="CQ3525" s="115"/>
      <c r="CR3525" s="115"/>
      <c r="CS3525" s="115"/>
      <c r="CT3525" s="115"/>
      <c r="CU3525" s="115"/>
      <c r="CV3525" s="115"/>
      <c r="CW3525" s="115"/>
      <c r="CX3525" s="115"/>
      <c r="CY3525" s="115"/>
      <c r="CZ3525" s="115"/>
      <c r="DA3525" s="115"/>
      <c r="DB3525" s="115"/>
      <c r="DC3525" s="115"/>
      <c r="DD3525" s="115"/>
      <c r="DE3525" s="115"/>
      <c r="DF3525" s="115"/>
      <c r="DG3525" s="115"/>
    </row>
    <row r="3526" spans="55:111" hidden="1">
      <c r="BC3526" s="115"/>
      <c r="BD3526" s="115"/>
      <c r="BE3526" s="115"/>
      <c r="BF3526" s="115"/>
      <c r="BG3526" s="115"/>
      <c r="BH3526" s="115"/>
      <c r="BI3526" s="115"/>
      <c r="BJ3526" s="115"/>
      <c r="BK3526" s="115"/>
      <c r="BL3526" s="115"/>
      <c r="BM3526" s="115"/>
      <c r="BN3526" s="115"/>
      <c r="BO3526" s="115"/>
      <c r="BP3526" s="115"/>
      <c r="BQ3526" s="115"/>
      <c r="BR3526" s="115"/>
      <c r="BS3526" s="115"/>
      <c r="BT3526" s="115"/>
      <c r="BU3526" s="115"/>
      <c r="BV3526" s="115"/>
      <c r="BW3526" s="115"/>
      <c r="BX3526" s="115"/>
      <c r="BY3526" s="115"/>
      <c r="BZ3526" s="115"/>
      <c r="CA3526" s="115"/>
      <c r="CB3526" s="115"/>
      <c r="CC3526" s="115"/>
      <c r="CD3526" s="115"/>
      <c r="CE3526" s="115"/>
      <c r="CF3526" s="115"/>
      <c r="CG3526" s="115"/>
      <c r="CH3526" s="115"/>
      <c r="CI3526" s="115"/>
      <c r="CJ3526" s="115"/>
      <c r="CK3526" s="115"/>
      <c r="CL3526" s="115"/>
      <c r="CM3526" s="115"/>
      <c r="CN3526" s="115"/>
      <c r="CO3526" s="115"/>
      <c r="CP3526" s="115"/>
      <c r="CQ3526" s="115"/>
      <c r="CR3526" s="115"/>
      <c r="CS3526" s="115"/>
      <c r="CT3526" s="115"/>
      <c r="CU3526" s="115"/>
      <c r="CV3526" s="115"/>
      <c r="CW3526" s="115"/>
      <c r="CX3526" s="115"/>
      <c r="CY3526" s="115"/>
      <c r="CZ3526" s="115"/>
      <c r="DA3526" s="115"/>
      <c r="DB3526" s="115"/>
      <c r="DC3526" s="115"/>
      <c r="DD3526" s="115"/>
      <c r="DE3526" s="115"/>
      <c r="DF3526" s="115"/>
      <c r="DG3526" s="115"/>
    </row>
    <row r="3527" spans="55:111" hidden="1">
      <c r="BC3527" s="115"/>
      <c r="BD3527" s="115"/>
      <c r="BE3527" s="115"/>
      <c r="BF3527" s="115"/>
      <c r="BG3527" s="115"/>
      <c r="BH3527" s="115"/>
      <c r="BI3527" s="115"/>
      <c r="BJ3527" s="115"/>
      <c r="BK3527" s="115"/>
      <c r="BL3527" s="115"/>
      <c r="BM3527" s="115"/>
      <c r="BN3527" s="115"/>
      <c r="BO3527" s="115"/>
      <c r="BP3527" s="115"/>
      <c r="BQ3527" s="115"/>
      <c r="BR3527" s="115"/>
      <c r="BS3527" s="115"/>
      <c r="BT3527" s="115"/>
      <c r="BU3527" s="115"/>
      <c r="BV3527" s="115"/>
      <c r="BW3527" s="115"/>
      <c r="BX3527" s="115"/>
      <c r="BY3527" s="115"/>
      <c r="BZ3527" s="115"/>
      <c r="CA3527" s="115"/>
      <c r="CB3527" s="115"/>
      <c r="CC3527" s="115"/>
      <c r="CD3527" s="115"/>
      <c r="CE3527" s="115"/>
      <c r="CF3527" s="115"/>
      <c r="CG3527" s="115"/>
      <c r="CH3527" s="115"/>
      <c r="CI3527" s="115"/>
      <c r="CJ3527" s="115"/>
      <c r="CK3527" s="115"/>
      <c r="CL3527" s="115"/>
      <c r="CM3527" s="115"/>
      <c r="CN3527" s="115"/>
      <c r="CO3527" s="115"/>
      <c r="CP3527" s="115"/>
      <c r="CQ3527" s="115"/>
      <c r="CR3527" s="115"/>
      <c r="CS3527" s="115"/>
      <c r="CT3527" s="115"/>
      <c r="CU3527" s="115"/>
      <c r="CV3527" s="115"/>
      <c r="CW3527" s="115"/>
      <c r="CX3527" s="115"/>
      <c r="CY3527" s="115"/>
      <c r="CZ3527" s="115"/>
      <c r="DA3527" s="115"/>
      <c r="DB3527" s="115"/>
      <c r="DC3527" s="115"/>
      <c r="DD3527" s="115"/>
      <c r="DE3527" s="115"/>
      <c r="DF3527" s="115"/>
      <c r="DG3527" s="115"/>
    </row>
    <row r="3528" spans="55:111" hidden="1">
      <c r="BC3528" s="115"/>
      <c r="BD3528" s="115"/>
      <c r="BE3528" s="115"/>
      <c r="BF3528" s="115"/>
      <c r="BG3528" s="115"/>
      <c r="BH3528" s="115"/>
      <c r="BI3528" s="115"/>
      <c r="BJ3528" s="115"/>
      <c r="BK3528" s="115"/>
      <c r="BL3528" s="115"/>
      <c r="BM3528" s="115"/>
      <c r="BN3528" s="115"/>
      <c r="BO3528" s="115"/>
      <c r="BP3528" s="115"/>
      <c r="BQ3528" s="115"/>
      <c r="BR3528" s="115"/>
      <c r="BS3528" s="115"/>
      <c r="BT3528" s="115"/>
      <c r="BU3528" s="115"/>
      <c r="BV3528" s="115"/>
      <c r="BW3528" s="115"/>
      <c r="BX3528" s="115"/>
      <c r="BY3528" s="115"/>
      <c r="BZ3528" s="115"/>
      <c r="CA3528" s="115"/>
      <c r="CB3528" s="115"/>
      <c r="CC3528" s="115"/>
      <c r="CD3528" s="115"/>
      <c r="CE3528" s="115"/>
      <c r="CF3528" s="115"/>
      <c r="CG3528" s="115"/>
      <c r="CH3528" s="115"/>
      <c r="CI3528" s="115"/>
      <c r="CJ3528" s="115"/>
      <c r="CK3528" s="115"/>
      <c r="CL3528" s="115"/>
      <c r="CM3528" s="115"/>
      <c r="CN3528" s="115"/>
      <c r="CO3528" s="115"/>
      <c r="CP3528" s="115"/>
      <c r="CQ3528" s="115"/>
      <c r="CR3528" s="115"/>
      <c r="CS3528" s="115"/>
      <c r="CT3528" s="115"/>
      <c r="CU3528" s="115"/>
      <c r="CV3528" s="115"/>
      <c r="CW3528" s="115"/>
      <c r="CX3528" s="115"/>
      <c r="CY3528" s="115"/>
      <c r="CZ3528" s="115"/>
      <c r="DA3528" s="115"/>
      <c r="DB3528" s="115"/>
      <c r="DC3528" s="115"/>
      <c r="DD3528" s="115"/>
      <c r="DE3528" s="115"/>
      <c r="DF3528" s="115"/>
      <c r="DG3528" s="115"/>
    </row>
    <row r="3529" spans="55:111" hidden="1">
      <c r="BC3529" s="115"/>
      <c r="BD3529" s="115"/>
      <c r="BE3529" s="115"/>
      <c r="BF3529" s="115"/>
      <c r="BG3529" s="115"/>
      <c r="BH3529" s="115"/>
      <c r="BI3529" s="115"/>
      <c r="BJ3529" s="115"/>
      <c r="BK3529" s="115"/>
      <c r="BL3529" s="115"/>
      <c r="BM3529" s="115"/>
      <c r="BN3529" s="115"/>
      <c r="BO3529" s="115"/>
      <c r="BP3529" s="115"/>
      <c r="BQ3529" s="115"/>
      <c r="BR3529" s="115"/>
      <c r="BS3529" s="115"/>
      <c r="BT3529" s="115"/>
      <c r="BU3529" s="115"/>
      <c r="BV3529" s="115"/>
      <c r="BW3529" s="115"/>
      <c r="BX3529" s="115"/>
      <c r="BY3529" s="115"/>
      <c r="BZ3529" s="115"/>
      <c r="CA3529" s="115"/>
      <c r="CB3529" s="115"/>
      <c r="CC3529" s="115"/>
      <c r="CD3529" s="115"/>
      <c r="CE3529" s="115"/>
      <c r="CF3529" s="115"/>
      <c r="CG3529" s="115"/>
      <c r="CH3529" s="115"/>
      <c r="CI3529" s="115"/>
      <c r="CJ3529" s="115"/>
      <c r="CK3529" s="115"/>
      <c r="CL3529" s="115"/>
      <c r="CM3529" s="115"/>
      <c r="CN3529" s="115"/>
      <c r="CO3529" s="115"/>
      <c r="CP3529" s="115"/>
      <c r="CQ3529" s="115"/>
      <c r="CR3529" s="115"/>
      <c r="CS3529" s="115"/>
      <c r="CT3529" s="115"/>
      <c r="CU3529" s="115"/>
      <c r="CV3529" s="115"/>
      <c r="CW3529" s="115"/>
      <c r="CX3529" s="115"/>
      <c r="CY3529" s="115"/>
      <c r="CZ3529" s="115"/>
      <c r="DA3529" s="115"/>
      <c r="DB3529" s="115"/>
      <c r="DC3529" s="115"/>
      <c r="DD3529" s="115"/>
      <c r="DE3529" s="115"/>
      <c r="DF3529" s="115"/>
      <c r="DG3529" s="115"/>
    </row>
    <row r="3530" spans="55:111" hidden="1">
      <c r="BC3530" s="115"/>
      <c r="BD3530" s="115"/>
      <c r="BE3530" s="115"/>
      <c r="BF3530" s="115"/>
      <c r="BG3530" s="115"/>
      <c r="BH3530" s="115"/>
      <c r="BI3530" s="115"/>
      <c r="BJ3530" s="115"/>
      <c r="BK3530" s="115"/>
      <c r="BL3530" s="115"/>
      <c r="BM3530" s="115"/>
      <c r="BN3530" s="115"/>
      <c r="BO3530" s="115"/>
      <c r="BP3530" s="115"/>
      <c r="BQ3530" s="115"/>
      <c r="BR3530" s="115"/>
      <c r="BS3530" s="115"/>
      <c r="BT3530" s="115"/>
      <c r="BU3530" s="115"/>
      <c r="BV3530" s="115"/>
      <c r="BW3530" s="115"/>
      <c r="BX3530" s="115"/>
      <c r="BY3530" s="115"/>
      <c r="BZ3530" s="115"/>
      <c r="CA3530" s="115"/>
      <c r="CB3530" s="115"/>
      <c r="CC3530" s="115"/>
      <c r="CD3530" s="115"/>
      <c r="CE3530" s="115"/>
      <c r="CF3530" s="115"/>
      <c r="CG3530" s="115"/>
      <c r="CH3530" s="115"/>
      <c r="CI3530" s="115"/>
      <c r="CJ3530" s="115"/>
      <c r="CK3530" s="115"/>
      <c r="CL3530" s="115"/>
      <c r="CM3530" s="115"/>
      <c r="CN3530" s="115"/>
      <c r="CO3530" s="115"/>
      <c r="CP3530" s="115"/>
      <c r="CQ3530" s="115"/>
      <c r="CR3530" s="115"/>
      <c r="CS3530" s="115"/>
      <c r="CT3530" s="115"/>
      <c r="CU3530" s="115"/>
      <c r="CV3530" s="115"/>
      <c r="CW3530" s="115"/>
      <c r="CX3530" s="115"/>
      <c r="CY3530" s="115"/>
      <c r="CZ3530" s="115"/>
      <c r="DA3530" s="115"/>
      <c r="DB3530" s="115"/>
      <c r="DC3530" s="115"/>
      <c r="DD3530" s="115"/>
      <c r="DE3530" s="115"/>
      <c r="DF3530" s="115"/>
      <c r="DG3530" s="115"/>
    </row>
    <row r="3531" spans="55:111" hidden="1">
      <c r="BC3531" s="115"/>
      <c r="BD3531" s="115"/>
      <c r="BE3531" s="115"/>
      <c r="BF3531" s="115"/>
      <c r="BG3531" s="115"/>
      <c r="BH3531" s="115"/>
      <c r="BI3531" s="115"/>
      <c r="BJ3531" s="115"/>
      <c r="BK3531" s="115"/>
      <c r="BL3531" s="115"/>
      <c r="BM3531" s="115"/>
      <c r="BN3531" s="115"/>
      <c r="BO3531" s="115"/>
      <c r="BP3531" s="115"/>
      <c r="BQ3531" s="115"/>
      <c r="BR3531" s="115"/>
      <c r="BS3531" s="115"/>
      <c r="BT3531" s="115"/>
      <c r="BU3531" s="115"/>
      <c r="BV3531" s="115"/>
      <c r="BW3531" s="115"/>
      <c r="BX3531" s="115"/>
      <c r="BY3531" s="115"/>
      <c r="BZ3531" s="115"/>
      <c r="CA3531" s="115"/>
      <c r="CB3531" s="115"/>
      <c r="CC3531" s="115"/>
      <c r="CD3531" s="115"/>
      <c r="CE3531" s="115"/>
      <c r="CF3531" s="115"/>
      <c r="CG3531" s="115"/>
      <c r="CH3531" s="115"/>
      <c r="CI3531" s="115"/>
      <c r="CJ3531" s="115"/>
      <c r="CK3531" s="115"/>
      <c r="CL3531" s="115"/>
      <c r="CM3531" s="115"/>
      <c r="CN3531" s="115"/>
      <c r="CO3531" s="115"/>
      <c r="CP3531" s="115"/>
      <c r="CQ3531" s="115"/>
      <c r="CR3531" s="115"/>
      <c r="CS3531" s="115"/>
      <c r="CT3531" s="115"/>
      <c r="CU3531" s="115"/>
      <c r="CV3531" s="115"/>
      <c r="CW3531" s="115"/>
      <c r="CX3531" s="115"/>
      <c r="CY3531" s="115"/>
      <c r="CZ3531" s="115"/>
      <c r="DA3531" s="115"/>
      <c r="DB3531" s="115"/>
      <c r="DC3531" s="115"/>
      <c r="DD3531" s="115"/>
      <c r="DE3531" s="115"/>
      <c r="DF3531" s="115"/>
      <c r="DG3531" s="115"/>
    </row>
    <row r="3532" spans="55:111" hidden="1">
      <c r="BC3532" s="115"/>
      <c r="BD3532" s="115"/>
      <c r="BE3532" s="115"/>
      <c r="BF3532" s="115"/>
      <c r="BG3532" s="115"/>
      <c r="BH3532" s="115"/>
      <c r="BI3532" s="115"/>
      <c r="BJ3532" s="115"/>
      <c r="BK3532" s="115"/>
      <c r="BL3532" s="115"/>
      <c r="BM3532" s="115"/>
      <c r="BN3532" s="115"/>
      <c r="BO3532" s="115"/>
      <c r="BP3532" s="115"/>
      <c r="BQ3532" s="115"/>
      <c r="BR3532" s="115"/>
      <c r="BS3532" s="115"/>
      <c r="BT3532" s="115"/>
      <c r="BU3532" s="115"/>
      <c r="BV3532" s="115"/>
      <c r="BW3532" s="115"/>
      <c r="BX3532" s="115"/>
      <c r="BY3532" s="115"/>
      <c r="BZ3532" s="115"/>
      <c r="CA3532" s="115"/>
      <c r="CB3532" s="115"/>
      <c r="CC3532" s="115"/>
      <c r="CD3532" s="115"/>
      <c r="CE3532" s="115"/>
      <c r="CF3532" s="115"/>
      <c r="CG3532" s="115"/>
      <c r="CH3532" s="115"/>
      <c r="CI3532" s="115"/>
      <c r="CJ3532" s="115"/>
      <c r="CK3532" s="115"/>
      <c r="CL3532" s="115"/>
      <c r="CM3532" s="115"/>
      <c r="CN3532" s="115"/>
      <c r="CO3532" s="115"/>
      <c r="CP3532" s="115"/>
      <c r="CQ3532" s="115"/>
      <c r="CR3532" s="115"/>
      <c r="CS3532" s="115"/>
      <c r="CT3532" s="115"/>
      <c r="CU3532" s="115"/>
      <c r="CV3532" s="115"/>
      <c r="CW3532" s="115"/>
      <c r="CX3532" s="115"/>
      <c r="CY3532" s="115"/>
      <c r="CZ3532" s="115"/>
      <c r="DA3532" s="115"/>
      <c r="DB3532" s="115"/>
      <c r="DC3532" s="115"/>
      <c r="DD3532" s="115"/>
      <c r="DE3532" s="115"/>
      <c r="DF3532" s="115"/>
      <c r="DG3532" s="115"/>
    </row>
    <row r="3533" spans="55:111" hidden="1">
      <c r="BC3533" s="115"/>
      <c r="BD3533" s="115"/>
      <c r="BE3533" s="115"/>
      <c r="BF3533" s="115"/>
      <c r="BG3533" s="115"/>
      <c r="BH3533" s="115"/>
      <c r="BI3533" s="115"/>
      <c r="BJ3533" s="115"/>
      <c r="BK3533" s="115"/>
      <c r="BL3533" s="115"/>
      <c r="BM3533" s="115"/>
      <c r="BN3533" s="115"/>
      <c r="BO3533" s="115"/>
      <c r="BP3533" s="115"/>
      <c r="BQ3533" s="115"/>
      <c r="BR3533" s="115"/>
      <c r="BS3533" s="115"/>
      <c r="BT3533" s="115"/>
      <c r="BU3533" s="115"/>
      <c r="BV3533" s="115"/>
      <c r="BW3533" s="115"/>
      <c r="BX3533" s="115"/>
      <c r="BY3533" s="115"/>
      <c r="BZ3533" s="115"/>
      <c r="CA3533" s="115"/>
      <c r="CB3533" s="115"/>
      <c r="CC3533" s="115"/>
      <c r="CD3533" s="115"/>
      <c r="CE3533" s="115"/>
      <c r="CF3533" s="115"/>
      <c r="CG3533" s="115"/>
      <c r="CH3533" s="115"/>
      <c r="CI3533" s="115"/>
      <c r="CJ3533" s="115"/>
      <c r="CK3533" s="115"/>
      <c r="CL3533" s="115"/>
      <c r="CM3533" s="115"/>
      <c r="CN3533" s="115"/>
      <c r="CO3533" s="115"/>
      <c r="CP3533" s="115"/>
      <c r="CQ3533" s="115"/>
      <c r="CR3533" s="115"/>
      <c r="CS3533" s="115"/>
      <c r="CT3533" s="115"/>
      <c r="CU3533" s="115"/>
      <c r="CV3533" s="115"/>
      <c r="CW3533" s="115"/>
      <c r="CX3533" s="115"/>
      <c r="CY3533" s="115"/>
      <c r="CZ3533" s="115"/>
      <c r="DA3533" s="115"/>
      <c r="DB3533" s="115"/>
      <c r="DC3533" s="115"/>
      <c r="DD3533" s="115"/>
      <c r="DE3533" s="115"/>
      <c r="DF3533" s="115"/>
      <c r="DG3533" s="115"/>
    </row>
    <row r="3534" spans="55:111" hidden="1">
      <c r="BC3534" s="115"/>
      <c r="BD3534" s="115"/>
      <c r="BE3534" s="115"/>
      <c r="BF3534" s="115"/>
      <c r="BG3534" s="115"/>
      <c r="BH3534" s="115"/>
      <c r="BI3534" s="115"/>
      <c r="BJ3534" s="115"/>
      <c r="BK3534" s="115"/>
      <c r="BL3534" s="115"/>
      <c r="BM3534" s="115"/>
      <c r="BN3534" s="115"/>
      <c r="BO3534" s="115"/>
      <c r="BP3534" s="115"/>
      <c r="BQ3534" s="115"/>
      <c r="BR3534" s="115"/>
      <c r="BS3534" s="115"/>
      <c r="BT3534" s="115"/>
      <c r="BU3534" s="115"/>
      <c r="BV3534" s="115"/>
      <c r="BW3534" s="115"/>
      <c r="BX3534" s="115"/>
      <c r="BY3534" s="115"/>
      <c r="BZ3534" s="115"/>
      <c r="CA3534" s="115"/>
      <c r="CB3534" s="115"/>
      <c r="CC3534" s="115"/>
      <c r="CD3534" s="115"/>
      <c r="CE3534" s="115"/>
      <c r="CF3534" s="115"/>
      <c r="CG3534" s="115"/>
      <c r="CH3534" s="115"/>
      <c r="CI3534" s="115"/>
      <c r="CJ3534" s="115"/>
      <c r="CK3534" s="115"/>
      <c r="CL3534" s="115"/>
      <c r="CM3534" s="115"/>
      <c r="CN3534" s="115"/>
      <c r="CO3534" s="115"/>
      <c r="CP3534" s="115"/>
      <c r="CQ3534" s="115"/>
      <c r="CR3534" s="115"/>
      <c r="CS3534" s="115"/>
      <c r="CT3534" s="115"/>
      <c r="CU3534" s="115"/>
      <c r="CV3534" s="115"/>
      <c r="CW3534" s="115"/>
      <c r="CX3534" s="115"/>
      <c r="CY3534" s="115"/>
      <c r="CZ3534" s="115"/>
      <c r="DA3534" s="115"/>
      <c r="DB3534" s="115"/>
      <c r="DC3534" s="115"/>
      <c r="DD3534" s="115"/>
      <c r="DE3534" s="115"/>
      <c r="DF3534" s="115"/>
      <c r="DG3534" s="115"/>
    </row>
    <row r="3535" spans="55:111" hidden="1">
      <c r="BC3535" s="115"/>
      <c r="BD3535" s="115"/>
      <c r="BE3535" s="115"/>
      <c r="BF3535" s="115"/>
      <c r="BG3535" s="115"/>
      <c r="BH3535" s="115"/>
      <c r="BI3535" s="115"/>
      <c r="BJ3535" s="115"/>
      <c r="BK3535" s="115"/>
      <c r="BL3535" s="115"/>
      <c r="BM3535" s="115"/>
      <c r="BN3535" s="115"/>
      <c r="BO3535" s="115"/>
      <c r="BP3535" s="115"/>
      <c r="BQ3535" s="115"/>
      <c r="BR3535" s="115"/>
      <c r="BS3535" s="115"/>
      <c r="BT3535" s="115"/>
      <c r="BU3535" s="115"/>
      <c r="BV3535" s="115"/>
      <c r="BW3535" s="115"/>
      <c r="BX3535" s="115"/>
      <c r="BY3535" s="115"/>
      <c r="BZ3535" s="115"/>
      <c r="CA3535" s="115"/>
      <c r="CB3535" s="115"/>
      <c r="CC3535" s="115"/>
      <c r="CD3535" s="115"/>
      <c r="CE3535" s="115"/>
      <c r="CF3535" s="115"/>
      <c r="CG3535" s="115"/>
      <c r="CH3535" s="115"/>
      <c r="CI3535" s="115"/>
      <c r="CJ3535" s="115"/>
      <c r="CK3535" s="115"/>
      <c r="CL3535" s="115"/>
      <c r="CM3535" s="115"/>
      <c r="CN3535" s="115"/>
      <c r="CO3535" s="115"/>
      <c r="CP3535" s="115"/>
      <c r="CQ3535" s="115"/>
      <c r="CR3535" s="115"/>
      <c r="CS3535" s="115"/>
      <c r="CT3535" s="115"/>
      <c r="CU3535" s="115"/>
      <c r="CV3535" s="115"/>
      <c r="CW3535" s="115"/>
      <c r="CX3535" s="115"/>
      <c r="CY3535" s="115"/>
      <c r="CZ3535" s="115"/>
      <c r="DA3535" s="115"/>
      <c r="DB3535" s="115"/>
      <c r="DC3535" s="115"/>
      <c r="DD3535" s="115"/>
      <c r="DE3535" s="115"/>
      <c r="DF3535" s="115"/>
      <c r="DG3535" s="115"/>
    </row>
    <row r="3536" spans="55:111" hidden="1">
      <c r="BC3536" s="115"/>
      <c r="BD3536" s="115"/>
      <c r="BE3536" s="115"/>
      <c r="BF3536" s="115"/>
      <c r="BG3536" s="115"/>
      <c r="BH3536" s="115"/>
      <c r="BI3536" s="115"/>
      <c r="BJ3536" s="115"/>
      <c r="BK3536" s="115"/>
      <c r="BL3536" s="115"/>
      <c r="BM3536" s="115"/>
      <c r="BN3536" s="115"/>
      <c r="BO3536" s="115"/>
      <c r="BP3536" s="115"/>
      <c r="BQ3536" s="115"/>
      <c r="BR3536" s="115"/>
      <c r="BS3536" s="115"/>
      <c r="BT3536" s="115"/>
      <c r="BU3536" s="115"/>
      <c r="BV3536" s="115"/>
      <c r="BW3536" s="115"/>
      <c r="BX3536" s="115"/>
      <c r="BY3536" s="115"/>
      <c r="BZ3536" s="115"/>
      <c r="CA3536" s="115"/>
      <c r="CB3536" s="115"/>
      <c r="CC3536" s="115"/>
      <c r="CD3536" s="115"/>
      <c r="CE3536" s="115"/>
      <c r="CF3536" s="115"/>
      <c r="CG3536" s="115"/>
      <c r="CH3536" s="115"/>
      <c r="CI3536" s="115"/>
      <c r="CJ3536" s="115"/>
      <c r="CK3536" s="115"/>
      <c r="CL3536" s="115"/>
      <c r="CM3536" s="115"/>
      <c r="CN3536" s="115"/>
      <c r="CO3536" s="115"/>
      <c r="CP3536" s="115"/>
      <c r="CQ3536" s="115"/>
      <c r="CR3536" s="115"/>
      <c r="CS3536" s="115"/>
      <c r="CT3536" s="115"/>
      <c r="CU3536" s="115"/>
      <c r="CV3536" s="115"/>
      <c r="CW3536" s="115"/>
      <c r="CX3536" s="115"/>
      <c r="CY3536" s="115"/>
      <c r="CZ3536" s="115"/>
      <c r="DA3536" s="115"/>
      <c r="DB3536" s="115"/>
      <c r="DC3536" s="115"/>
      <c r="DD3536" s="115"/>
      <c r="DE3536" s="115"/>
      <c r="DF3536" s="115"/>
      <c r="DG3536" s="115"/>
    </row>
    <row r="3537" spans="55:111" hidden="1">
      <c r="BC3537" s="115"/>
      <c r="BD3537" s="115"/>
      <c r="BE3537" s="115"/>
      <c r="BF3537" s="115"/>
      <c r="BG3537" s="115"/>
      <c r="BH3537" s="115"/>
      <c r="BI3537" s="115"/>
      <c r="BJ3537" s="115"/>
      <c r="BK3537" s="115"/>
      <c r="BL3537" s="115"/>
      <c r="BM3537" s="115"/>
      <c r="BN3537" s="115"/>
      <c r="BO3537" s="115"/>
      <c r="BP3537" s="115"/>
      <c r="BQ3537" s="115"/>
      <c r="BR3537" s="115"/>
      <c r="BS3537" s="115"/>
      <c r="BT3537" s="115"/>
      <c r="BU3537" s="115"/>
      <c r="BV3537" s="115"/>
      <c r="BW3537" s="115"/>
      <c r="BX3537" s="115"/>
      <c r="BY3537" s="115"/>
      <c r="BZ3537" s="115"/>
      <c r="CA3537" s="115"/>
      <c r="CB3537" s="115"/>
      <c r="CC3537" s="115"/>
      <c r="CD3537" s="115"/>
      <c r="CE3537" s="115"/>
      <c r="CF3537" s="115"/>
      <c r="CG3537" s="115"/>
      <c r="CH3537" s="115"/>
      <c r="CI3537" s="115"/>
      <c r="CJ3537" s="115"/>
      <c r="CK3537" s="115"/>
      <c r="CL3537" s="115"/>
      <c r="CM3537" s="115"/>
      <c r="CN3537" s="115"/>
      <c r="CO3537" s="115"/>
      <c r="CP3537" s="115"/>
      <c r="CQ3537" s="115"/>
      <c r="CR3537" s="115"/>
      <c r="CS3537" s="115"/>
      <c r="CT3537" s="115"/>
      <c r="CU3537" s="115"/>
      <c r="CV3537" s="115"/>
      <c r="CW3537" s="115"/>
      <c r="CX3537" s="115"/>
      <c r="CY3537" s="115"/>
      <c r="CZ3537" s="115"/>
      <c r="DA3537" s="115"/>
      <c r="DB3537" s="115"/>
      <c r="DC3537" s="115"/>
      <c r="DD3537" s="115"/>
      <c r="DE3537" s="115"/>
      <c r="DF3537" s="115"/>
      <c r="DG3537" s="115"/>
    </row>
    <row r="3538" spans="55:111" hidden="1">
      <c r="BC3538" s="115"/>
      <c r="BD3538" s="115"/>
      <c r="BE3538" s="115"/>
      <c r="BF3538" s="115"/>
      <c r="BG3538" s="115"/>
      <c r="BH3538" s="115"/>
      <c r="BI3538" s="115"/>
      <c r="BJ3538" s="115"/>
      <c r="BK3538" s="115"/>
      <c r="BL3538" s="115"/>
      <c r="BM3538" s="115"/>
      <c r="BN3538" s="115"/>
      <c r="BO3538" s="115"/>
      <c r="BP3538" s="115"/>
      <c r="BQ3538" s="115"/>
      <c r="BR3538" s="115"/>
      <c r="BS3538" s="115"/>
      <c r="BT3538" s="115"/>
      <c r="BU3538" s="115"/>
      <c r="BV3538" s="115"/>
      <c r="BW3538" s="115"/>
      <c r="BX3538" s="115"/>
      <c r="BY3538" s="115"/>
      <c r="BZ3538" s="115"/>
      <c r="CA3538" s="115"/>
      <c r="CB3538" s="115"/>
      <c r="CC3538" s="115"/>
      <c r="CD3538" s="115"/>
      <c r="CE3538" s="115"/>
      <c r="CF3538" s="115"/>
      <c r="CG3538" s="115"/>
      <c r="CH3538" s="115"/>
      <c r="CI3538" s="115"/>
      <c r="CJ3538" s="115"/>
      <c r="CK3538" s="115"/>
      <c r="CL3538" s="115"/>
      <c r="CM3538" s="115"/>
      <c r="CN3538" s="115"/>
      <c r="CO3538" s="115"/>
      <c r="CP3538" s="115"/>
      <c r="CQ3538" s="115"/>
      <c r="CR3538" s="115"/>
      <c r="CS3538" s="115"/>
      <c r="CT3538" s="115"/>
      <c r="CU3538" s="115"/>
      <c r="CV3538" s="115"/>
      <c r="CW3538" s="115"/>
      <c r="CX3538" s="115"/>
      <c r="CY3538" s="115"/>
      <c r="CZ3538" s="115"/>
      <c r="DA3538" s="115"/>
      <c r="DB3538" s="115"/>
      <c r="DC3538" s="115"/>
      <c r="DD3538" s="115"/>
      <c r="DE3538" s="115"/>
      <c r="DF3538" s="115"/>
      <c r="DG3538" s="115"/>
    </row>
    <row r="3539" spans="55:111" hidden="1">
      <c r="BC3539" s="115"/>
      <c r="BD3539" s="115"/>
      <c r="BE3539" s="115"/>
      <c r="BF3539" s="115"/>
      <c r="BG3539" s="115"/>
      <c r="BH3539" s="115"/>
      <c r="BI3539" s="115"/>
      <c r="BJ3539" s="115"/>
      <c r="BK3539" s="115"/>
      <c r="BL3539" s="115"/>
      <c r="BM3539" s="115"/>
      <c r="BN3539" s="115"/>
      <c r="BO3539" s="115"/>
      <c r="BP3539" s="115"/>
      <c r="BQ3539" s="115"/>
      <c r="BR3539" s="115"/>
      <c r="BS3539" s="115"/>
      <c r="BT3539" s="115"/>
      <c r="BU3539" s="115"/>
      <c r="BV3539" s="115"/>
      <c r="BW3539" s="115"/>
      <c r="BX3539" s="115"/>
      <c r="BY3539" s="115"/>
      <c r="BZ3539" s="115"/>
      <c r="CA3539" s="115"/>
      <c r="CB3539" s="115"/>
      <c r="CC3539" s="115"/>
      <c r="CD3539" s="115"/>
      <c r="CE3539" s="115"/>
      <c r="CF3539" s="115"/>
      <c r="CG3539" s="115"/>
      <c r="CH3539" s="115"/>
      <c r="CI3539" s="115"/>
      <c r="CJ3539" s="115"/>
      <c r="CK3539" s="115"/>
      <c r="CL3539" s="115"/>
      <c r="CM3539" s="115"/>
      <c r="CN3539" s="115"/>
      <c r="CO3539" s="115"/>
      <c r="CP3539" s="115"/>
      <c r="CQ3539" s="115"/>
      <c r="CR3539" s="115"/>
      <c r="CS3539" s="115"/>
      <c r="CT3539" s="115"/>
      <c r="CU3539" s="115"/>
      <c r="CV3539" s="115"/>
      <c r="CW3539" s="115"/>
      <c r="CX3539" s="115"/>
      <c r="CY3539" s="115"/>
      <c r="CZ3539" s="115"/>
      <c r="DA3539" s="115"/>
      <c r="DB3539" s="115"/>
      <c r="DC3539" s="115"/>
      <c r="DD3539" s="115"/>
      <c r="DE3539" s="115"/>
      <c r="DF3539" s="115"/>
      <c r="DG3539" s="115"/>
    </row>
    <row r="3540" spans="55:111" hidden="1">
      <c r="BC3540" s="115"/>
      <c r="BD3540" s="115"/>
      <c r="BE3540" s="115"/>
      <c r="BF3540" s="115"/>
      <c r="BG3540" s="115"/>
      <c r="BH3540" s="115"/>
      <c r="BI3540" s="115"/>
      <c r="BJ3540" s="115"/>
      <c r="BK3540" s="115"/>
      <c r="BL3540" s="115"/>
      <c r="BM3540" s="115"/>
      <c r="BN3540" s="115"/>
      <c r="BO3540" s="115"/>
      <c r="BP3540" s="115"/>
      <c r="BQ3540" s="115"/>
      <c r="BR3540" s="115"/>
      <c r="BS3540" s="115"/>
      <c r="BT3540" s="115"/>
      <c r="BU3540" s="115"/>
      <c r="BV3540" s="115"/>
      <c r="BW3540" s="115"/>
      <c r="BX3540" s="115"/>
      <c r="BY3540" s="115"/>
      <c r="BZ3540" s="115"/>
      <c r="CA3540" s="115"/>
      <c r="CB3540" s="115"/>
      <c r="CC3540" s="115"/>
      <c r="CD3540" s="115"/>
      <c r="CE3540" s="115"/>
      <c r="CF3540" s="115"/>
      <c r="CG3540" s="115"/>
      <c r="CH3540" s="115"/>
      <c r="CI3540" s="115"/>
      <c r="CJ3540" s="115"/>
      <c r="CK3540" s="115"/>
      <c r="CL3540" s="115"/>
      <c r="CM3540" s="115"/>
      <c r="CN3540" s="115"/>
      <c r="CO3540" s="115"/>
      <c r="CP3540" s="115"/>
      <c r="CQ3540" s="115"/>
      <c r="CR3540" s="115"/>
      <c r="CS3540" s="115"/>
      <c r="CT3540" s="115"/>
      <c r="CU3540" s="115"/>
      <c r="CV3540" s="115"/>
      <c r="CW3540" s="115"/>
      <c r="CX3540" s="115"/>
      <c r="CY3540" s="115"/>
      <c r="CZ3540" s="115"/>
      <c r="DA3540" s="115"/>
      <c r="DB3540" s="115"/>
      <c r="DC3540" s="115"/>
      <c r="DD3540" s="115"/>
      <c r="DE3540" s="115"/>
      <c r="DF3540" s="115"/>
      <c r="DG3540" s="115"/>
    </row>
    <row r="3541" spans="55:111" hidden="1">
      <c r="BC3541" s="115"/>
      <c r="BD3541" s="115"/>
      <c r="BE3541" s="115"/>
      <c r="BF3541" s="115"/>
      <c r="BG3541" s="115"/>
      <c r="BH3541" s="115"/>
      <c r="BI3541" s="115"/>
      <c r="BJ3541" s="115"/>
      <c r="BK3541" s="115"/>
      <c r="BL3541" s="115"/>
      <c r="BM3541" s="115"/>
      <c r="BN3541" s="115"/>
      <c r="BO3541" s="115"/>
      <c r="BP3541" s="115"/>
      <c r="BQ3541" s="115"/>
      <c r="BR3541" s="115"/>
      <c r="BS3541" s="115"/>
      <c r="BT3541" s="115"/>
      <c r="BU3541" s="115"/>
      <c r="BV3541" s="115"/>
      <c r="BW3541" s="115"/>
      <c r="BX3541" s="115"/>
      <c r="BY3541" s="115"/>
      <c r="BZ3541" s="115"/>
      <c r="CA3541" s="115"/>
      <c r="CB3541" s="115"/>
      <c r="CC3541" s="115"/>
      <c r="CD3541" s="115"/>
      <c r="CE3541" s="115"/>
      <c r="CF3541" s="115"/>
      <c r="CG3541" s="115"/>
      <c r="CH3541" s="115"/>
      <c r="CI3541" s="115"/>
      <c r="CJ3541" s="115"/>
      <c r="CK3541" s="115"/>
      <c r="CL3541" s="115"/>
      <c r="CM3541" s="115"/>
      <c r="CN3541" s="115"/>
      <c r="CO3541" s="115"/>
      <c r="CP3541" s="115"/>
      <c r="CQ3541" s="115"/>
      <c r="CR3541" s="115"/>
      <c r="CS3541" s="115"/>
      <c r="CT3541" s="115"/>
      <c r="CU3541" s="115"/>
      <c r="CV3541" s="115"/>
      <c r="CW3541" s="115"/>
      <c r="CX3541" s="115"/>
      <c r="CY3541" s="115"/>
      <c r="CZ3541" s="115"/>
      <c r="DA3541" s="115"/>
      <c r="DB3541" s="115"/>
      <c r="DC3541" s="115"/>
      <c r="DD3541" s="115"/>
      <c r="DE3541" s="115"/>
      <c r="DF3541" s="115"/>
      <c r="DG3541" s="115"/>
    </row>
    <row r="3542" spans="55:111" hidden="1">
      <c r="BC3542" s="115"/>
      <c r="BD3542" s="115"/>
      <c r="BE3542" s="115"/>
      <c r="BF3542" s="115"/>
      <c r="BG3542" s="115"/>
      <c r="BH3542" s="115"/>
      <c r="BI3542" s="115"/>
      <c r="BJ3542" s="115"/>
      <c r="BK3542" s="115"/>
      <c r="BL3542" s="115"/>
      <c r="BM3542" s="115"/>
      <c r="BN3542" s="115"/>
      <c r="BO3542" s="115"/>
      <c r="BP3542" s="115"/>
      <c r="BQ3542" s="115"/>
      <c r="BR3542" s="115"/>
      <c r="BS3542" s="115"/>
      <c r="BT3542" s="115"/>
      <c r="BU3542" s="115"/>
      <c r="BV3542" s="115"/>
      <c r="BW3542" s="115"/>
      <c r="BX3542" s="115"/>
      <c r="BY3542" s="115"/>
      <c r="BZ3542" s="115"/>
      <c r="CA3542" s="115"/>
      <c r="CB3542" s="115"/>
      <c r="CC3542" s="115"/>
      <c r="CD3542" s="115"/>
      <c r="CE3542" s="115"/>
      <c r="CF3542" s="115"/>
      <c r="CG3542" s="115"/>
      <c r="CH3542" s="115"/>
      <c r="CI3542" s="115"/>
      <c r="CJ3542" s="115"/>
      <c r="CK3542" s="115"/>
      <c r="CL3542" s="115"/>
      <c r="CM3542" s="115"/>
      <c r="CN3542" s="115"/>
      <c r="CO3542" s="115"/>
      <c r="CP3542" s="115"/>
      <c r="CQ3542" s="115"/>
      <c r="CR3542" s="115"/>
      <c r="CS3542" s="115"/>
      <c r="CT3542" s="115"/>
      <c r="CU3542" s="115"/>
      <c r="CV3542" s="115"/>
      <c r="CW3542" s="115"/>
      <c r="CX3542" s="115"/>
      <c r="CY3542" s="115"/>
      <c r="CZ3542" s="115"/>
      <c r="DA3542" s="115"/>
      <c r="DB3542" s="115"/>
      <c r="DC3542" s="115"/>
      <c r="DD3542" s="115"/>
      <c r="DE3542" s="115"/>
      <c r="DF3542" s="115"/>
      <c r="DG3542" s="115"/>
    </row>
    <row r="3543" spans="55:111" hidden="1">
      <c r="BC3543" s="115"/>
      <c r="BD3543" s="115"/>
      <c r="BE3543" s="115"/>
      <c r="BF3543" s="115"/>
      <c r="BG3543" s="115"/>
      <c r="BH3543" s="115"/>
      <c r="BI3543" s="115"/>
      <c r="BJ3543" s="115"/>
      <c r="BK3543" s="115"/>
      <c r="BL3543" s="115"/>
      <c r="BM3543" s="115"/>
      <c r="BN3543" s="115"/>
      <c r="BO3543" s="115"/>
      <c r="BP3543" s="115"/>
      <c r="BQ3543" s="115"/>
      <c r="BR3543" s="115"/>
      <c r="BS3543" s="115"/>
      <c r="BT3543" s="115"/>
      <c r="BU3543" s="115"/>
      <c r="BV3543" s="115"/>
      <c r="BW3543" s="115"/>
      <c r="BX3543" s="115"/>
      <c r="BY3543" s="115"/>
      <c r="BZ3543" s="115"/>
      <c r="CA3543" s="115"/>
      <c r="CB3543" s="115"/>
      <c r="CC3543" s="115"/>
      <c r="CD3543" s="115"/>
      <c r="CE3543" s="115"/>
      <c r="CF3543" s="115"/>
      <c r="CG3543" s="115"/>
      <c r="CH3543" s="115"/>
      <c r="CI3543" s="115"/>
      <c r="CJ3543" s="115"/>
      <c r="CK3543" s="115"/>
      <c r="CL3543" s="115"/>
      <c r="CM3543" s="115"/>
      <c r="CN3543" s="115"/>
      <c r="CO3543" s="115"/>
      <c r="CP3543" s="115"/>
      <c r="CQ3543" s="115"/>
      <c r="CR3543" s="115"/>
      <c r="CS3543" s="115"/>
      <c r="CT3543" s="115"/>
      <c r="CU3543" s="115"/>
      <c r="CV3543" s="115"/>
      <c r="CW3543" s="115"/>
      <c r="CX3543" s="115"/>
      <c r="CY3543" s="115"/>
      <c r="CZ3543" s="115"/>
      <c r="DA3543" s="115"/>
      <c r="DB3543" s="115"/>
      <c r="DC3543" s="115"/>
      <c r="DD3543" s="115"/>
      <c r="DE3543" s="115"/>
      <c r="DF3543" s="115"/>
      <c r="DG3543" s="115"/>
    </row>
    <row r="3544" spans="55:111" hidden="1">
      <c r="BC3544" s="115"/>
      <c r="BD3544" s="115"/>
      <c r="BE3544" s="115"/>
      <c r="BF3544" s="115"/>
      <c r="BG3544" s="115"/>
      <c r="BH3544" s="115"/>
      <c r="BI3544" s="115"/>
      <c r="BJ3544" s="115"/>
      <c r="BK3544" s="115"/>
      <c r="BL3544" s="115"/>
      <c r="BM3544" s="115"/>
      <c r="BN3544" s="115"/>
      <c r="BO3544" s="115"/>
      <c r="BP3544" s="115"/>
      <c r="BQ3544" s="115"/>
      <c r="BR3544" s="115"/>
      <c r="BS3544" s="115"/>
      <c r="BT3544" s="115"/>
      <c r="BU3544" s="115"/>
      <c r="BV3544" s="115"/>
      <c r="BW3544" s="115"/>
      <c r="BX3544" s="115"/>
      <c r="BY3544" s="115"/>
      <c r="BZ3544" s="115"/>
      <c r="CA3544" s="115"/>
      <c r="CB3544" s="115"/>
      <c r="CC3544" s="115"/>
      <c r="CD3544" s="115"/>
      <c r="CE3544" s="115"/>
      <c r="CF3544" s="115"/>
      <c r="CG3544" s="115"/>
      <c r="CH3544" s="115"/>
      <c r="CI3544" s="115"/>
      <c r="CJ3544" s="115"/>
      <c r="CK3544" s="115"/>
      <c r="CL3544" s="115"/>
      <c r="CM3544" s="115"/>
      <c r="CN3544" s="115"/>
      <c r="CO3544" s="115"/>
      <c r="CP3544" s="115"/>
      <c r="CQ3544" s="115"/>
      <c r="CR3544" s="115"/>
      <c r="CS3544" s="115"/>
      <c r="CT3544" s="115"/>
      <c r="CU3544" s="115"/>
      <c r="CV3544" s="115"/>
      <c r="CW3544" s="115"/>
      <c r="CX3544" s="115"/>
      <c r="CY3544" s="115"/>
      <c r="CZ3544" s="115"/>
      <c r="DA3544" s="115"/>
      <c r="DB3544" s="115"/>
      <c r="DC3544" s="115"/>
      <c r="DD3544" s="115"/>
      <c r="DE3544" s="115"/>
      <c r="DF3544" s="115"/>
      <c r="DG3544" s="115"/>
    </row>
    <row r="3545" spans="55:111" hidden="1">
      <c r="BC3545" s="115"/>
      <c r="BD3545" s="115"/>
      <c r="BE3545" s="115"/>
      <c r="BF3545" s="115"/>
      <c r="BG3545" s="115"/>
      <c r="BH3545" s="115"/>
      <c r="BI3545" s="115"/>
      <c r="BJ3545" s="115"/>
      <c r="BK3545" s="115"/>
      <c r="BL3545" s="115"/>
      <c r="BM3545" s="115"/>
      <c r="BN3545" s="115"/>
      <c r="BO3545" s="115"/>
      <c r="BP3545" s="115"/>
      <c r="BQ3545" s="115"/>
      <c r="BR3545" s="115"/>
      <c r="BS3545" s="115"/>
      <c r="BT3545" s="115"/>
      <c r="BU3545" s="115"/>
      <c r="BV3545" s="115"/>
      <c r="BW3545" s="115"/>
      <c r="BX3545" s="115"/>
      <c r="BY3545" s="115"/>
      <c r="BZ3545" s="115"/>
      <c r="CA3545" s="115"/>
      <c r="CB3545" s="115"/>
      <c r="CC3545" s="115"/>
      <c r="CD3545" s="115"/>
      <c r="CE3545" s="115"/>
      <c r="CF3545" s="115"/>
      <c r="CG3545" s="115"/>
      <c r="CH3545" s="115"/>
      <c r="CI3545" s="115"/>
      <c r="CJ3545" s="115"/>
      <c r="CK3545" s="115"/>
      <c r="CL3545" s="115"/>
      <c r="CM3545" s="115"/>
      <c r="CN3545" s="115"/>
      <c r="CO3545" s="115"/>
      <c r="CP3545" s="115"/>
      <c r="CQ3545" s="115"/>
      <c r="CR3545" s="115"/>
      <c r="CS3545" s="115"/>
      <c r="CT3545" s="115"/>
      <c r="CU3545" s="115"/>
      <c r="CV3545" s="115"/>
      <c r="CW3545" s="115"/>
      <c r="CX3545" s="115"/>
      <c r="CY3545" s="115"/>
      <c r="CZ3545" s="115"/>
      <c r="DA3545" s="115"/>
      <c r="DB3545" s="115"/>
      <c r="DC3545" s="115"/>
      <c r="DD3545" s="115"/>
      <c r="DE3545" s="115"/>
      <c r="DF3545" s="115"/>
      <c r="DG3545" s="115"/>
    </row>
    <row r="3546" spans="55:111" hidden="1">
      <c r="BC3546" s="115"/>
      <c r="BD3546" s="115"/>
      <c r="BE3546" s="115"/>
      <c r="BF3546" s="115"/>
      <c r="BG3546" s="115"/>
      <c r="BH3546" s="115"/>
      <c r="BI3546" s="115"/>
      <c r="BJ3546" s="115"/>
      <c r="BK3546" s="115"/>
      <c r="BL3546" s="115"/>
      <c r="BM3546" s="115"/>
      <c r="BN3546" s="115"/>
      <c r="BO3546" s="115"/>
      <c r="BP3546" s="115"/>
      <c r="BQ3546" s="115"/>
      <c r="BR3546" s="115"/>
      <c r="BS3546" s="115"/>
      <c r="BT3546" s="115"/>
      <c r="BU3546" s="115"/>
      <c r="BV3546" s="115"/>
      <c r="BW3546" s="115"/>
      <c r="BX3546" s="115"/>
      <c r="BY3546" s="115"/>
      <c r="BZ3546" s="115"/>
      <c r="CA3546" s="115"/>
      <c r="CB3546" s="115"/>
      <c r="CC3546" s="115"/>
      <c r="CD3546" s="115"/>
      <c r="CE3546" s="115"/>
      <c r="CF3546" s="115"/>
      <c r="CG3546" s="115"/>
      <c r="CH3546" s="115"/>
      <c r="CI3546" s="115"/>
      <c r="CJ3546" s="115"/>
      <c r="CK3546" s="115"/>
      <c r="CL3546" s="115"/>
      <c r="CM3546" s="115"/>
      <c r="CN3546" s="115"/>
      <c r="CO3546" s="115"/>
      <c r="CP3546" s="115"/>
      <c r="CQ3546" s="115"/>
      <c r="CR3546" s="115"/>
      <c r="CS3546" s="115"/>
      <c r="CT3546" s="115"/>
      <c r="CU3546" s="115"/>
      <c r="CV3546" s="115"/>
      <c r="CW3546" s="115"/>
      <c r="CX3546" s="115"/>
      <c r="CY3546" s="115"/>
      <c r="CZ3546" s="115"/>
      <c r="DA3546" s="115"/>
      <c r="DB3546" s="115"/>
      <c r="DC3546" s="115"/>
      <c r="DD3546" s="115"/>
      <c r="DE3546" s="115"/>
      <c r="DF3546" s="115"/>
      <c r="DG3546" s="115"/>
    </row>
    <row r="3547" spans="55:111" hidden="1">
      <c r="BC3547" s="115"/>
      <c r="BD3547" s="115"/>
      <c r="BE3547" s="115"/>
      <c r="BF3547" s="115"/>
      <c r="BG3547" s="115"/>
      <c r="BH3547" s="115"/>
      <c r="BI3547" s="115"/>
      <c r="BJ3547" s="115"/>
      <c r="BK3547" s="115"/>
      <c r="BL3547" s="115"/>
      <c r="BM3547" s="115"/>
      <c r="BN3547" s="115"/>
      <c r="BO3547" s="115"/>
      <c r="BP3547" s="115"/>
      <c r="BQ3547" s="115"/>
      <c r="BR3547" s="115"/>
      <c r="BS3547" s="115"/>
      <c r="BT3547" s="115"/>
      <c r="BU3547" s="115"/>
      <c r="BV3547" s="115"/>
      <c r="BW3547" s="115"/>
      <c r="BX3547" s="115"/>
      <c r="BY3547" s="115"/>
      <c r="BZ3547" s="115"/>
      <c r="CA3547" s="115"/>
      <c r="CB3547" s="115"/>
      <c r="CC3547" s="115"/>
      <c r="CD3547" s="115"/>
      <c r="CE3547" s="115"/>
      <c r="CF3547" s="115"/>
      <c r="CG3547" s="115"/>
      <c r="CH3547" s="115"/>
      <c r="CI3547" s="115"/>
      <c r="CJ3547" s="115"/>
      <c r="CK3547" s="115"/>
      <c r="CL3547" s="115"/>
      <c r="CM3547" s="115"/>
      <c r="CN3547" s="115"/>
      <c r="CO3547" s="115"/>
      <c r="CP3547" s="115"/>
      <c r="CQ3547" s="115"/>
      <c r="CR3547" s="115"/>
      <c r="CS3547" s="115"/>
      <c r="CT3547" s="115"/>
      <c r="CU3547" s="115"/>
      <c r="CV3547" s="115"/>
      <c r="CW3547" s="115"/>
      <c r="CX3547" s="115"/>
      <c r="CY3547" s="115"/>
      <c r="CZ3547" s="115"/>
      <c r="DA3547" s="115"/>
      <c r="DB3547" s="115"/>
      <c r="DC3547" s="115"/>
      <c r="DD3547" s="115"/>
      <c r="DE3547" s="115"/>
      <c r="DF3547" s="115"/>
      <c r="DG3547" s="115"/>
    </row>
    <row r="3548" spans="55:111" hidden="1">
      <c r="BC3548" s="115"/>
      <c r="BD3548" s="115"/>
      <c r="BE3548" s="115"/>
      <c r="BF3548" s="115"/>
      <c r="BG3548" s="115"/>
      <c r="BH3548" s="115"/>
      <c r="BI3548" s="115"/>
      <c r="BJ3548" s="115"/>
      <c r="BK3548" s="115"/>
      <c r="BL3548" s="115"/>
      <c r="BM3548" s="115"/>
      <c r="BN3548" s="115"/>
      <c r="BO3548" s="115"/>
      <c r="BP3548" s="115"/>
      <c r="BQ3548" s="115"/>
      <c r="BR3548" s="115"/>
      <c r="BS3548" s="115"/>
      <c r="BT3548" s="115"/>
      <c r="BU3548" s="115"/>
      <c r="BV3548" s="115"/>
      <c r="BW3548" s="115"/>
      <c r="BX3548" s="115"/>
      <c r="BY3548" s="115"/>
      <c r="BZ3548" s="115"/>
      <c r="CA3548" s="115"/>
      <c r="CB3548" s="115"/>
      <c r="CC3548" s="115"/>
      <c r="CD3548" s="115"/>
      <c r="CE3548" s="115"/>
      <c r="CF3548" s="115"/>
      <c r="CG3548" s="115"/>
      <c r="CH3548" s="115"/>
      <c r="CI3548" s="115"/>
      <c r="CJ3548" s="115"/>
      <c r="CK3548" s="115"/>
      <c r="CL3548" s="115"/>
      <c r="CM3548" s="115"/>
      <c r="CN3548" s="115"/>
      <c r="CO3548" s="115"/>
      <c r="CP3548" s="115"/>
      <c r="CQ3548" s="115"/>
      <c r="CR3548" s="115"/>
      <c r="CS3548" s="115"/>
      <c r="CT3548" s="115"/>
      <c r="CU3548" s="115"/>
      <c r="CV3548" s="115"/>
      <c r="CW3548" s="115"/>
      <c r="CX3548" s="115"/>
      <c r="CY3548" s="115"/>
      <c r="CZ3548" s="115"/>
      <c r="DA3548" s="115"/>
      <c r="DB3548" s="115"/>
      <c r="DC3548" s="115"/>
      <c r="DD3548" s="115"/>
      <c r="DE3548" s="115"/>
      <c r="DF3548" s="115"/>
      <c r="DG3548" s="115"/>
    </row>
    <row r="3549" spans="55:111" hidden="1">
      <c r="BC3549" s="115"/>
      <c r="BD3549" s="115"/>
      <c r="BE3549" s="115"/>
      <c r="BF3549" s="115"/>
      <c r="BG3549" s="115"/>
      <c r="BH3549" s="115"/>
      <c r="BI3549" s="115"/>
      <c r="BJ3549" s="115"/>
      <c r="BK3549" s="115"/>
      <c r="BL3549" s="115"/>
      <c r="BM3549" s="115"/>
      <c r="BN3549" s="115"/>
      <c r="BO3549" s="115"/>
      <c r="BP3549" s="115"/>
      <c r="BQ3549" s="115"/>
      <c r="BR3549" s="115"/>
      <c r="BS3549" s="115"/>
      <c r="BT3549" s="115"/>
      <c r="BU3549" s="115"/>
      <c r="BV3549" s="115"/>
      <c r="BW3549" s="115"/>
      <c r="BX3549" s="115"/>
      <c r="BY3549" s="115"/>
      <c r="BZ3549" s="115"/>
      <c r="CA3549" s="115"/>
      <c r="CB3549" s="115"/>
      <c r="CC3549" s="115"/>
      <c r="CD3549" s="115"/>
      <c r="CE3549" s="115"/>
      <c r="CF3549" s="115"/>
      <c r="CG3549" s="115"/>
      <c r="CH3549" s="115"/>
      <c r="CI3549" s="115"/>
      <c r="CJ3549" s="115"/>
      <c r="CK3549" s="115"/>
      <c r="CL3549" s="115"/>
      <c r="CM3549" s="115"/>
      <c r="CN3549" s="115"/>
      <c r="CO3549" s="115"/>
      <c r="CP3549" s="115"/>
      <c r="CQ3549" s="115"/>
      <c r="CR3549" s="115"/>
      <c r="CS3549" s="115"/>
      <c r="CT3549" s="115"/>
      <c r="CU3549" s="115"/>
      <c r="CV3549" s="115"/>
      <c r="CW3549" s="115"/>
      <c r="CX3549" s="115"/>
      <c r="CY3549" s="115"/>
      <c r="CZ3549" s="115"/>
      <c r="DA3549" s="115"/>
      <c r="DB3549" s="115"/>
      <c r="DC3549" s="115"/>
      <c r="DD3549" s="115"/>
      <c r="DE3549" s="115"/>
      <c r="DF3549" s="115"/>
      <c r="DG3549" s="115"/>
    </row>
    <row r="3550" spans="55:111" hidden="1">
      <c r="BC3550" s="115"/>
      <c r="BD3550" s="115"/>
      <c r="BE3550" s="115"/>
      <c r="BF3550" s="115"/>
      <c r="BG3550" s="115"/>
      <c r="BH3550" s="115"/>
      <c r="BI3550" s="115"/>
      <c r="BJ3550" s="115"/>
      <c r="BK3550" s="115"/>
      <c r="BL3550" s="115"/>
      <c r="BM3550" s="115"/>
      <c r="BN3550" s="115"/>
      <c r="BO3550" s="115"/>
      <c r="BP3550" s="115"/>
      <c r="BQ3550" s="115"/>
      <c r="BR3550" s="115"/>
      <c r="BS3550" s="115"/>
      <c r="BT3550" s="115"/>
      <c r="BU3550" s="115"/>
      <c r="BV3550" s="115"/>
      <c r="BW3550" s="115"/>
      <c r="BX3550" s="115"/>
      <c r="BY3550" s="115"/>
      <c r="BZ3550" s="115"/>
      <c r="CA3550" s="115"/>
      <c r="CB3550" s="115"/>
      <c r="CC3550" s="115"/>
      <c r="CD3550" s="115"/>
      <c r="CE3550" s="115"/>
      <c r="CF3550" s="115"/>
      <c r="CG3550" s="115"/>
      <c r="CH3550" s="115"/>
      <c r="CI3550" s="115"/>
      <c r="CJ3550" s="115"/>
      <c r="CK3550" s="115"/>
      <c r="CL3550" s="115"/>
      <c r="CM3550" s="115"/>
      <c r="CN3550" s="115"/>
      <c r="CO3550" s="115"/>
      <c r="CP3550" s="115"/>
      <c r="CQ3550" s="115"/>
      <c r="CR3550" s="115"/>
      <c r="CS3550" s="115"/>
      <c r="CT3550" s="115"/>
      <c r="CU3550" s="115"/>
      <c r="CV3550" s="115"/>
      <c r="CW3550" s="115"/>
      <c r="CX3550" s="115"/>
      <c r="CY3550" s="115"/>
      <c r="CZ3550" s="115"/>
      <c r="DA3550" s="115"/>
      <c r="DB3550" s="115"/>
      <c r="DC3550" s="115"/>
      <c r="DD3550" s="115"/>
      <c r="DE3550" s="115"/>
      <c r="DF3550" s="115"/>
      <c r="DG3550" s="115"/>
    </row>
    <row r="3551" spans="55:111" hidden="1">
      <c r="BC3551" s="115"/>
      <c r="BD3551" s="115"/>
      <c r="BE3551" s="115"/>
      <c r="BF3551" s="115"/>
      <c r="BG3551" s="115"/>
      <c r="BH3551" s="115"/>
      <c r="BI3551" s="115"/>
      <c r="BJ3551" s="115"/>
      <c r="BK3551" s="115"/>
      <c r="BL3551" s="115"/>
      <c r="BM3551" s="115"/>
      <c r="BN3551" s="115"/>
      <c r="BO3551" s="115"/>
      <c r="BP3551" s="115"/>
      <c r="BQ3551" s="115"/>
      <c r="BR3551" s="115"/>
      <c r="BS3551" s="115"/>
      <c r="BT3551" s="115"/>
      <c r="BU3551" s="115"/>
      <c r="BV3551" s="115"/>
      <c r="BW3551" s="115"/>
      <c r="BX3551" s="115"/>
      <c r="BY3551" s="115"/>
      <c r="BZ3551" s="115"/>
      <c r="CA3551" s="115"/>
      <c r="CB3551" s="115"/>
      <c r="CC3551" s="115"/>
      <c r="CD3551" s="115"/>
      <c r="CE3551" s="115"/>
      <c r="CF3551" s="115"/>
      <c r="CG3551" s="115"/>
      <c r="CH3551" s="115"/>
      <c r="CI3551" s="115"/>
      <c r="CJ3551" s="115"/>
      <c r="CK3551" s="115"/>
      <c r="CL3551" s="115"/>
      <c r="CM3551" s="115"/>
      <c r="CN3551" s="115"/>
      <c r="CO3551" s="115"/>
      <c r="CP3551" s="115"/>
      <c r="CQ3551" s="115"/>
      <c r="CR3551" s="115"/>
      <c r="CS3551" s="115"/>
      <c r="CT3551" s="115"/>
      <c r="CU3551" s="115"/>
      <c r="CV3551" s="115"/>
      <c r="CW3551" s="115"/>
      <c r="CX3551" s="115"/>
      <c r="CY3551" s="115"/>
      <c r="CZ3551" s="115"/>
      <c r="DA3551" s="115"/>
      <c r="DB3551" s="115"/>
      <c r="DC3551" s="115"/>
      <c r="DD3551" s="115"/>
      <c r="DE3551" s="115"/>
      <c r="DF3551" s="115"/>
      <c r="DG3551" s="115"/>
    </row>
    <row r="3552" spans="55:111" hidden="1">
      <c r="BC3552" s="115"/>
      <c r="BD3552" s="115"/>
      <c r="BE3552" s="115"/>
      <c r="BF3552" s="115"/>
      <c r="BG3552" s="115"/>
      <c r="BH3552" s="115"/>
      <c r="BI3552" s="115"/>
      <c r="BJ3552" s="115"/>
      <c r="BK3552" s="115"/>
      <c r="BL3552" s="115"/>
      <c r="BM3552" s="115"/>
      <c r="BN3552" s="115"/>
      <c r="BO3552" s="115"/>
      <c r="BP3552" s="115"/>
      <c r="BQ3552" s="115"/>
      <c r="BR3552" s="115"/>
      <c r="BS3552" s="115"/>
      <c r="BT3552" s="115"/>
      <c r="BU3552" s="115"/>
      <c r="BV3552" s="115"/>
      <c r="BW3552" s="115"/>
      <c r="BX3552" s="115"/>
      <c r="BY3552" s="115"/>
      <c r="BZ3552" s="115"/>
      <c r="CA3552" s="115"/>
      <c r="CB3552" s="115"/>
      <c r="CC3552" s="115"/>
      <c r="CD3552" s="115"/>
      <c r="CE3552" s="115"/>
      <c r="CF3552" s="115"/>
      <c r="CG3552" s="115"/>
      <c r="CH3552" s="115"/>
      <c r="CI3552" s="115"/>
      <c r="CJ3552" s="115"/>
      <c r="CK3552" s="115"/>
      <c r="CL3552" s="115"/>
      <c r="CM3552" s="115"/>
      <c r="CN3552" s="115"/>
      <c r="CO3552" s="115"/>
      <c r="CP3552" s="115"/>
      <c r="CQ3552" s="115"/>
      <c r="CR3552" s="115"/>
      <c r="CS3552" s="115"/>
      <c r="CT3552" s="115"/>
      <c r="CU3552" s="115"/>
      <c r="CV3552" s="115"/>
      <c r="CW3552" s="115"/>
      <c r="CX3552" s="115"/>
      <c r="CY3552" s="115"/>
      <c r="CZ3552" s="115"/>
      <c r="DA3552" s="115"/>
      <c r="DB3552" s="115"/>
      <c r="DC3552" s="115"/>
      <c r="DD3552" s="115"/>
      <c r="DE3552" s="115"/>
      <c r="DF3552" s="115"/>
      <c r="DG3552" s="115"/>
    </row>
    <row r="3553" spans="55:111" hidden="1">
      <c r="BC3553" s="115"/>
      <c r="BD3553" s="115"/>
      <c r="BE3553" s="115"/>
      <c r="BF3553" s="115"/>
      <c r="BG3553" s="115"/>
      <c r="BH3553" s="115"/>
      <c r="BI3553" s="115"/>
      <c r="BJ3553" s="115"/>
      <c r="BK3553" s="115"/>
      <c r="BL3553" s="115"/>
      <c r="BM3553" s="115"/>
      <c r="BN3553" s="115"/>
      <c r="BO3553" s="115"/>
      <c r="BP3553" s="115"/>
      <c r="BQ3553" s="115"/>
      <c r="BR3553" s="115"/>
      <c r="BS3553" s="115"/>
      <c r="BT3553" s="115"/>
      <c r="BU3553" s="115"/>
      <c r="BV3553" s="115"/>
      <c r="BW3553" s="115"/>
      <c r="BX3553" s="115"/>
      <c r="BY3553" s="115"/>
      <c r="BZ3553" s="115"/>
      <c r="CA3553" s="115"/>
      <c r="CB3553" s="115"/>
      <c r="CC3553" s="115"/>
      <c r="CD3553" s="115"/>
      <c r="CE3553" s="115"/>
      <c r="CF3553" s="115"/>
      <c r="CG3553" s="115"/>
      <c r="CH3553" s="115"/>
      <c r="CI3553" s="115"/>
      <c r="CJ3553" s="115"/>
      <c r="CK3553" s="115"/>
      <c r="CL3553" s="115"/>
      <c r="CM3553" s="115"/>
      <c r="CN3553" s="115"/>
      <c r="CO3553" s="115"/>
      <c r="CP3553" s="115"/>
      <c r="CQ3553" s="115"/>
      <c r="CR3553" s="115"/>
      <c r="CS3553" s="115"/>
      <c r="CT3553" s="115"/>
      <c r="CU3553" s="115"/>
      <c r="CV3553" s="115"/>
      <c r="CW3553" s="115"/>
      <c r="CX3553" s="115"/>
      <c r="CY3553" s="115"/>
      <c r="CZ3553" s="115"/>
      <c r="DA3553" s="115"/>
      <c r="DB3553" s="115"/>
      <c r="DC3553" s="115"/>
      <c r="DD3553" s="115"/>
      <c r="DE3553" s="115"/>
      <c r="DF3553" s="115"/>
      <c r="DG3553" s="115"/>
    </row>
    <row r="3554" spans="55:111" hidden="1">
      <c r="BC3554" s="115"/>
      <c r="BD3554" s="115"/>
      <c r="BE3554" s="115"/>
      <c r="BF3554" s="115"/>
      <c r="BG3554" s="115"/>
      <c r="BH3554" s="115"/>
      <c r="BI3554" s="115"/>
      <c r="BJ3554" s="115"/>
      <c r="BK3554" s="115"/>
      <c r="BL3554" s="115"/>
      <c r="BM3554" s="115"/>
      <c r="BN3554" s="115"/>
      <c r="BO3554" s="115"/>
      <c r="BP3554" s="115"/>
      <c r="BQ3554" s="115"/>
      <c r="BR3554" s="115"/>
      <c r="BS3554" s="115"/>
      <c r="BT3554" s="115"/>
      <c r="BU3554" s="115"/>
      <c r="BV3554" s="115"/>
      <c r="BW3554" s="115"/>
      <c r="BX3554" s="115"/>
      <c r="BY3554" s="115"/>
      <c r="BZ3554" s="115"/>
      <c r="CA3554" s="115"/>
      <c r="CB3554" s="115"/>
      <c r="CC3554" s="115"/>
      <c r="CD3554" s="115"/>
      <c r="CE3554" s="115"/>
      <c r="CF3554" s="115"/>
      <c r="CG3554" s="115"/>
      <c r="CH3554" s="115"/>
      <c r="CI3554" s="115"/>
      <c r="CJ3554" s="115"/>
      <c r="CK3554" s="115"/>
      <c r="CL3554" s="115"/>
      <c r="CM3554" s="115"/>
      <c r="CN3554" s="115"/>
      <c r="CO3554" s="115"/>
      <c r="CP3554" s="115"/>
      <c r="CQ3554" s="115"/>
      <c r="CR3554" s="115"/>
      <c r="CS3554" s="115"/>
      <c r="CT3554" s="115"/>
      <c r="CU3554" s="115"/>
      <c r="CV3554" s="115"/>
      <c r="CW3554" s="115"/>
      <c r="CX3554" s="115"/>
      <c r="CY3554" s="115"/>
      <c r="CZ3554" s="115"/>
      <c r="DA3554" s="115"/>
      <c r="DB3554" s="115"/>
      <c r="DC3554" s="115"/>
      <c r="DD3554" s="115"/>
      <c r="DE3554" s="115"/>
      <c r="DF3554" s="115"/>
      <c r="DG3554" s="115"/>
    </row>
    <row r="3555" spans="55:111" hidden="1">
      <c r="BC3555" s="115"/>
      <c r="BD3555" s="115"/>
      <c r="BE3555" s="115"/>
      <c r="BF3555" s="115"/>
      <c r="BG3555" s="115"/>
      <c r="BH3555" s="115"/>
      <c r="BI3555" s="115"/>
      <c r="BJ3555" s="115"/>
      <c r="BK3555" s="115"/>
      <c r="BL3555" s="115"/>
      <c r="BM3555" s="115"/>
      <c r="BN3555" s="115"/>
      <c r="BO3555" s="115"/>
      <c r="BP3555" s="115"/>
      <c r="BQ3555" s="115"/>
      <c r="BR3555" s="115"/>
      <c r="BS3555" s="115"/>
      <c r="BT3555" s="115"/>
      <c r="BU3555" s="115"/>
      <c r="BV3555" s="115"/>
      <c r="BW3555" s="115"/>
      <c r="BX3555" s="115"/>
      <c r="BY3555" s="115"/>
      <c r="BZ3555" s="115"/>
      <c r="CA3555" s="115"/>
      <c r="CB3555" s="115"/>
      <c r="CC3555" s="115"/>
      <c r="CD3555" s="115"/>
      <c r="CE3555" s="115"/>
      <c r="CF3555" s="115"/>
      <c r="CG3555" s="115"/>
      <c r="CH3555" s="115"/>
      <c r="CI3555" s="115"/>
      <c r="CJ3555" s="115"/>
      <c r="CK3555" s="115"/>
      <c r="CL3555" s="115"/>
      <c r="CM3555" s="115"/>
      <c r="CN3555" s="115"/>
      <c r="CO3555" s="115"/>
      <c r="CP3555" s="115"/>
      <c r="CQ3555" s="115"/>
      <c r="CR3555" s="115"/>
      <c r="CS3555" s="115"/>
      <c r="CT3555" s="115"/>
      <c r="CU3555" s="115"/>
      <c r="CV3555" s="115"/>
      <c r="CW3555" s="115"/>
      <c r="CX3555" s="115"/>
      <c r="CY3555" s="115"/>
      <c r="CZ3555" s="115"/>
      <c r="DA3555" s="115"/>
      <c r="DB3555" s="115"/>
      <c r="DC3555" s="115"/>
      <c r="DD3555" s="115"/>
      <c r="DE3555" s="115"/>
      <c r="DF3555" s="115"/>
      <c r="DG3555" s="115"/>
    </row>
    <row r="3556" spans="55:111" hidden="1">
      <c r="BC3556" s="115"/>
      <c r="BD3556" s="115"/>
      <c r="BE3556" s="115"/>
      <c r="BF3556" s="115"/>
      <c r="BG3556" s="115"/>
      <c r="BH3556" s="115"/>
      <c r="BI3556" s="115"/>
      <c r="BJ3556" s="115"/>
      <c r="BK3556" s="115"/>
      <c r="BL3556" s="115"/>
      <c r="BM3556" s="115"/>
      <c r="BN3556" s="115"/>
      <c r="BO3556" s="115"/>
      <c r="BP3556" s="115"/>
      <c r="BQ3556" s="115"/>
      <c r="BR3556" s="115"/>
      <c r="BS3556" s="115"/>
      <c r="BT3556" s="115"/>
      <c r="BU3556" s="115"/>
      <c r="BV3556" s="115"/>
      <c r="BW3556" s="115"/>
      <c r="BX3556" s="115"/>
      <c r="BY3556" s="115"/>
      <c r="BZ3556" s="115"/>
      <c r="CA3556" s="115"/>
      <c r="CB3556" s="115"/>
      <c r="CC3556" s="115"/>
      <c r="CD3556" s="115"/>
      <c r="CE3556" s="115"/>
      <c r="CF3556" s="115"/>
      <c r="CG3556" s="115"/>
      <c r="CH3556" s="115"/>
      <c r="CI3556" s="115"/>
      <c r="CJ3556" s="115"/>
      <c r="CK3556" s="115"/>
      <c r="CL3556" s="115"/>
      <c r="CM3556" s="115"/>
      <c r="CN3556" s="115"/>
      <c r="CO3556" s="115"/>
      <c r="CP3556" s="115"/>
      <c r="CQ3556" s="115"/>
      <c r="CR3556" s="115"/>
      <c r="CS3556" s="115"/>
      <c r="CT3556" s="115"/>
      <c r="CU3556" s="115"/>
      <c r="CV3556" s="115"/>
      <c r="CW3556" s="115"/>
      <c r="CX3556" s="115"/>
      <c r="CY3556" s="115"/>
      <c r="CZ3556" s="115"/>
      <c r="DA3556" s="115"/>
      <c r="DB3556" s="115"/>
      <c r="DC3556" s="115"/>
      <c r="DD3556" s="115"/>
      <c r="DE3556" s="115"/>
      <c r="DF3556" s="115"/>
      <c r="DG3556" s="115"/>
    </row>
    <row r="3557" spans="55:111" hidden="1">
      <c r="BC3557" s="115"/>
      <c r="BD3557" s="115"/>
      <c r="BE3557" s="115"/>
      <c r="BF3557" s="115"/>
      <c r="BG3557" s="115"/>
      <c r="BH3557" s="115"/>
      <c r="BI3557" s="115"/>
      <c r="BJ3557" s="115"/>
      <c r="BK3557" s="115"/>
      <c r="BL3557" s="115"/>
      <c r="BM3557" s="115"/>
      <c r="BN3557" s="115"/>
      <c r="BO3557" s="115"/>
      <c r="BP3557" s="115"/>
      <c r="BQ3557" s="115"/>
      <c r="BR3557" s="115"/>
      <c r="BS3557" s="115"/>
      <c r="BT3557" s="115"/>
      <c r="BU3557" s="115"/>
      <c r="BV3557" s="115"/>
      <c r="BW3557" s="115"/>
      <c r="BX3557" s="115"/>
      <c r="BY3557" s="115"/>
      <c r="BZ3557" s="115"/>
      <c r="CA3557" s="115"/>
      <c r="CB3557" s="115"/>
      <c r="CC3557" s="115"/>
      <c r="CD3557" s="115"/>
      <c r="CE3557" s="115"/>
      <c r="CF3557" s="115"/>
      <c r="CG3557" s="115"/>
      <c r="CH3557" s="115"/>
      <c r="CI3557" s="115"/>
      <c r="CJ3557" s="115"/>
      <c r="CK3557" s="115"/>
      <c r="CL3557" s="115"/>
      <c r="CM3557" s="115"/>
      <c r="CN3557" s="115"/>
      <c r="CO3557" s="115"/>
      <c r="CP3557" s="115"/>
      <c r="CQ3557" s="115"/>
      <c r="CR3557" s="115"/>
      <c r="CS3557" s="115"/>
      <c r="CT3557" s="115"/>
      <c r="CU3557" s="115"/>
      <c r="CV3557" s="115"/>
      <c r="CW3557" s="115"/>
      <c r="CX3557" s="115"/>
      <c r="CY3557" s="115"/>
      <c r="CZ3557" s="115"/>
      <c r="DA3557" s="115"/>
      <c r="DB3557" s="115"/>
      <c r="DC3557" s="115"/>
      <c r="DD3557" s="115"/>
      <c r="DE3557" s="115"/>
      <c r="DF3557" s="115"/>
      <c r="DG3557" s="115"/>
    </row>
    <row r="3558" spans="55:111" hidden="1">
      <c r="BC3558" s="115"/>
      <c r="BD3558" s="115"/>
      <c r="BE3558" s="115"/>
      <c r="BF3558" s="115"/>
      <c r="BG3558" s="115"/>
      <c r="BH3558" s="115"/>
      <c r="BI3558" s="115"/>
      <c r="BJ3558" s="115"/>
      <c r="BK3558" s="115"/>
      <c r="BL3558" s="115"/>
      <c r="BM3558" s="115"/>
      <c r="BN3558" s="115"/>
      <c r="BO3558" s="115"/>
      <c r="BP3558" s="115"/>
      <c r="BQ3558" s="115"/>
      <c r="BR3558" s="115"/>
      <c r="BS3558" s="115"/>
      <c r="BT3558" s="115"/>
      <c r="BU3558" s="115"/>
      <c r="BV3558" s="115"/>
      <c r="BW3558" s="115"/>
      <c r="BX3558" s="115"/>
      <c r="BY3558" s="115"/>
      <c r="BZ3558" s="115"/>
      <c r="CA3558" s="115"/>
      <c r="CB3558" s="115"/>
      <c r="CC3558" s="115"/>
      <c r="CD3558" s="115"/>
      <c r="CE3558" s="115"/>
      <c r="CF3558" s="115"/>
      <c r="CG3558" s="115"/>
      <c r="CH3558" s="115"/>
      <c r="CI3558" s="115"/>
      <c r="CJ3558" s="115"/>
      <c r="CK3558" s="115"/>
      <c r="CL3558" s="115"/>
      <c r="CM3558" s="115"/>
      <c r="CN3558" s="115"/>
      <c r="CO3558" s="115"/>
      <c r="CP3558" s="115"/>
      <c r="CQ3558" s="115"/>
      <c r="CR3558" s="115"/>
      <c r="CS3558" s="115"/>
      <c r="CT3558" s="115"/>
      <c r="CU3558" s="115"/>
      <c r="CV3558" s="115"/>
      <c r="CW3558" s="115"/>
      <c r="CX3558" s="115"/>
      <c r="CY3558" s="115"/>
      <c r="CZ3558" s="115"/>
      <c r="DA3558" s="115"/>
      <c r="DB3558" s="115"/>
      <c r="DC3558" s="115"/>
      <c r="DD3558" s="115"/>
      <c r="DE3558" s="115"/>
      <c r="DF3558" s="115"/>
      <c r="DG3558" s="115"/>
    </row>
    <row r="3559" spans="55:111" hidden="1">
      <c r="BC3559" s="115"/>
      <c r="BD3559" s="115"/>
      <c r="BE3559" s="115"/>
      <c r="BF3559" s="115"/>
      <c r="BG3559" s="115"/>
      <c r="BH3559" s="115"/>
      <c r="BI3559" s="115"/>
      <c r="BJ3559" s="115"/>
      <c r="BK3559" s="115"/>
      <c r="BL3559" s="115"/>
      <c r="BM3559" s="115"/>
      <c r="BN3559" s="115"/>
      <c r="BO3559" s="115"/>
      <c r="BP3559" s="115"/>
      <c r="BQ3559" s="115"/>
      <c r="BR3559" s="115"/>
      <c r="BS3559" s="115"/>
      <c r="BT3559" s="115"/>
      <c r="BU3559" s="115"/>
      <c r="BV3559" s="115"/>
      <c r="BW3559" s="115"/>
      <c r="BX3559" s="115"/>
      <c r="BY3559" s="115"/>
      <c r="BZ3559" s="115"/>
      <c r="CA3559" s="115"/>
      <c r="CB3559" s="115"/>
      <c r="CC3559" s="115"/>
      <c r="CD3559" s="115"/>
      <c r="CE3559" s="115"/>
      <c r="CF3559" s="115"/>
      <c r="CG3559" s="115"/>
      <c r="CH3559" s="115"/>
      <c r="CI3559" s="115"/>
      <c r="CJ3559" s="115"/>
      <c r="CK3559" s="115"/>
      <c r="CL3559" s="115"/>
      <c r="CM3559" s="115"/>
      <c r="CN3559" s="115"/>
      <c r="CO3559" s="115"/>
      <c r="CP3559" s="115"/>
      <c r="CQ3559" s="115"/>
      <c r="CR3559" s="115"/>
      <c r="CS3559" s="115"/>
      <c r="CT3559" s="115"/>
      <c r="CU3559" s="115"/>
      <c r="CV3559" s="115"/>
      <c r="CW3559" s="115"/>
      <c r="CX3559" s="115"/>
      <c r="CY3559" s="115"/>
      <c r="CZ3559" s="115"/>
      <c r="DA3559" s="115"/>
      <c r="DB3559" s="115"/>
      <c r="DC3559" s="115"/>
      <c r="DD3559" s="115"/>
      <c r="DE3559" s="115"/>
      <c r="DF3559" s="115"/>
      <c r="DG3559" s="115"/>
    </row>
    <row r="3560" spans="55:111" hidden="1">
      <c r="BC3560" s="115"/>
      <c r="BD3560" s="115"/>
      <c r="BE3560" s="115"/>
      <c r="BF3560" s="115"/>
      <c r="BG3560" s="115"/>
      <c r="BH3560" s="115"/>
      <c r="BI3560" s="115"/>
      <c r="BJ3560" s="115"/>
      <c r="BK3560" s="115"/>
      <c r="BL3560" s="115"/>
      <c r="BM3560" s="115"/>
      <c r="BN3560" s="115"/>
      <c r="BO3560" s="115"/>
      <c r="BP3560" s="115"/>
      <c r="BQ3560" s="115"/>
      <c r="BR3560" s="115"/>
      <c r="BS3560" s="115"/>
      <c r="BT3560" s="115"/>
      <c r="BU3560" s="115"/>
      <c r="BV3560" s="115"/>
      <c r="BW3560" s="115"/>
      <c r="BX3560" s="115"/>
      <c r="BY3560" s="115"/>
      <c r="BZ3560" s="115"/>
      <c r="CA3560" s="115"/>
      <c r="CB3560" s="115"/>
      <c r="CC3560" s="115"/>
      <c r="CD3560" s="115"/>
      <c r="CE3560" s="115"/>
      <c r="CF3560" s="115"/>
      <c r="CG3560" s="115"/>
      <c r="CH3560" s="115"/>
      <c r="CI3560" s="115"/>
      <c r="CJ3560" s="115"/>
      <c r="CK3560" s="115"/>
      <c r="CL3560" s="115"/>
      <c r="CM3560" s="115"/>
      <c r="CN3560" s="115"/>
      <c r="CO3560" s="115"/>
      <c r="CP3560" s="115"/>
      <c r="CQ3560" s="115"/>
      <c r="CR3560" s="115"/>
      <c r="CS3560" s="115"/>
      <c r="CT3560" s="115"/>
      <c r="CU3560" s="115"/>
      <c r="CV3560" s="115"/>
      <c r="CW3560" s="115"/>
      <c r="CX3560" s="115"/>
      <c r="CY3560" s="115"/>
      <c r="CZ3560" s="115"/>
      <c r="DA3560" s="115"/>
      <c r="DB3560" s="115"/>
      <c r="DC3560" s="115"/>
      <c r="DD3560" s="115"/>
      <c r="DE3560" s="115"/>
      <c r="DF3560" s="115"/>
      <c r="DG3560" s="115"/>
    </row>
    <row r="3561" spans="55:111" hidden="1">
      <c r="BC3561" s="115"/>
      <c r="BD3561" s="115"/>
      <c r="BE3561" s="115"/>
      <c r="BF3561" s="115"/>
      <c r="BG3561" s="115"/>
      <c r="BH3561" s="115"/>
      <c r="BI3561" s="115"/>
      <c r="BJ3561" s="115"/>
      <c r="BK3561" s="115"/>
      <c r="BL3561" s="115"/>
      <c r="BM3561" s="115"/>
      <c r="BN3561" s="115"/>
      <c r="BO3561" s="115"/>
      <c r="BP3561" s="115"/>
      <c r="BQ3561" s="115"/>
      <c r="BR3561" s="115"/>
      <c r="BS3561" s="115"/>
      <c r="BT3561" s="115"/>
      <c r="BU3561" s="115"/>
      <c r="BV3561" s="115"/>
      <c r="BW3561" s="115"/>
      <c r="BX3561" s="115"/>
      <c r="BY3561" s="115"/>
      <c r="BZ3561" s="115"/>
      <c r="CA3561" s="115"/>
      <c r="CB3561" s="115"/>
      <c r="CC3561" s="115"/>
      <c r="CD3561" s="115"/>
      <c r="CE3561" s="115"/>
      <c r="CF3561" s="115"/>
      <c r="CG3561" s="115"/>
      <c r="CH3561" s="115"/>
      <c r="CI3561" s="115"/>
      <c r="CJ3561" s="115"/>
      <c r="CK3561" s="115"/>
      <c r="CL3561" s="115"/>
      <c r="CM3561" s="115"/>
      <c r="CN3561" s="115"/>
      <c r="CO3561" s="115"/>
      <c r="CP3561" s="115"/>
      <c r="CQ3561" s="115"/>
      <c r="CR3561" s="115"/>
      <c r="CS3561" s="115"/>
      <c r="CT3561" s="115"/>
      <c r="CU3561" s="115"/>
      <c r="CV3561" s="115"/>
      <c r="CW3561" s="115"/>
      <c r="CX3561" s="115"/>
      <c r="CY3561" s="115"/>
      <c r="CZ3561" s="115"/>
      <c r="DA3561" s="115"/>
      <c r="DB3561" s="115"/>
      <c r="DC3561" s="115"/>
      <c r="DD3561" s="115"/>
      <c r="DE3561" s="115"/>
      <c r="DF3561" s="115"/>
      <c r="DG3561" s="115"/>
    </row>
    <row r="3562" spans="55:111" hidden="1">
      <c r="BC3562" s="115"/>
      <c r="BD3562" s="115"/>
      <c r="BE3562" s="115"/>
      <c r="BF3562" s="115"/>
      <c r="BG3562" s="115"/>
      <c r="BH3562" s="115"/>
      <c r="BI3562" s="115"/>
      <c r="BJ3562" s="115"/>
      <c r="BK3562" s="115"/>
      <c r="BL3562" s="115"/>
      <c r="BM3562" s="115"/>
      <c r="BN3562" s="115"/>
      <c r="BO3562" s="115"/>
      <c r="BP3562" s="115"/>
      <c r="BQ3562" s="115"/>
      <c r="BR3562" s="115"/>
      <c r="BS3562" s="115"/>
      <c r="BT3562" s="115"/>
      <c r="BU3562" s="115"/>
      <c r="BV3562" s="115"/>
      <c r="BW3562" s="115"/>
      <c r="BX3562" s="115"/>
      <c r="BY3562" s="115"/>
      <c r="BZ3562" s="115"/>
      <c r="CA3562" s="115"/>
      <c r="CB3562" s="115"/>
      <c r="CC3562" s="115"/>
      <c r="CD3562" s="115"/>
      <c r="CE3562" s="115"/>
      <c r="CF3562" s="115"/>
      <c r="CG3562" s="115"/>
      <c r="CH3562" s="115"/>
      <c r="CI3562" s="115"/>
      <c r="CJ3562" s="115"/>
      <c r="CK3562" s="115"/>
      <c r="CL3562" s="115"/>
      <c r="CM3562" s="115"/>
      <c r="CN3562" s="115"/>
      <c r="CO3562" s="115"/>
      <c r="CP3562" s="115"/>
      <c r="CQ3562" s="115"/>
      <c r="CR3562" s="115"/>
      <c r="CS3562" s="115"/>
      <c r="CT3562" s="115"/>
      <c r="CU3562" s="115"/>
      <c r="CV3562" s="115"/>
      <c r="CW3562" s="115"/>
      <c r="CX3562" s="115"/>
      <c r="CY3562" s="115"/>
      <c r="CZ3562" s="115"/>
      <c r="DA3562" s="115"/>
      <c r="DB3562" s="115"/>
      <c r="DC3562" s="115"/>
      <c r="DD3562" s="115"/>
      <c r="DE3562" s="115"/>
      <c r="DF3562" s="115"/>
      <c r="DG3562" s="115"/>
    </row>
    <row r="3563" spans="55:111" hidden="1">
      <c r="BC3563" s="115"/>
      <c r="BD3563" s="115"/>
      <c r="BE3563" s="115"/>
      <c r="BF3563" s="115"/>
      <c r="BG3563" s="115"/>
      <c r="BH3563" s="115"/>
      <c r="BI3563" s="115"/>
      <c r="BJ3563" s="115"/>
      <c r="BK3563" s="115"/>
      <c r="BL3563" s="115"/>
      <c r="BM3563" s="115"/>
      <c r="BN3563" s="115"/>
      <c r="BO3563" s="115"/>
      <c r="BP3563" s="115"/>
      <c r="BQ3563" s="115"/>
      <c r="BR3563" s="115"/>
      <c r="BS3563" s="115"/>
      <c r="BT3563" s="115"/>
      <c r="BU3563" s="115"/>
      <c r="BV3563" s="115"/>
      <c r="BW3563" s="115"/>
      <c r="BX3563" s="115"/>
      <c r="BY3563" s="115"/>
      <c r="BZ3563" s="115"/>
      <c r="CA3563" s="115"/>
      <c r="CB3563" s="115"/>
      <c r="CC3563" s="115"/>
      <c r="CD3563" s="115"/>
      <c r="CE3563" s="115"/>
      <c r="CF3563" s="115"/>
      <c r="CG3563" s="115"/>
      <c r="CH3563" s="115"/>
      <c r="CI3563" s="115"/>
      <c r="CJ3563" s="115"/>
      <c r="CK3563" s="115"/>
      <c r="CL3563" s="115"/>
      <c r="CM3563" s="115"/>
      <c r="CN3563" s="115"/>
      <c r="CO3563" s="115"/>
      <c r="CP3563" s="115"/>
      <c r="CQ3563" s="115"/>
      <c r="CR3563" s="115"/>
      <c r="CS3563" s="115"/>
      <c r="CT3563" s="115"/>
      <c r="CU3563" s="115"/>
      <c r="CV3563" s="115"/>
      <c r="CW3563" s="115"/>
      <c r="CX3563" s="115"/>
      <c r="CY3563" s="115"/>
      <c r="CZ3563" s="115"/>
      <c r="DA3563" s="115"/>
      <c r="DB3563" s="115"/>
      <c r="DC3563" s="115"/>
      <c r="DD3563" s="115"/>
      <c r="DE3563" s="115"/>
      <c r="DF3563" s="115"/>
      <c r="DG3563" s="115"/>
    </row>
    <row r="3564" spans="55:111" hidden="1">
      <c r="BC3564" s="115"/>
      <c r="BD3564" s="115"/>
      <c r="BE3564" s="115"/>
      <c r="BF3564" s="115"/>
      <c r="BG3564" s="115"/>
      <c r="BH3564" s="115"/>
      <c r="BI3564" s="115"/>
      <c r="BJ3564" s="115"/>
      <c r="BK3564" s="115"/>
      <c r="BL3564" s="115"/>
      <c r="BM3564" s="115"/>
      <c r="BN3564" s="115"/>
      <c r="BO3564" s="115"/>
      <c r="BP3564" s="115"/>
      <c r="BQ3564" s="115"/>
      <c r="BR3564" s="115"/>
      <c r="BS3564" s="115"/>
      <c r="BT3564" s="115"/>
      <c r="BU3564" s="115"/>
      <c r="BV3564" s="115"/>
      <c r="BW3564" s="115"/>
      <c r="BX3564" s="115"/>
      <c r="BY3564" s="115"/>
      <c r="BZ3564" s="115"/>
      <c r="CA3564" s="115"/>
      <c r="CB3564" s="115"/>
      <c r="CC3564" s="115"/>
      <c r="CD3564" s="115"/>
      <c r="CE3564" s="115"/>
      <c r="CF3564" s="115"/>
      <c r="CG3564" s="115"/>
      <c r="CH3564" s="115"/>
      <c r="CI3564" s="115"/>
      <c r="CJ3564" s="115"/>
      <c r="CK3564" s="115"/>
      <c r="CL3564" s="115"/>
      <c r="CM3564" s="115"/>
      <c r="CN3564" s="115"/>
      <c r="CO3564" s="115"/>
      <c r="CP3564" s="115"/>
      <c r="CQ3564" s="115"/>
      <c r="CR3564" s="115"/>
      <c r="CS3564" s="115"/>
      <c r="CT3564" s="115"/>
      <c r="CU3564" s="115"/>
      <c r="CV3564" s="115"/>
      <c r="CW3564" s="115"/>
      <c r="CX3564" s="115"/>
      <c r="CY3564" s="115"/>
      <c r="CZ3564" s="115"/>
      <c r="DA3564" s="115"/>
      <c r="DB3564" s="115"/>
      <c r="DC3564" s="115"/>
      <c r="DD3564" s="115"/>
      <c r="DE3564" s="115"/>
      <c r="DF3564" s="115"/>
      <c r="DG3564" s="115"/>
    </row>
    <row r="3565" spans="55:111" hidden="1">
      <c r="BC3565" s="115"/>
      <c r="BD3565" s="115"/>
      <c r="BE3565" s="115"/>
      <c r="BF3565" s="115"/>
      <c r="BG3565" s="115"/>
      <c r="BH3565" s="115"/>
      <c r="BI3565" s="115"/>
      <c r="BJ3565" s="115"/>
      <c r="BK3565" s="115"/>
      <c r="BL3565" s="115"/>
      <c r="BM3565" s="115"/>
      <c r="BN3565" s="115"/>
      <c r="BO3565" s="115"/>
      <c r="BP3565" s="115"/>
      <c r="BQ3565" s="115"/>
      <c r="BR3565" s="115"/>
      <c r="BS3565" s="115"/>
      <c r="BT3565" s="115"/>
      <c r="BU3565" s="115"/>
      <c r="BV3565" s="115"/>
      <c r="BW3565" s="115"/>
      <c r="BX3565" s="115"/>
      <c r="BY3565" s="115"/>
      <c r="BZ3565" s="115"/>
      <c r="CA3565" s="115"/>
      <c r="CB3565" s="115"/>
      <c r="CC3565" s="115"/>
      <c r="CD3565" s="115"/>
      <c r="CE3565" s="115"/>
      <c r="CF3565" s="115"/>
      <c r="CG3565" s="115"/>
      <c r="CH3565" s="115"/>
      <c r="CI3565" s="115"/>
      <c r="CJ3565" s="115"/>
      <c r="CK3565" s="115"/>
      <c r="CL3565" s="115"/>
      <c r="CM3565" s="115"/>
      <c r="CN3565" s="115"/>
      <c r="CO3565" s="115"/>
      <c r="CP3565" s="115"/>
      <c r="CQ3565" s="115"/>
      <c r="CR3565" s="115"/>
      <c r="CS3565" s="115"/>
      <c r="CT3565" s="115"/>
      <c r="CU3565" s="115"/>
      <c r="CV3565" s="115"/>
      <c r="CW3565" s="115"/>
      <c r="CX3565" s="115"/>
      <c r="CY3565" s="115"/>
      <c r="CZ3565" s="115"/>
      <c r="DA3565" s="115"/>
      <c r="DB3565" s="115"/>
      <c r="DC3565" s="115"/>
      <c r="DD3565" s="115"/>
      <c r="DE3565" s="115"/>
      <c r="DF3565" s="115"/>
      <c r="DG3565" s="115"/>
    </row>
    <row r="3566" spans="55:111" hidden="1">
      <c r="BC3566" s="115"/>
      <c r="BD3566" s="115"/>
      <c r="BE3566" s="115"/>
      <c r="BF3566" s="115"/>
      <c r="BG3566" s="115"/>
      <c r="BH3566" s="115"/>
      <c r="BI3566" s="115"/>
      <c r="BJ3566" s="115"/>
      <c r="BK3566" s="115"/>
      <c r="BL3566" s="115"/>
      <c r="BM3566" s="115"/>
      <c r="BN3566" s="115"/>
      <c r="BO3566" s="115"/>
      <c r="BP3566" s="115"/>
      <c r="BQ3566" s="115"/>
      <c r="BR3566" s="115"/>
      <c r="BS3566" s="115"/>
      <c r="BT3566" s="115"/>
      <c r="BU3566" s="115"/>
      <c r="BV3566" s="115"/>
      <c r="BW3566" s="115"/>
      <c r="BX3566" s="115"/>
      <c r="BY3566" s="115"/>
      <c r="BZ3566" s="115"/>
      <c r="CA3566" s="115"/>
      <c r="CB3566" s="115"/>
      <c r="CC3566" s="115"/>
      <c r="CD3566" s="115"/>
      <c r="CE3566" s="115"/>
      <c r="CF3566" s="115"/>
      <c r="CG3566" s="115"/>
      <c r="CH3566" s="115"/>
      <c r="CI3566" s="115"/>
      <c r="CJ3566" s="115"/>
      <c r="CK3566" s="115"/>
      <c r="CL3566" s="115"/>
      <c r="CM3566" s="115"/>
      <c r="CN3566" s="115"/>
      <c r="CO3566" s="115"/>
      <c r="CP3566" s="115"/>
      <c r="CQ3566" s="115"/>
      <c r="CR3566" s="115"/>
      <c r="CS3566" s="115"/>
      <c r="CT3566" s="115"/>
      <c r="CU3566" s="115"/>
      <c r="CV3566" s="115"/>
      <c r="CW3566" s="115"/>
      <c r="CX3566" s="115"/>
      <c r="CY3566" s="115"/>
      <c r="CZ3566" s="115"/>
      <c r="DA3566" s="115"/>
      <c r="DB3566" s="115"/>
      <c r="DC3566" s="115"/>
      <c r="DD3566" s="115"/>
      <c r="DE3566" s="115"/>
      <c r="DF3566" s="115"/>
      <c r="DG3566" s="115"/>
    </row>
    <row r="3567" spans="55:111" hidden="1">
      <c r="BC3567" s="115"/>
      <c r="BD3567" s="115"/>
      <c r="BE3567" s="115"/>
      <c r="BF3567" s="115"/>
      <c r="BG3567" s="115"/>
      <c r="BH3567" s="115"/>
      <c r="BI3567" s="115"/>
      <c r="BJ3567" s="115"/>
      <c r="BK3567" s="115"/>
      <c r="BL3567" s="115"/>
      <c r="BM3567" s="115"/>
      <c r="BN3567" s="115"/>
      <c r="BO3567" s="115"/>
      <c r="BP3567" s="115"/>
      <c r="BQ3567" s="115"/>
      <c r="BR3567" s="115"/>
      <c r="BS3567" s="115"/>
      <c r="BT3567" s="115"/>
      <c r="BU3567" s="115"/>
      <c r="BV3567" s="115"/>
      <c r="BW3567" s="115"/>
      <c r="BX3567" s="115"/>
      <c r="BY3567" s="115"/>
      <c r="BZ3567" s="115"/>
      <c r="CA3567" s="115"/>
      <c r="CB3567" s="115"/>
      <c r="CC3567" s="115"/>
      <c r="CD3567" s="115"/>
      <c r="CE3567" s="115"/>
      <c r="CF3567" s="115"/>
      <c r="CG3567" s="115"/>
      <c r="CH3567" s="115"/>
      <c r="CI3567" s="115"/>
      <c r="CJ3567" s="115"/>
      <c r="CK3567" s="115"/>
      <c r="CL3567" s="115"/>
      <c r="CM3567" s="115"/>
      <c r="CN3567" s="115"/>
      <c r="CO3567" s="115"/>
      <c r="CP3567" s="115"/>
      <c r="CQ3567" s="115"/>
      <c r="CR3567" s="115"/>
      <c r="CS3567" s="115"/>
      <c r="CT3567" s="115"/>
      <c r="CU3567" s="115"/>
      <c r="CV3567" s="115"/>
      <c r="CW3567" s="115"/>
      <c r="CX3567" s="115"/>
      <c r="CY3567" s="115"/>
      <c r="CZ3567" s="115"/>
      <c r="DA3567" s="115"/>
      <c r="DB3567" s="115"/>
      <c r="DC3567" s="115"/>
      <c r="DD3567" s="115"/>
      <c r="DE3567" s="115"/>
      <c r="DF3567" s="115"/>
      <c r="DG3567" s="115"/>
    </row>
    <row r="3568" spans="55:111" hidden="1">
      <c r="BC3568" s="115"/>
      <c r="BD3568" s="115"/>
      <c r="BE3568" s="115"/>
      <c r="BF3568" s="115"/>
      <c r="BG3568" s="115"/>
      <c r="BH3568" s="115"/>
      <c r="BI3568" s="115"/>
      <c r="BJ3568" s="115"/>
      <c r="BK3568" s="115"/>
      <c r="BL3568" s="115"/>
      <c r="BM3568" s="115"/>
      <c r="BN3568" s="115"/>
      <c r="BO3568" s="115"/>
      <c r="BP3568" s="115"/>
      <c r="BQ3568" s="115"/>
      <c r="BR3568" s="115"/>
      <c r="BS3568" s="115"/>
      <c r="BT3568" s="115"/>
      <c r="BU3568" s="115"/>
      <c r="BV3568" s="115"/>
      <c r="BW3568" s="115"/>
      <c r="BX3568" s="115"/>
      <c r="BY3568" s="115"/>
      <c r="BZ3568" s="115"/>
      <c r="CA3568" s="115"/>
      <c r="CB3568" s="115"/>
      <c r="CC3568" s="115"/>
      <c r="CD3568" s="115"/>
      <c r="CE3568" s="115"/>
      <c r="CF3568" s="115"/>
      <c r="CG3568" s="115"/>
      <c r="CH3568" s="115"/>
      <c r="CI3568" s="115"/>
      <c r="CJ3568" s="115"/>
      <c r="CK3568" s="115"/>
      <c r="CL3568" s="115"/>
      <c r="CM3568" s="115"/>
      <c r="CN3568" s="115"/>
      <c r="CO3568" s="115"/>
      <c r="CP3568" s="115"/>
      <c r="CQ3568" s="115"/>
      <c r="CR3568" s="115"/>
      <c r="CS3568" s="115"/>
      <c r="CT3568" s="115"/>
      <c r="CU3568" s="115"/>
      <c r="CV3568" s="115"/>
      <c r="CW3568" s="115"/>
      <c r="CX3568" s="115"/>
      <c r="CY3568" s="115"/>
      <c r="CZ3568" s="115"/>
      <c r="DA3568" s="115"/>
      <c r="DB3568" s="115"/>
      <c r="DC3568" s="115"/>
      <c r="DD3568" s="115"/>
      <c r="DE3568" s="115"/>
      <c r="DF3568" s="115"/>
      <c r="DG3568" s="115"/>
    </row>
    <row r="3569" spans="55:111" hidden="1">
      <c r="BC3569" s="115"/>
      <c r="BD3569" s="115"/>
      <c r="BE3569" s="115"/>
      <c r="BF3569" s="115"/>
      <c r="BG3569" s="115"/>
      <c r="BH3569" s="115"/>
      <c r="BI3569" s="115"/>
      <c r="BJ3569" s="115"/>
      <c r="BK3569" s="115"/>
      <c r="BL3569" s="115"/>
      <c r="BM3569" s="115"/>
      <c r="BN3569" s="115"/>
      <c r="BO3569" s="115"/>
      <c r="BP3569" s="115"/>
      <c r="BQ3569" s="115"/>
      <c r="BR3569" s="115"/>
      <c r="BS3569" s="115"/>
      <c r="BT3569" s="115"/>
      <c r="BU3569" s="115"/>
      <c r="BV3569" s="115"/>
      <c r="BW3569" s="115"/>
      <c r="BX3569" s="115"/>
      <c r="BY3569" s="115"/>
      <c r="BZ3569" s="115"/>
      <c r="CA3569" s="115"/>
      <c r="CB3569" s="115"/>
      <c r="CC3569" s="115"/>
      <c r="CD3569" s="115"/>
      <c r="CE3569" s="115"/>
      <c r="CF3569" s="115"/>
      <c r="CG3569" s="115"/>
      <c r="CH3569" s="115"/>
      <c r="CI3569" s="115"/>
      <c r="CJ3569" s="115"/>
      <c r="CK3569" s="115"/>
      <c r="CL3569" s="115"/>
      <c r="CM3569" s="115"/>
      <c r="CN3569" s="115"/>
      <c r="CO3569" s="115"/>
      <c r="CP3569" s="115"/>
      <c r="CQ3569" s="115"/>
      <c r="CR3569" s="115"/>
      <c r="CS3569" s="115"/>
      <c r="CT3569" s="115"/>
      <c r="CU3569" s="115"/>
      <c r="CV3569" s="115"/>
      <c r="CW3569" s="115"/>
      <c r="CX3569" s="115"/>
      <c r="CY3569" s="115"/>
      <c r="CZ3569" s="115"/>
      <c r="DA3569" s="115"/>
      <c r="DB3569" s="115"/>
      <c r="DC3569" s="115"/>
      <c r="DD3569" s="115"/>
      <c r="DE3569" s="115"/>
      <c r="DF3569" s="115"/>
      <c r="DG3569" s="115"/>
    </row>
    <row r="3570" spans="55:111" hidden="1">
      <c r="BC3570" s="115"/>
      <c r="BD3570" s="115"/>
      <c r="BE3570" s="115"/>
      <c r="BF3570" s="115"/>
      <c r="BG3570" s="115"/>
      <c r="BH3570" s="115"/>
      <c r="BI3570" s="115"/>
      <c r="BJ3570" s="115"/>
      <c r="BK3570" s="115"/>
      <c r="BL3570" s="115"/>
      <c r="BM3570" s="115"/>
      <c r="BN3570" s="115"/>
      <c r="BO3570" s="115"/>
      <c r="BP3570" s="115"/>
      <c r="BQ3570" s="115"/>
      <c r="BR3570" s="115"/>
      <c r="BS3570" s="115"/>
      <c r="BT3570" s="115"/>
      <c r="BU3570" s="115"/>
      <c r="BV3570" s="115"/>
      <c r="BW3570" s="115"/>
      <c r="BX3570" s="115"/>
      <c r="BY3570" s="115"/>
      <c r="BZ3570" s="115"/>
      <c r="CA3570" s="115"/>
      <c r="CB3570" s="115"/>
      <c r="CC3570" s="115"/>
      <c r="CD3570" s="115"/>
      <c r="CE3570" s="115"/>
      <c r="CF3570" s="115"/>
      <c r="CG3570" s="115"/>
      <c r="CH3570" s="115"/>
      <c r="CI3570" s="115"/>
      <c r="CJ3570" s="115"/>
      <c r="CK3570" s="115"/>
      <c r="CL3570" s="115"/>
      <c r="CM3570" s="115"/>
      <c r="CN3570" s="115"/>
      <c r="CO3570" s="115"/>
      <c r="CP3570" s="115"/>
      <c r="CQ3570" s="115"/>
      <c r="CR3570" s="115"/>
      <c r="CS3570" s="115"/>
      <c r="CT3570" s="115"/>
      <c r="CU3570" s="115"/>
      <c r="CV3570" s="115"/>
      <c r="CW3570" s="115"/>
      <c r="CX3570" s="115"/>
      <c r="CY3570" s="115"/>
      <c r="CZ3570" s="115"/>
      <c r="DA3570" s="115"/>
      <c r="DB3570" s="115"/>
      <c r="DC3570" s="115"/>
      <c r="DD3570" s="115"/>
      <c r="DE3570" s="115"/>
      <c r="DF3570" s="115"/>
      <c r="DG3570" s="115"/>
    </row>
    <row r="3571" spans="55:111" hidden="1">
      <c r="BC3571" s="115"/>
      <c r="BD3571" s="115"/>
      <c r="BE3571" s="115"/>
      <c r="BF3571" s="115"/>
      <c r="BG3571" s="115"/>
      <c r="BH3571" s="115"/>
      <c r="BI3571" s="115"/>
      <c r="BJ3571" s="115"/>
      <c r="BK3571" s="115"/>
      <c r="BL3571" s="115"/>
      <c r="BM3571" s="115"/>
      <c r="BN3571" s="115"/>
      <c r="BO3571" s="115"/>
      <c r="BP3571" s="115"/>
      <c r="BQ3571" s="115"/>
      <c r="BR3571" s="115"/>
      <c r="BS3571" s="115"/>
      <c r="BT3571" s="115"/>
      <c r="BU3571" s="115"/>
      <c r="BV3571" s="115"/>
      <c r="BW3571" s="115"/>
      <c r="BX3571" s="115"/>
      <c r="BY3571" s="115"/>
      <c r="BZ3571" s="115"/>
      <c r="CA3571" s="115"/>
      <c r="CB3571" s="115"/>
      <c r="CC3571" s="115"/>
      <c r="CD3571" s="115"/>
      <c r="CE3571" s="115"/>
      <c r="CF3571" s="115"/>
      <c r="CG3571" s="115"/>
      <c r="CH3571" s="115"/>
      <c r="CI3571" s="115"/>
      <c r="CJ3571" s="115"/>
      <c r="CK3571" s="115"/>
      <c r="CL3571" s="115"/>
      <c r="CM3571" s="115"/>
      <c r="CN3571" s="115"/>
      <c r="CO3571" s="115"/>
      <c r="CP3571" s="115"/>
      <c r="CQ3571" s="115"/>
      <c r="CR3571" s="115"/>
      <c r="CS3571" s="115"/>
      <c r="CT3571" s="115"/>
      <c r="CU3571" s="115"/>
      <c r="CV3571" s="115"/>
      <c r="CW3571" s="115"/>
      <c r="CX3571" s="115"/>
      <c r="CY3571" s="115"/>
      <c r="CZ3571" s="115"/>
      <c r="DA3571" s="115"/>
      <c r="DB3571" s="115"/>
      <c r="DC3571" s="115"/>
      <c r="DD3571" s="115"/>
      <c r="DE3571" s="115"/>
      <c r="DF3571" s="115"/>
      <c r="DG3571" s="115"/>
    </row>
    <row r="3572" spans="55:111" hidden="1">
      <c r="BC3572" s="115"/>
      <c r="BD3572" s="115"/>
      <c r="BE3572" s="115"/>
      <c r="BF3572" s="115"/>
      <c r="BG3572" s="115"/>
      <c r="BH3572" s="115"/>
      <c r="BI3572" s="115"/>
      <c r="BJ3572" s="115"/>
      <c r="BK3572" s="115"/>
      <c r="BL3572" s="115"/>
      <c r="BM3572" s="115"/>
      <c r="BN3572" s="115"/>
      <c r="BO3572" s="115"/>
      <c r="BP3572" s="115"/>
      <c r="BQ3572" s="115"/>
      <c r="BR3572" s="115"/>
      <c r="BS3572" s="115"/>
      <c r="BT3572" s="115"/>
      <c r="BU3572" s="115"/>
      <c r="BV3572" s="115"/>
      <c r="BW3572" s="115"/>
      <c r="BX3572" s="115"/>
      <c r="BY3572" s="115"/>
      <c r="BZ3572" s="115"/>
      <c r="CA3572" s="115"/>
      <c r="CB3572" s="115"/>
      <c r="CC3572" s="115"/>
      <c r="CD3572" s="115"/>
      <c r="CE3572" s="115"/>
      <c r="CF3572" s="115"/>
      <c r="CG3572" s="115"/>
      <c r="CH3572" s="115"/>
      <c r="CI3572" s="115"/>
      <c r="CJ3572" s="115"/>
      <c r="CK3572" s="115"/>
      <c r="CL3572" s="115"/>
      <c r="CM3572" s="115"/>
      <c r="CN3572" s="115"/>
      <c r="CO3572" s="115"/>
      <c r="CP3572" s="115"/>
      <c r="CQ3572" s="115"/>
      <c r="CR3572" s="115"/>
      <c r="CS3572" s="115"/>
      <c r="CT3572" s="115"/>
      <c r="CU3572" s="115"/>
      <c r="CV3572" s="115"/>
      <c r="CW3572" s="115"/>
      <c r="CX3572" s="115"/>
      <c r="CY3572" s="115"/>
      <c r="CZ3572" s="115"/>
      <c r="DA3572" s="115"/>
      <c r="DB3572" s="115"/>
      <c r="DC3572" s="115"/>
      <c r="DD3572" s="115"/>
      <c r="DE3572" s="115"/>
      <c r="DF3572" s="115"/>
      <c r="DG3572" s="115"/>
    </row>
    <row r="3573" spans="55:111" hidden="1">
      <c r="BC3573" s="115"/>
      <c r="BD3573" s="115"/>
      <c r="BE3573" s="115"/>
      <c r="BF3573" s="115"/>
      <c r="BG3573" s="115"/>
      <c r="BH3573" s="115"/>
      <c r="BI3573" s="115"/>
      <c r="BJ3573" s="115"/>
      <c r="BK3573" s="115"/>
      <c r="BL3573" s="115"/>
      <c r="BM3573" s="115"/>
      <c r="BN3573" s="115"/>
      <c r="BO3573" s="115"/>
      <c r="BP3573" s="115"/>
      <c r="BQ3573" s="115"/>
      <c r="BR3573" s="115"/>
      <c r="BS3573" s="115"/>
      <c r="BT3573" s="115"/>
      <c r="BU3573" s="115"/>
      <c r="BV3573" s="115"/>
      <c r="BW3573" s="115"/>
      <c r="BX3573" s="115"/>
      <c r="BY3573" s="115"/>
      <c r="BZ3573" s="115"/>
      <c r="CA3573" s="115"/>
      <c r="CB3573" s="115"/>
      <c r="CC3573" s="115"/>
      <c r="CD3573" s="115"/>
      <c r="CE3573" s="115"/>
      <c r="CF3573" s="115"/>
      <c r="CG3573" s="115"/>
      <c r="CH3573" s="115"/>
      <c r="CI3573" s="115"/>
      <c r="CJ3573" s="115"/>
      <c r="CK3573" s="115"/>
      <c r="CL3573" s="115"/>
      <c r="CM3573" s="115"/>
      <c r="CN3573" s="115"/>
      <c r="CO3573" s="115"/>
      <c r="CP3573" s="115"/>
      <c r="CQ3573" s="115"/>
      <c r="CR3573" s="115"/>
      <c r="CS3573" s="115"/>
      <c r="CT3573" s="115"/>
      <c r="CU3573" s="115"/>
      <c r="CV3573" s="115"/>
      <c r="CW3573" s="115"/>
      <c r="CX3573" s="115"/>
      <c r="CY3573" s="115"/>
      <c r="CZ3573" s="115"/>
      <c r="DA3573" s="115"/>
      <c r="DB3573" s="115"/>
      <c r="DC3573" s="115"/>
      <c r="DD3573" s="115"/>
      <c r="DE3573" s="115"/>
      <c r="DF3573" s="115"/>
      <c r="DG3573" s="115"/>
    </row>
    <row r="3574" spans="55:111" hidden="1">
      <c r="BC3574" s="115"/>
      <c r="BD3574" s="115"/>
      <c r="BE3574" s="115"/>
      <c r="BF3574" s="115"/>
      <c r="BG3574" s="115"/>
      <c r="BH3574" s="115"/>
      <c r="BI3574" s="115"/>
      <c r="BJ3574" s="115"/>
      <c r="BK3574" s="115"/>
      <c r="BL3574" s="115"/>
      <c r="BM3574" s="115"/>
      <c r="BN3574" s="115"/>
      <c r="BO3574" s="115"/>
      <c r="BP3574" s="115"/>
      <c r="BQ3574" s="115"/>
      <c r="BR3574" s="115"/>
      <c r="BS3574" s="115"/>
      <c r="BT3574" s="115"/>
      <c r="BU3574" s="115"/>
      <c r="BV3574" s="115"/>
      <c r="BW3574" s="115"/>
      <c r="BX3574" s="115"/>
      <c r="BY3574" s="115"/>
      <c r="BZ3574" s="115"/>
      <c r="CA3574" s="115"/>
      <c r="CB3574" s="115"/>
      <c r="CC3574" s="115"/>
      <c r="CD3574" s="115"/>
      <c r="CE3574" s="115"/>
      <c r="CF3574" s="115"/>
      <c r="CG3574" s="115"/>
      <c r="CH3574" s="115"/>
      <c r="CI3574" s="115"/>
      <c r="CJ3574" s="115"/>
      <c r="CK3574" s="115"/>
      <c r="CL3574" s="115"/>
      <c r="CM3574" s="115"/>
      <c r="CN3574" s="115"/>
      <c r="CO3574" s="115"/>
      <c r="CP3574" s="115"/>
      <c r="CQ3574" s="115"/>
      <c r="CR3574" s="115"/>
      <c r="CS3574" s="115"/>
      <c r="CT3574" s="115"/>
      <c r="CU3574" s="115"/>
      <c r="CV3574" s="115"/>
      <c r="CW3574" s="115"/>
      <c r="CX3574" s="115"/>
      <c r="CY3574" s="115"/>
      <c r="CZ3574" s="115"/>
      <c r="DA3574" s="115"/>
      <c r="DB3574" s="115"/>
      <c r="DC3574" s="115"/>
      <c r="DD3574" s="115"/>
      <c r="DE3574" s="115"/>
      <c r="DF3574" s="115"/>
      <c r="DG3574" s="115"/>
    </row>
    <row r="3575" spans="55:111" hidden="1">
      <c r="BC3575" s="115"/>
      <c r="BD3575" s="115"/>
      <c r="BE3575" s="115"/>
      <c r="BF3575" s="115"/>
      <c r="BG3575" s="115"/>
      <c r="BH3575" s="115"/>
      <c r="BI3575" s="115"/>
      <c r="BJ3575" s="115"/>
      <c r="BK3575" s="115"/>
      <c r="BL3575" s="115"/>
      <c r="BM3575" s="115"/>
      <c r="BN3575" s="115"/>
      <c r="BO3575" s="115"/>
      <c r="BP3575" s="115"/>
      <c r="BQ3575" s="115"/>
      <c r="BR3575" s="115"/>
      <c r="BS3575" s="115"/>
      <c r="BT3575" s="115"/>
      <c r="BU3575" s="115"/>
      <c r="BV3575" s="115"/>
      <c r="BW3575" s="115"/>
      <c r="BX3575" s="115"/>
      <c r="BY3575" s="115"/>
      <c r="BZ3575" s="115"/>
      <c r="CA3575" s="115"/>
      <c r="CB3575" s="115"/>
      <c r="CC3575" s="115"/>
      <c r="CD3575" s="115"/>
      <c r="CE3575" s="115"/>
      <c r="CF3575" s="115"/>
      <c r="CG3575" s="115"/>
      <c r="CH3575" s="115"/>
      <c r="CI3575" s="115"/>
      <c r="CJ3575" s="115"/>
      <c r="CK3575" s="115"/>
      <c r="CL3575" s="115"/>
      <c r="CM3575" s="115"/>
      <c r="CN3575" s="115"/>
      <c r="CO3575" s="115"/>
      <c r="CP3575" s="115"/>
      <c r="CQ3575" s="115"/>
      <c r="CR3575" s="115"/>
      <c r="CS3575" s="115"/>
      <c r="CT3575" s="115"/>
      <c r="CU3575" s="115"/>
      <c r="CV3575" s="115"/>
      <c r="CW3575" s="115"/>
      <c r="CX3575" s="115"/>
      <c r="CY3575" s="115"/>
      <c r="CZ3575" s="115"/>
      <c r="DA3575" s="115"/>
      <c r="DB3575" s="115"/>
      <c r="DC3575" s="115"/>
      <c r="DD3575" s="115"/>
      <c r="DE3575" s="115"/>
      <c r="DF3575" s="115"/>
      <c r="DG3575" s="115"/>
    </row>
    <row r="3576" spans="55:111" hidden="1">
      <c r="BC3576" s="115"/>
      <c r="BD3576" s="115"/>
      <c r="BE3576" s="115"/>
      <c r="BF3576" s="115"/>
      <c r="BG3576" s="115"/>
      <c r="BH3576" s="115"/>
      <c r="BI3576" s="115"/>
      <c r="BJ3576" s="115"/>
      <c r="BK3576" s="115"/>
      <c r="BL3576" s="115"/>
      <c r="BM3576" s="115"/>
      <c r="BN3576" s="115"/>
      <c r="BO3576" s="115"/>
      <c r="BP3576" s="115"/>
      <c r="BQ3576" s="115"/>
      <c r="BR3576" s="115"/>
      <c r="BS3576" s="115"/>
      <c r="BT3576" s="115"/>
      <c r="BU3576" s="115"/>
      <c r="BV3576" s="115"/>
      <c r="BW3576" s="115"/>
      <c r="BX3576" s="115"/>
      <c r="BY3576" s="115"/>
      <c r="BZ3576" s="115"/>
      <c r="CA3576" s="115"/>
      <c r="CB3576" s="115"/>
      <c r="CC3576" s="115"/>
      <c r="CD3576" s="115"/>
      <c r="CE3576" s="115"/>
      <c r="CF3576" s="115"/>
      <c r="CG3576" s="115"/>
      <c r="CH3576" s="115"/>
      <c r="CI3576" s="115"/>
      <c r="CJ3576" s="115"/>
      <c r="CK3576" s="115"/>
      <c r="CL3576" s="115"/>
      <c r="CM3576" s="115"/>
      <c r="CN3576" s="115"/>
      <c r="CO3576" s="115"/>
      <c r="CP3576" s="115"/>
      <c r="CQ3576" s="115"/>
      <c r="CR3576" s="115"/>
      <c r="CS3576" s="115"/>
      <c r="CT3576" s="115"/>
      <c r="CU3576" s="115"/>
      <c r="CV3576" s="115"/>
      <c r="CW3576" s="115"/>
      <c r="CX3576" s="115"/>
      <c r="CY3576" s="115"/>
      <c r="CZ3576" s="115"/>
      <c r="DA3576" s="115"/>
      <c r="DB3576" s="115"/>
      <c r="DC3576" s="115"/>
      <c r="DD3576" s="115"/>
      <c r="DE3576" s="115"/>
      <c r="DF3576" s="115"/>
      <c r="DG3576" s="115"/>
    </row>
    <row r="3577" spans="55:111" hidden="1">
      <c r="BC3577" s="115"/>
      <c r="BD3577" s="115"/>
      <c r="BE3577" s="115"/>
      <c r="BF3577" s="115"/>
      <c r="BG3577" s="115"/>
      <c r="BH3577" s="115"/>
      <c r="BI3577" s="115"/>
      <c r="BJ3577" s="115"/>
      <c r="BK3577" s="115"/>
      <c r="BL3577" s="115"/>
      <c r="BM3577" s="115"/>
      <c r="BN3577" s="115"/>
      <c r="BO3577" s="115"/>
      <c r="BP3577" s="115"/>
      <c r="BQ3577" s="115"/>
      <c r="BR3577" s="115"/>
      <c r="BS3577" s="115"/>
      <c r="BT3577" s="115"/>
      <c r="BU3577" s="115"/>
      <c r="BV3577" s="115"/>
      <c r="BW3577" s="115"/>
      <c r="BX3577" s="115"/>
      <c r="BY3577" s="115"/>
      <c r="BZ3577" s="115"/>
      <c r="CA3577" s="115"/>
      <c r="CB3577" s="115"/>
      <c r="CC3577" s="115"/>
      <c r="CD3577" s="115"/>
      <c r="CE3577" s="115"/>
      <c r="CF3577" s="115"/>
      <c r="CG3577" s="115"/>
      <c r="CH3577" s="115"/>
      <c r="CI3577" s="115"/>
      <c r="CJ3577" s="115"/>
      <c r="CK3577" s="115"/>
      <c r="CL3577" s="115"/>
      <c r="CM3577" s="115"/>
      <c r="CN3577" s="115"/>
      <c r="CO3577" s="115"/>
      <c r="CP3577" s="115"/>
      <c r="CQ3577" s="115"/>
      <c r="CR3577" s="115"/>
      <c r="CS3577" s="115"/>
      <c r="CT3577" s="115"/>
      <c r="CU3577" s="115"/>
      <c r="CV3577" s="115"/>
      <c r="CW3577" s="115"/>
      <c r="CX3577" s="115"/>
      <c r="CY3577" s="115"/>
      <c r="CZ3577" s="115"/>
      <c r="DA3577" s="115"/>
      <c r="DB3577" s="115"/>
      <c r="DC3577" s="115"/>
      <c r="DD3577" s="115"/>
      <c r="DE3577" s="115"/>
      <c r="DF3577" s="115"/>
      <c r="DG3577" s="115"/>
    </row>
    <row r="3578" spans="55:111" hidden="1">
      <c r="BC3578" s="115"/>
      <c r="BD3578" s="115"/>
      <c r="BE3578" s="115"/>
      <c r="BF3578" s="115"/>
      <c r="BG3578" s="115"/>
      <c r="BH3578" s="115"/>
      <c r="BI3578" s="115"/>
      <c r="BJ3578" s="115"/>
      <c r="BK3578" s="115"/>
      <c r="BL3578" s="115"/>
      <c r="BM3578" s="115"/>
      <c r="BN3578" s="115"/>
      <c r="BO3578" s="115"/>
      <c r="BP3578" s="115"/>
      <c r="BQ3578" s="115"/>
      <c r="BR3578" s="115"/>
      <c r="BS3578" s="115"/>
      <c r="BT3578" s="115"/>
      <c r="BU3578" s="115"/>
      <c r="BV3578" s="115"/>
      <c r="BW3578" s="115"/>
      <c r="BX3578" s="115"/>
      <c r="BY3578" s="115"/>
      <c r="BZ3578" s="115"/>
      <c r="CA3578" s="115"/>
      <c r="CB3578" s="115"/>
      <c r="CC3578" s="115"/>
      <c r="CD3578" s="115"/>
      <c r="CE3578" s="115"/>
      <c r="CF3578" s="115"/>
      <c r="CG3578" s="115"/>
      <c r="CH3578" s="115"/>
      <c r="CI3578" s="115"/>
      <c r="CJ3578" s="115"/>
      <c r="CK3578" s="115"/>
      <c r="CL3578" s="115"/>
      <c r="CM3578" s="115"/>
      <c r="CN3578" s="115"/>
      <c r="CO3578" s="115"/>
      <c r="CP3578" s="115"/>
      <c r="CQ3578" s="115"/>
      <c r="CR3578" s="115"/>
      <c r="CS3578" s="115"/>
      <c r="CT3578" s="115"/>
      <c r="CU3578" s="115"/>
      <c r="CV3578" s="115"/>
      <c r="CW3578" s="115"/>
      <c r="CX3578" s="115"/>
      <c r="CY3578" s="115"/>
      <c r="CZ3578" s="115"/>
      <c r="DA3578" s="115"/>
      <c r="DB3578" s="115"/>
      <c r="DC3578" s="115"/>
      <c r="DD3578" s="115"/>
      <c r="DE3578" s="115"/>
      <c r="DF3578" s="115"/>
      <c r="DG3578" s="115"/>
    </row>
    <row r="3579" spans="55:111" hidden="1">
      <c r="BC3579" s="115"/>
      <c r="BD3579" s="115"/>
      <c r="BE3579" s="115"/>
      <c r="BF3579" s="115"/>
      <c r="BG3579" s="115"/>
      <c r="BH3579" s="115"/>
      <c r="BI3579" s="115"/>
      <c r="BJ3579" s="115"/>
      <c r="BK3579" s="115"/>
      <c r="BL3579" s="115"/>
      <c r="BM3579" s="115"/>
      <c r="BN3579" s="115"/>
      <c r="BO3579" s="115"/>
      <c r="BP3579" s="115"/>
      <c r="BQ3579" s="115"/>
      <c r="BR3579" s="115"/>
      <c r="BS3579" s="115"/>
      <c r="BT3579" s="115"/>
      <c r="BU3579" s="115"/>
      <c r="BV3579" s="115"/>
      <c r="BW3579" s="115"/>
      <c r="BX3579" s="115"/>
      <c r="BY3579" s="115"/>
      <c r="BZ3579" s="115"/>
      <c r="CA3579" s="115"/>
      <c r="CB3579" s="115"/>
      <c r="CC3579" s="115"/>
      <c r="CD3579" s="115"/>
      <c r="CE3579" s="115"/>
      <c r="CF3579" s="115"/>
      <c r="CG3579" s="115"/>
      <c r="CH3579" s="115"/>
      <c r="CI3579" s="115"/>
      <c r="CJ3579" s="115"/>
      <c r="CK3579" s="115"/>
      <c r="CL3579" s="115"/>
      <c r="CM3579" s="115"/>
      <c r="CN3579" s="115"/>
      <c r="CO3579" s="115"/>
      <c r="CP3579" s="115"/>
      <c r="CQ3579" s="115"/>
      <c r="CR3579" s="115"/>
      <c r="CS3579" s="115"/>
      <c r="CT3579" s="115"/>
      <c r="CU3579" s="115"/>
      <c r="CV3579" s="115"/>
      <c r="CW3579" s="115"/>
      <c r="CX3579" s="115"/>
      <c r="CY3579" s="115"/>
      <c r="CZ3579" s="115"/>
      <c r="DA3579" s="115"/>
      <c r="DB3579" s="115"/>
      <c r="DC3579" s="115"/>
      <c r="DD3579" s="115"/>
      <c r="DE3579" s="115"/>
      <c r="DF3579" s="115"/>
      <c r="DG3579" s="115"/>
    </row>
    <row r="3580" spans="55:111" hidden="1">
      <c r="BC3580" s="115"/>
      <c r="BD3580" s="115"/>
      <c r="BE3580" s="115"/>
      <c r="BF3580" s="115"/>
      <c r="BG3580" s="115"/>
      <c r="BH3580" s="115"/>
      <c r="BI3580" s="115"/>
      <c r="BJ3580" s="115"/>
      <c r="BK3580" s="115"/>
      <c r="BL3580" s="115"/>
      <c r="BM3580" s="115"/>
      <c r="BN3580" s="115"/>
      <c r="BO3580" s="115"/>
      <c r="BP3580" s="115"/>
      <c r="BQ3580" s="115"/>
      <c r="BR3580" s="115"/>
      <c r="BS3580" s="115"/>
      <c r="BT3580" s="115"/>
      <c r="BU3580" s="115"/>
      <c r="BV3580" s="115"/>
      <c r="BW3580" s="115"/>
      <c r="BX3580" s="115"/>
      <c r="BY3580" s="115"/>
      <c r="BZ3580" s="115"/>
      <c r="CA3580" s="115"/>
      <c r="CB3580" s="115"/>
      <c r="CC3580" s="115"/>
      <c r="CD3580" s="115"/>
      <c r="CE3580" s="115"/>
      <c r="CF3580" s="115"/>
      <c r="CG3580" s="115"/>
      <c r="CH3580" s="115"/>
      <c r="CI3580" s="115"/>
      <c r="CJ3580" s="115"/>
      <c r="CK3580" s="115"/>
      <c r="CL3580" s="115"/>
      <c r="CM3580" s="115"/>
      <c r="CN3580" s="115"/>
      <c r="CO3580" s="115"/>
      <c r="CP3580" s="115"/>
      <c r="CQ3580" s="115"/>
      <c r="CR3580" s="115"/>
      <c r="CS3580" s="115"/>
      <c r="CT3580" s="115"/>
      <c r="CU3580" s="115"/>
      <c r="CV3580" s="115"/>
      <c r="CW3580" s="115"/>
      <c r="CX3580" s="115"/>
      <c r="CY3580" s="115"/>
      <c r="CZ3580" s="115"/>
      <c r="DA3580" s="115"/>
      <c r="DB3580" s="115"/>
      <c r="DC3580" s="115"/>
      <c r="DD3580" s="115"/>
      <c r="DE3580" s="115"/>
      <c r="DF3580" s="115"/>
      <c r="DG3580" s="115"/>
    </row>
    <row r="3581" spans="55:111" hidden="1">
      <c r="BC3581" s="115"/>
      <c r="BD3581" s="115"/>
      <c r="BE3581" s="115"/>
      <c r="BF3581" s="115"/>
      <c r="BG3581" s="115"/>
      <c r="BH3581" s="115"/>
      <c r="BI3581" s="115"/>
      <c r="BJ3581" s="115"/>
      <c r="BK3581" s="115"/>
      <c r="BL3581" s="115"/>
      <c r="BM3581" s="115"/>
      <c r="BN3581" s="115"/>
      <c r="BO3581" s="115"/>
      <c r="BP3581" s="115"/>
      <c r="BQ3581" s="115"/>
      <c r="BR3581" s="115"/>
      <c r="BS3581" s="115"/>
      <c r="BT3581" s="115"/>
      <c r="BU3581" s="115"/>
      <c r="BV3581" s="115"/>
      <c r="BW3581" s="115"/>
      <c r="BX3581" s="115"/>
      <c r="BY3581" s="115"/>
      <c r="BZ3581" s="115"/>
      <c r="CA3581" s="115"/>
      <c r="CB3581" s="115"/>
      <c r="CC3581" s="115"/>
      <c r="CD3581" s="115"/>
      <c r="CE3581" s="115"/>
      <c r="CF3581" s="115"/>
      <c r="CG3581" s="115"/>
      <c r="CH3581" s="115"/>
      <c r="CI3581" s="115"/>
      <c r="CJ3581" s="115"/>
      <c r="CK3581" s="115"/>
      <c r="CL3581" s="115"/>
      <c r="CM3581" s="115"/>
      <c r="CN3581" s="115"/>
      <c r="CO3581" s="115"/>
      <c r="CP3581" s="115"/>
      <c r="CQ3581" s="115"/>
      <c r="CR3581" s="115"/>
      <c r="CS3581" s="115"/>
      <c r="CT3581" s="115"/>
      <c r="CU3581" s="115"/>
      <c r="CV3581" s="115"/>
      <c r="CW3581" s="115"/>
      <c r="CX3581" s="115"/>
      <c r="CY3581" s="115"/>
      <c r="CZ3581" s="115"/>
      <c r="DA3581" s="115"/>
      <c r="DB3581" s="115"/>
      <c r="DC3581" s="115"/>
      <c r="DD3581" s="115"/>
      <c r="DE3581" s="115"/>
      <c r="DF3581" s="115"/>
      <c r="DG3581" s="115"/>
    </row>
    <row r="3582" spans="55:111" hidden="1">
      <c r="BC3582" s="115"/>
      <c r="BD3582" s="115"/>
      <c r="BE3582" s="115"/>
      <c r="BF3582" s="115"/>
      <c r="BG3582" s="115"/>
      <c r="BH3582" s="115"/>
      <c r="BI3582" s="115"/>
      <c r="BJ3582" s="115"/>
      <c r="BK3582" s="115"/>
      <c r="BL3582" s="115"/>
      <c r="BM3582" s="115"/>
      <c r="BN3582" s="115"/>
      <c r="BO3582" s="115"/>
      <c r="BP3582" s="115"/>
      <c r="BQ3582" s="115"/>
      <c r="BR3582" s="115"/>
      <c r="BS3582" s="115"/>
      <c r="BT3582" s="115"/>
      <c r="BU3582" s="115"/>
      <c r="BV3582" s="115"/>
      <c r="BW3582" s="115"/>
      <c r="BX3582" s="115"/>
      <c r="BY3582" s="115"/>
      <c r="BZ3582" s="115"/>
      <c r="CA3582" s="115"/>
      <c r="CB3582" s="115"/>
      <c r="CC3582" s="115"/>
      <c r="CD3582" s="115"/>
      <c r="CE3582" s="115"/>
      <c r="CF3582" s="115"/>
      <c r="CG3582" s="115"/>
      <c r="CH3582" s="115"/>
      <c r="CI3582" s="115"/>
      <c r="CJ3582" s="115"/>
      <c r="CK3582" s="115"/>
      <c r="CL3582" s="115"/>
      <c r="CM3582" s="115"/>
      <c r="CN3582" s="115"/>
      <c r="CO3582" s="115"/>
      <c r="CP3582" s="115"/>
      <c r="CQ3582" s="115"/>
      <c r="CR3582" s="115"/>
      <c r="CS3582" s="115"/>
      <c r="CT3582" s="115"/>
      <c r="CU3582" s="115"/>
      <c r="CV3582" s="115"/>
      <c r="CW3582" s="115"/>
      <c r="CX3582" s="115"/>
      <c r="CY3582" s="115"/>
      <c r="CZ3582" s="115"/>
      <c r="DA3582" s="115"/>
      <c r="DB3582" s="115"/>
      <c r="DC3582" s="115"/>
      <c r="DD3582" s="115"/>
      <c r="DE3582" s="115"/>
      <c r="DF3582" s="115"/>
      <c r="DG3582" s="115"/>
    </row>
    <row r="3583" spans="55:111" hidden="1">
      <c r="BC3583" s="115"/>
      <c r="BD3583" s="115"/>
      <c r="BE3583" s="115"/>
      <c r="BF3583" s="115"/>
      <c r="BG3583" s="115"/>
      <c r="BH3583" s="115"/>
      <c r="BI3583" s="115"/>
      <c r="BJ3583" s="115"/>
      <c r="BK3583" s="115"/>
      <c r="BL3583" s="115"/>
      <c r="BM3583" s="115"/>
      <c r="BN3583" s="115"/>
      <c r="BO3583" s="115"/>
      <c r="BP3583" s="115"/>
      <c r="BQ3583" s="115"/>
      <c r="BR3583" s="115"/>
      <c r="BS3583" s="115"/>
      <c r="BT3583" s="115"/>
      <c r="BU3583" s="115"/>
      <c r="BV3583" s="115"/>
      <c r="BW3583" s="115"/>
      <c r="BX3583" s="115"/>
      <c r="BY3583" s="115"/>
      <c r="BZ3583" s="115"/>
      <c r="CA3583" s="115"/>
      <c r="CB3583" s="115"/>
      <c r="CC3583" s="115"/>
      <c r="CD3583" s="115"/>
      <c r="CE3583" s="115"/>
      <c r="CF3583" s="115"/>
      <c r="CG3583" s="115"/>
      <c r="CH3583" s="115"/>
      <c r="CI3583" s="115"/>
      <c r="CJ3583" s="115"/>
      <c r="CK3583" s="115"/>
      <c r="CL3583" s="115"/>
      <c r="CM3583" s="115"/>
      <c r="CN3583" s="115"/>
      <c r="CO3583" s="115"/>
      <c r="CP3583" s="115"/>
      <c r="CQ3583" s="115"/>
      <c r="CR3583" s="115"/>
      <c r="CS3583" s="115"/>
      <c r="CT3583" s="115"/>
      <c r="CU3583" s="115"/>
      <c r="CV3583" s="115"/>
      <c r="CW3583" s="115"/>
      <c r="CX3583" s="115"/>
      <c r="CY3583" s="115"/>
      <c r="CZ3583" s="115"/>
      <c r="DA3583" s="115"/>
      <c r="DB3583" s="115"/>
      <c r="DC3583" s="115"/>
      <c r="DD3583" s="115"/>
      <c r="DE3583" s="115"/>
      <c r="DF3583" s="115"/>
      <c r="DG3583" s="115"/>
    </row>
    <row r="3584" spans="55:111" hidden="1">
      <c r="BC3584" s="115"/>
      <c r="BD3584" s="115"/>
      <c r="BE3584" s="115"/>
      <c r="BF3584" s="115"/>
      <c r="BG3584" s="115"/>
      <c r="BH3584" s="115"/>
      <c r="BI3584" s="115"/>
      <c r="BJ3584" s="115"/>
      <c r="BK3584" s="115"/>
      <c r="BL3584" s="115"/>
      <c r="BM3584" s="115"/>
      <c r="BN3584" s="115"/>
      <c r="BO3584" s="115"/>
      <c r="BP3584" s="115"/>
      <c r="BQ3584" s="115"/>
      <c r="BR3584" s="115"/>
      <c r="BS3584" s="115"/>
      <c r="BT3584" s="115"/>
      <c r="BU3584" s="115"/>
      <c r="BV3584" s="115"/>
      <c r="BW3584" s="115"/>
      <c r="BX3584" s="115"/>
      <c r="BY3584" s="115"/>
      <c r="BZ3584" s="115"/>
      <c r="CA3584" s="115"/>
      <c r="CB3584" s="115"/>
      <c r="CC3584" s="115"/>
      <c r="CD3584" s="115"/>
      <c r="CE3584" s="115"/>
      <c r="CF3584" s="115"/>
      <c r="CG3584" s="115"/>
      <c r="CH3584" s="115"/>
      <c r="CI3584" s="115"/>
      <c r="CJ3584" s="115"/>
      <c r="CK3584" s="115"/>
      <c r="CL3584" s="115"/>
      <c r="CM3584" s="115"/>
      <c r="CN3584" s="115"/>
      <c r="CO3584" s="115"/>
      <c r="CP3584" s="115"/>
      <c r="CQ3584" s="115"/>
      <c r="CR3584" s="115"/>
      <c r="CS3584" s="115"/>
      <c r="CT3584" s="115"/>
      <c r="CU3584" s="115"/>
      <c r="CV3584" s="115"/>
      <c r="CW3584" s="115"/>
      <c r="CX3584" s="115"/>
      <c r="CY3584" s="115"/>
      <c r="CZ3584" s="115"/>
      <c r="DA3584" s="115"/>
      <c r="DB3584" s="115"/>
      <c r="DC3584" s="115"/>
      <c r="DD3584" s="115"/>
      <c r="DE3584" s="115"/>
      <c r="DF3584" s="115"/>
      <c r="DG3584" s="115"/>
    </row>
    <row r="3585" spans="55:111" hidden="1">
      <c r="BC3585" s="115"/>
      <c r="BD3585" s="115"/>
      <c r="BE3585" s="115"/>
      <c r="BF3585" s="115"/>
      <c r="BG3585" s="115"/>
      <c r="BH3585" s="115"/>
      <c r="BI3585" s="115"/>
      <c r="BJ3585" s="115"/>
      <c r="BK3585" s="115"/>
      <c r="BL3585" s="115"/>
      <c r="BM3585" s="115"/>
      <c r="BN3585" s="115"/>
      <c r="BO3585" s="115"/>
      <c r="BP3585" s="115"/>
      <c r="BQ3585" s="115"/>
      <c r="BR3585" s="115"/>
      <c r="BS3585" s="115"/>
      <c r="BT3585" s="115"/>
      <c r="BU3585" s="115"/>
      <c r="BV3585" s="115"/>
      <c r="BW3585" s="115"/>
      <c r="BX3585" s="115"/>
      <c r="BY3585" s="115"/>
      <c r="BZ3585" s="115"/>
      <c r="CA3585" s="115"/>
      <c r="CB3585" s="115"/>
      <c r="CC3585" s="115"/>
      <c r="CD3585" s="115"/>
      <c r="CE3585" s="115"/>
      <c r="CF3585" s="115"/>
      <c r="CG3585" s="115"/>
      <c r="CH3585" s="115"/>
      <c r="CI3585" s="115"/>
      <c r="CJ3585" s="115"/>
      <c r="CK3585" s="115"/>
      <c r="CL3585" s="115"/>
      <c r="CM3585" s="115"/>
      <c r="CN3585" s="115"/>
      <c r="CO3585" s="115"/>
      <c r="CP3585" s="115"/>
      <c r="CQ3585" s="115"/>
      <c r="CR3585" s="115"/>
      <c r="CS3585" s="115"/>
      <c r="CT3585" s="115"/>
      <c r="CU3585" s="115"/>
      <c r="CV3585" s="115"/>
      <c r="CW3585" s="115"/>
      <c r="CX3585" s="115"/>
      <c r="CY3585" s="115"/>
      <c r="CZ3585" s="115"/>
      <c r="DA3585" s="115"/>
      <c r="DB3585" s="115"/>
      <c r="DC3585" s="115"/>
      <c r="DD3585" s="115"/>
      <c r="DE3585" s="115"/>
      <c r="DF3585" s="115"/>
      <c r="DG3585" s="115"/>
    </row>
    <row r="3586" spans="55:111" hidden="1">
      <c r="BC3586" s="115"/>
      <c r="BD3586" s="115"/>
      <c r="BE3586" s="115"/>
      <c r="BF3586" s="115"/>
      <c r="BG3586" s="115"/>
      <c r="BH3586" s="115"/>
      <c r="BI3586" s="115"/>
      <c r="BJ3586" s="115"/>
      <c r="BK3586" s="115"/>
      <c r="BL3586" s="115"/>
      <c r="BM3586" s="115"/>
      <c r="BN3586" s="115"/>
      <c r="BO3586" s="115"/>
      <c r="BP3586" s="115"/>
      <c r="BQ3586" s="115"/>
      <c r="BR3586" s="115"/>
      <c r="BS3586" s="115"/>
      <c r="BT3586" s="115"/>
      <c r="BU3586" s="115"/>
      <c r="BV3586" s="115"/>
      <c r="BW3586" s="115"/>
      <c r="BX3586" s="115"/>
      <c r="BY3586" s="115"/>
      <c r="BZ3586" s="115"/>
      <c r="CA3586" s="115"/>
      <c r="CB3586" s="115"/>
      <c r="CC3586" s="115"/>
      <c r="CD3586" s="115"/>
      <c r="CE3586" s="115"/>
      <c r="CF3586" s="115"/>
      <c r="CG3586" s="115"/>
      <c r="CH3586" s="115"/>
      <c r="CI3586" s="115"/>
      <c r="CJ3586" s="115"/>
      <c r="CK3586" s="115"/>
      <c r="CL3586" s="115"/>
      <c r="CM3586" s="115"/>
      <c r="CN3586" s="115"/>
      <c r="CO3586" s="115"/>
      <c r="CP3586" s="115"/>
      <c r="CQ3586" s="115"/>
      <c r="CR3586" s="115"/>
      <c r="CS3586" s="115"/>
      <c r="CT3586" s="115"/>
      <c r="CU3586" s="115"/>
      <c r="CV3586" s="115"/>
      <c r="CW3586" s="115"/>
      <c r="CX3586" s="115"/>
      <c r="CY3586" s="115"/>
      <c r="CZ3586" s="115"/>
      <c r="DA3586" s="115"/>
      <c r="DB3586" s="115"/>
      <c r="DC3586" s="115"/>
      <c r="DD3586" s="115"/>
      <c r="DE3586" s="115"/>
      <c r="DF3586" s="115"/>
      <c r="DG3586" s="115"/>
    </row>
    <row r="3587" spans="55:111" hidden="1">
      <c r="BC3587" s="115"/>
      <c r="BD3587" s="115"/>
      <c r="BE3587" s="115"/>
      <c r="BF3587" s="115"/>
      <c r="BG3587" s="115"/>
      <c r="BH3587" s="115"/>
      <c r="BI3587" s="115"/>
      <c r="BJ3587" s="115"/>
      <c r="BK3587" s="115"/>
      <c r="BL3587" s="115"/>
      <c r="BM3587" s="115"/>
      <c r="BN3587" s="115"/>
      <c r="BO3587" s="115"/>
      <c r="BP3587" s="115"/>
      <c r="BQ3587" s="115"/>
      <c r="BR3587" s="115"/>
      <c r="BS3587" s="115"/>
      <c r="BT3587" s="115"/>
      <c r="BU3587" s="115"/>
      <c r="BV3587" s="115"/>
      <c r="BW3587" s="115"/>
      <c r="BX3587" s="115"/>
      <c r="BY3587" s="115"/>
      <c r="BZ3587" s="115"/>
      <c r="CA3587" s="115"/>
      <c r="CB3587" s="115"/>
      <c r="CC3587" s="115"/>
      <c r="CD3587" s="115"/>
      <c r="CE3587" s="115"/>
      <c r="CF3587" s="115"/>
      <c r="CG3587" s="115"/>
      <c r="CH3587" s="115"/>
      <c r="CI3587" s="115"/>
      <c r="CJ3587" s="115"/>
      <c r="CK3587" s="115"/>
      <c r="CL3587" s="115"/>
      <c r="CM3587" s="115"/>
      <c r="CN3587" s="115"/>
      <c r="CO3587" s="115"/>
      <c r="CP3587" s="115"/>
      <c r="CQ3587" s="115"/>
      <c r="CR3587" s="115"/>
      <c r="CS3587" s="115"/>
      <c r="CT3587" s="115"/>
      <c r="CU3587" s="115"/>
      <c r="CV3587" s="115"/>
      <c r="CW3587" s="115"/>
      <c r="CX3587" s="115"/>
      <c r="CY3587" s="115"/>
      <c r="CZ3587" s="115"/>
      <c r="DA3587" s="115"/>
      <c r="DB3587" s="115"/>
      <c r="DC3587" s="115"/>
      <c r="DD3587" s="115"/>
      <c r="DE3587" s="115"/>
      <c r="DF3587" s="115"/>
      <c r="DG3587" s="115"/>
    </row>
    <row r="3588" spans="55:111" hidden="1">
      <c r="BC3588" s="115"/>
      <c r="BD3588" s="115"/>
      <c r="BE3588" s="115"/>
      <c r="BF3588" s="115"/>
      <c r="BG3588" s="115"/>
      <c r="BH3588" s="115"/>
      <c r="BI3588" s="115"/>
      <c r="BJ3588" s="115"/>
      <c r="BK3588" s="115"/>
      <c r="BL3588" s="115"/>
      <c r="BM3588" s="115"/>
      <c r="BN3588" s="115"/>
      <c r="BO3588" s="115"/>
      <c r="BP3588" s="115"/>
      <c r="BQ3588" s="115"/>
      <c r="BR3588" s="115"/>
      <c r="BS3588" s="115"/>
      <c r="BT3588" s="115"/>
      <c r="BU3588" s="115"/>
      <c r="BV3588" s="115"/>
      <c r="BW3588" s="115"/>
      <c r="BX3588" s="115"/>
      <c r="BY3588" s="115"/>
      <c r="BZ3588" s="115"/>
      <c r="CA3588" s="115"/>
      <c r="CB3588" s="115"/>
      <c r="CC3588" s="115"/>
      <c r="CD3588" s="115"/>
      <c r="CE3588" s="115"/>
      <c r="CF3588" s="115"/>
      <c r="CG3588" s="115"/>
      <c r="CH3588" s="115"/>
      <c r="CI3588" s="115"/>
      <c r="CJ3588" s="115"/>
      <c r="CK3588" s="115"/>
      <c r="CL3588" s="115"/>
      <c r="CM3588" s="115"/>
      <c r="CN3588" s="115"/>
      <c r="CO3588" s="115"/>
      <c r="CP3588" s="115"/>
      <c r="CQ3588" s="115"/>
      <c r="CR3588" s="115"/>
      <c r="CS3588" s="115"/>
      <c r="CT3588" s="115"/>
      <c r="CU3588" s="115"/>
      <c r="CV3588" s="115"/>
      <c r="CW3588" s="115"/>
      <c r="CX3588" s="115"/>
      <c r="CY3588" s="115"/>
      <c r="CZ3588" s="115"/>
      <c r="DA3588" s="115"/>
      <c r="DB3588" s="115"/>
      <c r="DC3588" s="115"/>
      <c r="DD3588" s="115"/>
      <c r="DE3588" s="115"/>
      <c r="DF3588" s="115"/>
      <c r="DG3588" s="115"/>
    </row>
    <row r="3589" spans="55:111" hidden="1">
      <c r="BC3589" s="115"/>
      <c r="BD3589" s="115"/>
      <c r="BE3589" s="115"/>
      <c r="BF3589" s="115"/>
      <c r="BG3589" s="115"/>
      <c r="BH3589" s="115"/>
      <c r="BI3589" s="115"/>
      <c r="BJ3589" s="115"/>
      <c r="BK3589" s="115"/>
      <c r="BL3589" s="115"/>
      <c r="BM3589" s="115"/>
      <c r="BN3589" s="115"/>
      <c r="BO3589" s="115"/>
      <c r="BP3589" s="115"/>
      <c r="BQ3589" s="115"/>
      <c r="BR3589" s="115"/>
      <c r="BS3589" s="115"/>
      <c r="BT3589" s="115"/>
      <c r="BU3589" s="115"/>
      <c r="BV3589" s="115"/>
      <c r="BW3589" s="115"/>
      <c r="BX3589" s="115"/>
      <c r="BY3589" s="115"/>
      <c r="BZ3589" s="115"/>
      <c r="CA3589" s="115"/>
      <c r="CB3589" s="115"/>
      <c r="CC3589" s="115"/>
      <c r="CD3589" s="115"/>
      <c r="CE3589" s="115"/>
      <c r="CF3589" s="115"/>
      <c r="CG3589" s="115"/>
      <c r="CH3589" s="115"/>
      <c r="CI3589" s="115"/>
      <c r="CJ3589" s="115"/>
      <c r="CK3589" s="115"/>
      <c r="CL3589" s="115"/>
      <c r="CM3589" s="115"/>
      <c r="CN3589" s="115"/>
      <c r="CO3589" s="115"/>
      <c r="CP3589" s="115"/>
      <c r="CQ3589" s="115"/>
      <c r="CR3589" s="115"/>
      <c r="CS3589" s="115"/>
      <c r="CT3589" s="115"/>
      <c r="CU3589" s="115"/>
      <c r="CV3589" s="115"/>
      <c r="CW3589" s="115"/>
      <c r="CX3589" s="115"/>
      <c r="CY3589" s="115"/>
      <c r="CZ3589" s="115"/>
      <c r="DA3589" s="115"/>
      <c r="DB3589" s="115"/>
      <c r="DC3589" s="115"/>
      <c r="DD3589" s="115"/>
      <c r="DE3589" s="115"/>
      <c r="DF3589" s="115"/>
      <c r="DG3589" s="115"/>
    </row>
    <row r="3590" spans="55:111" hidden="1">
      <c r="BC3590" s="115"/>
      <c r="BD3590" s="115"/>
      <c r="BE3590" s="115"/>
      <c r="BF3590" s="115"/>
      <c r="BG3590" s="115"/>
      <c r="BH3590" s="115"/>
      <c r="BI3590" s="115"/>
      <c r="BJ3590" s="115"/>
      <c r="BK3590" s="115"/>
      <c r="BL3590" s="115"/>
      <c r="BM3590" s="115"/>
      <c r="BN3590" s="115"/>
      <c r="BO3590" s="115"/>
      <c r="BP3590" s="115"/>
      <c r="BQ3590" s="115"/>
      <c r="BR3590" s="115"/>
      <c r="BS3590" s="115"/>
      <c r="BT3590" s="115"/>
      <c r="BU3590" s="115"/>
      <c r="BV3590" s="115"/>
      <c r="BW3590" s="115"/>
      <c r="BX3590" s="115"/>
      <c r="BY3590" s="115"/>
      <c r="BZ3590" s="115"/>
      <c r="CA3590" s="115"/>
      <c r="CB3590" s="115"/>
      <c r="CC3590" s="115"/>
      <c r="CD3590" s="115"/>
      <c r="CE3590" s="115"/>
      <c r="CF3590" s="115"/>
      <c r="CG3590" s="115"/>
      <c r="CH3590" s="115"/>
      <c r="CI3590" s="115"/>
      <c r="CJ3590" s="115"/>
      <c r="CK3590" s="115"/>
      <c r="CL3590" s="115"/>
      <c r="CM3590" s="115"/>
      <c r="CN3590" s="115"/>
      <c r="CO3590" s="115"/>
      <c r="CP3590" s="115"/>
      <c r="CQ3590" s="115"/>
      <c r="CR3590" s="115"/>
      <c r="CS3590" s="115"/>
      <c r="CT3590" s="115"/>
      <c r="CU3590" s="115"/>
      <c r="CV3590" s="115"/>
      <c r="CW3590" s="115"/>
      <c r="CX3590" s="115"/>
      <c r="CY3590" s="115"/>
      <c r="CZ3590" s="115"/>
      <c r="DA3590" s="115"/>
      <c r="DB3590" s="115"/>
      <c r="DC3590" s="115"/>
      <c r="DD3590" s="115"/>
      <c r="DE3590" s="115"/>
      <c r="DF3590" s="115"/>
      <c r="DG3590" s="115"/>
    </row>
    <row r="3591" spans="55:111" hidden="1">
      <c r="BC3591" s="115"/>
      <c r="BD3591" s="115"/>
      <c r="BE3591" s="115"/>
      <c r="BF3591" s="115"/>
      <c r="BG3591" s="115"/>
      <c r="BH3591" s="115"/>
      <c r="BI3591" s="115"/>
      <c r="BJ3591" s="115"/>
      <c r="BK3591" s="115"/>
      <c r="BL3591" s="115"/>
      <c r="BM3591" s="115"/>
      <c r="BN3591" s="115"/>
      <c r="BO3591" s="115"/>
      <c r="BP3591" s="115"/>
      <c r="BQ3591" s="115"/>
      <c r="BR3591" s="115"/>
      <c r="BS3591" s="115"/>
      <c r="BT3591" s="115"/>
      <c r="BU3591" s="115"/>
      <c r="BV3591" s="115"/>
      <c r="BW3591" s="115"/>
      <c r="BX3591" s="115"/>
      <c r="BY3591" s="115"/>
      <c r="BZ3591" s="115"/>
      <c r="CA3591" s="115"/>
      <c r="CB3591" s="115"/>
      <c r="CC3591" s="115"/>
      <c r="CD3591" s="115"/>
      <c r="CE3591" s="115"/>
      <c r="CF3591" s="115"/>
      <c r="CG3591" s="115"/>
      <c r="CH3591" s="115"/>
      <c r="CI3591" s="115"/>
      <c r="CJ3591" s="115"/>
      <c r="CK3591" s="115"/>
      <c r="CL3591" s="115"/>
      <c r="CM3591" s="115"/>
      <c r="CN3591" s="115"/>
      <c r="CO3591" s="115"/>
      <c r="CP3591" s="115"/>
      <c r="CQ3591" s="115"/>
      <c r="CR3591" s="115"/>
      <c r="CS3591" s="115"/>
      <c r="CT3591" s="115"/>
      <c r="CU3591" s="115"/>
      <c r="CV3591" s="115"/>
      <c r="CW3591" s="115"/>
      <c r="CX3591" s="115"/>
      <c r="CY3591" s="115"/>
      <c r="CZ3591" s="115"/>
      <c r="DA3591" s="115"/>
      <c r="DB3591" s="115"/>
      <c r="DC3591" s="115"/>
      <c r="DD3591" s="115"/>
      <c r="DE3591" s="115"/>
      <c r="DF3591" s="115"/>
      <c r="DG3591" s="115"/>
    </row>
    <row r="3592" spans="55:111" hidden="1">
      <c r="BC3592" s="115"/>
      <c r="BD3592" s="115"/>
      <c r="BE3592" s="115"/>
      <c r="BF3592" s="115"/>
      <c r="BG3592" s="115"/>
      <c r="BH3592" s="115"/>
      <c r="BI3592" s="115"/>
      <c r="BJ3592" s="115"/>
      <c r="BK3592" s="115"/>
      <c r="BL3592" s="115"/>
      <c r="BM3592" s="115"/>
      <c r="BN3592" s="115"/>
      <c r="BO3592" s="115"/>
      <c r="BP3592" s="115"/>
      <c r="BQ3592" s="115"/>
      <c r="BR3592" s="115"/>
      <c r="BS3592" s="115"/>
      <c r="BT3592" s="115"/>
      <c r="BU3592" s="115"/>
      <c r="BV3592" s="115"/>
      <c r="BW3592" s="115"/>
      <c r="BX3592" s="115"/>
      <c r="BY3592" s="115"/>
      <c r="BZ3592" s="115"/>
      <c r="CA3592" s="115"/>
      <c r="CB3592" s="115"/>
      <c r="CC3592" s="115"/>
      <c r="CD3592" s="115"/>
      <c r="CE3592" s="115"/>
      <c r="CF3592" s="115"/>
      <c r="CG3592" s="115"/>
      <c r="CH3592" s="115"/>
      <c r="CI3592" s="115"/>
      <c r="CJ3592" s="115"/>
      <c r="CK3592" s="115"/>
      <c r="CL3592" s="115"/>
      <c r="CM3592" s="115"/>
      <c r="CN3592" s="115"/>
      <c r="CO3592" s="115"/>
      <c r="CP3592" s="115"/>
      <c r="CQ3592" s="115"/>
      <c r="CR3592" s="115"/>
      <c r="CS3592" s="115"/>
      <c r="CT3592" s="115"/>
      <c r="CU3592" s="115"/>
      <c r="CV3592" s="115"/>
      <c r="CW3592" s="115"/>
      <c r="CX3592" s="115"/>
      <c r="CY3592" s="115"/>
      <c r="CZ3592" s="115"/>
      <c r="DA3592" s="115"/>
      <c r="DB3592" s="115"/>
      <c r="DC3592" s="115"/>
      <c r="DD3592" s="115"/>
      <c r="DE3592" s="115"/>
      <c r="DF3592" s="115"/>
      <c r="DG3592" s="115"/>
    </row>
    <row r="3593" spans="55:111" hidden="1">
      <c r="BC3593" s="115"/>
      <c r="BD3593" s="115"/>
      <c r="BE3593" s="115"/>
      <c r="BF3593" s="115"/>
      <c r="BG3593" s="115"/>
      <c r="BH3593" s="115"/>
      <c r="BI3593" s="115"/>
      <c r="BJ3593" s="115"/>
      <c r="BK3593" s="115"/>
      <c r="BL3593" s="115"/>
      <c r="BM3593" s="115"/>
      <c r="BN3593" s="115"/>
      <c r="BO3593" s="115"/>
      <c r="BP3593" s="115"/>
      <c r="BQ3593" s="115"/>
      <c r="BR3593" s="115"/>
      <c r="BS3593" s="115"/>
      <c r="BT3593" s="115"/>
      <c r="BU3593" s="115"/>
      <c r="BV3593" s="115"/>
      <c r="BW3593" s="115"/>
      <c r="BX3593" s="115"/>
      <c r="BY3593" s="115"/>
      <c r="BZ3593" s="115"/>
      <c r="CA3593" s="115"/>
      <c r="CB3593" s="115"/>
      <c r="CC3593" s="115"/>
      <c r="CD3593" s="115"/>
      <c r="CE3593" s="115"/>
      <c r="CF3593" s="115"/>
      <c r="CG3593" s="115"/>
      <c r="CH3593" s="115"/>
      <c r="CI3593" s="115"/>
      <c r="CJ3593" s="115"/>
      <c r="CK3593" s="115"/>
      <c r="CL3593" s="115"/>
      <c r="CM3593" s="115"/>
      <c r="CN3593" s="115"/>
      <c r="CO3593" s="115"/>
      <c r="CP3593" s="115"/>
      <c r="CQ3593" s="115"/>
      <c r="CR3593" s="115"/>
      <c r="CS3593" s="115"/>
      <c r="CT3593" s="115"/>
      <c r="CU3593" s="115"/>
      <c r="CV3593" s="115"/>
      <c r="CW3593" s="115"/>
      <c r="CX3593" s="115"/>
      <c r="CY3593" s="115"/>
      <c r="CZ3593" s="115"/>
      <c r="DA3593" s="115"/>
      <c r="DB3593" s="115"/>
      <c r="DC3593" s="115"/>
      <c r="DD3593" s="115"/>
      <c r="DE3593" s="115"/>
      <c r="DF3593" s="115"/>
      <c r="DG3593" s="115"/>
    </row>
    <row r="3594" spans="55:111" hidden="1">
      <c r="BC3594" s="115"/>
      <c r="BD3594" s="115"/>
      <c r="BE3594" s="115"/>
      <c r="BF3594" s="115"/>
      <c r="BG3594" s="115"/>
      <c r="BH3594" s="115"/>
      <c r="BI3594" s="115"/>
      <c r="BJ3594" s="115"/>
      <c r="BK3594" s="115"/>
      <c r="BL3594" s="115"/>
      <c r="BM3594" s="115"/>
      <c r="BN3594" s="115"/>
      <c r="BO3594" s="115"/>
      <c r="BP3594" s="115"/>
      <c r="BQ3594" s="115"/>
      <c r="BR3594" s="115"/>
      <c r="BS3594" s="115"/>
      <c r="BT3594" s="115"/>
      <c r="BU3594" s="115"/>
      <c r="BV3594" s="115"/>
      <c r="BW3594" s="115"/>
      <c r="BX3594" s="115"/>
      <c r="BY3594" s="115"/>
      <c r="BZ3594" s="115"/>
      <c r="CA3594" s="115"/>
      <c r="CB3594" s="115"/>
      <c r="CC3594" s="115"/>
      <c r="CD3594" s="115"/>
      <c r="CE3594" s="115"/>
      <c r="CF3594" s="115"/>
      <c r="CG3594" s="115"/>
      <c r="CH3594" s="115"/>
      <c r="CI3594" s="115"/>
      <c r="CJ3594" s="115"/>
      <c r="CK3594" s="115"/>
      <c r="CL3594" s="115"/>
      <c r="CM3594" s="115"/>
      <c r="CN3594" s="115"/>
      <c r="CO3594" s="115"/>
      <c r="CP3594" s="115"/>
      <c r="CQ3594" s="115"/>
      <c r="CR3594" s="115"/>
      <c r="CS3594" s="115"/>
      <c r="CT3594" s="115"/>
      <c r="CU3594" s="115"/>
      <c r="CV3594" s="115"/>
      <c r="CW3594" s="115"/>
      <c r="CX3594" s="115"/>
      <c r="CY3594" s="115"/>
      <c r="CZ3594" s="115"/>
      <c r="DA3594" s="115"/>
      <c r="DB3594" s="115"/>
      <c r="DC3594" s="115"/>
      <c r="DD3594" s="115"/>
      <c r="DE3594" s="115"/>
      <c r="DF3594" s="115"/>
      <c r="DG3594" s="115"/>
    </row>
    <row r="3595" spans="55:111" hidden="1">
      <c r="BC3595" s="115"/>
      <c r="BD3595" s="115"/>
      <c r="BE3595" s="115"/>
      <c r="BF3595" s="115"/>
      <c r="BG3595" s="115"/>
      <c r="BH3595" s="115"/>
      <c r="BI3595" s="115"/>
      <c r="BJ3595" s="115"/>
      <c r="BK3595" s="115"/>
      <c r="BL3595" s="115"/>
      <c r="BM3595" s="115"/>
      <c r="BN3595" s="115"/>
      <c r="BO3595" s="115"/>
      <c r="BP3595" s="115"/>
      <c r="BQ3595" s="115"/>
      <c r="BR3595" s="115"/>
      <c r="BS3595" s="115"/>
      <c r="BT3595" s="115"/>
      <c r="BU3595" s="115"/>
      <c r="BV3595" s="115"/>
      <c r="BW3595" s="115"/>
      <c r="BX3595" s="115"/>
      <c r="BY3595" s="115"/>
      <c r="BZ3595" s="115"/>
      <c r="CA3595" s="115"/>
      <c r="CB3595" s="115"/>
      <c r="CC3595" s="115"/>
      <c r="CD3595" s="115"/>
      <c r="CE3595" s="115"/>
      <c r="CF3595" s="115"/>
      <c r="CG3595" s="115"/>
      <c r="CH3595" s="115"/>
      <c r="CI3595" s="115"/>
      <c r="CJ3595" s="115"/>
      <c r="CK3595" s="115"/>
      <c r="CL3595" s="115"/>
      <c r="CM3595" s="115"/>
      <c r="CN3595" s="115"/>
      <c r="CO3595" s="115"/>
      <c r="CP3595" s="115"/>
      <c r="CQ3595" s="115"/>
      <c r="CR3595" s="115"/>
      <c r="CS3595" s="115"/>
      <c r="CT3595" s="115"/>
      <c r="CU3595" s="115"/>
      <c r="CV3595" s="115"/>
      <c r="CW3595" s="115"/>
      <c r="CX3595" s="115"/>
      <c r="CY3595" s="115"/>
      <c r="CZ3595" s="115"/>
      <c r="DA3595" s="115"/>
      <c r="DB3595" s="115"/>
      <c r="DC3595" s="115"/>
      <c r="DD3595" s="115"/>
      <c r="DE3595" s="115"/>
      <c r="DF3595" s="115"/>
      <c r="DG3595" s="115"/>
    </row>
    <row r="3596" spans="55:111" hidden="1">
      <c r="BC3596" s="115"/>
      <c r="BD3596" s="115"/>
      <c r="BE3596" s="115"/>
      <c r="BF3596" s="115"/>
      <c r="BG3596" s="115"/>
      <c r="BH3596" s="115"/>
      <c r="BI3596" s="115"/>
      <c r="BJ3596" s="115"/>
      <c r="BK3596" s="115"/>
      <c r="BL3596" s="115"/>
      <c r="BM3596" s="115"/>
      <c r="BN3596" s="115"/>
      <c r="BO3596" s="115"/>
      <c r="BP3596" s="115"/>
      <c r="BQ3596" s="115"/>
      <c r="BR3596" s="115"/>
      <c r="BS3596" s="115"/>
      <c r="BT3596" s="115"/>
      <c r="BU3596" s="115"/>
      <c r="BV3596" s="115"/>
      <c r="BW3596" s="115"/>
      <c r="BX3596" s="115"/>
      <c r="BY3596" s="115"/>
      <c r="BZ3596" s="115"/>
      <c r="CA3596" s="115"/>
      <c r="CB3596" s="115"/>
      <c r="CC3596" s="115"/>
      <c r="CD3596" s="115"/>
      <c r="CE3596" s="115"/>
      <c r="CF3596" s="115"/>
      <c r="CG3596" s="115"/>
      <c r="CH3596" s="115"/>
      <c r="CI3596" s="115"/>
      <c r="CJ3596" s="115"/>
      <c r="CK3596" s="115"/>
      <c r="CL3596" s="115"/>
      <c r="CM3596" s="115"/>
      <c r="CN3596" s="115"/>
      <c r="CO3596" s="115"/>
      <c r="CP3596" s="115"/>
      <c r="CQ3596" s="115"/>
      <c r="CR3596" s="115"/>
      <c r="CS3596" s="115"/>
      <c r="CT3596" s="115"/>
      <c r="CU3596" s="115"/>
      <c r="CV3596" s="115"/>
      <c r="CW3596" s="115"/>
      <c r="CX3596" s="115"/>
      <c r="CY3596" s="115"/>
      <c r="CZ3596" s="115"/>
      <c r="DA3596" s="115"/>
      <c r="DB3596" s="115"/>
      <c r="DC3596" s="115"/>
      <c r="DD3596" s="115"/>
      <c r="DE3596" s="115"/>
      <c r="DF3596" s="115"/>
      <c r="DG3596" s="115"/>
    </row>
    <row r="3597" spans="55:111" hidden="1">
      <c r="BC3597" s="115"/>
      <c r="BD3597" s="115"/>
      <c r="BE3597" s="115"/>
      <c r="BF3597" s="115"/>
      <c r="BG3597" s="115"/>
      <c r="BH3597" s="115"/>
      <c r="BI3597" s="115"/>
      <c r="BJ3597" s="115"/>
      <c r="BK3597" s="115"/>
      <c r="BL3597" s="115"/>
      <c r="BM3597" s="115"/>
      <c r="BN3597" s="115"/>
      <c r="BO3597" s="115"/>
      <c r="BP3597" s="115"/>
      <c r="BQ3597" s="115"/>
      <c r="BR3597" s="115"/>
      <c r="BS3597" s="115"/>
      <c r="BT3597" s="115"/>
      <c r="BU3597" s="115"/>
      <c r="BV3597" s="115"/>
      <c r="BW3597" s="115"/>
      <c r="BX3597" s="115"/>
      <c r="BY3597" s="115"/>
      <c r="BZ3597" s="115"/>
      <c r="CA3597" s="115"/>
      <c r="CB3597" s="115"/>
      <c r="CC3597" s="115"/>
      <c r="CD3597" s="115"/>
      <c r="CE3597" s="115"/>
      <c r="CF3597" s="115"/>
      <c r="CG3597" s="115"/>
      <c r="CH3597" s="115"/>
      <c r="CI3597" s="115"/>
      <c r="CJ3597" s="115"/>
      <c r="CK3597" s="115"/>
      <c r="CL3597" s="115"/>
      <c r="CM3597" s="115"/>
      <c r="CN3597" s="115"/>
      <c r="CO3597" s="115"/>
      <c r="CP3597" s="115"/>
      <c r="CQ3597" s="115"/>
      <c r="CR3597" s="115"/>
      <c r="CS3597" s="115"/>
      <c r="CT3597" s="115"/>
      <c r="CU3597" s="115"/>
      <c r="CV3597" s="115"/>
      <c r="CW3597" s="115"/>
      <c r="CX3597" s="115"/>
      <c r="CY3597" s="115"/>
      <c r="CZ3597" s="115"/>
      <c r="DA3597" s="115"/>
      <c r="DB3597" s="115"/>
      <c r="DC3597" s="115"/>
      <c r="DD3597" s="115"/>
      <c r="DE3597" s="115"/>
      <c r="DF3597" s="115"/>
      <c r="DG3597" s="115"/>
    </row>
    <row r="3598" spans="55:111" hidden="1">
      <c r="BC3598" s="115"/>
      <c r="BD3598" s="115"/>
      <c r="BE3598" s="115"/>
      <c r="BF3598" s="115"/>
      <c r="BG3598" s="115"/>
      <c r="BH3598" s="115"/>
      <c r="BI3598" s="115"/>
      <c r="BJ3598" s="115"/>
      <c r="BK3598" s="115"/>
      <c r="BL3598" s="115"/>
      <c r="BM3598" s="115"/>
      <c r="BN3598" s="115"/>
      <c r="BO3598" s="115"/>
      <c r="BP3598" s="115"/>
      <c r="BQ3598" s="115"/>
      <c r="BR3598" s="115"/>
      <c r="BS3598" s="115"/>
      <c r="BT3598" s="115"/>
      <c r="BU3598" s="115"/>
      <c r="BV3598" s="115"/>
      <c r="BW3598" s="115"/>
      <c r="BX3598" s="115"/>
      <c r="BY3598" s="115"/>
      <c r="BZ3598" s="115"/>
      <c r="CA3598" s="115"/>
      <c r="CB3598" s="115"/>
      <c r="CC3598" s="115"/>
      <c r="CD3598" s="115"/>
      <c r="CE3598" s="115"/>
      <c r="CF3598" s="115"/>
      <c r="CG3598" s="115"/>
      <c r="CH3598" s="115"/>
      <c r="CI3598" s="115"/>
      <c r="CJ3598" s="115"/>
      <c r="CK3598" s="115"/>
      <c r="CL3598" s="115"/>
      <c r="CM3598" s="115"/>
      <c r="CN3598" s="115"/>
      <c r="CO3598" s="115"/>
      <c r="CP3598" s="115"/>
      <c r="CQ3598" s="115"/>
      <c r="CR3598" s="115"/>
      <c r="CS3598" s="115"/>
      <c r="CT3598" s="115"/>
      <c r="CU3598" s="115"/>
      <c r="CV3598" s="115"/>
      <c r="CW3598" s="115"/>
      <c r="CX3598" s="115"/>
      <c r="CY3598" s="115"/>
      <c r="CZ3598" s="115"/>
      <c r="DA3598" s="115"/>
      <c r="DB3598" s="115"/>
      <c r="DC3598" s="115"/>
      <c r="DD3598" s="115"/>
      <c r="DE3598" s="115"/>
      <c r="DF3598" s="115"/>
      <c r="DG3598" s="115"/>
    </row>
    <row r="3599" spans="55:111" hidden="1">
      <c r="BC3599" s="115"/>
      <c r="BD3599" s="115"/>
      <c r="BE3599" s="115"/>
      <c r="BF3599" s="115"/>
      <c r="BG3599" s="115"/>
      <c r="BH3599" s="115"/>
      <c r="BI3599" s="115"/>
      <c r="BJ3599" s="115"/>
      <c r="BK3599" s="115"/>
      <c r="BL3599" s="115"/>
      <c r="BM3599" s="115"/>
      <c r="BN3599" s="115"/>
      <c r="BO3599" s="115"/>
      <c r="BP3599" s="115"/>
      <c r="BQ3599" s="115"/>
      <c r="BR3599" s="115"/>
      <c r="BS3599" s="115"/>
      <c r="BT3599" s="115"/>
      <c r="BU3599" s="115"/>
      <c r="BV3599" s="115"/>
      <c r="BW3599" s="115"/>
      <c r="BX3599" s="115"/>
      <c r="BY3599" s="115"/>
      <c r="BZ3599" s="115"/>
      <c r="CA3599" s="115"/>
      <c r="CB3599" s="115"/>
      <c r="CC3599" s="115"/>
      <c r="CD3599" s="115"/>
      <c r="CE3599" s="115"/>
      <c r="CF3599" s="115"/>
      <c r="CG3599" s="115"/>
      <c r="CH3599" s="115"/>
      <c r="CI3599" s="115"/>
      <c r="CJ3599" s="115"/>
      <c r="CK3599" s="115"/>
      <c r="CL3599" s="115"/>
      <c r="CM3599" s="115"/>
      <c r="CN3599" s="115"/>
      <c r="CO3599" s="115"/>
      <c r="CP3599" s="115"/>
      <c r="CQ3599" s="115"/>
      <c r="CR3599" s="115"/>
      <c r="CS3599" s="115"/>
      <c r="CT3599" s="115"/>
      <c r="CU3599" s="115"/>
      <c r="CV3599" s="115"/>
      <c r="CW3599" s="115"/>
      <c r="CX3599" s="115"/>
      <c r="CY3599" s="115"/>
      <c r="CZ3599" s="115"/>
      <c r="DA3599" s="115"/>
      <c r="DB3599" s="115"/>
      <c r="DC3599" s="115"/>
      <c r="DD3599" s="115"/>
      <c r="DE3599" s="115"/>
      <c r="DF3599" s="115"/>
      <c r="DG3599" s="115"/>
    </row>
    <row r="3600" spans="55:111" hidden="1">
      <c r="BC3600" s="115"/>
      <c r="BD3600" s="115"/>
      <c r="BE3600" s="115"/>
      <c r="BF3600" s="115"/>
      <c r="BG3600" s="115"/>
      <c r="BH3600" s="115"/>
      <c r="BI3600" s="115"/>
      <c r="BJ3600" s="115"/>
      <c r="BK3600" s="115"/>
      <c r="BL3600" s="115"/>
      <c r="BM3600" s="115"/>
      <c r="BN3600" s="115"/>
      <c r="BO3600" s="115"/>
      <c r="BP3600" s="115"/>
      <c r="BQ3600" s="115"/>
      <c r="BR3600" s="115"/>
      <c r="BS3600" s="115"/>
      <c r="BT3600" s="115"/>
      <c r="BU3600" s="115"/>
      <c r="BV3600" s="115"/>
      <c r="BW3600" s="115"/>
      <c r="BX3600" s="115"/>
      <c r="BY3600" s="115"/>
      <c r="BZ3600" s="115"/>
      <c r="CA3600" s="115"/>
      <c r="CB3600" s="115"/>
      <c r="CC3600" s="115"/>
      <c r="CD3600" s="115"/>
      <c r="CE3600" s="115"/>
      <c r="CF3600" s="115"/>
      <c r="CG3600" s="115"/>
      <c r="CH3600" s="115"/>
      <c r="CI3600" s="115"/>
      <c r="CJ3600" s="115"/>
      <c r="CK3600" s="115"/>
      <c r="CL3600" s="115"/>
      <c r="CM3600" s="115"/>
      <c r="CN3600" s="115"/>
      <c r="CO3600" s="115"/>
      <c r="CP3600" s="115"/>
      <c r="CQ3600" s="115"/>
      <c r="CR3600" s="115"/>
      <c r="CS3600" s="115"/>
      <c r="CT3600" s="115"/>
      <c r="CU3600" s="115"/>
      <c r="CV3600" s="115"/>
      <c r="CW3600" s="115"/>
      <c r="CX3600" s="115"/>
      <c r="CY3600" s="115"/>
      <c r="CZ3600" s="115"/>
      <c r="DA3600" s="115"/>
      <c r="DB3600" s="115"/>
      <c r="DC3600" s="115"/>
      <c r="DD3600" s="115"/>
      <c r="DE3600" s="115"/>
      <c r="DF3600" s="115"/>
      <c r="DG3600" s="115"/>
    </row>
    <row r="3601" spans="55:111" hidden="1">
      <c r="BC3601" s="115"/>
      <c r="BD3601" s="115"/>
      <c r="BE3601" s="115"/>
      <c r="BF3601" s="115"/>
      <c r="BG3601" s="115"/>
      <c r="BH3601" s="115"/>
      <c r="BI3601" s="115"/>
      <c r="BJ3601" s="115"/>
      <c r="BK3601" s="115"/>
      <c r="BL3601" s="115"/>
      <c r="BM3601" s="115"/>
      <c r="BN3601" s="115"/>
      <c r="BO3601" s="115"/>
      <c r="BP3601" s="115"/>
      <c r="BQ3601" s="115"/>
      <c r="BR3601" s="115"/>
      <c r="BS3601" s="115"/>
      <c r="BT3601" s="115"/>
      <c r="BU3601" s="115"/>
      <c r="BV3601" s="115"/>
      <c r="BW3601" s="115"/>
      <c r="BX3601" s="115"/>
      <c r="BY3601" s="115"/>
      <c r="BZ3601" s="115"/>
      <c r="CA3601" s="115"/>
      <c r="CB3601" s="115"/>
      <c r="CC3601" s="115"/>
      <c r="CD3601" s="115"/>
      <c r="CE3601" s="115"/>
      <c r="CF3601" s="115"/>
      <c r="CG3601" s="115"/>
      <c r="CH3601" s="115"/>
      <c r="CI3601" s="115"/>
      <c r="CJ3601" s="115"/>
      <c r="CK3601" s="115"/>
      <c r="CL3601" s="115"/>
      <c r="CM3601" s="115"/>
      <c r="CN3601" s="115"/>
      <c r="CO3601" s="115"/>
      <c r="CP3601" s="115"/>
      <c r="CQ3601" s="115"/>
      <c r="CR3601" s="115"/>
      <c r="CS3601" s="115"/>
      <c r="CT3601" s="115"/>
      <c r="CU3601" s="115"/>
      <c r="CV3601" s="115"/>
      <c r="CW3601" s="115"/>
      <c r="CX3601" s="115"/>
      <c r="CY3601" s="115"/>
      <c r="CZ3601" s="115"/>
      <c r="DA3601" s="115"/>
      <c r="DB3601" s="115"/>
      <c r="DC3601" s="115"/>
      <c r="DD3601" s="115"/>
      <c r="DE3601" s="115"/>
      <c r="DF3601" s="115"/>
      <c r="DG3601" s="115"/>
    </row>
    <row r="3602" spans="55:111" hidden="1">
      <c r="BC3602" s="115"/>
      <c r="BD3602" s="115"/>
      <c r="BE3602" s="115"/>
      <c r="BF3602" s="115"/>
      <c r="BG3602" s="115"/>
      <c r="BH3602" s="115"/>
      <c r="BI3602" s="115"/>
      <c r="BJ3602" s="115"/>
      <c r="BK3602" s="115"/>
      <c r="BL3602" s="115"/>
      <c r="BM3602" s="115"/>
      <c r="BN3602" s="115"/>
      <c r="BO3602" s="115"/>
      <c r="BP3602" s="115"/>
      <c r="BQ3602" s="115"/>
      <c r="BR3602" s="115"/>
      <c r="BS3602" s="115"/>
      <c r="BT3602" s="115"/>
      <c r="BU3602" s="115"/>
      <c r="BV3602" s="115"/>
      <c r="BW3602" s="115"/>
      <c r="BX3602" s="115"/>
      <c r="BY3602" s="115"/>
      <c r="BZ3602" s="115"/>
      <c r="CA3602" s="115"/>
      <c r="CB3602" s="115"/>
      <c r="CC3602" s="115"/>
      <c r="CD3602" s="115"/>
      <c r="CE3602" s="115"/>
      <c r="CF3602" s="115"/>
      <c r="CG3602" s="115"/>
      <c r="CH3602" s="115"/>
      <c r="CI3602" s="115"/>
      <c r="CJ3602" s="115"/>
      <c r="CK3602" s="115"/>
      <c r="CL3602" s="115"/>
      <c r="CM3602" s="115"/>
      <c r="CN3602" s="115"/>
      <c r="CO3602" s="115"/>
      <c r="CP3602" s="115"/>
      <c r="CQ3602" s="115"/>
      <c r="CR3602" s="115"/>
      <c r="CS3602" s="115"/>
      <c r="CT3602" s="115"/>
      <c r="CU3602" s="115"/>
      <c r="CV3602" s="115"/>
      <c r="CW3602" s="115"/>
      <c r="CX3602" s="115"/>
      <c r="CY3602" s="115"/>
      <c r="CZ3602" s="115"/>
      <c r="DA3602" s="115"/>
      <c r="DB3602" s="115"/>
      <c r="DC3602" s="115"/>
      <c r="DD3602" s="115"/>
      <c r="DE3602" s="115"/>
      <c r="DF3602" s="115"/>
      <c r="DG3602" s="115"/>
    </row>
    <row r="3603" spans="55:111" hidden="1">
      <c r="BC3603" s="115"/>
      <c r="BD3603" s="115"/>
      <c r="BE3603" s="115"/>
      <c r="BF3603" s="115"/>
      <c r="BG3603" s="115"/>
      <c r="BH3603" s="115"/>
      <c r="BI3603" s="115"/>
      <c r="BJ3603" s="115"/>
      <c r="BK3603" s="115"/>
      <c r="BL3603" s="115"/>
      <c r="BM3603" s="115"/>
      <c r="BN3603" s="115"/>
      <c r="BO3603" s="115"/>
      <c r="BP3603" s="115"/>
      <c r="BQ3603" s="115"/>
      <c r="BR3603" s="115"/>
      <c r="BS3603" s="115"/>
      <c r="BT3603" s="115"/>
      <c r="BU3603" s="115"/>
      <c r="BV3603" s="115"/>
      <c r="BW3603" s="115"/>
      <c r="BX3603" s="115"/>
      <c r="BY3603" s="115"/>
      <c r="BZ3603" s="115"/>
      <c r="CA3603" s="115"/>
      <c r="CB3603" s="115"/>
      <c r="CC3603" s="115"/>
      <c r="CD3603" s="115"/>
      <c r="CE3603" s="115"/>
      <c r="CF3603" s="115"/>
      <c r="CG3603" s="115"/>
      <c r="CH3603" s="115"/>
      <c r="CI3603" s="115"/>
      <c r="CJ3603" s="115"/>
      <c r="CK3603" s="115"/>
      <c r="CL3603" s="115"/>
      <c r="CM3603" s="115"/>
      <c r="CN3603" s="115"/>
      <c r="CO3603" s="115"/>
      <c r="CP3603" s="115"/>
      <c r="CQ3603" s="115"/>
      <c r="CR3603" s="115"/>
      <c r="CS3603" s="115"/>
      <c r="CT3603" s="115"/>
      <c r="CU3603" s="115"/>
      <c r="CV3603" s="115"/>
      <c r="CW3603" s="115"/>
      <c r="CX3603" s="115"/>
      <c r="CY3603" s="115"/>
      <c r="CZ3603" s="115"/>
      <c r="DA3603" s="115"/>
      <c r="DB3603" s="115"/>
      <c r="DC3603" s="115"/>
      <c r="DD3603" s="115"/>
      <c r="DE3603" s="115"/>
      <c r="DF3603" s="115"/>
      <c r="DG3603" s="115"/>
    </row>
    <row r="3604" spans="55:111" hidden="1">
      <c r="BC3604" s="115"/>
      <c r="BD3604" s="115"/>
      <c r="BE3604" s="115"/>
      <c r="BF3604" s="115"/>
      <c r="BG3604" s="115"/>
      <c r="BH3604" s="115"/>
      <c r="BI3604" s="115"/>
      <c r="BJ3604" s="115"/>
      <c r="BK3604" s="115"/>
      <c r="BL3604" s="115"/>
      <c r="BM3604" s="115"/>
      <c r="BN3604" s="115"/>
      <c r="BO3604" s="115"/>
      <c r="BP3604" s="115"/>
      <c r="BQ3604" s="115"/>
      <c r="BR3604" s="115"/>
      <c r="BS3604" s="115"/>
      <c r="BT3604" s="115"/>
      <c r="BU3604" s="115"/>
      <c r="BV3604" s="115"/>
      <c r="BW3604" s="115"/>
      <c r="BX3604" s="115"/>
      <c r="BY3604" s="115"/>
      <c r="BZ3604" s="115"/>
      <c r="CA3604" s="115"/>
      <c r="CB3604" s="115"/>
      <c r="CC3604" s="115"/>
      <c r="CD3604" s="115"/>
      <c r="CE3604" s="115"/>
      <c r="CF3604" s="115"/>
      <c r="CG3604" s="115"/>
      <c r="CH3604" s="115"/>
      <c r="CI3604" s="115"/>
      <c r="CJ3604" s="115"/>
      <c r="CK3604" s="115"/>
      <c r="CL3604" s="115"/>
      <c r="CM3604" s="115"/>
      <c r="CN3604" s="115"/>
      <c r="CO3604" s="115"/>
      <c r="CP3604" s="115"/>
      <c r="CQ3604" s="115"/>
      <c r="CR3604" s="115"/>
      <c r="CS3604" s="115"/>
      <c r="CT3604" s="115"/>
      <c r="CU3604" s="115"/>
      <c r="CV3604" s="115"/>
      <c r="CW3604" s="115"/>
      <c r="CX3604" s="115"/>
      <c r="CY3604" s="115"/>
      <c r="CZ3604" s="115"/>
      <c r="DA3604" s="115"/>
      <c r="DB3604" s="115"/>
      <c r="DC3604" s="115"/>
      <c r="DD3604" s="115"/>
      <c r="DE3604" s="115"/>
      <c r="DF3604" s="115"/>
      <c r="DG3604" s="115"/>
    </row>
    <row r="3605" spans="55:111" hidden="1">
      <c r="BC3605" s="115"/>
      <c r="BD3605" s="115"/>
      <c r="BE3605" s="115"/>
      <c r="BF3605" s="115"/>
      <c r="BG3605" s="115"/>
      <c r="BH3605" s="115"/>
      <c r="BI3605" s="115"/>
      <c r="BJ3605" s="115"/>
      <c r="BK3605" s="115"/>
      <c r="BL3605" s="115"/>
      <c r="BM3605" s="115"/>
      <c r="BN3605" s="115"/>
      <c r="BO3605" s="115"/>
      <c r="BP3605" s="115"/>
      <c r="BQ3605" s="115"/>
      <c r="BR3605" s="115"/>
      <c r="BS3605" s="115"/>
      <c r="BT3605" s="115"/>
      <c r="BU3605" s="115"/>
      <c r="BV3605" s="115"/>
      <c r="BW3605" s="115"/>
      <c r="BX3605" s="115"/>
      <c r="BY3605" s="115"/>
      <c r="BZ3605" s="115"/>
      <c r="CA3605" s="115"/>
      <c r="CB3605" s="115"/>
      <c r="CC3605" s="115"/>
      <c r="CD3605" s="115"/>
      <c r="CE3605" s="115"/>
      <c r="CF3605" s="115"/>
      <c r="CG3605" s="115"/>
      <c r="CH3605" s="115"/>
      <c r="CI3605" s="115"/>
      <c r="CJ3605" s="115"/>
      <c r="CK3605" s="115"/>
      <c r="CL3605" s="115"/>
      <c r="CM3605" s="115"/>
      <c r="CN3605" s="115"/>
      <c r="CO3605" s="115"/>
      <c r="CP3605" s="115"/>
      <c r="CQ3605" s="115"/>
      <c r="CR3605" s="115"/>
      <c r="CS3605" s="115"/>
      <c r="CT3605" s="115"/>
      <c r="CU3605" s="115"/>
      <c r="CV3605" s="115"/>
      <c r="CW3605" s="115"/>
      <c r="CX3605" s="115"/>
      <c r="CY3605" s="115"/>
      <c r="CZ3605" s="115"/>
      <c r="DA3605" s="115"/>
      <c r="DB3605" s="115"/>
      <c r="DC3605" s="115"/>
      <c r="DD3605" s="115"/>
      <c r="DE3605" s="115"/>
      <c r="DF3605" s="115"/>
      <c r="DG3605" s="115"/>
    </row>
    <row r="3606" spans="55:111" hidden="1">
      <c r="BC3606" s="115"/>
      <c r="BD3606" s="115"/>
      <c r="BE3606" s="115"/>
      <c r="BF3606" s="115"/>
      <c r="BG3606" s="115"/>
      <c r="BH3606" s="115"/>
      <c r="BI3606" s="115"/>
      <c r="BJ3606" s="115"/>
      <c r="BK3606" s="115"/>
      <c r="BL3606" s="115"/>
      <c r="BM3606" s="115"/>
      <c r="BN3606" s="115"/>
      <c r="BO3606" s="115"/>
      <c r="BP3606" s="115"/>
      <c r="BQ3606" s="115"/>
      <c r="BR3606" s="115"/>
      <c r="BS3606" s="115"/>
      <c r="BT3606" s="115"/>
      <c r="BU3606" s="115"/>
      <c r="BV3606" s="115"/>
      <c r="BW3606" s="115"/>
      <c r="BX3606" s="115"/>
      <c r="BY3606" s="115"/>
      <c r="BZ3606" s="115"/>
      <c r="CA3606" s="115"/>
      <c r="CB3606" s="115"/>
      <c r="CC3606" s="115"/>
      <c r="CD3606" s="115"/>
      <c r="CE3606" s="115"/>
      <c r="CF3606" s="115"/>
      <c r="CG3606" s="115"/>
      <c r="CH3606" s="115"/>
      <c r="CI3606" s="115"/>
      <c r="CJ3606" s="115"/>
      <c r="CK3606" s="115"/>
      <c r="CL3606" s="115"/>
      <c r="CM3606" s="115"/>
      <c r="CN3606" s="115"/>
      <c r="CO3606" s="115"/>
      <c r="CP3606" s="115"/>
      <c r="CQ3606" s="115"/>
      <c r="CR3606" s="115"/>
      <c r="CS3606" s="115"/>
      <c r="CT3606" s="115"/>
      <c r="CU3606" s="115"/>
      <c r="CV3606" s="115"/>
      <c r="CW3606" s="115"/>
      <c r="CX3606" s="115"/>
      <c r="CY3606" s="115"/>
      <c r="CZ3606" s="115"/>
      <c r="DA3606" s="115"/>
      <c r="DB3606" s="115"/>
      <c r="DC3606" s="115"/>
      <c r="DD3606" s="115"/>
      <c r="DE3606" s="115"/>
      <c r="DF3606" s="115"/>
      <c r="DG3606" s="115"/>
    </row>
    <row r="3607" spans="55:111" hidden="1">
      <c r="BC3607" s="115"/>
      <c r="BD3607" s="115"/>
      <c r="BE3607" s="115"/>
      <c r="BF3607" s="115"/>
      <c r="BG3607" s="115"/>
      <c r="BH3607" s="115"/>
      <c r="BI3607" s="115"/>
      <c r="BJ3607" s="115"/>
      <c r="BK3607" s="115"/>
      <c r="BL3607" s="115"/>
      <c r="BM3607" s="115"/>
      <c r="BN3607" s="115"/>
      <c r="BO3607" s="115"/>
      <c r="BP3607" s="115"/>
      <c r="BQ3607" s="115"/>
      <c r="BR3607" s="115"/>
      <c r="BS3607" s="115"/>
      <c r="BT3607" s="115"/>
      <c r="BU3607" s="115"/>
      <c r="BV3607" s="115"/>
      <c r="BW3607" s="115"/>
      <c r="BX3607" s="115"/>
      <c r="BY3607" s="115"/>
      <c r="BZ3607" s="115"/>
      <c r="CA3607" s="115"/>
      <c r="CB3607" s="115"/>
      <c r="CC3607" s="115"/>
      <c r="CD3607" s="115"/>
      <c r="CE3607" s="115"/>
      <c r="CF3607" s="115"/>
      <c r="CG3607" s="115"/>
      <c r="CH3607" s="115"/>
      <c r="CI3607" s="115"/>
      <c r="CJ3607" s="115"/>
      <c r="CK3607" s="115"/>
      <c r="CL3607" s="115"/>
      <c r="CM3607" s="115"/>
      <c r="CN3607" s="115"/>
      <c r="CO3607" s="115"/>
      <c r="CP3607" s="115"/>
      <c r="CQ3607" s="115"/>
      <c r="CR3607" s="115"/>
      <c r="CS3607" s="115"/>
      <c r="CT3607" s="115"/>
      <c r="CU3607" s="115"/>
      <c r="CV3607" s="115"/>
      <c r="CW3607" s="115"/>
      <c r="CX3607" s="115"/>
      <c r="CY3607" s="115"/>
      <c r="CZ3607" s="115"/>
      <c r="DA3607" s="115"/>
      <c r="DB3607" s="115"/>
      <c r="DC3607" s="115"/>
      <c r="DD3607" s="115"/>
      <c r="DE3607" s="115"/>
      <c r="DF3607" s="115"/>
      <c r="DG3607" s="115"/>
    </row>
    <row r="3608" spans="55:111" hidden="1">
      <c r="BC3608" s="115"/>
      <c r="BD3608" s="115"/>
      <c r="BE3608" s="115"/>
      <c r="BF3608" s="115"/>
      <c r="BG3608" s="115"/>
      <c r="BH3608" s="115"/>
      <c r="BI3608" s="115"/>
      <c r="BJ3608" s="115"/>
      <c r="BK3608" s="115"/>
      <c r="BL3608" s="115"/>
      <c r="BM3608" s="115"/>
      <c r="BN3608" s="115"/>
      <c r="BO3608" s="115"/>
      <c r="BP3608" s="115"/>
      <c r="BQ3608" s="115"/>
      <c r="BR3608" s="115"/>
      <c r="BS3608" s="115"/>
      <c r="BT3608" s="115"/>
      <c r="BU3608" s="115"/>
      <c r="BV3608" s="115"/>
      <c r="BW3608" s="115"/>
      <c r="BX3608" s="115"/>
      <c r="BY3608" s="115"/>
      <c r="BZ3608" s="115"/>
      <c r="CA3608" s="115"/>
      <c r="CB3608" s="115"/>
      <c r="CC3608" s="115"/>
      <c r="CD3608" s="115"/>
      <c r="CE3608" s="115"/>
      <c r="CF3608" s="115"/>
      <c r="CG3608" s="115"/>
      <c r="CH3608" s="115"/>
      <c r="CI3608" s="115"/>
      <c r="CJ3608" s="115"/>
      <c r="CK3608" s="115"/>
      <c r="CL3608" s="115"/>
      <c r="CM3608" s="115"/>
      <c r="CN3608" s="115"/>
      <c r="CO3608" s="115"/>
      <c r="CP3608" s="115"/>
      <c r="CQ3608" s="115"/>
      <c r="CR3608" s="115"/>
      <c r="CS3608" s="115"/>
      <c r="CT3608" s="115"/>
      <c r="CU3608" s="115"/>
      <c r="CV3608" s="115"/>
      <c r="CW3608" s="115"/>
      <c r="CX3608" s="115"/>
      <c r="CY3608" s="115"/>
      <c r="CZ3608" s="115"/>
      <c r="DA3608" s="115"/>
      <c r="DB3608" s="115"/>
      <c r="DC3608" s="115"/>
      <c r="DD3608" s="115"/>
      <c r="DE3608" s="115"/>
      <c r="DF3608" s="115"/>
      <c r="DG3608" s="115"/>
    </row>
    <row r="3609" spans="55:111" hidden="1">
      <c r="BC3609" s="115"/>
      <c r="BD3609" s="115"/>
      <c r="BE3609" s="115"/>
      <c r="BF3609" s="115"/>
      <c r="BG3609" s="115"/>
      <c r="BH3609" s="115"/>
      <c r="BI3609" s="115"/>
      <c r="BJ3609" s="115"/>
      <c r="BK3609" s="115"/>
      <c r="BL3609" s="115"/>
      <c r="BM3609" s="115"/>
      <c r="BN3609" s="115"/>
      <c r="BO3609" s="115"/>
      <c r="BP3609" s="115"/>
      <c r="BQ3609" s="115"/>
      <c r="BR3609" s="115"/>
      <c r="BS3609" s="115"/>
      <c r="BT3609" s="115"/>
      <c r="BU3609" s="115"/>
      <c r="BV3609" s="115"/>
      <c r="BW3609" s="115"/>
      <c r="BX3609" s="115"/>
      <c r="BY3609" s="115"/>
      <c r="BZ3609" s="115"/>
      <c r="CA3609" s="115"/>
      <c r="CB3609" s="115"/>
      <c r="CC3609" s="115"/>
      <c r="CD3609" s="115"/>
      <c r="CE3609" s="115"/>
      <c r="CF3609" s="115"/>
      <c r="CG3609" s="115"/>
      <c r="CH3609" s="115"/>
      <c r="CI3609" s="115"/>
      <c r="CJ3609" s="115"/>
      <c r="CK3609" s="115"/>
      <c r="CL3609" s="115"/>
      <c r="CM3609" s="115"/>
      <c r="CN3609" s="115"/>
      <c r="CO3609" s="115"/>
      <c r="CP3609" s="115"/>
      <c r="CQ3609" s="115"/>
      <c r="CR3609" s="115"/>
      <c r="CS3609" s="115"/>
      <c r="CT3609" s="115"/>
      <c r="CU3609" s="115"/>
      <c r="CV3609" s="115"/>
      <c r="CW3609" s="115"/>
      <c r="CX3609" s="115"/>
      <c r="CY3609" s="115"/>
      <c r="CZ3609" s="115"/>
      <c r="DA3609" s="115"/>
      <c r="DB3609" s="115"/>
      <c r="DC3609" s="115"/>
      <c r="DD3609" s="115"/>
      <c r="DE3609" s="115"/>
      <c r="DF3609" s="115"/>
      <c r="DG3609" s="115"/>
    </row>
    <row r="3610" spans="55:111" hidden="1">
      <c r="BC3610" s="115"/>
      <c r="BD3610" s="115"/>
      <c r="BE3610" s="115"/>
      <c r="BF3610" s="115"/>
      <c r="BG3610" s="115"/>
      <c r="BH3610" s="115"/>
      <c r="BI3610" s="115"/>
      <c r="BJ3610" s="115"/>
      <c r="BK3610" s="115"/>
      <c r="BL3610" s="115"/>
      <c r="BM3610" s="115"/>
      <c r="BN3610" s="115"/>
      <c r="BO3610" s="115"/>
      <c r="BP3610" s="115"/>
      <c r="BQ3610" s="115"/>
      <c r="BR3610" s="115"/>
      <c r="BS3610" s="115"/>
      <c r="BT3610" s="115"/>
      <c r="BU3610" s="115"/>
      <c r="BV3610" s="115"/>
      <c r="BW3610" s="115"/>
      <c r="BX3610" s="115"/>
      <c r="BY3610" s="115"/>
      <c r="BZ3610" s="115"/>
      <c r="CA3610" s="115"/>
      <c r="CB3610" s="115"/>
      <c r="CC3610" s="115"/>
      <c r="CD3610" s="115"/>
      <c r="CE3610" s="115"/>
      <c r="CF3610" s="115"/>
      <c r="CG3610" s="115"/>
      <c r="CH3610" s="115"/>
      <c r="CI3610" s="115"/>
      <c r="CJ3610" s="115"/>
      <c r="CK3610" s="115"/>
      <c r="CL3610" s="115"/>
      <c r="CM3610" s="115"/>
      <c r="CN3610" s="115"/>
      <c r="CO3610" s="115"/>
      <c r="CP3610" s="115"/>
      <c r="CQ3610" s="115"/>
      <c r="CR3610" s="115"/>
      <c r="CS3610" s="115"/>
      <c r="CT3610" s="115"/>
      <c r="CU3610" s="115"/>
      <c r="CV3610" s="115"/>
      <c r="CW3610" s="115"/>
      <c r="CX3610" s="115"/>
      <c r="CY3610" s="115"/>
      <c r="CZ3610" s="115"/>
      <c r="DA3610" s="115"/>
      <c r="DB3610" s="115"/>
      <c r="DC3610" s="115"/>
      <c r="DD3610" s="115"/>
      <c r="DE3610" s="115"/>
      <c r="DF3610" s="115"/>
      <c r="DG3610" s="115"/>
    </row>
    <row r="3611" spans="55:111" hidden="1">
      <c r="BC3611" s="115"/>
      <c r="BD3611" s="115"/>
      <c r="BE3611" s="115"/>
      <c r="BF3611" s="115"/>
      <c r="BG3611" s="115"/>
      <c r="BH3611" s="115"/>
      <c r="BI3611" s="115"/>
      <c r="BJ3611" s="115"/>
      <c r="BK3611" s="115"/>
      <c r="BL3611" s="115"/>
      <c r="BM3611" s="115"/>
      <c r="BN3611" s="115"/>
      <c r="BO3611" s="115"/>
      <c r="BP3611" s="115"/>
      <c r="BQ3611" s="115"/>
      <c r="BR3611" s="115"/>
      <c r="BS3611" s="115"/>
      <c r="BT3611" s="115"/>
      <c r="BU3611" s="115"/>
      <c r="BV3611" s="115"/>
      <c r="BW3611" s="115"/>
      <c r="BX3611" s="115"/>
      <c r="BY3611" s="115"/>
      <c r="BZ3611" s="115"/>
      <c r="CA3611" s="115"/>
      <c r="CB3611" s="115"/>
      <c r="CC3611" s="115"/>
      <c r="CD3611" s="115"/>
      <c r="CE3611" s="115"/>
      <c r="CF3611" s="115"/>
      <c r="CG3611" s="115"/>
      <c r="CH3611" s="115"/>
      <c r="CI3611" s="115"/>
      <c r="CJ3611" s="115"/>
      <c r="CK3611" s="115"/>
      <c r="CL3611" s="115"/>
      <c r="CM3611" s="115"/>
      <c r="CN3611" s="115"/>
      <c r="CO3611" s="115"/>
      <c r="CP3611" s="115"/>
      <c r="CQ3611" s="115"/>
      <c r="CR3611" s="115"/>
      <c r="CS3611" s="115"/>
      <c r="CT3611" s="115"/>
      <c r="CU3611" s="115"/>
      <c r="CV3611" s="115"/>
      <c r="CW3611" s="115"/>
      <c r="CX3611" s="115"/>
      <c r="CY3611" s="115"/>
      <c r="CZ3611" s="115"/>
      <c r="DA3611" s="115"/>
      <c r="DB3611" s="115"/>
      <c r="DC3611" s="115"/>
      <c r="DD3611" s="115"/>
      <c r="DE3611" s="115"/>
      <c r="DF3611" s="115"/>
      <c r="DG3611" s="115"/>
    </row>
    <row r="3612" spans="55:111" hidden="1">
      <c r="BC3612" s="115"/>
      <c r="BD3612" s="115"/>
      <c r="BE3612" s="115"/>
      <c r="BF3612" s="115"/>
      <c r="BG3612" s="115"/>
      <c r="BH3612" s="115"/>
      <c r="BI3612" s="115"/>
      <c r="BJ3612" s="115"/>
      <c r="BK3612" s="115"/>
      <c r="BL3612" s="115"/>
      <c r="BM3612" s="115"/>
      <c r="BN3612" s="115"/>
      <c r="BO3612" s="115"/>
      <c r="BP3612" s="115"/>
      <c r="BQ3612" s="115"/>
      <c r="BR3612" s="115"/>
      <c r="BS3612" s="115"/>
      <c r="BT3612" s="115"/>
      <c r="BU3612" s="115"/>
      <c r="BV3612" s="115"/>
      <c r="BW3612" s="115"/>
      <c r="BX3612" s="115"/>
      <c r="BY3612" s="115"/>
      <c r="BZ3612" s="115"/>
      <c r="CA3612" s="115"/>
      <c r="CB3612" s="115"/>
      <c r="CC3612" s="115"/>
      <c r="CD3612" s="115"/>
      <c r="CE3612" s="115"/>
      <c r="CF3612" s="115"/>
      <c r="CG3612" s="115"/>
      <c r="CH3612" s="115"/>
      <c r="CI3612" s="115"/>
      <c r="CJ3612" s="115"/>
      <c r="CK3612" s="115"/>
      <c r="CL3612" s="115"/>
      <c r="CM3612" s="115"/>
      <c r="CN3612" s="115"/>
      <c r="CO3612" s="115"/>
      <c r="CP3612" s="115"/>
      <c r="CQ3612" s="115"/>
      <c r="CR3612" s="115"/>
      <c r="CS3612" s="115"/>
      <c r="CT3612" s="115"/>
      <c r="CU3612" s="115"/>
      <c r="CV3612" s="115"/>
      <c r="CW3612" s="115"/>
      <c r="CX3612" s="115"/>
      <c r="CY3612" s="115"/>
      <c r="CZ3612" s="115"/>
      <c r="DA3612" s="115"/>
      <c r="DB3612" s="115"/>
      <c r="DC3612" s="115"/>
      <c r="DD3612" s="115"/>
      <c r="DE3612" s="115"/>
      <c r="DF3612" s="115"/>
      <c r="DG3612" s="115"/>
    </row>
    <row r="3613" spans="55:111" hidden="1">
      <c r="BC3613" s="115"/>
      <c r="BD3613" s="115"/>
      <c r="BE3613" s="115"/>
      <c r="BF3613" s="115"/>
      <c r="BG3613" s="115"/>
      <c r="BH3613" s="115"/>
      <c r="BI3613" s="115"/>
      <c r="BJ3613" s="115"/>
      <c r="BK3613" s="115"/>
      <c r="BL3613" s="115"/>
      <c r="BM3613" s="115"/>
      <c r="BN3613" s="115"/>
      <c r="BO3613" s="115"/>
      <c r="BP3613" s="115"/>
      <c r="BQ3613" s="115"/>
      <c r="BR3613" s="115"/>
      <c r="BS3613" s="115"/>
      <c r="BT3613" s="115"/>
      <c r="BU3613" s="115"/>
      <c r="BV3613" s="115"/>
      <c r="BW3613" s="115"/>
      <c r="BX3613" s="115"/>
      <c r="BY3613" s="115"/>
      <c r="BZ3613" s="115"/>
      <c r="CA3613" s="115"/>
      <c r="CB3613" s="115"/>
      <c r="CC3613" s="115"/>
      <c r="CD3613" s="115"/>
      <c r="CE3613" s="115"/>
      <c r="CF3613" s="115"/>
      <c r="CG3613" s="115"/>
      <c r="CH3613" s="115"/>
      <c r="CI3613" s="115"/>
      <c r="CJ3613" s="115"/>
      <c r="CK3613" s="115"/>
      <c r="CL3613" s="115"/>
      <c r="CM3613" s="115"/>
      <c r="CN3613" s="115"/>
      <c r="CO3613" s="115"/>
      <c r="CP3613" s="115"/>
      <c r="CQ3613" s="115"/>
      <c r="CR3613" s="115"/>
      <c r="CS3613" s="115"/>
      <c r="CT3613" s="115"/>
      <c r="CU3613" s="115"/>
      <c r="CV3613" s="115"/>
      <c r="CW3613" s="115"/>
      <c r="CX3613" s="115"/>
      <c r="CY3613" s="115"/>
      <c r="CZ3613" s="115"/>
      <c r="DA3613" s="115"/>
      <c r="DB3613" s="115"/>
      <c r="DC3613" s="115"/>
      <c r="DD3613" s="115"/>
      <c r="DE3613" s="115"/>
      <c r="DF3613" s="115"/>
      <c r="DG3613" s="115"/>
    </row>
    <row r="3614" spans="55:111" hidden="1">
      <c r="BC3614" s="115"/>
      <c r="BD3614" s="115"/>
      <c r="BE3614" s="115"/>
      <c r="BF3614" s="115"/>
      <c r="BG3614" s="115"/>
      <c r="BH3614" s="115"/>
      <c r="BI3614" s="115"/>
      <c r="BJ3614" s="115"/>
      <c r="BK3614" s="115"/>
      <c r="BL3614" s="115"/>
      <c r="BM3614" s="115"/>
      <c r="BN3614" s="115"/>
      <c r="BO3614" s="115"/>
      <c r="BP3614" s="115"/>
      <c r="BQ3614" s="115"/>
      <c r="BR3614" s="115"/>
      <c r="BS3614" s="115"/>
      <c r="BT3614" s="115"/>
      <c r="BU3614" s="115"/>
      <c r="BV3614" s="115"/>
      <c r="BW3614" s="115"/>
      <c r="BX3614" s="115"/>
      <c r="BY3614" s="115"/>
      <c r="BZ3614" s="115"/>
      <c r="CA3614" s="115"/>
      <c r="CB3614" s="115"/>
      <c r="CC3614" s="115"/>
      <c r="CD3614" s="115"/>
      <c r="CE3614" s="115"/>
      <c r="CF3614" s="115"/>
      <c r="CG3614" s="115"/>
      <c r="CH3614" s="115"/>
      <c r="CI3614" s="115"/>
      <c r="CJ3614" s="115"/>
      <c r="CK3614" s="115"/>
      <c r="CL3614" s="115"/>
      <c r="CM3614" s="115"/>
      <c r="CN3614" s="115"/>
      <c r="CO3614" s="115"/>
      <c r="CP3614" s="115"/>
      <c r="CQ3614" s="115"/>
      <c r="CR3614" s="115"/>
      <c r="CS3614" s="115"/>
      <c r="CT3614" s="115"/>
      <c r="CU3614" s="115"/>
      <c r="CV3614" s="115"/>
      <c r="CW3614" s="115"/>
      <c r="CX3614" s="115"/>
      <c r="CY3614" s="115"/>
      <c r="CZ3614" s="115"/>
      <c r="DA3614" s="115"/>
      <c r="DB3614" s="115"/>
      <c r="DC3614" s="115"/>
      <c r="DD3614" s="115"/>
      <c r="DE3614" s="115"/>
      <c r="DF3614" s="115"/>
      <c r="DG3614" s="115"/>
    </row>
    <row r="3615" spans="55:111" hidden="1">
      <c r="BC3615" s="115"/>
      <c r="BD3615" s="115"/>
      <c r="BE3615" s="115"/>
      <c r="BF3615" s="115"/>
      <c r="BG3615" s="115"/>
      <c r="BH3615" s="115"/>
      <c r="BI3615" s="115"/>
      <c r="BJ3615" s="115"/>
      <c r="BK3615" s="115"/>
      <c r="BL3615" s="115"/>
      <c r="BM3615" s="115"/>
      <c r="BN3615" s="115"/>
      <c r="BO3615" s="115"/>
      <c r="BP3615" s="115"/>
      <c r="BQ3615" s="115"/>
      <c r="BR3615" s="115"/>
      <c r="BS3615" s="115"/>
      <c r="BT3615" s="115"/>
      <c r="BU3615" s="115"/>
      <c r="BV3615" s="115"/>
      <c r="BW3615" s="115"/>
      <c r="BX3615" s="115"/>
      <c r="BY3615" s="115"/>
      <c r="BZ3615" s="115"/>
      <c r="CA3615" s="115"/>
      <c r="CB3615" s="115"/>
      <c r="CC3615" s="115"/>
      <c r="CD3615" s="115"/>
      <c r="CE3615" s="115"/>
      <c r="CF3615" s="115"/>
      <c r="CG3615" s="115"/>
      <c r="CH3615" s="115"/>
      <c r="CI3615" s="115"/>
      <c r="CJ3615" s="115"/>
      <c r="CK3615" s="115"/>
      <c r="CL3615" s="115"/>
      <c r="CM3615" s="115"/>
      <c r="CN3615" s="115"/>
      <c r="CO3615" s="115"/>
      <c r="CP3615" s="115"/>
      <c r="CQ3615" s="115"/>
      <c r="CR3615" s="115"/>
      <c r="CS3615" s="115"/>
      <c r="CT3615" s="115"/>
      <c r="CU3615" s="115"/>
      <c r="CV3615" s="115"/>
      <c r="CW3615" s="115"/>
      <c r="CX3615" s="115"/>
      <c r="CY3615" s="115"/>
      <c r="CZ3615" s="115"/>
      <c r="DA3615" s="115"/>
      <c r="DB3615" s="115"/>
      <c r="DC3615" s="115"/>
      <c r="DD3615" s="115"/>
      <c r="DE3615" s="115"/>
      <c r="DF3615" s="115"/>
      <c r="DG3615" s="115"/>
    </row>
    <row r="3616" spans="55:111" hidden="1">
      <c r="BC3616" s="115"/>
      <c r="BD3616" s="115"/>
      <c r="BE3616" s="115"/>
      <c r="BF3616" s="115"/>
      <c r="BG3616" s="115"/>
      <c r="BH3616" s="115"/>
      <c r="BI3616" s="115"/>
      <c r="BJ3616" s="115"/>
      <c r="BK3616" s="115"/>
      <c r="BL3616" s="115"/>
      <c r="BM3616" s="115"/>
      <c r="BN3616" s="115"/>
      <c r="BO3616" s="115"/>
      <c r="BP3616" s="115"/>
      <c r="BQ3616" s="115"/>
      <c r="BR3616" s="115"/>
      <c r="BS3616" s="115"/>
      <c r="BT3616" s="115"/>
      <c r="BU3616" s="115"/>
      <c r="BV3616" s="115"/>
      <c r="BW3616" s="115"/>
      <c r="BX3616" s="115"/>
      <c r="BY3616" s="115"/>
      <c r="BZ3616" s="115"/>
      <c r="CA3616" s="115"/>
      <c r="CB3616" s="115"/>
      <c r="CC3616" s="115"/>
      <c r="CD3616" s="115"/>
      <c r="CE3616" s="115"/>
      <c r="CF3616" s="115"/>
      <c r="CG3616" s="115"/>
      <c r="CH3616" s="115"/>
      <c r="CI3616" s="115"/>
      <c r="CJ3616" s="115"/>
      <c r="CK3616" s="115"/>
      <c r="CL3616" s="115"/>
      <c r="CM3616" s="115"/>
      <c r="CN3616" s="115"/>
      <c r="CO3616" s="115"/>
      <c r="CP3616" s="115"/>
      <c r="CQ3616" s="115"/>
      <c r="CR3616" s="115"/>
      <c r="CS3616" s="115"/>
      <c r="CT3616" s="115"/>
      <c r="CU3616" s="115"/>
      <c r="CV3616" s="115"/>
      <c r="CW3616" s="115"/>
      <c r="CX3616" s="115"/>
      <c r="CY3616" s="115"/>
      <c r="CZ3616" s="115"/>
      <c r="DA3616" s="115"/>
      <c r="DB3616" s="115"/>
      <c r="DC3616" s="115"/>
      <c r="DD3616" s="115"/>
      <c r="DE3616" s="115"/>
      <c r="DF3616" s="115"/>
      <c r="DG3616" s="115"/>
    </row>
    <row r="3617" spans="55:111" hidden="1">
      <c r="BC3617" s="115"/>
      <c r="BD3617" s="115"/>
      <c r="BE3617" s="115"/>
      <c r="BF3617" s="115"/>
      <c r="BG3617" s="115"/>
      <c r="BH3617" s="115"/>
      <c r="BI3617" s="115"/>
      <c r="BJ3617" s="115"/>
      <c r="BK3617" s="115"/>
      <c r="BL3617" s="115"/>
      <c r="BM3617" s="115"/>
      <c r="BN3617" s="115"/>
      <c r="BO3617" s="115"/>
      <c r="BP3617" s="115"/>
      <c r="BQ3617" s="115"/>
      <c r="BR3617" s="115"/>
      <c r="BS3617" s="115"/>
      <c r="BT3617" s="115"/>
      <c r="BU3617" s="115"/>
      <c r="BV3617" s="115"/>
      <c r="BW3617" s="115"/>
      <c r="BX3617" s="115"/>
      <c r="BY3617" s="115"/>
      <c r="BZ3617" s="115"/>
      <c r="CA3617" s="115"/>
      <c r="CB3617" s="115"/>
      <c r="CC3617" s="115"/>
      <c r="CD3617" s="115"/>
      <c r="CE3617" s="115"/>
      <c r="CF3617" s="115"/>
      <c r="CG3617" s="115"/>
      <c r="CH3617" s="115"/>
      <c r="CI3617" s="115"/>
      <c r="CJ3617" s="115"/>
      <c r="CK3617" s="115"/>
      <c r="CL3617" s="115"/>
      <c r="CM3617" s="115"/>
      <c r="CN3617" s="115"/>
      <c r="CO3617" s="115"/>
      <c r="CP3617" s="115"/>
      <c r="CQ3617" s="115"/>
      <c r="CR3617" s="115"/>
      <c r="CS3617" s="115"/>
      <c r="CT3617" s="115"/>
      <c r="CU3617" s="115"/>
      <c r="CV3617" s="115"/>
      <c r="CW3617" s="115"/>
      <c r="CX3617" s="115"/>
      <c r="CY3617" s="115"/>
      <c r="CZ3617" s="115"/>
      <c r="DA3617" s="115"/>
      <c r="DB3617" s="115"/>
      <c r="DC3617" s="115"/>
      <c r="DD3617" s="115"/>
      <c r="DE3617" s="115"/>
      <c r="DF3617" s="115"/>
      <c r="DG3617" s="115"/>
    </row>
    <row r="3618" spans="55:111" hidden="1">
      <c r="BC3618" s="115"/>
      <c r="BD3618" s="115"/>
      <c r="BE3618" s="115"/>
      <c r="BF3618" s="115"/>
      <c r="BG3618" s="115"/>
      <c r="BH3618" s="115"/>
      <c r="BI3618" s="115"/>
      <c r="BJ3618" s="115"/>
      <c r="BK3618" s="115"/>
      <c r="BL3618" s="115"/>
      <c r="BM3618" s="115"/>
      <c r="BN3618" s="115"/>
      <c r="BO3618" s="115"/>
      <c r="BP3618" s="115"/>
      <c r="BQ3618" s="115"/>
      <c r="BR3618" s="115"/>
      <c r="BS3618" s="115"/>
      <c r="BT3618" s="115"/>
      <c r="BU3618" s="115"/>
      <c r="BV3618" s="115"/>
      <c r="BW3618" s="115"/>
      <c r="BX3618" s="115"/>
      <c r="BY3618" s="115"/>
      <c r="BZ3618" s="115"/>
      <c r="CA3618" s="115"/>
      <c r="CB3618" s="115"/>
      <c r="CC3618" s="115"/>
      <c r="CD3618" s="115"/>
      <c r="CE3618" s="115"/>
      <c r="CF3618" s="115"/>
      <c r="CG3618" s="115"/>
      <c r="CH3618" s="115"/>
      <c r="CI3618" s="115"/>
      <c r="CJ3618" s="115"/>
      <c r="CK3618" s="115"/>
      <c r="CL3618" s="115"/>
      <c r="CM3618" s="115"/>
      <c r="CN3618" s="115"/>
      <c r="CO3618" s="115"/>
      <c r="CP3618" s="115"/>
      <c r="CQ3618" s="115"/>
      <c r="CR3618" s="115"/>
      <c r="CS3618" s="115"/>
      <c r="CT3618" s="115"/>
      <c r="CU3618" s="115"/>
      <c r="CV3618" s="115"/>
      <c r="CW3618" s="115"/>
      <c r="CX3618" s="115"/>
      <c r="CY3618" s="115"/>
      <c r="CZ3618" s="115"/>
      <c r="DA3618" s="115"/>
      <c r="DB3618" s="115"/>
      <c r="DC3618" s="115"/>
      <c r="DD3618" s="115"/>
      <c r="DE3618" s="115"/>
      <c r="DF3618" s="115"/>
      <c r="DG3618" s="115"/>
    </row>
    <row r="3619" spans="55:111" hidden="1">
      <c r="BC3619" s="115"/>
      <c r="BD3619" s="115"/>
      <c r="BE3619" s="115"/>
      <c r="BF3619" s="115"/>
      <c r="BG3619" s="115"/>
      <c r="BH3619" s="115"/>
      <c r="BI3619" s="115"/>
      <c r="BJ3619" s="115"/>
      <c r="BK3619" s="115"/>
      <c r="BL3619" s="115"/>
      <c r="BM3619" s="115"/>
      <c r="BN3619" s="115"/>
      <c r="BO3619" s="115"/>
      <c r="BP3619" s="115"/>
      <c r="BQ3619" s="115"/>
      <c r="BR3619" s="115"/>
      <c r="BS3619" s="115"/>
      <c r="BT3619" s="115"/>
      <c r="BU3619" s="115"/>
      <c r="BV3619" s="115"/>
      <c r="BW3619" s="115"/>
      <c r="BX3619" s="115"/>
      <c r="BY3619" s="115"/>
      <c r="BZ3619" s="115"/>
      <c r="CA3619" s="115"/>
      <c r="CB3619" s="115"/>
      <c r="CC3619" s="115"/>
      <c r="CD3619" s="115"/>
      <c r="CE3619" s="115"/>
      <c r="CF3619" s="115"/>
      <c r="CG3619" s="115"/>
      <c r="CH3619" s="115"/>
      <c r="CI3619" s="115"/>
      <c r="CJ3619" s="115"/>
      <c r="CK3619" s="115"/>
      <c r="CL3619" s="115"/>
      <c r="CM3619" s="115"/>
      <c r="CN3619" s="115"/>
      <c r="CO3619" s="115"/>
      <c r="CP3619" s="115"/>
      <c r="CQ3619" s="115"/>
      <c r="CR3619" s="115"/>
      <c r="CS3619" s="115"/>
      <c r="CT3619" s="115"/>
      <c r="CU3619" s="115"/>
      <c r="CV3619" s="115"/>
      <c r="CW3619" s="115"/>
      <c r="CX3619" s="115"/>
      <c r="CY3619" s="115"/>
      <c r="CZ3619" s="115"/>
      <c r="DA3619" s="115"/>
      <c r="DB3619" s="115"/>
      <c r="DC3619" s="115"/>
      <c r="DD3619" s="115"/>
      <c r="DE3619" s="115"/>
      <c r="DF3619" s="115"/>
      <c r="DG3619" s="115"/>
    </row>
    <row r="3620" spans="55:111" hidden="1">
      <c r="BC3620" s="115"/>
      <c r="BD3620" s="115"/>
      <c r="BE3620" s="115"/>
      <c r="BF3620" s="115"/>
      <c r="BG3620" s="115"/>
      <c r="BH3620" s="115"/>
      <c r="BI3620" s="115"/>
      <c r="BJ3620" s="115"/>
      <c r="BK3620" s="115"/>
      <c r="BL3620" s="115"/>
      <c r="BM3620" s="115"/>
      <c r="BN3620" s="115"/>
      <c r="BO3620" s="115"/>
      <c r="BP3620" s="115"/>
      <c r="BQ3620" s="115"/>
      <c r="BR3620" s="115"/>
      <c r="BS3620" s="115"/>
      <c r="BT3620" s="115"/>
      <c r="BU3620" s="115"/>
      <c r="BV3620" s="115"/>
      <c r="BW3620" s="115"/>
      <c r="BX3620" s="115"/>
      <c r="BY3620" s="115"/>
      <c r="BZ3620" s="115"/>
      <c r="CA3620" s="115"/>
      <c r="CB3620" s="115"/>
      <c r="CC3620" s="115"/>
      <c r="CD3620" s="115"/>
      <c r="CE3620" s="115"/>
      <c r="CF3620" s="115"/>
      <c r="CG3620" s="115"/>
      <c r="CH3620" s="115"/>
      <c r="CI3620" s="115"/>
      <c r="CJ3620" s="115"/>
      <c r="CK3620" s="115"/>
      <c r="CL3620" s="115"/>
      <c r="CM3620" s="115"/>
      <c r="CN3620" s="115"/>
      <c r="CO3620" s="115"/>
      <c r="CP3620" s="115"/>
      <c r="CQ3620" s="115"/>
      <c r="CR3620" s="115"/>
      <c r="CS3620" s="115"/>
      <c r="CT3620" s="115"/>
      <c r="CU3620" s="115"/>
      <c r="CV3620" s="115"/>
      <c r="CW3620" s="115"/>
      <c r="CX3620" s="115"/>
      <c r="CY3620" s="115"/>
      <c r="CZ3620" s="115"/>
      <c r="DA3620" s="115"/>
      <c r="DB3620" s="115"/>
      <c r="DC3620" s="115"/>
      <c r="DD3620" s="115"/>
      <c r="DE3620" s="115"/>
      <c r="DF3620" s="115"/>
      <c r="DG3620" s="115"/>
    </row>
    <row r="3621" spans="55:111" hidden="1">
      <c r="BC3621" s="115"/>
      <c r="BD3621" s="115"/>
      <c r="BE3621" s="115"/>
      <c r="BF3621" s="115"/>
      <c r="BG3621" s="115"/>
      <c r="BH3621" s="115"/>
      <c r="BI3621" s="115"/>
      <c r="BJ3621" s="115"/>
      <c r="BK3621" s="115"/>
      <c r="BL3621" s="115"/>
      <c r="BM3621" s="115"/>
      <c r="BN3621" s="115"/>
      <c r="BO3621" s="115"/>
      <c r="BP3621" s="115"/>
      <c r="BQ3621" s="115"/>
      <c r="BR3621" s="115"/>
      <c r="BS3621" s="115"/>
      <c r="BT3621" s="115"/>
      <c r="BU3621" s="115"/>
      <c r="BV3621" s="115"/>
      <c r="BW3621" s="115"/>
      <c r="BX3621" s="115"/>
      <c r="BY3621" s="115"/>
      <c r="BZ3621" s="115"/>
      <c r="CA3621" s="115"/>
      <c r="CB3621" s="115"/>
      <c r="CC3621" s="115"/>
      <c r="CD3621" s="115"/>
      <c r="CE3621" s="115"/>
      <c r="CF3621" s="115"/>
      <c r="CG3621" s="115"/>
      <c r="CH3621" s="115"/>
      <c r="CI3621" s="115"/>
      <c r="CJ3621" s="115"/>
      <c r="CK3621" s="115"/>
      <c r="CL3621" s="115"/>
      <c r="CM3621" s="115"/>
      <c r="CN3621" s="115"/>
      <c r="CO3621" s="115"/>
      <c r="CP3621" s="115"/>
      <c r="CQ3621" s="115"/>
      <c r="CR3621" s="115"/>
      <c r="CS3621" s="115"/>
      <c r="CT3621" s="115"/>
      <c r="CU3621" s="115"/>
      <c r="CV3621" s="115"/>
      <c r="CW3621" s="115"/>
      <c r="CX3621" s="115"/>
      <c r="CY3621" s="115"/>
      <c r="CZ3621" s="115"/>
      <c r="DA3621" s="115"/>
      <c r="DB3621" s="115"/>
      <c r="DC3621" s="115"/>
      <c r="DD3621" s="115"/>
      <c r="DE3621" s="115"/>
      <c r="DF3621" s="115"/>
      <c r="DG3621" s="115"/>
    </row>
    <row r="3622" spans="55:111" hidden="1">
      <c r="BC3622" s="115"/>
      <c r="BD3622" s="115"/>
      <c r="BE3622" s="115"/>
      <c r="BF3622" s="115"/>
      <c r="BG3622" s="115"/>
      <c r="BH3622" s="115"/>
      <c r="BI3622" s="115"/>
      <c r="BJ3622" s="115"/>
      <c r="BK3622" s="115"/>
      <c r="BL3622" s="115"/>
      <c r="BM3622" s="115"/>
      <c r="BN3622" s="115"/>
      <c r="BO3622" s="115"/>
      <c r="BP3622" s="115"/>
      <c r="BQ3622" s="115"/>
      <c r="BR3622" s="115"/>
      <c r="BS3622" s="115"/>
      <c r="BT3622" s="115"/>
      <c r="BU3622" s="115"/>
      <c r="BV3622" s="115"/>
      <c r="BW3622" s="115"/>
      <c r="BX3622" s="115"/>
      <c r="BY3622" s="115"/>
      <c r="BZ3622" s="115"/>
      <c r="CA3622" s="115"/>
      <c r="CB3622" s="115"/>
      <c r="CC3622" s="115"/>
      <c r="CD3622" s="115"/>
      <c r="CE3622" s="115"/>
      <c r="CF3622" s="115"/>
      <c r="CG3622" s="115"/>
      <c r="CH3622" s="115"/>
      <c r="CI3622" s="115"/>
      <c r="CJ3622" s="115"/>
      <c r="CK3622" s="115"/>
      <c r="CL3622" s="115"/>
      <c r="CM3622" s="115"/>
      <c r="CN3622" s="115"/>
      <c r="CO3622" s="115"/>
      <c r="CP3622" s="115"/>
      <c r="CQ3622" s="115"/>
      <c r="CR3622" s="115"/>
      <c r="CS3622" s="115"/>
      <c r="CT3622" s="115"/>
      <c r="CU3622" s="115"/>
      <c r="CV3622" s="115"/>
      <c r="CW3622" s="115"/>
      <c r="CX3622" s="115"/>
      <c r="CY3622" s="115"/>
      <c r="CZ3622" s="115"/>
      <c r="DA3622" s="115"/>
      <c r="DB3622" s="115"/>
      <c r="DC3622" s="115"/>
      <c r="DD3622" s="115"/>
      <c r="DE3622" s="115"/>
      <c r="DF3622" s="115"/>
      <c r="DG3622" s="115"/>
    </row>
    <row r="3623" spans="55:111" hidden="1">
      <c r="BC3623" s="115"/>
      <c r="BD3623" s="115"/>
      <c r="BE3623" s="115"/>
      <c r="BF3623" s="115"/>
      <c r="BG3623" s="115"/>
      <c r="BH3623" s="115"/>
      <c r="BI3623" s="115"/>
      <c r="BJ3623" s="115"/>
      <c r="BK3623" s="115"/>
      <c r="BL3623" s="115"/>
      <c r="BM3623" s="115"/>
      <c r="BN3623" s="115"/>
      <c r="BO3623" s="115"/>
      <c r="BP3623" s="115"/>
      <c r="BQ3623" s="115"/>
      <c r="BR3623" s="115"/>
      <c r="BS3623" s="115"/>
      <c r="BT3623" s="115"/>
      <c r="BU3623" s="115"/>
      <c r="BV3623" s="115"/>
      <c r="BW3623" s="115"/>
      <c r="BX3623" s="115"/>
      <c r="BY3623" s="115"/>
      <c r="BZ3623" s="115"/>
      <c r="CA3623" s="115"/>
      <c r="CB3623" s="115"/>
      <c r="CC3623" s="115"/>
      <c r="CD3623" s="115"/>
      <c r="CE3623" s="115"/>
      <c r="CF3623" s="115"/>
      <c r="CG3623" s="115"/>
      <c r="CH3623" s="115"/>
      <c r="CI3623" s="115"/>
      <c r="CJ3623" s="115"/>
      <c r="CK3623" s="115"/>
      <c r="CL3623" s="115"/>
      <c r="CM3623" s="115"/>
      <c r="CN3623" s="115"/>
      <c r="CO3623" s="115"/>
      <c r="CP3623" s="115"/>
      <c r="CQ3623" s="115"/>
      <c r="CR3623" s="115"/>
      <c r="CS3623" s="115"/>
      <c r="CT3623" s="115"/>
      <c r="CU3623" s="115"/>
      <c r="CV3623" s="115"/>
      <c r="CW3623" s="115"/>
      <c r="CX3623" s="115"/>
      <c r="CY3623" s="115"/>
      <c r="CZ3623" s="115"/>
      <c r="DA3623" s="115"/>
      <c r="DB3623" s="115"/>
      <c r="DC3623" s="115"/>
      <c r="DD3623" s="115"/>
      <c r="DE3623" s="115"/>
      <c r="DF3623" s="115"/>
      <c r="DG3623" s="115"/>
    </row>
    <row r="3624" spans="55:111" hidden="1">
      <c r="BC3624" s="115"/>
      <c r="BD3624" s="115"/>
      <c r="BE3624" s="115"/>
      <c r="BF3624" s="115"/>
      <c r="BG3624" s="115"/>
      <c r="BH3624" s="115"/>
      <c r="BI3624" s="115"/>
      <c r="BJ3624" s="115"/>
      <c r="BK3624" s="115"/>
      <c r="BL3624" s="115"/>
      <c r="BM3624" s="115"/>
      <c r="BN3624" s="115"/>
      <c r="BO3624" s="115"/>
      <c r="BP3624" s="115"/>
      <c r="BQ3624" s="115"/>
      <c r="BR3624" s="115"/>
      <c r="BS3624" s="115"/>
      <c r="BT3624" s="115"/>
      <c r="BU3624" s="115"/>
      <c r="BV3624" s="115"/>
      <c r="BW3624" s="115"/>
      <c r="BX3624" s="115"/>
      <c r="BY3624" s="115"/>
      <c r="BZ3624" s="115"/>
      <c r="CA3624" s="115"/>
      <c r="CB3624" s="115"/>
      <c r="CC3624" s="115"/>
      <c r="CD3624" s="115"/>
      <c r="CE3624" s="115"/>
      <c r="CF3624" s="115"/>
      <c r="CG3624" s="115"/>
      <c r="CH3624" s="115"/>
      <c r="CI3624" s="115"/>
      <c r="CJ3624" s="115"/>
      <c r="CK3624" s="115"/>
      <c r="CL3624" s="115"/>
      <c r="CM3624" s="115"/>
      <c r="CN3624" s="115"/>
      <c r="CO3624" s="115"/>
      <c r="CP3624" s="115"/>
      <c r="CQ3624" s="115"/>
      <c r="CR3624" s="115"/>
      <c r="CS3624" s="115"/>
      <c r="CT3624" s="115"/>
      <c r="CU3624" s="115"/>
      <c r="CV3624" s="115"/>
      <c r="CW3624" s="115"/>
      <c r="CX3624" s="115"/>
      <c r="CY3624" s="115"/>
      <c r="CZ3624" s="115"/>
      <c r="DA3624" s="115"/>
      <c r="DB3624" s="115"/>
      <c r="DC3624" s="115"/>
      <c r="DD3624" s="115"/>
      <c r="DE3624" s="115"/>
      <c r="DF3624" s="115"/>
      <c r="DG3624" s="115"/>
    </row>
    <row r="3625" spans="55:111" hidden="1">
      <c r="BC3625" s="115"/>
      <c r="BD3625" s="115"/>
      <c r="BE3625" s="115"/>
      <c r="BF3625" s="115"/>
      <c r="BG3625" s="115"/>
      <c r="BH3625" s="115"/>
      <c r="BI3625" s="115"/>
      <c r="BJ3625" s="115"/>
      <c r="BK3625" s="115"/>
      <c r="BL3625" s="115"/>
      <c r="BM3625" s="115"/>
      <c r="BN3625" s="115"/>
      <c r="BO3625" s="115"/>
      <c r="BP3625" s="115"/>
      <c r="BQ3625" s="115"/>
      <c r="BR3625" s="115"/>
      <c r="BS3625" s="115"/>
      <c r="BT3625" s="115"/>
      <c r="BU3625" s="115"/>
      <c r="BV3625" s="115"/>
      <c r="BW3625" s="115"/>
      <c r="BX3625" s="115"/>
      <c r="BY3625" s="115"/>
      <c r="BZ3625" s="115"/>
      <c r="CA3625" s="115"/>
      <c r="CB3625" s="115"/>
      <c r="CC3625" s="115"/>
      <c r="CD3625" s="115"/>
      <c r="CE3625" s="115"/>
      <c r="CF3625" s="115"/>
      <c r="CG3625" s="115"/>
      <c r="CH3625" s="115"/>
      <c r="CI3625" s="115"/>
      <c r="CJ3625" s="115"/>
      <c r="CK3625" s="115"/>
      <c r="CL3625" s="115"/>
      <c r="CM3625" s="115"/>
      <c r="CN3625" s="115"/>
      <c r="CO3625" s="115"/>
      <c r="CP3625" s="115"/>
      <c r="CQ3625" s="115"/>
      <c r="CR3625" s="115"/>
      <c r="CS3625" s="115"/>
      <c r="CT3625" s="115"/>
      <c r="CU3625" s="115"/>
      <c r="CV3625" s="115"/>
      <c r="CW3625" s="115"/>
      <c r="CX3625" s="115"/>
      <c r="CY3625" s="115"/>
      <c r="CZ3625" s="115"/>
      <c r="DA3625" s="115"/>
      <c r="DB3625" s="115"/>
      <c r="DC3625" s="115"/>
      <c r="DD3625" s="115"/>
      <c r="DE3625" s="115"/>
      <c r="DF3625" s="115"/>
      <c r="DG3625" s="115"/>
    </row>
    <row r="3626" spans="55:111" hidden="1">
      <c r="BC3626" s="115"/>
      <c r="BD3626" s="115"/>
      <c r="BE3626" s="115"/>
      <c r="BF3626" s="115"/>
      <c r="BG3626" s="115"/>
      <c r="BH3626" s="115"/>
      <c r="BI3626" s="115"/>
      <c r="BJ3626" s="115"/>
      <c r="BK3626" s="115"/>
      <c r="BL3626" s="115"/>
      <c r="BM3626" s="115"/>
      <c r="BN3626" s="115"/>
      <c r="BO3626" s="115"/>
      <c r="BP3626" s="115"/>
      <c r="BQ3626" s="115"/>
      <c r="BR3626" s="115"/>
      <c r="BS3626" s="115"/>
      <c r="BT3626" s="115"/>
      <c r="BU3626" s="115"/>
      <c r="BV3626" s="115"/>
      <c r="BW3626" s="115"/>
      <c r="BX3626" s="115"/>
      <c r="BY3626" s="115"/>
      <c r="BZ3626" s="115"/>
      <c r="CA3626" s="115"/>
      <c r="CB3626" s="115"/>
      <c r="CC3626" s="115"/>
      <c r="CD3626" s="115"/>
      <c r="CE3626" s="115"/>
      <c r="CF3626" s="115"/>
      <c r="CG3626" s="115"/>
      <c r="CH3626" s="115"/>
      <c r="CI3626" s="115"/>
      <c r="CJ3626" s="115"/>
      <c r="CK3626" s="115"/>
      <c r="CL3626" s="115"/>
      <c r="CM3626" s="115"/>
      <c r="CN3626" s="115"/>
      <c r="CO3626" s="115"/>
      <c r="CP3626" s="115"/>
      <c r="CQ3626" s="115"/>
      <c r="CR3626" s="115"/>
      <c r="CS3626" s="115"/>
      <c r="CT3626" s="115"/>
      <c r="CU3626" s="115"/>
      <c r="CV3626" s="115"/>
      <c r="CW3626" s="115"/>
      <c r="CX3626" s="115"/>
      <c r="CY3626" s="115"/>
      <c r="CZ3626" s="115"/>
      <c r="DA3626" s="115"/>
      <c r="DB3626" s="115"/>
      <c r="DC3626" s="115"/>
      <c r="DD3626" s="115"/>
      <c r="DE3626" s="115"/>
      <c r="DF3626" s="115"/>
      <c r="DG3626" s="115"/>
    </row>
    <row r="3627" spans="55:111" hidden="1">
      <c r="BC3627" s="115"/>
      <c r="BD3627" s="115"/>
      <c r="BE3627" s="115"/>
      <c r="BF3627" s="115"/>
      <c r="BG3627" s="115"/>
      <c r="BH3627" s="115"/>
      <c r="BI3627" s="115"/>
      <c r="BJ3627" s="115"/>
      <c r="BK3627" s="115"/>
      <c r="BL3627" s="115"/>
      <c r="BM3627" s="115"/>
      <c r="BN3627" s="115"/>
      <c r="BO3627" s="115"/>
      <c r="BP3627" s="115"/>
      <c r="BQ3627" s="115"/>
      <c r="BR3627" s="115"/>
      <c r="BS3627" s="115"/>
      <c r="BT3627" s="115"/>
      <c r="BU3627" s="115"/>
      <c r="BV3627" s="115"/>
      <c r="BW3627" s="115"/>
      <c r="BX3627" s="115"/>
      <c r="BY3627" s="115"/>
      <c r="BZ3627" s="115"/>
      <c r="CA3627" s="115"/>
      <c r="CB3627" s="115"/>
      <c r="CC3627" s="115"/>
      <c r="CD3627" s="115"/>
      <c r="CE3627" s="115"/>
      <c r="CF3627" s="115"/>
      <c r="CG3627" s="115"/>
      <c r="CH3627" s="115"/>
      <c r="CI3627" s="115"/>
      <c r="CJ3627" s="115"/>
      <c r="CK3627" s="115"/>
      <c r="CL3627" s="115"/>
      <c r="CM3627" s="115"/>
      <c r="CN3627" s="115"/>
      <c r="CO3627" s="115"/>
      <c r="CP3627" s="115"/>
      <c r="CQ3627" s="115"/>
      <c r="CR3627" s="115"/>
      <c r="CS3627" s="115"/>
      <c r="CT3627" s="115"/>
      <c r="CU3627" s="115"/>
      <c r="CV3627" s="115"/>
      <c r="CW3627" s="115"/>
      <c r="CX3627" s="115"/>
      <c r="CY3627" s="115"/>
      <c r="CZ3627" s="115"/>
      <c r="DA3627" s="115"/>
      <c r="DB3627" s="115"/>
      <c r="DC3627" s="115"/>
      <c r="DD3627" s="115"/>
      <c r="DE3627" s="115"/>
      <c r="DF3627" s="115"/>
      <c r="DG3627" s="115"/>
    </row>
    <row r="3628" spans="55:111" hidden="1">
      <c r="BC3628" s="115"/>
      <c r="BD3628" s="115"/>
      <c r="BE3628" s="115"/>
      <c r="BF3628" s="115"/>
      <c r="BG3628" s="115"/>
      <c r="BH3628" s="115"/>
      <c r="BI3628" s="115"/>
      <c r="BJ3628" s="115"/>
      <c r="BK3628" s="115"/>
      <c r="BL3628" s="115"/>
      <c r="BM3628" s="115"/>
      <c r="BN3628" s="115"/>
      <c r="BO3628" s="115"/>
      <c r="BP3628" s="115"/>
      <c r="BQ3628" s="115"/>
      <c r="BR3628" s="115"/>
      <c r="BS3628" s="115"/>
      <c r="BT3628" s="115"/>
      <c r="BU3628" s="115"/>
      <c r="BV3628" s="115"/>
      <c r="BW3628" s="115"/>
      <c r="BX3628" s="115"/>
      <c r="BY3628" s="115"/>
      <c r="BZ3628" s="115"/>
      <c r="CA3628" s="115"/>
      <c r="CB3628" s="115"/>
      <c r="CC3628" s="115"/>
      <c r="CD3628" s="115"/>
      <c r="CE3628" s="115"/>
      <c r="CF3628" s="115"/>
      <c r="CG3628" s="115"/>
      <c r="CH3628" s="115"/>
      <c r="CI3628" s="115"/>
      <c r="CJ3628" s="115"/>
      <c r="CK3628" s="115"/>
      <c r="CL3628" s="115"/>
      <c r="CM3628" s="115"/>
      <c r="CN3628" s="115"/>
      <c r="CO3628" s="115"/>
      <c r="CP3628" s="115"/>
      <c r="CQ3628" s="115"/>
      <c r="CR3628" s="115"/>
      <c r="CS3628" s="115"/>
      <c r="CT3628" s="115"/>
      <c r="CU3628" s="115"/>
      <c r="CV3628" s="115"/>
      <c r="CW3628" s="115"/>
      <c r="CX3628" s="115"/>
      <c r="CY3628" s="115"/>
      <c r="CZ3628" s="115"/>
      <c r="DA3628" s="115"/>
      <c r="DB3628" s="115"/>
      <c r="DC3628" s="115"/>
      <c r="DD3628" s="115"/>
      <c r="DE3628" s="115"/>
      <c r="DF3628" s="115"/>
      <c r="DG3628" s="115"/>
    </row>
    <row r="3629" spans="55:111" hidden="1">
      <c r="BC3629" s="115"/>
      <c r="BD3629" s="115"/>
      <c r="BE3629" s="115"/>
      <c r="BF3629" s="115"/>
      <c r="BG3629" s="115"/>
      <c r="BH3629" s="115"/>
      <c r="BI3629" s="115"/>
      <c r="BJ3629" s="115"/>
      <c r="BK3629" s="115"/>
      <c r="BL3629" s="115"/>
      <c r="BM3629" s="115"/>
      <c r="BN3629" s="115"/>
      <c r="BO3629" s="115"/>
      <c r="BP3629" s="115"/>
      <c r="BQ3629" s="115"/>
      <c r="BR3629" s="115"/>
      <c r="BS3629" s="115"/>
      <c r="BT3629" s="115"/>
      <c r="BU3629" s="115"/>
      <c r="BV3629" s="115"/>
      <c r="BW3629" s="115"/>
      <c r="BX3629" s="115"/>
      <c r="BY3629" s="115"/>
      <c r="BZ3629" s="115"/>
      <c r="CA3629" s="115"/>
      <c r="CB3629" s="115"/>
      <c r="CC3629" s="115"/>
      <c r="CD3629" s="115"/>
      <c r="CE3629" s="115"/>
      <c r="CF3629" s="115"/>
      <c r="CG3629" s="115"/>
      <c r="CH3629" s="115"/>
      <c r="CI3629" s="115"/>
      <c r="CJ3629" s="115"/>
      <c r="CK3629" s="115"/>
      <c r="CL3629" s="115"/>
      <c r="CM3629" s="115"/>
      <c r="CN3629" s="115"/>
      <c r="CO3629" s="115"/>
      <c r="CP3629" s="115"/>
      <c r="CQ3629" s="115"/>
      <c r="CR3629" s="115"/>
      <c r="CS3629" s="115"/>
      <c r="CT3629" s="115"/>
      <c r="CU3629" s="115"/>
      <c r="CV3629" s="115"/>
      <c r="CW3629" s="115"/>
      <c r="CX3629" s="115"/>
      <c r="CY3629" s="115"/>
      <c r="CZ3629" s="115"/>
      <c r="DA3629" s="115"/>
      <c r="DB3629" s="115"/>
      <c r="DC3629" s="115"/>
      <c r="DD3629" s="115"/>
      <c r="DE3629" s="115"/>
      <c r="DF3629" s="115"/>
      <c r="DG3629" s="115"/>
    </row>
    <row r="3630" spans="55:111" hidden="1">
      <c r="BC3630" s="115"/>
      <c r="BD3630" s="115"/>
      <c r="BE3630" s="115"/>
      <c r="BF3630" s="115"/>
      <c r="BG3630" s="115"/>
      <c r="BH3630" s="115"/>
      <c r="BI3630" s="115"/>
      <c r="BJ3630" s="115"/>
      <c r="BK3630" s="115"/>
      <c r="BL3630" s="115"/>
      <c r="BM3630" s="115"/>
      <c r="BN3630" s="115"/>
      <c r="BO3630" s="115"/>
      <c r="BP3630" s="115"/>
      <c r="BQ3630" s="115"/>
      <c r="BR3630" s="115"/>
      <c r="BS3630" s="115"/>
      <c r="BT3630" s="115"/>
      <c r="BU3630" s="115"/>
      <c r="BV3630" s="115"/>
      <c r="BW3630" s="115"/>
      <c r="BX3630" s="115"/>
      <c r="BY3630" s="115"/>
      <c r="BZ3630" s="115"/>
      <c r="CA3630" s="115"/>
      <c r="CB3630" s="115"/>
      <c r="CC3630" s="115"/>
      <c r="CD3630" s="115"/>
      <c r="CE3630" s="115"/>
      <c r="CF3630" s="115"/>
      <c r="CG3630" s="115"/>
      <c r="CH3630" s="115"/>
      <c r="CI3630" s="115"/>
      <c r="CJ3630" s="115"/>
      <c r="CK3630" s="115"/>
      <c r="CL3630" s="115"/>
      <c r="CM3630" s="115"/>
      <c r="CN3630" s="115"/>
      <c r="CO3630" s="115"/>
      <c r="CP3630" s="115"/>
      <c r="CQ3630" s="115"/>
      <c r="CR3630" s="115"/>
      <c r="CS3630" s="115"/>
      <c r="CT3630" s="115"/>
      <c r="CU3630" s="115"/>
      <c r="CV3630" s="115"/>
      <c r="CW3630" s="115"/>
      <c r="CX3630" s="115"/>
      <c r="CY3630" s="115"/>
      <c r="CZ3630" s="115"/>
      <c r="DA3630" s="115"/>
      <c r="DB3630" s="115"/>
      <c r="DC3630" s="115"/>
      <c r="DD3630" s="115"/>
      <c r="DE3630" s="115"/>
      <c r="DF3630" s="115"/>
      <c r="DG3630" s="115"/>
    </row>
    <row r="3631" spans="55:111" hidden="1">
      <c r="BC3631" s="115"/>
      <c r="BD3631" s="115"/>
      <c r="BE3631" s="115"/>
      <c r="BF3631" s="115"/>
      <c r="BG3631" s="115"/>
      <c r="BH3631" s="115"/>
      <c r="BI3631" s="115"/>
      <c r="BJ3631" s="115"/>
      <c r="BK3631" s="115"/>
      <c r="BL3631" s="115"/>
      <c r="BM3631" s="115"/>
      <c r="BN3631" s="115"/>
      <c r="BO3631" s="115"/>
      <c r="BP3631" s="115"/>
      <c r="BQ3631" s="115"/>
      <c r="BR3631" s="115"/>
      <c r="BS3631" s="115"/>
      <c r="BT3631" s="115"/>
      <c r="BU3631" s="115"/>
      <c r="BV3631" s="115"/>
      <c r="BW3631" s="115"/>
      <c r="BX3631" s="115"/>
      <c r="BY3631" s="115"/>
      <c r="BZ3631" s="115"/>
      <c r="CA3631" s="115"/>
      <c r="CB3631" s="115"/>
      <c r="CC3631" s="115"/>
      <c r="CD3631" s="115"/>
      <c r="CE3631" s="115"/>
      <c r="CF3631" s="115"/>
      <c r="CG3631" s="115"/>
      <c r="CH3631" s="115"/>
      <c r="CI3631" s="115"/>
      <c r="CJ3631" s="115"/>
      <c r="CK3631" s="115"/>
      <c r="CL3631" s="115"/>
      <c r="CM3631" s="115"/>
      <c r="CN3631" s="115"/>
      <c r="CO3631" s="115"/>
      <c r="CP3631" s="115"/>
      <c r="CQ3631" s="115"/>
      <c r="CR3631" s="115"/>
      <c r="CS3631" s="115"/>
      <c r="CT3631" s="115"/>
      <c r="CU3631" s="115"/>
      <c r="CV3631" s="115"/>
      <c r="CW3631" s="115"/>
      <c r="CX3631" s="115"/>
      <c r="CY3631" s="115"/>
      <c r="CZ3631" s="115"/>
      <c r="DA3631" s="115"/>
      <c r="DB3631" s="115"/>
      <c r="DC3631" s="115"/>
      <c r="DD3631" s="115"/>
      <c r="DE3631" s="115"/>
      <c r="DF3631" s="115"/>
      <c r="DG3631" s="115"/>
    </row>
    <row r="3632" spans="55:111" hidden="1">
      <c r="BC3632" s="115"/>
      <c r="BD3632" s="115"/>
      <c r="BE3632" s="115"/>
      <c r="BF3632" s="115"/>
      <c r="BG3632" s="115"/>
      <c r="BH3632" s="115"/>
      <c r="BI3632" s="115"/>
      <c r="BJ3632" s="115"/>
      <c r="BK3632" s="115"/>
      <c r="BL3632" s="115"/>
      <c r="BM3632" s="115"/>
      <c r="BN3632" s="115"/>
      <c r="BO3632" s="115"/>
      <c r="BP3632" s="115"/>
      <c r="BQ3632" s="115"/>
      <c r="BR3632" s="115"/>
      <c r="BS3632" s="115"/>
      <c r="BT3632" s="115"/>
      <c r="BU3632" s="115"/>
      <c r="BV3632" s="115"/>
      <c r="BW3632" s="115"/>
      <c r="BX3632" s="115"/>
      <c r="BY3632" s="115"/>
      <c r="BZ3632" s="115"/>
      <c r="CA3632" s="115"/>
      <c r="CB3632" s="115"/>
      <c r="CC3632" s="115"/>
      <c r="CD3632" s="115"/>
      <c r="CE3632" s="115"/>
      <c r="CF3632" s="115"/>
      <c r="CG3632" s="115"/>
      <c r="CH3632" s="115"/>
      <c r="CI3632" s="115"/>
      <c r="CJ3632" s="115"/>
      <c r="CK3632" s="115"/>
      <c r="CL3632" s="115"/>
      <c r="CM3632" s="115"/>
      <c r="CN3632" s="115"/>
      <c r="CO3632" s="115"/>
      <c r="CP3632" s="115"/>
      <c r="CQ3632" s="115"/>
      <c r="CR3632" s="115"/>
      <c r="CS3632" s="115"/>
      <c r="CT3632" s="115"/>
      <c r="CU3632" s="115"/>
      <c r="CV3632" s="115"/>
      <c r="CW3632" s="115"/>
      <c r="CX3632" s="115"/>
      <c r="CY3632" s="115"/>
      <c r="CZ3632" s="115"/>
      <c r="DA3632" s="115"/>
      <c r="DB3632" s="115"/>
      <c r="DC3632" s="115"/>
      <c r="DD3632" s="115"/>
      <c r="DE3632" s="115"/>
      <c r="DF3632" s="115"/>
      <c r="DG3632" s="115"/>
    </row>
    <row r="3633" spans="55:111" hidden="1">
      <c r="BC3633" s="115"/>
      <c r="BD3633" s="115"/>
      <c r="BE3633" s="115"/>
      <c r="BF3633" s="115"/>
      <c r="BG3633" s="115"/>
      <c r="BH3633" s="115"/>
      <c r="BI3633" s="115"/>
      <c r="BJ3633" s="115"/>
      <c r="BK3633" s="115"/>
      <c r="BL3633" s="115"/>
      <c r="BM3633" s="115"/>
      <c r="BN3633" s="115"/>
      <c r="BO3633" s="115"/>
      <c r="BP3633" s="115"/>
      <c r="BQ3633" s="115"/>
      <c r="BR3633" s="115"/>
      <c r="BS3633" s="115"/>
      <c r="BT3633" s="115"/>
      <c r="BU3633" s="115"/>
      <c r="BV3633" s="115"/>
      <c r="BW3633" s="115"/>
      <c r="BX3633" s="115"/>
      <c r="BY3633" s="115"/>
      <c r="BZ3633" s="115"/>
      <c r="CA3633" s="115"/>
      <c r="CB3633" s="115"/>
      <c r="CC3633" s="115"/>
      <c r="CD3633" s="115"/>
      <c r="CE3633" s="115"/>
      <c r="CF3633" s="115"/>
      <c r="CG3633" s="115"/>
      <c r="CH3633" s="115"/>
      <c r="CI3633" s="115"/>
      <c r="CJ3633" s="115"/>
      <c r="CK3633" s="115"/>
      <c r="CL3633" s="115"/>
      <c r="CM3633" s="115"/>
      <c r="CN3633" s="115"/>
      <c r="CO3633" s="115"/>
      <c r="CP3633" s="115"/>
      <c r="CQ3633" s="115"/>
      <c r="CR3633" s="115"/>
      <c r="CS3633" s="115"/>
      <c r="CT3633" s="115"/>
      <c r="CU3633" s="115"/>
      <c r="CV3633" s="115"/>
      <c r="CW3633" s="115"/>
      <c r="CX3633" s="115"/>
      <c r="CY3633" s="115"/>
      <c r="CZ3633" s="115"/>
      <c r="DA3633" s="115"/>
      <c r="DB3633" s="115"/>
      <c r="DC3633" s="115"/>
      <c r="DD3633" s="115"/>
      <c r="DE3633" s="115"/>
      <c r="DF3633" s="115"/>
      <c r="DG3633" s="115"/>
    </row>
    <row r="3634" spans="55:111" hidden="1">
      <c r="BC3634" s="115"/>
      <c r="BD3634" s="115"/>
      <c r="BE3634" s="115"/>
      <c r="BF3634" s="115"/>
      <c r="BG3634" s="115"/>
      <c r="BH3634" s="115"/>
      <c r="BI3634" s="115"/>
      <c r="BJ3634" s="115"/>
      <c r="BK3634" s="115"/>
      <c r="BL3634" s="115"/>
      <c r="BM3634" s="115"/>
      <c r="BN3634" s="115"/>
      <c r="BO3634" s="115"/>
      <c r="BP3634" s="115"/>
      <c r="BQ3634" s="115"/>
      <c r="BR3634" s="115"/>
      <c r="BS3634" s="115"/>
      <c r="BT3634" s="115"/>
      <c r="BU3634" s="115"/>
      <c r="BV3634" s="115"/>
      <c r="BW3634" s="115"/>
      <c r="BX3634" s="115"/>
      <c r="BY3634" s="115"/>
      <c r="BZ3634" s="115"/>
      <c r="CA3634" s="115"/>
      <c r="CB3634" s="115"/>
      <c r="CC3634" s="115"/>
      <c r="CD3634" s="115"/>
      <c r="CE3634" s="115"/>
      <c r="CF3634" s="115"/>
      <c r="CG3634" s="115"/>
      <c r="CH3634" s="115"/>
      <c r="CI3634" s="115"/>
      <c r="CJ3634" s="115"/>
      <c r="CK3634" s="115"/>
      <c r="CL3634" s="115"/>
      <c r="CM3634" s="115"/>
      <c r="CN3634" s="115"/>
      <c r="CO3634" s="115"/>
      <c r="CP3634" s="115"/>
      <c r="CQ3634" s="115"/>
      <c r="CR3634" s="115"/>
      <c r="CS3634" s="115"/>
      <c r="CT3634" s="115"/>
      <c r="CU3634" s="115"/>
      <c r="CV3634" s="115"/>
      <c r="CW3634" s="115"/>
      <c r="CX3634" s="115"/>
      <c r="CY3634" s="115"/>
      <c r="CZ3634" s="115"/>
      <c r="DA3634" s="115"/>
      <c r="DB3634" s="115"/>
      <c r="DC3634" s="115"/>
      <c r="DD3634" s="115"/>
      <c r="DE3634" s="115"/>
      <c r="DF3634" s="115"/>
      <c r="DG3634" s="115"/>
    </row>
    <row r="3635" spans="55:111" hidden="1">
      <c r="BC3635" s="115"/>
      <c r="BD3635" s="115"/>
      <c r="BE3635" s="115"/>
      <c r="BF3635" s="115"/>
      <c r="BG3635" s="115"/>
      <c r="BH3635" s="115"/>
      <c r="BI3635" s="115"/>
      <c r="BJ3635" s="115"/>
      <c r="BK3635" s="115"/>
      <c r="BL3635" s="115"/>
      <c r="BM3635" s="115"/>
      <c r="BN3635" s="115"/>
      <c r="BO3635" s="115"/>
      <c r="BP3635" s="115"/>
      <c r="BQ3635" s="115"/>
      <c r="BR3635" s="115"/>
      <c r="BS3635" s="115"/>
      <c r="BT3635" s="115"/>
      <c r="BU3635" s="115"/>
      <c r="BV3635" s="115"/>
      <c r="BW3635" s="115"/>
      <c r="BX3635" s="115"/>
      <c r="BY3635" s="115"/>
      <c r="BZ3635" s="115"/>
      <c r="CA3635" s="115"/>
      <c r="CB3635" s="115"/>
      <c r="CC3635" s="115"/>
      <c r="CD3635" s="115"/>
      <c r="CE3635" s="115"/>
      <c r="CF3635" s="115"/>
      <c r="CG3635" s="115"/>
      <c r="CH3635" s="115"/>
      <c r="CI3635" s="115"/>
      <c r="CJ3635" s="115"/>
      <c r="CK3635" s="115"/>
      <c r="CL3635" s="115"/>
      <c r="CM3635" s="115"/>
      <c r="CN3635" s="115"/>
      <c r="CO3635" s="115"/>
      <c r="CP3635" s="115"/>
      <c r="CQ3635" s="115"/>
      <c r="CR3635" s="115"/>
      <c r="CS3635" s="115"/>
      <c r="CT3635" s="115"/>
      <c r="CU3635" s="115"/>
      <c r="CV3635" s="115"/>
      <c r="CW3635" s="115"/>
      <c r="CX3635" s="115"/>
      <c r="CY3635" s="115"/>
      <c r="CZ3635" s="115"/>
      <c r="DA3635" s="115"/>
      <c r="DB3635" s="115"/>
      <c r="DC3635" s="115"/>
      <c r="DD3635" s="115"/>
      <c r="DE3635" s="115"/>
      <c r="DF3635" s="115"/>
      <c r="DG3635" s="115"/>
    </row>
    <row r="3636" spans="55:111" hidden="1">
      <c r="BC3636" s="115"/>
      <c r="BD3636" s="115"/>
      <c r="BE3636" s="115"/>
      <c r="BF3636" s="115"/>
      <c r="BG3636" s="115"/>
      <c r="BH3636" s="115"/>
      <c r="BI3636" s="115"/>
      <c r="BJ3636" s="115"/>
      <c r="BK3636" s="115"/>
      <c r="BL3636" s="115"/>
      <c r="BM3636" s="115"/>
      <c r="BN3636" s="115"/>
      <c r="BO3636" s="115"/>
      <c r="BP3636" s="115"/>
      <c r="BQ3636" s="115"/>
      <c r="BR3636" s="115"/>
      <c r="BS3636" s="115"/>
      <c r="BT3636" s="115"/>
      <c r="BU3636" s="115"/>
      <c r="BV3636" s="115"/>
      <c r="BW3636" s="115"/>
      <c r="BX3636" s="115"/>
      <c r="BY3636" s="115"/>
      <c r="BZ3636" s="115"/>
      <c r="CA3636" s="115"/>
      <c r="CB3636" s="115"/>
      <c r="CC3636" s="115"/>
      <c r="CD3636" s="115"/>
      <c r="CE3636" s="115"/>
      <c r="CF3636" s="115"/>
      <c r="CG3636" s="115"/>
      <c r="CH3636" s="115"/>
      <c r="CI3636" s="115"/>
      <c r="CJ3636" s="115"/>
      <c r="CK3636" s="115"/>
      <c r="CL3636" s="115"/>
      <c r="CM3636" s="115"/>
      <c r="CN3636" s="115"/>
      <c r="CO3636" s="115"/>
      <c r="CP3636" s="115"/>
      <c r="CQ3636" s="115"/>
      <c r="CR3636" s="115"/>
      <c r="CS3636" s="115"/>
      <c r="CT3636" s="115"/>
      <c r="CU3636" s="115"/>
      <c r="CV3636" s="115"/>
      <c r="CW3636" s="115"/>
      <c r="CX3636" s="115"/>
      <c r="CY3636" s="115"/>
      <c r="CZ3636" s="115"/>
      <c r="DA3636" s="115"/>
      <c r="DB3636" s="115"/>
      <c r="DC3636" s="115"/>
      <c r="DD3636" s="115"/>
      <c r="DE3636" s="115"/>
      <c r="DF3636" s="115"/>
      <c r="DG3636" s="115"/>
    </row>
    <row r="3637" spans="55:111" hidden="1">
      <c r="BC3637" s="115"/>
      <c r="BD3637" s="115"/>
      <c r="BE3637" s="115"/>
      <c r="BF3637" s="115"/>
      <c r="BG3637" s="115"/>
      <c r="BH3637" s="115"/>
      <c r="BI3637" s="115"/>
      <c r="BJ3637" s="115"/>
      <c r="BK3637" s="115"/>
      <c r="BL3637" s="115"/>
      <c r="BM3637" s="115"/>
      <c r="BN3637" s="115"/>
      <c r="BO3637" s="115"/>
      <c r="BP3637" s="115"/>
      <c r="BQ3637" s="115"/>
      <c r="BR3637" s="115"/>
      <c r="BS3637" s="115"/>
      <c r="BT3637" s="115"/>
      <c r="BU3637" s="115"/>
      <c r="BV3637" s="115"/>
      <c r="BW3637" s="115"/>
      <c r="BX3637" s="115"/>
      <c r="BY3637" s="115"/>
      <c r="BZ3637" s="115"/>
      <c r="CA3637" s="115"/>
      <c r="CB3637" s="115"/>
      <c r="CC3637" s="115"/>
      <c r="CD3637" s="115"/>
      <c r="CE3637" s="115"/>
      <c r="CF3637" s="115"/>
      <c r="CG3637" s="115"/>
      <c r="CH3637" s="115"/>
      <c r="CI3637" s="115"/>
      <c r="CJ3637" s="115"/>
      <c r="CK3637" s="115"/>
      <c r="CL3637" s="115"/>
      <c r="CM3637" s="115"/>
      <c r="CN3637" s="115"/>
      <c r="CO3637" s="115"/>
      <c r="CP3637" s="115"/>
      <c r="CQ3637" s="115"/>
      <c r="CR3637" s="115"/>
      <c r="CS3637" s="115"/>
      <c r="CT3637" s="115"/>
      <c r="CU3637" s="115"/>
      <c r="CV3637" s="115"/>
      <c r="CW3637" s="115"/>
      <c r="CX3637" s="115"/>
      <c r="CY3637" s="115"/>
      <c r="CZ3637" s="115"/>
      <c r="DA3637" s="115"/>
      <c r="DB3637" s="115"/>
      <c r="DC3637" s="115"/>
      <c r="DD3637" s="115"/>
      <c r="DE3637" s="115"/>
      <c r="DF3637" s="115"/>
      <c r="DG3637" s="115"/>
    </row>
    <row r="3638" spans="55:111" hidden="1">
      <c r="BC3638" s="115"/>
      <c r="BD3638" s="115"/>
      <c r="BE3638" s="115"/>
      <c r="BF3638" s="115"/>
      <c r="BG3638" s="115"/>
      <c r="BH3638" s="115"/>
      <c r="BI3638" s="115"/>
      <c r="BJ3638" s="115"/>
      <c r="BK3638" s="115"/>
      <c r="BL3638" s="115"/>
      <c r="BM3638" s="115"/>
      <c r="BN3638" s="115"/>
      <c r="BO3638" s="115"/>
      <c r="BP3638" s="115"/>
      <c r="BQ3638" s="115"/>
      <c r="BR3638" s="115"/>
      <c r="BS3638" s="115"/>
      <c r="BT3638" s="115"/>
      <c r="BU3638" s="115"/>
      <c r="BV3638" s="115"/>
      <c r="BW3638" s="115"/>
      <c r="BX3638" s="115"/>
      <c r="BY3638" s="115"/>
      <c r="BZ3638" s="115"/>
      <c r="CA3638" s="115"/>
      <c r="CB3638" s="115"/>
      <c r="CC3638" s="115"/>
      <c r="CD3638" s="115"/>
      <c r="CE3638" s="115"/>
      <c r="CF3638" s="115"/>
      <c r="CG3638" s="115"/>
      <c r="CH3638" s="115"/>
      <c r="CI3638" s="115"/>
      <c r="CJ3638" s="115"/>
      <c r="CK3638" s="115"/>
      <c r="CL3638" s="115"/>
      <c r="CM3638" s="115"/>
      <c r="CN3638" s="115"/>
      <c r="CO3638" s="115"/>
      <c r="CP3638" s="115"/>
      <c r="CQ3638" s="115"/>
      <c r="CR3638" s="115"/>
      <c r="CS3638" s="115"/>
      <c r="CT3638" s="115"/>
      <c r="CU3638" s="115"/>
      <c r="CV3638" s="115"/>
      <c r="CW3638" s="115"/>
      <c r="CX3638" s="115"/>
      <c r="CY3638" s="115"/>
      <c r="CZ3638" s="115"/>
      <c r="DA3638" s="115"/>
      <c r="DB3638" s="115"/>
      <c r="DC3638" s="115"/>
      <c r="DD3638" s="115"/>
      <c r="DE3638" s="115"/>
      <c r="DF3638" s="115"/>
      <c r="DG3638" s="115"/>
    </row>
    <row r="3639" spans="55:111" hidden="1">
      <c r="BC3639" s="115"/>
      <c r="BD3639" s="115"/>
      <c r="BE3639" s="115"/>
      <c r="BF3639" s="115"/>
      <c r="BG3639" s="115"/>
      <c r="BH3639" s="115"/>
      <c r="BI3639" s="115"/>
      <c r="BJ3639" s="115"/>
      <c r="BK3639" s="115"/>
      <c r="BL3639" s="115"/>
      <c r="BM3639" s="115"/>
      <c r="BN3639" s="115"/>
      <c r="BO3639" s="115"/>
      <c r="BP3639" s="115"/>
      <c r="BQ3639" s="115"/>
      <c r="BR3639" s="115"/>
      <c r="BS3639" s="115"/>
      <c r="BT3639" s="115"/>
      <c r="BU3639" s="115"/>
      <c r="BV3639" s="115"/>
      <c r="BW3639" s="115"/>
      <c r="BX3639" s="115"/>
      <c r="BY3639" s="115"/>
      <c r="BZ3639" s="115"/>
      <c r="CA3639" s="115"/>
      <c r="CB3639" s="115"/>
      <c r="CC3639" s="115"/>
      <c r="CD3639" s="115"/>
      <c r="CE3639" s="115"/>
      <c r="CF3639" s="115"/>
      <c r="CG3639" s="115"/>
      <c r="CH3639" s="115"/>
      <c r="CI3639" s="115"/>
      <c r="CJ3639" s="115"/>
      <c r="CK3639" s="115"/>
      <c r="CL3639" s="115"/>
      <c r="CM3639" s="115"/>
      <c r="CN3639" s="115"/>
      <c r="CO3639" s="115"/>
      <c r="CP3639" s="115"/>
      <c r="CQ3639" s="115"/>
      <c r="CR3639" s="115"/>
      <c r="CS3639" s="115"/>
      <c r="CT3639" s="115"/>
      <c r="CU3639" s="115"/>
      <c r="CV3639" s="115"/>
      <c r="CW3639" s="115"/>
      <c r="CX3639" s="115"/>
      <c r="CY3639" s="115"/>
      <c r="CZ3639" s="115"/>
      <c r="DA3639" s="115"/>
      <c r="DB3639" s="115"/>
      <c r="DC3639" s="115"/>
      <c r="DD3639" s="115"/>
      <c r="DE3639" s="115"/>
      <c r="DF3639" s="115"/>
      <c r="DG3639" s="115"/>
    </row>
    <row r="3640" spans="55:111" hidden="1">
      <c r="BC3640" s="115"/>
      <c r="BD3640" s="115"/>
      <c r="BE3640" s="115"/>
      <c r="BF3640" s="115"/>
      <c r="BG3640" s="115"/>
      <c r="BH3640" s="115"/>
      <c r="BI3640" s="115"/>
      <c r="BJ3640" s="115"/>
      <c r="BK3640" s="115"/>
      <c r="BL3640" s="115"/>
      <c r="BM3640" s="115"/>
      <c r="BN3640" s="115"/>
      <c r="BO3640" s="115"/>
      <c r="BP3640" s="115"/>
      <c r="BQ3640" s="115"/>
      <c r="BR3640" s="115"/>
      <c r="BS3640" s="115"/>
      <c r="BT3640" s="115"/>
      <c r="BU3640" s="115"/>
      <c r="BV3640" s="115"/>
      <c r="BW3640" s="115"/>
      <c r="BX3640" s="115"/>
      <c r="BY3640" s="115"/>
      <c r="BZ3640" s="115"/>
      <c r="CA3640" s="115"/>
      <c r="CB3640" s="115"/>
      <c r="CC3640" s="115"/>
      <c r="CD3640" s="115"/>
      <c r="CE3640" s="115"/>
      <c r="CF3640" s="115"/>
      <c r="CG3640" s="115"/>
      <c r="CH3640" s="115"/>
      <c r="CI3640" s="115"/>
      <c r="CJ3640" s="115"/>
      <c r="CK3640" s="115"/>
      <c r="CL3640" s="115"/>
      <c r="CM3640" s="115"/>
      <c r="CN3640" s="115"/>
      <c r="CO3640" s="115"/>
      <c r="CP3640" s="115"/>
      <c r="CQ3640" s="115"/>
      <c r="CR3640" s="115"/>
      <c r="CS3640" s="115"/>
      <c r="CT3640" s="115"/>
      <c r="CU3640" s="115"/>
      <c r="CV3640" s="115"/>
      <c r="CW3640" s="115"/>
      <c r="CX3640" s="115"/>
      <c r="CY3640" s="115"/>
      <c r="CZ3640" s="115"/>
      <c r="DA3640" s="115"/>
      <c r="DB3640" s="115"/>
      <c r="DC3640" s="115"/>
      <c r="DD3640" s="115"/>
      <c r="DE3640" s="115"/>
      <c r="DF3640" s="115"/>
      <c r="DG3640" s="115"/>
    </row>
    <row r="3641" spans="55:111" hidden="1">
      <c r="BC3641" s="115"/>
      <c r="BD3641" s="115"/>
      <c r="BE3641" s="115"/>
      <c r="BF3641" s="115"/>
      <c r="BG3641" s="115"/>
      <c r="BH3641" s="115"/>
      <c r="BI3641" s="115"/>
      <c r="BJ3641" s="115"/>
      <c r="BK3641" s="115"/>
      <c r="BL3641" s="115"/>
      <c r="BM3641" s="115"/>
      <c r="BN3641" s="115"/>
      <c r="BO3641" s="115"/>
      <c r="BP3641" s="115"/>
      <c r="BQ3641" s="115"/>
      <c r="BR3641" s="115"/>
      <c r="BS3641" s="115"/>
      <c r="BT3641" s="115"/>
      <c r="BU3641" s="115"/>
      <c r="BV3641" s="115"/>
      <c r="BW3641" s="115"/>
      <c r="BX3641" s="115"/>
      <c r="BY3641" s="115"/>
      <c r="BZ3641" s="115"/>
      <c r="CA3641" s="115"/>
      <c r="CB3641" s="115"/>
      <c r="CC3641" s="115"/>
      <c r="CD3641" s="115"/>
      <c r="CE3641" s="115"/>
      <c r="CF3641" s="115"/>
      <c r="CG3641" s="115"/>
      <c r="CH3641" s="115"/>
      <c r="CI3641" s="115"/>
      <c r="CJ3641" s="115"/>
      <c r="CK3641" s="115"/>
      <c r="CL3641" s="115"/>
      <c r="CM3641" s="115"/>
      <c r="CN3641" s="115"/>
      <c r="CO3641" s="115"/>
      <c r="CP3641" s="115"/>
      <c r="CQ3641" s="115"/>
      <c r="CR3641" s="115"/>
      <c r="CS3641" s="115"/>
      <c r="CT3641" s="115"/>
      <c r="CU3641" s="115"/>
      <c r="CV3641" s="115"/>
      <c r="CW3641" s="115"/>
      <c r="CX3641" s="115"/>
      <c r="CY3641" s="115"/>
      <c r="CZ3641" s="115"/>
      <c r="DA3641" s="115"/>
      <c r="DB3641" s="115"/>
      <c r="DC3641" s="115"/>
      <c r="DD3641" s="115"/>
      <c r="DE3641" s="115"/>
      <c r="DF3641" s="115"/>
      <c r="DG3641" s="115"/>
    </row>
    <row r="3642" spans="55:111" hidden="1">
      <c r="BC3642" s="115"/>
      <c r="BD3642" s="115"/>
      <c r="BE3642" s="115"/>
      <c r="BF3642" s="115"/>
      <c r="BG3642" s="115"/>
      <c r="BH3642" s="115"/>
      <c r="BI3642" s="115"/>
      <c r="BJ3642" s="115"/>
      <c r="BK3642" s="115"/>
      <c r="BL3642" s="115"/>
      <c r="BM3642" s="115"/>
      <c r="BN3642" s="115"/>
      <c r="BO3642" s="115"/>
      <c r="BP3642" s="115"/>
      <c r="BQ3642" s="115"/>
      <c r="BR3642" s="115"/>
      <c r="BS3642" s="115"/>
      <c r="BT3642" s="115"/>
      <c r="BU3642" s="115"/>
      <c r="BV3642" s="115"/>
      <c r="BW3642" s="115"/>
      <c r="BX3642" s="115"/>
      <c r="BY3642" s="115"/>
      <c r="BZ3642" s="115"/>
      <c r="CA3642" s="115"/>
      <c r="CB3642" s="115"/>
      <c r="CC3642" s="115"/>
      <c r="CD3642" s="115"/>
      <c r="CE3642" s="115"/>
      <c r="CF3642" s="115"/>
      <c r="CG3642" s="115"/>
      <c r="CH3642" s="115"/>
      <c r="CI3642" s="115"/>
      <c r="CJ3642" s="115"/>
      <c r="CK3642" s="115"/>
      <c r="CL3642" s="115"/>
      <c r="CM3642" s="115"/>
      <c r="CN3642" s="115"/>
      <c r="CO3642" s="115"/>
      <c r="CP3642" s="115"/>
      <c r="CQ3642" s="115"/>
      <c r="CR3642" s="115"/>
      <c r="CS3642" s="115"/>
      <c r="CT3642" s="115"/>
      <c r="CU3642" s="115"/>
      <c r="CV3642" s="115"/>
      <c r="CW3642" s="115"/>
      <c r="CX3642" s="115"/>
      <c r="CY3642" s="115"/>
      <c r="CZ3642" s="115"/>
      <c r="DA3642" s="115"/>
      <c r="DB3642" s="115"/>
      <c r="DC3642" s="115"/>
      <c r="DD3642" s="115"/>
      <c r="DE3642" s="115"/>
      <c r="DF3642" s="115"/>
      <c r="DG3642" s="115"/>
    </row>
    <row r="3643" spans="55:111" hidden="1">
      <c r="BC3643" s="115"/>
      <c r="BD3643" s="115"/>
      <c r="BE3643" s="115"/>
      <c r="BF3643" s="115"/>
      <c r="BG3643" s="115"/>
      <c r="BH3643" s="115"/>
      <c r="BI3643" s="115"/>
      <c r="BJ3643" s="115"/>
      <c r="BK3643" s="115"/>
      <c r="BL3643" s="115"/>
      <c r="BM3643" s="115"/>
      <c r="BN3643" s="115"/>
      <c r="BO3643" s="115"/>
      <c r="BP3643" s="115"/>
      <c r="BQ3643" s="115"/>
      <c r="BR3643" s="115"/>
      <c r="BS3643" s="115"/>
      <c r="BT3643" s="115"/>
      <c r="BU3643" s="115"/>
      <c r="BV3643" s="115"/>
      <c r="BW3643" s="115"/>
      <c r="BX3643" s="115"/>
      <c r="BY3643" s="115"/>
      <c r="BZ3643" s="115"/>
      <c r="CA3643" s="115"/>
      <c r="CB3643" s="115"/>
      <c r="CC3643" s="115"/>
      <c r="CD3643" s="115"/>
      <c r="CE3643" s="115"/>
      <c r="CF3643" s="115"/>
      <c r="CG3643" s="115"/>
      <c r="CH3643" s="115"/>
      <c r="CI3643" s="115"/>
      <c r="CJ3643" s="115"/>
      <c r="CK3643" s="115"/>
      <c r="CL3643" s="115"/>
      <c r="CM3643" s="115"/>
      <c r="CN3643" s="115"/>
      <c r="CO3643" s="115"/>
      <c r="CP3643" s="115"/>
      <c r="CQ3643" s="115"/>
      <c r="CR3643" s="115"/>
      <c r="CS3643" s="115"/>
      <c r="CT3643" s="115"/>
      <c r="CU3643" s="115"/>
      <c r="CV3643" s="115"/>
      <c r="CW3643" s="115"/>
      <c r="CX3643" s="115"/>
      <c r="CY3643" s="115"/>
      <c r="CZ3643" s="115"/>
      <c r="DA3643" s="115"/>
      <c r="DB3643" s="115"/>
      <c r="DC3643" s="115"/>
      <c r="DD3643" s="115"/>
      <c r="DE3643" s="115"/>
      <c r="DF3643" s="115"/>
      <c r="DG3643" s="115"/>
    </row>
    <row r="3644" spans="55:111" hidden="1">
      <c r="BC3644" s="115"/>
      <c r="BD3644" s="115"/>
      <c r="BE3644" s="115"/>
      <c r="BF3644" s="115"/>
      <c r="BG3644" s="115"/>
      <c r="BH3644" s="115"/>
      <c r="BI3644" s="115"/>
      <c r="BJ3644" s="115"/>
      <c r="BK3644" s="115"/>
      <c r="BL3644" s="115"/>
      <c r="BM3644" s="115"/>
      <c r="BN3644" s="115"/>
      <c r="BO3644" s="115"/>
      <c r="BP3644" s="115"/>
      <c r="BQ3644" s="115"/>
      <c r="BR3644" s="115"/>
      <c r="BS3644" s="115"/>
      <c r="BT3644" s="115"/>
      <c r="BU3644" s="115"/>
      <c r="BV3644" s="115"/>
      <c r="BW3644" s="115"/>
      <c r="BX3644" s="115"/>
      <c r="BY3644" s="115"/>
      <c r="BZ3644" s="115"/>
      <c r="CA3644" s="115"/>
      <c r="CB3644" s="115"/>
      <c r="CC3644" s="115"/>
      <c r="CD3644" s="115"/>
      <c r="CE3644" s="115"/>
      <c r="CF3644" s="115"/>
      <c r="CG3644" s="115"/>
      <c r="CH3644" s="115"/>
      <c r="CI3644" s="115"/>
      <c r="CJ3644" s="115"/>
      <c r="CK3644" s="115"/>
      <c r="CL3644" s="115"/>
      <c r="CM3644" s="115"/>
      <c r="CN3644" s="115"/>
      <c r="CO3644" s="115"/>
      <c r="CP3644" s="115"/>
      <c r="CQ3644" s="115"/>
      <c r="CR3644" s="115"/>
      <c r="CS3644" s="115"/>
      <c r="CT3644" s="115"/>
      <c r="CU3644" s="115"/>
      <c r="CV3644" s="115"/>
      <c r="CW3644" s="115"/>
      <c r="CX3644" s="115"/>
      <c r="CY3644" s="115"/>
      <c r="CZ3644" s="115"/>
      <c r="DA3644" s="115"/>
      <c r="DB3644" s="115"/>
      <c r="DC3644" s="115"/>
      <c r="DD3644" s="115"/>
      <c r="DE3644" s="115"/>
      <c r="DF3644" s="115"/>
      <c r="DG3644" s="115"/>
    </row>
    <row r="3645" spans="55:111" hidden="1">
      <c r="BC3645" s="115"/>
      <c r="BD3645" s="115"/>
      <c r="BE3645" s="115"/>
      <c r="BF3645" s="115"/>
      <c r="BG3645" s="115"/>
      <c r="BH3645" s="115"/>
      <c r="BI3645" s="115"/>
      <c r="BJ3645" s="115"/>
      <c r="BK3645" s="115"/>
      <c r="BL3645" s="115"/>
      <c r="BM3645" s="115"/>
      <c r="BN3645" s="115"/>
      <c r="BO3645" s="115"/>
      <c r="BP3645" s="115"/>
      <c r="BQ3645" s="115"/>
      <c r="BR3645" s="115"/>
      <c r="BS3645" s="115"/>
      <c r="BT3645" s="115"/>
      <c r="BU3645" s="115"/>
      <c r="BV3645" s="115"/>
      <c r="BW3645" s="115"/>
      <c r="BX3645" s="115"/>
      <c r="BY3645" s="115"/>
      <c r="BZ3645" s="115"/>
      <c r="CA3645" s="115"/>
      <c r="CB3645" s="115"/>
      <c r="CC3645" s="115"/>
      <c r="CD3645" s="115"/>
      <c r="CE3645" s="115"/>
      <c r="CF3645" s="115"/>
      <c r="CG3645" s="115"/>
      <c r="CH3645" s="115"/>
      <c r="CI3645" s="115"/>
      <c r="CJ3645" s="115"/>
      <c r="CK3645" s="115"/>
      <c r="CL3645" s="115"/>
      <c r="CM3645" s="115"/>
      <c r="CN3645" s="115"/>
      <c r="CO3645" s="115"/>
      <c r="CP3645" s="115"/>
      <c r="CQ3645" s="115"/>
      <c r="CR3645" s="115"/>
      <c r="CS3645" s="115"/>
      <c r="CT3645" s="115"/>
      <c r="CU3645" s="115"/>
      <c r="CV3645" s="115"/>
      <c r="CW3645" s="115"/>
      <c r="CX3645" s="115"/>
      <c r="CY3645" s="115"/>
      <c r="CZ3645" s="115"/>
      <c r="DA3645" s="115"/>
      <c r="DB3645" s="115"/>
      <c r="DC3645" s="115"/>
      <c r="DD3645" s="115"/>
      <c r="DE3645" s="115"/>
      <c r="DF3645" s="115"/>
      <c r="DG3645" s="115"/>
    </row>
    <row r="3646" spans="55:111" hidden="1">
      <c r="BC3646" s="115"/>
      <c r="BD3646" s="115"/>
      <c r="BE3646" s="115"/>
      <c r="BF3646" s="115"/>
      <c r="BG3646" s="115"/>
      <c r="BH3646" s="115"/>
      <c r="BI3646" s="115"/>
      <c r="BJ3646" s="115"/>
      <c r="BK3646" s="115"/>
      <c r="BL3646" s="115"/>
      <c r="BM3646" s="115"/>
      <c r="BN3646" s="115"/>
      <c r="BO3646" s="115"/>
      <c r="BP3646" s="115"/>
      <c r="BQ3646" s="115"/>
      <c r="BR3646" s="115"/>
      <c r="BS3646" s="115"/>
      <c r="BT3646" s="115"/>
      <c r="BU3646" s="115"/>
      <c r="BV3646" s="115"/>
      <c r="BW3646" s="115"/>
      <c r="BX3646" s="115"/>
      <c r="BY3646" s="115"/>
      <c r="BZ3646" s="115"/>
      <c r="CA3646" s="115"/>
      <c r="CB3646" s="115"/>
      <c r="CC3646" s="115"/>
      <c r="CD3646" s="115"/>
      <c r="CE3646" s="115"/>
      <c r="CF3646" s="115"/>
      <c r="CG3646" s="115"/>
      <c r="CH3646" s="115"/>
      <c r="CI3646" s="115"/>
      <c r="CJ3646" s="115"/>
      <c r="CK3646" s="115"/>
      <c r="CL3646" s="115"/>
      <c r="CM3646" s="115"/>
      <c r="CN3646" s="115"/>
      <c r="CO3646" s="115"/>
      <c r="CP3646" s="115"/>
      <c r="CQ3646" s="115"/>
      <c r="CR3646" s="115"/>
      <c r="CS3646" s="115"/>
      <c r="CT3646" s="115"/>
      <c r="CU3646" s="115"/>
      <c r="CV3646" s="115"/>
      <c r="CW3646" s="115"/>
      <c r="CX3646" s="115"/>
      <c r="CY3646" s="115"/>
      <c r="CZ3646" s="115"/>
      <c r="DA3646" s="115"/>
      <c r="DB3646" s="115"/>
      <c r="DC3646" s="115"/>
      <c r="DD3646" s="115"/>
      <c r="DE3646" s="115"/>
      <c r="DF3646" s="115"/>
      <c r="DG3646" s="115"/>
    </row>
    <row r="3647" spans="55:111" hidden="1">
      <c r="BC3647" s="115"/>
      <c r="BD3647" s="115"/>
      <c r="BE3647" s="115"/>
      <c r="BF3647" s="115"/>
      <c r="BG3647" s="115"/>
      <c r="BH3647" s="115"/>
      <c r="BI3647" s="115"/>
      <c r="BJ3647" s="115"/>
      <c r="BK3647" s="115"/>
      <c r="BL3647" s="115"/>
      <c r="BM3647" s="115"/>
      <c r="BN3647" s="115"/>
      <c r="BO3647" s="115"/>
      <c r="BP3647" s="115"/>
      <c r="BQ3647" s="115"/>
      <c r="BR3647" s="115"/>
      <c r="BS3647" s="115"/>
      <c r="BT3647" s="115"/>
      <c r="BU3647" s="115"/>
      <c r="BV3647" s="115"/>
      <c r="BW3647" s="115"/>
      <c r="BX3647" s="115"/>
      <c r="BY3647" s="115"/>
      <c r="BZ3647" s="115"/>
      <c r="CA3647" s="115"/>
      <c r="CB3647" s="115"/>
      <c r="CC3647" s="115"/>
      <c r="CD3647" s="115"/>
      <c r="CE3647" s="115"/>
      <c r="CF3647" s="115"/>
      <c r="CG3647" s="115"/>
      <c r="CH3647" s="115"/>
      <c r="CI3647" s="115"/>
      <c r="CJ3647" s="115"/>
      <c r="CK3647" s="115"/>
      <c r="CL3647" s="115"/>
      <c r="CM3647" s="115"/>
      <c r="CN3647" s="115"/>
      <c r="CO3647" s="115"/>
      <c r="CP3647" s="115"/>
      <c r="CQ3647" s="115"/>
      <c r="CR3647" s="115"/>
      <c r="CS3647" s="115"/>
      <c r="CT3647" s="115"/>
      <c r="CU3647" s="115"/>
      <c r="CV3647" s="115"/>
      <c r="CW3647" s="115"/>
      <c r="CX3647" s="115"/>
      <c r="CY3647" s="115"/>
      <c r="CZ3647" s="115"/>
      <c r="DA3647" s="115"/>
      <c r="DB3647" s="115"/>
      <c r="DC3647" s="115"/>
      <c r="DD3647" s="115"/>
      <c r="DE3647" s="115"/>
      <c r="DF3647" s="115"/>
      <c r="DG3647" s="115"/>
    </row>
    <row r="3648" spans="55:111" hidden="1">
      <c r="BC3648" s="115"/>
      <c r="BD3648" s="115"/>
      <c r="BE3648" s="115"/>
      <c r="BF3648" s="115"/>
      <c r="BG3648" s="115"/>
      <c r="BH3648" s="115"/>
      <c r="BI3648" s="115"/>
      <c r="BJ3648" s="115"/>
      <c r="BK3648" s="115"/>
      <c r="BL3648" s="115"/>
      <c r="BM3648" s="115"/>
      <c r="BN3648" s="115"/>
      <c r="BO3648" s="115"/>
      <c r="BP3648" s="115"/>
      <c r="BQ3648" s="115"/>
      <c r="BR3648" s="115"/>
      <c r="BS3648" s="115"/>
      <c r="BT3648" s="115"/>
      <c r="BU3648" s="115"/>
      <c r="BV3648" s="115"/>
      <c r="BW3648" s="115"/>
      <c r="BX3648" s="115"/>
      <c r="BY3648" s="115"/>
      <c r="BZ3648" s="115"/>
      <c r="CA3648" s="115"/>
      <c r="CB3648" s="115"/>
      <c r="CC3648" s="115"/>
      <c r="CD3648" s="115"/>
      <c r="CE3648" s="115"/>
      <c r="CF3648" s="115"/>
      <c r="CG3648" s="115"/>
      <c r="CH3648" s="115"/>
      <c r="CI3648" s="115"/>
      <c r="CJ3648" s="115"/>
      <c r="CK3648" s="115"/>
      <c r="CL3648" s="115"/>
      <c r="CM3648" s="115"/>
      <c r="CN3648" s="115"/>
      <c r="CO3648" s="115"/>
      <c r="CP3648" s="115"/>
      <c r="CQ3648" s="115"/>
      <c r="CR3648" s="115"/>
      <c r="CS3648" s="115"/>
      <c r="CT3648" s="115"/>
      <c r="CU3648" s="115"/>
      <c r="CV3648" s="115"/>
      <c r="CW3648" s="115"/>
      <c r="CX3648" s="115"/>
      <c r="CY3648" s="115"/>
      <c r="CZ3648" s="115"/>
      <c r="DA3648" s="115"/>
      <c r="DB3648" s="115"/>
      <c r="DC3648" s="115"/>
      <c r="DD3648" s="115"/>
      <c r="DE3648" s="115"/>
      <c r="DF3648" s="115"/>
      <c r="DG3648" s="115"/>
    </row>
    <row r="3649" spans="55:111" hidden="1">
      <c r="BC3649" s="115"/>
      <c r="BD3649" s="115"/>
      <c r="BE3649" s="115"/>
      <c r="BF3649" s="115"/>
      <c r="BG3649" s="115"/>
      <c r="BH3649" s="115"/>
      <c r="BI3649" s="115"/>
      <c r="BJ3649" s="115"/>
      <c r="BK3649" s="115"/>
      <c r="BL3649" s="115"/>
      <c r="BM3649" s="115"/>
      <c r="BN3649" s="115"/>
      <c r="BO3649" s="115"/>
      <c r="BP3649" s="115"/>
      <c r="BQ3649" s="115"/>
      <c r="BR3649" s="115"/>
      <c r="BS3649" s="115"/>
      <c r="BT3649" s="115"/>
      <c r="BU3649" s="115"/>
      <c r="BV3649" s="115"/>
      <c r="BW3649" s="115"/>
      <c r="BX3649" s="115"/>
      <c r="BY3649" s="115"/>
      <c r="BZ3649" s="115"/>
      <c r="CA3649" s="115"/>
      <c r="CB3649" s="115"/>
      <c r="CC3649" s="115"/>
      <c r="CD3649" s="115"/>
      <c r="CE3649" s="115"/>
      <c r="CF3649" s="115"/>
      <c r="CG3649" s="115"/>
      <c r="CH3649" s="115"/>
      <c r="CI3649" s="115"/>
      <c r="CJ3649" s="115"/>
      <c r="CK3649" s="115"/>
      <c r="CL3649" s="115"/>
      <c r="CM3649" s="115"/>
      <c r="CN3649" s="115"/>
      <c r="CO3649" s="115"/>
      <c r="CP3649" s="115"/>
      <c r="CQ3649" s="115"/>
      <c r="CR3649" s="115"/>
      <c r="CS3649" s="115"/>
      <c r="CT3649" s="115"/>
      <c r="CU3649" s="115"/>
      <c r="CV3649" s="115"/>
      <c r="CW3649" s="115"/>
      <c r="CX3649" s="115"/>
      <c r="CY3649" s="115"/>
      <c r="CZ3649" s="115"/>
      <c r="DA3649" s="115"/>
      <c r="DB3649" s="115"/>
      <c r="DC3649" s="115"/>
      <c r="DD3649" s="115"/>
      <c r="DE3649" s="115"/>
      <c r="DF3649" s="115"/>
      <c r="DG3649" s="115"/>
    </row>
    <row r="3650" spans="55:111" hidden="1">
      <c r="BC3650" s="115"/>
      <c r="BD3650" s="115"/>
      <c r="BE3650" s="115"/>
      <c r="BF3650" s="115"/>
      <c r="BG3650" s="115"/>
      <c r="BH3650" s="115"/>
      <c r="BI3650" s="115"/>
      <c r="BJ3650" s="115"/>
      <c r="BK3650" s="115"/>
      <c r="BL3650" s="115"/>
      <c r="BM3650" s="115"/>
      <c r="BN3650" s="115"/>
      <c r="BO3650" s="115"/>
      <c r="BP3650" s="115"/>
      <c r="BQ3650" s="115"/>
      <c r="BR3650" s="115"/>
      <c r="BS3650" s="115"/>
      <c r="BT3650" s="115"/>
      <c r="BU3650" s="115"/>
      <c r="BV3650" s="115"/>
      <c r="BW3650" s="115"/>
      <c r="BX3650" s="115"/>
      <c r="BY3650" s="115"/>
      <c r="BZ3650" s="115"/>
      <c r="CA3650" s="115"/>
      <c r="CB3650" s="115"/>
      <c r="CC3650" s="115"/>
      <c r="CD3650" s="115"/>
      <c r="CE3650" s="115"/>
      <c r="CF3650" s="115"/>
      <c r="CG3650" s="115"/>
      <c r="CH3650" s="115"/>
      <c r="CI3650" s="115"/>
      <c r="CJ3650" s="115"/>
      <c r="CK3650" s="115"/>
      <c r="CL3650" s="115"/>
      <c r="CM3650" s="115"/>
      <c r="CN3650" s="115"/>
      <c r="CO3650" s="115"/>
      <c r="CP3650" s="115"/>
      <c r="CQ3650" s="115"/>
      <c r="CR3650" s="115"/>
      <c r="CS3650" s="115"/>
      <c r="CT3650" s="115"/>
      <c r="CU3650" s="115"/>
      <c r="CV3650" s="115"/>
      <c r="CW3650" s="115"/>
      <c r="CX3650" s="115"/>
      <c r="CY3650" s="115"/>
      <c r="CZ3650" s="115"/>
      <c r="DA3650" s="115"/>
      <c r="DB3650" s="115"/>
      <c r="DC3650" s="115"/>
      <c r="DD3650" s="115"/>
      <c r="DE3650" s="115"/>
      <c r="DF3650" s="115"/>
      <c r="DG3650" s="115"/>
    </row>
    <row r="3651" spans="55:111" hidden="1">
      <c r="BC3651" s="115"/>
      <c r="BD3651" s="115"/>
      <c r="BE3651" s="115"/>
      <c r="BF3651" s="115"/>
      <c r="BG3651" s="115"/>
      <c r="BH3651" s="115"/>
      <c r="BI3651" s="115"/>
      <c r="BJ3651" s="115"/>
      <c r="BK3651" s="115"/>
      <c r="BL3651" s="115"/>
      <c r="BM3651" s="115"/>
      <c r="BN3651" s="115"/>
      <c r="BO3651" s="115"/>
      <c r="BP3651" s="115"/>
      <c r="BQ3651" s="115"/>
      <c r="BR3651" s="115"/>
      <c r="BS3651" s="115"/>
      <c r="BT3651" s="115"/>
      <c r="BU3651" s="115"/>
      <c r="BV3651" s="115"/>
      <c r="BW3651" s="115"/>
      <c r="BX3651" s="115"/>
      <c r="BY3651" s="115"/>
      <c r="BZ3651" s="115"/>
      <c r="CA3651" s="115"/>
      <c r="CB3651" s="115"/>
      <c r="CC3651" s="115"/>
      <c r="CD3651" s="115"/>
      <c r="CE3651" s="115"/>
      <c r="CF3651" s="115"/>
      <c r="CG3651" s="115"/>
      <c r="CH3651" s="115"/>
      <c r="CI3651" s="115"/>
      <c r="CJ3651" s="115"/>
      <c r="CK3651" s="115"/>
      <c r="CL3651" s="115"/>
      <c r="CM3651" s="115"/>
      <c r="CN3651" s="115"/>
      <c r="CO3651" s="115"/>
      <c r="CP3651" s="115"/>
      <c r="CQ3651" s="115"/>
      <c r="CR3651" s="115"/>
      <c r="CS3651" s="115"/>
      <c r="CT3651" s="115"/>
      <c r="CU3651" s="115"/>
      <c r="CV3651" s="115"/>
      <c r="CW3651" s="115"/>
      <c r="CX3651" s="115"/>
      <c r="CY3651" s="115"/>
      <c r="CZ3651" s="115"/>
      <c r="DA3651" s="115"/>
      <c r="DB3651" s="115"/>
      <c r="DC3651" s="115"/>
      <c r="DD3651" s="115"/>
      <c r="DE3651" s="115"/>
      <c r="DF3651" s="115"/>
      <c r="DG3651" s="115"/>
    </row>
    <row r="3652" spans="55:111" hidden="1">
      <c r="BC3652" s="115"/>
      <c r="BD3652" s="115"/>
      <c r="BE3652" s="115"/>
      <c r="BF3652" s="115"/>
      <c r="BG3652" s="115"/>
      <c r="BH3652" s="115"/>
      <c r="BI3652" s="115"/>
      <c r="BJ3652" s="115"/>
      <c r="BK3652" s="115"/>
      <c r="BL3652" s="115"/>
      <c r="BM3652" s="115"/>
      <c r="BN3652" s="115"/>
      <c r="BO3652" s="115"/>
      <c r="BP3652" s="115"/>
      <c r="BQ3652" s="115"/>
      <c r="BR3652" s="115"/>
      <c r="BS3652" s="115"/>
      <c r="BT3652" s="115"/>
      <c r="BU3652" s="115"/>
      <c r="BV3652" s="115"/>
      <c r="BW3652" s="115"/>
      <c r="BX3652" s="115"/>
      <c r="BY3652" s="115"/>
      <c r="BZ3652" s="115"/>
      <c r="CA3652" s="115"/>
      <c r="CB3652" s="115"/>
      <c r="CC3652" s="115"/>
      <c r="CD3652" s="115"/>
      <c r="CE3652" s="115"/>
      <c r="CF3652" s="115"/>
      <c r="CG3652" s="115"/>
      <c r="CH3652" s="115"/>
      <c r="CI3652" s="115"/>
      <c r="CJ3652" s="115"/>
      <c r="CK3652" s="115"/>
      <c r="CL3652" s="115"/>
      <c r="CM3652" s="115"/>
      <c r="CN3652" s="115"/>
      <c r="CO3652" s="115"/>
      <c r="CP3652" s="115"/>
      <c r="CQ3652" s="115"/>
      <c r="CR3652" s="115"/>
      <c r="CS3652" s="115"/>
      <c r="CT3652" s="115"/>
      <c r="CU3652" s="115"/>
      <c r="CV3652" s="115"/>
      <c r="CW3652" s="115"/>
      <c r="CX3652" s="115"/>
      <c r="CY3652" s="115"/>
      <c r="CZ3652" s="115"/>
      <c r="DA3652" s="115"/>
      <c r="DB3652" s="115"/>
      <c r="DC3652" s="115"/>
      <c r="DD3652" s="115"/>
      <c r="DE3652" s="115"/>
      <c r="DF3652" s="115"/>
      <c r="DG3652" s="115"/>
    </row>
    <row r="3653" spans="55:111" hidden="1">
      <c r="BC3653" s="115"/>
      <c r="BD3653" s="115"/>
      <c r="BE3653" s="115"/>
      <c r="BF3653" s="115"/>
      <c r="BG3653" s="115"/>
      <c r="BH3653" s="115"/>
      <c r="BI3653" s="115"/>
      <c r="BJ3653" s="115"/>
      <c r="BK3653" s="115"/>
      <c r="BL3653" s="115"/>
      <c r="BM3653" s="115"/>
      <c r="BN3653" s="115"/>
      <c r="BO3653" s="115"/>
      <c r="BP3653" s="115"/>
      <c r="BQ3653" s="115"/>
      <c r="BR3653" s="115"/>
      <c r="BS3653" s="115"/>
      <c r="BT3653" s="115"/>
      <c r="BU3653" s="115"/>
      <c r="BV3653" s="115"/>
      <c r="BW3653" s="115"/>
      <c r="BX3653" s="115"/>
      <c r="BY3653" s="115"/>
      <c r="BZ3653" s="115"/>
      <c r="CA3653" s="115"/>
      <c r="CB3653" s="115"/>
      <c r="CC3653" s="115"/>
      <c r="CD3653" s="115"/>
      <c r="CE3653" s="115"/>
      <c r="CF3653" s="115"/>
      <c r="CG3653" s="115"/>
      <c r="CH3653" s="115"/>
      <c r="CI3653" s="115"/>
      <c r="CJ3653" s="115"/>
      <c r="CK3653" s="115"/>
      <c r="CL3653" s="115"/>
      <c r="CM3653" s="115"/>
      <c r="CN3653" s="115"/>
      <c r="CO3653" s="115"/>
      <c r="CP3653" s="115"/>
      <c r="CQ3653" s="115"/>
      <c r="CR3653" s="115"/>
      <c r="CS3653" s="115"/>
      <c r="CT3653" s="115"/>
      <c r="CU3653" s="115"/>
      <c r="CV3653" s="115"/>
      <c r="CW3653" s="115"/>
      <c r="CX3653" s="115"/>
      <c r="CY3653" s="115"/>
      <c r="CZ3653" s="115"/>
      <c r="DA3653" s="115"/>
      <c r="DB3653" s="115"/>
      <c r="DC3653" s="115"/>
      <c r="DD3653" s="115"/>
      <c r="DE3653" s="115"/>
      <c r="DF3653" s="115"/>
      <c r="DG3653" s="115"/>
    </row>
    <row r="3654" spans="55:111" hidden="1">
      <c r="BC3654" s="115"/>
      <c r="BD3654" s="115"/>
      <c r="BE3654" s="115"/>
      <c r="BF3654" s="115"/>
      <c r="BG3654" s="115"/>
      <c r="BH3654" s="115"/>
      <c r="BI3654" s="115"/>
      <c r="BJ3654" s="115"/>
      <c r="BK3654" s="115"/>
      <c r="BL3654" s="115"/>
      <c r="BM3654" s="115"/>
      <c r="BN3654" s="115"/>
      <c r="BO3654" s="115"/>
      <c r="BP3654" s="115"/>
      <c r="BQ3654" s="115"/>
      <c r="BR3654" s="115"/>
      <c r="BS3654" s="115"/>
      <c r="BT3654" s="115"/>
      <c r="BU3654" s="115"/>
      <c r="BV3654" s="115"/>
      <c r="BW3654" s="115"/>
      <c r="BX3654" s="115"/>
      <c r="BY3654" s="115"/>
      <c r="BZ3654" s="115"/>
      <c r="CA3654" s="115"/>
      <c r="CB3654" s="115"/>
      <c r="CC3654" s="115"/>
      <c r="CD3654" s="115"/>
      <c r="CE3654" s="115"/>
      <c r="CF3654" s="115"/>
      <c r="CG3654" s="115"/>
      <c r="CH3654" s="115"/>
      <c r="CI3654" s="115"/>
      <c r="CJ3654" s="115"/>
      <c r="CK3654" s="115"/>
      <c r="CL3654" s="115"/>
      <c r="CM3654" s="115"/>
      <c r="CN3654" s="115"/>
      <c r="CO3654" s="115"/>
      <c r="CP3654" s="115"/>
      <c r="CQ3654" s="115"/>
      <c r="CR3654" s="115"/>
      <c r="CS3654" s="115"/>
      <c r="CT3654" s="115"/>
      <c r="CU3654" s="115"/>
      <c r="CV3654" s="115"/>
      <c r="CW3654" s="115"/>
      <c r="CX3654" s="115"/>
      <c r="CY3654" s="115"/>
      <c r="CZ3654" s="115"/>
      <c r="DA3654" s="115"/>
      <c r="DB3654" s="115"/>
      <c r="DC3654" s="115"/>
      <c r="DD3654" s="115"/>
      <c r="DE3654" s="115"/>
      <c r="DF3654" s="115"/>
      <c r="DG3654" s="115"/>
    </row>
    <row r="3655" spans="55:111" hidden="1">
      <c r="BC3655" s="115"/>
      <c r="BD3655" s="115"/>
      <c r="BE3655" s="115"/>
      <c r="BF3655" s="115"/>
      <c r="BG3655" s="115"/>
      <c r="BH3655" s="115"/>
      <c r="BI3655" s="115"/>
      <c r="BJ3655" s="115"/>
      <c r="BK3655" s="115"/>
      <c r="BL3655" s="115"/>
      <c r="BM3655" s="115"/>
      <c r="BN3655" s="115"/>
      <c r="BO3655" s="115"/>
      <c r="BP3655" s="115"/>
      <c r="BQ3655" s="115"/>
      <c r="BR3655" s="115"/>
      <c r="BS3655" s="115"/>
      <c r="BT3655" s="115"/>
      <c r="BU3655" s="115"/>
      <c r="BV3655" s="115"/>
      <c r="BW3655" s="115"/>
      <c r="BX3655" s="115"/>
      <c r="BY3655" s="115"/>
      <c r="BZ3655" s="115"/>
      <c r="CA3655" s="115"/>
      <c r="CB3655" s="115"/>
      <c r="CC3655" s="115"/>
      <c r="CD3655" s="115"/>
      <c r="CE3655" s="115"/>
      <c r="CF3655" s="115"/>
      <c r="CG3655" s="115"/>
      <c r="CH3655" s="115"/>
      <c r="CI3655" s="115"/>
      <c r="CJ3655" s="115"/>
      <c r="CK3655" s="115"/>
      <c r="CL3655" s="115"/>
      <c r="CM3655" s="115"/>
      <c r="CN3655" s="115"/>
      <c r="CO3655" s="115"/>
      <c r="CP3655" s="115"/>
      <c r="CQ3655" s="115"/>
      <c r="CR3655" s="115"/>
      <c r="CS3655" s="115"/>
      <c r="CT3655" s="115"/>
      <c r="CU3655" s="115"/>
      <c r="CV3655" s="115"/>
      <c r="CW3655" s="115"/>
      <c r="CX3655" s="115"/>
      <c r="CY3655" s="115"/>
      <c r="CZ3655" s="115"/>
      <c r="DA3655" s="115"/>
      <c r="DB3655" s="115"/>
      <c r="DC3655" s="115"/>
      <c r="DD3655" s="115"/>
      <c r="DE3655" s="115"/>
      <c r="DF3655" s="115"/>
      <c r="DG3655" s="115"/>
    </row>
    <row r="3656" spans="55:111" hidden="1">
      <c r="BC3656" s="115"/>
      <c r="BD3656" s="115"/>
      <c r="BE3656" s="115"/>
      <c r="BF3656" s="115"/>
      <c r="BG3656" s="115"/>
      <c r="BH3656" s="115"/>
      <c r="BI3656" s="115"/>
      <c r="BJ3656" s="115"/>
      <c r="BK3656" s="115"/>
      <c r="BL3656" s="115"/>
      <c r="BM3656" s="115"/>
      <c r="BN3656" s="115"/>
      <c r="BO3656" s="115"/>
      <c r="BP3656" s="115"/>
      <c r="BQ3656" s="115"/>
      <c r="BR3656" s="115"/>
      <c r="BS3656" s="115"/>
      <c r="BT3656" s="115"/>
      <c r="BU3656" s="115"/>
      <c r="BV3656" s="115"/>
      <c r="BW3656" s="115"/>
      <c r="BX3656" s="115"/>
      <c r="BY3656" s="115"/>
      <c r="BZ3656" s="115"/>
      <c r="CA3656" s="115"/>
      <c r="CB3656" s="115"/>
      <c r="CC3656" s="115"/>
      <c r="CD3656" s="115"/>
      <c r="CE3656" s="115"/>
      <c r="CF3656" s="115"/>
      <c r="CG3656" s="115"/>
      <c r="CH3656" s="115"/>
      <c r="CI3656" s="115"/>
      <c r="CJ3656" s="115"/>
      <c r="CK3656" s="115"/>
      <c r="CL3656" s="115"/>
      <c r="CM3656" s="115"/>
      <c r="CN3656" s="115"/>
      <c r="CO3656" s="115"/>
      <c r="CP3656" s="115"/>
      <c r="CQ3656" s="115"/>
      <c r="CR3656" s="115"/>
      <c r="CS3656" s="115"/>
      <c r="CT3656" s="115"/>
      <c r="CU3656" s="115"/>
      <c r="CV3656" s="115"/>
      <c r="CW3656" s="115"/>
      <c r="CX3656" s="115"/>
      <c r="CY3656" s="115"/>
      <c r="CZ3656" s="115"/>
      <c r="DA3656" s="115"/>
      <c r="DB3656" s="115"/>
      <c r="DC3656" s="115"/>
      <c r="DD3656" s="115"/>
      <c r="DE3656" s="115"/>
      <c r="DF3656" s="115"/>
      <c r="DG3656" s="115"/>
    </row>
    <row r="3657" spans="55:111" hidden="1">
      <c r="BC3657" s="115"/>
      <c r="BD3657" s="115"/>
      <c r="BE3657" s="115"/>
      <c r="BF3657" s="115"/>
      <c r="BG3657" s="115"/>
      <c r="BH3657" s="115"/>
      <c r="BI3657" s="115"/>
      <c r="BJ3657" s="115"/>
      <c r="BK3657" s="115"/>
      <c r="BL3657" s="115"/>
      <c r="BM3657" s="115"/>
      <c r="BN3657" s="115"/>
      <c r="BO3657" s="115"/>
      <c r="BP3657" s="115"/>
      <c r="BQ3657" s="115"/>
      <c r="BR3657" s="115"/>
      <c r="BS3657" s="115"/>
      <c r="BT3657" s="115"/>
      <c r="BU3657" s="115"/>
      <c r="BV3657" s="115"/>
      <c r="BW3657" s="115"/>
      <c r="BX3657" s="115"/>
      <c r="BY3657" s="115"/>
      <c r="BZ3657" s="115"/>
      <c r="CA3657" s="115"/>
      <c r="CB3657" s="115"/>
      <c r="CC3657" s="115"/>
      <c r="CD3657" s="115"/>
      <c r="CE3657" s="115"/>
      <c r="CF3657" s="115"/>
      <c r="CG3657" s="115"/>
      <c r="CH3657" s="115"/>
      <c r="CI3657" s="115"/>
      <c r="CJ3657" s="115"/>
      <c r="CK3657" s="115"/>
      <c r="CL3657" s="115"/>
      <c r="CM3657" s="115"/>
      <c r="CN3657" s="115"/>
      <c r="CO3657" s="115"/>
      <c r="CP3657" s="115"/>
      <c r="CQ3657" s="115"/>
      <c r="CR3657" s="115"/>
      <c r="CS3657" s="115"/>
      <c r="CT3657" s="115"/>
      <c r="CU3657" s="115"/>
      <c r="CV3657" s="115"/>
      <c r="CW3657" s="115"/>
      <c r="CX3657" s="115"/>
      <c r="CY3657" s="115"/>
      <c r="CZ3657" s="115"/>
      <c r="DA3657" s="115"/>
      <c r="DB3657" s="115"/>
      <c r="DC3657" s="115"/>
      <c r="DD3657" s="115"/>
      <c r="DE3657" s="115"/>
      <c r="DF3657" s="115"/>
      <c r="DG3657" s="115"/>
    </row>
    <row r="3658" spans="55:111" hidden="1">
      <c r="BC3658" s="115"/>
      <c r="BD3658" s="115"/>
      <c r="BE3658" s="115"/>
      <c r="BF3658" s="115"/>
      <c r="BG3658" s="115"/>
      <c r="BH3658" s="115"/>
      <c r="BI3658" s="115"/>
      <c r="BJ3658" s="115"/>
      <c r="BK3658" s="115"/>
      <c r="BL3658" s="115"/>
      <c r="BM3658" s="115"/>
      <c r="BN3658" s="115"/>
      <c r="BO3658" s="115"/>
      <c r="BP3658" s="115"/>
      <c r="BQ3658" s="115"/>
      <c r="BR3658" s="115"/>
      <c r="BS3658" s="115"/>
      <c r="BT3658" s="115"/>
      <c r="BU3658" s="115"/>
      <c r="BV3658" s="115"/>
      <c r="BW3658" s="115"/>
      <c r="BX3658" s="115"/>
      <c r="BY3658" s="115"/>
      <c r="BZ3658" s="115"/>
      <c r="CA3658" s="115"/>
      <c r="CB3658" s="115"/>
      <c r="CC3658" s="115"/>
      <c r="CD3658" s="115"/>
      <c r="CE3658" s="115"/>
      <c r="CF3658" s="115"/>
      <c r="CG3658" s="115"/>
      <c r="CH3658" s="115"/>
      <c r="CI3658" s="115"/>
      <c r="CJ3658" s="115"/>
      <c r="CK3658" s="115"/>
      <c r="CL3658" s="115"/>
      <c r="CM3658" s="115"/>
      <c r="CN3658" s="115"/>
      <c r="CO3658" s="115"/>
      <c r="CP3658" s="115"/>
      <c r="CQ3658" s="115"/>
      <c r="CR3658" s="115"/>
      <c r="CS3658" s="115"/>
      <c r="CT3658" s="115"/>
      <c r="CU3658" s="115"/>
      <c r="CV3658" s="115"/>
      <c r="CW3658" s="115"/>
      <c r="CX3658" s="115"/>
      <c r="CY3658" s="115"/>
      <c r="CZ3658" s="115"/>
      <c r="DA3658" s="115"/>
      <c r="DB3658" s="115"/>
      <c r="DC3658" s="115"/>
      <c r="DD3658" s="115"/>
      <c r="DE3658" s="115"/>
      <c r="DF3658" s="115"/>
      <c r="DG3658" s="115"/>
    </row>
    <row r="3659" spans="55:111" hidden="1">
      <c r="BC3659" s="115"/>
      <c r="BD3659" s="115"/>
      <c r="BE3659" s="115"/>
      <c r="BF3659" s="115"/>
      <c r="BG3659" s="115"/>
      <c r="BH3659" s="115"/>
      <c r="BI3659" s="115"/>
      <c r="BJ3659" s="115"/>
      <c r="BK3659" s="115"/>
      <c r="BL3659" s="115"/>
      <c r="BM3659" s="115"/>
      <c r="BN3659" s="115"/>
      <c r="BO3659" s="115"/>
      <c r="BP3659" s="115"/>
      <c r="BQ3659" s="115"/>
      <c r="BR3659" s="115"/>
      <c r="BS3659" s="115"/>
      <c r="BT3659" s="115"/>
      <c r="BU3659" s="115"/>
      <c r="BV3659" s="115"/>
      <c r="BW3659" s="115"/>
      <c r="BX3659" s="115"/>
      <c r="BY3659" s="115"/>
      <c r="BZ3659" s="115"/>
      <c r="CA3659" s="115"/>
      <c r="CB3659" s="115"/>
      <c r="CC3659" s="115"/>
      <c r="CD3659" s="115"/>
      <c r="CE3659" s="115"/>
      <c r="CF3659" s="115"/>
      <c r="CG3659" s="115"/>
      <c r="CH3659" s="115"/>
      <c r="CI3659" s="115"/>
      <c r="CJ3659" s="115"/>
      <c r="CK3659" s="115"/>
      <c r="CL3659" s="115"/>
      <c r="CM3659" s="115"/>
      <c r="CN3659" s="115"/>
      <c r="CO3659" s="115"/>
      <c r="CP3659" s="115"/>
      <c r="CQ3659" s="115"/>
      <c r="CR3659" s="115"/>
      <c r="CS3659" s="115"/>
      <c r="CT3659" s="115"/>
      <c r="CU3659" s="115"/>
      <c r="CV3659" s="115"/>
      <c r="CW3659" s="115"/>
      <c r="CX3659" s="115"/>
      <c r="CY3659" s="115"/>
      <c r="CZ3659" s="115"/>
      <c r="DA3659" s="115"/>
      <c r="DB3659" s="115"/>
      <c r="DC3659" s="115"/>
      <c r="DD3659" s="115"/>
      <c r="DE3659" s="115"/>
      <c r="DF3659" s="115"/>
      <c r="DG3659" s="115"/>
    </row>
    <row r="3660" spans="55:111" hidden="1">
      <c r="BC3660" s="115"/>
      <c r="BD3660" s="115"/>
      <c r="BE3660" s="115"/>
      <c r="BF3660" s="115"/>
      <c r="BG3660" s="115"/>
      <c r="BH3660" s="115"/>
      <c r="BI3660" s="115"/>
      <c r="BJ3660" s="115"/>
      <c r="BK3660" s="115"/>
      <c r="BL3660" s="115"/>
      <c r="BM3660" s="115"/>
      <c r="BN3660" s="115"/>
      <c r="BO3660" s="115"/>
      <c r="BP3660" s="115"/>
      <c r="BQ3660" s="115"/>
      <c r="BR3660" s="115"/>
      <c r="BS3660" s="115"/>
      <c r="BT3660" s="115"/>
      <c r="BU3660" s="115"/>
      <c r="BV3660" s="115"/>
      <c r="BW3660" s="115"/>
      <c r="BX3660" s="115"/>
      <c r="BY3660" s="115"/>
      <c r="BZ3660" s="115"/>
      <c r="CA3660" s="115"/>
      <c r="CB3660" s="115"/>
      <c r="CC3660" s="115"/>
      <c r="CD3660" s="115"/>
      <c r="CE3660" s="115"/>
      <c r="CF3660" s="115"/>
      <c r="CG3660" s="115"/>
      <c r="CH3660" s="115"/>
      <c r="CI3660" s="115"/>
      <c r="CJ3660" s="115"/>
      <c r="CK3660" s="115"/>
      <c r="CL3660" s="115"/>
      <c r="CM3660" s="115"/>
      <c r="CN3660" s="115"/>
      <c r="CO3660" s="115"/>
      <c r="CP3660" s="115"/>
      <c r="CQ3660" s="115"/>
      <c r="CR3660" s="115"/>
      <c r="CS3660" s="115"/>
      <c r="CT3660" s="115"/>
      <c r="CU3660" s="115"/>
      <c r="CV3660" s="115"/>
      <c r="CW3660" s="115"/>
      <c r="CX3660" s="115"/>
      <c r="CY3660" s="115"/>
      <c r="CZ3660" s="115"/>
      <c r="DA3660" s="115"/>
      <c r="DB3660" s="115"/>
      <c r="DC3660" s="115"/>
      <c r="DD3660" s="115"/>
      <c r="DE3660" s="115"/>
      <c r="DF3660" s="115"/>
      <c r="DG3660" s="115"/>
    </row>
    <row r="3661" spans="55:111" hidden="1">
      <c r="BC3661" s="115"/>
      <c r="BD3661" s="115"/>
      <c r="BE3661" s="115"/>
      <c r="BF3661" s="115"/>
      <c r="BG3661" s="115"/>
      <c r="BH3661" s="115"/>
      <c r="BI3661" s="115"/>
      <c r="BJ3661" s="115"/>
      <c r="BK3661" s="115"/>
      <c r="BL3661" s="115"/>
      <c r="BM3661" s="115"/>
      <c r="BN3661" s="115"/>
      <c r="BO3661" s="115"/>
      <c r="BP3661" s="115"/>
      <c r="BQ3661" s="115"/>
      <c r="BR3661" s="115"/>
      <c r="BS3661" s="115"/>
      <c r="BT3661" s="115"/>
      <c r="BU3661" s="115"/>
      <c r="BV3661" s="115"/>
      <c r="BW3661" s="115"/>
      <c r="BX3661" s="115"/>
      <c r="BY3661" s="115"/>
      <c r="BZ3661" s="115"/>
      <c r="CA3661" s="115"/>
      <c r="CB3661" s="115"/>
      <c r="CC3661" s="115"/>
      <c r="CD3661" s="115"/>
      <c r="CE3661" s="115"/>
      <c r="CF3661" s="115"/>
      <c r="CG3661" s="115"/>
      <c r="CH3661" s="115"/>
      <c r="CI3661" s="115"/>
      <c r="CJ3661" s="115"/>
      <c r="CK3661" s="115"/>
      <c r="CL3661" s="115"/>
      <c r="CM3661" s="115"/>
      <c r="CN3661" s="115"/>
      <c r="CO3661" s="115"/>
      <c r="CP3661" s="115"/>
      <c r="CQ3661" s="115"/>
      <c r="CR3661" s="115"/>
      <c r="CS3661" s="115"/>
      <c r="CT3661" s="115"/>
      <c r="CU3661" s="115"/>
      <c r="CV3661" s="115"/>
      <c r="CW3661" s="115"/>
      <c r="CX3661" s="115"/>
      <c r="CY3661" s="115"/>
      <c r="CZ3661" s="115"/>
      <c r="DA3661" s="115"/>
      <c r="DB3661" s="115"/>
      <c r="DC3661" s="115"/>
      <c r="DD3661" s="115"/>
      <c r="DE3661" s="115"/>
      <c r="DF3661" s="115"/>
      <c r="DG3661" s="115"/>
    </row>
    <row r="3662" spans="55:111" hidden="1">
      <c r="BC3662" s="115"/>
      <c r="BD3662" s="115"/>
      <c r="BE3662" s="115"/>
      <c r="BF3662" s="115"/>
      <c r="BG3662" s="115"/>
      <c r="BH3662" s="115"/>
      <c r="BI3662" s="115"/>
      <c r="BJ3662" s="115"/>
      <c r="BK3662" s="115"/>
      <c r="BL3662" s="115"/>
      <c r="BM3662" s="115"/>
      <c r="BN3662" s="115"/>
      <c r="BO3662" s="115"/>
      <c r="BP3662" s="115"/>
      <c r="BQ3662" s="115"/>
      <c r="BR3662" s="115"/>
      <c r="BS3662" s="115"/>
      <c r="BT3662" s="115"/>
      <c r="BU3662" s="115"/>
      <c r="BV3662" s="115"/>
      <c r="BW3662" s="115"/>
      <c r="BX3662" s="115"/>
      <c r="BY3662" s="115"/>
      <c r="BZ3662" s="115"/>
      <c r="CA3662" s="115"/>
      <c r="CB3662" s="115"/>
      <c r="CC3662" s="115"/>
      <c r="CD3662" s="115"/>
      <c r="CE3662" s="115"/>
      <c r="CF3662" s="115"/>
      <c r="CG3662" s="115"/>
      <c r="CH3662" s="115"/>
      <c r="CI3662" s="115"/>
      <c r="CJ3662" s="115"/>
      <c r="CK3662" s="115"/>
      <c r="CL3662" s="115"/>
      <c r="CM3662" s="115"/>
      <c r="CN3662" s="115"/>
      <c r="CO3662" s="115"/>
      <c r="CP3662" s="115"/>
      <c r="CQ3662" s="115"/>
      <c r="CR3662" s="115"/>
      <c r="CS3662" s="115"/>
      <c r="CT3662" s="115"/>
      <c r="CU3662" s="115"/>
      <c r="CV3662" s="115"/>
      <c r="CW3662" s="115"/>
      <c r="CX3662" s="115"/>
      <c r="CY3662" s="115"/>
      <c r="CZ3662" s="115"/>
      <c r="DA3662" s="115"/>
      <c r="DB3662" s="115"/>
      <c r="DC3662" s="115"/>
      <c r="DD3662" s="115"/>
      <c r="DE3662" s="115"/>
      <c r="DF3662" s="115"/>
      <c r="DG3662" s="115"/>
    </row>
    <row r="3663" spans="55:111" hidden="1">
      <c r="BC3663" s="115"/>
      <c r="BD3663" s="115"/>
      <c r="BE3663" s="115"/>
      <c r="BF3663" s="115"/>
      <c r="BG3663" s="115"/>
      <c r="BH3663" s="115"/>
      <c r="BI3663" s="115"/>
      <c r="BJ3663" s="115"/>
      <c r="BK3663" s="115"/>
      <c r="BL3663" s="115"/>
      <c r="BM3663" s="115"/>
      <c r="BN3663" s="115"/>
      <c r="BO3663" s="115"/>
      <c r="BP3663" s="115"/>
      <c r="BQ3663" s="115"/>
      <c r="BR3663" s="115"/>
      <c r="BS3663" s="115"/>
      <c r="BT3663" s="115"/>
      <c r="BU3663" s="115"/>
      <c r="BV3663" s="115"/>
      <c r="BW3663" s="115"/>
      <c r="BX3663" s="115"/>
      <c r="BY3663" s="115"/>
      <c r="BZ3663" s="115"/>
      <c r="CA3663" s="115"/>
      <c r="CB3663" s="115"/>
      <c r="CC3663" s="115"/>
      <c r="CD3663" s="115"/>
      <c r="CE3663" s="115"/>
      <c r="CF3663" s="115"/>
      <c r="CG3663" s="115"/>
      <c r="CH3663" s="115"/>
      <c r="CI3663" s="115"/>
      <c r="CJ3663" s="115"/>
      <c r="CK3663" s="115"/>
      <c r="CL3663" s="115"/>
      <c r="CM3663" s="115"/>
      <c r="CN3663" s="115"/>
      <c r="CO3663" s="115"/>
      <c r="CP3663" s="115"/>
      <c r="CQ3663" s="115"/>
      <c r="CR3663" s="115"/>
      <c r="CS3663" s="115"/>
      <c r="CT3663" s="115"/>
      <c r="CU3663" s="115"/>
      <c r="CV3663" s="115"/>
      <c r="CW3663" s="115"/>
      <c r="CX3663" s="115"/>
      <c r="CY3663" s="115"/>
      <c r="CZ3663" s="115"/>
      <c r="DA3663" s="115"/>
      <c r="DB3663" s="115"/>
      <c r="DC3663" s="115"/>
      <c r="DD3663" s="115"/>
      <c r="DE3663" s="115"/>
      <c r="DF3663" s="115"/>
      <c r="DG3663" s="115"/>
    </row>
    <row r="3664" spans="55:111" hidden="1">
      <c r="BC3664" s="115"/>
      <c r="BD3664" s="115"/>
      <c r="BE3664" s="115"/>
      <c r="BF3664" s="115"/>
      <c r="BG3664" s="115"/>
      <c r="BH3664" s="115"/>
      <c r="BI3664" s="115"/>
      <c r="BJ3664" s="115"/>
      <c r="BK3664" s="115"/>
      <c r="BL3664" s="115"/>
      <c r="BM3664" s="115"/>
      <c r="BN3664" s="115"/>
      <c r="BO3664" s="115"/>
      <c r="BP3664" s="115"/>
      <c r="BQ3664" s="115"/>
      <c r="BR3664" s="115"/>
      <c r="BS3664" s="115"/>
      <c r="BT3664" s="115"/>
      <c r="BU3664" s="115"/>
      <c r="BV3664" s="115"/>
      <c r="BW3664" s="115"/>
      <c r="BX3664" s="115"/>
      <c r="BY3664" s="115"/>
      <c r="BZ3664" s="115"/>
      <c r="CA3664" s="115"/>
      <c r="CB3664" s="115"/>
      <c r="CC3664" s="115"/>
      <c r="CD3664" s="115"/>
      <c r="CE3664" s="115"/>
      <c r="CF3664" s="115"/>
      <c r="CG3664" s="115"/>
      <c r="CH3664" s="115"/>
      <c r="CI3664" s="115"/>
      <c r="CJ3664" s="115"/>
      <c r="CK3664" s="115"/>
      <c r="CL3664" s="115"/>
      <c r="CM3664" s="115"/>
      <c r="CN3664" s="115"/>
      <c r="CO3664" s="115"/>
      <c r="CP3664" s="115"/>
      <c r="CQ3664" s="115"/>
      <c r="CR3664" s="115"/>
      <c r="CS3664" s="115"/>
      <c r="CT3664" s="115"/>
      <c r="CU3664" s="115"/>
      <c r="CV3664" s="115"/>
      <c r="CW3664" s="115"/>
      <c r="CX3664" s="115"/>
      <c r="CY3664" s="115"/>
      <c r="CZ3664" s="115"/>
      <c r="DA3664" s="115"/>
      <c r="DB3664" s="115"/>
      <c r="DC3664" s="115"/>
      <c r="DD3664" s="115"/>
      <c r="DE3664" s="115"/>
      <c r="DF3664" s="115"/>
      <c r="DG3664" s="115"/>
    </row>
    <row r="3665" spans="55:111" hidden="1">
      <c r="BC3665" s="115"/>
      <c r="BD3665" s="115"/>
      <c r="BE3665" s="115"/>
      <c r="BF3665" s="115"/>
      <c r="BG3665" s="115"/>
      <c r="BH3665" s="115"/>
      <c r="BI3665" s="115"/>
      <c r="BJ3665" s="115"/>
      <c r="BK3665" s="115"/>
      <c r="BL3665" s="115"/>
      <c r="BM3665" s="115"/>
      <c r="BN3665" s="115"/>
      <c r="BO3665" s="115"/>
      <c r="BP3665" s="115"/>
      <c r="BQ3665" s="115"/>
      <c r="BR3665" s="115"/>
      <c r="BS3665" s="115"/>
      <c r="BT3665" s="115"/>
      <c r="BU3665" s="115"/>
      <c r="BV3665" s="115"/>
      <c r="BW3665" s="115"/>
      <c r="BX3665" s="115"/>
      <c r="BY3665" s="115"/>
      <c r="BZ3665" s="115"/>
      <c r="CA3665" s="115"/>
      <c r="CB3665" s="115"/>
      <c r="CC3665" s="115"/>
      <c r="CD3665" s="115"/>
      <c r="CE3665" s="115"/>
      <c r="CF3665" s="115"/>
      <c r="CG3665" s="115"/>
      <c r="CH3665" s="115"/>
      <c r="CI3665" s="115"/>
      <c r="CJ3665" s="115"/>
      <c r="CK3665" s="115"/>
      <c r="CL3665" s="115"/>
      <c r="CM3665" s="115"/>
      <c r="CN3665" s="115"/>
      <c r="CO3665" s="115"/>
      <c r="CP3665" s="115"/>
      <c r="CQ3665" s="115"/>
      <c r="CR3665" s="115"/>
      <c r="CS3665" s="115"/>
      <c r="CT3665" s="115"/>
      <c r="CU3665" s="115"/>
      <c r="CV3665" s="115"/>
      <c r="CW3665" s="115"/>
      <c r="CX3665" s="115"/>
      <c r="CY3665" s="115"/>
      <c r="CZ3665" s="115"/>
      <c r="DA3665" s="115"/>
      <c r="DB3665" s="115"/>
      <c r="DC3665" s="115"/>
      <c r="DD3665" s="115"/>
      <c r="DE3665" s="115"/>
      <c r="DF3665" s="115"/>
      <c r="DG3665" s="115"/>
    </row>
    <row r="3666" spans="55:111" hidden="1">
      <c r="BC3666" s="115"/>
      <c r="BD3666" s="115"/>
      <c r="BE3666" s="115"/>
      <c r="BF3666" s="115"/>
      <c r="BG3666" s="115"/>
      <c r="BH3666" s="115"/>
      <c r="BI3666" s="115"/>
      <c r="BJ3666" s="115"/>
      <c r="BK3666" s="115"/>
      <c r="BL3666" s="115"/>
      <c r="BM3666" s="115"/>
      <c r="BN3666" s="115"/>
      <c r="BO3666" s="115"/>
      <c r="BP3666" s="115"/>
      <c r="BQ3666" s="115"/>
      <c r="BR3666" s="115"/>
      <c r="BS3666" s="115"/>
      <c r="BT3666" s="115"/>
      <c r="BU3666" s="115"/>
      <c r="BV3666" s="115"/>
      <c r="BW3666" s="115"/>
      <c r="BX3666" s="115"/>
      <c r="BY3666" s="115"/>
      <c r="BZ3666" s="115"/>
      <c r="CA3666" s="115"/>
      <c r="CB3666" s="115"/>
      <c r="CC3666" s="115"/>
      <c r="CD3666" s="115"/>
      <c r="CE3666" s="115"/>
      <c r="CF3666" s="115"/>
      <c r="CG3666" s="115"/>
      <c r="CH3666" s="115"/>
      <c r="CI3666" s="115"/>
      <c r="CJ3666" s="115"/>
      <c r="CK3666" s="115"/>
      <c r="CL3666" s="115"/>
      <c r="CM3666" s="115"/>
      <c r="CN3666" s="115"/>
      <c r="CO3666" s="115"/>
      <c r="CP3666" s="115"/>
      <c r="CQ3666" s="115"/>
      <c r="CR3666" s="115"/>
      <c r="CS3666" s="115"/>
      <c r="CT3666" s="115"/>
      <c r="CU3666" s="115"/>
      <c r="CV3666" s="115"/>
      <c r="CW3666" s="115"/>
      <c r="CX3666" s="115"/>
      <c r="CY3666" s="115"/>
      <c r="CZ3666" s="115"/>
      <c r="DA3666" s="115"/>
      <c r="DB3666" s="115"/>
      <c r="DC3666" s="115"/>
      <c r="DD3666" s="115"/>
      <c r="DE3666" s="115"/>
      <c r="DF3666" s="115"/>
      <c r="DG3666" s="115"/>
    </row>
    <row r="3667" spans="55:111" hidden="1">
      <c r="BC3667" s="115"/>
      <c r="BD3667" s="115"/>
      <c r="BE3667" s="115"/>
      <c r="BF3667" s="115"/>
      <c r="BG3667" s="115"/>
      <c r="BH3667" s="115"/>
      <c r="BI3667" s="115"/>
      <c r="BJ3667" s="115"/>
      <c r="BK3667" s="115"/>
      <c r="BL3667" s="115"/>
      <c r="BM3667" s="115"/>
      <c r="BN3667" s="115"/>
      <c r="BO3667" s="115"/>
      <c r="BP3667" s="115"/>
      <c r="BQ3667" s="115"/>
      <c r="BR3667" s="115"/>
      <c r="BS3667" s="115"/>
      <c r="BT3667" s="115"/>
      <c r="BU3667" s="115"/>
      <c r="BV3667" s="115"/>
      <c r="BW3667" s="115"/>
      <c r="BX3667" s="115"/>
      <c r="BY3667" s="115"/>
      <c r="BZ3667" s="115"/>
      <c r="CA3667" s="115"/>
      <c r="CB3667" s="115"/>
      <c r="CC3667" s="115"/>
      <c r="CD3667" s="115"/>
      <c r="CE3667" s="115"/>
      <c r="CF3667" s="115"/>
      <c r="CG3667" s="115"/>
      <c r="CH3667" s="115"/>
      <c r="CI3667" s="115"/>
      <c r="CJ3667" s="115"/>
      <c r="CK3667" s="115"/>
      <c r="CL3667" s="115"/>
      <c r="CM3667" s="115"/>
      <c r="CN3667" s="115"/>
      <c r="CO3667" s="115"/>
      <c r="CP3667" s="115"/>
      <c r="CQ3667" s="115"/>
      <c r="CR3667" s="115"/>
      <c r="CS3667" s="115"/>
      <c r="CT3667" s="115"/>
      <c r="CU3667" s="115"/>
      <c r="CV3667" s="115"/>
      <c r="CW3667" s="115"/>
      <c r="CX3667" s="115"/>
      <c r="CY3667" s="115"/>
      <c r="CZ3667" s="115"/>
      <c r="DA3667" s="115"/>
      <c r="DB3667" s="115"/>
      <c r="DC3667" s="115"/>
      <c r="DD3667" s="115"/>
      <c r="DE3667" s="115"/>
      <c r="DF3667" s="115"/>
      <c r="DG3667" s="115"/>
    </row>
    <row r="3668" spans="55:111" hidden="1">
      <c r="BC3668" s="115"/>
      <c r="BD3668" s="115"/>
      <c r="BE3668" s="115"/>
      <c r="BF3668" s="115"/>
      <c r="BG3668" s="115"/>
      <c r="BH3668" s="115"/>
      <c r="BI3668" s="115"/>
      <c r="BJ3668" s="115"/>
      <c r="BK3668" s="115"/>
      <c r="BL3668" s="115"/>
      <c r="BM3668" s="115"/>
      <c r="BN3668" s="115"/>
      <c r="BO3668" s="115"/>
      <c r="BP3668" s="115"/>
      <c r="BQ3668" s="115"/>
      <c r="BR3668" s="115"/>
      <c r="BS3668" s="115"/>
      <c r="BT3668" s="115"/>
      <c r="BU3668" s="115"/>
      <c r="BV3668" s="115"/>
      <c r="BW3668" s="115"/>
      <c r="BX3668" s="115"/>
      <c r="BY3668" s="115"/>
      <c r="BZ3668" s="115"/>
      <c r="CA3668" s="115"/>
      <c r="CB3668" s="115"/>
      <c r="CC3668" s="115"/>
      <c r="CD3668" s="115"/>
      <c r="CE3668" s="115"/>
      <c r="CF3668" s="115"/>
      <c r="CG3668" s="115"/>
      <c r="CH3668" s="115"/>
      <c r="CI3668" s="115"/>
      <c r="CJ3668" s="115"/>
      <c r="CK3668" s="115"/>
      <c r="CL3668" s="115"/>
      <c r="CM3668" s="115"/>
      <c r="CN3668" s="115"/>
      <c r="CO3668" s="115"/>
      <c r="CP3668" s="115"/>
      <c r="CQ3668" s="115"/>
      <c r="CR3668" s="115"/>
      <c r="CS3668" s="115"/>
      <c r="CT3668" s="115"/>
      <c r="CU3668" s="115"/>
      <c r="CV3668" s="115"/>
      <c r="CW3668" s="115"/>
      <c r="CX3668" s="115"/>
      <c r="CY3668" s="115"/>
      <c r="CZ3668" s="115"/>
      <c r="DA3668" s="115"/>
      <c r="DB3668" s="115"/>
      <c r="DC3668" s="115"/>
      <c r="DD3668" s="115"/>
      <c r="DE3668" s="115"/>
      <c r="DF3668" s="115"/>
      <c r="DG3668" s="115"/>
    </row>
    <row r="3669" spans="55:111" hidden="1">
      <c r="BC3669" s="115"/>
      <c r="BD3669" s="115"/>
      <c r="BE3669" s="115"/>
      <c r="BF3669" s="115"/>
      <c r="BG3669" s="115"/>
      <c r="BH3669" s="115"/>
      <c r="BI3669" s="115"/>
      <c r="BJ3669" s="115"/>
      <c r="BK3669" s="115"/>
      <c r="BL3669" s="115"/>
      <c r="BM3669" s="115"/>
      <c r="BN3669" s="115"/>
      <c r="BO3669" s="115"/>
      <c r="BP3669" s="115"/>
      <c r="BQ3669" s="115"/>
      <c r="BR3669" s="115"/>
      <c r="BS3669" s="115"/>
      <c r="BT3669" s="115"/>
      <c r="BU3669" s="115"/>
      <c r="BV3669" s="115"/>
      <c r="BW3669" s="115"/>
      <c r="BX3669" s="115"/>
      <c r="BY3669" s="115"/>
      <c r="BZ3669" s="115"/>
      <c r="CA3669" s="115"/>
      <c r="CB3669" s="115"/>
      <c r="CC3669" s="115"/>
      <c r="CD3669" s="115"/>
      <c r="CE3669" s="115"/>
      <c r="CF3669" s="115"/>
      <c r="CG3669" s="115"/>
      <c r="CH3669" s="115"/>
      <c r="CI3669" s="115"/>
      <c r="CJ3669" s="115"/>
      <c r="CK3669" s="115"/>
      <c r="CL3669" s="115"/>
      <c r="CM3669" s="115"/>
      <c r="CN3669" s="115"/>
      <c r="CO3669" s="115"/>
      <c r="CP3669" s="115"/>
      <c r="CQ3669" s="115"/>
      <c r="CR3669" s="115"/>
      <c r="CS3669" s="115"/>
      <c r="CT3669" s="115"/>
      <c r="CU3669" s="115"/>
      <c r="CV3669" s="115"/>
      <c r="CW3669" s="115"/>
      <c r="CX3669" s="115"/>
      <c r="CY3669" s="115"/>
      <c r="CZ3669" s="115"/>
      <c r="DA3669" s="115"/>
      <c r="DB3669" s="115"/>
      <c r="DC3669" s="115"/>
      <c r="DD3669" s="115"/>
      <c r="DE3669" s="115"/>
      <c r="DF3669" s="115"/>
      <c r="DG3669" s="115"/>
    </row>
    <row r="3670" spans="55:111" hidden="1">
      <c r="BC3670" s="115"/>
      <c r="BD3670" s="115"/>
      <c r="BE3670" s="115"/>
      <c r="BF3670" s="115"/>
      <c r="BG3670" s="115"/>
      <c r="BH3670" s="115"/>
      <c r="BI3670" s="115"/>
      <c r="BJ3670" s="115"/>
      <c r="BK3670" s="115"/>
      <c r="BL3670" s="115"/>
      <c r="BM3670" s="115"/>
      <c r="BN3670" s="115"/>
      <c r="BO3670" s="115"/>
      <c r="BP3670" s="115"/>
      <c r="BQ3670" s="115"/>
      <c r="BR3670" s="115"/>
      <c r="BS3670" s="115"/>
      <c r="BT3670" s="115"/>
      <c r="BU3670" s="115"/>
      <c r="BV3670" s="115"/>
      <c r="BW3670" s="115"/>
      <c r="BX3670" s="115"/>
      <c r="BY3670" s="115"/>
      <c r="BZ3670" s="115"/>
      <c r="CA3670" s="115"/>
      <c r="CB3670" s="115"/>
      <c r="CC3670" s="115"/>
      <c r="CD3670" s="115"/>
      <c r="CE3670" s="115"/>
      <c r="CF3670" s="115"/>
      <c r="CG3670" s="115"/>
      <c r="CH3670" s="115"/>
      <c r="CI3670" s="115"/>
      <c r="CJ3670" s="115"/>
      <c r="CK3670" s="115"/>
      <c r="CL3670" s="115"/>
      <c r="CM3670" s="115"/>
      <c r="CN3670" s="115"/>
      <c r="CO3670" s="115"/>
      <c r="CP3670" s="115"/>
      <c r="CQ3670" s="115"/>
      <c r="CR3670" s="115"/>
      <c r="CS3670" s="115"/>
      <c r="CT3670" s="115"/>
      <c r="CU3670" s="115"/>
      <c r="CV3670" s="115"/>
      <c r="CW3670" s="115"/>
      <c r="CX3670" s="115"/>
      <c r="CY3670" s="115"/>
      <c r="CZ3670" s="115"/>
      <c r="DA3670" s="115"/>
      <c r="DB3670" s="115"/>
      <c r="DC3670" s="115"/>
      <c r="DD3670" s="115"/>
      <c r="DE3670" s="115"/>
      <c r="DF3670" s="115"/>
      <c r="DG3670" s="115"/>
    </row>
    <row r="3671" spans="55:111" hidden="1">
      <c r="BC3671" s="115"/>
      <c r="BD3671" s="115"/>
      <c r="BE3671" s="115"/>
      <c r="BF3671" s="115"/>
      <c r="BG3671" s="115"/>
      <c r="BH3671" s="115"/>
      <c r="BI3671" s="115"/>
      <c r="BJ3671" s="115"/>
      <c r="BK3671" s="115"/>
      <c r="BL3671" s="115"/>
      <c r="BM3671" s="115"/>
      <c r="BN3671" s="115"/>
      <c r="BO3671" s="115"/>
      <c r="BP3671" s="115"/>
      <c r="BQ3671" s="115"/>
      <c r="BR3671" s="115"/>
      <c r="BS3671" s="115"/>
      <c r="BT3671" s="115"/>
      <c r="BU3671" s="115"/>
      <c r="BV3671" s="115"/>
      <c r="BW3671" s="115"/>
      <c r="BX3671" s="115"/>
      <c r="BY3671" s="115"/>
      <c r="BZ3671" s="115"/>
      <c r="CA3671" s="115"/>
      <c r="CB3671" s="115"/>
      <c r="CC3671" s="115"/>
      <c r="CD3671" s="115"/>
      <c r="CE3671" s="115"/>
      <c r="CF3671" s="115"/>
      <c r="CG3671" s="115"/>
      <c r="CH3671" s="115"/>
      <c r="CI3671" s="115"/>
      <c r="CJ3671" s="115"/>
      <c r="CK3671" s="115"/>
      <c r="CL3671" s="115"/>
      <c r="CM3671" s="115"/>
      <c r="CN3671" s="115"/>
      <c r="CO3671" s="115"/>
      <c r="CP3671" s="115"/>
      <c r="CQ3671" s="115"/>
      <c r="CR3671" s="115"/>
      <c r="CS3671" s="115"/>
      <c r="CT3671" s="115"/>
      <c r="CU3671" s="115"/>
      <c r="CV3671" s="115"/>
      <c r="CW3671" s="115"/>
      <c r="CX3671" s="115"/>
      <c r="CY3671" s="115"/>
      <c r="CZ3671" s="115"/>
      <c r="DA3671" s="115"/>
      <c r="DB3671" s="115"/>
      <c r="DC3671" s="115"/>
      <c r="DD3671" s="115"/>
      <c r="DE3671" s="115"/>
      <c r="DF3671" s="115"/>
      <c r="DG3671" s="115"/>
    </row>
    <row r="3672" spans="55:111" hidden="1">
      <c r="BC3672" s="115"/>
      <c r="BD3672" s="115"/>
      <c r="BE3672" s="115"/>
      <c r="BF3672" s="115"/>
      <c r="BG3672" s="115"/>
      <c r="BH3672" s="115"/>
      <c r="BI3672" s="115"/>
      <c r="BJ3672" s="115"/>
      <c r="BK3672" s="115"/>
      <c r="BL3672" s="115"/>
      <c r="BM3672" s="115"/>
      <c r="BN3672" s="115"/>
      <c r="BO3672" s="115"/>
      <c r="BP3672" s="115"/>
      <c r="BQ3672" s="115"/>
      <c r="BR3672" s="115"/>
      <c r="BS3672" s="115"/>
      <c r="BT3672" s="115"/>
      <c r="BU3672" s="115"/>
      <c r="BV3672" s="115"/>
      <c r="BW3672" s="115"/>
      <c r="BX3672" s="115"/>
      <c r="BY3672" s="115"/>
      <c r="BZ3672" s="115"/>
      <c r="CA3672" s="115"/>
      <c r="CB3672" s="115"/>
      <c r="CC3672" s="115"/>
      <c r="CD3672" s="115"/>
      <c r="CE3672" s="115"/>
      <c r="CF3672" s="115"/>
      <c r="CG3672" s="115"/>
      <c r="CH3672" s="115"/>
      <c r="CI3672" s="115"/>
      <c r="CJ3672" s="115"/>
      <c r="CK3672" s="115"/>
      <c r="CL3672" s="115"/>
      <c r="CM3672" s="115"/>
      <c r="CN3672" s="115"/>
      <c r="CO3672" s="115"/>
      <c r="CP3672" s="115"/>
      <c r="CQ3672" s="115"/>
      <c r="CR3672" s="115"/>
      <c r="CS3672" s="115"/>
      <c r="CT3672" s="115"/>
      <c r="CU3672" s="115"/>
      <c r="CV3672" s="115"/>
      <c r="CW3672" s="115"/>
      <c r="CX3672" s="115"/>
      <c r="CY3672" s="115"/>
      <c r="CZ3672" s="115"/>
      <c r="DA3672" s="115"/>
      <c r="DB3672" s="115"/>
      <c r="DC3672" s="115"/>
      <c r="DD3672" s="115"/>
      <c r="DE3672" s="115"/>
      <c r="DF3672" s="115"/>
      <c r="DG3672" s="115"/>
    </row>
    <row r="3673" spans="55:111" hidden="1">
      <c r="BC3673" s="115"/>
      <c r="BD3673" s="115"/>
      <c r="BE3673" s="115"/>
      <c r="BF3673" s="115"/>
      <c r="BG3673" s="115"/>
      <c r="BH3673" s="115"/>
      <c r="BI3673" s="115"/>
      <c r="BJ3673" s="115"/>
      <c r="BK3673" s="115"/>
      <c r="BL3673" s="115"/>
      <c r="BM3673" s="115"/>
      <c r="BN3673" s="115"/>
      <c r="BO3673" s="115"/>
      <c r="BP3673" s="115"/>
      <c r="BQ3673" s="115"/>
      <c r="BR3673" s="115"/>
      <c r="BS3673" s="115"/>
      <c r="BT3673" s="115"/>
      <c r="BU3673" s="115"/>
      <c r="BV3673" s="115"/>
      <c r="BW3673" s="115"/>
      <c r="BX3673" s="115"/>
      <c r="BY3673" s="115"/>
      <c r="BZ3673" s="115"/>
      <c r="CA3673" s="115"/>
      <c r="CB3673" s="115"/>
      <c r="CC3673" s="115"/>
      <c r="CD3673" s="115"/>
      <c r="CE3673" s="115"/>
      <c r="CF3673" s="115"/>
      <c r="CG3673" s="115"/>
      <c r="CH3673" s="115"/>
      <c r="CI3673" s="115"/>
      <c r="CJ3673" s="115"/>
      <c r="CK3673" s="115"/>
      <c r="CL3673" s="115"/>
      <c r="CM3673" s="115"/>
      <c r="CN3673" s="115"/>
      <c r="CO3673" s="115"/>
      <c r="CP3673" s="115"/>
      <c r="CQ3673" s="115"/>
      <c r="CR3673" s="115"/>
      <c r="CS3673" s="115"/>
      <c r="CT3673" s="115"/>
      <c r="CU3673" s="115"/>
      <c r="CV3673" s="115"/>
      <c r="CW3673" s="115"/>
      <c r="CX3673" s="115"/>
      <c r="CY3673" s="115"/>
      <c r="CZ3673" s="115"/>
      <c r="DA3673" s="115"/>
      <c r="DB3673" s="115"/>
      <c r="DC3673" s="115"/>
      <c r="DD3673" s="115"/>
      <c r="DE3673" s="115"/>
      <c r="DF3673" s="115"/>
      <c r="DG3673" s="115"/>
    </row>
    <row r="3674" spans="55:111" hidden="1">
      <c r="BC3674" s="115"/>
      <c r="BD3674" s="115"/>
      <c r="BE3674" s="115"/>
      <c r="BF3674" s="115"/>
      <c r="BG3674" s="115"/>
      <c r="BH3674" s="115"/>
      <c r="BI3674" s="115"/>
      <c r="BJ3674" s="115"/>
      <c r="BK3674" s="115"/>
      <c r="BL3674" s="115"/>
      <c r="BM3674" s="115"/>
      <c r="BN3674" s="115"/>
      <c r="BO3674" s="115"/>
      <c r="BP3674" s="115"/>
      <c r="BQ3674" s="115"/>
      <c r="BR3674" s="115"/>
      <c r="BS3674" s="115"/>
      <c r="BT3674" s="115"/>
      <c r="BU3674" s="115"/>
      <c r="BV3674" s="115"/>
      <c r="BW3674" s="115"/>
      <c r="BX3674" s="115"/>
      <c r="BY3674" s="115"/>
      <c r="BZ3674" s="115"/>
      <c r="CA3674" s="115"/>
      <c r="CB3674" s="115"/>
      <c r="CC3674" s="115"/>
      <c r="CD3674" s="115"/>
      <c r="CE3674" s="115"/>
      <c r="CF3674" s="115"/>
      <c r="CG3674" s="115"/>
      <c r="CH3674" s="115"/>
      <c r="CI3674" s="115"/>
      <c r="CJ3674" s="115"/>
      <c r="CK3674" s="115"/>
      <c r="CL3674" s="115"/>
      <c r="CM3674" s="115"/>
      <c r="CN3674" s="115"/>
      <c r="CO3674" s="115"/>
      <c r="CP3674" s="115"/>
      <c r="CQ3674" s="115"/>
      <c r="CR3674" s="115"/>
      <c r="CS3674" s="115"/>
      <c r="CT3674" s="115"/>
      <c r="CU3674" s="115"/>
      <c r="CV3674" s="115"/>
      <c r="CW3674" s="115"/>
      <c r="CX3674" s="115"/>
      <c r="CY3674" s="115"/>
      <c r="CZ3674" s="115"/>
      <c r="DA3674" s="115"/>
      <c r="DB3674" s="115"/>
      <c r="DC3674" s="115"/>
      <c r="DD3674" s="115"/>
      <c r="DE3674" s="115"/>
      <c r="DF3674" s="115"/>
      <c r="DG3674" s="115"/>
    </row>
    <row r="3675" spans="55:111" hidden="1">
      <c r="BC3675" s="115"/>
      <c r="BD3675" s="115"/>
      <c r="BE3675" s="115"/>
      <c r="BF3675" s="115"/>
      <c r="BG3675" s="115"/>
      <c r="BH3675" s="115"/>
      <c r="BI3675" s="115"/>
      <c r="BJ3675" s="115"/>
      <c r="BK3675" s="115"/>
      <c r="BL3675" s="115"/>
      <c r="BM3675" s="115"/>
      <c r="BN3675" s="115"/>
      <c r="BO3675" s="115"/>
      <c r="BP3675" s="115"/>
      <c r="BQ3675" s="115"/>
      <c r="BR3675" s="115"/>
      <c r="BS3675" s="115"/>
      <c r="BT3675" s="115"/>
      <c r="BU3675" s="115"/>
      <c r="BV3675" s="115"/>
      <c r="BW3675" s="115"/>
      <c r="BX3675" s="115"/>
      <c r="BY3675" s="115"/>
      <c r="BZ3675" s="115"/>
      <c r="CA3675" s="115"/>
      <c r="CB3675" s="115"/>
      <c r="CC3675" s="115"/>
      <c r="CD3675" s="115"/>
      <c r="CE3675" s="115"/>
      <c r="CF3675" s="115"/>
      <c r="CG3675" s="115"/>
      <c r="CH3675" s="115"/>
      <c r="CI3675" s="115"/>
      <c r="CJ3675" s="115"/>
      <c r="CK3675" s="115"/>
      <c r="CL3675" s="115"/>
      <c r="CM3675" s="115"/>
      <c r="CN3675" s="115"/>
      <c r="CO3675" s="115"/>
      <c r="CP3675" s="115"/>
      <c r="CQ3675" s="115"/>
      <c r="CR3675" s="115"/>
      <c r="CS3675" s="115"/>
      <c r="CT3675" s="115"/>
      <c r="CU3675" s="115"/>
      <c r="CV3675" s="115"/>
      <c r="CW3675" s="115"/>
      <c r="CX3675" s="115"/>
      <c r="CY3675" s="115"/>
      <c r="CZ3675" s="115"/>
      <c r="DA3675" s="115"/>
      <c r="DB3675" s="115"/>
      <c r="DC3675" s="115"/>
      <c r="DD3675" s="115"/>
      <c r="DE3675" s="115"/>
      <c r="DF3675" s="115"/>
      <c r="DG3675" s="115"/>
    </row>
    <row r="3676" spans="55:111" hidden="1">
      <c r="BC3676" s="115"/>
      <c r="BD3676" s="115"/>
      <c r="BE3676" s="115"/>
      <c r="BF3676" s="115"/>
      <c r="BG3676" s="115"/>
      <c r="BH3676" s="115"/>
      <c r="BI3676" s="115"/>
      <c r="BJ3676" s="115"/>
      <c r="BK3676" s="115"/>
      <c r="BL3676" s="115"/>
      <c r="BM3676" s="115"/>
      <c r="BN3676" s="115"/>
      <c r="BO3676" s="115"/>
      <c r="BP3676" s="115"/>
      <c r="BQ3676" s="115"/>
      <c r="BR3676" s="115"/>
      <c r="BS3676" s="115"/>
      <c r="BT3676" s="115"/>
      <c r="BU3676" s="115"/>
      <c r="BV3676" s="115"/>
      <c r="BW3676" s="115"/>
      <c r="BX3676" s="115"/>
      <c r="BY3676" s="115"/>
      <c r="BZ3676" s="115"/>
      <c r="CA3676" s="115"/>
      <c r="CB3676" s="115"/>
      <c r="CC3676" s="115"/>
      <c r="CD3676" s="115"/>
      <c r="CE3676" s="115"/>
      <c r="CF3676" s="115"/>
      <c r="CG3676" s="115"/>
      <c r="CH3676" s="115"/>
      <c r="CI3676" s="115"/>
      <c r="CJ3676" s="115"/>
      <c r="CK3676" s="115"/>
      <c r="CL3676" s="115"/>
      <c r="CM3676" s="115"/>
      <c r="CN3676" s="115"/>
      <c r="CO3676" s="115"/>
      <c r="CP3676" s="115"/>
      <c r="CQ3676" s="115"/>
      <c r="CR3676" s="115"/>
      <c r="CS3676" s="115"/>
      <c r="CT3676" s="115"/>
      <c r="CU3676" s="115"/>
      <c r="CV3676" s="115"/>
      <c r="CW3676" s="115"/>
      <c r="CX3676" s="115"/>
      <c r="CY3676" s="115"/>
      <c r="CZ3676" s="115"/>
      <c r="DA3676" s="115"/>
      <c r="DB3676" s="115"/>
      <c r="DC3676" s="115"/>
      <c r="DD3676" s="115"/>
      <c r="DE3676" s="115"/>
      <c r="DF3676" s="115"/>
      <c r="DG3676" s="115"/>
    </row>
    <row r="3677" spans="55:111" hidden="1">
      <c r="BC3677" s="115"/>
      <c r="BD3677" s="115"/>
      <c r="BE3677" s="115"/>
      <c r="BF3677" s="115"/>
      <c r="BG3677" s="115"/>
      <c r="BH3677" s="115"/>
      <c r="BI3677" s="115"/>
      <c r="BJ3677" s="115"/>
      <c r="BK3677" s="115"/>
      <c r="BL3677" s="115"/>
      <c r="BM3677" s="115"/>
      <c r="BN3677" s="115"/>
      <c r="BO3677" s="115"/>
      <c r="BP3677" s="115"/>
      <c r="BQ3677" s="115"/>
      <c r="BR3677" s="115"/>
      <c r="BS3677" s="115"/>
      <c r="BT3677" s="115"/>
      <c r="BU3677" s="115"/>
      <c r="BV3677" s="115"/>
      <c r="BW3677" s="115"/>
      <c r="BX3677" s="115"/>
      <c r="BY3677" s="115"/>
      <c r="BZ3677" s="115"/>
      <c r="CA3677" s="115"/>
      <c r="CB3677" s="115"/>
      <c r="CC3677" s="115"/>
      <c r="CD3677" s="115"/>
      <c r="CE3677" s="115"/>
      <c r="CF3677" s="115"/>
      <c r="CG3677" s="115"/>
      <c r="CH3677" s="115"/>
      <c r="CI3677" s="115"/>
      <c r="CJ3677" s="115"/>
      <c r="CK3677" s="115"/>
      <c r="CL3677" s="115"/>
      <c r="CM3677" s="115"/>
      <c r="CN3677" s="115"/>
      <c r="CO3677" s="115"/>
      <c r="CP3677" s="115"/>
      <c r="CQ3677" s="115"/>
      <c r="CR3677" s="115"/>
      <c r="CS3677" s="115"/>
      <c r="CT3677" s="115"/>
      <c r="CU3677" s="115"/>
      <c r="CV3677" s="115"/>
      <c r="CW3677" s="115"/>
      <c r="CX3677" s="115"/>
      <c r="CY3677" s="115"/>
      <c r="CZ3677" s="115"/>
      <c r="DA3677" s="115"/>
      <c r="DB3677" s="115"/>
      <c r="DC3677" s="115"/>
      <c r="DD3677" s="115"/>
      <c r="DE3677" s="115"/>
      <c r="DF3677" s="115"/>
      <c r="DG3677" s="115"/>
    </row>
    <row r="3678" spans="55:111" hidden="1">
      <c r="BC3678" s="115"/>
      <c r="BD3678" s="115"/>
      <c r="BE3678" s="115"/>
      <c r="BF3678" s="115"/>
      <c r="BG3678" s="115"/>
      <c r="BH3678" s="115"/>
      <c r="BI3678" s="115"/>
      <c r="BJ3678" s="115"/>
      <c r="BK3678" s="115"/>
      <c r="BL3678" s="115"/>
      <c r="BM3678" s="115"/>
      <c r="BN3678" s="115"/>
      <c r="BO3678" s="115"/>
      <c r="BP3678" s="115"/>
      <c r="BQ3678" s="115"/>
      <c r="BR3678" s="115"/>
      <c r="BS3678" s="115"/>
      <c r="BT3678" s="115"/>
      <c r="BU3678" s="115"/>
      <c r="BV3678" s="115"/>
      <c r="BW3678" s="115"/>
      <c r="BX3678" s="115"/>
      <c r="BY3678" s="115"/>
      <c r="BZ3678" s="115"/>
      <c r="CA3678" s="115"/>
      <c r="CB3678" s="115"/>
      <c r="CC3678" s="115"/>
      <c r="CD3678" s="115"/>
      <c r="CE3678" s="115"/>
      <c r="CF3678" s="115"/>
      <c r="CG3678" s="115"/>
      <c r="CH3678" s="115"/>
      <c r="CI3678" s="115"/>
      <c r="CJ3678" s="115"/>
      <c r="CK3678" s="115"/>
      <c r="CL3678" s="115"/>
      <c r="CM3678" s="115"/>
      <c r="CN3678" s="115"/>
      <c r="CO3678" s="115"/>
      <c r="CP3678" s="115"/>
      <c r="CQ3678" s="115"/>
      <c r="CR3678" s="115"/>
      <c r="CS3678" s="115"/>
      <c r="CT3678" s="115"/>
      <c r="CU3678" s="115"/>
      <c r="CV3678" s="115"/>
      <c r="CW3678" s="115"/>
      <c r="CX3678" s="115"/>
      <c r="CY3678" s="115"/>
      <c r="CZ3678" s="115"/>
      <c r="DA3678" s="115"/>
      <c r="DB3678" s="115"/>
      <c r="DC3678" s="115"/>
      <c r="DD3678" s="115"/>
      <c r="DE3678" s="115"/>
      <c r="DF3678" s="115"/>
      <c r="DG3678" s="115"/>
    </row>
    <row r="3679" spans="55:111" hidden="1">
      <c r="BC3679" s="115"/>
      <c r="BD3679" s="115"/>
      <c r="BE3679" s="115"/>
      <c r="BF3679" s="115"/>
      <c r="BG3679" s="115"/>
      <c r="BH3679" s="115"/>
      <c r="BI3679" s="115"/>
      <c r="BJ3679" s="115"/>
      <c r="BK3679" s="115"/>
      <c r="BL3679" s="115"/>
      <c r="BM3679" s="115"/>
      <c r="BN3679" s="115"/>
      <c r="BO3679" s="115"/>
      <c r="BP3679" s="115"/>
      <c r="BQ3679" s="115"/>
      <c r="BR3679" s="115"/>
      <c r="BS3679" s="115"/>
      <c r="BT3679" s="115"/>
      <c r="BU3679" s="115"/>
      <c r="BV3679" s="115"/>
      <c r="BW3679" s="115"/>
      <c r="BX3679" s="115"/>
      <c r="BY3679" s="115"/>
      <c r="BZ3679" s="115"/>
      <c r="CA3679" s="115"/>
      <c r="CB3679" s="115"/>
      <c r="CC3679" s="115"/>
      <c r="CD3679" s="115"/>
      <c r="CE3679" s="115"/>
      <c r="CF3679" s="115"/>
      <c r="CG3679" s="115"/>
      <c r="CH3679" s="115"/>
      <c r="CI3679" s="115"/>
      <c r="CJ3679" s="115"/>
      <c r="CK3679" s="115"/>
      <c r="CL3679" s="115"/>
      <c r="CM3679" s="115"/>
      <c r="CN3679" s="115"/>
      <c r="CO3679" s="115"/>
      <c r="CP3679" s="115"/>
      <c r="CQ3679" s="115"/>
      <c r="CR3679" s="115"/>
      <c r="CS3679" s="115"/>
      <c r="CT3679" s="115"/>
      <c r="CU3679" s="115"/>
      <c r="CV3679" s="115"/>
      <c r="CW3679" s="115"/>
      <c r="CX3679" s="115"/>
      <c r="CY3679" s="115"/>
      <c r="CZ3679" s="115"/>
      <c r="DA3679" s="115"/>
      <c r="DB3679" s="115"/>
      <c r="DC3679" s="115"/>
      <c r="DD3679" s="115"/>
      <c r="DE3679" s="115"/>
      <c r="DF3679" s="115"/>
      <c r="DG3679" s="115"/>
    </row>
    <row r="3680" spans="55:111" hidden="1">
      <c r="BC3680" s="115"/>
      <c r="BD3680" s="115"/>
      <c r="BE3680" s="115"/>
      <c r="BF3680" s="115"/>
      <c r="BG3680" s="115"/>
      <c r="BH3680" s="115"/>
      <c r="BI3680" s="115"/>
      <c r="BJ3680" s="115"/>
      <c r="BK3680" s="115"/>
      <c r="BL3680" s="115"/>
      <c r="BM3680" s="115"/>
      <c r="BN3680" s="115"/>
      <c r="BO3680" s="115"/>
      <c r="BP3680" s="115"/>
      <c r="BQ3680" s="115"/>
      <c r="BR3680" s="115"/>
      <c r="BS3680" s="115"/>
      <c r="BT3680" s="115"/>
      <c r="BU3680" s="115"/>
      <c r="BV3680" s="115"/>
      <c r="BW3680" s="115"/>
      <c r="BX3680" s="115"/>
      <c r="BY3680" s="115"/>
      <c r="BZ3680" s="115"/>
      <c r="CA3680" s="115"/>
      <c r="CB3680" s="115"/>
      <c r="CC3680" s="115"/>
      <c r="CD3680" s="115"/>
      <c r="CE3680" s="115"/>
      <c r="CF3680" s="115"/>
      <c r="CG3680" s="115"/>
      <c r="CH3680" s="115"/>
      <c r="CI3680" s="115"/>
      <c r="CJ3680" s="115"/>
      <c r="CK3680" s="115"/>
      <c r="CL3680" s="115"/>
      <c r="CM3680" s="115"/>
      <c r="CN3680" s="115"/>
      <c r="CO3680" s="115"/>
      <c r="CP3680" s="115"/>
      <c r="CQ3680" s="115"/>
      <c r="CR3680" s="115"/>
      <c r="CS3680" s="115"/>
      <c r="CT3680" s="115"/>
      <c r="CU3680" s="115"/>
      <c r="CV3680" s="115"/>
      <c r="CW3680" s="115"/>
      <c r="CX3680" s="115"/>
      <c r="CY3680" s="115"/>
      <c r="CZ3680" s="115"/>
      <c r="DA3680" s="115"/>
      <c r="DB3680" s="115"/>
      <c r="DC3680" s="115"/>
      <c r="DD3680" s="115"/>
      <c r="DE3680" s="115"/>
      <c r="DF3680" s="115"/>
      <c r="DG3680" s="115"/>
    </row>
    <row r="3681" spans="55:111" hidden="1">
      <c r="BC3681" s="115"/>
      <c r="BD3681" s="115"/>
      <c r="BE3681" s="115"/>
      <c r="BF3681" s="115"/>
      <c r="BG3681" s="115"/>
      <c r="BH3681" s="115"/>
      <c r="BI3681" s="115"/>
      <c r="BJ3681" s="115"/>
      <c r="BK3681" s="115"/>
      <c r="BL3681" s="115"/>
      <c r="BM3681" s="115"/>
      <c r="BN3681" s="115"/>
      <c r="BO3681" s="115"/>
      <c r="BP3681" s="115"/>
      <c r="BQ3681" s="115"/>
      <c r="BR3681" s="115"/>
      <c r="BS3681" s="115"/>
      <c r="BT3681" s="115"/>
      <c r="BU3681" s="115"/>
      <c r="BV3681" s="115"/>
      <c r="BW3681" s="115"/>
      <c r="BX3681" s="115"/>
      <c r="BY3681" s="115"/>
      <c r="BZ3681" s="115"/>
      <c r="CA3681" s="115"/>
      <c r="CB3681" s="115"/>
      <c r="CC3681" s="115"/>
      <c r="CD3681" s="115"/>
      <c r="CE3681" s="115"/>
      <c r="CF3681" s="115"/>
      <c r="CG3681" s="115"/>
      <c r="CH3681" s="115"/>
      <c r="CI3681" s="115"/>
      <c r="CJ3681" s="115"/>
      <c r="CK3681" s="115"/>
      <c r="CL3681" s="115"/>
      <c r="CM3681" s="115"/>
      <c r="CN3681" s="115"/>
      <c r="CO3681" s="115"/>
      <c r="CP3681" s="115"/>
      <c r="CQ3681" s="115"/>
      <c r="CR3681" s="115"/>
      <c r="CS3681" s="115"/>
      <c r="CT3681" s="115"/>
      <c r="CU3681" s="115"/>
      <c r="CV3681" s="115"/>
      <c r="CW3681" s="115"/>
      <c r="CX3681" s="115"/>
      <c r="CY3681" s="115"/>
      <c r="CZ3681" s="115"/>
      <c r="DA3681" s="115"/>
      <c r="DB3681" s="115"/>
      <c r="DC3681" s="115"/>
      <c r="DD3681" s="115"/>
      <c r="DE3681" s="115"/>
      <c r="DF3681" s="115"/>
      <c r="DG3681" s="115"/>
    </row>
    <row r="3682" spans="55:111" hidden="1">
      <c r="BC3682" s="115"/>
      <c r="BD3682" s="115"/>
      <c r="BE3682" s="115"/>
      <c r="BF3682" s="115"/>
      <c r="BG3682" s="115"/>
      <c r="BH3682" s="115"/>
      <c r="BI3682" s="115"/>
      <c r="BJ3682" s="115"/>
      <c r="BK3682" s="115"/>
      <c r="BL3682" s="115"/>
      <c r="BM3682" s="115"/>
      <c r="BN3682" s="115"/>
      <c r="BO3682" s="115"/>
      <c r="BP3682" s="115"/>
      <c r="BQ3682" s="115"/>
      <c r="BR3682" s="115"/>
      <c r="BS3682" s="115"/>
      <c r="BT3682" s="115"/>
      <c r="BU3682" s="115"/>
      <c r="BV3682" s="115"/>
      <c r="BW3682" s="115"/>
      <c r="BX3682" s="115"/>
      <c r="BY3682" s="115"/>
      <c r="BZ3682" s="115"/>
      <c r="CA3682" s="115"/>
      <c r="CB3682" s="115"/>
      <c r="CC3682" s="115"/>
      <c r="CD3682" s="115"/>
      <c r="CE3682" s="115"/>
      <c r="CF3682" s="115"/>
      <c r="CG3682" s="115"/>
      <c r="CH3682" s="115"/>
      <c r="CI3682" s="115"/>
      <c r="CJ3682" s="115"/>
      <c r="CK3682" s="115"/>
      <c r="CL3682" s="115"/>
      <c r="CM3682" s="115"/>
      <c r="CN3682" s="115"/>
      <c r="CO3682" s="115"/>
      <c r="CP3682" s="115"/>
      <c r="CQ3682" s="115"/>
      <c r="CR3682" s="115"/>
      <c r="CS3682" s="115"/>
      <c r="CT3682" s="115"/>
      <c r="CU3682" s="115"/>
      <c r="CV3682" s="115"/>
      <c r="CW3682" s="115"/>
      <c r="CX3682" s="115"/>
      <c r="CY3682" s="115"/>
      <c r="CZ3682" s="115"/>
      <c r="DA3682" s="115"/>
      <c r="DB3682" s="115"/>
      <c r="DC3682" s="115"/>
      <c r="DD3682" s="115"/>
      <c r="DE3682" s="115"/>
      <c r="DF3682" s="115"/>
      <c r="DG3682" s="115"/>
    </row>
    <row r="3683" spans="55:111" hidden="1">
      <c r="BC3683" s="115"/>
      <c r="BD3683" s="115"/>
      <c r="BE3683" s="115"/>
      <c r="BF3683" s="115"/>
      <c r="BG3683" s="115"/>
      <c r="BH3683" s="115"/>
      <c r="BI3683" s="115"/>
      <c r="BJ3683" s="115"/>
      <c r="BK3683" s="115"/>
      <c r="BL3683" s="115"/>
      <c r="BM3683" s="115"/>
      <c r="BN3683" s="115"/>
      <c r="BO3683" s="115"/>
      <c r="BP3683" s="115"/>
      <c r="BQ3683" s="115"/>
      <c r="BR3683" s="115"/>
      <c r="BS3683" s="115"/>
      <c r="BT3683" s="115"/>
      <c r="BU3683" s="115"/>
      <c r="BV3683" s="115"/>
      <c r="BW3683" s="115"/>
      <c r="BX3683" s="115"/>
      <c r="BY3683" s="115"/>
      <c r="BZ3683" s="115"/>
      <c r="CA3683" s="115"/>
      <c r="CB3683" s="115"/>
      <c r="CC3683" s="115"/>
      <c r="CD3683" s="115"/>
      <c r="CE3683" s="115"/>
      <c r="CF3683" s="115"/>
      <c r="CG3683" s="115"/>
      <c r="CH3683" s="115"/>
      <c r="CI3683" s="115"/>
      <c r="CJ3683" s="115"/>
      <c r="CK3683" s="115"/>
      <c r="CL3683" s="115"/>
      <c r="CM3683" s="115"/>
      <c r="CN3683" s="115"/>
      <c r="CO3683" s="115"/>
      <c r="CP3683" s="115"/>
      <c r="CQ3683" s="115"/>
      <c r="CR3683" s="115"/>
      <c r="CS3683" s="115"/>
      <c r="CT3683" s="115"/>
      <c r="CU3683" s="115"/>
      <c r="CV3683" s="115"/>
      <c r="CW3683" s="115"/>
      <c r="CX3683" s="115"/>
      <c r="CY3683" s="115"/>
      <c r="CZ3683" s="115"/>
      <c r="DA3683" s="115"/>
      <c r="DB3683" s="115"/>
      <c r="DC3683" s="115"/>
      <c r="DD3683" s="115"/>
      <c r="DE3683" s="115"/>
      <c r="DF3683" s="115"/>
      <c r="DG3683" s="115"/>
    </row>
    <row r="3684" spans="55:111" hidden="1">
      <c r="BC3684" s="115"/>
      <c r="BD3684" s="115"/>
      <c r="BE3684" s="115"/>
      <c r="BF3684" s="115"/>
      <c r="BG3684" s="115"/>
      <c r="BH3684" s="115"/>
      <c r="BI3684" s="115"/>
      <c r="BJ3684" s="115"/>
      <c r="BK3684" s="115"/>
      <c r="BL3684" s="115"/>
      <c r="BM3684" s="115"/>
      <c r="BN3684" s="115"/>
      <c r="BO3684" s="115"/>
      <c r="BP3684" s="115"/>
      <c r="BQ3684" s="115"/>
      <c r="BR3684" s="115"/>
      <c r="BS3684" s="115"/>
      <c r="BT3684" s="115"/>
      <c r="BU3684" s="115"/>
      <c r="BV3684" s="115"/>
      <c r="BW3684" s="115"/>
      <c r="BX3684" s="115"/>
      <c r="BY3684" s="115"/>
      <c r="BZ3684" s="115"/>
      <c r="CA3684" s="115"/>
      <c r="CB3684" s="115"/>
      <c r="CC3684" s="115"/>
      <c r="CD3684" s="115"/>
      <c r="CE3684" s="115"/>
      <c r="CF3684" s="115"/>
      <c r="CG3684" s="115"/>
      <c r="CH3684" s="115"/>
      <c r="CI3684" s="115"/>
      <c r="CJ3684" s="115"/>
      <c r="CK3684" s="115"/>
      <c r="CL3684" s="115"/>
      <c r="CM3684" s="115"/>
      <c r="CN3684" s="115"/>
      <c r="CO3684" s="115"/>
      <c r="CP3684" s="115"/>
      <c r="CQ3684" s="115"/>
      <c r="CR3684" s="115"/>
      <c r="CS3684" s="115"/>
      <c r="CT3684" s="115"/>
      <c r="CU3684" s="115"/>
      <c r="CV3684" s="115"/>
      <c r="CW3684" s="115"/>
      <c r="CX3684" s="115"/>
      <c r="CY3684" s="115"/>
      <c r="CZ3684" s="115"/>
      <c r="DA3684" s="115"/>
      <c r="DB3684" s="115"/>
      <c r="DC3684" s="115"/>
      <c r="DD3684" s="115"/>
      <c r="DE3684" s="115"/>
      <c r="DF3684" s="115"/>
      <c r="DG3684" s="115"/>
    </row>
    <row r="3685" spans="55:111" hidden="1">
      <c r="BC3685" s="115"/>
      <c r="BD3685" s="115"/>
      <c r="BE3685" s="115"/>
      <c r="BF3685" s="115"/>
      <c r="BG3685" s="115"/>
      <c r="BH3685" s="115"/>
      <c r="BI3685" s="115"/>
      <c r="BJ3685" s="115"/>
      <c r="BK3685" s="115"/>
      <c r="BL3685" s="115"/>
      <c r="BM3685" s="115"/>
      <c r="BN3685" s="115"/>
      <c r="BO3685" s="115"/>
      <c r="BP3685" s="115"/>
      <c r="BQ3685" s="115"/>
      <c r="BR3685" s="115"/>
      <c r="BS3685" s="115"/>
      <c r="BT3685" s="115"/>
      <c r="BU3685" s="115"/>
      <c r="BV3685" s="115"/>
      <c r="BW3685" s="115"/>
      <c r="BX3685" s="115"/>
      <c r="BY3685" s="115"/>
      <c r="BZ3685" s="115"/>
      <c r="CA3685" s="115"/>
      <c r="CB3685" s="115"/>
      <c r="CC3685" s="115"/>
      <c r="CD3685" s="115"/>
      <c r="CE3685" s="115"/>
      <c r="CF3685" s="115"/>
      <c r="CG3685" s="115"/>
      <c r="CH3685" s="115"/>
      <c r="CI3685" s="115"/>
      <c r="CJ3685" s="115"/>
      <c r="CK3685" s="115"/>
      <c r="CL3685" s="115"/>
      <c r="CM3685" s="115"/>
      <c r="CN3685" s="115"/>
      <c r="CO3685" s="115"/>
      <c r="CP3685" s="115"/>
      <c r="CQ3685" s="115"/>
      <c r="CR3685" s="115"/>
      <c r="CS3685" s="115"/>
      <c r="CT3685" s="115"/>
      <c r="CU3685" s="115"/>
      <c r="CV3685" s="115"/>
      <c r="CW3685" s="115"/>
      <c r="CX3685" s="115"/>
      <c r="CY3685" s="115"/>
      <c r="CZ3685" s="115"/>
      <c r="DA3685" s="115"/>
      <c r="DB3685" s="115"/>
      <c r="DC3685" s="115"/>
      <c r="DD3685" s="115"/>
      <c r="DE3685" s="115"/>
      <c r="DF3685" s="115"/>
      <c r="DG3685" s="115"/>
    </row>
    <row r="3686" spans="55:111" hidden="1">
      <c r="BC3686" s="115"/>
      <c r="BD3686" s="115"/>
      <c r="BE3686" s="115"/>
      <c r="BF3686" s="115"/>
      <c r="BG3686" s="115"/>
      <c r="BH3686" s="115"/>
      <c r="BI3686" s="115"/>
      <c r="BJ3686" s="115"/>
      <c r="BK3686" s="115"/>
      <c r="BL3686" s="115"/>
      <c r="BM3686" s="115"/>
      <c r="BN3686" s="115"/>
      <c r="BO3686" s="115"/>
      <c r="BP3686" s="115"/>
      <c r="BQ3686" s="115"/>
      <c r="BR3686" s="115"/>
      <c r="BS3686" s="115"/>
      <c r="BT3686" s="115"/>
      <c r="BU3686" s="115"/>
      <c r="BV3686" s="115"/>
      <c r="BW3686" s="115"/>
      <c r="BX3686" s="115"/>
      <c r="BY3686" s="115"/>
      <c r="BZ3686" s="115"/>
      <c r="CA3686" s="115"/>
      <c r="CB3686" s="115"/>
      <c r="CC3686" s="115"/>
      <c r="CD3686" s="115"/>
      <c r="CE3686" s="115"/>
      <c r="CF3686" s="115"/>
      <c r="CG3686" s="115"/>
      <c r="CH3686" s="115"/>
      <c r="CI3686" s="115"/>
      <c r="CJ3686" s="115"/>
      <c r="CK3686" s="115"/>
      <c r="CL3686" s="115"/>
      <c r="CM3686" s="115"/>
      <c r="CN3686" s="115"/>
      <c r="CO3686" s="115"/>
      <c r="CP3686" s="115"/>
      <c r="CQ3686" s="115"/>
      <c r="CR3686" s="115"/>
      <c r="CS3686" s="115"/>
      <c r="CT3686" s="115"/>
      <c r="CU3686" s="115"/>
      <c r="CV3686" s="115"/>
      <c r="CW3686" s="115"/>
      <c r="CX3686" s="115"/>
      <c r="CY3686" s="115"/>
      <c r="CZ3686" s="115"/>
      <c r="DA3686" s="115"/>
      <c r="DB3686" s="115"/>
      <c r="DC3686" s="115"/>
      <c r="DD3686" s="115"/>
      <c r="DE3686" s="115"/>
      <c r="DF3686" s="115"/>
      <c r="DG3686" s="115"/>
    </row>
    <row r="3687" spans="55:111" hidden="1">
      <c r="BC3687" s="115"/>
      <c r="BD3687" s="115"/>
      <c r="BE3687" s="115"/>
      <c r="BF3687" s="115"/>
      <c r="BG3687" s="115"/>
      <c r="BH3687" s="115"/>
      <c r="BI3687" s="115"/>
      <c r="BJ3687" s="115"/>
      <c r="BK3687" s="115"/>
      <c r="BL3687" s="115"/>
      <c r="BM3687" s="115"/>
      <c r="BN3687" s="115"/>
      <c r="BO3687" s="115"/>
      <c r="BP3687" s="115"/>
      <c r="BQ3687" s="115"/>
      <c r="BR3687" s="115"/>
      <c r="BS3687" s="115"/>
      <c r="BT3687" s="115"/>
      <c r="BU3687" s="115"/>
      <c r="BV3687" s="115"/>
      <c r="BW3687" s="115"/>
      <c r="BX3687" s="115"/>
      <c r="BY3687" s="115"/>
      <c r="BZ3687" s="115"/>
      <c r="CA3687" s="115"/>
      <c r="CB3687" s="115"/>
      <c r="CC3687" s="115"/>
      <c r="CD3687" s="115"/>
      <c r="CE3687" s="115"/>
      <c r="CF3687" s="115"/>
      <c r="CG3687" s="115"/>
      <c r="CH3687" s="115"/>
      <c r="CI3687" s="115"/>
      <c r="CJ3687" s="115"/>
      <c r="CK3687" s="115"/>
      <c r="CL3687" s="115"/>
      <c r="CM3687" s="115"/>
      <c r="CN3687" s="115"/>
      <c r="CO3687" s="115"/>
      <c r="CP3687" s="115"/>
      <c r="CQ3687" s="115"/>
      <c r="CR3687" s="115"/>
      <c r="CS3687" s="115"/>
      <c r="CT3687" s="115"/>
      <c r="CU3687" s="115"/>
      <c r="CV3687" s="115"/>
      <c r="CW3687" s="115"/>
      <c r="CX3687" s="115"/>
      <c r="CY3687" s="115"/>
      <c r="CZ3687" s="115"/>
      <c r="DA3687" s="115"/>
      <c r="DB3687" s="115"/>
      <c r="DC3687" s="115"/>
      <c r="DD3687" s="115"/>
      <c r="DE3687" s="115"/>
      <c r="DF3687" s="115"/>
      <c r="DG3687" s="115"/>
    </row>
    <row r="3688" spans="55:111" hidden="1">
      <c r="BC3688" s="115"/>
      <c r="BD3688" s="115"/>
      <c r="BE3688" s="115"/>
      <c r="BF3688" s="115"/>
      <c r="BG3688" s="115"/>
      <c r="BH3688" s="115"/>
      <c r="BI3688" s="115"/>
      <c r="BJ3688" s="115"/>
      <c r="BK3688" s="115"/>
      <c r="BL3688" s="115"/>
      <c r="BM3688" s="115"/>
      <c r="BN3688" s="115"/>
      <c r="BO3688" s="115"/>
      <c r="BP3688" s="115"/>
      <c r="BQ3688" s="115"/>
      <c r="BR3688" s="115"/>
      <c r="BS3688" s="115"/>
      <c r="BT3688" s="115"/>
      <c r="BU3688" s="115"/>
      <c r="BV3688" s="115"/>
      <c r="BW3688" s="115"/>
      <c r="BX3688" s="115"/>
      <c r="BY3688" s="115"/>
      <c r="BZ3688" s="115"/>
      <c r="CA3688" s="115"/>
      <c r="CB3688" s="115"/>
      <c r="CC3688" s="115"/>
      <c r="CD3688" s="115"/>
      <c r="CE3688" s="115"/>
      <c r="CF3688" s="115"/>
      <c r="CG3688" s="115"/>
      <c r="CH3688" s="115"/>
      <c r="CI3688" s="115"/>
      <c r="CJ3688" s="115"/>
      <c r="CK3688" s="115"/>
      <c r="CL3688" s="115"/>
      <c r="CM3688" s="115"/>
      <c r="CN3688" s="115"/>
      <c r="CO3688" s="115"/>
      <c r="CP3688" s="115"/>
      <c r="CQ3688" s="115"/>
      <c r="CR3688" s="115"/>
      <c r="CS3688" s="115"/>
      <c r="CT3688" s="115"/>
      <c r="CU3688" s="115"/>
      <c r="CV3688" s="115"/>
      <c r="CW3688" s="115"/>
      <c r="CX3688" s="115"/>
      <c r="CY3688" s="115"/>
      <c r="CZ3688" s="115"/>
      <c r="DA3688" s="115"/>
      <c r="DB3688" s="115"/>
      <c r="DC3688" s="115"/>
      <c r="DD3688" s="115"/>
      <c r="DE3688" s="115"/>
      <c r="DF3688" s="115"/>
      <c r="DG3688" s="115"/>
    </row>
    <row r="3689" spans="55:111" hidden="1">
      <c r="BC3689" s="115"/>
      <c r="BD3689" s="115"/>
      <c r="BE3689" s="115"/>
      <c r="BF3689" s="115"/>
      <c r="BG3689" s="115"/>
      <c r="BH3689" s="115"/>
      <c r="BI3689" s="115"/>
      <c r="BJ3689" s="115"/>
      <c r="BK3689" s="115"/>
      <c r="BL3689" s="115"/>
      <c r="BM3689" s="115"/>
      <c r="BN3689" s="115"/>
      <c r="BO3689" s="115"/>
      <c r="BP3689" s="115"/>
      <c r="BQ3689" s="115"/>
      <c r="BR3689" s="115"/>
      <c r="BS3689" s="115"/>
      <c r="BT3689" s="115"/>
      <c r="BU3689" s="115"/>
      <c r="BV3689" s="115"/>
      <c r="BW3689" s="115"/>
      <c r="BX3689" s="115"/>
      <c r="BY3689" s="115"/>
      <c r="BZ3689" s="115"/>
      <c r="CA3689" s="115"/>
      <c r="CB3689" s="115"/>
      <c r="CC3689" s="115"/>
      <c r="CD3689" s="115"/>
      <c r="CE3689" s="115"/>
      <c r="CF3689" s="115"/>
      <c r="CG3689" s="115"/>
      <c r="CH3689" s="115"/>
      <c r="CI3689" s="115"/>
      <c r="CJ3689" s="115"/>
      <c r="CK3689" s="115"/>
      <c r="CL3689" s="115"/>
      <c r="CM3689" s="115"/>
      <c r="CN3689" s="115"/>
      <c r="CO3689" s="115"/>
      <c r="CP3689" s="115"/>
      <c r="CQ3689" s="115"/>
      <c r="CR3689" s="115"/>
      <c r="CS3689" s="115"/>
      <c r="CT3689" s="115"/>
      <c r="CU3689" s="115"/>
      <c r="CV3689" s="115"/>
      <c r="CW3689" s="115"/>
      <c r="CX3689" s="115"/>
      <c r="CY3689" s="115"/>
      <c r="CZ3689" s="115"/>
      <c r="DA3689" s="115"/>
      <c r="DB3689" s="115"/>
      <c r="DC3689" s="115"/>
      <c r="DD3689" s="115"/>
      <c r="DE3689" s="115"/>
      <c r="DF3689" s="115"/>
      <c r="DG3689" s="115"/>
    </row>
    <row r="3690" spans="55:111" hidden="1">
      <c r="BC3690" s="115"/>
      <c r="BD3690" s="115"/>
      <c r="BE3690" s="115"/>
      <c r="BF3690" s="115"/>
      <c r="BG3690" s="115"/>
      <c r="BH3690" s="115"/>
      <c r="BI3690" s="115"/>
      <c r="BJ3690" s="115"/>
      <c r="BK3690" s="115"/>
      <c r="BL3690" s="115"/>
      <c r="BM3690" s="115"/>
      <c r="BN3690" s="115"/>
      <c r="BO3690" s="115"/>
      <c r="BP3690" s="115"/>
      <c r="BQ3690" s="115"/>
      <c r="BR3690" s="115"/>
      <c r="BS3690" s="115"/>
      <c r="BT3690" s="115"/>
      <c r="BU3690" s="115"/>
      <c r="BV3690" s="115"/>
      <c r="BW3690" s="115"/>
      <c r="BX3690" s="115"/>
      <c r="BY3690" s="115"/>
      <c r="BZ3690" s="115"/>
      <c r="CA3690" s="115"/>
      <c r="CB3690" s="115"/>
      <c r="CC3690" s="115"/>
      <c r="CD3690" s="115"/>
      <c r="CE3690" s="115"/>
      <c r="CF3690" s="115"/>
      <c r="CG3690" s="115"/>
      <c r="CH3690" s="115"/>
      <c r="CI3690" s="115"/>
      <c r="CJ3690" s="115"/>
      <c r="CK3690" s="115"/>
      <c r="CL3690" s="115"/>
      <c r="CM3690" s="115"/>
      <c r="CN3690" s="115"/>
      <c r="CO3690" s="115"/>
      <c r="CP3690" s="115"/>
      <c r="CQ3690" s="115"/>
      <c r="CR3690" s="115"/>
      <c r="CS3690" s="115"/>
      <c r="CT3690" s="115"/>
      <c r="CU3690" s="115"/>
      <c r="CV3690" s="115"/>
      <c r="CW3690" s="115"/>
      <c r="CX3690" s="115"/>
      <c r="CY3690" s="115"/>
      <c r="CZ3690" s="115"/>
      <c r="DA3690" s="115"/>
      <c r="DB3690" s="115"/>
      <c r="DC3690" s="115"/>
      <c r="DD3690" s="115"/>
      <c r="DE3690" s="115"/>
      <c r="DF3690" s="115"/>
      <c r="DG3690" s="115"/>
    </row>
    <row r="3691" spans="55:111" hidden="1">
      <c r="BC3691" s="115"/>
      <c r="BD3691" s="115"/>
      <c r="BE3691" s="115"/>
      <c r="BF3691" s="115"/>
      <c r="BG3691" s="115"/>
      <c r="BH3691" s="115"/>
      <c r="BI3691" s="115"/>
      <c r="BJ3691" s="115"/>
      <c r="BK3691" s="115"/>
      <c r="BL3691" s="115"/>
      <c r="BM3691" s="115"/>
      <c r="BN3691" s="115"/>
      <c r="BO3691" s="115"/>
      <c r="BP3691" s="115"/>
      <c r="BQ3691" s="115"/>
      <c r="BR3691" s="115"/>
      <c r="BS3691" s="115"/>
      <c r="BT3691" s="115"/>
      <c r="BU3691" s="115"/>
      <c r="BV3691" s="115"/>
      <c r="BW3691" s="115"/>
      <c r="BX3691" s="115"/>
      <c r="BY3691" s="115"/>
      <c r="BZ3691" s="115"/>
      <c r="CA3691" s="115"/>
      <c r="CB3691" s="115"/>
      <c r="CC3691" s="115"/>
      <c r="CD3691" s="115"/>
      <c r="CE3691" s="115"/>
      <c r="CF3691" s="115"/>
      <c r="CG3691" s="115"/>
      <c r="CH3691" s="115"/>
      <c r="CI3691" s="115"/>
      <c r="CJ3691" s="115"/>
      <c r="CK3691" s="115"/>
      <c r="CL3691" s="115"/>
      <c r="CM3691" s="115"/>
      <c r="CN3691" s="115"/>
      <c r="CO3691" s="115"/>
      <c r="CP3691" s="115"/>
      <c r="CQ3691" s="115"/>
      <c r="CR3691" s="115"/>
      <c r="CS3691" s="115"/>
      <c r="CT3691" s="115"/>
      <c r="CU3691" s="115"/>
      <c r="CV3691" s="115"/>
      <c r="CW3691" s="115"/>
      <c r="CX3691" s="115"/>
      <c r="CY3691" s="115"/>
      <c r="CZ3691" s="115"/>
      <c r="DA3691" s="115"/>
      <c r="DB3691" s="115"/>
      <c r="DC3691" s="115"/>
      <c r="DD3691" s="115"/>
      <c r="DE3691" s="115"/>
      <c r="DF3691" s="115"/>
      <c r="DG3691" s="115"/>
    </row>
    <row r="3692" spans="55:111" hidden="1">
      <c r="BC3692" s="115"/>
      <c r="BD3692" s="115"/>
      <c r="BE3692" s="115"/>
      <c r="BF3692" s="115"/>
      <c r="BG3692" s="115"/>
      <c r="BH3692" s="115"/>
      <c r="BI3692" s="115"/>
      <c r="BJ3692" s="115"/>
      <c r="BK3692" s="115"/>
      <c r="BL3692" s="115"/>
      <c r="BM3692" s="115"/>
      <c r="BN3692" s="115"/>
      <c r="BO3692" s="115"/>
      <c r="BP3692" s="115"/>
      <c r="BQ3692" s="115"/>
      <c r="BR3692" s="115"/>
      <c r="BS3692" s="115"/>
      <c r="BT3692" s="115"/>
      <c r="BU3692" s="115"/>
      <c r="BV3692" s="115"/>
      <c r="BW3692" s="115"/>
      <c r="BX3692" s="115"/>
      <c r="BY3692" s="115"/>
      <c r="BZ3692" s="115"/>
      <c r="CA3692" s="115"/>
      <c r="CB3692" s="115"/>
      <c r="CC3692" s="115"/>
      <c r="CD3692" s="115"/>
      <c r="CE3692" s="115"/>
      <c r="CF3692" s="115"/>
      <c r="CG3692" s="115"/>
      <c r="CH3692" s="115"/>
      <c r="CI3692" s="115"/>
      <c r="CJ3692" s="115"/>
      <c r="CK3692" s="115"/>
      <c r="CL3692" s="115"/>
      <c r="CM3692" s="115"/>
      <c r="CN3692" s="115"/>
      <c r="CO3692" s="115"/>
      <c r="CP3692" s="115"/>
      <c r="CQ3692" s="115"/>
      <c r="CR3692" s="115"/>
      <c r="CS3692" s="115"/>
      <c r="CT3692" s="115"/>
      <c r="CU3692" s="115"/>
      <c r="CV3692" s="115"/>
      <c r="CW3692" s="115"/>
      <c r="CX3692" s="115"/>
      <c r="CY3692" s="115"/>
      <c r="CZ3692" s="115"/>
      <c r="DA3692" s="115"/>
      <c r="DB3692" s="115"/>
      <c r="DC3692" s="115"/>
      <c r="DD3692" s="115"/>
      <c r="DE3692" s="115"/>
      <c r="DF3692" s="115"/>
      <c r="DG3692" s="115"/>
    </row>
    <row r="3693" spans="55:111" hidden="1">
      <c r="BC3693" s="115"/>
      <c r="BD3693" s="115"/>
      <c r="BE3693" s="115"/>
      <c r="BF3693" s="115"/>
      <c r="BG3693" s="115"/>
      <c r="BH3693" s="115"/>
      <c r="BI3693" s="115"/>
      <c r="BJ3693" s="115"/>
      <c r="BK3693" s="115"/>
      <c r="BL3693" s="115"/>
      <c r="BM3693" s="115"/>
      <c r="BN3693" s="115"/>
      <c r="BO3693" s="115"/>
      <c r="BP3693" s="115"/>
      <c r="BQ3693" s="115"/>
      <c r="BR3693" s="115"/>
      <c r="BS3693" s="115"/>
      <c r="BT3693" s="115"/>
      <c r="BU3693" s="115"/>
      <c r="BV3693" s="115"/>
      <c r="BW3693" s="115"/>
      <c r="BX3693" s="115"/>
      <c r="BY3693" s="115"/>
      <c r="BZ3693" s="115"/>
      <c r="CA3693" s="115"/>
      <c r="CB3693" s="115"/>
      <c r="CC3693" s="115"/>
      <c r="CD3693" s="115"/>
      <c r="CE3693" s="115"/>
      <c r="CF3693" s="115"/>
      <c r="CG3693" s="115"/>
      <c r="CH3693" s="115"/>
      <c r="CI3693" s="115"/>
      <c r="CJ3693" s="115"/>
      <c r="CK3693" s="115"/>
      <c r="CL3693" s="115"/>
      <c r="CM3693" s="115"/>
      <c r="CN3693" s="115"/>
      <c r="CO3693" s="115"/>
      <c r="CP3693" s="115"/>
      <c r="CQ3693" s="115"/>
      <c r="CR3693" s="115"/>
      <c r="CS3693" s="115"/>
      <c r="CT3693" s="115"/>
      <c r="CU3693" s="115"/>
      <c r="CV3693" s="115"/>
      <c r="CW3693" s="115"/>
      <c r="CX3693" s="115"/>
      <c r="CY3693" s="115"/>
      <c r="CZ3693" s="115"/>
      <c r="DA3693" s="115"/>
      <c r="DB3693" s="115"/>
      <c r="DC3693" s="115"/>
      <c r="DD3693" s="115"/>
      <c r="DE3693" s="115"/>
      <c r="DF3693" s="115"/>
      <c r="DG3693" s="115"/>
    </row>
    <row r="3694" spans="55:111" hidden="1">
      <c r="BC3694" s="115"/>
      <c r="BD3694" s="115"/>
      <c r="BE3694" s="115"/>
      <c r="BF3694" s="115"/>
      <c r="BG3694" s="115"/>
      <c r="BH3694" s="115"/>
      <c r="BI3694" s="115"/>
      <c r="BJ3694" s="115"/>
      <c r="BK3694" s="115"/>
      <c r="BL3694" s="115"/>
      <c r="BM3694" s="115"/>
      <c r="BN3694" s="115"/>
      <c r="BO3694" s="115"/>
      <c r="BP3694" s="115"/>
      <c r="BQ3694" s="115"/>
      <c r="BR3694" s="115"/>
      <c r="BS3694" s="115"/>
      <c r="BT3694" s="115"/>
      <c r="BU3694" s="115"/>
      <c r="BV3694" s="115"/>
      <c r="BW3694" s="115"/>
      <c r="BX3694" s="115"/>
      <c r="BY3694" s="115"/>
      <c r="BZ3694" s="115"/>
      <c r="CA3694" s="115"/>
      <c r="CB3694" s="115"/>
      <c r="CC3694" s="115"/>
      <c r="CD3694" s="115"/>
      <c r="CE3694" s="115"/>
      <c r="CF3694" s="115"/>
      <c r="CG3694" s="115"/>
      <c r="CH3694" s="115"/>
      <c r="CI3694" s="115"/>
      <c r="CJ3694" s="115"/>
      <c r="CK3694" s="115"/>
      <c r="CL3694" s="115"/>
      <c r="CM3694" s="115"/>
      <c r="CN3694" s="115"/>
      <c r="CO3694" s="115"/>
      <c r="CP3694" s="115"/>
      <c r="CQ3694" s="115"/>
      <c r="CR3694" s="115"/>
      <c r="CS3694" s="115"/>
      <c r="CT3694" s="115"/>
      <c r="CU3694" s="115"/>
      <c r="CV3694" s="115"/>
      <c r="CW3694" s="115"/>
      <c r="CX3694" s="115"/>
      <c r="CY3694" s="115"/>
      <c r="CZ3694" s="115"/>
      <c r="DA3694" s="115"/>
      <c r="DB3694" s="115"/>
      <c r="DC3694" s="115"/>
      <c r="DD3694" s="115"/>
      <c r="DE3694" s="115"/>
      <c r="DF3694" s="115"/>
      <c r="DG3694" s="115"/>
    </row>
    <row r="3695" spans="55:111" hidden="1">
      <c r="BC3695" s="115"/>
      <c r="BD3695" s="115"/>
      <c r="BE3695" s="115"/>
      <c r="BF3695" s="115"/>
      <c r="BG3695" s="115"/>
      <c r="BH3695" s="115"/>
      <c r="BI3695" s="115"/>
      <c r="BJ3695" s="115"/>
      <c r="BK3695" s="115"/>
      <c r="BL3695" s="115"/>
      <c r="BM3695" s="115"/>
      <c r="BN3695" s="115"/>
      <c r="BO3695" s="115"/>
      <c r="BP3695" s="115"/>
      <c r="BQ3695" s="115"/>
      <c r="BR3695" s="115"/>
      <c r="BS3695" s="115"/>
      <c r="BT3695" s="115"/>
      <c r="BU3695" s="115"/>
      <c r="BV3695" s="115"/>
      <c r="BW3695" s="115"/>
      <c r="BX3695" s="115"/>
      <c r="BY3695" s="115"/>
      <c r="BZ3695" s="115"/>
      <c r="CA3695" s="115"/>
      <c r="CB3695" s="115"/>
      <c r="CC3695" s="115"/>
      <c r="CD3695" s="115"/>
      <c r="CE3695" s="115"/>
      <c r="CF3695" s="115"/>
      <c r="CG3695" s="115"/>
      <c r="CH3695" s="115"/>
      <c r="CI3695" s="115"/>
      <c r="CJ3695" s="115"/>
      <c r="CK3695" s="115"/>
      <c r="CL3695" s="115"/>
      <c r="CM3695" s="115"/>
      <c r="CN3695" s="115"/>
      <c r="CO3695" s="115"/>
      <c r="CP3695" s="115"/>
      <c r="CQ3695" s="115"/>
      <c r="CR3695" s="115"/>
      <c r="CS3695" s="115"/>
      <c r="CT3695" s="115"/>
      <c r="CU3695" s="115"/>
      <c r="CV3695" s="115"/>
      <c r="CW3695" s="115"/>
      <c r="CX3695" s="115"/>
      <c r="CY3695" s="115"/>
      <c r="CZ3695" s="115"/>
      <c r="DA3695" s="115"/>
      <c r="DB3695" s="115"/>
      <c r="DC3695" s="115"/>
      <c r="DD3695" s="115"/>
      <c r="DE3695" s="115"/>
      <c r="DF3695" s="115"/>
      <c r="DG3695" s="115"/>
    </row>
    <row r="3696" spans="55:111" hidden="1">
      <c r="BC3696" s="115"/>
      <c r="BD3696" s="115"/>
      <c r="BE3696" s="115"/>
      <c r="BF3696" s="115"/>
      <c r="BG3696" s="115"/>
      <c r="BH3696" s="115"/>
      <c r="BI3696" s="115"/>
      <c r="BJ3696" s="115"/>
      <c r="BK3696" s="115"/>
      <c r="BL3696" s="115"/>
      <c r="BM3696" s="115"/>
      <c r="BN3696" s="115"/>
      <c r="BO3696" s="115"/>
      <c r="BP3696" s="115"/>
      <c r="BQ3696" s="115"/>
      <c r="BR3696" s="115"/>
      <c r="BS3696" s="115"/>
      <c r="BT3696" s="115"/>
      <c r="BU3696" s="115"/>
      <c r="BV3696" s="115"/>
      <c r="BW3696" s="115"/>
      <c r="BX3696" s="115"/>
      <c r="BY3696" s="115"/>
      <c r="BZ3696" s="115"/>
      <c r="CA3696" s="115"/>
      <c r="CB3696" s="115"/>
      <c r="CC3696" s="115"/>
      <c r="CD3696" s="115"/>
      <c r="CE3696" s="115"/>
      <c r="CF3696" s="115"/>
      <c r="CG3696" s="115"/>
      <c r="CH3696" s="115"/>
      <c r="CI3696" s="115"/>
      <c r="CJ3696" s="115"/>
      <c r="CK3696" s="115"/>
      <c r="CL3696" s="115"/>
      <c r="CM3696" s="115"/>
      <c r="CN3696" s="115"/>
      <c r="CO3696" s="115"/>
      <c r="CP3696" s="115"/>
      <c r="CQ3696" s="115"/>
      <c r="CR3696" s="115"/>
      <c r="CS3696" s="115"/>
      <c r="CT3696" s="115"/>
      <c r="CU3696" s="115"/>
      <c r="CV3696" s="115"/>
      <c r="CW3696" s="115"/>
      <c r="CX3696" s="115"/>
      <c r="CY3696" s="115"/>
      <c r="CZ3696" s="115"/>
      <c r="DA3696" s="115"/>
      <c r="DB3696" s="115"/>
      <c r="DC3696" s="115"/>
      <c r="DD3696" s="115"/>
      <c r="DE3696" s="115"/>
      <c r="DF3696" s="115"/>
      <c r="DG3696" s="115"/>
    </row>
    <row r="3697" spans="55:111" hidden="1">
      <c r="BC3697" s="115"/>
      <c r="BD3697" s="115"/>
      <c r="BE3697" s="115"/>
      <c r="BF3697" s="115"/>
      <c r="BG3697" s="115"/>
      <c r="BH3697" s="115"/>
      <c r="BI3697" s="115"/>
      <c r="BJ3697" s="115"/>
      <c r="BK3697" s="115"/>
      <c r="BL3697" s="115"/>
      <c r="BM3697" s="115"/>
      <c r="BN3697" s="115"/>
      <c r="BO3697" s="115"/>
      <c r="BP3697" s="115"/>
      <c r="BQ3697" s="115"/>
      <c r="BR3697" s="115"/>
      <c r="BS3697" s="115"/>
      <c r="BT3697" s="115"/>
      <c r="BU3697" s="115"/>
      <c r="BV3697" s="115"/>
      <c r="BW3697" s="115"/>
      <c r="BX3697" s="115"/>
      <c r="BY3697" s="115"/>
      <c r="BZ3697" s="115"/>
      <c r="CA3697" s="115"/>
      <c r="CB3697" s="115"/>
      <c r="CC3697" s="115"/>
      <c r="CD3697" s="115"/>
      <c r="CE3697" s="115"/>
      <c r="CF3697" s="115"/>
      <c r="CG3697" s="115"/>
      <c r="CH3697" s="115"/>
      <c r="CI3697" s="115"/>
      <c r="CJ3697" s="115"/>
      <c r="CK3697" s="115"/>
      <c r="CL3697" s="115"/>
      <c r="CM3697" s="115"/>
      <c r="CN3697" s="115"/>
      <c r="CO3697" s="115"/>
      <c r="CP3697" s="115"/>
      <c r="CQ3697" s="115"/>
      <c r="CR3697" s="115"/>
      <c r="CS3697" s="115"/>
      <c r="CT3697" s="115"/>
      <c r="CU3697" s="115"/>
      <c r="CV3697" s="115"/>
      <c r="CW3697" s="115"/>
      <c r="CX3697" s="115"/>
      <c r="CY3697" s="115"/>
      <c r="CZ3697" s="115"/>
      <c r="DA3697" s="115"/>
      <c r="DB3697" s="115"/>
      <c r="DC3697" s="115"/>
      <c r="DD3697" s="115"/>
      <c r="DE3697" s="115"/>
      <c r="DF3697" s="115"/>
      <c r="DG3697" s="115"/>
    </row>
    <row r="3698" spans="55:111" hidden="1">
      <c r="BC3698" s="115"/>
      <c r="BD3698" s="115"/>
      <c r="BE3698" s="115"/>
      <c r="BF3698" s="115"/>
      <c r="BG3698" s="115"/>
      <c r="BH3698" s="115"/>
      <c r="BI3698" s="115"/>
      <c r="BJ3698" s="115"/>
      <c r="BK3698" s="115"/>
      <c r="BL3698" s="115"/>
      <c r="BM3698" s="115"/>
      <c r="BN3698" s="115"/>
      <c r="BO3698" s="115"/>
      <c r="BP3698" s="115"/>
      <c r="BQ3698" s="115"/>
      <c r="BR3698" s="115"/>
      <c r="BS3698" s="115"/>
      <c r="BT3698" s="115"/>
      <c r="BU3698" s="115"/>
      <c r="BV3698" s="115"/>
      <c r="BW3698" s="115"/>
      <c r="BX3698" s="115"/>
      <c r="BY3698" s="115"/>
      <c r="BZ3698" s="115"/>
      <c r="CA3698" s="115"/>
      <c r="CB3698" s="115"/>
      <c r="CC3698" s="115"/>
      <c r="CD3698" s="115"/>
      <c r="CE3698" s="115"/>
      <c r="CF3698" s="115"/>
      <c r="CG3698" s="115"/>
      <c r="CH3698" s="115"/>
      <c r="CI3698" s="115"/>
      <c r="CJ3698" s="115"/>
      <c r="CK3698" s="115"/>
      <c r="CL3698" s="115"/>
      <c r="CM3698" s="115"/>
      <c r="CN3698" s="115"/>
      <c r="CO3698" s="115"/>
      <c r="CP3698" s="115"/>
      <c r="CQ3698" s="115"/>
      <c r="CR3698" s="115"/>
      <c r="CS3698" s="115"/>
      <c r="CT3698" s="115"/>
      <c r="CU3698" s="115"/>
      <c r="CV3698" s="115"/>
      <c r="CW3698" s="115"/>
      <c r="CX3698" s="115"/>
      <c r="CY3698" s="115"/>
      <c r="CZ3698" s="115"/>
      <c r="DA3698" s="115"/>
      <c r="DB3698" s="115"/>
      <c r="DC3698" s="115"/>
      <c r="DD3698" s="115"/>
      <c r="DE3698" s="115"/>
      <c r="DF3698" s="115"/>
      <c r="DG3698" s="115"/>
    </row>
    <row r="3699" spans="55:111" hidden="1">
      <c r="BC3699" s="115"/>
      <c r="BD3699" s="115"/>
      <c r="BE3699" s="115"/>
      <c r="BF3699" s="115"/>
      <c r="BG3699" s="115"/>
      <c r="BH3699" s="115"/>
      <c r="BI3699" s="115"/>
      <c r="BJ3699" s="115"/>
      <c r="BK3699" s="115"/>
      <c r="BL3699" s="115"/>
      <c r="BM3699" s="115"/>
      <c r="BN3699" s="115"/>
      <c r="BO3699" s="115"/>
      <c r="BP3699" s="115"/>
      <c r="BQ3699" s="115"/>
      <c r="BR3699" s="115"/>
      <c r="BS3699" s="115"/>
      <c r="BT3699" s="115"/>
      <c r="BU3699" s="115"/>
      <c r="BV3699" s="115"/>
      <c r="BW3699" s="115"/>
      <c r="BX3699" s="115"/>
      <c r="BY3699" s="115"/>
      <c r="BZ3699" s="115"/>
      <c r="CA3699" s="115"/>
      <c r="CB3699" s="115"/>
      <c r="CC3699" s="115"/>
      <c r="CD3699" s="115"/>
      <c r="CE3699" s="115"/>
      <c r="CF3699" s="115"/>
      <c r="CG3699" s="115"/>
      <c r="CH3699" s="115"/>
      <c r="CI3699" s="115"/>
      <c r="CJ3699" s="115"/>
      <c r="CK3699" s="115"/>
      <c r="CL3699" s="115"/>
      <c r="CM3699" s="115"/>
      <c r="CN3699" s="115"/>
      <c r="CO3699" s="115"/>
      <c r="CP3699" s="115"/>
      <c r="CQ3699" s="115"/>
      <c r="CR3699" s="115"/>
      <c r="CS3699" s="115"/>
      <c r="CT3699" s="115"/>
      <c r="CU3699" s="115"/>
      <c r="CV3699" s="115"/>
      <c r="CW3699" s="115"/>
      <c r="CX3699" s="115"/>
      <c r="CY3699" s="115"/>
      <c r="CZ3699" s="115"/>
      <c r="DA3699" s="115"/>
      <c r="DB3699" s="115"/>
      <c r="DC3699" s="115"/>
      <c r="DD3699" s="115"/>
      <c r="DE3699" s="115"/>
      <c r="DF3699" s="115"/>
      <c r="DG3699" s="115"/>
    </row>
    <row r="3700" spans="55:111" hidden="1">
      <c r="BC3700" s="115"/>
      <c r="BD3700" s="115"/>
      <c r="BE3700" s="115"/>
      <c r="BF3700" s="115"/>
      <c r="BG3700" s="115"/>
      <c r="BH3700" s="115"/>
      <c r="BI3700" s="115"/>
      <c r="BJ3700" s="115"/>
      <c r="BK3700" s="115"/>
      <c r="BL3700" s="115"/>
      <c r="BM3700" s="115"/>
      <c r="BN3700" s="115"/>
      <c r="BO3700" s="115"/>
      <c r="BP3700" s="115"/>
      <c r="BQ3700" s="115"/>
      <c r="BR3700" s="115"/>
      <c r="BS3700" s="115"/>
      <c r="BT3700" s="115"/>
      <c r="BU3700" s="115"/>
      <c r="BV3700" s="115"/>
      <c r="BW3700" s="115"/>
      <c r="BX3700" s="115"/>
      <c r="BY3700" s="115"/>
      <c r="BZ3700" s="115"/>
      <c r="CA3700" s="115"/>
      <c r="CB3700" s="115"/>
      <c r="CC3700" s="115"/>
      <c r="CD3700" s="115"/>
      <c r="CE3700" s="115"/>
      <c r="CF3700" s="115"/>
      <c r="CG3700" s="115"/>
      <c r="CH3700" s="115"/>
      <c r="CI3700" s="115"/>
      <c r="CJ3700" s="115"/>
      <c r="CK3700" s="115"/>
      <c r="CL3700" s="115"/>
      <c r="CM3700" s="115"/>
      <c r="CN3700" s="115"/>
      <c r="CO3700" s="115"/>
      <c r="CP3700" s="115"/>
      <c r="CQ3700" s="115"/>
      <c r="CR3700" s="115"/>
      <c r="CS3700" s="115"/>
      <c r="CT3700" s="115"/>
      <c r="CU3700" s="115"/>
      <c r="CV3700" s="115"/>
      <c r="CW3700" s="115"/>
      <c r="CX3700" s="115"/>
      <c r="CY3700" s="115"/>
      <c r="CZ3700" s="115"/>
      <c r="DA3700" s="115"/>
      <c r="DB3700" s="115"/>
      <c r="DC3700" s="115"/>
      <c r="DD3700" s="115"/>
      <c r="DE3700" s="115"/>
      <c r="DF3700" s="115"/>
      <c r="DG3700" s="115"/>
    </row>
    <row r="3701" spans="55:111" hidden="1">
      <c r="BC3701" s="115"/>
      <c r="BD3701" s="115"/>
      <c r="BE3701" s="115"/>
      <c r="BF3701" s="115"/>
      <c r="BG3701" s="115"/>
      <c r="BH3701" s="115"/>
      <c r="BI3701" s="115"/>
      <c r="BJ3701" s="115"/>
      <c r="BK3701" s="115"/>
      <c r="BL3701" s="115"/>
      <c r="BM3701" s="115"/>
      <c r="BN3701" s="115"/>
      <c r="BO3701" s="115"/>
      <c r="BP3701" s="115"/>
      <c r="BQ3701" s="115"/>
      <c r="BR3701" s="115"/>
      <c r="BS3701" s="115"/>
      <c r="BT3701" s="115"/>
      <c r="BU3701" s="115"/>
      <c r="BV3701" s="115"/>
      <c r="BW3701" s="115"/>
      <c r="BX3701" s="115"/>
      <c r="BY3701" s="115"/>
      <c r="BZ3701" s="115"/>
      <c r="CA3701" s="115"/>
      <c r="CB3701" s="115"/>
      <c r="CC3701" s="115"/>
      <c r="CD3701" s="115"/>
      <c r="CE3701" s="115"/>
      <c r="CF3701" s="115"/>
      <c r="CG3701" s="115"/>
      <c r="CH3701" s="115"/>
      <c r="CI3701" s="115"/>
      <c r="CJ3701" s="115"/>
      <c r="CK3701" s="115"/>
      <c r="CL3701" s="115"/>
      <c r="CM3701" s="115"/>
      <c r="CN3701" s="115"/>
      <c r="CO3701" s="115"/>
      <c r="CP3701" s="115"/>
      <c r="CQ3701" s="115"/>
      <c r="CR3701" s="115"/>
      <c r="CS3701" s="115"/>
      <c r="CT3701" s="115"/>
      <c r="CU3701" s="115"/>
      <c r="CV3701" s="115"/>
      <c r="CW3701" s="115"/>
      <c r="CX3701" s="115"/>
      <c r="CY3701" s="115"/>
      <c r="CZ3701" s="115"/>
      <c r="DA3701" s="115"/>
      <c r="DB3701" s="115"/>
      <c r="DC3701" s="115"/>
      <c r="DD3701" s="115"/>
      <c r="DE3701" s="115"/>
      <c r="DF3701" s="115"/>
      <c r="DG3701" s="115"/>
    </row>
    <row r="3702" spans="55:111" hidden="1">
      <c r="BC3702" s="115"/>
      <c r="BD3702" s="115"/>
      <c r="BE3702" s="115"/>
      <c r="BF3702" s="115"/>
      <c r="BG3702" s="115"/>
      <c r="BH3702" s="115"/>
      <c r="BI3702" s="115"/>
      <c r="BJ3702" s="115"/>
      <c r="BK3702" s="115"/>
      <c r="BL3702" s="115"/>
      <c r="BM3702" s="115"/>
      <c r="BN3702" s="115"/>
      <c r="BO3702" s="115"/>
      <c r="BP3702" s="115"/>
      <c r="BQ3702" s="115"/>
      <c r="BR3702" s="115"/>
      <c r="BS3702" s="115"/>
      <c r="BT3702" s="115"/>
      <c r="BU3702" s="115"/>
      <c r="BV3702" s="115"/>
      <c r="BW3702" s="115"/>
      <c r="BX3702" s="115"/>
      <c r="BY3702" s="115"/>
      <c r="BZ3702" s="115"/>
      <c r="CA3702" s="115"/>
      <c r="CB3702" s="115"/>
      <c r="CC3702" s="115"/>
      <c r="CD3702" s="115"/>
      <c r="CE3702" s="115"/>
      <c r="CF3702" s="115"/>
      <c r="CG3702" s="115"/>
      <c r="CH3702" s="115"/>
      <c r="CI3702" s="115"/>
      <c r="CJ3702" s="115"/>
      <c r="CK3702" s="115"/>
      <c r="CL3702" s="115"/>
      <c r="CM3702" s="115"/>
      <c r="CN3702" s="115"/>
      <c r="CO3702" s="115"/>
      <c r="CP3702" s="115"/>
      <c r="CQ3702" s="115"/>
      <c r="CR3702" s="115"/>
      <c r="CS3702" s="115"/>
      <c r="CT3702" s="115"/>
      <c r="CU3702" s="115"/>
      <c r="CV3702" s="115"/>
      <c r="CW3702" s="115"/>
      <c r="CX3702" s="115"/>
      <c r="CY3702" s="115"/>
      <c r="CZ3702" s="115"/>
      <c r="DA3702" s="115"/>
      <c r="DB3702" s="115"/>
      <c r="DC3702" s="115"/>
      <c r="DD3702" s="115"/>
      <c r="DE3702" s="115"/>
      <c r="DF3702" s="115"/>
      <c r="DG3702" s="115"/>
    </row>
    <row r="3703" spans="55:111" hidden="1">
      <c r="BC3703" s="115"/>
      <c r="BD3703" s="115"/>
      <c r="BE3703" s="115"/>
      <c r="BF3703" s="115"/>
      <c r="BG3703" s="115"/>
      <c r="BH3703" s="115"/>
      <c r="BI3703" s="115"/>
      <c r="BJ3703" s="115"/>
      <c r="BK3703" s="115"/>
      <c r="BL3703" s="115"/>
      <c r="BM3703" s="115"/>
      <c r="BN3703" s="115"/>
      <c r="BO3703" s="115"/>
      <c r="BP3703" s="115"/>
      <c r="BQ3703" s="115"/>
      <c r="BR3703" s="115"/>
      <c r="BS3703" s="115"/>
      <c r="BT3703" s="115"/>
      <c r="BU3703" s="115"/>
      <c r="BV3703" s="115"/>
      <c r="BW3703" s="115"/>
      <c r="BX3703" s="115"/>
      <c r="BY3703" s="115"/>
      <c r="BZ3703" s="115"/>
      <c r="CA3703" s="115"/>
      <c r="CB3703" s="115"/>
      <c r="CC3703" s="115"/>
      <c r="CD3703" s="115"/>
      <c r="CE3703" s="115"/>
      <c r="CF3703" s="115"/>
      <c r="CG3703" s="115"/>
      <c r="CH3703" s="115"/>
      <c r="CI3703" s="115"/>
      <c r="CJ3703" s="115"/>
      <c r="CK3703" s="115"/>
      <c r="CL3703" s="115"/>
      <c r="CM3703" s="115"/>
      <c r="CN3703" s="115"/>
      <c r="CO3703" s="115"/>
      <c r="CP3703" s="115"/>
      <c r="CQ3703" s="115"/>
      <c r="CR3703" s="115"/>
      <c r="CS3703" s="115"/>
      <c r="CT3703" s="115"/>
      <c r="CU3703" s="115"/>
      <c r="CV3703" s="115"/>
      <c r="CW3703" s="115"/>
      <c r="CX3703" s="115"/>
      <c r="CY3703" s="115"/>
      <c r="CZ3703" s="115"/>
      <c r="DA3703" s="115"/>
      <c r="DB3703" s="115"/>
      <c r="DC3703" s="115"/>
      <c r="DD3703" s="115"/>
      <c r="DE3703" s="115"/>
      <c r="DF3703" s="115"/>
      <c r="DG3703" s="115"/>
    </row>
    <row r="3704" spans="55:111" hidden="1">
      <c r="BC3704" s="115"/>
      <c r="BD3704" s="115"/>
      <c r="BE3704" s="115"/>
      <c r="BF3704" s="115"/>
      <c r="BG3704" s="115"/>
      <c r="BH3704" s="115"/>
      <c r="BI3704" s="115"/>
      <c r="BJ3704" s="115"/>
      <c r="BK3704" s="115"/>
      <c r="BL3704" s="115"/>
      <c r="BM3704" s="115"/>
      <c r="BN3704" s="115"/>
      <c r="BO3704" s="115"/>
      <c r="BP3704" s="115"/>
      <c r="BQ3704" s="115"/>
      <c r="BR3704" s="115"/>
      <c r="BS3704" s="115"/>
      <c r="BT3704" s="115"/>
      <c r="BU3704" s="115"/>
      <c r="BV3704" s="115"/>
      <c r="BW3704" s="115"/>
      <c r="BX3704" s="115"/>
      <c r="BY3704" s="115"/>
      <c r="BZ3704" s="115"/>
      <c r="CA3704" s="115"/>
      <c r="CB3704" s="115"/>
      <c r="CC3704" s="115"/>
      <c r="CD3704" s="115"/>
      <c r="CE3704" s="115"/>
      <c r="CF3704" s="115"/>
      <c r="CG3704" s="115"/>
      <c r="CH3704" s="115"/>
      <c r="CI3704" s="115"/>
      <c r="CJ3704" s="115"/>
      <c r="CK3704" s="115"/>
      <c r="CL3704" s="115"/>
      <c r="CM3704" s="115"/>
      <c r="CN3704" s="115"/>
      <c r="CO3704" s="115"/>
      <c r="CP3704" s="115"/>
      <c r="CQ3704" s="115"/>
      <c r="CR3704" s="115"/>
      <c r="CS3704" s="115"/>
      <c r="CT3704" s="115"/>
      <c r="CU3704" s="115"/>
      <c r="CV3704" s="115"/>
      <c r="CW3704" s="115"/>
      <c r="CX3704" s="115"/>
      <c r="CY3704" s="115"/>
      <c r="CZ3704" s="115"/>
      <c r="DA3704" s="115"/>
      <c r="DB3704" s="115"/>
      <c r="DC3704" s="115"/>
      <c r="DD3704" s="115"/>
      <c r="DE3704" s="115"/>
      <c r="DF3704" s="115"/>
      <c r="DG3704" s="115"/>
    </row>
    <row r="3705" spans="55:111" hidden="1">
      <c r="BC3705" s="115"/>
      <c r="BD3705" s="115"/>
      <c r="BE3705" s="115"/>
      <c r="BF3705" s="115"/>
      <c r="BG3705" s="115"/>
      <c r="BH3705" s="115"/>
      <c r="BI3705" s="115"/>
      <c r="BJ3705" s="115"/>
      <c r="BK3705" s="115"/>
      <c r="BL3705" s="115"/>
      <c r="BM3705" s="115"/>
      <c r="BN3705" s="115"/>
      <c r="BO3705" s="115"/>
      <c r="BP3705" s="115"/>
      <c r="BQ3705" s="115"/>
      <c r="BR3705" s="115"/>
      <c r="BS3705" s="115"/>
      <c r="BT3705" s="115"/>
      <c r="BU3705" s="115"/>
      <c r="BV3705" s="115"/>
      <c r="BW3705" s="115"/>
      <c r="BX3705" s="115"/>
      <c r="BY3705" s="115"/>
      <c r="BZ3705" s="115"/>
      <c r="CA3705" s="115"/>
      <c r="CB3705" s="115"/>
      <c r="CC3705" s="115"/>
      <c r="CD3705" s="115"/>
      <c r="CE3705" s="115"/>
      <c r="CF3705" s="115"/>
      <c r="CG3705" s="115"/>
      <c r="CH3705" s="115"/>
      <c r="CI3705" s="115"/>
      <c r="CJ3705" s="115"/>
      <c r="CK3705" s="115"/>
      <c r="CL3705" s="115"/>
      <c r="CM3705" s="115"/>
      <c r="CN3705" s="115"/>
      <c r="CO3705" s="115"/>
      <c r="CP3705" s="115"/>
      <c r="CQ3705" s="115"/>
      <c r="CR3705" s="115"/>
      <c r="CS3705" s="115"/>
      <c r="CT3705" s="115"/>
      <c r="CU3705" s="115"/>
      <c r="CV3705" s="115"/>
      <c r="CW3705" s="115"/>
      <c r="CX3705" s="115"/>
      <c r="CY3705" s="115"/>
      <c r="CZ3705" s="115"/>
      <c r="DA3705" s="115"/>
      <c r="DB3705" s="115"/>
      <c r="DC3705" s="115"/>
      <c r="DD3705" s="115"/>
      <c r="DE3705" s="115"/>
      <c r="DF3705" s="115"/>
      <c r="DG3705" s="115"/>
    </row>
    <row r="3706" spans="55:111" hidden="1">
      <c r="BC3706" s="115"/>
      <c r="BD3706" s="115"/>
      <c r="BE3706" s="115"/>
      <c r="BF3706" s="115"/>
      <c r="BG3706" s="115"/>
      <c r="BH3706" s="115"/>
      <c r="BI3706" s="115"/>
      <c r="BJ3706" s="115"/>
      <c r="BK3706" s="115"/>
      <c r="BL3706" s="115"/>
      <c r="BM3706" s="115"/>
      <c r="BN3706" s="115"/>
      <c r="BO3706" s="115"/>
      <c r="BP3706" s="115"/>
      <c r="BQ3706" s="115"/>
      <c r="BR3706" s="115"/>
      <c r="BS3706" s="115"/>
      <c r="BT3706" s="115"/>
      <c r="BU3706" s="115"/>
      <c r="BV3706" s="115"/>
      <c r="BW3706" s="115"/>
      <c r="BX3706" s="115"/>
      <c r="BY3706" s="115"/>
      <c r="BZ3706" s="115"/>
      <c r="CA3706" s="115"/>
      <c r="CB3706" s="115"/>
      <c r="CC3706" s="115"/>
      <c r="CD3706" s="115"/>
      <c r="CE3706" s="115"/>
      <c r="CF3706" s="115"/>
      <c r="CG3706" s="115"/>
      <c r="CH3706" s="115"/>
      <c r="CI3706" s="115"/>
      <c r="CJ3706" s="115"/>
      <c r="CK3706" s="115"/>
      <c r="CL3706" s="115"/>
      <c r="CM3706" s="115"/>
      <c r="CN3706" s="115"/>
      <c r="CO3706" s="115"/>
      <c r="CP3706" s="115"/>
      <c r="CQ3706" s="115"/>
      <c r="CR3706" s="115"/>
      <c r="CS3706" s="115"/>
      <c r="CT3706" s="115"/>
      <c r="CU3706" s="115"/>
      <c r="CV3706" s="115"/>
      <c r="CW3706" s="115"/>
      <c r="CX3706" s="115"/>
      <c r="CY3706" s="115"/>
      <c r="CZ3706" s="115"/>
      <c r="DA3706" s="115"/>
      <c r="DB3706" s="115"/>
      <c r="DC3706" s="115"/>
      <c r="DD3706" s="115"/>
      <c r="DE3706" s="115"/>
      <c r="DF3706" s="115"/>
      <c r="DG3706" s="115"/>
    </row>
    <row r="3707" spans="55:111" hidden="1">
      <c r="BC3707" s="115"/>
      <c r="BD3707" s="115"/>
      <c r="BE3707" s="115"/>
      <c r="BF3707" s="115"/>
      <c r="BG3707" s="115"/>
      <c r="BH3707" s="115"/>
      <c r="BI3707" s="115"/>
      <c r="BJ3707" s="115"/>
      <c r="BK3707" s="115"/>
      <c r="BL3707" s="115"/>
      <c r="BM3707" s="115"/>
      <c r="BN3707" s="115"/>
      <c r="BO3707" s="115"/>
      <c r="BP3707" s="115"/>
      <c r="BQ3707" s="115"/>
      <c r="BR3707" s="115"/>
      <c r="BS3707" s="115"/>
      <c r="BT3707" s="115"/>
      <c r="BU3707" s="115"/>
      <c r="BV3707" s="115"/>
      <c r="BW3707" s="115"/>
      <c r="BX3707" s="115"/>
      <c r="BY3707" s="115"/>
      <c r="BZ3707" s="115"/>
      <c r="CA3707" s="115"/>
      <c r="CB3707" s="115"/>
      <c r="CC3707" s="115"/>
      <c r="CD3707" s="115"/>
      <c r="CE3707" s="115"/>
      <c r="CF3707" s="115"/>
      <c r="CG3707" s="115"/>
      <c r="CH3707" s="115"/>
      <c r="CI3707" s="115"/>
      <c r="CJ3707" s="115"/>
      <c r="CK3707" s="115"/>
      <c r="CL3707" s="115"/>
      <c r="CM3707" s="115"/>
      <c r="CN3707" s="115"/>
      <c r="CO3707" s="115"/>
      <c r="CP3707" s="115"/>
      <c r="CQ3707" s="115"/>
      <c r="CR3707" s="115"/>
      <c r="CS3707" s="115"/>
      <c r="CT3707" s="115"/>
      <c r="CU3707" s="115"/>
      <c r="CV3707" s="115"/>
      <c r="CW3707" s="115"/>
      <c r="CX3707" s="115"/>
      <c r="CY3707" s="115"/>
      <c r="CZ3707" s="115"/>
      <c r="DA3707" s="115"/>
      <c r="DB3707" s="115"/>
      <c r="DC3707" s="115"/>
      <c r="DD3707" s="115"/>
      <c r="DE3707" s="115"/>
      <c r="DF3707" s="115"/>
      <c r="DG3707" s="115"/>
    </row>
    <row r="3708" spans="55:111" hidden="1">
      <c r="BC3708" s="115"/>
      <c r="BD3708" s="115"/>
      <c r="BE3708" s="115"/>
      <c r="BF3708" s="115"/>
      <c r="BG3708" s="115"/>
      <c r="BH3708" s="115"/>
      <c r="BI3708" s="115"/>
      <c r="BJ3708" s="115"/>
      <c r="BK3708" s="115"/>
      <c r="BL3708" s="115"/>
      <c r="BM3708" s="115"/>
      <c r="BN3708" s="115"/>
      <c r="BO3708" s="115"/>
      <c r="BP3708" s="115"/>
      <c r="BQ3708" s="115"/>
      <c r="BR3708" s="115"/>
      <c r="BS3708" s="115"/>
      <c r="BT3708" s="115"/>
      <c r="BU3708" s="115"/>
      <c r="BV3708" s="115"/>
      <c r="BW3708" s="115"/>
      <c r="BX3708" s="115"/>
      <c r="BY3708" s="115"/>
      <c r="BZ3708" s="115"/>
      <c r="CA3708" s="115"/>
      <c r="CB3708" s="115"/>
      <c r="CC3708" s="115"/>
      <c r="CD3708" s="115"/>
      <c r="CE3708" s="115"/>
      <c r="CF3708" s="115"/>
      <c r="CG3708" s="115"/>
      <c r="CH3708" s="115"/>
      <c r="CI3708" s="115"/>
      <c r="CJ3708" s="115"/>
      <c r="CK3708" s="115"/>
      <c r="CL3708" s="115"/>
      <c r="CM3708" s="115"/>
      <c r="CN3708" s="115"/>
      <c r="CO3708" s="115"/>
      <c r="CP3708" s="115"/>
      <c r="CQ3708" s="115"/>
      <c r="CR3708" s="115"/>
      <c r="CS3708" s="115"/>
      <c r="CT3708" s="115"/>
      <c r="CU3708" s="115"/>
      <c r="CV3708" s="115"/>
      <c r="CW3708" s="115"/>
      <c r="CX3708" s="115"/>
      <c r="CY3708" s="115"/>
      <c r="CZ3708" s="115"/>
      <c r="DA3708" s="115"/>
      <c r="DB3708" s="115"/>
      <c r="DC3708" s="115"/>
      <c r="DD3708" s="115"/>
      <c r="DE3708" s="115"/>
      <c r="DF3708" s="115"/>
      <c r="DG3708" s="115"/>
    </row>
    <row r="3709" spans="55:111" hidden="1">
      <c r="BC3709" s="115"/>
      <c r="BD3709" s="115"/>
      <c r="BE3709" s="115"/>
      <c r="BF3709" s="115"/>
      <c r="BG3709" s="115"/>
      <c r="BH3709" s="115"/>
      <c r="BI3709" s="115"/>
      <c r="BJ3709" s="115"/>
      <c r="BK3709" s="115"/>
      <c r="BL3709" s="115"/>
      <c r="BM3709" s="115"/>
      <c r="BN3709" s="115"/>
      <c r="BO3709" s="115"/>
      <c r="BP3709" s="115"/>
      <c r="BQ3709" s="115"/>
      <c r="BR3709" s="115"/>
      <c r="BS3709" s="115"/>
      <c r="BT3709" s="115"/>
      <c r="BU3709" s="115"/>
      <c r="BV3709" s="115"/>
      <c r="BW3709" s="115"/>
      <c r="BX3709" s="115"/>
      <c r="BY3709" s="115"/>
      <c r="BZ3709" s="115"/>
      <c r="CA3709" s="115"/>
      <c r="CB3709" s="115"/>
      <c r="CC3709" s="115"/>
      <c r="CD3709" s="115"/>
      <c r="CE3709" s="115"/>
      <c r="CF3709" s="115"/>
      <c r="CG3709" s="115"/>
      <c r="CH3709" s="115"/>
      <c r="CI3709" s="115"/>
      <c r="CJ3709" s="115"/>
      <c r="CK3709" s="115"/>
      <c r="CL3709" s="115"/>
      <c r="CM3709" s="115"/>
      <c r="CN3709" s="115"/>
      <c r="CO3709" s="115"/>
      <c r="CP3709" s="115"/>
      <c r="CQ3709" s="115"/>
      <c r="CR3709" s="115"/>
      <c r="CS3709" s="115"/>
      <c r="CT3709" s="115"/>
      <c r="CU3709" s="115"/>
      <c r="CV3709" s="115"/>
      <c r="CW3709" s="115"/>
      <c r="CX3709" s="115"/>
      <c r="CY3709" s="115"/>
      <c r="CZ3709" s="115"/>
      <c r="DA3709" s="115"/>
      <c r="DB3709" s="115"/>
      <c r="DC3709" s="115"/>
      <c r="DD3709" s="115"/>
      <c r="DE3709" s="115"/>
      <c r="DF3709" s="115"/>
      <c r="DG3709" s="115"/>
    </row>
    <row r="3710" spans="55:111" hidden="1">
      <c r="BC3710" s="115"/>
      <c r="BD3710" s="115"/>
      <c r="BE3710" s="115"/>
      <c r="BF3710" s="115"/>
      <c r="BG3710" s="115"/>
      <c r="BH3710" s="115"/>
      <c r="BI3710" s="115"/>
      <c r="BJ3710" s="115"/>
      <c r="BK3710" s="115"/>
      <c r="BL3710" s="115"/>
      <c r="BM3710" s="115"/>
      <c r="BN3710" s="115"/>
      <c r="BO3710" s="115"/>
      <c r="BP3710" s="115"/>
      <c r="BQ3710" s="115"/>
      <c r="BR3710" s="115"/>
      <c r="BS3710" s="115"/>
      <c r="BT3710" s="115"/>
      <c r="BU3710" s="115"/>
      <c r="BV3710" s="115"/>
      <c r="BW3710" s="115"/>
      <c r="BX3710" s="115"/>
      <c r="BY3710" s="115"/>
      <c r="BZ3710" s="115"/>
      <c r="CA3710" s="115"/>
      <c r="CB3710" s="115"/>
      <c r="CC3710" s="115"/>
      <c r="CD3710" s="115"/>
      <c r="CE3710" s="115"/>
      <c r="CF3710" s="115"/>
      <c r="CG3710" s="115"/>
      <c r="CH3710" s="115"/>
      <c r="CI3710" s="115"/>
      <c r="CJ3710" s="115"/>
      <c r="CK3710" s="115"/>
      <c r="CL3710" s="115"/>
      <c r="CM3710" s="115"/>
      <c r="CN3710" s="115"/>
      <c r="CO3710" s="115"/>
      <c r="CP3710" s="115"/>
      <c r="CQ3710" s="115"/>
      <c r="CR3710" s="115"/>
      <c r="CS3710" s="115"/>
      <c r="CT3710" s="115"/>
      <c r="CU3710" s="115"/>
      <c r="CV3710" s="115"/>
      <c r="CW3710" s="115"/>
      <c r="CX3710" s="115"/>
      <c r="CY3710" s="115"/>
      <c r="CZ3710" s="115"/>
      <c r="DA3710" s="115"/>
      <c r="DB3710" s="115"/>
      <c r="DC3710" s="115"/>
      <c r="DD3710" s="115"/>
      <c r="DE3710" s="115"/>
      <c r="DF3710" s="115"/>
      <c r="DG3710" s="115"/>
    </row>
    <row r="3711" spans="55:111" hidden="1">
      <c r="BC3711" s="115"/>
      <c r="BD3711" s="115"/>
      <c r="BE3711" s="115"/>
      <c r="BF3711" s="115"/>
      <c r="BG3711" s="115"/>
      <c r="BH3711" s="115"/>
      <c r="BI3711" s="115"/>
      <c r="BJ3711" s="115"/>
      <c r="BK3711" s="115"/>
      <c r="BL3711" s="115"/>
      <c r="BM3711" s="115"/>
      <c r="BN3711" s="115"/>
      <c r="BO3711" s="115"/>
      <c r="BP3711" s="115"/>
      <c r="BQ3711" s="115"/>
      <c r="BR3711" s="115"/>
      <c r="BS3711" s="115"/>
      <c r="BT3711" s="115"/>
      <c r="BU3711" s="115"/>
      <c r="BV3711" s="115"/>
      <c r="BW3711" s="115"/>
      <c r="BX3711" s="115"/>
      <c r="BY3711" s="115"/>
      <c r="BZ3711" s="115"/>
      <c r="CA3711" s="115"/>
      <c r="CB3711" s="115"/>
      <c r="CC3711" s="115"/>
      <c r="CD3711" s="115"/>
      <c r="CE3711" s="115"/>
      <c r="CF3711" s="115"/>
      <c r="CG3711" s="115"/>
      <c r="CH3711" s="115"/>
      <c r="CI3711" s="115"/>
      <c r="CJ3711" s="115"/>
      <c r="CK3711" s="115"/>
      <c r="CL3711" s="115"/>
      <c r="CM3711" s="115"/>
      <c r="CN3711" s="115"/>
      <c r="CO3711" s="115"/>
      <c r="CP3711" s="115"/>
      <c r="CQ3711" s="115"/>
      <c r="CR3711" s="115"/>
      <c r="CS3711" s="115"/>
      <c r="CT3711" s="115"/>
      <c r="CU3711" s="115"/>
      <c r="CV3711" s="115"/>
      <c r="CW3711" s="115"/>
      <c r="CX3711" s="115"/>
      <c r="CY3711" s="115"/>
      <c r="CZ3711" s="115"/>
      <c r="DA3711" s="115"/>
      <c r="DB3711" s="115"/>
      <c r="DC3711" s="115"/>
      <c r="DD3711" s="115"/>
      <c r="DE3711" s="115"/>
      <c r="DF3711" s="115"/>
      <c r="DG3711" s="115"/>
    </row>
    <row r="3712" spans="55:111" hidden="1">
      <c r="BC3712" s="115"/>
      <c r="BD3712" s="115"/>
      <c r="BE3712" s="115"/>
      <c r="BF3712" s="115"/>
      <c r="BG3712" s="115"/>
      <c r="BH3712" s="115"/>
      <c r="BI3712" s="115"/>
      <c r="BJ3712" s="115"/>
      <c r="BK3712" s="115"/>
      <c r="BL3712" s="115"/>
      <c r="BM3712" s="115"/>
      <c r="BN3712" s="115"/>
      <c r="BO3712" s="115"/>
      <c r="BP3712" s="115"/>
      <c r="BQ3712" s="115"/>
      <c r="BR3712" s="115"/>
      <c r="BS3712" s="115"/>
      <c r="BT3712" s="115"/>
      <c r="BU3712" s="115"/>
      <c r="BV3712" s="115"/>
      <c r="BW3712" s="115"/>
      <c r="BX3712" s="115"/>
      <c r="BY3712" s="115"/>
      <c r="BZ3712" s="115"/>
      <c r="CA3712" s="115"/>
      <c r="CB3712" s="115"/>
      <c r="CC3712" s="115"/>
      <c r="CD3712" s="115"/>
      <c r="CE3712" s="115"/>
      <c r="CF3712" s="115"/>
      <c r="CG3712" s="115"/>
      <c r="CH3712" s="115"/>
      <c r="CI3712" s="115"/>
      <c r="CJ3712" s="115"/>
      <c r="CK3712" s="115"/>
      <c r="CL3712" s="115"/>
      <c r="CM3712" s="115"/>
      <c r="CN3712" s="115"/>
      <c r="CO3712" s="115"/>
      <c r="CP3712" s="115"/>
      <c r="CQ3712" s="115"/>
      <c r="CR3712" s="115"/>
      <c r="CS3712" s="115"/>
      <c r="CT3712" s="115"/>
      <c r="CU3712" s="115"/>
      <c r="CV3712" s="115"/>
      <c r="CW3712" s="115"/>
      <c r="CX3712" s="115"/>
      <c r="CY3712" s="115"/>
      <c r="CZ3712" s="115"/>
      <c r="DA3712" s="115"/>
      <c r="DB3712" s="115"/>
      <c r="DC3712" s="115"/>
      <c r="DD3712" s="115"/>
      <c r="DE3712" s="115"/>
      <c r="DF3712" s="115"/>
      <c r="DG3712" s="115"/>
    </row>
    <row r="3713" spans="55:111" hidden="1">
      <c r="BC3713" s="115"/>
      <c r="BD3713" s="115"/>
      <c r="BE3713" s="115"/>
      <c r="BF3713" s="115"/>
      <c r="BG3713" s="115"/>
      <c r="BH3713" s="115"/>
      <c r="BI3713" s="115"/>
      <c r="BJ3713" s="115"/>
      <c r="BK3713" s="115"/>
      <c r="BL3713" s="115"/>
      <c r="BM3713" s="115"/>
      <c r="BN3713" s="115"/>
      <c r="BO3713" s="115"/>
      <c r="BP3713" s="115"/>
      <c r="BQ3713" s="115"/>
      <c r="BR3713" s="115"/>
      <c r="BS3713" s="115"/>
      <c r="BT3713" s="115"/>
      <c r="BU3713" s="115"/>
      <c r="BV3713" s="115"/>
      <c r="BW3713" s="115"/>
      <c r="BX3713" s="115"/>
      <c r="BY3713" s="115"/>
      <c r="BZ3713" s="115"/>
      <c r="CA3713" s="115"/>
      <c r="CB3713" s="115"/>
      <c r="CC3713" s="115"/>
      <c r="CD3713" s="115"/>
      <c r="CE3713" s="115"/>
      <c r="CF3713" s="115"/>
      <c r="CG3713" s="115"/>
      <c r="CH3713" s="115"/>
      <c r="CI3713" s="115"/>
      <c r="CJ3713" s="115"/>
      <c r="CK3713" s="115"/>
      <c r="CL3713" s="115"/>
      <c r="CM3713" s="115"/>
      <c r="CN3713" s="115"/>
      <c r="CO3713" s="115"/>
      <c r="CP3713" s="115"/>
      <c r="CQ3713" s="115"/>
      <c r="CR3713" s="115"/>
      <c r="CS3713" s="115"/>
      <c r="CT3713" s="115"/>
      <c r="CU3713" s="115"/>
      <c r="CV3713" s="115"/>
      <c r="CW3713" s="115"/>
      <c r="CX3713" s="115"/>
      <c r="CY3713" s="115"/>
      <c r="CZ3713" s="115"/>
      <c r="DA3713" s="115"/>
      <c r="DB3713" s="115"/>
      <c r="DC3713" s="115"/>
      <c r="DD3713" s="115"/>
      <c r="DE3713" s="115"/>
      <c r="DF3713" s="115"/>
      <c r="DG3713" s="115"/>
    </row>
    <row r="3714" spans="55:111" hidden="1">
      <c r="BC3714" s="115"/>
      <c r="BD3714" s="115"/>
      <c r="BE3714" s="115"/>
      <c r="BF3714" s="115"/>
      <c r="BG3714" s="115"/>
      <c r="BH3714" s="115"/>
      <c r="BI3714" s="115"/>
      <c r="BJ3714" s="115"/>
      <c r="BK3714" s="115"/>
      <c r="BL3714" s="115"/>
      <c r="BM3714" s="115"/>
      <c r="BN3714" s="115"/>
      <c r="BO3714" s="115"/>
      <c r="BP3714" s="115"/>
      <c r="BQ3714" s="115"/>
      <c r="BR3714" s="115"/>
      <c r="BS3714" s="115"/>
      <c r="BT3714" s="115"/>
      <c r="BU3714" s="115"/>
      <c r="BV3714" s="115"/>
      <c r="BW3714" s="115"/>
      <c r="BX3714" s="115"/>
      <c r="BY3714" s="115"/>
      <c r="BZ3714" s="115"/>
      <c r="CA3714" s="115"/>
      <c r="CB3714" s="115"/>
      <c r="CC3714" s="115"/>
      <c r="CD3714" s="115"/>
      <c r="CE3714" s="115"/>
      <c r="CF3714" s="115"/>
      <c r="CG3714" s="115"/>
      <c r="CH3714" s="115"/>
      <c r="CI3714" s="115"/>
      <c r="CJ3714" s="115"/>
      <c r="CK3714" s="115"/>
      <c r="CL3714" s="115"/>
      <c r="CM3714" s="115"/>
      <c r="CN3714" s="115"/>
      <c r="CO3714" s="115"/>
      <c r="CP3714" s="115"/>
      <c r="CQ3714" s="115"/>
      <c r="CR3714" s="115"/>
      <c r="CS3714" s="115"/>
      <c r="CT3714" s="115"/>
      <c r="CU3714" s="115"/>
      <c r="CV3714" s="115"/>
      <c r="CW3714" s="115"/>
      <c r="CX3714" s="115"/>
      <c r="CY3714" s="115"/>
      <c r="CZ3714" s="115"/>
      <c r="DA3714" s="115"/>
      <c r="DB3714" s="115"/>
      <c r="DC3714" s="115"/>
      <c r="DD3714" s="115"/>
      <c r="DE3714" s="115"/>
      <c r="DF3714" s="115"/>
      <c r="DG3714" s="115"/>
    </row>
    <row r="3715" spans="55:111" hidden="1">
      <c r="BC3715" s="115"/>
      <c r="BD3715" s="115"/>
      <c r="BE3715" s="115"/>
      <c r="BF3715" s="115"/>
      <c r="BG3715" s="115"/>
      <c r="BH3715" s="115"/>
      <c r="BI3715" s="115"/>
      <c r="BJ3715" s="115"/>
      <c r="BK3715" s="115"/>
      <c r="BL3715" s="115"/>
      <c r="BM3715" s="115"/>
      <c r="BN3715" s="115"/>
      <c r="BO3715" s="115"/>
      <c r="BP3715" s="115"/>
      <c r="BQ3715" s="115"/>
      <c r="BR3715" s="115"/>
      <c r="BS3715" s="115"/>
      <c r="BT3715" s="115"/>
      <c r="BU3715" s="115"/>
      <c r="BV3715" s="115"/>
      <c r="BW3715" s="115"/>
      <c r="BX3715" s="115"/>
      <c r="BY3715" s="115"/>
      <c r="BZ3715" s="115"/>
      <c r="CA3715" s="115"/>
      <c r="CB3715" s="115"/>
      <c r="CC3715" s="115"/>
      <c r="CD3715" s="115"/>
      <c r="CE3715" s="115"/>
      <c r="CF3715" s="115"/>
      <c r="CG3715" s="115"/>
      <c r="CH3715" s="115"/>
      <c r="CI3715" s="115"/>
      <c r="CJ3715" s="115"/>
      <c r="CK3715" s="115"/>
      <c r="CL3715" s="115"/>
      <c r="CM3715" s="115"/>
      <c r="CN3715" s="115"/>
      <c r="CO3715" s="115"/>
      <c r="CP3715" s="115"/>
      <c r="CQ3715" s="115"/>
      <c r="CR3715" s="115"/>
      <c r="CS3715" s="115"/>
      <c r="CT3715" s="115"/>
      <c r="CU3715" s="115"/>
      <c r="CV3715" s="115"/>
      <c r="CW3715" s="115"/>
      <c r="CX3715" s="115"/>
      <c r="CY3715" s="115"/>
      <c r="CZ3715" s="115"/>
      <c r="DA3715" s="115"/>
      <c r="DB3715" s="115"/>
      <c r="DC3715" s="115"/>
      <c r="DD3715" s="115"/>
      <c r="DE3715" s="115"/>
      <c r="DF3715" s="115"/>
      <c r="DG3715" s="115"/>
    </row>
    <row r="3716" spans="55:111" hidden="1">
      <c r="BC3716" s="115"/>
      <c r="BD3716" s="115"/>
      <c r="BE3716" s="115"/>
      <c r="BF3716" s="115"/>
      <c r="BG3716" s="115"/>
      <c r="BH3716" s="115"/>
      <c r="BI3716" s="115"/>
      <c r="BJ3716" s="115"/>
      <c r="BK3716" s="115"/>
      <c r="BL3716" s="115"/>
      <c r="BM3716" s="115"/>
      <c r="BN3716" s="115"/>
      <c r="BO3716" s="115"/>
      <c r="BP3716" s="115"/>
      <c r="BQ3716" s="115"/>
      <c r="BR3716" s="115"/>
      <c r="BS3716" s="115"/>
      <c r="BT3716" s="115"/>
      <c r="BU3716" s="115"/>
      <c r="BV3716" s="115"/>
      <c r="BW3716" s="115"/>
      <c r="BX3716" s="115"/>
      <c r="BY3716" s="115"/>
      <c r="BZ3716" s="115"/>
      <c r="CA3716" s="115"/>
      <c r="CB3716" s="115"/>
      <c r="CC3716" s="115"/>
      <c r="CD3716" s="115"/>
      <c r="CE3716" s="115"/>
      <c r="CF3716" s="115"/>
      <c r="CG3716" s="115"/>
      <c r="CH3716" s="115"/>
      <c r="CI3716" s="115"/>
      <c r="CJ3716" s="115"/>
      <c r="CK3716" s="115"/>
      <c r="CL3716" s="115"/>
      <c r="CM3716" s="115"/>
      <c r="CN3716" s="115"/>
      <c r="CO3716" s="115"/>
      <c r="CP3716" s="115"/>
      <c r="CQ3716" s="115"/>
      <c r="CR3716" s="115"/>
      <c r="CS3716" s="115"/>
      <c r="CT3716" s="115"/>
      <c r="CU3716" s="115"/>
      <c r="CV3716" s="115"/>
      <c r="CW3716" s="115"/>
      <c r="CX3716" s="115"/>
      <c r="CY3716" s="115"/>
      <c r="CZ3716" s="115"/>
      <c r="DA3716" s="115"/>
      <c r="DB3716" s="115"/>
      <c r="DC3716" s="115"/>
      <c r="DD3716" s="115"/>
      <c r="DE3716" s="115"/>
      <c r="DF3716" s="115"/>
      <c r="DG3716" s="115"/>
    </row>
    <row r="3717" spans="55:111" hidden="1">
      <c r="BC3717" s="115"/>
      <c r="BD3717" s="115"/>
      <c r="BE3717" s="115"/>
      <c r="BF3717" s="115"/>
      <c r="BG3717" s="115"/>
      <c r="BH3717" s="115"/>
      <c r="BI3717" s="115"/>
      <c r="BJ3717" s="115"/>
      <c r="BK3717" s="115"/>
      <c r="BL3717" s="115"/>
      <c r="BM3717" s="115"/>
      <c r="BN3717" s="115"/>
      <c r="BO3717" s="115"/>
      <c r="BP3717" s="115"/>
      <c r="BQ3717" s="115"/>
      <c r="BR3717" s="115"/>
      <c r="BS3717" s="115"/>
      <c r="BT3717" s="115"/>
      <c r="BU3717" s="115"/>
      <c r="BV3717" s="115"/>
      <c r="BW3717" s="115"/>
      <c r="BX3717" s="115"/>
      <c r="BY3717" s="115"/>
      <c r="BZ3717" s="115"/>
      <c r="CA3717" s="115"/>
      <c r="CB3717" s="115"/>
      <c r="CC3717" s="115"/>
      <c r="CD3717" s="115"/>
      <c r="CE3717" s="115"/>
      <c r="CF3717" s="115"/>
      <c r="CG3717" s="115"/>
      <c r="CH3717" s="115"/>
      <c r="CI3717" s="115"/>
      <c r="CJ3717" s="115"/>
      <c r="CK3717" s="115"/>
      <c r="CL3717" s="115"/>
      <c r="CM3717" s="115"/>
      <c r="CN3717" s="115"/>
      <c r="CO3717" s="115"/>
      <c r="CP3717" s="115"/>
      <c r="CQ3717" s="115"/>
      <c r="CR3717" s="115"/>
      <c r="CS3717" s="115"/>
      <c r="CT3717" s="115"/>
      <c r="CU3717" s="115"/>
      <c r="CV3717" s="115"/>
      <c r="CW3717" s="115"/>
      <c r="CX3717" s="115"/>
      <c r="CY3717" s="115"/>
      <c r="CZ3717" s="115"/>
      <c r="DA3717" s="115"/>
      <c r="DB3717" s="115"/>
      <c r="DC3717" s="115"/>
      <c r="DD3717" s="115"/>
      <c r="DE3717" s="115"/>
      <c r="DF3717" s="115"/>
      <c r="DG3717" s="115"/>
    </row>
    <row r="3718" spans="55:111" hidden="1">
      <c r="BC3718" s="115"/>
      <c r="BD3718" s="115"/>
      <c r="BE3718" s="115"/>
      <c r="BF3718" s="115"/>
      <c r="BG3718" s="115"/>
      <c r="BH3718" s="115"/>
      <c r="BI3718" s="115"/>
      <c r="BJ3718" s="115"/>
      <c r="BK3718" s="115"/>
      <c r="BL3718" s="115"/>
      <c r="BM3718" s="115"/>
      <c r="BN3718" s="115"/>
      <c r="BO3718" s="115"/>
      <c r="BP3718" s="115"/>
      <c r="BQ3718" s="115"/>
      <c r="BR3718" s="115"/>
      <c r="BS3718" s="115"/>
      <c r="BT3718" s="115"/>
      <c r="BU3718" s="115"/>
      <c r="BV3718" s="115"/>
      <c r="BW3718" s="115"/>
      <c r="BX3718" s="115"/>
      <c r="BY3718" s="115"/>
      <c r="BZ3718" s="115"/>
      <c r="CA3718" s="115"/>
      <c r="CB3718" s="115"/>
      <c r="CC3718" s="115"/>
      <c r="CD3718" s="115"/>
      <c r="CE3718" s="115"/>
      <c r="CF3718" s="115"/>
      <c r="CG3718" s="115"/>
      <c r="CH3718" s="115"/>
      <c r="CI3718" s="115"/>
      <c r="CJ3718" s="115"/>
      <c r="CK3718" s="115"/>
      <c r="CL3718" s="115"/>
      <c r="CM3718" s="115"/>
      <c r="CN3718" s="115"/>
      <c r="CO3718" s="115"/>
      <c r="CP3718" s="115"/>
      <c r="CQ3718" s="115"/>
      <c r="CR3718" s="115"/>
      <c r="CS3718" s="115"/>
      <c r="CT3718" s="115"/>
      <c r="CU3718" s="115"/>
      <c r="CV3718" s="115"/>
      <c r="CW3718" s="115"/>
      <c r="CX3718" s="115"/>
      <c r="CY3718" s="115"/>
      <c r="CZ3718" s="115"/>
      <c r="DA3718" s="115"/>
      <c r="DB3718" s="115"/>
      <c r="DC3718" s="115"/>
      <c r="DD3718" s="115"/>
      <c r="DE3718" s="115"/>
      <c r="DF3718" s="115"/>
      <c r="DG3718" s="115"/>
    </row>
    <row r="3719" spans="55:111" hidden="1">
      <c r="BC3719" s="115"/>
      <c r="BD3719" s="115"/>
      <c r="BE3719" s="115"/>
      <c r="BF3719" s="115"/>
      <c r="BG3719" s="115"/>
      <c r="BH3719" s="115"/>
      <c r="BI3719" s="115"/>
      <c r="BJ3719" s="115"/>
      <c r="BK3719" s="115"/>
      <c r="BL3719" s="115"/>
      <c r="BM3719" s="115"/>
      <c r="BN3719" s="115"/>
      <c r="BO3719" s="115"/>
      <c r="BP3719" s="115"/>
      <c r="BQ3719" s="115"/>
      <c r="BR3719" s="115"/>
      <c r="BS3719" s="115"/>
      <c r="BT3719" s="115"/>
      <c r="BU3719" s="115"/>
      <c r="BV3719" s="115"/>
      <c r="BW3719" s="115"/>
      <c r="BX3719" s="115"/>
      <c r="BY3719" s="115"/>
      <c r="BZ3719" s="115"/>
      <c r="CA3719" s="115"/>
      <c r="CB3719" s="115"/>
      <c r="CC3719" s="115"/>
      <c r="CD3719" s="115"/>
      <c r="CE3719" s="115"/>
      <c r="CF3719" s="115"/>
      <c r="CG3719" s="115"/>
      <c r="CH3719" s="115"/>
      <c r="CI3719" s="115"/>
      <c r="CJ3719" s="115"/>
      <c r="CK3719" s="115"/>
      <c r="CL3719" s="115"/>
      <c r="CM3719" s="115"/>
      <c r="CN3719" s="115"/>
      <c r="CO3719" s="115"/>
      <c r="CP3719" s="115"/>
      <c r="CQ3719" s="115"/>
      <c r="CR3719" s="115"/>
      <c r="CS3719" s="115"/>
      <c r="CT3719" s="115"/>
      <c r="CU3719" s="115"/>
      <c r="CV3719" s="115"/>
      <c r="CW3719" s="115"/>
      <c r="CX3719" s="115"/>
      <c r="CY3719" s="115"/>
      <c r="CZ3719" s="115"/>
      <c r="DA3719" s="115"/>
      <c r="DB3719" s="115"/>
      <c r="DC3719" s="115"/>
      <c r="DD3719" s="115"/>
      <c r="DE3719" s="115"/>
      <c r="DF3719" s="115"/>
      <c r="DG3719" s="115"/>
    </row>
    <row r="3720" spans="55:111" hidden="1">
      <c r="BC3720" s="115"/>
      <c r="BD3720" s="115"/>
      <c r="BE3720" s="115"/>
      <c r="BF3720" s="115"/>
      <c r="BG3720" s="115"/>
      <c r="BH3720" s="115"/>
      <c r="BI3720" s="115"/>
      <c r="BJ3720" s="115"/>
      <c r="BK3720" s="115"/>
      <c r="BL3720" s="115"/>
      <c r="BM3720" s="115"/>
      <c r="BN3720" s="115"/>
      <c r="BO3720" s="115"/>
      <c r="BP3720" s="115"/>
      <c r="BQ3720" s="115"/>
      <c r="BR3720" s="115"/>
      <c r="BS3720" s="115"/>
      <c r="BT3720" s="115"/>
      <c r="BU3720" s="115"/>
      <c r="BV3720" s="115"/>
      <c r="BW3720" s="115"/>
      <c r="BX3720" s="115"/>
      <c r="BY3720" s="115"/>
      <c r="BZ3720" s="115"/>
      <c r="CA3720" s="115"/>
      <c r="CB3720" s="115"/>
      <c r="CC3720" s="115"/>
      <c r="CD3720" s="115"/>
      <c r="CE3720" s="115"/>
      <c r="CF3720" s="115"/>
      <c r="CG3720" s="115"/>
      <c r="CH3720" s="115"/>
      <c r="CI3720" s="115"/>
      <c r="CJ3720" s="115"/>
      <c r="CK3720" s="115"/>
      <c r="CL3720" s="115"/>
      <c r="CM3720" s="115"/>
      <c r="CN3720" s="115"/>
      <c r="CO3720" s="115"/>
      <c r="CP3720" s="115"/>
      <c r="CQ3720" s="115"/>
      <c r="CR3720" s="115"/>
      <c r="CS3720" s="115"/>
      <c r="CT3720" s="115"/>
      <c r="CU3720" s="115"/>
      <c r="CV3720" s="115"/>
      <c r="CW3720" s="115"/>
      <c r="CX3720" s="115"/>
      <c r="CY3720" s="115"/>
      <c r="CZ3720" s="115"/>
      <c r="DA3720" s="115"/>
      <c r="DB3720" s="115"/>
      <c r="DC3720" s="115"/>
      <c r="DD3720" s="115"/>
      <c r="DE3720" s="115"/>
      <c r="DF3720" s="115"/>
      <c r="DG3720" s="115"/>
    </row>
    <row r="3721" spans="55:111" hidden="1">
      <c r="BC3721" s="115"/>
      <c r="BD3721" s="115"/>
      <c r="BE3721" s="115"/>
      <c r="BF3721" s="115"/>
      <c r="BG3721" s="115"/>
      <c r="BH3721" s="115"/>
      <c r="BI3721" s="115"/>
      <c r="BJ3721" s="115"/>
      <c r="BK3721" s="115"/>
      <c r="BL3721" s="115"/>
      <c r="BM3721" s="115"/>
      <c r="BN3721" s="115"/>
      <c r="BO3721" s="115"/>
      <c r="BP3721" s="115"/>
      <c r="BQ3721" s="115"/>
      <c r="BR3721" s="115"/>
      <c r="BS3721" s="115"/>
      <c r="BT3721" s="115"/>
      <c r="BU3721" s="115"/>
      <c r="BV3721" s="115"/>
      <c r="BW3721" s="115"/>
      <c r="BX3721" s="115"/>
      <c r="BY3721" s="115"/>
      <c r="BZ3721" s="115"/>
      <c r="CA3721" s="115"/>
      <c r="CB3721" s="115"/>
      <c r="CC3721" s="115"/>
      <c r="CD3721" s="115"/>
      <c r="CE3721" s="115"/>
      <c r="CF3721" s="115"/>
      <c r="CG3721" s="115"/>
      <c r="CH3721" s="115"/>
      <c r="CI3721" s="115"/>
      <c r="CJ3721" s="115"/>
      <c r="CK3721" s="115"/>
      <c r="CL3721" s="115"/>
      <c r="CM3721" s="115"/>
      <c r="CN3721" s="115"/>
      <c r="CO3721" s="115"/>
      <c r="CP3721" s="115"/>
      <c r="CQ3721" s="115"/>
      <c r="CR3721" s="115"/>
      <c r="CS3721" s="115"/>
      <c r="CT3721" s="115"/>
      <c r="CU3721" s="115"/>
      <c r="CV3721" s="115"/>
      <c r="CW3721" s="115"/>
      <c r="CX3721" s="115"/>
      <c r="CY3721" s="115"/>
      <c r="CZ3721" s="115"/>
      <c r="DA3721" s="115"/>
      <c r="DB3721" s="115"/>
      <c r="DC3721" s="115"/>
      <c r="DD3721" s="115"/>
      <c r="DE3721" s="115"/>
      <c r="DF3721" s="115"/>
      <c r="DG3721" s="115"/>
    </row>
    <row r="3722" spans="55:111" hidden="1">
      <c r="BC3722" s="115"/>
      <c r="BD3722" s="115"/>
      <c r="BE3722" s="115"/>
      <c r="BF3722" s="115"/>
      <c r="BG3722" s="115"/>
      <c r="BH3722" s="115"/>
      <c r="BI3722" s="115"/>
      <c r="BJ3722" s="115"/>
      <c r="BK3722" s="115"/>
      <c r="BL3722" s="115"/>
      <c r="BM3722" s="115"/>
      <c r="BN3722" s="115"/>
      <c r="BO3722" s="115"/>
      <c r="BP3722" s="115"/>
      <c r="BQ3722" s="115"/>
      <c r="BR3722" s="115"/>
      <c r="BS3722" s="115"/>
      <c r="BT3722" s="115"/>
      <c r="BU3722" s="115"/>
      <c r="BV3722" s="115"/>
      <c r="BW3722" s="115"/>
      <c r="BX3722" s="115"/>
      <c r="BY3722" s="115"/>
      <c r="BZ3722" s="115"/>
      <c r="CA3722" s="115"/>
      <c r="CB3722" s="115"/>
      <c r="CC3722" s="115"/>
      <c r="CD3722" s="115"/>
      <c r="CE3722" s="115"/>
      <c r="CF3722" s="115"/>
      <c r="CG3722" s="115"/>
      <c r="CH3722" s="115"/>
      <c r="CI3722" s="115"/>
      <c r="CJ3722" s="115"/>
      <c r="CK3722" s="115"/>
      <c r="CL3722" s="115"/>
      <c r="CM3722" s="115"/>
      <c r="CN3722" s="115"/>
      <c r="CO3722" s="115"/>
      <c r="CP3722" s="115"/>
      <c r="CQ3722" s="115"/>
      <c r="CR3722" s="115"/>
      <c r="CS3722" s="115"/>
      <c r="CT3722" s="115"/>
      <c r="CU3722" s="115"/>
      <c r="CV3722" s="115"/>
      <c r="CW3722" s="115"/>
      <c r="CX3722" s="115"/>
      <c r="CY3722" s="115"/>
      <c r="CZ3722" s="115"/>
      <c r="DA3722" s="115"/>
      <c r="DB3722" s="115"/>
      <c r="DC3722" s="115"/>
      <c r="DD3722" s="115"/>
      <c r="DE3722" s="115"/>
      <c r="DF3722" s="115"/>
      <c r="DG3722" s="115"/>
    </row>
    <row r="3723" spans="55:111" hidden="1">
      <c r="BC3723" s="115"/>
      <c r="BD3723" s="115"/>
      <c r="BE3723" s="115"/>
      <c r="BF3723" s="115"/>
      <c r="BG3723" s="115"/>
      <c r="BH3723" s="115"/>
      <c r="BI3723" s="115"/>
      <c r="BJ3723" s="115"/>
      <c r="BK3723" s="115"/>
      <c r="BL3723" s="115"/>
      <c r="BM3723" s="115"/>
      <c r="BN3723" s="115"/>
      <c r="BO3723" s="115"/>
      <c r="BP3723" s="115"/>
      <c r="BQ3723" s="115"/>
      <c r="BR3723" s="115"/>
      <c r="BS3723" s="115"/>
      <c r="BT3723" s="115"/>
      <c r="BU3723" s="115"/>
      <c r="BV3723" s="115"/>
      <c r="BW3723" s="115"/>
      <c r="BX3723" s="115"/>
      <c r="BY3723" s="115"/>
      <c r="BZ3723" s="115"/>
      <c r="CA3723" s="115"/>
      <c r="CB3723" s="115"/>
      <c r="CC3723" s="115"/>
      <c r="CD3723" s="115"/>
      <c r="CE3723" s="115"/>
      <c r="CF3723" s="115"/>
      <c r="CG3723" s="115"/>
      <c r="CH3723" s="115"/>
      <c r="CI3723" s="115"/>
      <c r="CJ3723" s="115"/>
      <c r="CK3723" s="115"/>
      <c r="CL3723" s="115"/>
      <c r="CM3723" s="115"/>
      <c r="CN3723" s="115"/>
      <c r="CO3723" s="115"/>
      <c r="CP3723" s="115"/>
      <c r="CQ3723" s="115"/>
      <c r="CR3723" s="115"/>
      <c r="CS3723" s="115"/>
      <c r="CT3723" s="115"/>
      <c r="CU3723" s="115"/>
      <c r="CV3723" s="115"/>
      <c r="CW3723" s="115"/>
      <c r="CX3723" s="115"/>
      <c r="CY3723" s="115"/>
      <c r="CZ3723" s="115"/>
      <c r="DA3723" s="115"/>
      <c r="DB3723" s="115"/>
      <c r="DC3723" s="115"/>
      <c r="DD3723" s="115"/>
      <c r="DE3723" s="115"/>
      <c r="DF3723" s="115"/>
      <c r="DG3723" s="115"/>
    </row>
    <row r="3724" spans="55:111" hidden="1">
      <c r="BC3724" s="115"/>
      <c r="BD3724" s="115"/>
      <c r="BE3724" s="115"/>
      <c r="BF3724" s="115"/>
      <c r="BG3724" s="115"/>
      <c r="BH3724" s="115"/>
      <c r="BI3724" s="115"/>
      <c r="BJ3724" s="115"/>
      <c r="BK3724" s="115"/>
      <c r="BL3724" s="115"/>
      <c r="BM3724" s="115"/>
      <c r="BN3724" s="115"/>
      <c r="BO3724" s="115"/>
      <c r="BP3724" s="115"/>
      <c r="BQ3724" s="115"/>
      <c r="BR3724" s="115"/>
      <c r="BS3724" s="115"/>
      <c r="BT3724" s="115"/>
      <c r="BU3724" s="115"/>
      <c r="BV3724" s="115"/>
      <c r="BW3724" s="115"/>
      <c r="BX3724" s="115"/>
      <c r="BY3724" s="115"/>
      <c r="BZ3724" s="115"/>
      <c r="CA3724" s="115"/>
      <c r="CB3724" s="115"/>
      <c r="CC3724" s="115"/>
      <c r="CD3724" s="115"/>
      <c r="CE3724" s="115"/>
      <c r="CF3724" s="115"/>
      <c r="CG3724" s="115"/>
      <c r="CH3724" s="115"/>
      <c r="CI3724" s="115"/>
      <c r="CJ3724" s="115"/>
      <c r="CK3724" s="115"/>
      <c r="CL3724" s="115"/>
      <c r="CM3724" s="115"/>
      <c r="CN3724" s="115"/>
      <c r="CO3724" s="115"/>
      <c r="CP3724" s="115"/>
      <c r="CQ3724" s="115"/>
      <c r="CR3724" s="115"/>
      <c r="CS3724" s="115"/>
      <c r="CT3724" s="115"/>
      <c r="CU3724" s="115"/>
      <c r="CV3724" s="115"/>
      <c r="CW3724" s="115"/>
      <c r="CX3724" s="115"/>
      <c r="CY3724" s="115"/>
      <c r="CZ3724" s="115"/>
      <c r="DA3724" s="115"/>
      <c r="DB3724" s="115"/>
      <c r="DC3724" s="115"/>
      <c r="DD3724" s="115"/>
      <c r="DE3724" s="115"/>
      <c r="DF3724" s="115"/>
      <c r="DG3724" s="115"/>
    </row>
    <row r="3725" spans="55:111" hidden="1">
      <c r="BC3725" s="115"/>
      <c r="BD3725" s="115"/>
      <c r="BE3725" s="115"/>
      <c r="BF3725" s="115"/>
      <c r="BG3725" s="115"/>
      <c r="BH3725" s="115"/>
      <c r="BI3725" s="115"/>
      <c r="BJ3725" s="115"/>
      <c r="BK3725" s="115"/>
      <c r="BL3725" s="115"/>
      <c r="BM3725" s="115"/>
      <c r="BN3725" s="115"/>
      <c r="BO3725" s="115"/>
      <c r="BP3725" s="115"/>
      <c r="BQ3725" s="115"/>
      <c r="BR3725" s="115"/>
      <c r="BS3725" s="115"/>
      <c r="BT3725" s="115"/>
      <c r="BU3725" s="115"/>
      <c r="BV3725" s="115"/>
      <c r="BW3725" s="115"/>
      <c r="BX3725" s="115"/>
      <c r="BY3725" s="115"/>
      <c r="BZ3725" s="115"/>
      <c r="CA3725" s="115"/>
      <c r="CB3725" s="115"/>
      <c r="CC3725" s="115"/>
      <c r="CD3725" s="115"/>
      <c r="CE3725" s="115"/>
      <c r="CF3725" s="115"/>
      <c r="CG3725" s="115"/>
      <c r="CH3725" s="115"/>
      <c r="CI3725" s="115"/>
      <c r="CJ3725" s="115"/>
      <c r="CK3725" s="115"/>
      <c r="CL3725" s="115"/>
      <c r="CM3725" s="115"/>
      <c r="CN3725" s="115"/>
      <c r="CO3725" s="115"/>
      <c r="CP3725" s="115"/>
      <c r="CQ3725" s="115"/>
      <c r="CR3725" s="115"/>
      <c r="CS3725" s="115"/>
      <c r="CT3725" s="115"/>
      <c r="CU3725" s="115"/>
      <c r="CV3725" s="115"/>
      <c r="CW3725" s="115"/>
      <c r="CX3725" s="115"/>
      <c r="CY3725" s="115"/>
      <c r="CZ3725" s="115"/>
      <c r="DA3725" s="115"/>
      <c r="DB3725" s="115"/>
      <c r="DC3725" s="115"/>
      <c r="DD3725" s="115"/>
      <c r="DE3725" s="115"/>
      <c r="DF3725" s="115"/>
      <c r="DG3725" s="115"/>
    </row>
    <row r="3726" spans="55:111" hidden="1">
      <c r="BC3726" s="115"/>
      <c r="BD3726" s="115"/>
      <c r="BE3726" s="115"/>
      <c r="BF3726" s="115"/>
      <c r="BG3726" s="115"/>
      <c r="BH3726" s="115"/>
      <c r="BI3726" s="115"/>
      <c r="BJ3726" s="115"/>
      <c r="BK3726" s="115"/>
      <c r="BL3726" s="115"/>
      <c r="BM3726" s="115"/>
      <c r="BN3726" s="115"/>
      <c r="BO3726" s="115"/>
      <c r="BP3726" s="115"/>
      <c r="BQ3726" s="115"/>
      <c r="BR3726" s="115"/>
      <c r="BS3726" s="115"/>
      <c r="BT3726" s="115"/>
      <c r="BU3726" s="115"/>
      <c r="BV3726" s="115"/>
      <c r="BW3726" s="115"/>
      <c r="BX3726" s="115"/>
      <c r="BY3726" s="115"/>
      <c r="BZ3726" s="115"/>
      <c r="CA3726" s="115"/>
      <c r="CB3726" s="115"/>
      <c r="CC3726" s="115"/>
      <c r="CD3726" s="115"/>
      <c r="CE3726" s="115"/>
      <c r="CF3726" s="115"/>
      <c r="CG3726" s="115"/>
      <c r="CH3726" s="115"/>
      <c r="CI3726" s="115"/>
      <c r="CJ3726" s="115"/>
      <c r="CK3726" s="115"/>
      <c r="CL3726" s="115"/>
      <c r="CM3726" s="115"/>
      <c r="CN3726" s="115"/>
      <c r="CO3726" s="115"/>
      <c r="CP3726" s="115"/>
      <c r="CQ3726" s="115"/>
      <c r="CR3726" s="115"/>
      <c r="CS3726" s="115"/>
      <c r="CT3726" s="115"/>
      <c r="CU3726" s="115"/>
      <c r="CV3726" s="115"/>
      <c r="CW3726" s="115"/>
      <c r="CX3726" s="115"/>
      <c r="CY3726" s="115"/>
      <c r="CZ3726" s="115"/>
      <c r="DA3726" s="115"/>
      <c r="DB3726" s="115"/>
      <c r="DC3726" s="115"/>
      <c r="DD3726" s="115"/>
      <c r="DE3726" s="115"/>
      <c r="DF3726" s="115"/>
      <c r="DG3726" s="115"/>
    </row>
    <row r="3727" spans="55:111" hidden="1">
      <c r="BC3727" s="115"/>
      <c r="BD3727" s="115"/>
      <c r="BE3727" s="115"/>
      <c r="BF3727" s="115"/>
      <c r="BG3727" s="115"/>
      <c r="BH3727" s="115"/>
      <c r="BI3727" s="115"/>
      <c r="BJ3727" s="115"/>
      <c r="BK3727" s="115"/>
      <c r="BL3727" s="115"/>
      <c r="BM3727" s="115"/>
      <c r="BN3727" s="115"/>
      <c r="BO3727" s="115"/>
      <c r="BP3727" s="115"/>
      <c r="BQ3727" s="115"/>
      <c r="BR3727" s="115"/>
      <c r="BS3727" s="115"/>
      <c r="BT3727" s="115"/>
      <c r="BU3727" s="115"/>
      <c r="BV3727" s="115"/>
      <c r="BW3727" s="115"/>
      <c r="BX3727" s="115"/>
      <c r="BY3727" s="115"/>
      <c r="BZ3727" s="115"/>
      <c r="CA3727" s="115"/>
      <c r="CB3727" s="115"/>
      <c r="CC3727" s="115"/>
      <c r="CD3727" s="115"/>
      <c r="CE3727" s="115"/>
      <c r="CF3727" s="115"/>
      <c r="CG3727" s="115"/>
      <c r="CH3727" s="115"/>
      <c r="CI3727" s="115"/>
      <c r="CJ3727" s="115"/>
      <c r="CK3727" s="115"/>
      <c r="CL3727" s="115"/>
      <c r="CM3727" s="115"/>
      <c r="CN3727" s="115"/>
      <c r="CO3727" s="115"/>
      <c r="CP3727" s="115"/>
      <c r="CQ3727" s="115"/>
      <c r="CR3727" s="115"/>
      <c r="CS3727" s="115"/>
      <c r="CT3727" s="115"/>
      <c r="CU3727" s="115"/>
      <c r="CV3727" s="115"/>
      <c r="CW3727" s="115"/>
      <c r="CX3727" s="115"/>
      <c r="CY3727" s="115"/>
      <c r="CZ3727" s="115"/>
      <c r="DA3727" s="115"/>
      <c r="DB3727" s="115"/>
      <c r="DC3727" s="115"/>
      <c r="DD3727" s="115"/>
      <c r="DE3727" s="115"/>
      <c r="DF3727" s="115"/>
      <c r="DG3727" s="115"/>
    </row>
    <row r="3728" spans="55:111" hidden="1">
      <c r="BC3728" s="115"/>
      <c r="BD3728" s="115"/>
      <c r="BE3728" s="115"/>
      <c r="BF3728" s="115"/>
      <c r="BG3728" s="115"/>
      <c r="BH3728" s="115"/>
      <c r="BI3728" s="115"/>
      <c r="BJ3728" s="115"/>
      <c r="BK3728" s="115"/>
      <c r="BL3728" s="115"/>
      <c r="BM3728" s="115"/>
      <c r="BN3728" s="115"/>
      <c r="BO3728" s="115"/>
      <c r="BP3728" s="115"/>
      <c r="BQ3728" s="115"/>
      <c r="BR3728" s="115"/>
      <c r="BS3728" s="115"/>
      <c r="BT3728" s="115"/>
      <c r="BU3728" s="115"/>
      <c r="BV3728" s="115"/>
      <c r="BW3728" s="115"/>
      <c r="BX3728" s="115"/>
      <c r="BY3728" s="115"/>
      <c r="BZ3728" s="115"/>
      <c r="CA3728" s="115"/>
      <c r="CB3728" s="115"/>
      <c r="CC3728" s="115"/>
      <c r="CD3728" s="115"/>
      <c r="CE3728" s="115"/>
      <c r="CF3728" s="115"/>
      <c r="CG3728" s="115"/>
      <c r="CH3728" s="115"/>
      <c r="CI3728" s="115"/>
      <c r="CJ3728" s="115"/>
      <c r="CK3728" s="115"/>
      <c r="CL3728" s="115"/>
      <c r="CM3728" s="115"/>
      <c r="CN3728" s="115"/>
      <c r="CO3728" s="115"/>
      <c r="CP3728" s="115"/>
      <c r="CQ3728" s="115"/>
      <c r="CR3728" s="115"/>
      <c r="CS3728" s="115"/>
      <c r="CT3728" s="115"/>
      <c r="CU3728" s="115"/>
      <c r="CV3728" s="115"/>
      <c r="CW3728" s="115"/>
      <c r="CX3728" s="115"/>
      <c r="CY3728" s="115"/>
      <c r="CZ3728" s="115"/>
      <c r="DA3728" s="115"/>
      <c r="DB3728" s="115"/>
      <c r="DC3728" s="115"/>
      <c r="DD3728" s="115"/>
      <c r="DE3728" s="115"/>
      <c r="DF3728" s="115"/>
      <c r="DG3728" s="115"/>
    </row>
    <row r="3729" spans="55:111" hidden="1">
      <c r="BC3729" s="115"/>
      <c r="BD3729" s="115"/>
      <c r="BE3729" s="115"/>
      <c r="BF3729" s="115"/>
      <c r="BG3729" s="115"/>
      <c r="BH3729" s="115"/>
      <c r="BI3729" s="115"/>
      <c r="BJ3729" s="115"/>
      <c r="BK3729" s="115"/>
      <c r="BL3729" s="115"/>
      <c r="BM3729" s="115"/>
      <c r="BN3729" s="115"/>
      <c r="BO3729" s="115"/>
      <c r="BP3729" s="115"/>
      <c r="BQ3729" s="115"/>
      <c r="BR3729" s="115"/>
      <c r="BS3729" s="115"/>
      <c r="BT3729" s="115"/>
      <c r="BU3729" s="115"/>
      <c r="BV3729" s="115"/>
      <c r="BW3729" s="115"/>
      <c r="BX3729" s="115"/>
      <c r="BY3729" s="115"/>
      <c r="BZ3729" s="115"/>
      <c r="CA3729" s="115"/>
      <c r="CB3729" s="115"/>
      <c r="CC3729" s="115"/>
      <c r="CD3729" s="115"/>
      <c r="CE3729" s="115"/>
      <c r="CF3729" s="115"/>
      <c r="CG3729" s="115"/>
      <c r="CH3729" s="115"/>
      <c r="CI3729" s="115"/>
      <c r="CJ3729" s="115"/>
      <c r="CK3729" s="115"/>
      <c r="CL3729" s="115"/>
      <c r="CM3729" s="115"/>
      <c r="CN3729" s="115"/>
      <c r="CO3729" s="115"/>
      <c r="CP3729" s="115"/>
      <c r="CQ3729" s="115"/>
      <c r="CR3729" s="115"/>
      <c r="CS3729" s="115"/>
      <c r="CT3729" s="115"/>
      <c r="CU3729" s="115"/>
      <c r="CV3729" s="115"/>
      <c r="CW3729" s="115"/>
      <c r="CX3729" s="115"/>
      <c r="CY3729" s="115"/>
      <c r="CZ3729" s="115"/>
      <c r="DA3729" s="115"/>
      <c r="DB3729" s="115"/>
      <c r="DC3729" s="115"/>
      <c r="DD3729" s="115"/>
      <c r="DE3729" s="115"/>
      <c r="DF3729" s="115"/>
      <c r="DG3729" s="115"/>
    </row>
    <row r="3730" spans="55:111" hidden="1">
      <c r="BC3730" s="115"/>
      <c r="BD3730" s="115"/>
      <c r="BE3730" s="115"/>
      <c r="BF3730" s="115"/>
      <c r="BG3730" s="115"/>
      <c r="BH3730" s="115"/>
      <c r="BI3730" s="115"/>
      <c r="BJ3730" s="115"/>
      <c r="BK3730" s="115"/>
      <c r="BL3730" s="115"/>
      <c r="BM3730" s="115"/>
      <c r="BN3730" s="115"/>
      <c r="BO3730" s="115"/>
      <c r="BP3730" s="115"/>
      <c r="BQ3730" s="115"/>
      <c r="BR3730" s="115"/>
      <c r="BS3730" s="115"/>
      <c r="BT3730" s="115"/>
      <c r="BU3730" s="115"/>
      <c r="BV3730" s="115"/>
      <c r="BW3730" s="115"/>
      <c r="BX3730" s="115"/>
      <c r="BY3730" s="115"/>
      <c r="BZ3730" s="115"/>
      <c r="CA3730" s="115"/>
      <c r="CB3730" s="115"/>
      <c r="CC3730" s="115"/>
      <c r="CD3730" s="115"/>
      <c r="CE3730" s="115"/>
      <c r="CF3730" s="115"/>
      <c r="CG3730" s="115"/>
      <c r="CH3730" s="115"/>
      <c r="CI3730" s="115"/>
      <c r="CJ3730" s="115"/>
      <c r="CK3730" s="115"/>
      <c r="CL3730" s="115"/>
      <c r="CM3730" s="115"/>
      <c r="CN3730" s="115"/>
      <c r="CO3730" s="115"/>
      <c r="CP3730" s="115"/>
      <c r="CQ3730" s="115"/>
      <c r="CR3730" s="115"/>
      <c r="CS3730" s="115"/>
      <c r="CT3730" s="115"/>
      <c r="CU3730" s="115"/>
      <c r="CV3730" s="115"/>
      <c r="CW3730" s="115"/>
      <c r="CX3730" s="115"/>
      <c r="CY3730" s="115"/>
      <c r="CZ3730" s="115"/>
      <c r="DA3730" s="115"/>
      <c r="DB3730" s="115"/>
      <c r="DC3730" s="115"/>
      <c r="DD3730" s="115"/>
      <c r="DE3730" s="115"/>
      <c r="DF3730" s="115"/>
      <c r="DG3730" s="115"/>
    </row>
    <row r="3731" spans="55:111" hidden="1">
      <c r="BC3731" s="115"/>
      <c r="BD3731" s="115"/>
      <c r="BE3731" s="115"/>
      <c r="BF3731" s="115"/>
      <c r="BG3731" s="115"/>
      <c r="BH3731" s="115"/>
      <c r="BI3731" s="115"/>
      <c r="BJ3731" s="115"/>
      <c r="BK3731" s="115"/>
      <c r="BL3731" s="115"/>
      <c r="BM3731" s="115"/>
      <c r="BN3731" s="115"/>
      <c r="BO3731" s="115"/>
      <c r="BP3731" s="115"/>
      <c r="BQ3731" s="115"/>
      <c r="BR3731" s="115"/>
      <c r="BS3731" s="115"/>
      <c r="BT3731" s="115"/>
      <c r="BU3731" s="115"/>
      <c r="BV3731" s="115"/>
      <c r="BW3731" s="115"/>
      <c r="BX3731" s="115"/>
      <c r="BY3731" s="115"/>
      <c r="BZ3731" s="115"/>
      <c r="CA3731" s="115"/>
      <c r="CB3731" s="115"/>
      <c r="CC3731" s="115"/>
      <c r="CD3731" s="115"/>
      <c r="CE3731" s="115"/>
      <c r="CF3731" s="115"/>
      <c r="CG3731" s="115"/>
      <c r="CH3731" s="115"/>
      <c r="CI3731" s="115"/>
      <c r="CJ3731" s="115"/>
      <c r="CK3731" s="115"/>
      <c r="CL3731" s="115"/>
      <c r="CM3731" s="115"/>
      <c r="CN3731" s="115"/>
      <c r="CO3731" s="115"/>
      <c r="CP3731" s="115"/>
      <c r="CQ3731" s="115"/>
      <c r="CR3731" s="115"/>
      <c r="CS3731" s="115"/>
      <c r="CT3731" s="115"/>
      <c r="CU3731" s="115"/>
      <c r="CV3731" s="115"/>
      <c r="CW3731" s="115"/>
      <c r="CX3731" s="115"/>
      <c r="CY3731" s="115"/>
      <c r="CZ3731" s="115"/>
      <c r="DA3731" s="115"/>
      <c r="DB3731" s="115"/>
      <c r="DC3731" s="115"/>
      <c r="DD3731" s="115"/>
      <c r="DE3731" s="115"/>
      <c r="DF3731" s="115"/>
      <c r="DG3731" s="115"/>
    </row>
    <row r="3732" spans="55:111" hidden="1">
      <c r="BC3732" s="115"/>
      <c r="BD3732" s="115"/>
      <c r="BE3732" s="115"/>
      <c r="BF3732" s="115"/>
      <c r="BG3732" s="115"/>
      <c r="BH3732" s="115"/>
      <c r="BI3732" s="115"/>
      <c r="BJ3732" s="115"/>
      <c r="BK3732" s="115"/>
      <c r="BL3732" s="115"/>
      <c r="BM3732" s="115"/>
      <c r="BN3732" s="115"/>
      <c r="BO3732" s="115"/>
      <c r="BP3732" s="115"/>
      <c r="BQ3732" s="115"/>
      <c r="BR3732" s="115"/>
      <c r="BS3732" s="115"/>
      <c r="BT3732" s="115"/>
      <c r="BU3732" s="115"/>
      <c r="BV3732" s="115"/>
      <c r="BW3732" s="115"/>
      <c r="BX3732" s="115"/>
      <c r="BY3732" s="115"/>
      <c r="BZ3732" s="115"/>
      <c r="CA3732" s="115"/>
      <c r="CB3732" s="115"/>
      <c r="CC3732" s="115"/>
      <c r="CD3732" s="115"/>
      <c r="CE3732" s="115"/>
      <c r="CF3732" s="115"/>
      <c r="CG3732" s="115"/>
      <c r="CH3732" s="115"/>
      <c r="CI3732" s="115"/>
      <c r="CJ3732" s="115"/>
      <c r="CK3732" s="115"/>
      <c r="CL3732" s="115"/>
      <c r="CM3732" s="115"/>
      <c r="CN3732" s="115"/>
      <c r="CO3732" s="115"/>
      <c r="CP3732" s="115"/>
      <c r="CQ3732" s="115"/>
      <c r="CR3732" s="115"/>
      <c r="CS3732" s="115"/>
      <c r="CT3732" s="115"/>
      <c r="CU3732" s="115"/>
      <c r="CV3732" s="115"/>
      <c r="CW3732" s="115"/>
      <c r="CX3732" s="115"/>
      <c r="CY3732" s="115"/>
      <c r="CZ3732" s="115"/>
      <c r="DA3732" s="115"/>
      <c r="DB3732" s="115"/>
      <c r="DC3732" s="115"/>
      <c r="DD3732" s="115"/>
      <c r="DE3732" s="115"/>
      <c r="DF3732" s="115"/>
      <c r="DG3732" s="115"/>
    </row>
    <row r="3733" spans="55:111" hidden="1">
      <c r="BC3733" s="115"/>
      <c r="BD3733" s="115"/>
      <c r="BE3733" s="115"/>
      <c r="BF3733" s="115"/>
      <c r="BG3733" s="115"/>
      <c r="BH3733" s="115"/>
      <c r="BI3733" s="115"/>
      <c r="BJ3733" s="115"/>
      <c r="BK3733" s="115"/>
      <c r="BL3733" s="115"/>
      <c r="BM3733" s="115"/>
      <c r="BN3733" s="115"/>
      <c r="BO3733" s="115"/>
      <c r="BP3733" s="115"/>
      <c r="BQ3733" s="115"/>
      <c r="BR3733" s="115"/>
      <c r="BS3733" s="115"/>
      <c r="BT3733" s="115"/>
      <c r="BU3733" s="115"/>
      <c r="BV3733" s="115"/>
      <c r="BW3733" s="115"/>
      <c r="BX3733" s="115"/>
      <c r="BY3733" s="115"/>
      <c r="BZ3733" s="115"/>
      <c r="CA3733" s="115"/>
      <c r="CB3733" s="115"/>
      <c r="CC3733" s="115"/>
      <c r="CD3733" s="115"/>
      <c r="CE3733" s="115"/>
      <c r="CF3733" s="115"/>
      <c r="CG3733" s="115"/>
      <c r="CH3733" s="115"/>
      <c r="CI3733" s="115"/>
      <c r="CJ3733" s="115"/>
      <c r="CK3733" s="115"/>
      <c r="CL3733" s="115"/>
      <c r="CM3733" s="115"/>
      <c r="CN3733" s="115"/>
      <c r="CO3733" s="115"/>
      <c r="CP3733" s="115"/>
      <c r="CQ3733" s="115"/>
      <c r="CR3733" s="115"/>
      <c r="CS3733" s="115"/>
      <c r="CT3733" s="115"/>
      <c r="CU3733" s="115"/>
      <c r="CV3733" s="115"/>
      <c r="CW3733" s="115"/>
      <c r="CX3733" s="115"/>
      <c r="CY3733" s="115"/>
      <c r="CZ3733" s="115"/>
      <c r="DA3733" s="115"/>
      <c r="DB3733" s="115"/>
      <c r="DC3733" s="115"/>
      <c r="DD3733" s="115"/>
      <c r="DE3733" s="115"/>
      <c r="DF3733" s="115"/>
      <c r="DG3733" s="115"/>
    </row>
    <row r="3734" spans="55:111" hidden="1">
      <c r="BC3734" s="115"/>
      <c r="BD3734" s="115"/>
      <c r="BE3734" s="115"/>
      <c r="BF3734" s="115"/>
      <c r="BG3734" s="115"/>
      <c r="BH3734" s="115"/>
      <c r="BI3734" s="115"/>
      <c r="BJ3734" s="115"/>
      <c r="BK3734" s="115"/>
      <c r="BL3734" s="115"/>
      <c r="BM3734" s="115"/>
      <c r="BN3734" s="115"/>
      <c r="BO3734" s="115"/>
      <c r="BP3734" s="115"/>
      <c r="BQ3734" s="115"/>
      <c r="BR3734" s="115"/>
      <c r="BS3734" s="115"/>
      <c r="BT3734" s="115"/>
      <c r="BU3734" s="115"/>
      <c r="BV3734" s="115"/>
      <c r="BW3734" s="115"/>
      <c r="BX3734" s="115"/>
      <c r="BY3734" s="115"/>
      <c r="BZ3734" s="115"/>
      <c r="CA3734" s="115"/>
      <c r="CB3734" s="115"/>
      <c r="CC3734" s="115"/>
      <c r="CD3734" s="115"/>
      <c r="CE3734" s="115"/>
      <c r="CF3734" s="115"/>
      <c r="CG3734" s="115"/>
      <c r="CH3734" s="115"/>
      <c r="CI3734" s="115"/>
      <c r="CJ3734" s="115"/>
      <c r="CK3734" s="115"/>
      <c r="CL3734" s="115"/>
      <c r="CM3734" s="115"/>
      <c r="CN3734" s="115"/>
      <c r="CO3734" s="115"/>
      <c r="CP3734" s="115"/>
      <c r="CQ3734" s="115"/>
      <c r="CR3734" s="115"/>
      <c r="CS3734" s="115"/>
      <c r="CT3734" s="115"/>
      <c r="CU3734" s="115"/>
      <c r="CV3734" s="115"/>
      <c r="CW3734" s="115"/>
      <c r="CX3734" s="115"/>
      <c r="CY3734" s="115"/>
      <c r="CZ3734" s="115"/>
      <c r="DA3734" s="115"/>
      <c r="DB3734" s="115"/>
      <c r="DC3734" s="115"/>
      <c r="DD3734" s="115"/>
      <c r="DE3734" s="115"/>
      <c r="DF3734" s="115"/>
      <c r="DG3734" s="115"/>
    </row>
    <row r="3735" spans="55:111" hidden="1">
      <c r="BC3735" s="115"/>
      <c r="BD3735" s="115"/>
      <c r="BE3735" s="115"/>
      <c r="BF3735" s="115"/>
      <c r="BG3735" s="115"/>
      <c r="BH3735" s="115"/>
      <c r="BI3735" s="115"/>
      <c r="BJ3735" s="115"/>
      <c r="BK3735" s="115"/>
      <c r="BL3735" s="115"/>
      <c r="BM3735" s="115"/>
      <c r="BN3735" s="115"/>
      <c r="BO3735" s="115"/>
      <c r="BP3735" s="115"/>
      <c r="BQ3735" s="115"/>
      <c r="BR3735" s="115"/>
      <c r="BS3735" s="115"/>
      <c r="BT3735" s="115"/>
      <c r="BU3735" s="115"/>
      <c r="BV3735" s="115"/>
      <c r="BW3735" s="115"/>
      <c r="BX3735" s="115"/>
      <c r="BY3735" s="115"/>
      <c r="BZ3735" s="115"/>
      <c r="CA3735" s="115"/>
      <c r="CB3735" s="115"/>
      <c r="CC3735" s="115"/>
      <c r="CD3735" s="115"/>
      <c r="CE3735" s="115"/>
      <c r="CF3735" s="115"/>
      <c r="CG3735" s="115"/>
      <c r="CH3735" s="115"/>
      <c r="CI3735" s="115"/>
      <c r="CJ3735" s="115"/>
      <c r="CK3735" s="115"/>
      <c r="CL3735" s="115"/>
      <c r="CM3735" s="115"/>
      <c r="CN3735" s="115"/>
      <c r="CO3735" s="115"/>
      <c r="CP3735" s="115"/>
      <c r="CQ3735" s="115"/>
      <c r="CR3735" s="115"/>
      <c r="CS3735" s="115"/>
      <c r="CT3735" s="115"/>
      <c r="CU3735" s="115"/>
      <c r="CV3735" s="115"/>
      <c r="CW3735" s="115"/>
      <c r="CX3735" s="115"/>
      <c r="CY3735" s="115"/>
      <c r="CZ3735" s="115"/>
      <c r="DA3735" s="115"/>
      <c r="DB3735" s="115"/>
      <c r="DC3735" s="115"/>
      <c r="DD3735" s="115"/>
      <c r="DE3735" s="115"/>
      <c r="DF3735" s="115"/>
      <c r="DG3735" s="115"/>
    </row>
    <row r="3736" spans="55:111" hidden="1">
      <c r="BC3736" s="115"/>
      <c r="BD3736" s="115"/>
      <c r="BE3736" s="115"/>
      <c r="BF3736" s="115"/>
      <c r="BG3736" s="115"/>
      <c r="BH3736" s="115"/>
      <c r="BI3736" s="115"/>
      <c r="BJ3736" s="115"/>
      <c r="BK3736" s="115"/>
      <c r="BL3736" s="115"/>
      <c r="BM3736" s="115"/>
      <c r="BN3736" s="115"/>
      <c r="BO3736" s="115"/>
      <c r="BP3736" s="115"/>
      <c r="BQ3736" s="115"/>
      <c r="BR3736" s="115"/>
      <c r="BS3736" s="115"/>
      <c r="BT3736" s="115"/>
      <c r="BU3736" s="115"/>
      <c r="BV3736" s="115"/>
      <c r="BW3736" s="115"/>
      <c r="BX3736" s="115"/>
      <c r="BY3736" s="115"/>
      <c r="BZ3736" s="115"/>
      <c r="CA3736" s="115"/>
      <c r="CB3736" s="115"/>
      <c r="CC3736" s="115"/>
      <c r="CD3736" s="115"/>
      <c r="CE3736" s="115"/>
      <c r="CF3736" s="115"/>
      <c r="CG3736" s="115"/>
      <c r="CH3736" s="115"/>
      <c r="CI3736" s="115"/>
      <c r="CJ3736" s="115"/>
      <c r="CK3736" s="115"/>
      <c r="CL3736" s="115"/>
      <c r="CM3736" s="115"/>
      <c r="CN3736" s="115"/>
      <c r="CO3736" s="115"/>
      <c r="CP3736" s="115"/>
      <c r="CQ3736" s="115"/>
      <c r="CR3736" s="115"/>
      <c r="CS3736" s="115"/>
      <c r="CT3736" s="115"/>
      <c r="CU3736" s="115"/>
      <c r="CV3736" s="115"/>
      <c r="CW3736" s="115"/>
      <c r="CX3736" s="115"/>
      <c r="CY3736" s="115"/>
      <c r="CZ3736" s="115"/>
      <c r="DA3736" s="115"/>
      <c r="DB3736" s="115"/>
      <c r="DC3736" s="115"/>
      <c r="DD3736" s="115"/>
      <c r="DE3736" s="115"/>
      <c r="DF3736" s="115"/>
      <c r="DG3736" s="115"/>
    </row>
    <row r="3737" spans="55:111" hidden="1">
      <c r="BC3737" s="115"/>
      <c r="BD3737" s="115"/>
      <c r="BE3737" s="115"/>
      <c r="BF3737" s="115"/>
      <c r="BG3737" s="115"/>
      <c r="BH3737" s="115"/>
      <c r="BI3737" s="115"/>
      <c r="BJ3737" s="115"/>
      <c r="BK3737" s="115"/>
      <c r="BL3737" s="115"/>
      <c r="BM3737" s="115"/>
      <c r="BN3737" s="115"/>
      <c r="BO3737" s="115"/>
      <c r="BP3737" s="115"/>
      <c r="BQ3737" s="115"/>
      <c r="BR3737" s="115"/>
      <c r="BS3737" s="115"/>
      <c r="BT3737" s="115"/>
      <c r="BU3737" s="115"/>
      <c r="BV3737" s="115"/>
      <c r="BW3737" s="115"/>
      <c r="BX3737" s="115"/>
      <c r="BY3737" s="115"/>
      <c r="BZ3737" s="115"/>
      <c r="CA3737" s="115"/>
      <c r="CB3737" s="115"/>
      <c r="CC3737" s="115"/>
      <c r="CD3737" s="115"/>
      <c r="CE3737" s="115"/>
      <c r="CF3737" s="115"/>
      <c r="CG3737" s="115"/>
      <c r="CH3737" s="115"/>
      <c r="CI3737" s="115"/>
      <c r="CJ3737" s="115"/>
      <c r="CK3737" s="115"/>
      <c r="CL3737" s="115"/>
      <c r="CM3737" s="115"/>
      <c r="CN3737" s="115"/>
      <c r="CO3737" s="115"/>
      <c r="CP3737" s="115"/>
      <c r="CQ3737" s="115"/>
      <c r="CR3737" s="115"/>
      <c r="CS3737" s="115"/>
      <c r="CT3737" s="115"/>
      <c r="CU3737" s="115"/>
      <c r="CV3737" s="115"/>
      <c r="CW3737" s="115"/>
      <c r="CX3737" s="115"/>
      <c r="CY3737" s="115"/>
      <c r="CZ3737" s="115"/>
      <c r="DA3737" s="115"/>
      <c r="DB3737" s="115"/>
      <c r="DC3737" s="115"/>
      <c r="DD3737" s="115"/>
      <c r="DE3737" s="115"/>
      <c r="DF3737" s="115"/>
      <c r="DG3737" s="115"/>
    </row>
    <row r="3738" spans="55:111" hidden="1">
      <c r="BC3738" s="115"/>
      <c r="BD3738" s="115"/>
      <c r="BE3738" s="115"/>
      <c r="BF3738" s="115"/>
      <c r="BG3738" s="115"/>
      <c r="BH3738" s="115"/>
      <c r="BI3738" s="115"/>
      <c r="BJ3738" s="115"/>
      <c r="BK3738" s="115"/>
      <c r="BL3738" s="115"/>
      <c r="BM3738" s="115"/>
      <c r="BN3738" s="115"/>
      <c r="BO3738" s="115"/>
      <c r="BP3738" s="115"/>
      <c r="BQ3738" s="115"/>
      <c r="BR3738" s="115"/>
      <c r="BS3738" s="115"/>
      <c r="BT3738" s="115"/>
      <c r="BU3738" s="115"/>
      <c r="BV3738" s="115"/>
      <c r="BW3738" s="115"/>
      <c r="BX3738" s="115"/>
      <c r="BY3738" s="115"/>
      <c r="BZ3738" s="115"/>
      <c r="CA3738" s="115"/>
      <c r="CB3738" s="115"/>
      <c r="CC3738" s="115"/>
      <c r="CD3738" s="115"/>
      <c r="CE3738" s="115"/>
      <c r="CF3738" s="115"/>
      <c r="CG3738" s="115"/>
      <c r="CH3738" s="115"/>
      <c r="CI3738" s="115"/>
      <c r="CJ3738" s="115"/>
      <c r="CK3738" s="115"/>
      <c r="CL3738" s="115"/>
      <c r="CM3738" s="115"/>
      <c r="CN3738" s="115"/>
      <c r="CO3738" s="115"/>
      <c r="CP3738" s="115"/>
      <c r="CQ3738" s="115"/>
      <c r="CR3738" s="115"/>
      <c r="CS3738" s="115"/>
      <c r="CT3738" s="115"/>
      <c r="CU3738" s="115"/>
      <c r="CV3738" s="115"/>
      <c r="CW3738" s="115"/>
      <c r="CX3738" s="115"/>
      <c r="CY3738" s="115"/>
      <c r="CZ3738" s="115"/>
      <c r="DA3738" s="115"/>
      <c r="DB3738" s="115"/>
      <c r="DC3738" s="115"/>
      <c r="DD3738" s="115"/>
      <c r="DE3738" s="115"/>
      <c r="DF3738" s="115"/>
      <c r="DG3738" s="115"/>
    </row>
    <row r="3739" spans="55:111" hidden="1">
      <c r="BC3739" s="115"/>
      <c r="BD3739" s="115"/>
      <c r="BE3739" s="115"/>
      <c r="BF3739" s="115"/>
      <c r="BG3739" s="115"/>
      <c r="BH3739" s="115"/>
      <c r="BI3739" s="115"/>
      <c r="BJ3739" s="115"/>
      <c r="BK3739" s="115"/>
      <c r="BL3739" s="115"/>
      <c r="BM3739" s="115"/>
      <c r="BN3739" s="115"/>
      <c r="BO3739" s="115"/>
      <c r="BP3739" s="115"/>
      <c r="BQ3739" s="115"/>
      <c r="BR3739" s="115"/>
      <c r="BS3739" s="115"/>
      <c r="BT3739" s="115"/>
      <c r="BU3739" s="115"/>
      <c r="BV3739" s="115"/>
      <c r="BW3739" s="115"/>
      <c r="BX3739" s="115"/>
      <c r="BY3739" s="115"/>
      <c r="BZ3739" s="115"/>
      <c r="CA3739" s="115"/>
      <c r="CB3739" s="115"/>
      <c r="CC3739" s="115"/>
      <c r="CD3739" s="115"/>
      <c r="CE3739" s="115"/>
      <c r="CF3739" s="115"/>
      <c r="CG3739" s="115"/>
      <c r="CH3739" s="115"/>
      <c r="CI3739" s="115"/>
      <c r="CJ3739" s="115"/>
      <c r="CK3739" s="115"/>
      <c r="CL3739" s="115"/>
      <c r="CM3739" s="115"/>
      <c r="CN3739" s="115"/>
      <c r="CO3739" s="115"/>
      <c r="CP3739" s="115"/>
      <c r="CQ3739" s="115"/>
      <c r="CR3739" s="115"/>
      <c r="CS3739" s="115"/>
      <c r="CT3739" s="115"/>
      <c r="CU3739" s="115"/>
      <c r="CV3739" s="115"/>
      <c r="CW3739" s="115"/>
      <c r="CX3739" s="115"/>
      <c r="CY3739" s="115"/>
      <c r="CZ3739" s="115"/>
      <c r="DA3739" s="115"/>
      <c r="DB3739" s="115"/>
      <c r="DC3739" s="115"/>
      <c r="DD3739" s="115"/>
      <c r="DE3739" s="115"/>
      <c r="DF3739" s="115"/>
      <c r="DG3739" s="115"/>
    </row>
    <row r="3740" spans="55:111" hidden="1">
      <c r="BC3740" s="115"/>
      <c r="BD3740" s="115"/>
      <c r="BE3740" s="115"/>
      <c r="BF3740" s="115"/>
      <c r="BG3740" s="115"/>
      <c r="BH3740" s="115"/>
      <c r="BI3740" s="115"/>
      <c r="BJ3740" s="115"/>
      <c r="BK3740" s="115"/>
      <c r="BL3740" s="115"/>
      <c r="BM3740" s="115"/>
      <c r="BN3740" s="115"/>
      <c r="BO3740" s="115"/>
      <c r="BP3740" s="115"/>
      <c r="BQ3740" s="115"/>
      <c r="BR3740" s="115"/>
      <c r="BS3740" s="115"/>
      <c r="BT3740" s="115"/>
      <c r="BU3740" s="115"/>
      <c r="BV3740" s="115"/>
      <c r="BW3740" s="115"/>
      <c r="BX3740" s="115"/>
      <c r="BY3740" s="115"/>
      <c r="BZ3740" s="115"/>
      <c r="CA3740" s="115"/>
      <c r="CB3740" s="115"/>
      <c r="CC3740" s="115"/>
      <c r="CD3740" s="115"/>
      <c r="CE3740" s="115"/>
      <c r="CF3740" s="115"/>
      <c r="CG3740" s="115"/>
      <c r="CH3740" s="115"/>
      <c r="CI3740" s="115"/>
      <c r="CJ3740" s="115"/>
      <c r="CK3740" s="115"/>
      <c r="CL3740" s="115"/>
      <c r="CM3740" s="115"/>
      <c r="CN3740" s="115"/>
      <c r="CO3740" s="115"/>
      <c r="CP3740" s="115"/>
      <c r="CQ3740" s="115"/>
      <c r="CR3740" s="115"/>
      <c r="CS3740" s="115"/>
      <c r="CT3740" s="115"/>
      <c r="CU3740" s="115"/>
      <c r="CV3740" s="115"/>
      <c r="CW3740" s="115"/>
      <c r="CX3740" s="115"/>
      <c r="CY3740" s="115"/>
      <c r="CZ3740" s="115"/>
      <c r="DA3740" s="115"/>
      <c r="DB3740" s="115"/>
      <c r="DC3740" s="115"/>
      <c r="DD3740" s="115"/>
      <c r="DE3740" s="115"/>
      <c r="DF3740" s="115"/>
      <c r="DG3740" s="115"/>
    </row>
    <row r="3741" spans="55:111" hidden="1">
      <c r="BC3741" s="115"/>
      <c r="BD3741" s="115"/>
      <c r="BE3741" s="115"/>
      <c r="BF3741" s="115"/>
      <c r="BG3741" s="115"/>
      <c r="BH3741" s="115"/>
      <c r="BI3741" s="115"/>
      <c r="BJ3741" s="115"/>
      <c r="BK3741" s="115"/>
      <c r="BL3741" s="115"/>
      <c r="BM3741" s="115"/>
      <c r="BN3741" s="115"/>
      <c r="BO3741" s="115"/>
      <c r="BP3741" s="115"/>
      <c r="BQ3741" s="115"/>
      <c r="BR3741" s="115"/>
      <c r="BS3741" s="115"/>
      <c r="BT3741" s="115"/>
      <c r="BU3741" s="115"/>
      <c r="BV3741" s="115"/>
      <c r="BW3741" s="115"/>
      <c r="BX3741" s="115"/>
      <c r="BY3741" s="115"/>
      <c r="BZ3741" s="115"/>
      <c r="CA3741" s="115"/>
      <c r="CB3741" s="115"/>
      <c r="CC3741" s="115"/>
      <c r="CD3741" s="115"/>
      <c r="CE3741" s="115"/>
      <c r="CF3741" s="115"/>
      <c r="CG3741" s="115"/>
      <c r="CH3741" s="115"/>
      <c r="CI3741" s="115"/>
      <c r="CJ3741" s="115"/>
      <c r="CK3741" s="115"/>
      <c r="CL3741" s="115"/>
      <c r="CM3741" s="115"/>
      <c r="CN3741" s="115"/>
      <c r="CO3741" s="115"/>
      <c r="CP3741" s="115"/>
      <c r="CQ3741" s="115"/>
      <c r="CR3741" s="115"/>
      <c r="CS3741" s="115"/>
      <c r="CT3741" s="115"/>
      <c r="CU3741" s="115"/>
      <c r="CV3741" s="115"/>
      <c r="CW3741" s="115"/>
      <c r="CX3741" s="115"/>
      <c r="CY3741" s="115"/>
      <c r="CZ3741" s="115"/>
      <c r="DA3741" s="115"/>
      <c r="DB3741" s="115"/>
      <c r="DC3741" s="115"/>
      <c r="DD3741" s="115"/>
      <c r="DE3741" s="115"/>
      <c r="DF3741" s="115"/>
      <c r="DG3741" s="115"/>
    </row>
    <row r="3742" spans="55:111" hidden="1">
      <c r="BC3742" s="115"/>
      <c r="BD3742" s="115"/>
      <c r="BE3742" s="115"/>
      <c r="BF3742" s="115"/>
      <c r="BG3742" s="115"/>
      <c r="BH3742" s="115"/>
      <c r="BI3742" s="115"/>
      <c r="BJ3742" s="115"/>
      <c r="BK3742" s="115"/>
      <c r="BL3742" s="115"/>
      <c r="BM3742" s="115"/>
      <c r="BN3742" s="115"/>
      <c r="BO3742" s="115"/>
      <c r="BP3742" s="115"/>
      <c r="BQ3742" s="115"/>
      <c r="BR3742" s="115"/>
      <c r="BS3742" s="115"/>
      <c r="BT3742" s="115"/>
      <c r="BU3742" s="115"/>
      <c r="BV3742" s="115"/>
      <c r="BW3742" s="115"/>
      <c r="BX3742" s="115"/>
      <c r="BY3742" s="115"/>
      <c r="BZ3742" s="115"/>
      <c r="CA3742" s="115"/>
      <c r="CB3742" s="115"/>
      <c r="CC3742" s="115"/>
      <c r="CD3742" s="115"/>
      <c r="CE3742" s="115"/>
      <c r="CF3742" s="115"/>
      <c r="CG3742" s="115"/>
      <c r="CH3742" s="115"/>
      <c r="CI3742" s="115"/>
      <c r="CJ3742" s="115"/>
      <c r="CK3742" s="115"/>
      <c r="CL3742" s="115"/>
      <c r="CM3742" s="115"/>
      <c r="CN3742" s="115"/>
      <c r="CO3742" s="115"/>
      <c r="CP3742" s="115"/>
      <c r="CQ3742" s="115"/>
      <c r="CR3742" s="115"/>
      <c r="CS3742" s="115"/>
      <c r="CT3742" s="115"/>
      <c r="CU3742" s="115"/>
      <c r="CV3742" s="115"/>
      <c r="CW3742" s="115"/>
      <c r="CX3742" s="115"/>
      <c r="CY3742" s="115"/>
      <c r="CZ3742" s="115"/>
      <c r="DA3742" s="115"/>
      <c r="DB3742" s="115"/>
      <c r="DC3742" s="115"/>
      <c r="DD3742" s="115"/>
      <c r="DE3742" s="115"/>
      <c r="DF3742" s="115"/>
      <c r="DG3742" s="115"/>
    </row>
    <row r="3743" spans="55:111" hidden="1">
      <c r="BC3743" s="115"/>
      <c r="BD3743" s="115"/>
      <c r="BE3743" s="115"/>
      <c r="BF3743" s="115"/>
      <c r="BG3743" s="115"/>
      <c r="BH3743" s="115"/>
      <c r="BI3743" s="115"/>
      <c r="BJ3743" s="115"/>
      <c r="BK3743" s="115"/>
      <c r="BL3743" s="115"/>
      <c r="BM3743" s="115"/>
      <c r="BN3743" s="115"/>
      <c r="BO3743" s="115"/>
      <c r="BP3743" s="115"/>
      <c r="BQ3743" s="115"/>
      <c r="BR3743" s="115"/>
      <c r="BS3743" s="115"/>
      <c r="BT3743" s="115"/>
      <c r="BU3743" s="115"/>
      <c r="BV3743" s="115"/>
      <c r="BW3743" s="115"/>
      <c r="BX3743" s="115"/>
      <c r="BY3743" s="115"/>
      <c r="BZ3743" s="115"/>
      <c r="CA3743" s="115"/>
      <c r="CB3743" s="115"/>
      <c r="CC3743" s="115"/>
      <c r="CD3743" s="115"/>
      <c r="CE3743" s="115"/>
      <c r="CF3743" s="115"/>
      <c r="CG3743" s="115"/>
      <c r="CH3743" s="115"/>
      <c r="CI3743" s="115"/>
      <c r="CJ3743" s="115"/>
      <c r="CK3743" s="115"/>
      <c r="CL3743" s="115"/>
      <c r="CM3743" s="115"/>
      <c r="CN3743" s="115"/>
      <c r="CO3743" s="115"/>
      <c r="CP3743" s="115"/>
      <c r="CQ3743" s="115"/>
      <c r="CR3743" s="115"/>
      <c r="CS3743" s="115"/>
      <c r="CT3743" s="115"/>
      <c r="CU3743" s="115"/>
      <c r="CV3743" s="115"/>
      <c r="CW3743" s="115"/>
      <c r="CX3743" s="115"/>
      <c r="CY3743" s="115"/>
      <c r="CZ3743" s="115"/>
      <c r="DA3743" s="115"/>
      <c r="DB3743" s="115"/>
      <c r="DC3743" s="115"/>
      <c r="DD3743" s="115"/>
      <c r="DE3743" s="115"/>
      <c r="DF3743" s="115"/>
      <c r="DG3743" s="115"/>
    </row>
    <row r="3744" spans="55:111" hidden="1">
      <c r="BC3744" s="115"/>
      <c r="BD3744" s="115"/>
      <c r="BE3744" s="115"/>
      <c r="BF3744" s="115"/>
      <c r="BG3744" s="115"/>
      <c r="BH3744" s="115"/>
      <c r="BI3744" s="115"/>
      <c r="BJ3744" s="115"/>
      <c r="BK3744" s="115"/>
      <c r="BL3744" s="115"/>
      <c r="BM3744" s="115"/>
      <c r="BN3744" s="115"/>
      <c r="BO3744" s="115"/>
      <c r="BP3744" s="115"/>
      <c r="BQ3744" s="115"/>
      <c r="BR3744" s="115"/>
      <c r="BS3744" s="115"/>
      <c r="BT3744" s="115"/>
      <c r="BU3744" s="115"/>
      <c r="BV3744" s="115"/>
      <c r="BW3744" s="115"/>
      <c r="BX3744" s="115"/>
      <c r="BY3744" s="115"/>
      <c r="BZ3744" s="115"/>
      <c r="CA3744" s="115"/>
      <c r="CB3744" s="115"/>
      <c r="CC3744" s="115"/>
      <c r="CD3744" s="115"/>
      <c r="CE3744" s="115"/>
      <c r="CF3744" s="115"/>
      <c r="CG3744" s="115"/>
      <c r="CH3744" s="115"/>
      <c r="CI3744" s="115"/>
      <c r="CJ3744" s="115"/>
      <c r="CK3744" s="115"/>
      <c r="CL3744" s="115"/>
      <c r="CM3744" s="115"/>
      <c r="CN3744" s="115"/>
      <c r="CO3744" s="115"/>
      <c r="CP3744" s="115"/>
      <c r="CQ3744" s="115"/>
      <c r="CR3744" s="115"/>
      <c r="CS3744" s="115"/>
      <c r="CT3744" s="115"/>
      <c r="CU3744" s="115"/>
      <c r="CV3744" s="115"/>
      <c r="CW3744" s="115"/>
      <c r="CX3744" s="115"/>
      <c r="CY3744" s="115"/>
      <c r="CZ3744" s="115"/>
      <c r="DA3744" s="115"/>
      <c r="DB3744" s="115"/>
      <c r="DC3744" s="115"/>
      <c r="DD3744" s="115"/>
      <c r="DE3744" s="115"/>
      <c r="DF3744" s="115"/>
      <c r="DG3744" s="115"/>
    </row>
    <row r="3745" spans="55:111" hidden="1">
      <c r="BC3745" s="115"/>
      <c r="BD3745" s="115"/>
      <c r="BE3745" s="115"/>
      <c r="BF3745" s="115"/>
      <c r="BG3745" s="115"/>
      <c r="BH3745" s="115"/>
      <c r="BI3745" s="115"/>
      <c r="BJ3745" s="115"/>
      <c r="BK3745" s="115"/>
      <c r="BL3745" s="115"/>
      <c r="BM3745" s="115"/>
      <c r="BN3745" s="115"/>
      <c r="BO3745" s="115"/>
      <c r="BP3745" s="115"/>
      <c r="BQ3745" s="115"/>
      <c r="BR3745" s="115"/>
      <c r="BS3745" s="115"/>
      <c r="BT3745" s="115"/>
      <c r="BU3745" s="115"/>
      <c r="BV3745" s="115"/>
      <c r="BW3745" s="115"/>
      <c r="BX3745" s="115"/>
      <c r="BY3745" s="115"/>
      <c r="BZ3745" s="115"/>
      <c r="CA3745" s="115"/>
      <c r="CB3745" s="115"/>
      <c r="CC3745" s="115"/>
      <c r="CD3745" s="115"/>
      <c r="CE3745" s="115"/>
      <c r="CF3745" s="115"/>
      <c r="CG3745" s="115"/>
      <c r="CH3745" s="115"/>
      <c r="CI3745" s="115"/>
      <c r="CJ3745" s="115"/>
      <c r="CK3745" s="115"/>
      <c r="CL3745" s="115"/>
      <c r="CM3745" s="115"/>
      <c r="CN3745" s="115"/>
      <c r="CO3745" s="115"/>
      <c r="CP3745" s="115"/>
      <c r="CQ3745" s="115"/>
      <c r="CR3745" s="115"/>
      <c r="CS3745" s="115"/>
      <c r="CT3745" s="115"/>
      <c r="CU3745" s="115"/>
      <c r="CV3745" s="115"/>
      <c r="CW3745" s="115"/>
      <c r="CX3745" s="115"/>
      <c r="CY3745" s="115"/>
      <c r="CZ3745" s="115"/>
      <c r="DA3745" s="115"/>
      <c r="DB3745" s="115"/>
      <c r="DC3745" s="115"/>
      <c r="DD3745" s="115"/>
      <c r="DE3745" s="115"/>
      <c r="DF3745" s="115"/>
      <c r="DG3745" s="115"/>
    </row>
    <row r="3746" spans="55:111" hidden="1">
      <c r="BC3746" s="115"/>
      <c r="BD3746" s="115"/>
      <c r="BE3746" s="115"/>
      <c r="BF3746" s="115"/>
      <c r="BG3746" s="115"/>
      <c r="BH3746" s="115"/>
      <c r="BI3746" s="115"/>
      <c r="BJ3746" s="115"/>
      <c r="BK3746" s="115"/>
      <c r="BL3746" s="115"/>
      <c r="BM3746" s="115"/>
      <c r="BN3746" s="115"/>
      <c r="BO3746" s="115"/>
      <c r="BP3746" s="115"/>
      <c r="BQ3746" s="115"/>
      <c r="BR3746" s="115"/>
      <c r="BS3746" s="115"/>
      <c r="BT3746" s="115"/>
      <c r="BU3746" s="115"/>
      <c r="BV3746" s="115"/>
      <c r="BW3746" s="115"/>
      <c r="BX3746" s="115"/>
      <c r="BY3746" s="115"/>
      <c r="BZ3746" s="115"/>
      <c r="CA3746" s="115"/>
      <c r="CB3746" s="115"/>
      <c r="CC3746" s="115"/>
      <c r="CD3746" s="115"/>
      <c r="CE3746" s="115"/>
      <c r="CF3746" s="115"/>
      <c r="CG3746" s="115"/>
      <c r="CH3746" s="115"/>
      <c r="CI3746" s="115"/>
      <c r="CJ3746" s="115"/>
      <c r="CK3746" s="115"/>
      <c r="CL3746" s="115"/>
      <c r="CM3746" s="115"/>
      <c r="CN3746" s="115"/>
      <c r="CO3746" s="115"/>
      <c r="CP3746" s="115"/>
      <c r="CQ3746" s="115"/>
      <c r="CR3746" s="115"/>
      <c r="CS3746" s="115"/>
      <c r="CT3746" s="115"/>
      <c r="CU3746" s="115"/>
      <c r="CV3746" s="115"/>
      <c r="CW3746" s="115"/>
      <c r="CX3746" s="115"/>
      <c r="CY3746" s="115"/>
      <c r="CZ3746" s="115"/>
      <c r="DA3746" s="115"/>
      <c r="DB3746" s="115"/>
      <c r="DC3746" s="115"/>
      <c r="DD3746" s="115"/>
      <c r="DE3746" s="115"/>
      <c r="DF3746" s="115"/>
      <c r="DG3746" s="115"/>
    </row>
    <row r="3747" spans="55:111" hidden="1">
      <c r="BC3747" s="115"/>
      <c r="BD3747" s="115"/>
      <c r="BE3747" s="115"/>
      <c r="BF3747" s="115"/>
      <c r="BG3747" s="115"/>
      <c r="BH3747" s="115"/>
      <c r="BI3747" s="115"/>
      <c r="BJ3747" s="115"/>
      <c r="BK3747" s="115"/>
      <c r="BL3747" s="115"/>
      <c r="BM3747" s="115"/>
      <c r="BN3747" s="115"/>
      <c r="BO3747" s="115"/>
      <c r="BP3747" s="115"/>
      <c r="BQ3747" s="115"/>
      <c r="BR3747" s="115"/>
      <c r="BS3747" s="115"/>
      <c r="BT3747" s="115"/>
      <c r="BU3747" s="115"/>
      <c r="BV3747" s="115"/>
      <c r="BW3747" s="115"/>
      <c r="BX3747" s="115"/>
      <c r="BY3747" s="115"/>
      <c r="BZ3747" s="115"/>
      <c r="CA3747" s="115"/>
      <c r="CB3747" s="115"/>
      <c r="CC3747" s="115"/>
      <c r="CD3747" s="115"/>
      <c r="CE3747" s="115"/>
      <c r="CF3747" s="115"/>
      <c r="CG3747" s="115"/>
      <c r="CH3747" s="115"/>
      <c r="CI3747" s="115"/>
      <c r="CJ3747" s="115"/>
      <c r="CK3747" s="115"/>
      <c r="CL3747" s="115"/>
      <c r="CM3747" s="115"/>
      <c r="CN3747" s="115"/>
      <c r="CO3747" s="115"/>
      <c r="CP3747" s="115"/>
      <c r="CQ3747" s="115"/>
      <c r="CR3747" s="115"/>
      <c r="CS3747" s="115"/>
      <c r="CT3747" s="115"/>
      <c r="CU3747" s="115"/>
      <c r="CV3747" s="115"/>
      <c r="CW3747" s="115"/>
      <c r="CX3747" s="115"/>
      <c r="CY3747" s="115"/>
      <c r="CZ3747" s="115"/>
      <c r="DA3747" s="115"/>
      <c r="DB3747" s="115"/>
      <c r="DC3747" s="115"/>
      <c r="DD3747" s="115"/>
      <c r="DE3747" s="115"/>
      <c r="DF3747" s="115"/>
      <c r="DG3747" s="115"/>
    </row>
    <row r="3748" spans="55:111" hidden="1">
      <c r="BC3748" s="115"/>
      <c r="BD3748" s="115"/>
      <c r="BE3748" s="115"/>
      <c r="BF3748" s="115"/>
      <c r="BG3748" s="115"/>
      <c r="BH3748" s="115"/>
      <c r="BI3748" s="115"/>
      <c r="BJ3748" s="115"/>
      <c r="BK3748" s="115"/>
      <c r="BL3748" s="115"/>
      <c r="BM3748" s="115"/>
      <c r="BN3748" s="115"/>
      <c r="BO3748" s="115"/>
      <c r="BP3748" s="115"/>
      <c r="BQ3748" s="115"/>
      <c r="BR3748" s="115"/>
      <c r="BS3748" s="115"/>
      <c r="BT3748" s="115"/>
      <c r="BU3748" s="115"/>
      <c r="BV3748" s="115"/>
      <c r="BW3748" s="115"/>
      <c r="BX3748" s="115"/>
      <c r="BY3748" s="115"/>
      <c r="BZ3748" s="115"/>
      <c r="CA3748" s="115"/>
      <c r="CB3748" s="115"/>
      <c r="CC3748" s="115"/>
      <c r="CD3748" s="115"/>
      <c r="CE3748" s="115"/>
      <c r="CF3748" s="115"/>
      <c r="CG3748" s="115"/>
      <c r="CH3748" s="115"/>
      <c r="CI3748" s="115"/>
      <c r="CJ3748" s="115"/>
      <c r="CK3748" s="115"/>
      <c r="CL3748" s="115"/>
      <c r="CM3748" s="115"/>
      <c r="CN3748" s="115"/>
      <c r="CO3748" s="115"/>
      <c r="CP3748" s="115"/>
      <c r="CQ3748" s="115"/>
      <c r="CR3748" s="115"/>
      <c r="CS3748" s="115"/>
      <c r="CT3748" s="115"/>
      <c r="CU3748" s="115"/>
      <c r="CV3748" s="115"/>
      <c r="CW3748" s="115"/>
      <c r="CX3748" s="115"/>
      <c r="CY3748" s="115"/>
      <c r="CZ3748" s="115"/>
      <c r="DA3748" s="115"/>
      <c r="DB3748" s="115"/>
      <c r="DC3748" s="115"/>
      <c r="DD3748" s="115"/>
      <c r="DE3748" s="115"/>
      <c r="DF3748" s="115"/>
      <c r="DG3748" s="115"/>
    </row>
    <row r="3749" spans="55:111" hidden="1">
      <c r="BC3749" s="115"/>
      <c r="BD3749" s="115"/>
      <c r="BE3749" s="115"/>
      <c r="BF3749" s="115"/>
      <c r="BG3749" s="115"/>
      <c r="BH3749" s="115"/>
      <c r="BI3749" s="115"/>
      <c r="BJ3749" s="115"/>
      <c r="BK3749" s="115"/>
      <c r="BL3749" s="115"/>
      <c r="BM3749" s="115"/>
      <c r="BN3749" s="115"/>
      <c r="BO3749" s="115"/>
      <c r="BP3749" s="115"/>
      <c r="BQ3749" s="115"/>
      <c r="BR3749" s="115"/>
      <c r="BS3749" s="115"/>
      <c r="BT3749" s="115"/>
      <c r="BU3749" s="115"/>
      <c r="BV3749" s="115"/>
      <c r="BW3749" s="115"/>
      <c r="BX3749" s="115"/>
      <c r="BY3749" s="115"/>
      <c r="BZ3749" s="115"/>
      <c r="CA3749" s="115"/>
      <c r="CB3749" s="115"/>
      <c r="CC3749" s="115"/>
      <c r="CD3749" s="115"/>
      <c r="CE3749" s="115"/>
      <c r="CF3749" s="115"/>
      <c r="CG3749" s="115"/>
      <c r="CH3749" s="115"/>
      <c r="CI3749" s="115"/>
      <c r="CJ3749" s="115"/>
      <c r="CK3749" s="115"/>
      <c r="CL3749" s="115"/>
      <c r="CM3749" s="115"/>
      <c r="CN3749" s="115"/>
      <c r="CO3749" s="115"/>
      <c r="CP3749" s="115"/>
      <c r="CQ3749" s="115"/>
      <c r="CR3749" s="115"/>
      <c r="CS3749" s="115"/>
      <c r="CT3749" s="115"/>
      <c r="CU3749" s="115"/>
      <c r="CV3749" s="115"/>
      <c r="CW3749" s="115"/>
      <c r="CX3749" s="115"/>
      <c r="CY3749" s="115"/>
      <c r="CZ3749" s="115"/>
      <c r="DA3749" s="115"/>
      <c r="DB3749" s="115"/>
      <c r="DC3749" s="115"/>
      <c r="DD3749" s="115"/>
      <c r="DE3749" s="115"/>
      <c r="DF3749" s="115"/>
      <c r="DG3749" s="115"/>
    </row>
    <row r="3750" spans="55:111" hidden="1">
      <c r="BC3750" s="115"/>
      <c r="BD3750" s="115"/>
      <c r="BE3750" s="115"/>
      <c r="BF3750" s="115"/>
      <c r="BG3750" s="115"/>
      <c r="BH3750" s="115"/>
      <c r="BI3750" s="115"/>
      <c r="BJ3750" s="115"/>
      <c r="BK3750" s="115"/>
      <c r="BL3750" s="115"/>
      <c r="BM3750" s="115"/>
      <c r="BN3750" s="115"/>
      <c r="BO3750" s="115"/>
      <c r="BP3750" s="115"/>
      <c r="BQ3750" s="115"/>
      <c r="BR3750" s="115"/>
      <c r="BS3750" s="115"/>
      <c r="BT3750" s="115"/>
      <c r="BU3750" s="115"/>
      <c r="BV3750" s="115"/>
      <c r="BW3750" s="115"/>
      <c r="BX3750" s="115"/>
      <c r="BY3750" s="115"/>
      <c r="BZ3750" s="115"/>
      <c r="CA3750" s="115"/>
      <c r="CB3750" s="115"/>
      <c r="CC3750" s="115"/>
      <c r="CD3750" s="115"/>
      <c r="CE3750" s="115"/>
      <c r="CF3750" s="115"/>
      <c r="CG3750" s="115"/>
      <c r="CH3750" s="115"/>
      <c r="CI3750" s="115"/>
      <c r="CJ3750" s="115"/>
      <c r="CK3750" s="115"/>
      <c r="CL3750" s="115"/>
      <c r="CM3750" s="115"/>
      <c r="CN3750" s="115"/>
      <c r="CO3750" s="115"/>
      <c r="CP3750" s="115"/>
      <c r="CQ3750" s="115"/>
      <c r="CR3750" s="115"/>
      <c r="CS3750" s="115"/>
      <c r="CT3750" s="115"/>
      <c r="CU3750" s="115"/>
      <c r="CV3750" s="115"/>
      <c r="CW3750" s="115"/>
      <c r="CX3750" s="115"/>
      <c r="CY3750" s="115"/>
      <c r="CZ3750" s="115"/>
      <c r="DA3750" s="115"/>
      <c r="DB3750" s="115"/>
      <c r="DC3750" s="115"/>
      <c r="DD3750" s="115"/>
      <c r="DE3750" s="115"/>
      <c r="DF3750" s="115"/>
      <c r="DG3750" s="115"/>
    </row>
    <row r="3751" spans="55:111" hidden="1">
      <c r="BC3751" s="115"/>
      <c r="BD3751" s="115"/>
      <c r="BE3751" s="115"/>
      <c r="BF3751" s="115"/>
      <c r="BG3751" s="115"/>
      <c r="BH3751" s="115"/>
      <c r="BI3751" s="115"/>
      <c r="BJ3751" s="115"/>
      <c r="BK3751" s="115"/>
      <c r="BL3751" s="115"/>
      <c r="BM3751" s="115"/>
      <c r="BN3751" s="115"/>
      <c r="BO3751" s="115"/>
      <c r="BP3751" s="115"/>
      <c r="BQ3751" s="115"/>
      <c r="BR3751" s="115"/>
      <c r="BS3751" s="115"/>
      <c r="BT3751" s="115"/>
      <c r="BU3751" s="115"/>
      <c r="BV3751" s="115"/>
      <c r="BW3751" s="115"/>
      <c r="BX3751" s="115"/>
      <c r="BY3751" s="115"/>
      <c r="BZ3751" s="115"/>
      <c r="CA3751" s="115"/>
      <c r="CB3751" s="115"/>
      <c r="CC3751" s="115"/>
      <c r="CD3751" s="115"/>
      <c r="CE3751" s="115"/>
      <c r="CF3751" s="115"/>
      <c r="CG3751" s="115"/>
      <c r="CH3751" s="115"/>
      <c r="CI3751" s="115"/>
      <c r="CJ3751" s="115"/>
      <c r="CK3751" s="115"/>
      <c r="CL3751" s="115"/>
      <c r="CM3751" s="115"/>
      <c r="CN3751" s="115"/>
      <c r="CO3751" s="115"/>
      <c r="CP3751" s="115"/>
      <c r="CQ3751" s="115"/>
      <c r="CR3751" s="115"/>
      <c r="CS3751" s="115"/>
      <c r="CT3751" s="115"/>
      <c r="CU3751" s="115"/>
      <c r="CV3751" s="115"/>
      <c r="CW3751" s="115"/>
      <c r="CX3751" s="115"/>
      <c r="CY3751" s="115"/>
      <c r="CZ3751" s="115"/>
      <c r="DA3751" s="115"/>
      <c r="DB3751" s="115"/>
      <c r="DC3751" s="115"/>
      <c r="DD3751" s="115"/>
      <c r="DE3751" s="115"/>
      <c r="DF3751" s="115"/>
      <c r="DG3751" s="115"/>
    </row>
    <row r="3752" spans="55:111" hidden="1">
      <c r="BC3752" s="115"/>
      <c r="BD3752" s="115"/>
      <c r="BE3752" s="115"/>
      <c r="BF3752" s="115"/>
      <c r="BG3752" s="115"/>
      <c r="BH3752" s="115"/>
      <c r="BI3752" s="115"/>
      <c r="BJ3752" s="115"/>
      <c r="BK3752" s="115"/>
      <c r="BL3752" s="115"/>
      <c r="BM3752" s="115"/>
      <c r="BN3752" s="115"/>
      <c r="BO3752" s="115"/>
      <c r="BP3752" s="115"/>
      <c r="BQ3752" s="115"/>
      <c r="BR3752" s="115"/>
      <c r="BS3752" s="115"/>
      <c r="BT3752" s="115"/>
      <c r="BU3752" s="115"/>
      <c r="BV3752" s="115"/>
      <c r="BW3752" s="115"/>
      <c r="BX3752" s="115"/>
      <c r="BY3752" s="115"/>
      <c r="BZ3752" s="115"/>
      <c r="CA3752" s="115"/>
      <c r="CB3752" s="115"/>
      <c r="CC3752" s="115"/>
      <c r="CD3752" s="115"/>
      <c r="CE3752" s="115"/>
      <c r="CF3752" s="115"/>
      <c r="CG3752" s="115"/>
      <c r="CH3752" s="115"/>
      <c r="CI3752" s="115"/>
      <c r="CJ3752" s="115"/>
      <c r="CK3752" s="115"/>
      <c r="CL3752" s="115"/>
      <c r="CM3752" s="115"/>
      <c r="CN3752" s="115"/>
      <c r="CO3752" s="115"/>
      <c r="CP3752" s="115"/>
      <c r="CQ3752" s="115"/>
      <c r="CR3752" s="115"/>
      <c r="CS3752" s="115"/>
      <c r="CT3752" s="115"/>
      <c r="CU3752" s="115"/>
      <c r="CV3752" s="115"/>
      <c r="CW3752" s="115"/>
      <c r="CX3752" s="115"/>
      <c r="CY3752" s="115"/>
      <c r="CZ3752" s="115"/>
      <c r="DA3752" s="115"/>
      <c r="DB3752" s="115"/>
      <c r="DC3752" s="115"/>
      <c r="DD3752" s="115"/>
      <c r="DE3752" s="115"/>
      <c r="DF3752" s="115"/>
      <c r="DG3752" s="115"/>
    </row>
    <row r="3753" spans="55:111" hidden="1">
      <c r="BC3753" s="115"/>
      <c r="BD3753" s="115"/>
      <c r="BE3753" s="115"/>
      <c r="BF3753" s="115"/>
      <c r="BG3753" s="115"/>
      <c r="BH3753" s="115"/>
      <c r="BI3753" s="115"/>
      <c r="BJ3753" s="115"/>
      <c r="BK3753" s="115"/>
      <c r="BL3753" s="115"/>
      <c r="BM3753" s="115"/>
      <c r="BN3753" s="115"/>
      <c r="BO3753" s="115"/>
      <c r="BP3753" s="115"/>
      <c r="BQ3753" s="115"/>
      <c r="BR3753" s="115"/>
      <c r="BS3753" s="115"/>
      <c r="BT3753" s="115"/>
      <c r="BU3753" s="115"/>
      <c r="BV3753" s="115"/>
      <c r="BW3753" s="115"/>
      <c r="BX3753" s="115"/>
      <c r="BY3753" s="115"/>
      <c r="BZ3753" s="115"/>
      <c r="CA3753" s="115"/>
      <c r="CB3753" s="115"/>
      <c r="CC3753" s="115"/>
      <c r="CD3753" s="115"/>
      <c r="CE3753" s="115"/>
      <c r="CF3753" s="115"/>
      <c r="CG3753" s="115"/>
      <c r="CH3753" s="115"/>
      <c r="CI3753" s="115"/>
      <c r="CJ3753" s="115"/>
      <c r="CK3753" s="115"/>
      <c r="CL3753" s="115"/>
      <c r="CM3753" s="115"/>
      <c r="CN3753" s="115"/>
      <c r="CO3753" s="115"/>
      <c r="CP3753" s="115"/>
      <c r="CQ3753" s="115"/>
      <c r="CR3753" s="115"/>
      <c r="CS3753" s="115"/>
      <c r="CT3753" s="115"/>
      <c r="CU3753" s="115"/>
      <c r="CV3753" s="115"/>
      <c r="CW3753" s="115"/>
      <c r="CX3753" s="115"/>
      <c r="CY3753" s="115"/>
      <c r="CZ3753" s="115"/>
      <c r="DA3753" s="115"/>
      <c r="DB3753" s="115"/>
      <c r="DC3753" s="115"/>
      <c r="DD3753" s="115"/>
      <c r="DE3753" s="115"/>
      <c r="DF3753" s="115"/>
      <c r="DG3753" s="115"/>
    </row>
    <row r="3754" spans="55:111" hidden="1">
      <c r="BC3754" s="115"/>
      <c r="BD3754" s="115"/>
      <c r="BE3754" s="115"/>
      <c r="BF3754" s="115"/>
      <c r="BG3754" s="115"/>
      <c r="BH3754" s="115"/>
      <c r="BI3754" s="115"/>
      <c r="BJ3754" s="115"/>
      <c r="BK3754" s="115"/>
      <c r="BL3754" s="115"/>
      <c r="BM3754" s="115"/>
      <c r="BN3754" s="115"/>
      <c r="BO3754" s="115"/>
      <c r="BP3754" s="115"/>
      <c r="BQ3754" s="115"/>
      <c r="BR3754" s="115"/>
      <c r="BS3754" s="115"/>
      <c r="BT3754" s="115"/>
      <c r="BU3754" s="115"/>
      <c r="BV3754" s="115"/>
      <c r="BW3754" s="115"/>
      <c r="BX3754" s="115"/>
      <c r="BY3754" s="115"/>
      <c r="BZ3754" s="115"/>
      <c r="CA3754" s="115"/>
      <c r="CB3754" s="115"/>
      <c r="CC3754" s="115"/>
      <c r="CD3754" s="115"/>
      <c r="CE3754" s="115"/>
      <c r="CF3754" s="115"/>
      <c r="CG3754" s="115"/>
      <c r="CH3754" s="115"/>
      <c r="CI3754" s="115"/>
      <c r="CJ3754" s="115"/>
      <c r="CK3754" s="115"/>
      <c r="CL3754" s="115"/>
      <c r="CM3754" s="115"/>
      <c r="CN3754" s="115"/>
      <c r="CO3754" s="115"/>
      <c r="CP3754" s="115"/>
      <c r="CQ3754" s="115"/>
      <c r="CR3754" s="115"/>
      <c r="CS3754" s="115"/>
      <c r="CT3754" s="115"/>
      <c r="CU3754" s="115"/>
      <c r="CV3754" s="115"/>
      <c r="CW3754" s="115"/>
      <c r="CX3754" s="115"/>
      <c r="CY3754" s="115"/>
      <c r="CZ3754" s="115"/>
      <c r="DA3754" s="115"/>
      <c r="DB3754" s="115"/>
      <c r="DC3754" s="115"/>
      <c r="DD3754" s="115"/>
      <c r="DE3754" s="115"/>
      <c r="DF3754" s="115"/>
      <c r="DG3754" s="115"/>
    </row>
    <row r="3755" spans="55:111" hidden="1">
      <c r="BC3755" s="115"/>
      <c r="BD3755" s="115"/>
      <c r="BE3755" s="115"/>
      <c r="BF3755" s="115"/>
      <c r="BG3755" s="115"/>
      <c r="BH3755" s="115"/>
      <c r="BI3755" s="115"/>
      <c r="BJ3755" s="115"/>
      <c r="BK3755" s="115"/>
      <c r="BL3755" s="115"/>
      <c r="BM3755" s="115"/>
      <c r="BN3755" s="115"/>
      <c r="BO3755" s="115"/>
      <c r="BP3755" s="115"/>
      <c r="BQ3755" s="115"/>
      <c r="BR3755" s="115"/>
      <c r="BS3755" s="115"/>
      <c r="BT3755" s="115"/>
      <c r="BU3755" s="115"/>
      <c r="BV3755" s="115"/>
      <c r="BW3755" s="115"/>
      <c r="BX3755" s="115"/>
      <c r="BY3755" s="115"/>
      <c r="BZ3755" s="115"/>
      <c r="CA3755" s="115"/>
      <c r="CB3755" s="115"/>
      <c r="CC3755" s="115"/>
      <c r="CD3755" s="115"/>
      <c r="CE3755" s="115"/>
      <c r="CF3755" s="115"/>
      <c r="CG3755" s="115"/>
      <c r="CH3755" s="115"/>
      <c r="CI3755" s="115"/>
      <c r="CJ3755" s="115"/>
      <c r="CK3755" s="115"/>
      <c r="CL3755" s="115"/>
      <c r="CM3755" s="115"/>
      <c r="CN3755" s="115"/>
      <c r="CO3755" s="115"/>
      <c r="CP3755" s="115"/>
      <c r="CQ3755" s="115"/>
      <c r="CR3755" s="115"/>
      <c r="CS3755" s="115"/>
      <c r="CT3755" s="115"/>
      <c r="CU3755" s="115"/>
      <c r="CV3755" s="115"/>
      <c r="CW3755" s="115"/>
      <c r="CX3755" s="115"/>
      <c r="CY3755" s="115"/>
      <c r="CZ3755" s="115"/>
      <c r="DA3755" s="115"/>
      <c r="DB3755" s="115"/>
      <c r="DC3755" s="115"/>
      <c r="DD3755" s="115"/>
      <c r="DE3755" s="115"/>
      <c r="DF3755" s="115"/>
      <c r="DG3755" s="115"/>
    </row>
    <row r="3756" spans="55:111" hidden="1">
      <c r="BC3756" s="115"/>
      <c r="BD3756" s="115"/>
      <c r="BE3756" s="115"/>
      <c r="BF3756" s="115"/>
      <c r="BG3756" s="115"/>
      <c r="BH3756" s="115"/>
      <c r="BI3756" s="115"/>
      <c r="BJ3756" s="115"/>
      <c r="BK3756" s="115"/>
      <c r="BL3756" s="115"/>
      <c r="BM3756" s="115"/>
      <c r="BN3756" s="115"/>
      <c r="BO3756" s="115"/>
      <c r="BP3756" s="115"/>
      <c r="BQ3756" s="115"/>
      <c r="BR3756" s="115"/>
      <c r="BS3756" s="115"/>
      <c r="BT3756" s="115"/>
      <c r="BU3756" s="115"/>
      <c r="BV3756" s="115"/>
      <c r="BW3756" s="115"/>
      <c r="BX3756" s="115"/>
      <c r="BY3756" s="115"/>
      <c r="BZ3756" s="115"/>
      <c r="CA3756" s="115"/>
      <c r="CB3756" s="115"/>
      <c r="CC3756" s="115"/>
      <c r="CD3756" s="115"/>
      <c r="CE3756" s="115"/>
      <c r="CF3756" s="115"/>
      <c r="CG3756" s="115"/>
      <c r="CH3756" s="115"/>
      <c r="CI3756" s="115"/>
      <c r="CJ3756" s="115"/>
      <c r="CK3756" s="115"/>
      <c r="CL3756" s="115"/>
      <c r="CM3756" s="115"/>
      <c r="CN3756" s="115"/>
      <c r="CO3756" s="115"/>
      <c r="CP3756" s="115"/>
      <c r="CQ3756" s="115"/>
      <c r="CR3756" s="115"/>
      <c r="CS3756" s="115"/>
      <c r="CT3756" s="115"/>
      <c r="CU3756" s="115"/>
      <c r="CV3756" s="115"/>
      <c r="CW3756" s="115"/>
      <c r="CX3756" s="115"/>
      <c r="CY3756" s="115"/>
      <c r="CZ3756" s="115"/>
      <c r="DA3756" s="115"/>
      <c r="DB3756" s="115"/>
      <c r="DC3756" s="115"/>
      <c r="DD3756" s="115"/>
      <c r="DE3756" s="115"/>
      <c r="DF3756" s="115"/>
      <c r="DG3756" s="115"/>
    </row>
    <row r="3757" spans="55:111" hidden="1">
      <c r="BC3757" s="115"/>
      <c r="BD3757" s="115"/>
      <c r="BE3757" s="115"/>
      <c r="BF3757" s="115"/>
      <c r="BG3757" s="115"/>
      <c r="BH3757" s="115"/>
      <c r="BI3757" s="115"/>
      <c r="BJ3757" s="115"/>
      <c r="BK3757" s="115"/>
      <c r="BL3757" s="115"/>
      <c r="BM3757" s="115"/>
      <c r="BN3757" s="115"/>
      <c r="BO3757" s="115"/>
      <c r="BP3757" s="115"/>
      <c r="BQ3757" s="115"/>
      <c r="BR3757" s="115"/>
      <c r="BS3757" s="115"/>
      <c r="BT3757" s="115"/>
      <c r="BU3757" s="115"/>
      <c r="BV3757" s="115"/>
      <c r="BW3757" s="115"/>
      <c r="BX3757" s="115"/>
      <c r="BY3757" s="115"/>
      <c r="BZ3757" s="115"/>
      <c r="CA3757" s="115"/>
      <c r="CB3757" s="115"/>
      <c r="CC3757" s="115"/>
      <c r="CD3757" s="115"/>
      <c r="CE3757" s="115"/>
      <c r="CF3757" s="115"/>
      <c r="CG3757" s="115"/>
      <c r="CH3757" s="115"/>
      <c r="CI3757" s="115"/>
      <c r="CJ3757" s="115"/>
      <c r="CK3757" s="115"/>
      <c r="CL3757" s="115"/>
      <c r="CM3757" s="115"/>
      <c r="CN3757" s="115"/>
      <c r="CO3757" s="115"/>
      <c r="CP3757" s="115"/>
      <c r="CQ3757" s="115"/>
      <c r="CR3757" s="115"/>
      <c r="CS3757" s="115"/>
      <c r="CT3757" s="115"/>
      <c r="CU3757" s="115"/>
      <c r="CV3757" s="115"/>
      <c r="CW3757" s="115"/>
      <c r="CX3757" s="115"/>
      <c r="CY3757" s="115"/>
      <c r="CZ3757" s="115"/>
      <c r="DA3757" s="115"/>
      <c r="DB3757" s="115"/>
      <c r="DC3757" s="115"/>
      <c r="DD3757" s="115"/>
      <c r="DE3757" s="115"/>
      <c r="DF3757" s="115"/>
      <c r="DG3757" s="115"/>
    </row>
    <row r="3758" spans="55:111" hidden="1">
      <c r="BC3758" s="115"/>
      <c r="BD3758" s="115"/>
      <c r="BE3758" s="115"/>
      <c r="BF3758" s="115"/>
      <c r="BG3758" s="115"/>
      <c r="BH3758" s="115"/>
      <c r="BI3758" s="115"/>
      <c r="BJ3758" s="115"/>
      <c r="BK3758" s="115"/>
      <c r="BL3758" s="115"/>
      <c r="BM3758" s="115"/>
      <c r="BN3758" s="115"/>
      <c r="BO3758" s="115"/>
      <c r="BP3758" s="115"/>
      <c r="BQ3758" s="115"/>
      <c r="BR3758" s="115"/>
      <c r="BS3758" s="115"/>
      <c r="BT3758" s="115"/>
      <c r="BU3758" s="115"/>
      <c r="BV3758" s="115"/>
      <c r="BW3758" s="115"/>
      <c r="BX3758" s="115"/>
      <c r="BY3758" s="115"/>
      <c r="BZ3758" s="115"/>
      <c r="CA3758" s="115"/>
      <c r="CB3758" s="115"/>
      <c r="CC3758" s="115"/>
      <c r="CD3758" s="115"/>
      <c r="CE3758" s="115"/>
      <c r="CF3758" s="115"/>
      <c r="CG3758" s="115"/>
      <c r="CH3758" s="115"/>
      <c r="CI3758" s="115"/>
      <c r="CJ3758" s="115"/>
      <c r="CK3758" s="115"/>
      <c r="CL3758" s="115"/>
      <c r="CM3758" s="115"/>
      <c r="CN3758" s="115"/>
      <c r="CO3758" s="115"/>
      <c r="CP3758" s="115"/>
      <c r="CQ3758" s="115"/>
      <c r="CR3758" s="115"/>
      <c r="CS3758" s="115"/>
      <c r="CT3758" s="115"/>
      <c r="CU3758" s="115"/>
      <c r="CV3758" s="115"/>
      <c r="CW3758" s="115"/>
      <c r="CX3758" s="115"/>
      <c r="CY3758" s="115"/>
      <c r="CZ3758" s="115"/>
      <c r="DA3758" s="115"/>
      <c r="DB3758" s="115"/>
      <c r="DC3758" s="115"/>
      <c r="DD3758" s="115"/>
      <c r="DE3758" s="115"/>
      <c r="DF3758" s="115"/>
      <c r="DG3758" s="115"/>
    </row>
    <row r="3759" spans="55:111" hidden="1">
      <c r="BC3759" s="115"/>
      <c r="BD3759" s="115"/>
      <c r="BE3759" s="115"/>
      <c r="BF3759" s="115"/>
      <c r="BG3759" s="115"/>
      <c r="BH3759" s="115"/>
      <c r="BI3759" s="115"/>
      <c r="BJ3759" s="115"/>
      <c r="BK3759" s="115"/>
      <c r="BL3759" s="115"/>
      <c r="BM3759" s="115"/>
      <c r="BN3759" s="115"/>
      <c r="BO3759" s="115"/>
      <c r="BP3759" s="115"/>
      <c r="BQ3759" s="115"/>
      <c r="BR3759" s="115"/>
      <c r="BS3759" s="115"/>
      <c r="BT3759" s="115"/>
      <c r="BU3759" s="115"/>
      <c r="BV3759" s="115"/>
      <c r="BW3759" s="115"/>
      <c r="BX3759" s="115"/>
      <c r="BY3759" s="115"/>
      <c r="BZ3759" s="115"/>
      <c r="CA3759" s="115"/>
      <c r="CB3759" s="115"/>
      <c r="CC3759" s="115"/>
      <c r="CD3759" s="115"/>
      <c r="CE3759" s="115"/>
      <c r="CF3759" s="115"/>
      <c r="CG3759" s="115"/>
      <c r="CH3759" s="115"/>
      <c r="CI3759" s="115"/>
      <c r="CJ3759" s="115"/>
      <c r="CK3759" s="115"/>
      <c r="CL3759" s="115"/>
      <c r="CM3759" s="115"/>
      <c r="CN3759" s="115"/>
      <c r="CO3759" s="115"/>
      <c r="CP3759" s="115"/>
      <c r="CQ3759" s="115"/>
      <c r="CR3759" s="115"/>
      <c r="CS3759" s="115"/>
      <c r="CT3759" s="115"/>
      <c r="CU3759" s="115"/>
      <c r="CV3759" s="115"/>
      <c r="CW3759" s="115"/>
      <c r="CX3759" s="115"/>
      <c r="CY3759" s="115"/>
      <c r="CZ3759" s="115"/>
      <c r="DA3759" s="115"/>
      <c r="DB3759" s="115"/>
      <c r="DC3759" s="115"/>
      <c r="DD3759" s="115"/>
      <c r="DE3759" s="115"/>
      <c r="DF3759" s="115"/>
      <c r="DG3759" s="115"/>
    </row>
    <row r="3760" spans="55:111" hidden="1">
      <c r="BC3760" s="115"/>
      <c r="BD3760" s="115"/>
      <c r="BE3760" s="115"/>
      <c r="BF3760" s="115"/>
      <c r="BG3760" s="115"/>
      <c r="BH3760" s="115"/>
      <c r="BI3760" s="115"/>
      <c r="BJ3760" s="115"/>
      <c r="BK3760" s="115"/>
      <c r="BL3760" s="115"/>
      <c r="BM3760" s="115"/>
      <c r="BN3760" s="115"/>
      <c r="BO3760" s="115"/>
      <c r="BP3760" s="115"/>
      <c r="BQ3760" s="115"/>
      <c r="BR3760" s="115"/>
      <c r="BS3760" s="115"/>
      <c r="BT3760" s="115"/>
      <c r="BU3760" s="115"/>
      <c r="BV3760" s="115"/>
      <c r="BW3760" s="115"/>
      <c r="BX3760" s="115"/>
      <c r="BY3760" s="115"/>
      <c r="BZ3760" s="115"/>
      <c r="CA3760" s="115"/>
      <c r="CB3760" s="115"/>
      <c r="CC3760" s="115"/>
      <c r="CD3760" s="115"/>
      <c r="CE3760" s="115"/>
      <c r="CF3760" s="115"/>
      <c r="CG3760" s="115"/>
      <c r="CH3760" s="115"/>
      <c r="CI3760" s="115"/>
      <c r="CJ3760" s="115"/>
      <c r="CK3760" s="115"/>
      <c r="CL3760" s="115"/>
      <c r="CM3760" s="115"/>
      <c r="CN3760" s="115"/>
      <c r="CO3760" s="115"/>
      <c r="CP3760" s="115"/>
      <c r="CQ3760" s="115"/>
      <c r="CR3760" s="115"/>
      <c r="CS3760" s="115"/>
      <c r="CT3760" s="115"/>
      <c r="CU3760" s="115"/>
      <c r="CV3760" s="115"/>
      <c r="CW3760" s="115"/>
      <c r="CX3760" s="115"/>
      <c r="CY3760" s="115"/>
      <c r="CZ3760" s="115"/>
      <c r="DA3760" s="115"/>
      <c r="DB3760" s="115"/>
      <c r="DC3760" s="115"/>
      <c r="DD3760" s="115"/>
      <c r="DE3760" s="115"/>
      <c r="DF3760" s="115"/>
      <c r="DG3760" s="115"/>
    </row>
    <row r="3761" spans="55:111" hidden="1">
      <c r="BC3761" s="115"/>
      <c r="BD3761" s="115"/>
      <c r="BE3761" s="115"/>
      <c r="BF3761" s="115"/>
      <c r="BG3761" s="115"/>
      <c r="BH3761" s="115"/>
      <c r="BI3761" s="115"/>
      <c r="BJ3761" s="115"/>
      <c r="BK3761" s="115"/>
      <c r="BL3761" s="115"/>
      <c r="BM3761" s="115"/>
      <c r="BN3761" s="115"/>
      <c r="BO3761" s="115"/>
      <c r="BP3761" s="115"/>
      <c r="BQ3761" s="115"/>
      <c r="BR3761" s="115"/>
      <c r="BS3761" s="115"/>
      <c r="BT3761" s="115"/>
      <c r="BU3761" s="115"/>
      <c r="BV3761" s="115"/>
      <c r="BW3761" s="115"/>
      <c r="BX3761" s="115"/>
      <c r="BY3761" s="115"/>
      <c r="BZ3761" s="115"/>
      <c r="CA3761" s="115"/>
      <c r="CB3761" s="115"/>
      <c r="CC3761" s="115"/>
      <c r="CD3761" s="115"/>
      <c r="CE3761" s="115"/>
      <c r="CF3761" s="115"/>
      <c r="CG3761" s="115"/>
      <c r="CH3761" s="115"/>
      <c r="CI3761" s="115"/>
      <c r="CJ3761" s="115"/>
      <c r="CK3761" s="115"/>
      <c r="CL3761" s="115"/>
      <c r="CM3761" s="115"/>
      <c r="CN3761" s="115"/>
      <c r="CO3761" s="115"/>
      <c r="CP3761" s="115"/>
      <c r="CQ3761" s="115"/>
      <c r="CR3761" s="115"/>
      <c r="CS3761" s="115"/>
      <c r="CT3761" s="115"/>
      <c r="CU3761" s="115"/>
      <c r="CV3761" s="115"/>
      <c r="CW3761" s="115"/>
      <c r="CX3761" s="115"/>
      <c r="CY3761" s="115"/>
      <c r="CZ3761" s="115"/>
      <c r="DA3761" s="115"/>
      <c r="DB3761" s="115"/>
      <c r="DC3761" s="115"/>
      <c r="DD3761" s="115"/>
      <c r="DE3761" s="115"/>
      <c r="DF3761" s="115"/>
      <c r="DG3761" s="115"/>
    </row>
    <row r="3762" spans="55:111" hidden="1">
      <c r="BC3762" s="115"/>
      <c r="BD3762" s="115"/>
      <c r="BE3762" s="115"/>
      <c r="BF3762" s="115"/>
      <c r="BG3762" s="115"/>
      <c r="BH3762" s="115"/>
      <c r="BI3762" s="115"/>
      <c r="BJ3762" s="115"/>
      <c r="BK3762" s="115"/>
      <c r="BL3762" s="115"/>
      <c r="BM3762" s="115"/>
      <c r="BN3762" s="115"/>
      <c r="BO3762" s="115"/>
      <c r="BP3762" s="115"/>
      <c r="BQ3762" s="115"/>
      <c r="BR3762" s="115"/>
      <c r="BS3762" s="115"/>
      <c r="BT3762" s="115"/>
      <c r="BU3762" s="115"/>
      <c r="BV3762" s="115"/>
      <c r="BW3762" s="115"/>
      <c r="BX3762" s="115"/>
      <c r="BY3762" s="115"/>
      <c r="BZ3762" s="115"/>
      <c r="CA3762" s="115"/>
      <c r="CB3762" s="115"/>
      <c r="CC3762" s="115"/>
      <c r="CD3762" s="115"/>
      <c r="CE3762" s="115"/>
      <c r="CF3762" s="115"/>
      <c r="CG3762" s="115"/>
      <c r="CH3762" s="115"/>
      <c r="CI3762" s="115"/>
      <c r="CJ3762" s="115"/>
      <c r="CK3762" s="115"/>
      <c r="CL3762" s="115"/>
      <c r="CM3762" s="115"/>
      <c r="CN3762" s="115"/>
      <c r="CO3762" s="115"/>
      <c r="CP3762" s="115"/>
      <c r="CQ3762" s="115"/>
      <c r="CR3762" s="115"/>
      <c r="CS3762" s="115"/>
      <c r="CT3762" s="115"/>
      <c r="CU3762" s="115"/>
      <c r="CV3762" s="115"/>
      <c r="CW3762" s="115"/>
      <c r="CX3762" s="115"/>
      <c r="CY3762" s="115"/>
      <c r="CZ3762" s="115"/>
      <c r="DA3762" s="115"/>
      <c r="DB3762" s="115"/>
      <c r="DC3762" s="115"/>
      <c r="DD3762" s="115"/>
      <c r="DE3762" s="115"/>
      <c r="DF3762" s="115"/>
      <c r="DG3762" s="115"/>
    </row>
    <row r="3763" spans="55:111" hidden="1">
      <c r="BC3763" s="115"/>
      <c r="BD3763" s="115"/>
      <c r="BE3763" s="115"/>
      <c r="BF3763" s="115"/>
      <c r="BG3763" s="115"/>
      <c r="BH3763" s="115"/>
      <c r="BI3763" s="115"/>
      <c r="BJ3763" s="115"/>
      <c r="BK3763" s="115"/>
      <c r="BL3763" s="115"/>
      <c r="BM3763" s="115"/>
      <c r="BN3763" s="115"/>
      <c r="BO3763" s="115"/>
      <c r="BP3763" s="115"/>
      <c r="BQ3763" s="115"/>
      <c r="BR3763" s="115"/>
      <c r="BS3763" s="115"/>
      <c r="BT3763" s="115"/>
      <c r="BU3763" s="115"/>
      <c r="BV3763" s="115"/>
      <c r="BW3763" s="115"/>
      <c r="BX3763" s="115"/>
      <c r="BY3763" s="115"/>
      <c r="BZ3763" s="115"/>
      <c r="CA3763" s="115"/>
      <c r="CB3763" s="115"/>
      <c r="CC3763" s="115"/>
      <c r="CD3763" s="115"/>
      <c r="CE3763" s="115"/>
      <c r="CF3763" s="115"/>
      <c r="CG3763" s="115"/>
      <c r="CH3763" s="115"/>
      <c r="CI3763" s="115"/>
      <c r="CJ3763" s="115"/>
      <c r="CK3763" s="115"/>
      <c r="CL3763" s="115"/>
      <c r="CM3763" s="115"/>
      <c r="CN3763" s="115"/>
      <c r="CO3763" s="115"/>
      <c r="CP3763" s="115"/>
      <c r="CQ3763" s="115"/>
      <c r="CR3763" s="115"/>
      <c r="CS3763" s="115"/>
      <c r="CT3763" s="115"/>
      <c r="CU3763" s="115"/>
      <c r="CV3763" s="115"/>
      <c r="CW3763" s="115"/>
      <c r="CX3763" s="115"/>
      <c r="CY3763" s="115"/>
      <c r="CZ3763" s="115"/>
      <c r="DA3763" s="115"/>
      <c r="DB3763" s="115"/>
      <c r="DC3763" s="115"/>
      <c r="DD3763" s="115"/>
      <c r="DE3763" s="115"/>
      <c r="DF3763" s="115"/>
      <c r="DG3763" s="115"/>
    </row>
    <row r="3764" spans="55:111" hidden="1">
      <c r="BC3764" s="115"/>
      <c r="BD3764" s="115"/>
      <c r="BE3764" s="115"/>
      <c r="BF3764" s="115"/>
      <c r="BG3764" s="115"/>
      <c r="BH3764" s="115"/>
      <c r="BI3764" s="115"/>
      <c r="BJ3764" s="115"/>
      <c r="BK3764" s="115"/>
      <c r="BL3764" s="115"/>
      <c r="BM3764" s="115"/>
      <c r="BN3764" s="115"/>
      <c r="BO3764" s="115"/>
      <c r="BP3764" s="115"/>
      <c r="BQ3764" s="115"/>
      <c r="BR3764" s="115"/>
      <c r="BS3764" s="115"/>
      <c r="BT3764" s="115"/>
      <c r="BU3764" s="115"/>
      <c r="BV3764" s="115"/>
      <c r="BW3764" s="115"/>
      <c r="BX3764" s="115"/>
      <c r="BY3764" s="115"/>
      <c r="BZ3764" s="115"/>
      <c r="CA3764" s="115"/>
      <c r="CB3764" s="115"/>
      <c r="CC3764" s="115"/>
      <c r="CD3764" s="115"/>
      <c r="CE3764" s="115"/>
      <c r="CF3764" s="115"/>
      <c r="CG3764" s="115"/>
      <c r="CH3764" s="115"/>
      <c r="CI3764" s="115"/>
      <c r="CJ3764" s="115"/>
      <c r="CK3764" s="115"/>
      <c r="CL3764" s="115"/>
      <c r="CM3764" s="115"/>
      <c r="CN3764" s="115"/>
      <c r="CO3764" s="115"/>
      <c r="CP3764" s="115"/>
      <c r="CQ3764" s="115"/>
      <c r="CR3764" s="115"/>
      <c r="CS3764" s="115"/>
      <c r="CT3764" s="115"/>
      <c r="CU3764" s="115"/>
      <c r="CV3764" s="115"/>
      <c r="CW3764" s="115"/>
      <c r="CX3764" s="115"/>
      <c r="CY3764" s="115"/>
      <c r="CZ3764" s="115"/>
      <c r="DA3764" s="115"/>
      <c r="DB3764" s="115"/>
      <c r="DC3764" s="115"/>
      <c r="DD3764" s="115"/>
      <c r="DE3764" s="115"/>
      <c r="DF3764" s="115"/>
      <c r="DG3764" s="115"/>
    </row>
    <row r="3765" spans="55:111" hidden="1">
      <c r="BC3765" s="115"/>
      <c r="BD3765" s="115"/>
      <c r="BE3765" s="115"/>
      <c r="BF3765" s="115"/>
      <c r="BG3765" s="115"/>
      <c r="BH3765" s="115"/>
      <c r="BI3765" s="115"/>
      <c r="BJ3765" s="115"/>
      <c r="BK3765" s="115"/>
      <c r="BL3765" s="115"/>
      <c r="BM3765" s="115"/>
      <c r="BN3765" s="115"/>
      <c r="BO3765" s="115"/>
      <c r="BP3765" s="115"/>
      <c r="BQ3765" s="115"/>
      <c r="BR3765" s="115"/>
      <c r="BS3765" s="115"/>
      <c r="BT3765" s="115"/>
      <c r="BU3765" s="115"/>
      <c r="BV3765" s="115"/>
      <c r="BW3765" s="115"/>
      <c r="BX3765" s="115"/>
      <c r="BY3765" s="115"/>
      <c r="BZ3765" s="115"/>
      <c r="CA3765" s="115"/>
      <c r="CB3765" s="115"/>
      <c r="CC3765" s="115"/>
      <c r="CD3765" s="115"/>
      <c r="CE3765" s="115"/>
      <c r="CF3765" s="115"/>
      <c r="CG3765" s="115"/>
      <c r="CH3765" s="115"/>
      <c r="CI3765" s="115"/>
      <c r="CJ3765" s="115"/>
      <c r="CK3765" s="115"/>
      <c r="CL3765" s="115"/>
      <c r="CM3765" s="115"/>
      <c r="CN3765" s="115"/>
      <c r="CO3765" s="115"/>
      <c r="CP3765" s="115"/>
      <c r="CQ3765" s="115"/>
      <c r="CR3765" s="115"/>
      <c r="CS3765" s="115"/>
      <c r="CT3765" s="115"/>
      <c r="CU3765" s="115"/>
      <c r="CV3765" s="115"/>
      <c r="CW3765" s="115"/>
      <c r="CX3765" s="115"/>
      <c r="CY3765" s="115"/>
      <c r="CZ3765" s="115"/>
      <c r="DA3765" s="115"/>
      <c r="DB3765" s="115"/>
      <c r="DC3765" s="115"/>
      <c r="DD3765" s="115"/>
      <c r="DE3765" s="115"/>
      <c r="DF3765" s="115"/>
      <c r="DG3765" s="115"/>
    </row>
    <row r="3766" spans="55:111" hidden="1">
      <c r="BC3766" s="115"/>
      <c r="BD3766" s="115"/>
      <c r="BE3766" s="115"/>
      <c r="BF3766" s="115"/>
      <c r="BG3766" s="115"/>
      <c r="BH3766" s="115"/>
      <c r="BI3766" s="115"/>
      <c r="BJ3766" s="115"/>
      <c r="BK3766" s="115"/>
      <c r="BL3766" s="115"/>
      <c r="BM3766" s="115"/>
      <c r="BN3766" s="115"/>
      <c r="BO3766" s="115"/>
      <c r="BP3766" s="115"/>
      <c r="BQ3766" s="115"/>
      <c r="BR3766" s="115"/>
      <c r="BS3766" s="115"/>
      <c r="BT3766" s="115"/>
      <c r="BU3766" s="115"/>
      <c r="BV3766" s="115"/>
      <c r="BW3766" s="115"/>
      <c r="BX3766" s="115"/>
      <c r="BY3766" s="115"/>
      <c r="BZ3766" s="115"/>
      <c r="CA3766" s="115"/>
      <c r="CB3766" s="115"/>
      <c r="CC3766" s="115"/>
      <c r="CD3766" s="115"/>
      <c r="CE3766" s="115"/>
      <c r="CF3766" s="115"/>
      <c r="CG3766" s="115"/>
      <c r="CH3766" s="115"/>
      <c r="CI3766" s="115"/>
      <c r="CJ3766" s="115"/>
      <c r="CK3766" s="115"/>
      <c r="CL3766" s="115"/>
      <c r="CM3766" s="115"/>
      <c r="CN3766" s="115"/>
      <c r="CO3766" s="115"/>
      <c r="CP3766" s="115"/>
      <c r="CQ3766" s="115"/>
      <c r="CR3766" s="115"/>
      <c r="CS3766" s="115"/>
      <c r="CT3766" s="115"/>
      <c r="CU3766" s="115"/>
      <c r="CV3766" s="115"/>
      <c r="CW3766" s="115"/>
      <c r="CX3766" s="115"/>
      <c r="CY3766" s="115"/>
      <c r="CZ3766" s="115"/>
      <c r="DA3766" s="115"/>
      <c r="DB3766" s="115"/>
      <c r="DC3766" s="115"/>
      <c r="DD3766" s="115"/>
      <c r="DE3766" s="115"/>
      <c r="DF3766" s="115"/>
      <c r="DG3766" s="115"/>
    </row>
    <row r="3767" spans="55:111" hidden="1">
      <c r="BC3767" s="115"/>
      <c r="BD3767" s="115"/>
      <c r="BE3767" s="115"/>
      <c r="BF3767" s="115"/>
      <c r="BG3767" s="115"/>
      <c r="BH3767" s="115"/>
      <c r="BI3767" s="115"/>
      <c r="BJ3767" s="115"/>
      <c r="BK3767" s="115"/>
      <c r="BL3767" s="115"/>
      <c r="BM3767" s="115"/>
      <c r="BN3767" s="115"/>
      <c r="BO3767" s="115"/>
      <c r="BP3767" s="115"/>
      <c r="BQ3767" s="115"/>
      <c r="BR3767" s="115"/>
      <c r="BS3767" s="115"/>
      <c r="BT3767" s="115"/>
      <c r="BU3767" s="115"/>
      <c r="BV3767" s="115"/>
      <c r="BW3767" s="115"/>
      <c r="BX3767" s="115"/>
      <c r="BY3767" s="115"/>
      <c r="BZ3767" s="115"/>
      <c r="CA3767" s="115"/>
      <c r="CB3767" s="115"/>
      <c r="CC3767" s="115"/>
      <c r="CD3767" s="115"/>
      <c r="CE3767" s="115"/>
      <c r="CF3767" s="115"/>
      <c r="CG3767" s="115"/>
      <c r="CH3767" s="115"/>
      <c r="CI3767" s="115"/>
      <c r="CJ3767" s="115"/>
      <c r="CK3767" s="115"/>
      <c r="CL3767" s="115"/>
      <c r="CM3767" s="115"/>
      <c r="CN3767" s="115"/>
      <c r="CO3767" s="115"/>
      <c r="CP3767" s="115"/>
      <c r="CQ3767" s="115"/>
      <c r="CR3767" s="115"/>
      <c r="CS3767" s="115"/>
      <c r="CT3767" s="115"/>
      <c r="CU3767" s="115"/>
      <c r="CV3767" s="115"/>
      <c r="CW3767" s="115"/>
      <c r="CX3767" s="115"/>
      <c r="CY3767" s="115"/>
      <c r="CZ3767" s="115"/>
      <c r="DA3767" s="115"/>
      <c r="DB3767" s="115"/>
      <c r="DC3767" s="115"/>
      <c r="DD3767" s="115"/>
      <c r="DE3767" s="115"/>
      <c r="DF3767" s="115"/>
      <c r="DG3767" s="115"/>
    </row>
    <row r="3768" spans="55:111" hidden="1">
      <c r="BC3768" s="115"/>
      <c r="BD3768" s="115"/>
      <c r="BE3768" s="115"/>
      <c r="BF3768" s="115"/>
      <c r="BG3768" s="115"/>
      <c r="BH3768" s="115"/>
      <c r="BI3768" s="115"/>
      <c r="BJ3768" s="115"/>
      <c r="BK3768" s="115"/>
      <c r="BL3768" s="115"/>
      <c r="BM3768" s="115"/>
      <c r="BN3768" s="115"/>
      <c r="BO3768" s="115"/>
      <c r="BP3768" s="115"/>
      <c r="BQ3768" s="115"/>
      <c r="BR3768" s="115"/>
      <c r="BS3768" s="115"/>
      <c r="BT3768" s="115"/>
      <c r="BU3768" s="115"/>
      <c r="BV3768" s="115"/>
      <c r="BW3768" s="115"/>
      <c r="BX3768" s="115"/>
      <c r="BY3768" s="115"/>
      <c r="BZ3768" s="115"/>
      <c r="CA3768" s="115"/>
      <c r="CB3768" s="115"/>
      <c r="CC3768" s="115"/>
      <c r="CD3768" s="115"/>
      <c r="CE3768" s="115"/>
      <c r="CF3768" s="115"/>
      <c r="CG3768" s="115"/>
      <c r="CH3768" s="115"/>
      <c r="CI3768" s="115"/>
      <c r="CJ3768" s="115"/>
      <c r="CK3768" s="115"/>
      <c r="CL3768" s="115"/>
      <c r="CM3768" s="115"/>
      <c r="CN3768" s="115"/>
      <c r="CO3768" s="115"/>
      <c r="CP3768" s="115"/>
      <c r="CQ3768" s="115"/>
      <c r="CR3768" s="115"/>
      <c r="CS3768" s="115"/>
      <c r="CT3768" s="115"/>
      <c r="CU3768" s="115"/>
      <c r="CV3768" s="115"/>
      <c r="CW3768" s="115"/>
      <c r="CX3768" s="115"/>
      <c r="CY3768" s="115"/>
      <c r="CZ3768" s="115"/>
      <c r="DA3768" s="115"/>
      <c r="DB3768" s="115"/>
      <c r="DC3768" s="115"/>
      <c r="DD3768" s="115"/>
      <c r="DE3768" s="115"/>
      <c r="DF3768" s="115"/>
      <c r="DG3768" s="115"/>
    </row>
    <row r="3769" spans="55:111" hidden="1">
      <c r="BC3769" s="115"/>
      <c r="BD3769" s="115"/>
      <c r="BE3769" s="115"/>
      <c r="BF3769" s="115"/>
      <c r="BG3769" s="115"/>
      <c r="BH3769" s="115"/>
      <c r="BI3769" s="115"/>
      <c r="BJ3769" s="115"/>
      <c r="BK3769" s="115"/>
      <c r="BL3769" s="115"/>
      <c r="BM3769" s="115"/>
      <c r="BN3769" s="115"/>
      <c r="BO3769" s="115"/>
      <c r="BP3769" s="115"/>
      <c r="BQ3769" s="115"/>
      <c r="BR3769" s="115"/>
      <c r="BS3769" s="115"/>
      <c r="BT3769" s="115"/>
      <c r="BU3769" s="115"/>
      <c r="BV3769" s="115"/>
      <c r="BW3769" s="115"/>
      <c r="BX3769" s="115"/>
      <c r="BY3769" s="115"/>
      <c r="BZ3769" s="115"/>
      <c r="CA3769" s="115"/>
      <c r="CB3769" s="115"/>
      <c r="CC3769" s="115"/>
      <c r="CD3769" s="115"/>
      <c r="CE3769" s="115"/>
      <c r="CF3769" s="115"/>
      <c r="CG3769" s="115"/>
      <c r="CH3769" s="115"/>
      <c r="CI3769" s="115"/>
      <c r="CJ3769" s="115"/>
      <c r="CK3769" s="115"/>
      <c r="CL3769" s="115"/>
      <c r="CM3769" s="115"/>
      <c r="CN3769" s="115"/>
      <c r="CO3769" s="115"/>
      <c r="CP3769" s="115"/>
      <c r="CQ3769" s="115"/>
      <c r="CR3769" s="115"/>
      <c r="CS3769" s="115"/>
      <c r="CT3769" s="115"/>
      <c r="CU3769" s="115"/>
      <c r="CV3769" s="115"/>
      <c r="CW3769" s="115"/>
      <c r="CX3769" s="115"/>
      <c r="CY3769" s="115"/>
      <c r="CZ3769" s="115"/>
      <c r="DA3769" s="115"/>
      <c r="DB3769" s="115"/>
      <c r="DC3769" s="115"/>
      <c r="DD3769" s="115"/>
      <c r="DE3769" s="115"/>
      <c r="DF3769" s="115"/>
      <c r="DG3769" s="115"/>
    </row>
    <row r="3770" spans="55:111" hidden="1">
      <c r="BC3770" s="115"/>
      <c r="BD3770" s="115"/>
      <c r="BE3770" s="115"/>
      <c r="BF3770" s="115"/>
      <c r="BG3770" s="115"/>
      <c r="BH3770" s="115"/>
      <c r="BI3770" s="115"/>
      <c r="BJ3770" s="115"/>
      <c r="BK3770" s="115"/>
      <c r="BL3770" s="115"/>
      <c r="BM3770" s="115"/>
      <c r="BN3770" s="115"/>
      <c r="BO3770" s="115"/>
      <c r="BP3770" s="115"/>
      <c r="BQ3770" s="115"/>
      <c r="BR3770" s="115"/>
      <c r="BS3770" s="115"/>
      <c r="BT3770" s="115"/>
      <c r="BU3770" s="115"/>
      <c r="BV3770" s="115"/>
      <c r="BW3770" s="115"/>
      <c r="BX3770" s="115"/>
      <c r="BY3770" s="115"/>
      <c r="BZ3770" s="115"/>
      <c r="CA3770" s="115"/>
      <c r="CB3770" s="115"/>
      <c r="CC3770" s="115"/>
      <c r="CD3770" s="115"/>
      <c r="CE3770" s="115"/>
      <c r="CF3770" s="115"/>
      <c r="CG3770" s="115"/>
      <c r="CH3770" s="115"/>
      <c r="CI3770" s="115"/>
      <c r="CJ3770" s="115"/>
      <c r="CK3770" s="115"/>
      <c r="CL3770" s="115"/>
      <c r="CM3770" s="115"/>
      <c r="CN3770" s="115"/>
      <c r="CO3770" s="115"/>
      <c r="CP3770" s="115"/>
      <c r="CQ3770" s="115"/>
      <c r="CR3770" s="115"/>
      <c r="CS3770" s="115"/>
      <c r="CT3770" s="115"/>
      <c r="CU3770" s="115"/>
      <c r="CV3770" s="115"/>
      <c r="CW3770" s="115"/>
      <c r="CX3770" s="115"/>
      <c r="CY3770" s="115"/>
      <c r="CZ3770" s="115"/>
      <c r="DA3770" s="115"/>
      <c r="DB3770" s="115"/>
      <c r="DC3770" s="115"/>
      <c r="DD3770" s="115"/>
      <c r="DE3770" s="115"/>
      <c r="DF3770" s="115"/>
      <c r="DG3770" s="115"/>
    </row>
    <row r="3771" spans="55:111" hidden="1">
      <c r="BC3771" s="115"/>
      <c r="BD3771" s="115"/>
      <c r="BE3771" s="115"/>
      <c r="BF3771" s="115"/>
      <c r="BG3771" s="115"/>
      <c r="BH3771" s="115"/>
      <c r="BI3771" s="115"/>
      <c r="BJ3771" s="115"/>
      <c r="BK3771" s="115"/>
      <c r="BL3771" s="115"/>
      <c r="BM3771" s="115"/>
      <c r="BN3771" s="115"/>
      <c r="BO3771" s="115"/>
      <c r="BP3771" s="115"/>
      <c r="BQ3771" s="115"/>
      <c r="BR3771" s="115"/>
      <c r="BS3771" s="115"/>
      <c r="BT3771" s="115"/>
      <c r="BU3771" s="115"/>
      <c r="BV3771" s="115"/>
      <c r="BW3771" s="115"/>
      <c r="BX3771" s="115"/>
      <c r="BY3771" s="115"/>
      <c r="BZ3771" s="115"/>
      <c r="CA3771" s="115"/>
      <c r="CB3771" s="115"/>
      <c r="CC3771" s="115"/>
      <c r="CD3771" s="115"/>
      <c r="CE3771" s="115"/>
      <c r="CF3771" s="115"/>
      <c r="CG3771" s="115"/>
      <c r="CH3771" s="115"/>
      <c r="CI3771" s="115"/>
      <c r="CJ3771" s="115"/>
      <c r="CK3771" s="115"/>
      <c r="CL3771" s="115"/>
      <c r="CM3771" s="115"/>
      <c r="CN3771" s="115"/>
      <c r="CO3771" s="115"/>
      <c r="CP3771" s="115"/>
      <c r="CQ3771" s="115"/>
      <c r="CR3771" s="115"/>
      <c r="CS3771" s="115"/>
      <c r="CT3771" s="115"/>
      <c r="CU3771" s="115"/>
      <c r="CV3771" s="115"/>
      <c r="CW3771" s="115"/>
      <c r="CX3771" s="115"/>
      <c r="CY3771" s="115"/>
      <c r="CZ3771" s="115"/>
      <c r="DA3771" s="115"/>
      <c r="DB3771" s="115"/>
      <c r="DC3771" s="115"/>
      <c r="DD3771" s="115"/>
      <c r="DE3771" s="115"/>
      <c r="DF3771" s="115"/>
      <c r="DG3771" s="115"/>
    </row>
    <row r="3772" spans="55:111" hidden="1">
      <c r="BC3772" s="115"/>
      <c r="BD3772" s="115"/>
      <c r="BE3772" s="115"/>
      <c r="BF3772" s="115"/>
      <c r="BG3772" s="115"/>
      <c r="BH3772" s="115"/>
      <c r="BI3772" s="115"/>
      <c r="BJ3772" s="115"/>
      <c r="BK3772" s="115"/>
      <c r="BL3772" s="115"/>
      <c r="BM3772" s="115"/>
      <c r="BN3772" s="115"/>
      <c r="BO3772" s="115"/>
      <c r="BP3772" s="115"/>
      <c r="BQ3772" s="115"/>
      <c r="BR3772" s="115"/>
      <c r="BS3772" s="115"/>
      <c r="BT3772" s="115"/>
      <c r="BU3772" s="115"/>
      <c r="BV3772" s="115"/>
      <c r="BW3772" s="115"/>
      <c r="BX3772" s="115"/>
      <c r="BY3772" s="115"/>
      <c r="BZ3772" s="115"/>
      <c r="CA3772" s="115"/>
      <c r="CB3772" s="115"/>
      <c r="CC3772" s="115"/>
      <c r="CD3772" s="115"/>
      <c r="CE3772" s="115"/>
      <c r="CF3772" s="115"/>
      <c r="CG3772" s="115"/>
      <c r="CH3772" s="115"/>
      <c r="CI3772" s="115"/>
      <c r="CJ3772" s="115"/>
      <c r="CK3772" s="115"/>
      <c r="CL3772" s="115"/>
      <c r="CM3772" s="115"/>
      <c r="CN3772" s="115"/>
      <c r="CO3772" s="115"/>
      <c r="CP3772" s="115"/>
      <c r="CQ3772" s="115"/>
      <c r="CR3772" s="115"/>
      <c r="CS3772" s="115"/>
      <c r="CT3772" s="115"/>
      <c r="CU3772" s="115"/>
      <c r="CV3772" s="115"/>
      <c r="CW3772" s="115"/>
      <c r="CX3772" s="115"/>
      <c r="CY3772" s="115"/>
      <c r="CZ3772" s="115"/>
      <c r="DA3772" s="115"/>
      <c r="DB3772" s="115"/>
      <c r="DC3772" s="115"/>
      <c r="DD3772" s="115"/>
      <c r="DE3772" s="115"/>
      <c r="DF3772" s="115"/>
      <c r="DG3772" s="115"/>
    </row>
    <row r="3773" spans="55:111" hidden="1">
      <c r="BC3773" s="115"/>
      <c r="BD3773" s="115"/>
      <c r="BE3773" s="115"/>
      <c r="BF3773" s="115"/>
      <c r="BG3773" s="115"/>
      <c r="BH3773" s="115"/>
      <c r="BI3773" s="115"/>
      <c r="BJ3773" s="115"/>
      <c r="BK3773" s="115"/>
      <c r="BL3773" s="115"/>
      <c r="BM3773" s="115"/>
      <c r="BN3773" s="115"/>
      <c r="BO3773" s="115"/>
      <c r="BP3773" s="115"/>
      <c r="BQ3773" s="115"/>
      <c r="BR3773" s="115"/>
      <c r="BS3773" s="115"/>
      <c r="BT3773" s="115"/>
      <c r="BU3773" s="115"/>
      <c r="BV3773" s="115"/>
      <c r="BW3773" s="115"/>
      <c r="BX3773" s="115"/>
      <c r="BY3773" s="115"/>
      <c r="BZ3773" s="115"/>
      <c r="CA3773" s="115"/>
      <c r="CB3773" s="115"/>
      <c r="CC3773" s="115"/>
      <c r="CD3773" s="115"/>
      <c r="CE3773" s="115"/>
      <c r="CF3773" s="115"/>
      <c r="CG3773" s="115"/>
      <c r="CH3773" s="115"/>
      <c r="CI3773" s="115"/>
      <c r="CJ3773" s="115"/>
      <c r="CK3773" s="115"/>
      <c r="CL3773" s="115"/>
      <c r="CM3773" s="115"/>
      <c r="CN3773" s="115"/>
      <c r="CO3773" s="115"/>
      <c r="CP3773" s="115"/>
      <c r="CQ3773" s="115"/>
      <c r="CR3773" s="115"/>
      <c r="CS3773" s="115"/>
      <c r="CT3773" s="115"/>
      <c r="CU3773" s="115"/>
      <c r="CV3773" s="115"/>
      <c r="CW3773" s="115"/>
      <c r="CX3773" s="115"/>
      <c r="CY3773" s="115"/>
      <c r="CZ3773" s="115"/>
      <c r="DA3773" s="115"/>
      <c r="DB3773" s="115"/>
      <c r="DC3773" s="115"/>
      <c r="DD3773" s="115"/>
      <c r="DE3773" s="115"/>
      <c r="DF3773" s="115"/>
      <c r="DG3773" s="115"/>
    </row>
    <row r="3774" spans="55:111" hidden="1">
      <c r="BC3774" s="115"/>
      <c r="BD3774" s="115"/>
      <c r="BE3774" s="115"/>
      <c r="BF3774" s="115"/>
      <c r="BG3774" s="115"/>
      <c r="BH3774" s="115"/>
      <c r="BI3774" s="115"/>
      <c r="BJ3774" s="115"/>
      <c r="BK3774" s="115"/>
      <c r="BL3774" s="115"/>
      <c r="BM3774" s="115"/>
      <c r="BN3774" s="115"/>
      <c r="BO3774" s="115"/>
      <c r="BP3774" s="115"/>
      <c r="BQ3774" s="115"/>
      <c r="BR3774" s="115"/>
      <c r="BS3774" s="115"/>
      <c r="BT3774" s="115"/>
      <c r="BU3774" s="115"/>
      <c r="BV3774" s="115"/>
      <c r="BW3774" s="115"/>
      <c r="BX3774" s="115"/>
      <c r="BY3774" s="115"/>
      <c r="BZ3774" s="115"/>
      <c r="CA3774" s="115"/>
      <c r="CB3774" s="115"/>
      <c r="CC3774" s="115"/>
      <c r="CD3774" s="115"/>
      <c r="CE3774" s="115"/>
      <c r="CF3774" s="115"/>
      <c r="CG3774" s="115"/>
      <c r="CH3774" s="115"/>
      <c r="CI3774" s="115"/>
      <c r="CJ3774" s="115"/>
      <c r="CK3774" s="115"/>
      <c r="CL3774" s="115"/>
      <c r="CM3774" s="115"/>
      <c r="CN3774" s="115"/>
      <c r="CO3774" s="115"/>
      <c r="CP3774" s="115"/>
      <c r="CQ3774" s="115"/>
      <c r="CR3774" s="115"/>
      <c r="CS3774" s="115"/>
      <c r="CT3774" s="115"/>
      <c r="CU3774" s="115"/>
      <c r="CV3774" s="115"/>
      <c r="CW3774" s="115"/>
      <c r="CX3774" s="115"/>
      <c r="CY3774" s="115"/>
      <c r="CZ3774" s="115"/>
      <c r="DA3774" s="115"/>
      <c r="DB3774" s="115"/>
      <c r="DC3774" s="115"/>
      <c r="DD3774" s="115"/>
      <c r="DE3774" s="115"/>
      <c r="DF3774" s="115"/>
      <c r="DG3774" s="115"/>
    </row>
    <row r="3775" spans="55:111" hidden="1">
      <c r="BC3775" s="115"/>
      <c r="BD3775" s="115"/>
      <c r="BE3775" s="115"/>
      <c r="BF3775" s="115"/>
      <c r="BG3775" s="115"/>
      <c r="BH3775" s="115"/>
      <c r="BI3775" s="115"/>
      <c r="BJ3775" s="115"/>
      <c r="BK3775" s="115"/>
      <c r="BL3775" s="115"/>
      <c r="BM3775" s="115"/>
      <c r="BN3775" s="115"/>
      <c r="BO3775" s="115"/>
      <c r="BP3775" s="115"/>
      <c r="BQ3775" s="115"/>
      <c r="BR3775" s="115"/>
      <c r="BS3775" s="115"/>
      <c r="BT3775" s="115"/>
      <c r="BU3775" s="115"/>
      <c r="BV3775" s="115"/>
      <c r="BW3775" s="115"/>
      <c r="BX3775" s="115"/>
      <c r="BY3775" s="115"/>
      <c r="BZ3775" s="115"/>
      <c r="CA3775" s="115"/>
      <c r="CB3775" s="115"/>
      <c r="CC3775" s="115"/>
      <c r="CD3775" s="115"/>
      <c r="CE3775" s="115"/>
      <c r="CF3775" s="115"/>
      <c r="CG3775" s="115"/>
      <c r="CH3775" s="115"/>
      <c r="CI3775" s="115"/>
      <c r="CJ3775" s="115"/>
      <c r="CK3775" s="115"/>
      <c r="CL3775" s="115"/>
      <c r="CM3775" s="115"/>
      <c r="CN3775" s="115"/>
      <c r="CO3775" s="115"/>
      <c r="CP3775" s="115"/>
      <c r="CQ3775" s="115"/>
      <c r="CR3775" s="115"/>
      <c r="CS3775" s="115"/>
      <c r="CT3775" s="115"/>
      <c r="CU3775" s="115"/>
      <c r="CV3775" s="115"/>
      <c r="CW3775" s="115"/>
      <c r="CX3775" s="115"/>
      <c r="CY3775" s="115"/>
      <c r="CZ3775" s="115"/>
      <c r="DA3775" s="115"/>
      <c r="DB3775" s="115"/>
      <c r="DC3775" s="115"/>
      <c r="DD3775" s="115"/>
      <c r="DE3775" s="115"/>
      <c r="DF3775" s="115"/>
      <c r="DG3775" s="115"/>
    </row>
    <row r="3776" spans="55:111" hidden="1">
      <c r="BC3776" s="115"/>
      <c r="BD3776" s="115"/>
      <c r="BE3776" s="115"/>
      <c r="BF3776" s="115"/>
      <c r="BG3776" s="115"/>
      <c r="BH3776" s="115"/>
      <c r="BI3776" s="115"/>
      <c r="BJ3776" s="115"/>
      <c r="BK3776" s="115"/>
      <c r="BL3776" s="115"/>
      <c r="BM3776" s="115"/>
      <c r="BN3776" s="115"/>
      <c r="BO3776" s="115"/>
      <c r="BP3776" s="115"/>
      <c r="BQ3776" s="115"/>
      <c r="BR3776" s="115"/>
      <c r="BS3776" s="115"/>
      <c r="BT3776" s="115"/>
      <c r="BU3776" s="115"/>
      <c r="BV3776" s="115"/>
      <c r="BW3776" s="115"/>
      <c r="BX3776" s="115"/>
      <c r="BY3776" s="115"/>
      <c r="BZ3776" s="115"/>
      <c r="CA3776" s="115"/>
      <c r="CB3776" s="115"/>
      <c r="CC3776" s="115"/>
      <c r="CD3776" s="115"/>
      <c r="CE3776" s="115"/>
      <c r="CF3776" s="115"/>
      <c r="CG3776" s="115"/>
      <c r="CH3776" s="115"/>
      <c r="CI3776" s="115"/>
      <c r="CJ3776" s="115"/>
      <c r="CK3776" s="115"/>
      <c r="CL3776" s="115"/>
      <c r="CM3776" s="115"/>
      <c r="CN3776" s="115"/>
      <c r="CO3776" s="115"/>
      <c r="CP3776" s="115"/>
      <c r="CQ3776" s="115"/>
      <c r="CR3776" s="115"/>
      <c r="CS3776" s="115"/>
      <c r="CT3776" s="115"/>
      <c r="CU3776" s="115"/>
      <c r="CV3776" s="115"/>
      <c r="CW3776" s="115"/>
      <c r="CX3776" s="115"/>
      <c r="CY3776" s="115"/>
      <c r="CZ3776" s="115"/>
      <c r="DA3776" s="115"/>
      <c r="DB3776" s="115"/>
      <c r="DC3776" s="115"/>
      <c r="DD3776" s="115"/>
      <c r="DE3776" s="115"/>
      <c r="DF3776" s="115"/>
      <c r="DG3776" s="115"/>
    </row>
    <row r="3777" spans="55:111" hidden="1">
      <c r="BC3777" s="115"/>
      <c r="BD3777" s="115"/>
      <c r="BE3777" s="115"/>
      <c r="BF3777" s="115"/>
      <c r="BG3777" s="115"/>
      <c r="BH3777" s="115"/>
      <c r="BI3777" s="115"/>
      <c r="BJ3777" s="115"/>
      <c r="BK3777" s="115"/>
      <c r="BL3777" s="115"/>
      <c r="BM3777" s="115"/>
      <c r="BN3777" s="115"/>
      <c r="BO3777" s="115"/>
      <c r="BP3777" s="115"/>
      <c r="BQ3777" s="115"/>
      <c r="BR3777" s="115"/>
      <c r="BS3777" s="115"/>
      <c r="BT3777" s="115"/>
      <c r="BU3777" s="115"/>
      <c r="BV3777" s="115"/>
      <c r="BW3777" s="115"/>
      <c r="BX3777" s="115"/>
      <c r="BY3777" s="115"/>
      <c r="BZ3777" s="115"/>
      <c r="CA3777" s="115"/>
      <c r="CB3777" s="115"/>
      <c r="CC3777" s="115"/>
      <c r="CD3777" s="115"/>
      <c r="CE3777" s="115"/>
      <c r="CF3777" s="115"/>
      <c r="CG3777" s="115"/>
      <c r="CH3777" s="115"/>
      <c r="CI3777" s="115"/>
      <c r="CJ3777" s="115"/>
      <c r="CK3777" s="115"/>
      <c r="CL3777" s="115"/>
      <c r="CM3777" s="115"/>
      <c r="CN3777" s="115"/>
      <c r="CO3777" s="115"/>
      <c r="CP3777" s="115"/>
      <c r="CQ3777" s="115"/>
      <c r="CR3777" s="115"/>
      <c r="CS3777" s="115"/>
      <c r="CT3777" s="115"/>
      <c r="CU3777" s="115"/>
      <c r="CV3777" s="115"/>
      <c r="CW3777" s="115"/>
      <c r="CX3777" s="115"/>
      <c r="CY3777" s="115"/>
      <c r="CZ3777" s="115"/>
      <c r="DA3777" s="115"/>
      <c r="DB3777" s="115"/>
      <c r="DC3777" s="115"/>
      <c r="DD3777" s="115"/>
      <c r="DE3777" s="115"/>
      <c r="DF3777" s="115"/>
      <c r="DG3777" s="115"/>
    </row>
    <row r="3778" spans="55:111" hidden="1">
      <c r="BC3778" s="115"/>
      <c r="BD3778" s="115"/>
      <c r="BE3778" s="115"/>
      <c r="BF3778" s="115"/>
      <c r="BG3778" s="115"/>
      <c r="BH3778" s="115"/>
      <c r="BI3778" s="115"/>
      <c r="BJ3778" s="115"/>
      <c r="BK3778" s="115"/>
      <c r="BL3778" s="115"/>
      <c r="BM3778" s="115"/>
      <c r="BN3778" s="115"/>
      <c r="BO3778" s="115"/>
      <c r="BP3778" s="115"/>
      <c r="BQ3778" s="115"/>
      <c r="BR3778" s="115"/>
      <c r="BS3778" s="115"/>
      <c r="BT3778" s="115"/>
      <c r="BU3778" s="115"/>
      <c r="BV3778" s="115"/>
      <c r="BW3778" s="115"/>
      <c r="BX3778" s="115"/>
      <c r="BY3778" s="115"/>
      <c r="BZ3778" s="115"/>
      <c r="CA3778" s="115"/>
      <c r="CB3778" s="115"/>
      <c r="CC3778" s="115"/>
      <c r="CD3778" s="115"/>
      <c r="CE3778" s="115"/>
      <c r="CF3778" s="115"/>
      <c r="CG3778" s="115"/>
      <c r="CH3778" s="115"/>
      <c r="CI3778" s="115"/>
      <c r="CJ3778" s="115"/>
      <c r="CK3778" s="115"/>
      <c r="CL3778" s="115"/>
      <c r="CM3778" s="115"/>
      <c r="CN3778" s="115"/>
      <c r="CO3778" s="115"/>
      <c r="CP3778" s="115"/>
      <c r="CQ3778" s="115"/>
      <c r="CR3778" s="115"/>
      <c r="CS3778" s="115"/>
      <c r="CT3778" s="115"/>
      <c r="CU3778" s="115"/>
      <c r="CV3778" s="115"/>
      <c r="CW3778" s="115"/>
      <c r="CX3778" s="115"/>
      <c r="CY3778" s="115"/>
      <c r="CZ3778" s="115"/>
      <c r="DA3778" s="115"/>
      <c r="DB3778" s="115"/>
      <c r="DC3778" s="115"/>
      <c r="DD3778" s="115"/>
      <c r="DE3778" s="115"/>
      <c r="DF3778" s="115"/>
      <c r="DG3778" s="115"/>
    </row>
    <row r="3779" spans="55:111" hidden="1">
      <c r="BC3779" s="115"/>
      <c r="BD3779" s="115"/>
      <c r="BE3779" s="115"/>
      <c r="BF3779" s="115"/>
      <c r="BG3779" s="115"/>
      <c r="BH3779" s="115"/>
      <c r="BI3779" s="115"/>
      <c r="BJ3779" s="115"/>
      <c r="BK3779" s="115"/>
      <c r="BL3779" s="115"/>
      <c r="BM3779" s="115"/>
      <c r="BN3779" s="115"/>
      <c r="BO3779" s="115"/>
      <c r="BP3779" s="115"/>
      <c r="BQ3779" s="115"/>
      <c r="BR3779" s="115"/>
      <c r="BS3779" s="115"/>
      <c r="BT3779" s="115"/>
      <c r="BU3779" s="115"/>
      <c r="BV3779" s="115"/>
      <c r="BW3779" s="115"/>
      <c r="BX3779" s="115"/>
      <c r="BY3779" s="115"/>
      <c r="BZ3779" s="115"/>
      <c r="CA3779" s="115"/>
      <c r="CB3779" s="115"/>
      <c r="CC3779" s="115"/>
      <c r="CD3779" s="115"/>
      <c r="CE3779" s="115"/>
      <c r="CF3779" s="115"/>
      <c r="CG3779" s="115"/>
      <c r="CH3779" s="115"/>
      <c r="CI3779" s="115"/>
      <c r="CJ3779" s="115"/>
      <c r="CK3779" s="115"/>
      <c r="CL3779" s="115"/>
      <c r="CM3779" s="115"/>
      <c r="CN3779" s="115"/>
      <c r="CO3779" s="115"/>
      <c r="CP3779" s="115"/>
      <c r="CQ3779" s="115"/>
      <c r="CR3779" s="115"/>
      <c r="CS3779" s="115"/>
      <c r="CT3779" s="115"/>
      <c r="CU3779" s="115"/>
      <c r="CV3779" s="115"/>
      <c r="CW3779" s="115"/>
      <c r="CX3779" s="115"/>
      <c r="CY3779" s="115"/>
      <c r="CZ3779" s="115"/>
      <c r="DA3779" s="115"/>
      <c r="DB3779" s="115"/>
      <c r="DC3779" s="115"/>
      <c r="DD3779" s="115"/>
      <c r="DE3779" s="115"/>
      <c r="DF3779" s="115"/>
      <c r="DG3779" s="115"/>
    </row>
    <row r="3780" spans="55:111" hidden="1">
      <c r="BC3780" s="115"/>
      <c r="BD3780" s="115"/>
      <c r="BE3780" s="115"/>
      <c r="BF3780" s="115"/>
      <c r="BG3780" s="115"/>
      <c r="BH3780" s="115"/>
      <c r="BI3780" s="115"/>
      <c r="BJ3780" s="115"/>
      <c r="BK3780" s="115"/>
      <c r="BL3780" s="115"/>
      <c r="BM3780" s="115"/>
      <c r="BN3780" s="115"/>
      <c r="BO3780" s="115"/>
      <c r="BP3780" s="115"/>
      <c r="BQ3780" s="115"/>
      <c r="BR3780" s="115"/>
      <c r="BS3780" s="115"/>
      <c r="BT3780" s="115"/>
      <c r="BU3780" s="115"/>
      <c r="BV3780" s="115"/>
      <c r="BW3780" s="115"/>
      <c r="BX3780" s="115"/>
      <c r="BY3780" s="115"/>
      <c r="BZ3780" s="115"/>
      <c r="CA3780" s="115"/>
      <c r="CB3780" s="115"/>
      <c r="CC3780" s="115"/>
      <c r="CD3780" s="115"/>
      <c r="CE3780" s="115"/>
      <c r="CF3780" s="115"/>
      <c r="CG3780" s="115"/>
      <c r="CH3780" s="115"/>
      <c r="CI3780" s="115"/>
      <c r="CJ3780" s="115"/>
      <c r="CK3780" s="115"/>
      <c r="CL3780" s="115"/>
      <c r="CM3780" s="115"/>
      <c r="CN3780" s="115"/>
      <c r="CO3780" s="115"/>
      <c r="CP3780" s="115"/>
      <c r="CQ3780" s="115"/>
      <c r="CR3780" s="115"/>
      <c r="CS3780" s="115"/>
      <c r="CT3780" s="115"/>
      <c r="CU3780" s="115"/>
      <c r="CV3780" s="115"/>
      <c r="CW3780" s="115"/>
      <c r="CX3780" s="115"/>
      <c r="CY3780" s="115"/>
      <c r="CZ3780" s="115"/>
      <c r="DA3780" s="115"/>
      <c r="DB3780" s="115"/>
      <c r="DC3780" s="115"/>
      <c r="DD3780" s="115"/>
      <c r="DE3780" s="115"/>
      <c r="DF3780" s="115"/>
      <c r="DG3780" s="115"/>
    </row>
    <row r="3781" spans="55:111" hidden="1">
      <c r="BC3781" s="115"/>
      <c r="BD3781" s="115"/>
      <c r="BE3781" s="115"/>
      <c r="BF3781" s="115"/>
      <c r="BG3781" s="115"/>
      <c r="BH3781" s="115"/>
      <c r="BI3781" s="115"/>
      <c r="BJ3781" s="115"/>
      <c r="BK3781" s="115"/>
      <c r="BL3781" s="115"/>
      <c r="BM3781" s="115"/>
      <c r="BN3781" s="115"/>
      <c r="BO3781" s="115"/>
      <c r="BP3781" s="115"/>
      <c r="BQ3781" s="115"/>
      <c r="BR3781" s="115"/>
      <c r="BS3781" s="115"/>
      <c r="BT3781" s="115"/>
      <c r="BU3781" s="115"/>
      <c r="BV3781" s="115"/>
      <c r="BW3781" s="115"/>
      <c r="BX3781" s="115"/>
      <c r="BY3781" s="115"/>
      <c r="BZ3781" s="115"/>
      <c r="CA3781" s="115"/>
      <c r="CB3781" s="115"/>
      <c r="CC3781" s="115"/>
      <c r="CD3781" s="115"/>
      <c r="CE3781" s="115"/>
      <c r="CF3781" s="115"/>
      <c r="CG3781" s="115"/>
      <c r="CH3781" s="115"/>
      <c r="CI3781" s="115"/>
      <c r="CJ3781" s="115"/>
      <c r="CK3781" s="115"/>
      <c r="CL3781" s="115"/>
      <c r="CM3781" s="115"/>
      <c r="CN3781" s="115"/>
      <c r="CO3781" s="115"/>
      <c r="CP3781" s="115"/>
      <c r="CQ3781" s="115"/>
      <c r="CR3781" s="115"/>
      <c r="CS3781" s="115"/>
      <c r="CT3781" s="115"/>
      <c r="CU3781" s="115"/>
      <c r="CV3781" s="115"/>
      <c r="CW3781" s="115"/>
      <c r="CX3781" s="115"/>
      <c r="CY3781" s="115"/>
      <c r="CZ3781" s="115"/>
      <c r="DA3781" s="115"/>
      <c r="DB3781" s="115"/>
      <c r="DC3781" s="115"/>
      <c r="DD3781" s="115"/>
      <c r="DE3781" s="115"/>
      <c r="DF3781" s="115"/>
      <c r="DG3781" s="115"/>
    </row>
    <row r="3782" spans="55:111" hidden="1">
      <c r="BC3782" s="115"/>
      <c r="BD3782" s="115"/>
      <c r="BE3782" s="115"/>
      <c r="BF3782" s="115"/>
      <c r="BG3782" s="115"/>
      <c r="BH3782" s="115"/>
      <c r="BI3782" s="115"/>
      <c r="BJ3782" s="115"/>
      <c r="BK3782" s="115"/>
      <c r="BL3782" s="115"/>
      <c r="BM3782" s="115"/>
      <c r="BN3782" s="115"/>
      <c r="BO3782" s="115"/>
      <c r="BP3782" s="115"/>
      <c r="BQ3782" s="115"/>
      <c r="BR3782" s="115"/>
      <c r="BS3782" s="115"/>
      <c r="BT3782" s="115"/>
      <c r="BU3782" s="115"/>
      <c r="BV3782" s="115"/>
      <c r="BW3782" s="115"/>
      <c r="BX3782" s="115"/>
      <c r="BY3782" s="115"/>
      <c r="BZ3782" s="115"/>
      <c r="CA3782" s="115"/>
      <c r="CB3782" s="115"/>
      <c r="CC3782" s="115"/>
      <c r="CD3782" s="115"/>
      <c r="CE3782" s="115"/>
      <c r="CF3782" s="115"/>
      <c r="CG3782" s="115"/>
      <c r="CH3782" s="115"/>
      <c r="CI3782" s="115"/>
      <c r="CJ3782" s="115"/>
      <c r="CK3782" s="115"/>
      <c r="CL3782" s="115"/>
      <c r="CM3782" s="115"/>
      <c r="CN3782" s="115"/>
      <c r="CO3782" s="115"/>
      <c r="CP3782" s="115"/>
      <c r="CQ3782" s="115"/>
      <c r="CR3782" s="115"/>
      <c r="CS3782" s="115"/>
      <c r="CT3782" s="115"/>
      <c r="CU3782" s="115"/>
      <c r="CV3782" s="115"/>
      <c r="CW3782" s="115"/>
      <c r="CX3782" s="115"/>
      <c r="CY3782" s="115"/>
      <c r="CZ3782" s="115"/>
      <c r="DA3782" s="115"/>
      <c r="DB3782" s="115"/>
      <c r="DC3782" s="115"/>
      <c r="DD3782" s="115"/>
      <c r="DE3782" s="115"/>
      <c r="DF3782" s="115"/>
      <c r="DG3782" s="115"/>
    </row>
    <row r="3783" spans="55:111" hidden="1">
      <c r="BC3783" s="115"/>
      <c r="BD3783" s="115"/>
      <c r="BE3783" s="115"/>
      <c r="BF3783" s="115"/>
      <c r="BG3783" s="115"/>
      <c r="BH3783" s="115"/>
      <c r="BI3783" s="115"/>
      <c r="BJ3783" s="115"/>
      <c r="BK3783" s="115"/>
      <c r="BL3783" s="115"/>
      <c r="BM3783" s="115"/>
      <c r="BN3783" s="115"/>
      <c r="BO3783" s="115"/>
      <c r="BP3783" s="115"/>
      <c r="BQ3783" s="115"/>
      <c r="BR3783" s="115"/>
      <c r="BS3783" s="115"/>
      <c r="BT3783" s="115"/>
      <c r="BU3783" s="115"/>
      <c r="BV3783" s="115"/>
      <c r="BW3783" s="115"/>
      <c r="BX3783" s="115"/>
      <c r="BY3783" s="115"/>
      <c r="BZ3783" s="115"/>
      <c r="CA3783" s="115"/>
      <c r="CB3783" s="115"/>
      <c r="CC3783" s="115"/>
      <c r="CD3783" s="115"/>
      <c r="CE3783" s="115"/>
      <c r="CF3783" s="115"/>
      <c r="CG3783" s="115"/>
      <c r="CH3783" s="115"/>
      <c r="CI3783" s="115"/>
      <c r="CJ3783" s="115"/>
      <c r="CK3783" s="115"/>
      <c r="CL3783" s="115"/>
      <c r="CM3783" s="115"/>
      <c r="CN3783" s="115"/>
      <c r="CO3783" s="115"/>
      <c r="CP3783" s="115"/>
      <c r="CQ3783" s="115"/>
      <c r="CR3783" s="115"/>
      <c r="CS3783" s="115"/>
      <c r="CT3783" s="115"/>
      <c r="CU3783" s="115"/>
      <c r="CV3783" s="115"/>
      <c r="CW3783" s="115"/>
      <c r="CX3783" s="115"/>
      <c r="CY3783" s="115"/>
      <c r="CZ3783" s="115"/>
      <c r="DA3783" s="115"/>
      <c r="DB3783" s="115"/>
      <c r="DC3783" s="115"/>
      <c r="DD3783" s="115"/>
      <c r="DE3783" s="115"/>
      <c r="DF3783" s="115"/>
      <c r="DG3783" s="115"/>
    </row>
    <row r="3784" spans="55:111" hidden="1">
      <c r="BC3784" s="115"/>
      <c r="BD3784" s="115"/>
      <c r="BE3784" s="115"/>
      <c r="BF3784" s="115"/>
      <c r="BG3784" s="115"/>
      <c r="BH3784" s="115"/>
      <c r="BI3784" s="115"/>
      <c r="BJ3784" s="115"/>
      <c r="BK3784" s="115"/>
      <c r="BL3784" s="115"/>
      <c r="BM3784" s="115"/>
      <c r="BN3784" s="115"/>
      <c r="BO3784" s="115"/>
      <c r="BP3784" s="115"/>
      <c r="BQ3784" s="115"/>
      <c r="BR3784" s="115"/>
      <c r="BS3784" s="115"/>
      <c r="BT3784" s="115"/>
      <c r="BU3784" s="115"/>
      <c r="BV3784" s="115"/>
      <c r="BW3784" s="115"/>
      <c r="BX3784" s="115"/>
      <c r="BY3784" s="115"/>
      <c r="BZ3784" s="115"/>
      <c r="CA3784" s="115"/>
      <c r="CB3784" s="115"/>
      <c r="CC3784" s="115"/>
      <c r="CD3784" s="115"/>
      <c r="CE3784" s="115"/>
      <c r="CF3784" s="115"/>
      <c r="CG3784" s="115"/>
      <c r="CH3784" s="115"/>
      <c r="CI3784" s="115"/>
      <c r="CJ3784" s="115"/>
      <c r="CK3784" s="115"/>
      <c r="CL3784" s="115"/>
      <c r="CM3784" s="115"/>
      <c r="CN3784" s="115"/>
      <c r="CO3784" s="115"/>
      <c r="CP3784" s="115"/>
      <c r="CQ3784" s="115"/>
      <c r="CR3784" s="115"/>
      <c r="CS3784" s="115"/>
      <c r="CT3784" s="115"/>
      <c r="CU3784" s="115"/>
      <c r="CV3784" s="115"/>
      <c r="CW3784" s="115"/>
      <c r="CX3784" s="115"/>
      <c r="CY3784" s="115"/>
      <c r="CZ3784" s="115"/>
      <c r="DA3784" s="115"/>
      <c r="DB3784" s="115"/>
      <c r="DC3784" s="115"/>
      <c r="DD3784" s="115"/>
      <c r="DE3784" s="115"/>
      <c r="DF3784" s="115"/>
      <c r="DG3784" s="115"/>
    </row>
    <row r="3785" spans="55:111" hidden="1">
      <c r="BC3785" s="115"/>
      <c r="BD3785" s="115"/>
      <c r="BE3785" s="115"/>
      <c r="BF3785" s="115"/>
      <c r="BG3785" s="115"/>
      <c r="BH3785" s="115"/>
      <c r="BI3785" s="115"/>
      <c r="BJ3785" s="115"/>
      <c r="BK3785" s="115"/>
      <c r="BL3785" s="115"/>
      <c r="BM3785" s="115"/>
      <c r="BN3785" s="115"/>
      <c r="BO3785" s="115"/>
      <c r="BP3785" s="115"/>
      <c r="BQ3785" s="115"/>
      <c r="BR3785" s="115"/>
      <c r="BS3785" s="115"/>
      <c r="BT3785" s="115"/>
      <c r="BU3785" s="115"/>
      <c r="BV3785" s="115"/>
      <c r="BW3785" s="115"/>
      <c r="BX3785" s="115"/>
      <c r="BY3785" s="115"/>
      <c r="BZ3785" s="115"/>
      <c r="CA3785" s="115"/>
      <c r="CB3785" s="115"/>
      <c r="CC3785" s="115"/>
      <c r="CD3785" s="115"/>
      <c r="CE3785" s="115"/>
      <c r="CF3785" s="115"/>
      <c r="CG3785" s="115"/>
      <c r="CH3785" s="115"/>
      <c r="CI3785" s="115"/>
      <c r="CJ3785" s="115"/>
      <c r="CK3785" s="115"/>
      <c r="CL3785" s="115"/>
      <c r="CM3785" s="115"/>
      <c r="CN3785" s="115"/>
      <c r="CO3785" s="115"/>
      <c r="CP3785" s="115"/>
      <c r="CQ3785" s="115"/>
      <c r="CR3785" s="115"/>
      <c r="CS3785" s="115"/>
      <c r="CT3785" s="115"/>
      <c r="CU3785" s="115"/>
      <c r="CV3785" s="115"/>
      <c r="CW3785" s="115"/>
      <c r="CX3785" s="115"/>
      <c r="CY3785" s="115"/>
      <c r="CZ3785" s="115"/>
      <c r="DA3785" s="115"/>
      <c r="DB3785" s="115"/>
      <c r="DC3785" s="115"/>
      <c r="DD3785" s="115"/>
      <c r="DE3785" s="115"/>
      <c r="DF3785" s="115"/>
      <c r="DG3785" s="115"/>
    </row>
    <row r="3786" spans="55:111" hidden="1">
      <c r="BC3786" s="115"/>
      <c r="BD3786" s="115"/>
      <c r="BE3786" s="115"/>
      <c r="BF3786" s="115"/>
      <c r="BG3786" s="115"/>
      <c r="BH3786" s="115"/>
      <c r="BI3786" s="115"/>
      <c r="BJ3786" s="115"/>
      <c r="BK3786" s="115"/>
      <c r="BL3786" s="115"/>
      <c r="BM3786" s="115"/>
      <c r="BN3786" s="115"/>
      <c r="BO3786" s="115"/>
      <c r="BP3786" s="115"/>
      <c r="BQ3786" s="115"/>
      <c r="BR3786" s="115"/>
      <c r="BS3786" s="115"/>
      <c r="BT3786" s="115"/>
      <c r="BU3786" s="115"/>
      <c r="BV3786" s="115"/>
      <c r="BW3786" s="115"/>
      <c r="BX3786" s="115"/>
      <c r="BY3786" s="115"/>
      <c r="BZ3786" s="115"/>
      <c r="CA3786" s="115"/>
      <c r="CB3786" s="115"/>
      <c r="CC3786" s="115"/>
      <c r="CD3786" s="115"/>
      <c r="CE3786" s="115"/>
      <c r="CF3786" s="115"/>
      <c r="CG3786" s="115"/>
      <c r="CH3786" s="115"/>
      <c r="CI3786" s="115"/>
      <c r="CJ3786" s="115"/>
      <c r="CK3786" s="115"/>
      <c r="CL3786" s="115"/>
      <c r="CM3786" s="115"/>
      <c r="CN3786" s="115"/>
      <c r="CO3786" s="115"/>
      <c r="CP3786" s="115"/>
      <c r="CQ3786" s="115"/>
      <c r="CR3786" s="115"/>
      <c r="CS3786" s="115"/>
      <c r="CT3786" s="115"/>
      <c r="CU3786" s="115"/>
      <c r="CV3786" s="115"/>
      <c r="CW3786" s="115"/>
      <c r="CX3786" s="115"/>
      <c r="CY3786" s="115"/>
      <c r="CZ3786" s="115"/>
      <c r="DA3786" s="115"/>
      <c r="DB3786" s="115"/>
      <c r="DC3786" s="115"/>
      <c r="DD3786" s="115"/>
      <c r="DE3786" s="115"/>
      <c r="DF3786" s="115"/>
      <c r="DG3786" s="115"/>
    </row>
    <row r="3787" spans="55:111" hidden="1">
      <c r="BC3787" s="115"/>
      <c r="BD3787" s="115"/>
      <c r="BE3787" s="115"/>
      <c r="BF3787" s="115"/>
      <c r="BG3787" s="115"/>
      <c r="BH3787" s="115"/>
      <c r="BI3787" s="115"/>
      <c r="BJ3787" s="115"/>
      <c r="BK3787" s="115"/>
      <c r="BL3787" s="115"/>
      <c r="BM3787" s="115"/>
      <c r="BN3787" s="115"/>
      <c r="BO3787" s="115"/>
      <c r="BP3787" s="115"/>
      <c r="BQ3787" s="115"/>
      <c r="BR3787" s="115"/>
      <c r="BS3787" s="115"/>
      <c r="BT3787" s="115"/>
      <c r="BU3787" s="115"/>
      <c r="BV3787" s="115"/>
      <c r="BW3787" s="115"/>
      <c r="BX3787" s="115"/>
      <c r="BY3787" s="115"/>
      <c r="BZ3787" s="115"/>
      <c r="CA3787" s="115"/>
      <c r="CB3787" s="115"/>
      <c r="CC3787" s="115"/>
      <c r="CD3787" s="115"/>
      <c r="CE3787" s="115"/>
      <c r="CF3787" s="115"/>
      <c r="CG3787" s="115"/>
      <c r="CH3787" s="115"/>
      <c r="CI3787" s="115"/>
      <c r="CJ3787" s="115"/>
      <c r="CK3787" s="115"/>
      <c r="CL3787" s="115"/>
      <c r="CM3787" s="115"/>
      <c r="CN3787" s="115"/>
      <c r="CO3787" s="115"/>
      <c r="CP3787" s="115"/>
      <c r="CQ3787" s="115"/>
      <c r="CR3787" s="115"/>
      <c r="CS3787" s="115"/>
      <c r="CT3787" s="115"/>
      <c r="CU3787" s="115"/>
      <c r="CV3787" s="115"/>
      <c r="CW3787" s="115"/>
      <c r="CX3787" s="115"/>
      <c r="CY3787" s="115"/>
      <c r="CZ3787" s="115"/>
      <c r="DA3787" s="115"/>
      <c r="DB3787" s="115"/>
      <c r="DC3787" s="115"/>
      <c r="DD3787" s="115"/>
      <c r="DE3787" s="115"/>
      <c r="DF3787" s="115"/>
      <c r="DG3787" s="115"/>
    </row>
    <row r="3788" spans="55:111" hidden="1">
      <c r="BC3788" s="115"/>
      <c r="BD3788" s="115"/>
      <c r="BE3788" s="115"/>
      <c r="BF3788" s="115"/>
      <c r="BG3788" s="115"/>
      <c r="BH3788" s="115"/>
      <c r="BI3788" s="115"/>
      <c r="BJ3788" s="115"/>
      <c r="BK3788" s="115"/>
      <c r="BL3788" s="115"/>
      <c r="BM3788" s="115"/>
      <c r="BN3788" s="115"/>
      <c r="BO3788" s="115"/>
      <c r="BP3788" s="115"/>
      <c r="BQ3788" s="115"/>
      <c r="BR3788" s="115"/>
      <c r="BS3788" s="115"/>
      <c r="BT3788" s="115"/>
      <c r="BU3788" s="115"/>
      <c r="BV3788" s="115"/>
      <c r="BW3788" s="115"/>
      <c r="BX3788" s="115"/>
      <c r="BY3788" s="115"/>
      <c r="BZ3788" s="115"/>
      <c r="CA3788" s="115"/>
      <c r="CB3788" s="115"/>
      <c r="CC3788" s="115"/>
      <c r="CD3788" s="115"/>
      <c r="CE3788" s="115"/>
      <c r="CF3788" s="115"/>
      <c r="CG3788" s="115"/>
      <c r="CH3788" s="115"/>
      <c r="CI3788" s="115"/>
      <c r="CJ3788" s="115"/>
      <c r="CK3788" s="115"/>
      <c r="CL3788" s="115"/>
      <c r="CM3788" s="115"/>
      <c r="CN3788" s="115"/>
      <c r="CO3788" s="115"/>
      <c r="CP3788" s="115"/>
      <c r="CQ3788" s="115"/>
      <c r="CR3788" s="115"/>
      <c r="CS3788" s="115"/>
      <c r="CT3788" s="115"/>
      <c r="CU3788" s="115"/>
      <c r="CV3788" s="115"/>
      <c r="CW3788" s="115"/>
      <c r="CX3788" s="115"/>
      <c r="CY3788" s="115"/>
      <c r="CZ3788" s="115"/>
      <c r="DA3788" s="115"/>
      <c r="DB3788" s="115"/>
      <c r="DC3788" s="115"/>
      <c r="DD3788" s="115"/>
      <c r="DE3788" s="115"/>
      <c r="DF3788" s="115"/>
      <c r="DG3788" s="115"/>
    </row>
    <row r="3789" spans="55:111" hidden="1">
      <c r="BC3789" s="115"/>
      <c r="BD3789" s="115"/>
      <c r="BE3789" s="115"/>
      <c r="BF3789" s="115"/>
      <c r="BG3789" s="115"/>
      <c r="BH3789" s="115"/>
      <c r="BI3789" s="115"/>
      <c r="BJ3789" s="115"/>
      <c r="BK3789" s="115"/>
      <c r="BL3789" s="115"/>
      <c r="BM3789" s="115"/>
      <c r="BN3789" s="115"/>
      <c r="BO3789" s="115"/>
      <c r="BP3789" s="115"/>
      <c r="BQ3789" s="115"/>
      <c r="BR3789" s="115"/>
      <c r="BS3789" s="115"/>
      <c r="BT3789" s="115"/>
      <c r="BU3789" s="115"/>
      <c r="BV3789" s="115"/>
      <c r="BW3789" s="115"/>
      <c r="BX3789" s="115"/>
      <c r="BY3789" s="115"/>
      <c r="BZ3789" s="115"/>
      <c r="CA3789" s="115"/>
      <c r="CB3789" s="115"/>
      <c r="CC3789" s="115"/>
      <c r="CD3789" s="115"/>
      <c r="CE3789" s="115"/>
      <c r="CF3789" s="115"/>
      <c r="CG3789" s="115"/>
      <c r="CH3789" s="115"/>
      <c r="CI3789" s="115"/>
      <c r="CJ3789" s="115"/>
      <c r="CK3789" s="115"/>
      <c r="CL3789" s="115"/>
      <c r="CM3789" s="115"/>
      <c r="CN3789" s="115"/>
      <c r="CO3789" s="115"/>
      <c r="CP3789" s="115"/>
      <c r="CQ3789" s="115"/>
      <c r="CR3789" s="115"/>
      <c r="CS3789" s="115"/>
      <c r="CT3789" s="115"/>
      <c r="CU3789" s="115"/>
      <c r="CV3789" s="115"/>
      <c r="CW3789" s="115"/>
      <c r="CX3789" s="115"/>
      <c r="CY3789" s="115"/>
      <c r="CZ3789" s="115"/>
      <c r="DA3789" s="115"/>
      <c r="DB3789" s="115"/>
      <c r="DC3789" s="115"/>
      <c r="DD3789" s="115"/>
      <c r="DE3789" s="115"/>
      <c r="DF3789" s="115"/>
      <c r="DG3789" s="115"/>
    </row>
    <row r="3790" spans="55:111" hidden="1">
      <c r="BC3790" s="115"/>
      <c r="BD3790" s="115"/>
      <c r="BE3790" s="115"/>
      <c r="BF3790" s="115"/>
      <c r="BG3790" s="115"/>
      <c r="BH3790" s="115"/>
      <c r="BI3790" s="115"/>
      <c r="BJ3790" s="115"/>
      <c r="BK3790" s="115"/>
      <c r="BL3790" s="115"/>
      <c r="BM3790" s="115"/>
      <c r="BN3790" s="115"/>
      <c r="BO3790" s="115"/>
      <c r="BP3790" s="115"/>
      <c r="BQ3790" s="115"/>
      <c r="BR3790" s="115"/>
      <c r="BS3790" s="115"/>
      <c r="BT3790" s="115"/>
      <c r="BU3790" s="115"/>
      <c r="BV3790" s="115"/>
      <c r="BW3790" s="115"/>
      <c r="BX3790" s="115"/>
      <c r="BY3790" s="115"/>
      <c r="BZ3790" s="115"/>
      <c r="CA3790" s="115"/>
      <c r="CB3790" s="115"/>
      <c r="CC3790" s="115"/>
      <c r="CD3790" s="115"/>
      <c r="CE3790" s="115"/>
      <c r="CF3790" s="115"/>
      <c r="CG3790" s="115"/>
      <c r="CH3790" s="115"/>
      <c r="CI3790" s="115"/>
      <c r="CJ3790" s="115"/>
      <c r="CK3790" s="115"/>
      <c r="CL3790" s="115"/>
      <c r="CM3790" s="115"/>
      <c r="CN3790" s="115"/>
      <c r="CO3790" s="115"/>
      <c r="CP3790" s="115"/>
      <c r="CQ3790" s="115"/>
      <c r="CR3790" s="115"/>
      <c r="CS3790" s="115"/>
      <c r="CT3790" s="115"/>
      <c r="CU3790" s="115"/>
      <c r="CV3790" s="115"/>
      <c r="CW3790" s="115"/>
      <c r="CX3790" s="115"/>
      <c r="CY3790" s="115"/>
      <c r="CZ3790" s="115"/>
      <c r="DA3790" s="115"/>
      <c r="DB3790" s="115"/>
      <c r="DC3790" s="115"/>
      <c r="DD3790" s="115"/>
      <c r="DE3790" s="115"/>
      <c r="DF3790" s="115"/>
      <c r="DG3790" s="115"/>
    </row>
    <row r="3791" spans="55:111" hidden="1">
      <c r="BC3791" s="115"/>
      <c r="BD3791" s="115"/>
      <c r="BE3791" s="115"/>
      <c r="BF3791" s="115"/>
      <c r="BG3791" s="115"/>
      <c r="BH3791" s="115"/>
      <c r="BI3791" s="115"/>
      <c r="BJ3791" s="115"/>
      <c r="BK3791" s="115"/>
      <c r="BL3791" s="115"/>
      <c r="BM3791" s="115"/>
      <c r="BN3791" s="115"/>
      <c r="BO3791" s="115"/>
      <c r="BP3791" s="115"/>
      <c r="BQ3791" s="115"/>
      <c r="BR3791" s="115"/>
      <c r="BS3791" s="115"/>
      <c r="BT3791" s="115"/>
      <c r="BU3791" s="115"/>
      <c r="BV3791" s="115"/>
      <c r="BW3791" s="115"/>
      <c r="BX3791" s="115"/>
      <c r="BY3791" s="115"/>
      <c r="BZ3791" s="115"/>
      <c r="CA3791" s="115"/>
      <c r="CB3791" s="115"/>
      <c r="CC3791" s="115"/>
      <c r="CD3791" s="115"/>
      <c r="CE3791" s="115"/>
      <c r="CF3791" s="115"/>
      <c r="CG3791" s="115"/>
      <c r="CH3791" s="115"/>
      <c r="CI3791" s="115"/>
      <c r="CJ3791" s="115"/>
      <c r="CK3791" s="115"/>
      <c r="CL3791" s="115"/>
      <c r="CM3791" s="115"/>
      <c r="CN3791" s="115"/>
      <c r="CO3791" s="115"/>
      <c r="CP3791" s="115"/>
      <c r="CQ3791" s="115"/>
      <c r="CR3791" s="115"/>
      <c r="CS3791" s="115"/>
      <c r="CT3791" s="115"/>
      <c r="CU3791" s="115"/>
      <c r="CV3791" s="115"/>
      <c r="CW3791" s="115"/>
      <c r="CX3791" s="115"/>
      <c r="CY3791" s="115"/>
      <c r="CZ3791" s="115"/>
      <c r="DA3791" s="115"/>
      <c r="DB3791" s="115"/>
      <c r="DC3791" s="115"/>
      <c r="DD3791" s="115"/>
      <c r="DE3791" s="115"/>
      <c r="DF3791" s="115"/>
      <c r="DG3791" s="115"/>
    </row>
    <row r="3792" spans="55:111" hidden="1">
      <c r="BC3792" s="115"/>
      <c r="BD3792" s="115"/>
      <c r="BE3792" s="115"/>
      <c r="BF3792" s="115"/>
      <c r="BG3792" s="115"/>
      <c r="BH3792" s="115"/>
      <c r="BI3792" s="115"/>
      <c r="BJ3792" s="115"/>
      <c r="BK3792" s="115"/>
      <c r="BL3792" s="115"/>
      <c r="BM3792" s="115"/>
      <c r="BN3792" s="115"/>
      <c r="BO3792" s="115"/>
      <c r="BP3792" s="115"/>
      <c r="BQ3792" s="115"/>
      <c r="BR3792" s="115"/>
      <c r="BS3792" s="115"/>
      <c r="BT3792" s="115"/>
      <c r="BU3792" s="115"/>
      <c r="BV3792" s="115"/>
      <c r="BW3792" s="115"/>
      <c r="BX3792" s="115"/>
      <c r="BY3792" s="115"/>
      <c r="BZ3792" s="115"/>
      <c r="CA3792" s="115"/>
      <c r="CB3792" s="115"/>
      <c r="CC3792" s="115"/>
      <c r="CD3792" s="115"/>
      <c r="CE3792" s="115"/>
      <c r="CF3792" s="115"/>
      <c r="CG3792" s="115"/>
      <c r="CH3792" s="115"/>
      <c r="CI3792" s="115"/>
      <c r="CJ3792" s="115"/>
      <c r="CK3792" s="115"/>
      <c r="CL3792" s="115"/>
      <c r="CM3792" s="115"/>
      <c r="CN3792" s="115"/>
      <c r="CO3792" s="115"/>
      <c r="CP3792" s="115"/>
      <c r="CQ3792" s="115"/>
      <c r="CR3792" s="115"/>
      <c r="CS3792" s="115"/>
      <c r="CT3792" s="115"/>
      <c r="CU3792" s="115"/>
      <c r="CV3792" s="115"/>
      <c r="CW3792" s="115"/>
      <c r="CX3792" s="115"/>
      <c r="CY3792" s="115"/>
      <c r="CZ3792" s="115"/>
      <c r="DA3792" s="115"/>
      <c r="DB3792" s="115"/>
      <c r="DC3792" s="115"/>
      <c r="DD3792" s="115"/>
      <c r="DE3792" s="115"/>
      <c r="DF3792" s="115"/>
      <c r="DG3792" s="115"/>
    </row>
    <row r="3793" spans="55:111" hidden="1">
      <c r="BC3793" s="115"/>
      <c r="BD3793" s="115"/>
      <c r="BE3793" s="115"/>
      <c r="BF3793" s="115"/>
      <c r="BG3793" s="115"/>
      <c r="BH3793" s="115"/>
      <c r="BI3793" s="115"/>
      <c r="BJ3793" s="115"/>
      <c r="BK3793" s="115"/>
      <c r="BL3793" s="115"/>
      <c r="BM3793" s="115"/>
      <c r="BN3793" s="115"/>
      <c r="BO3793" s="115"/>
      <c r="BP3793" s="115"/>
      <c r="BQ3793" s="115"/>
      <c r="BR3793" s="115"/>
      <c r="BS3793" s="115"/>
      <c r="BT3793" s="115"/>
      <c r="BU3793" s="115"/>
      <c r="BV3793" s="115"/>
      <c r="BW3793" s="115"/>
      <c r="BX3793" s="115"/>
      <c r="BY3793" s="115"/>
      <c r="BZ3793" s="115"/>
      <c r="CA3793" s="115"/>
      <c r="CB3793" s="115"/>
      <c r="CC3793" s="115"/>
      <c r="CD3793" s="115"/>
      <c r="CE3793" s="115"/>
      <c r="CF3793" s="115"/>
      <c r="CG3793" s="115"/>
      <c r="CH3793" s="115"/>
      <c r="CI3793" s="115"/>
      <c r="CJ3793" s="115"/>
      <c r="CK3793" s="115"/>
      <c r="CL3793" s="115"/>
      <c r="CM3793" s="115"/>
      <c r="CN3793" s="115"/>
      <c r="CO3793" s="115"/>
      <c r="CP3793" s="115"/>
      <c r="CQ3793" s="115"/>
      <c r="CR3793" s="115"/>
      <c r="CS3793" s="115"/>
      <c r="CT3793" s="115"/>
      <c r="CU3793" s="115"/>
      <c r="CV3793" s="115"/>
      <c r="CW3793" s="115"/>
      <c r="CX3793" s="115"/>
      <c r="CY3793" s="115"/>
      <c r="CZ3793" s="115"/>
      <c r="DA3793" s="115"/>
      <c r="DB3793" s="115"/>
      <c r="DC3793" s="115"/>
      <c r="DD3793" s="115"/>
      <c r="DE3793" s="115"/>
      <c r="DF3793" s="115"/>
      <c r="DG3793" s="115"/>
    </row>
    <row r="3794" spans="55:111" hidden="1">
      <c r="BC3794" s="115"/>
      <c r="BD3794" s="115"/>
      <c r="BE3794" s="115"/>
      <c r="BF3794" s="115"/>
      <c r="BG3794" s="115"/>
      <c r="BH3794" s="115"/>
      <c r="BI3794" s="115"/>
      <c r="BJ3794" s="115"/>
      <c r="BK3794" s="115"/>
      <c r="BL3794" s="115"/>
      <c r="BM3794" s="115"/>
      <c r="BN3794" s="115"/>
      <c r="BO3794" s="115"/>
      <c r="BP3794" s="115"/>
      <c r="BQ3794" s="115"/>
      <c r="BR3794" s="115"/>
      <c r="BS3794" s="115"/>
      <c r="BT3794" s="115"/>
      <c r="BU3794" s="115"/>
      <c r="BV3794" s="115"/>
      <c r="BW3794" s="115"/>
      <c r="BX3794" s="115"/>
      <c r="BY3794" s="115"/>
      <c r="BZ3794" s="115"/>
      <c r="CA3794" s="115"/>
      <c r="CB3794" s="115"/>
      <c r="CC3794" s="115"/>
      <c r="CD3794" s="115"/>
      <c r="CE3794" s="115"/>
      <c r="CF3794" s="115"/>
      <c r="CG3794" s="115"/>
      <c r="CH3794" s="115"/>
      <c r="CI3794" s="115"/>
      <c r="CJ3794" s="115"/>
      <c r="CK3794" s="115"/>
      <c r="CL3794" s="115"/>
      <c r="CM3794" s="115"/>
      <c r="CN3794" s="115"/>
      <c r="CO3794" s="115"/>
      <c r="CP3794" s="115"/>
      <c r="CQ3794" s="115"/>
      <c r="CR3794" s="115"/>
      <c r="CS3794" s="115"/>
      <c r="CT3794" s="115"/>
      <c r="CU3794" s="115"/>
      <c r="CV3794" s="115"/>
      <c r="CW3794" s="115"/>
      <c r="CX3794" s="115"/>
      <c r="CY3794" s="115"/>
      <c r="CZ3794" s="115"/>
      <c r="DA3794" s="115"/>
      <c r="DB3794" s="115"/>
      <c r="DC3794" s="115"/>
      <c r="DD3794" s="115"/>
      <c r="DE3794" s="115"/>
      <c r="DF3794" s="115"/>
      <c r="DG3794" s="115"/>
    </row>
    <row r="3795" spans="55:111" hidden="1">
      <c r="BC3795" s="115"/>
      <c r="BD3795" s="115"/>
      <c r="BE3795" s="115"/>
      <c r="BF3795" s="115"/>
      <c r="BG3795" s="115"/>
      <c r="BH3795" s="115"/>
      <c r="BI3795" s="115"/>
      <c r="BJ3795" s="115"/>
      <c r="BK3795" s="115"/>
      <c r="BL3795" s="115"/>
      <c r="BM3795" s="115"/>
      <c r="BN3795" s="115"/>
      <c r="BO3795" s="115"/>
      <c r="BP3795" s="115"/>
      <c r="BQ3795" s="115"/>
      <c r="BR3795" s="115"/>
      <c r="BS3795" s="115"/>
      <c r="BT3795" s="115"/>
      <c r="BU3795" s="115"/>
      <c r="BV3795" s="115"/>
      <c r="BW3795" s="115"/>
      <c r="BX3795" s="115"/>
      <c r="BY3795" s="115"/>
      <c r="BZ3795" s="115"/>
      <c r="CA3795" s="115"/>
      <c r="CB3795" s="115"/>
      <c r="CC3795" s="115"/>
      <c r="CD3795" s="115"/>
      <c r="CE3795" s="115"/>
      <c r="CF3795" s="115"/>
      <c r="CG3795" s="115"/>
      <c r="CH3795" s="115"/>
      <c r="CI3795" s="115"/>
      <c r="CJ3795" s="115"/>
      <c r="CK3795" s="115"/>
      <c r="CL3795" s="115"/>
      <c r="CM3795" s="115"/>
      <c r="CN3795" s="115"/>
      <c r="CO3795" s="115"/>
      <c r="CP3795" s="115"/>
      <c r="CQ3795" s="115"/>
      <c r="CR3795" s="115"/>
      <c r="CS3795" s="115"/>
      <c r="CT3795" s="115"/>
      <c r="CU3795" s="115"/>
      <c r="CV3795" s="115"/>
      <c r="CW3795" s="115"/>
      <c r="CX3795" s="115"/>
      <c r="CY3795" s="115"/>
      <c r="CZ3795" s="115"/>
      <c r="DA3795" s="115"/>
      <c r="DB3795" s="115"/>
      <c r="DC3795" s="115"/>
      <c r="DD3795" s="115"/>
      <c r="DE3795" s="115"/>
      <c r="DF3795" s="115"/>
      <c r="DG3795" s="115"/>
    </row>
    <row r="3796" spans="55:111" hidden="1">
      <c r="BC3796" s="115"/>
      <c r="BD3796" s="115"/>
      <c r="BE3796" s="115"/>
      <c r="BF3796" s="115"/>
      <c r="BG3796" s="115"/>
      <c r="BH3796" s="115"/>
      <c r="BI3796" s="115"/>
      <c r="BJ3796" s="115"/>
      <c r="BK3796" s="115"/>
      <c r="BL3796" s="115"/>
      <c r="BM3796" s="115"/>
      <c r="BN3796" s="115"/>
      <c r="BO3796" s="115"/>
      <c r="BP3796" s="115"/>
      <c r="BQ3796" s="115"/>
      <c r="BR3796" s="115"/>
      <c r="BS3796" s="115"/>
      <c r="BT3796" s="115"/>
      <c r="BU3796" s="115"/>
      <c r="BV3796" s="115"/>
      <c r="BW3796" s="115"/>
      <c r="BX3796" s="115"/>
      <c r="BY3796" s="115"/>
      <c r="BZ3796" s="115"/>
      <c r="CA3796" s="115"/>
      <c r="CB3796" s="115"/>
      <c r="CC3796" s="115"/>
      <c r="CD3796" s="115"/>
      <c r="CE3796" s="115"/>
      <c r="CF3796" s="115"/>
      <c r="CG3796" s="115"/>
      <c r="CH3796" s="115"/>
      <c r="CI3796" s="115"/>
      <c r="CJ3796" s="115"/>
      <c r="CK3796" s="115"/>
      <c r="CL3796" s="115"/>
      <c r="CM3796" s="115"/>
      <c r="CN3796" s="115"/>
      <c r="CO3796" s="115"/>
      <c r="CP3796" s="115"/>
      <c r="CQ3796" s="115"/>
      <c r="CR3796" s="115"/>
      <c r="CS3796" s="115"/>
      <c r="CT3796" s="115"/>
      <c r="CU3796" s="115"/>
      <c r="CV3796" s="115"/>
      <c r="CW3796" s="115"/>
      <c r="CX3796" s="115"/>
      <c r="CY3796" s="115"/>
      <c r="CZ3796" s="115"/>
      <c r="DA3796" s="115"/>
      <c r="DB3796" s="115"/>
      <c r="DC3796" s="115"/>
      <c r="DD3796" s="115"/>
      <c r="DE3796" s="115"/>
      <c r="DF3796" s="115"/>
      <c r="DG3796" s="115"/>
    </row>
    <row r="3797" spans="55:111" hidden="1">
      <c r="BC3797" s="115"/>
      <c r="BD3797" s="115"/>
      <c r="BE3797" s="115"/>
      <c r="BF3797" s="115"/>
      <c r="BG3797" s="115"/>
      <c r="BH3797" s="115"/>
      <c r="BI3797" s="115"/>
      <c r="BJ3797" s="115"/>
      <c r="BK3797" s="115"/>
      <c r="BL3797" s="115"/>
      <c r="BM3797" s="115"/>
      <c r="BN3797" s="115"/>
      <c r="BO3797" s="115"/>
      <c r="BP3797" s="115"/>
      <c r="BQ3797" s="115"/>
      <c r="BR3797" s="115"/>
      <c r="BS3797" s="115"/>
      <c r="BT3797" s="115"/>
      <c r="BU3797" s="115"/>
      <c r="BV3797" s="115"/>
      <c r="BW3797" s="115"/>
      <c r="BX3797" s="115"/>
      <c r="BY3797" s="115"/>
      <c r="BZ3797" s="115"/>
      <c r="CA3797" s="115"/>
      <c r="CB3797" s="115"/>
      <c r="CC3797" s="115"/>
      <c r="CD3797" s="115"/>
      <c r="CE3797" s="115"/>
      <c r="CF3797" s="115"/>
      <c r="CG3797" s="115"/>
      <c r="CH3797" s="115"/>
      <c r="CI3797" s="115"/>
      <c r="CJ3797" s="115"/>
      <c r="CK3797" s="115"/>
      <c r="CL3797" s="115"/>
      <c r="CM3797" s="115"/>
      <c r="CN3797" s="115"/>
      <c r="CO3797" s="115"/>
      <c r="CP3797" s="115"/>
      <c r="CQ3797" s="115"/>
      <c r="CR3797" s="115"/>
      <c r="CS3797" s="115"/>
      <c r="CT3797" s="115"/>
      <c r="CU3797" s="115"/>
      <c r="CV3797" s="115"/>
      <c r="CW3797" s="115"/>
      <c r="CX3797" s="115"/>
      <c r="CY3797" s="115"/>
      <c r="CZ3797" s="115"/>
      <c r="DA3797" s="115"/>
      <c r="DB3797" s="115"/>
      <c r="DC3797" s="115"/>
      <c r="DD3797" s="115"/>
      <c r="DE3797" s="115"/>
      <c r="DF3797" s="115"/>
      <c r="DG3797" s="115"/>
    </row>
  </sheetData>
  <sheetProtection algorithmName="SHA-512" hashValue="OfUeC+MDvWsgCTbLEOEPFK4aioFqE5DMUUNFah6DYWZerNZcD8yLG9l/VouVty/Me+OrJFrAUGuFoLHf9fYKgw==" saltValue="Kr2SZpnt1t5G2DCpiKwcVg==" spinCount="100000" sheet="1" objects="1" scenarios="1"/>
  <mergeCells count="1626">
    <mergeCell ref="AT1234:BA1234"/>
    <mergeCell ref="AT794:BA794"/>
    <mergeCell ref="AT834:BA834"/>
    <mergeCell ref="AT874:BA874"/>
    <mergeCell ref="AT914:BA914"/>
    <mergeCell ref="AT954:BA954"/>
    <mergeCell ref="AT994:BA994"/>
    <mergeCell ref="AT1034:BA1034"/>
    <mergeCell ref="AT1074:BA1074"/>
    <mergeCell ref="AT1114:BA1114"/>
    <mergeCell ref="AT434:BA434"/>
    <mergeCell ref="AT474:BA474"/>
    <mergeCell ref="AT514:BA514"/>
    <mergeCell ref="AT554:BA554"/>
    <mergeCell ref="AT594:BA594"/>
    <mergeCell ref="AT634:BA634"/>
    <mergeCell ref="AT674:BA674"/>
    <mergeCell ref="AT714:BA714"/>
    <mergeCell ref="AT754:BA754"/>
    <mergeCell ref="AT154:BA154"/>
    <mergeCell ref="AT194:BA194"/>
    <mergeCell ref="AT234:BA234"/>
    <mergeCell ref="AT274:BA274"/>
    <mergeCell ref="AT314:BA314"/>
    <mergeCell ref="AT354:BA354"/>
    <mergeCell ref="AT394:BA394"/>
    <mergeCell ref="AO28:BA28"/>
    <mergeCell ref="BH20:DF22"/>
    <mergeCell ref="BH23:DF24"/>
    <mergeCell ref="BH26:DF36"/>
    <mergeCell ref="AT74:BA74"/>
    <mergeCell ref="B27:AE27"/>
    <mergeCell ref="B26:AE26"/>
    <mergeCell ref="B25:AE25"/>
    <mergeCell ref="B24:AE24"/>
    <mergeCell ref="B23:AE23"/>
    <mergeCell ref="B22:AE22"/>
    <mergeCell ref="B28:AE28"/>
    <mergeCell ref="AG22:AM22"/>
    <mergeCell ref="AG23:AM23"/>
    <mergeCell ref="AG24:AM24"/>
    <mergeCell ref="AG25:AM25"/>
    <mergeCell ref="AG26:AM26"/>
    <mergeCell ref="AG27:AM27"/>
    <mergeCell ref="AG28:AM28"/>
    <mergeCell ref="AO23:BA23"/>
    <mergeCell ref="AO22:BA22"/>
    <mergeCell ref="AO24:BA24"/>
    <mergeCell ref="AO25:BA25"/>
    <mergeCell ref="AO26:BA26"/>
    <mergeCell ref="AO27:BA27"/>
    <mergeCell ref="G1304:H1304"/>
    <mergeCell ref="I1305:J1306"/>
    <mergeCell ref="K1305:L1306"/>
    <mergeCell ref="M1305:N1306"/>
    <mergeCell ref="O1305:P1306"/>
    <mergeCell ref="Q1305:R1306"/>
    <mergeCell ref="S1305:T1306"/>
    <mergeCell ref="U1305:V1306"/>
    <mergeCell ref="X1305:AB1306"/>
    <mergeCell ref="G1295:H1295"/>
    <mergeCell ref="G1296:H1296"/>
    <mergeCell ref="G1297:H1297"/>
    <mergeCell ref="G1298:H1298"/>
    <mergeCell ref="G1299:H1299"/>
    <mergeCell ref="G1300:H1300"/>
    <mergeCell ref="G1301:H1301"/>
    <mergeCell ref="G1302:H1302"/>
    <mergeCell ref="G1303:H1303"/>
    <mergeCell ref="I1304:J1304"/>
    <mergeCell ref="K1304:L1304"/>
    <mergeCell ref="M1304:N1304"/>
    <mergeCell ref="O1304:P1304"/>
    <mergeCell ref="Q1304:R1304"/>
    <mergeCell ref="S1304:T1304"/>
    <mergeCell ref="U1304:V1304"/>
    <mergeCell ref="I1302:J1302"/>
    <mergeCell ref="K1302:L1302"/>
    <mergeCell ref="M1302:N1302"/>
    <mergeCell ref="O1302:P1302"/>
    <mergeCell ref="Q1302:R1302"/>
    <mergeCell ref="S1302:T1302"/>
    <mergeCell ref="U1302:V1302"/>
    <mergeCell ref="E1301:F1301"/>
    <mergeCell ref="E1302:F1302"/>
    <mergeCell ref="E1303:F1303"/>
    <mergeCell ref="E1304:F1304"/>
    <mergeCell ref="G1275:H1275"/>
    <mergeCell ref="G1276:H1276"/>
    <mergeCell ref="G1277:H1277"/>
    <mergeCell ref="G1278:H1278"/>
    <mergeCell ref="G1279:H1279"/>
    <mergeCell ref="G1280:H1280"/>
    <mergeCell ref="G1281:H1281"/>
    <mergeCell ref="G1282:H1282"/>
    <mergeCell ref="G1283:H1283"/>
    <mergeCell ref="G1284:H1284"/>
    <mergeCell ref="G1285:H1285"/>
    <mergeCell ref="G1286:H1286"/>
    <mergeCell ref="G1287:H1287"/>
    <mergeCell ref="G1288:H1288"/>
    <mergeCell ref="G1289:H1289"/>
    <mergeCell ref="G1290:H1290"/>
    <mergeCell ref="G1291:H1291"/>
    <mergeCell ref="G1292:H1292"/>
    <mergeCell ref="G1293:H1293"/>
    <mergeCell ref="G1294:H1294"/>
    <mergeCell ref="E1292:F1292"/>
    <mergeCell ref="E1293:F1293"/>
    <mergeCell ref="E1294:F1294"/>
    <mergeCell ref="E1295:F1295"/>
    <mergeCell ref="E1296:F1296"/>
    <mergeCell ref="E1297:F1297"/>
    <mergeCell ref="E1298:F1298"/>
    <mergeCell ref="E1299:F1299"/>
    <mergeCell ref="E1300:F1300"/>
    <mergeCell ref="E1283:F1283"/>
    <mergeCell ref="E1284:F1284"/>
    <mergeCell ref="E1285:F1285"/>
    <mergeCell ref="E1286:F1286"/>
    <mergeCell ref="E1287:F1287"/>
    <mergeCell ref="E1288:F1288"/>
    <mergeCell ref="E1289:F1289"/>
    <mergeCell ref="E1290:F1290"/>
    <mergeCell ref="E1291:F1291"/>
    <mergeCell ref="E1275:F1275"/>
    <mergeCell ref="E1276:F1276"/>
    <mergeCell ref="E1277:F1277"/>
    <mergeCell ref="E1278:F1278"/>
    <mergeCell ref="E1279:F1279"/>
    <mergeCell ref="E1280:F1280"/>
    <mergeCell ref="E1281:F1281"/>
    <mergeCell ref="E1282:F1282"/>
    <mergeCell ref="I1303:J1303"/>
    <mergeCell ref="K1303:L1303"/>
    <mergeCell ref="M1303:N1303"/>
    <mergeCell ref="O1303:P1303"/>
    <mergeCell ref="Q1303:R1303"/>
    <mergeCell ref="S1303:T1303"/>
    <mergeCell ref="U1303:V1303"/>
    <mergeCell ref="I1300:J1300"/>
    <mergeCell ref="K1300:L1300"/>
    <mergeCell ref="M1300:N1300"/>
    <mergeCell ref="O1300:P1300"/>
    <mergeCell ref="Q1300:R1300"/>
    <mergeCell ref="S1300:T1300"/>
    <mergeCell ref="U1300:V1300"/>
    <mergeCell ref="I1301:J1301"/>
    <mergeCell ref="K1301:L1301"/>
    <mergeCell ref="M1301:N1301"/>
    <mergeCell ref="O1301:P1301"/>
    <mergeCell ref="Q1301:R1301"/>
    <mergeCell ref="S1301:T1301"/>
    <mergeCell ref="U1301:V1301"/>
    <mergeCell ref="I1298:J1298"/>
    <mergeCell ref="K1298:L1298"/>
    <mergeCell ref="M1298:N1298"/>
    <mergeCell ref="O1298:P1298"/>
    <mergeCell ref="Q1298:R1298"/>
    <mergeCell ref="S1298:T1298"/>
    <mergeCell ref="U1298:V1298"/>
    <mergeCell ref="I1299:J1299"/>
    <mergeCell ref="K1299:L1299"/>
    <mergeCell ref="M1299:N1299"/>
    <mergeCell ref="O1299:P1299"/>
    <mergeCell ref="Q1299:R1299"/>
    <mergeCell ref="S1299:T1299"/>
    <mergeCell ref="U1299:V1299"/>
    <mergeCell ref="I1296:J1296"/>
    <mergeCell ref="K1296:L1296"/>
    <mergeCell ref="M1296:N1296"/>
    <mergeCell ref="O1296:P1296"/>
    <mergeCell ref="Q1296:R1296"/>
    <mergeCell ref="S1296:T1296"/>
    <mergeCell ref="U1296:V1296"/>
    <mergeCell ref="I1297:J1297"/>
    <mergeCell ref="K1297:L1297"/>
    <mergeCell ref="M1297:N1297"/>
    <mergeCell ref="O1297:P1297"/>
    <mergeCell ref="Q1297:R1297"/>
    <mergeCell ref="S1297:T1297"/>
    <mergeCell ref="U1297:V1297"/>
    <mergeCell ref="I1294:J1294"/>
    <mergeCell ref="K1294:L1294"/>
    <mergeCell ref="M1294:N1294"/>
    <mergeCell ref="O1294:P1294"/>
    <mergeCell ref="Q1294:R1294"/>
    <mergeCell ref="S1294:T1294"/>
    <mergeCell ref="U1294:V1294"/>
    <mergeCell ref="I1295:J1295"/>
    <mergeCell ref="K1295:L1295"/>
    <mergeCell ref="M1295:N1295"/>
    <mergeCell ref="O1295:P1295"/>
    <mergeCell ref="Q1295:R1295"/>
    <mergeCell ref="S1295:T1295"/>
    <mergeCell ref="U1295:V1295"/>
    <mergeCell ref="I1292:J1292"/>
    <mergeCell ref="K1292:L1292"/>
    <mergeCell ref="M1292:N1292"/>
    <mergeCell ref="O1292:P1292"/>
    <mergeCell ref="Q1292:R1292"/>
    <mergeCell ref="S1292:T1292"/>
    <mergeCell ref="U1292:V1292"/>
    <mergeCell ref="I1293:J1293"/>
    <mergeCell ref="K1293:L1293"/>
    <mergeCell ref="M1293:N1293"/>
    <mergeCell ref="O1293:P1293"/>
    <mergeCell ref="Q1293:R1293"/>
    <mergeCell ref="S1293:T1293"/>
    <mergeCell ref="U1293:V1293"/>
    <mergeCell ref="I1290:J1290"/>
    <mergeCell ref="K1290:L1290"/>
    <mergeCell ref="M1290:N1290"/>
    <mergeCell ref="O1290:P1290"/>
    <mergeCell ref="Q1290:R1290"/>
    <mergeCell ref="S1290:T1290"/>
    <mergeCell ref="U1290:V1290"/>
    <mergeCell ref="I1291:J1291"/>
    <mergeCell ref="K1291:L1291"/>
    <mergeCell ref="M1291:N1291"/>
    <mergeCell ref="O1291:P1291"/>
    <mergeCell ref="Q1291:R1291"/>
    <mergeCell ref="S1291:T1291"/>
    <mergeCell ref="U1291:V1291"/>
    <mergeCell ref="I1288:J1288"/>
    <mergeCell ref="K1288:L1288"/>
    <mergeCell ref="M1288:N1288"/>
    <mergeCell ref="O1288:P1288"/>
    <mergeCell ref="Q1288:R1288"/>
    <mergeCell ref="S1288:T1288"/>
    <mergeCell ref="U1288:V1288"/>
    <mergeCell ref="I1289:J1289"/>
    <mergeCell ref="K1289:L1289"/>
    <mergeCell ref="M1289:N1289"/>
    <mergeCell ref="O1289:P1289"/>
    <mergeCell ref="Q1289:R1289"/>
    <mergeCell ref="S1289:T1289"/>
    <mergeCell ref="U1289:V1289"/>
    <mergeCell ref="I1286:J1286"/>
    <mergeCell ref="K1286:L1286"/>
    <mergeCell ref="M1286:N1286"/>
    <mergeCell ref="O1286:P1286"/>
    <mergeCell ref="Q1286:R1286"/>
    <mergeCell ref="S1286:T1286"/>
    <mergeCell ref="U1286:V1286"/>
    <mergeCell ref="I1287:J1287"/>
    <mergeCell ref="K1287:L1287"/>
    <mergeCell ref="M1287:N1287"/>
    <mergeCell ref="O1287:P1287"/>
    <mergeCell ref="Q1287:R1287"/>
    <mergeCell ref="S1287:T1287"/>
    <mergeCell ref="U1287:V1287"/>
    <mergeCell ref="I1284:J1284"/>
    <mergeCell ref="K1284:L1284"/>
    <mergeCell ref="M1284:N1284"/>
    <mergeCell ref="O1284:P1284"/>
    <mergeCell ref="Q1284:R1284"/>
    <mergeCell ref="S1284:T1284"/>
    <mergeCell ref="U1284:V1284"/>
    <mergeCell ref="I1285:J1285"/>
    <mergeCell ref="K1285:L1285"/>
    <mergeCell ref="M1285:N1285"/>
    <mergeCell ref="O1285:P1285"/>
    <mergeCell ref="Q1285:R1285"/>
    <mergeCell ref="S1285:T1285"/>
    <mergeCell ref="U1285:V1285"/>
    <mergeCell ref="Q1282:R1282"/>
    <mergeCell ref="S1282:T1282"/>
    <mergeCell ref="U1282:V1282"/>
    <mergeCell ref="I1283:J1283"/>
    <mergeCell ref="K1283:L1283"/>
    <mergeCell ref="M1283:N1283"/>
    <mergeCell ref="O1283:P1283"/>
    <mergeCell ref="Q1283:R1283"/>
    <mergeCell ref="S1283:T1283"/>
    <mergeCell ref="U1283:V1283"/>
    <mergeCell ref="U1279:V1279"/>
    <mergeCell ref="I1280:J1280"/>
    <mergeCell ref="K1280:L1280"/>
    <mergeCell ref="M1280:N1280"/>
    <mergeCell ref="O1280:P1280"/>
    <mergeCell ref="Q1280:R1280"/>
    <mergeCell ref="S1280:T1280"/>
    <mergeCell ref="U1280:V1280"/>
    <mergeCell ref="I1281:J1281"/>
    <mergeCell ref="K1281:L1281"/>
    <mergeCell ref="M1281:N1281"/>
    <mergeCell ref="O1281:P1281"/>
    <mergeCell ref="Q1281:R1281"/>
    <mergeCell ref="S1281:T1281"/>
    <mergeCell ref="U1281:V1281"/>
    <mergeCell ref="U1276:V1276"/>
    <mergeCell ref="I1277:J1277"/>
    <mergeCell ref="K1277:L1277"/>
    <mergeCell ref="M1277:N1277"/>
    <mergeCell ref="O1277:P1277"/>
    <mergeCell ref="Q1277:R1277"/>
    <mergeCell ref="S1277:T1277"/>
    <mergeCell ref="U1277:V1277"/>
    <mergeCell ref="I1278:J1278"/>
    <mergeCell ref="K1278:L1278"/>
    <mergeCell ref="M1278:N1278"/>
    <mergeCell ref="O1278:P1278"/>
    <mergeCell ref="Q1278:R1278"/>
    <mergeCell ref="S1278:T1278"/>
    <mergeCell ref="U1278:V1278"/>
    <mergeCell ref="U1273:V1274"/>
    <mergeCell ref="I1275:J1275"/>
    <mergeCell ref="K1275:L1275"/>
    <mergeCell ref="M1275:N1275"/>
    <mergeCell ref="O1275:P1275"/>
    <mergeCell ref="Q1275:R1275"/>
    <mergeCell ref="S1275:T1275"/>
    <mergeCell ref="U1275:V1275"/>
    <mergeCell ref="I1276:J1276"/>
    <mergeCell ref="K1276:L1276"/>
    <mergeCell ref="B1302:C1302"/>
    <mergeCell ref="B1303:C1303"/>
    <mergeCell ref="B1304:C1304"/>
    <mergeCell ref="I1273:J1274"/>
    <mergeCell ref="K1273:L1274"/>
    <mergeCell ref="M1273:N1274"/>
    <mergeCell ref="O1273:P1274"/>
    <mergeCell ref="Q1273:R1274"/>
    <mergeCell ref="S1273:T1274"/>
    <mergeCell ref="M1276:N1276"/>
    <mergeCell ref="O1276:P1276"/>
    <mergeCell ref="Q1276:R1276"/>
    <mergeCell ref="S1276:T1276"/>
    <mergeCell ref="I1279:J1279"/>
    <mergeCell ref="K1279:L1279"/>
    <mergeCell ref="M1279:N1279"/>
    <mergeCell ref="O1279:P1279"/>
    <mergeCell ref="Q1279:R1279"/>
    <mergeCell ref="S1279:T1279"/>
    <mergeCell ref="I1282:J1282"/>
    <mergeCell ref="K1282:L1282"/>
    <mergeCell ref="M1282:N1282"/>
    <mergeCell ref="O1282:P1282"/>
    <mergeCell ref="B1293:C1293"/>
    <mergeCell ref="B1294:C1294"/>
    <mergeCell ref="B1295:C1295"/>
    <mergeCell ref="B1296:C1296"/>
    <mergeCell ref="B1297:C1297"/>
    <mergeCell ref="B1298:C1298"/>
    <mergeCell ref="B1299:C1299"/>
    <mergeCell ref="B1300:C1300"/>
    <mergeCell ref="B1301:C1301"/>
    <mergeCell ref="B1284:C1284"/>
    <mergeCell ref="B1285:C1285"/>
    <mergeCell ref="B1286:C1286"/>
    <mergeCell ref="B1287:C1287"/>
    <mergeCell ref="B1288:C1288"/>
    <mergeCell ref="B1289:C1289"/>
    <mergeCell ref="B1290:C1290"/>
    <mergeCell ref="B1291:C1291"/>
    <mergeCell ref="B1292:C1292"/>
    <mergeCell ref="B1275:C1275"/>
    <mergeCell ref="B1276:C1276"/>
    <mergeCell ref="B1277:C1277"/>
    <mergeCell ref="B1278:C1278"/>
    <mergeCell ref="B1279:C1279"/>
    <mergeCell ref="B1280:C1280"/>
    <mergeCell ref="B1281:C1281"/>
    <mergeCell ref="B1282:C1282"/>
    <mergeCell ref="B1283:C1283"/>
    <mergeCell ref="B1268:C1268"/>
    <mergeCell ref="E1268:AG1268"/>
    <mergeCell ref="AH1268:AK1268"/>
    <mergeCell ref="AL1268:AS1268"/>
    <mergeCell ref="AT1268:BA1268"/>
    <mergeCell ref="B1269:C1269"/>
    <mergeCell ref="E1269:AG1269"/>
    <mergeCell ref="AH1269:AK1269"/>
    <mergeCell ref="AL1269:AS1269"/>
    <mergeCell ref="AT1269:BA1269"/>
    <mergeCell ref="B1266:C1266"/>
    <mergeCell ref="E1266:AG1266"/>
    <mergeCell ref="AH1266:AK1266"/>
    <mergeCell ref="AL1266:AS1266"/>
    <mergeCell ref="AT1266:BA1266"/>
    <mergeCell ref="B1267:C1267"/>
    <mergeCell ref="E1267:AG1267"/>
    <mergeCell ref="AH1267:AK1267"/>
    <mergeCell ref="AL1267:AS1267"/>
    <mergeCell ref="AT1267:BA1267"/>
    <mergeCell ref="B1264:C1264"/>
    <mergeCell ref="E1264:AG1264"/>
    <mergeCell ref="AH1264:AK1264"/>
    <mergeCell ref="AL1264:AS1264"/>
    <mergeCell ref="AT1264:BA1264"/>
    <mergeCell ref="B1265:C1265"/>
    <mergeCell ref="E1265:AG1265"/>
    <mergeCell ref="AH1265:AK1265"/>
    <mergeCell ref="AL1265:AS1265"/>
    <mergeCell ref="AT1265:BA1265"/>
    <mergeCell ref="B1262:C1262"/>
    <mergeCell ref="E1262:AG1262"/>
    <mergeCell ref="AH1262:AK1262"/>
    <mergeCell ref="AL1262:AS1262"/>
    <mergeCell ref="AT1262:BA1262"/>
    <mergeCell ref="B1263:C1263"/>
    <mergeCell ref="E1263:AG1263"/>
    <mergeCell ref="AH1263:AK1263"/>
    <mergeCell ref="AL1263:AS1263"/>
    <mergeCell ref="AT1263:BA1263"/>
    <mergeCell ref="B1260:C1260"/>
    <mergeCell ref="E1260:AG1260"/>
    <mergeCell ref="AH1260:AK1260"/>
    <mergeCell ref="AL1260:AS1260"/>
    <mergeCell ref="AT1260:BA1260"/>
    <mergeCell ref="B1261:C1261"/>
    <mergeCell ref="E1261:AG1261"/>
    <mergeCell ref="AH1261:AK1261"/>
    <mergeCell ref="AL1261:AS1261"/>
    <mergeCell ref="AT1261:BA1261"/>
    <mergeCell ref="B1232:W1232"/>
    <mergeCell ref="X1232:AG1232"/>
    <mergeCell ref="AH1232:AK1232"/>
    <mergeCell ref="AL1232:AS1232"/>
    <mergeCell ref="AT1232:BA1232"/>
    <mergeCell ref="B1233:W1233"/>
    <mergeCell ref="X1233:AG1233"/>
    <mergeCell ref="AH1233:AK1233"/>
    <mergeCell ref="AL1233:AS1233"/>
    <mergeCell ref="AT1233:BA1233"/>
    <mergeCell ref="B1259:C1259"/>
    <mergeCell ref="AT1245:BA1245"/>
    <mergeCell ref="AT1246:BA1246"/>
    <mergeCell ref="AT1247:BA1247"/>
    <mergeCell ref="AT1248:BA1248"/>
    <mergeCell ref="AT1249:BA1249"/>
    <mergeCell ref="AT1250:BA1250"/>
    <mergeCell ref="AT1251:BA1251"/>
    <mergeCell ref="AT1252:BA1252"/>
    <mergeCell ref="AT1253:BA1253"/>
    <mergeCell ref="AT1254:BA1254"/>
    <mergeCell ref="B1254:C1254"/>
    <mergeCell ref="B1223:N1224"/>
    <mergeCell ref="O1223:BA1224"/>
    <mergeCell ref="O1226:U1227"/>
    <mergeCell ref="V1226:AE1227"/>
    <mergeCell ref="AG1226:AM1227"/>
    <mergeCell ref="AO1226:BA1227"/>
    <mergeCell ref="BH1228:DF1231"/>
    <mergeCell ref="B1229:W1230"/>
    <mergeCell ref="X1229:AG1230"/>
    <mergeCell ref="AH1229:AK1230"/>
    <mergeCell ref="AL1229:AS1230"/>
    <mergeCell ref="AT1229:BA1230"/>
    <mergeCell ref="B1231:W1231"/>
    <mergeCell ref="X1231:AG1231"/>
    <mergeCell ref="AH1231:AK1231"/>
    <mergeCell ref="AL1231:AS1231"/>
    <mergeCell ref="AT1231:BA1231"/>
    <mergeCell ref="B1196:M1197"/>
    <mergeCell ref="B1199:N1200"/>
    <mergeCell ref="O1199:BA1200"/>
    <mergeCell ref="B1202:N1203"/>
    <mergeCell ref="O1202:BA1205"/>
    <mergeCell ref="B1207:N1208"/>
    <mergeCell ref="O1207:BA1214"/>
    <mergeCell ref="B1216:N1217"/>
    <mergeCell ref="O1216:BA1221"/>
    <mergeCell ref="B1192:W1192"/>
    <mergeCell ref="X1192:AG1192"/>
    <mergeCell ref="AH1192:AK1192"/>
    <mergeCell ref="AL1192:AS1192"/>
    <mergeCell ref="AT1192:BA1192"/>
    <mergeCell ref="B1193:W1193"/>
    <mergeCell ref="X1193:AG1193"/>
    <mergeCell ref="AH1193:AK1193"/>
    <mergeCell ref="AL1193:AS1193"/>
    <mergeCell ref="AT1193:BA1193"/>
    <mergeCell ref="AT1194:BA1194"/>
    <mergeCell ref="B1183:N1184"/>
    <mergeCell ref="O1183:BA1184"/>
    <mergeCell ref="O1186:U1187"/>
    <mergeCell ref="V1186:AE1187"/>
    <mergeCell ref="AG1186:AM1187"/>
    <mergeCell ref="AO1186:BA1187"/>
    <mergeCell ref="BH1188:DF1191"/>
    <mergeCell ref="B1189:W1190"/>
    <mergeCell ref="X1189:AG1190"/>
    <mergeCell ref="AH1189:AK1190"/>
    <mergeCell ref="AL1189:AS1190"/>
    <mergeCell ref="AT1189:BA1190"/>
    <mergeCell ref="B1191:W1191"/>
    <mergeCell ref="X1191:AG1191"/>
    <mergeCell ref="AH1191:AK1191"/>
    <mergeCell ref="AL1191:AS1191"/>
    <mergeCell ref="AT1191:BA1191"/>
    <mergeCell ref="B1156:M1157"/>
    <mergeCell ref="B1159:N1160"/>
    <mergeCell ref="O1159:BA1160"/>
    <mergeCell ref="B1162:N1163"/>
    <mergeCell ref="O1162:BA1165"/>
    <mergeCell ref="B1167:N1168"/>
    <mergeCell ref="O1167:BA1174"/>
    <mergeCell ref="B1176:N1177"/>
    <mergeCell ref="O1176:BA1181"/>
    <mergeCell ref="B1152:W1152"/>
    <mergeCell ref="X1152:AG1152"/>
    <mergeCell ref="AH1152:AK1152"/>
    <mergeCell ref="AL1152:AS1152"/>
    <mergeCell ref="AT1152:BA1152"/>
    <mergeCell ref="B1153:W1153"/>
    <mergeCell ref="X1153:AG1153"/>
    <mergeCell ref="AH1153:AK1153"/>
    <mergeCell ref="AL1153:AS1153"/>
    <mergeCell ref="AT1153:BA1153"/>
    <mergeCell ref="AT1154:BA1154"/>
    <mergeCell ref="B1143:N1144"/>
    <mergeCell ref="O1143:BA1144"/>
    <mergeCell ref="O1146:U1147"/>
    <mergeCell ref="V1146:AE1147"/>
    <mergeCell ref="AG1146:AM1147"/>
    <mergeCell ref="AO1146:BA1147"/>
    <mergeCell ref="BH1148:DF1151"/>
    <mergeCell ref="B1149:W1150"/>
    <mergeCell ref="X1149:AG1150"/>
    <mergeCell ref="AH1149:AK1150"/>
    <mergeCell ref="AL1149:AS1150"/>
    <mergeCell ref="AT1149:BA1150"/>
    <mergeCell ref="B1151:W1151"/>
    <mergeCell ref="X1151:AG1151"/>
    <mergeCell ref="AH1151:AK1151"/>
    <mergeCell ref="AL1151:AS1151"/>
    <mergeCell ref="AT1151:BA1151"/>
    <mergeCell ref="B1116:M1117"/>
    <mergeCell ref="B1119:N1120"/>
    <mergeCell ref="O1119:BA1120"/>
    <mergeCell ref="B1122:N1123"/>
    <mergeCell ref="O1122:BA1125"/>
    <mergeCell ref="B1127:N1128"/>
    <mergeCell ref="O1127:BA1134"/>
    <mergeCell ref="B1136:N1137"/>
    <mergeCell ref="O1136:BA1141"/>
    <mergeCell ref="B1112:W1112"/>
    <mergeCell ref="X1112:AG1112"/>
    <mergeCell ref="AH1112:AK1112"/>
    <mergeCell ref="AL1112:AS1112"/>
    <mergeCell ref="AT1112:BA1112"/>
    <mergeCell ref="B1113:W1113"/>
    <mergeCell ref="X1113:AG1113"/>
    <mergeCell ref="AH1113:AK1113"/>
    <mergeCell ref="AL1113:AS1113"/>
    <mergeCell ref="AT1113:BA1113"/>
    <mergeCell ref="B1103:N1104"/>
    <mergeCell ref="O1103:BA1104"/>
    <mergeCell ref="O1106:U1107"/>
    <mergeCell ref="V1106:AE1107"/>
    <mergeCell ref="AG1106:AM1107"/>
    <mergeCell ref="AO1106:BA1107"/>
    <mergeCell ref="BH1108:DF1111"/>
    <mergeCell ref="B1109:W1110"/>
    <mergeCell ref="X1109:AG1110"/>
    <mergeCell ref="AH1109:AK1110"/>
    <mergeCell ref="AL1109:AS1110"/>
    <mergeCell ref="AT1109:BA1110"/>
    <mergeCell ref="B1111:W1111"/>
    <mergeCell ref="X1111:AG1111"/>
    <mergeCell ref="AH1111:AK1111"/>
    <mergeCell ref="AL1111:AS1111"/>
    <mergeCell ref="AT1111:BA1111"/>
    <mergeCell ref="B1076:M1077"/>
    <mergeCell ref="B1079:N1080"/>
    <mergeCell ref="O1079:BA1080"/>
    <mergeCell ref="B1082:N1083"/>
    <mergeCell ref="O1082:BA1085"/>
    <mergeCell ref="B1087:N1088"/>
    <mergeCell ref="O1087:BA1094"/>
    <mergeCell ref="B1096:N1097"/>
    <mergeCell ref="O1096:BA1101"/>
    <mergeCell ref="B1072:W1072"/>
    <mergeCell ref="X1072:AG1072"/>
    <mergeCell ref="AH1072:AK1072"/>
    <mergeCell ref="AL1072:AS1072"/>
    <mergeCell ref="AT1072:BA1072"/>
    <mergeCell ref="B1073:W1073"/>
    <mergeCell ref="X1073:AG1073"/>
    <mergeCell ref="AH1073:AK1073"/>
    <mergeCell ref="AL1073:AS1073"/>
    <mergeCell ref="AT1073:BA1073"/>
    <mergeCell ref="B1063:N1064"/>
    <mergeCell ref="O1063:BA1064"/>
    <mergeCell ref="O1066:U1067"/>
    <mergeCell ref="V1066:AE1067"/>
    <mergeCell ref="AG1066:AM1067"/>
    <mergeCell ref="AO1066:BA1067"/>
    <mergeCell ref="BH1068:DF1071"/>
    <mergeCell ref="B1069:W1070"/>
    <mergeCell ref="X1069:AG1070"/>
    <mergeCell ref="AH1069:AK1070"/>
    <mergeCell ref="AL1069:AS1070"/>
    <mergeCell ref="AT1069:BA1070"/>
    <mergeCell ref="B1071:W1071"/>
    <mergeCell ref="X1071:AG1071"/>
    <mergeCell ref="AH1071:AK1071"/>
    <mergeCell ref="AL1071:AS1071"/>
    <mergeCell ref="AT1071:BA1071"/>
    <mergeCell ref="B1036:M1037"/>
    <mergeCell ref="B1039:N1040"/>
    <mergeCell ref="O1039:BA1040"/>
    <mergeCell ref="B1042:N1043"/>
    <mergeCell ref="O1042:BA1045"/>
    <mergeCell ref="B1047:N1048"/>
    <mergeCell ref="O1047:BA1054"/>
    <mergeCell ref="B1056:N1057"/>
    <mergeCell ref="O1056:BA1061"/>
    <mergeCell ref="B1032:W1032"/>
    <mergeCell ref="X1032:AG1032"/>
    <mergeCell ref="AH1032:AK1032"/>
    <mergeCell ref="AL1032:AS1032"/>
    <mergeCell ref="AT1032:BA1032"/>
    <mergeCell ref="B1033:W1033"/>
    <mergeCell ref="X1033:AG1033"/>
    <mergeCell ref="AH1033:AK1033"/>
    <mergeCell ref="AL1033:AS1033"/>
    <mergeCell ref="AT1033:BA1033"/>
    <mergeCell ref="B1023:N1024"/>
    <mergeCell ref="O1023:BA1024"/>
    <mergeCell ref="O1026:U1027"/>
    <mergeCell ref="V1026:AE1027"/>
    <mergeCell ref="AG1026:AM1027"/>
    <mergeCell ref="AO1026:BA1027"/>
    <mergeCell ref="BH1028:DF1031"/>
    <mergeCell ref="B1029:W1030"/>
    <mergeCell ref="X1029:AG1030"/>
    <mergeCell ref="AH1029:AK1030"/>
    <mergeCell ref="AL1029:AS1030"/>
    <mergeCell ref="AT1029:BA1030"/>
    <mergeCell ref="B1031:W1031"/>
    <mergeCell ref="X1031:AG1031"/>
    <mergeCell ref="AH1031:AK1031"/>
    <mergeCell ref="AL1031:AS1031"/>
    <mergeCell ref="AT1031:BA1031"/>
    <mergeCell ref="B996:M997"/>
    <mergeCell ref="B999:N1000"/>
    <mergeCell ref="O999:BA1000"/>
    <mergeCell ref="B1002:N1003"/>
    <mergeCell ref="O1002:BA1005"/>
    <mergeCell ref="B1007:N1008"/>
    <mergeCell ref="O1007:BA1014"/>
    <mergeCell ref="B1016:N1017"/>
    <mergeCell ref="O1016:BA1021"/>
    <mergeCell ref="B992:W992"/>
    <mergeCell ref="X992:AG992"/>
    <mergeCell ref="AH992:AK992"/>
    <mergeCell ref="AL992:AS992"/>
    <mergeCell ref="AT992:BA992"/>
    <mergeCell ref="B993:W993"/>
    <mergeCell ref="X993:AG993"/>
    <mergeCell ref="AH993:AK993"/>
    <mergeCell ref="AL993:AS993"/>
    <mergeCell ref="AT993:BA993"/>
    <mergeCell ref="B983:N984"/>
    <mergeCell ref="O983:BA984"/>
    <mergeCell ref="O986:U987"/>
    <mergeCell ref="V986:AE987"/>
    <mergeCell ref="AG986:AM987"/>
    <mergeCell ref="AO986:BA987"/>
    <mergeCell ref="BH988:DF991"/>
    <mergeCell ref="B989:W990"/>
    <mergeCell ref="X989:AG990"/>
    <mergeCell ref="AH989:AK990"/>
    <mergeCell ref="AL989:AS990"/>
    <mergeCell ref="AT989:BA990"/>
    <mergeCell ref="B991:W991"/>
    <mergeCell ref="X991:AG991"/>
    <mergeCell ref="AH991:AK991"/>
    <mergeCell ref="AL991:AS991"/>
    <mergeCell ref="AT991:BA991"/>
    <mergeCell ref="B956:M957"/>
    <mergeCell ref="B959:N960"/>
    <mergeCell ref="O959:BA960"/>
    <mergeCell ref="B962:N963"/>
    <mergeCell ref="O962:BA965"/>
    <mergeCell ref="B967:N968"/>
    <mergeCell ref="O967:BA974"/>
    <mergeCell ref="B976:N977"/>
    <mergeCell ref="O976:BA981"/>
    <mergeCell ref="B952:W952"/>
    <mergeCell ref="X952:AG952"/>
    <mergeCell ref="AH952:AK952"/>
    <mergeCell ref="AL952:AS952"/>
    <mergeCell ref="AT952:BA952"/>
    <mergeCell ref="B953:W953"/>
    <mergeCell ref="X953:AG953"/>
    <mergeCell ref="AH953:AK953"/>
    <mergeCell ref="AL953:AS953"/>
    <mergeCell ref="AT953:BA953"/>
    <mergeCell ref="B943:N944"/>
    <mergeCell ref="O943:BA944"/>
    <mergeCell ref="O946:U947"/>
    <mergeCell ref="V946:AE947"/>
    <mergeCell ref="AG946:AM947"/>
    <mergeCell ref="AO946:BA947"/>
    <mergeCell ref="BH948:DF951"/>
    <mergeCell ref="B949:W950"/>
    <mergeCell ref="X949:AG950"/>
    <mergeCell ref="AH949:AK950"/>
    <mergeCell ref="AL949:AS950"/>
    <mergeCell ref="AT949:BA950"/>
    <mergeCell ref="B951:W951"/>
    <mergeCell ref="X951:AG951"/>
    <mergeCell ref="AH951:AK951"/>
    <mergeCell ref="AL951:AS951"/>
    <mergeCell ref="AT951:BA951"/>
    <mergeCell ref="B916:M917"/>
    <mergeCell ref="B919:N920"/>
    <mergeCell ref="O919:BA920"/>
    <mergeCell ref="B922:N923"/>
    <mergeCell ref="O922:BA925"/>
    <mergeCell ref="B927:N928"/>
    <mergeCell ref="O927:BA934"/>
    <mergeCell ref="B936:N937"/>
    <mergeCell ref="O936:BA941"/>
    <mergeCell ref="B912:W912"/>
    <mergeCell ref="X912:AG912"/>
    <mergeCell ref="AH912:AK912"/>
    <mergeCell ref="AL912:AS912"/>
    <mergeCell ref="AT912:BA912"/>
    <mergeCell ref="B913:W913"/>
    <mergeCell ref="X913:AG913"/>
    <mergeCell ref="AH913:AK913"/>
    <mergeCell ref="AL913:AS913"/>
    <mergeCell ref="AT913:BA913"/>
    <mergeCell ref="B903:N904"/>
    <mergeCell ref="O903:BA904"/>
    <mergeCell ref="O906:U907"/>
    <mergeCell ref="V906:AE907"/>
    <mergeCell ref="AG906:AM907"/>
    <mergeCell ref="AO906:BA907"/>
    <mergeCell ref="BH908:DF911"/>
    <mergeCell ref="B909:W910"/>
    <mergeCell ref="X909:AG910"/>
    <mergeCell ref="AH909:AK910"/>
    <mergeCell ref="AL909:AS910"/>
    <mergeCell ref="AT909:BA910"/>
    <mergeCell ref="B911:W911"/>
    <mergeCell ref="X911:AG911"/>
    <mergeCell ref="AH911:AK911"/>
    <mergeCell ref="AL911:AS911"/>
    <mergeCell ref="AT911:BA911"/>
    <mergeCell ref="B876:M877"/>
    <mergeCell ref="B879:N880"/>
    <mergeCell ref="O879:BA880"/>
    <mergeCell ref="B882:N883"/>
    <mergeCell ref="O882:BA885"/>
    <mergeCell ref="B887:N888"/>
    <mergeCell ref="O887:BA894"/>
    <mergeCell ref="B896:N897"/>
    <mergeCell ref="O896:BA901"/>
    <mergeCell ref="B872:W872"/>
    <mergeCell ref="X872:AG872"/>
    <mergeCell ref="AH872:AK872"/>
    <mergeCell ref="AL872:AS872"/>
    <mergeCell ref="AT872:BA872"/>
    <mergeCell ref="B873:W873"/>
    <mergeCell ref="X873:AG873"/>
    <mergeCell ref="AH873:AK873"/>
    <mergeCell ref="AL873:AS873"/>
    <mergeCell ref="AT873:BA873"/>
    <mergeCell ref="B863:N864"/>
    <mergeCell ref="O863:BA864"/>
    <mergeCell ref="O866:U867"/>
    <mergeCell ref="V866:AE867"/>
    <mergeCell ref="AG866:AM867"/>
    <mergeCell ref="AO866:BA867"/>
    <mergeCell ref="BH868:DF871"/>
    <mergeCell ref="B869:W870"/>
    <mergeCell ref="X869:AG870"/>
    <mergeCell ref="AH869:AK870"/>
    <mergeCell ref="AL869:AS870"/>
    <mergeCell ref="AT869:BA870"/>
    <mergeCell ref="B871:W871"/>
    <mergeCell ref="X871:AG871"/>
    <mergeCell ref="AH871:AK871"/>
    <mergeCell ref="AL871:AS871"/>
    <mergeCell ref="AT871:BA871"/>
    <mergeCell ref="B836:M837"/>
    <mergeCell ref="B839:N840"/>
    <mergeCell ref="O839:BA840"/>
    <mergeCell ref="B842:N843"/>
    <mergeCell ref="O842:BA845"/>
    <mergeCell ref="B847:N848"/>
    <mergeCell ref="O847:BA854"/>
    <mergeCell ref="B856:N857"/>
    <mergeCell ref="O856:BA861"/>
    <mergeCell ref="B2:BA4"/>
    <mergeCell ref="B6:BA7"/>
    <mergeCell ref="B10:AG11"/>
    <mergeCell ref="B17:AZ19"/>
    <mergeCell ref="BH17:DF19"/>
    <mergeCell ref="AJ10:AL11"/>
    <mergeCell ref="AN10:AP11"/>
    <mergeCell ref="AT10:AV11"/>
    <mergeCell ref="AX10:AZ11"/>
    <mergeCell ref="B13:AZ14"/>
    <mergeCell ref="BH63:DF63"/>
    <mergeCell ref="BH47:DF48"/>
    <mergeCell ref="B56:N57"/>
    <mergeCell ref="O56:BA61"/>
    <mergeCell ref="BH56:DF58"/>
    <mergeCell ref="BH39:DF40"/>
    <mergeCell ref="BH42:DF43"/>
    <mergeCell ref="B39:N40"/>
    <mergeCell ref="B42:N43"/>
    <mergeCell ref="O42:BA45"/>
    <mergeCell ref="B47:N48"/>
    <mergeCell ref="O47:BA54"/>
    <mergeCell ref="B32:Y33"/>
    <mergeCell ref="Z32:AD33"/>
    <mergeCell ref="O63:BA64"/>
    <mergeCell ref="B63:N64"/>
    <mergeCell ref="B36:M37"/>
    <mergeCell ref="O39:BA40"/>
    <mergeCell ref="B76:M77"/>
    <mergeCell ref="B79:N80"/>
    <mergeCell ref="O79:BA80"/>
    <mergeCell ref="O66:U67"/>
    <mergeCell ref="V66:AE67"/>
    <mergeCell ref="AG66:AM67"/>
    <mergeCell ref="BH68:DF71"/>
    <mergeCell ref="X69:AG70"/>
    <mergeCell ref="AT69:BA70"/>
    <mergeCell ref="AH69:AK70"/>
    <mergeCell ref="AH71:AK71"/>
    <mergeCell ref="AT71:BA71"/>
    <mergeCell ref="BH66:DF67"/>
    <mergeCell ref="AO66:BA67"/>
    <mergeCell ref="AT72:BA72"/>
    <mergeCell ref="AT73:BA73"/>
    <mergeCell ref="B69:W70"/>
    <mergeCell ref="B71:W71"/>
    <mergeCell ref="B72:W72"/>
    <mergeCell ref="B73:W73"/>
    <mergeCell ref="AH72:AK72"/>
    <mergeCell ref="AH73:AK73"/>
    <mergeCell ref="AL69:AS70"/>
    <mergeCell ref="AL71:AS71"/>
    <mergeCell ref="AL72:AS72"/>
    <mergeCell ref="AL73:AS73"/>
    <mergeCell ref="X71:AG71"/>
    <mergeCell ref="X72:AG72"/>
    <mergeCell ref="X73:AG73"/>
    <mergeCell ref="O106:U107"/>
    <mergeCell ref="V106:AE107"/>
    <mergeCell ref="AG106:AM107"/>
    <mergeCell ref="AO106:BA107"/>
    <mergeCell ref="B96:N97"/>
    <mergeCell ref="O96:BA101"/>
    <mergeCell ref="B103:N104"/>
    <mergeCell ref="O103:BA104"/>
    <mergeCell ref="B82:N83"/>
    <mergeCell ref="O82:BA85"/>
    <mergeCell ref="B87:N88"/>
    <mergeCell ref="O87:BA94"/>
    <mergeCell ref="BH108:DF111"/>
    <mergeCell ref="B109:W110"/>
    <mergeCell ref="X109:AG110"/>
    <mergeCell ref="AH109:AK110"/>
    <mergeCell ref="AL109:AS110"/>
    <mergeCell ref="AT109:BA110"/>
    <mergeCell ref="B111:W111"/>
    <mergeCell ref="X111:AG111"/>
    <mergeCell ref="AH111:AK111"/>
    <mergeCell ref="AL111:AS111"/>
    <mergeCell ref="AT111:BA111"/>
    <mergeCell ref="B113:W113"/>
    <mergeCell ref="X113:AG113"/>
    <mergeCell ref="AH113:AK113"/>
    <mergeCell ref="AL113:AS113"/>
    <mergeCell ref="AT113:BA113"/>
    <mergeCell ref="B112:W112"/>
    <mergeCell ref="X112:AG112"/>
    <mergeCell ref="AH112:AK112"/>
    <mergeCell ref="AL112:AS112"/>
    <mergeCell ref="AT112:BA112"/>
    <mergeCell ref="B127:N128"/>
    <mergeCell ref="O127:BA134"/>
    <mergeCell ref="B136:N137"/>
    <mergeCell ref="O136:BA141"/>
    <mergeCell ref="B143:N144"/>
    <mergeCell ref="O143:BA144"/>
    <mergeCell ref="B116:M117"/>
    <mergeCell ref="B119:N120"/>
    <mergeCell ref="O119:BA120"/>
    <mergeCell ref="B122:N123"/>
    <mergeCell ref="O122:BA125"/>
    <mergeCell ref="AT114:BA114"/>
    <mergeCell ref="O146:U147"/>
    <mergeCell ref="V146:AE147"/>
    <mergeCell ref="AG146:AM147"/>
    <mergeCell ref="AO146:BA147"/>
    <mergeCell ref="BH148:DF151"/>
    <mergeCell ref="B149:W150"/>
    <mergeCell ref="X149:AG150"/>
    <mergeCell ref="AH149:AK150"/>
    <mergeCell ref="AL149:AS150"/>
    <mergeCell ref="AT149:BA150"/>
    <mergeCell ref="B151:W151"/>
    <mergeCell ref="X151:AG151"/>
    <mergeCell ref="AH151:AK151"/>
    <mergeCell ref="AL151:AS151"/>
    <mergeCell ref="AT151:BA151"/>
    <mergeCell ref="B153:W153"/>
    <mergeCell ref="X153:AG153"/>
    <mergeCell ref="AH153:AK153"/>
    <mergeCell ref="AL153:AS153"/>
    <mergeCell ref="AT153:BA153"/>
    <mergeCell ref="B152:W152"/>
    <mergeCell ref="X152:AG152"/>
    <mergeCell ref="AH152:AK152"/>
    <mergeCell ref="AL152:AS152"/>
    <mergeCell ref="AT152:BA152"/>
    <mergeCell ref="B167:N168"/>
    <mergeCell ref="O167:BA174"/>
    <mergeCell ref="B176:N177"/>
    <mergeCell ref="O176:BA181"/>
    <mergeCell ref="B183:N184"/>
    <mergeCell ref="O183:BA184"/>
    <mergeCell ref="B156:M157"/>
    <mergeCell ref="B159:N160"/>
    <mergeCell ref="O159:BA160"/>
    <mergeCell ref="B162:N163"/>
    <mergeCell ref="O162:BA165"/>
    <mergeCell ref="O186:U187"/>
    <mergeCell ref="V186:AE187"/>
    <mergeCell ref="AG186:AM187"/>
    <mergeCell ref="AO186:BA187"/>
    <mergeCell ref="BH188:DF191"/>
    <mergeCell ref="B189:W190"/>
    <mergeCell ref="X189:AG190"/>
    <mergeCell ref="AH189:AK190"/>
    <mergeCell ref="AL189:AS190"/>
    <mergeCell ref="AT189:BA190"/>
    <mergeCell ref="B191:W191"/>
    <mergeCell ref="X191:AG191"/>
    <mergeCell ref="AH191:AK191"/>
    <mergeCell ref="AL191:AS191"/>
    <mergeCell ref="AT191:BA191"/>
    <mergeCell ref="B193:W193"/>
    <mergeCell ref="X193:AG193"/>
    <mergeCell ref="AH193:AK193"/>
    <mergeCell ref="AL193:AS193"/>
    <mergeCell ref="AT193:BA193"/>
    <mergeCell ref="B192:W192"/>
    <mergeCell ref="X192:AG192"/>
    <mergeCell ref="AH192:AK192"/>
    <mergeCell ref="AL192:AS192"/>
    <mergeCell ref="AT192:BA192"/>
    <mergeCell ref="B207:N208"/>
    <mergeCell ref="O207:BA214"/>
    <mergeCell ref="B216:N217"/>
    <mergeCell ref="O216:BA221"/>
    <mergeCell ref="B223:N224"/>
    <mergeCell ref="O223:BA224"/>
    <mergeCell ref="B196:M197"/>
    <mergeCell ref="B199:N200"/>
    <mergeCell ref="O199:BA200"/>
    <mergeCell ref="B202:N203"/>
    <mergeCell ref="O202:BA205"/>
    <mergeCell ref="O226:U227"/>
    <mergeCell ref="V226:AE227"/>
    <mergeCell ref="AG226:AM227"/>
    <mergeCell ref="AO226:BA227"/>
    <mergeCell ref="BH228:DF231"/>
    <mergeCell ref="B229:W230"/>
    <mergeCell ref="X229:AG230"/>
    <mergeCell ref="AH229:AK230"/>
    <mergeCell ref="AL229:AS230"/>
    <mergeCell ref="AT229:BA230"/>
    <mergeCell ref="B231:W231"/>
    <mergeCell ref="X231:AG231"/>
    <mergeCell ref="AH231:AK231"/>
    <mergeCell ref="AL231:AS231"/>
    <mergeCell ref="AT231:BA231"/>
    <mergeCell ref="B233:W233"/>
    <mergeCell ref="X233:AG233"/>
    <mergeCell ref="AH233:AK233"/>
    <mergeCell ref="AL233:AS233"/>
    <mergeCell ref="AT233:BA233"/>
    <mergeCell ref="B232:W232"/>
    <mergeCell ref="X232:AG232"/>
    <mergeCell ref="AH232:AK232"/>
    <mergeCell ref="AL232:AS232"/>
    <mergeCell ref="AT232:BA232"/>
    <mergeCell ref="B247:N248"/>
    <mergeCell ref="O247:BA254"/>
    <mergeCell ref="B256:N257"/>
    <mergeCell ref="O256:BA261"/>
    <mergeCell ref="B263:N264"/>
    <mergeCell ref="O263:BA264"/>
    <mergeCell ref="B236:M237"/>
    <mergeCell ref="B239:N240"/>
    <mergeCell ref="O239:BA240"/>
    <mergeCell ref="B242:N243"/>
    <mergeCell ref="O242:BA245"/>
    <mergeCell ref="O266:U267"/>
    <mergeCell ref="V266:AE267"/>
    <mergeCell ref="AG266:AM267"/>
    <mergeCell ref="AO266:BA267"/>
    <mergeCell ref="BH268:DF271"/>
    <mergeCell ref="B269:W270"/>
    <mergeCell ref="X269:AG270"/>
    <mergeCell ref="AH269:AK270"/>
    <mergeCell ref="AL269:AS270"/>
    <mergeCell ref="AT269:BA270"/>
    <mergeCell ref="B271:W271"/>
    <mergeCell ref="X271:AG271"/>
    <mergeCell ref="AH271:AK271"/>
    <mergeCell ref="AL271:AS271"/>
    <mergeCell ref="AT271:BA271"/>
    <mergeCell ref="B273:W273"/>
    <mergeCell ref="X273:AG273"/>
    <mergeCell ref="AH273:AK273"/>
    <mergeCell ref="AL273:AS273"/>
    <mergeCell ref="AT273:BA273"/>
    <mergeCell ref="B272:W272"/>
    <mergeCell ref="X272:AG272"/>
    <mergeCell ref="AH272:AK272"/>
    <mergeCell ref="AL272:AS272"/>
    <mergeCell ref="AT272:BA272"/>
    <mergeCell ref="B287:N288"/>
    <mergeCell ref="O287:BA294"/>
    <mergeCell ref="B296:N297"/>
    <mergeCell ref="O296:BA301"/>
    <mergeCell ref="B303:N304"/>
    <mergeCell ref="O303:BA304"/>
    <mergeCell ref="B276:M277"/>
    <mergeCell ref="B279:N280"/>
    <mergeCell ref="O279:BA280"/>
    <mergeCell ref="B282:N283"/>
    <mergeCell ref="O282:BA285"/>
    <mergeCell ref="O306:U307"/>
    <mergeCell ref="V306:AE307"/>
    <mergeCell ref="AG306:AM307"/>
    <mergeCell ref="AO306:BA307"/>
    <mergeCell ref="BH308:DF311"/>
    <mergeCell ref="B309:W310"/>
    <mergeCell ref="X309:AG310"/>
    <mergeCell ref="AH309:AK310"/>
    <mergeCell ref="AL309:AS310"/>
    <mergeCell ref="AT309:BA310"/>
    <mergeCell ref="B311:W311"/>
    <mergeCell ref="X311:AG311"/>
    <mergeCell ref="AH311:AK311"/>
    <mergeCell ref="AL311:AS311"/>
    <mergeCell ref="AT311:BA311"/>
    <mergeCell ref="B313:W313"/>
    <mergeCell ref="X313:AG313"/>
    <mergeCell ref="AH313:AK313"/>
    <mergeCell ref="AL313:AS313"/>
    <mergeCell ref="AT313:BA313"/>
    <mergeCell ref="B312:W312"/>
    <mergeCell ref="X312:AG312"/>
    <mergeCell ref="AH312:AK312"/>
    <mergeCell ref="AL312:AS312"/>
    <mergeCell ref="AT312:BA312"/>
    <mergeCell ref="B327:N328"/>
    <mergeCell ref="O327:BA334"/>
    <mergeCell ref="B336:N337"/>
    <mergeCell ref="O336:BA341"/>
    <mergeCell ref="B343:N344"/>
    <mergeCell ref="O343:BA344"/>
    <mergeCell ref="B316:M317"/>
    <mergeCell ref="B319:N320"/>
    <mergeCell ref="O319:BA320"/>
    <mergeCell ref="B322:N323"/>
    <mergeCell ref="O322:BA325"/>
    <mergeCell ref="O346:U347"/>
    <mergeCell ref="V346:AE347"/>
    <mergeCell ref="AG346:AM347"/>
    <mergeCell ref="AO346:BA347"/>
    <mergeCell ref="BH348:DF351"/>
    <mergeCell ref="B349:W350"/>
    <mergeCell ref="X349:AG350"/>
    <mergeCell ref="AH349:AK350"/>
    <mergeCell ref="AL349:AS350"/>
    <mergeCell ref="AT349:BA350"/>
    <mergeCell ref="B351:W351"/>
    <mergeCell ref="X351:AG351"/>
    <mergeCell ref="AH351:AK351"/>
    <mergeCell ref="AL351:AS351"/>
    <mergeCell ref="AT351:BA351"/>
    <mergeCell ref="B353:W353"/>
    <mergeCell ref="X353:AG353"/>
    <mergeCell ref="AH353:AK353"/>
    <mergeCell ref="AL353:AS353"/>
    <mergeCell ref="AT353:BA353"/>
    <mergeCell ref="B352:W352"/>
    <mergeCell ref="X352:AG352"/>
    <mergeCell ref="AH352:AK352"/>
    <mergeCell ref="AL352:AS352"/>
    <mergeCell ref="AT352:BA352"/>
    <mergeCell ref="B367:N368"/>
    <mergeCell ref="O367:BA374"/>
    <mergeCell ref="B376:N377"/>
    <mergeCell ref="O376:BA381"/>
    <mergeCell ref="B383:N384"/>
    <mergeCell ref="O383:BA384"/>
    <mergeCell ref="B356:M357"/>
    <mergeCell ref="B359:N360"/>
    <mergeCell ref="O359:BA360"/>
    <mergeCell ref="B362:N363"/>
    <mergeCell ref="O362:BA365"/>
    <mergeCell ref="O386:U387"/>
    <mergeCell ref="V386:AE387"/>
    <mergeCell ref="AG386:AM387"/>
    <mergeCell ref="AO386:BA387"/>
    <mergeCell ref="BH388:DF391"/>
    <mergeCell ref="B389:W390"/>
    <mergeCell ref="X389:AG390"/>
    <mergeCell ref="AH389:AK390"/>
    <mergeCell ref="AL389:AS390"/>
    <mergeCell ref="AT389:BA390"/>
    <mergeCell ref="B391:W391"/>
    <mergeCell ref="X391:AG391"/>
    <mergeCell ref="AH391:AK391"/>
    <mergeCell ref="AL391:AS391"/>
    <mergeCell ref="AT391:BA391"/>
    <mergeCell ref="B393:W393"/>
    <mergeCell ref="X393:AG393"/>
    <mergeCell ref="AH393:AK393"/>
    <mergeCell ref="AL393:AS393"/>
    <mergeCell ref="AT393:BA393"/>
    <mergeCell ref="B392:W392"/>
    <mergeCell ref="X392:AG392"/>
    <mergeCell ref="AH392:AK392"/>
    <mergeCell ref="AL392:AS392"/>
    <mergeCell ref="AT392:BA392"/>
    <mergeCell ref="B407:N408"/>
    <mergeCell ref="O407:BA414"/>
    <mergeCell ref="B416:N417"/>
    <mergeCell ref="O416:BA421"/>
    <mergeCell ref="B423:N424"/>
    <mergeCell ref="O423:BA424"/>
    <mergeCell ref="B396:M397"/>
    <mergeCell ref="B399:N400"/>
    <mergeCell ref="O399:BA400"/>
    <mergeCell ref="B402:N403"/>
    <mergeCell ref="O402:BA405"/>
    <mergeCell ref="O426:U427"/>
    <mergeCell ref="V426:AE427"/>
    <mergeCell ref="AG426:AM427"/>
    <mergeCell ref="AO426:BA427"/>
    <mergeCell ref="BH428:DF431"/>
    <mergeCell ref="B429:W430"/>
    <mergeCell ref="X429:AG430"/>
    <mergeCell ref="AH429:AK430"/>
    <mergeCell ref="AL429:AS430"/>
    <mergeCell ref="AT429:BA430"/>
    <mergeCell ref="B431:W431"/>
    <mergeCell ref="X431:AG431"/>
    <mergeCell ref="AH431:AK431"/>
    <mergeCell ref="AL431:AS431"/>
    <mergeCell ref="AT431:BA431"/>
    <mergeCell ref="B433:W433"/>
    <mergeCell ref="X433:AG433"/>
    <mergeCell ref="AH433:AK433"/>
    <mergeCell ref="AL433:AS433"/>
    <mergeCell ref="AT433:BA433"/>
    <mergeCell ref="B432:W432"/>
    <mergeCell ref="X432:AG432"/>
    <mergeCell ref="AH432:AK432"/>
    <mergeCell ref="AL432:AS432"/>
    <mergeCell ref="AT432:BA432"/>
    <mergeCell ref="B447:N448"/>
    <mergeCell ref="O447:BA454"/>
    <mergeCell ref="B456:N457"/>
    <mergeCell ref="O456:BA461"/>
    <mergeCell ref="B463:N464"/>
    <mergeCell ref="O463:BA464"/>
    <mergeCell ref="B436:M437"/>
    <mergeCell ref="B439:N440"/>
    <mergeCell ref="O439:BA440"/>
    <mergeCell ref="B442:N443"/>
    <mergeCell ref="O442:BA445"/>
    <mergeCell ref="O466:U467"/>
    <mergeCell ref="V466:AE467"/>
    <mergeCell ref="AG466:AM467"/>
    <mergeCell ref="AO466:BA467"/>
    <mergeCell ref="BH468:DF471"/>
    <mergeCell ref="B469:W470"/>
    <mergeCell ref="X469:AG470"/>
    <mergeCell ref="AH469:AK470"/>
    <mergeCell ref="AL469:AS470"/>
    <mergeCell ref="AT469:BA470"/>
    <mergeCell ref="B471:W471"/>
    <mergeCell ref="X471:AG471"/>
    <mergeCell ref="AH471:AK471"/>
    <mergeCell ref="AL471:AS471"/>
    <mergeCell ref="AT471:BA471"/>
    <mergeCell ref="B473:W473"/>
    <mergeCell ref="X473:AG473"/>
    <mergeCell ref="AH473:AK473"/>
    <mergeCell ref="AL473:AS473"/>
    <mergeCell ref="AT473:BA473"/>
    <mergeCell ref="B472:W472"/>
    <mergeCell ref="X472:AG472"/>
    <mergeCell ref="AH472:AK472"/>
    <mergeCell ref="AL472:AS472"/>
    <mergeCell ref="AT472:BA472"/>
    <mergeCell ref="B487:N488"/>
    <mergeCell ref="O487:BA494"/>
    <mergeCell ref="B496:N497"/>
    <mergeCell ref="O496:BA501"/>
    <mergeCell ref="B503:N504"/>
    <mergeCell ref="O503:BA504"/>
    <mergeCell ref="B476:M477"/>
    <mergeCell ref="B479:N480"/>
    <mergeCell ref="O479:BA480"/>
    <mergeCell ref="B482:N483"/>
    <mergeCell ref="O482:BA485"/>
    <mergeCell ref="O506:U507"/>
    <mergeCell ref="V506:AE507"/>
    <mergeCell ref="AG506:AM507"/>
    <mergeCell ref="AO506:BA507"/>
    <mergeCell ref="BH508:DF511"/>
    <mergeCell ref="B509:W510"/>
    <mergeCell ref="X509:AG510"/>
    <mergeCell ref="AH509:AK510"/>
    <mergeCell ref="AL509:AS510"/>
    <mergeCell ref="AT509:BA510"/>
    <mergeCell ref="B511:W511"/>
    <mergeCell ref="X511:AG511"/>
    <mergeCell ref="AH511:AK511"/>
    <mergeCell ref="AL511:AS511"/>
    <mergeCell ref="AT511:BA511"/>
    <mergeCell ref="B513:W513"/>
    <mergeCell ref="X513:AG513"/>
    <mergeCell ref="AH513:AK513"/>
    <mergeCell ref="AL513:AS513"/>
    <mergeCell ref="AT513:BA513"/>
    <mergeCell ref="B512:W512"/>
    <mergeCell ref="X512:AG512"/>
    <mergeCell ref="AH512:AK512"/>
    <mergeCell ref="AL512:AS512"/>
    <mergeCell ref="AT512:BA512"/>
    <mergeCell ref="B527:N528"/>
    <mergeCell ref="O527:BA534"/>
    <mergeCell ref="B536:N537"/>
    <mergeCell ref="O536:BA541"/>
    <mergeCell ref="B543:N544"/>
    <mergeCell ref="O543:BA544"/>
    <mergeCell ref="B516:M517"/>
    <mergeCell ref="B519:N520"/>
    <mergeCell ref="O519:BA520"/>
    <mergeCell ref="B522:N523"/>
    <mergeCell ref="O522:BA525"/>
    <mergeCell ref="O546:U547"/>
    <mergeCell ref="V546:AE547"/>
    <mergeCell ref="AG546:AM547"/>
    <mergeCell ref="AO546:BA547"/>
    <mergeCell ref="BH548:DF551"/>
    <mergeCell ref="B549:W550"/>
    <mergeCell ref="X549:AG550"/>
    <mergeCell ref="AH549:AK550"/>
    <mergeCell ref="AL549:AS550"/>
    <mergeCell ref="AT549:BA550"/>
    <mergeCell ref="B551:W551"/>
    <mergeCell ref="X551:AG551"/>
    <mergeCell ref="AH551:AK551"/>
    <mergeCell ref="AL551:AS551"/>
    <mergeCell ref="AT551:BA551"/>
    <mergeCell ref="B553:W553"/>
    <mergeCell ref="X553:AG553"/>
    <mergeCell ref="AH553:AK553"/>
    <mergeCell ref="AL553:AS553"/>
    <mergeCell ref="AT553:BA553"/>
    <mergeCell ref="B552:W552"/>
    <mergeCell ref="X552:AG552"/>
    <mergeCell ref="AH552:AK552"/>
    <mergeCell ref="AL552:AS552"/>
    <mergeCell ref="AT552:BA552"/>
    <mergeCell ref="B567:N568"/>
    <mergeCell ref="O567:BA574"/>
    <mergeCell ref="B576:N577"/>
    <mergeCell ref="O576:BA581"/>
    <mergeCell ref="B583:N584"/>
    <mergeCell ref="O583:BA584"/>
    <mergeCell ref="B556:M557"/>
    <mergeCell ref="B559:N560"/>
    <mergeCell ref="O559:BA560"/>
    <mergeCell ref="B562:N563"/>
    <mergeCell ref="O562:BA565"/>
    <mergeCell ref="O586:U587"/>
    <mergeCell ref="V586:AE587"/>
    <mergeCell ref="AG586:AM587"/>
    <mergeCell ref="AO586:BA587"/>
    <mergeCell ref="BH588:DF591"/>
    <mergeCell ref="B589:W590"/>
    <mergeCell ref="X589:AG590"/>
    <mergeCell ref="AH589:AK590"/>
    <mergeCell ref="AL589:AS590"/>
    <mergeCell ref="AT589:BA590"/>
    <mergeCell ref="B591:W591"/>
    <mergeCell ref="X591:AG591"/>
    <mergeCell ref="AH591:AK591"/>
    <mergeCell ref="AL591:AS591"/>
    <mergeCell ref="AT591:BA591"/>
    <mergeCell ref="B593:W593"/>
    <mergeCell ref="X593:AG593"/>
    <mergeCell ref="AH593:AK593"/>
    <mergeCell ref="AL593:AS593"/>
    <mergeCell ref="AT593:BA593"/>
    <mergeCell ref="B592:W592"/>
    <mergeCell ref="X592:AG592"/>
    <mergeCell ref="AH592:AK592"/>
    <mergeCell ref="AL592:AS592"/>
    <mergeCell ref="AT592:BA592"/>
    <mergeCell ref="B607:N608"/>
    <mergeCell ref="O607:BA614"/>
    <mergeCell ref="B616:N617"/>
    <mergeCell ref="O616:BA621"/>
    <mergeCell ref="B623:N624"/>
    <mergeCell ref="O623:BA624"/>
    <mergeCell ref="B596:M597"/>
    <mergeCell ref="B599:N600"/>
    <mergeCell ref="O599:BA600"/>
    <mergeCell ref="B602:N603"/>
    <mergeCell ref="O602:BA605"/>
    <mergeCell ref="O626:U627"/>
    <mergeCell ref="V626:AE627"/>
    <mergeCell ref="AG626:AM627"/>
    <mergeCell ref="AO626:BA627"/>
    <mergeCell ref="BH628:DF631"/>
    <mergeCell ref="B629:W630"/>
    <mergeCell ref="X629:AG630"/>
    <mergeCell ref="AH629:AK630"/>
    <mergeCell ref="AL629:AS630"/>
    <mergeCell ref="AT629:BA630"/>
    <mergeCell ref="B631:W631"/>
    <mergeCell ref="X631:AG631"/>
    <mergeCell ref="AH631:AK631"/>
    <mergeCell ref="AL631:AS631"/>
    <mergeCell ref="AT631:BA631"/>
    <mergeCell ref="B633:W633"/>
    <mergeCell ref="X633:AG633"/>
    <mergeCell ref="AH633:AK633"/>
    <mergeCell ref="AL633:AS633"/>
    <mergeCell ref="AT633:BA633"/>
    <mergeCell ref="B632:W632"/>
    <mergeCell ref="X632:AG632"/>
    <mergeCell ref="AH632:AK632"/>
    <mergeCell ref="AL632:AS632"/>
    <mergeCell ref="AT632:BA632"/>
    <mergeCell ref="B647:N648"/>
    <mergeCell ref="O647:BA654"/>
    <mergeCell ref="B656:N657"/>
    <mergeCell ref="O656:BA661"/>
    <mergeCell ref="B663:N664"/>
    <mergeCell ref="O663:BA664"/>
    <mergeCell ref="B636:M637"/>
    <mergeCell ref="B639:N640"/>
    <mergeCell ref="O639:BA640"/>
    <mergeCell ref="B642:N643"/>
    <mergeCell ref="O642:BA645"/>
    <mergeCell ref="O666:U667"/>
    <mergeCell ref="V666:AE667"/>
    <mergeCell ref="AG666:AM667"/>
    <mergeCell ref="AO666:BA667"/>
    <mergeCell ref="BH668:DF671"/>
    <mergeCell ref="B669:W670"/>
    <mergeCell ref="X669:AG670"/>
    <mergeCell ref="AH669:AK670"/>
    <mergeCell ref="AL669:AS670"/>
    <mergeCell ref="AT669:BA670"/>
    <mergeCell ref="B671:W671"/>
    <mergeCell ref="X671:AG671"/>
    <mergeCell ref="AH671:AK671"/>
    <mergeCell ref="AL671:AS671"/>
    <mergeCell ref="AT671:BA671"/>
    <mergeCell ref="B673:W673"/>
    <mergeCell ref="X673:AG673"/>
    <mergeCell ref="AH673:AK673"/>
    <mergeCell ref="AL673:AS673"/>
    <mergeCell ref="AT673:BA673"/>
    <mergeCell ref="B672:W672"/>
    <mergeCell ref="X672:AG672"/>
    <mergeCell ref="AH672:AK672"/>
    <mergeCell ref="AL672:AS672"/>
    <mergeCell ref="AT672:BA672"/>
    <mergeCell ref="B687:N688"/>
    <mergeCell ref="O687:BA694"/>
    <mergeCell ref="B696:N697"/>
    <mergeCell ref="O696:BA701"/>
    <mergeCell ref="B703:N704"/>
    <mergeCell ref="O703:BA704"/>
    <mergeCell ref="B676:M677"/>
    <mergeCell ref="B679:N680"/>
    <mergeCell ref="O679:BA680"/>
    <mergeCell ref="B682:N683"/>
    <mergeCell ref="O682:BA685"/>
    <mergeCell ref="O706:U707"/>
    <mergeCell ref="V706:AE707"/>
    <mergeCell ref="AG706:AM707"/>
    <mergeCell ref="AO706:BA707"/>
    <mergeCell ref="BH708:DF711"/>
    <mergeCell ref="B709:W710"/>
    <mergeCell ref="X709:AG710"/>
    <mergeCell ref="AH709:AK710"/>
    <mergeCell ref="AL709:AS710"/>
    <mergeCell ref="AT709:BA710"/>
    <mergeCell ref="B711:W711"/>
    <mergeCell ref="X711:AG711"/>
    <mergeCell ref="AH711:AK711"/>
    <mergeCell ref="AL711:AS711"/>
    <mergeCell ref="AT711:BA711"/>
    <mergeCell ref="B713:W713"/>
    <mergeCell ref="X713:AG713"/>
    <mergeCell ref="AH713:AK713"/>
    <mergeCell ref="AL713:AS713"/>
    <mergeCell ref="AT713:BA713"/>
    <mergeCell ref="B712:W712"/>
    <mergeCell ref="X712:AG712"/>
    <mergeCell ref="AH712:AK712"/>
    <mergeCell ref="AL712:AS712"/>
    <mergeCell ref="AT712:BA712"/>
    <mergeCell ref="B727:N728"/>
    <mergeCell ref="O727:BA734"/>
    <mergeCell ref="B736:N737"/>
    <mergeCell ref="O736:BA741"/>
    <mergeCell ref="B743:N744"/>
    <mergeCell ref="O743:BA744"/>
    <mergeCell ref="B716:M717"/>
    <mergeCell ref="B719:N720"/>
    <mergeCell ref="O719:BA720"/>
    <mergeCell ref="B722:N723"/>
    <mergeCell ref="O722:BA725"/>
    <mergeCell ref="O746:U747"/>
    <mergeCell ref="V746:AE747"/>
    <mergeCell ref="AG746:AM747"/>
    <mergeCell ref="AO746:BA747"/>
    <mergeCell ref="BH748:DF751"/>
    <mergeCell ref="B749:W750"/>
    <mergeCell ref="X749:AG750"/>
    <mergeCell ref="AH749:AK750"/>
    <mergeCell ref="AL749:AS750"/>
    <mergeCell ref="AT749:BA750"/>
    <mergeCell ref="B751:W751"/>
    <mergeCell ref="X751:AG751"/>
    <mergeCell ref="AH751:AK751"/>
    <mergeCell ref="AL751:AS751"/>
    <mergeCell ref="AT751:BA751"/>
    <mergeCell ref="B753:W753"/>
    <mergeCell ref="X753:AG753"/>
    <mergeCell ref="AH753:AK753"/>
    <mergeCell ref="AL753:AS753"/>
    <mergeCell ref="AT753:BA753"/>
    <mergeCell ref="B752:W752"/>
    <mergeCell ref="X752:AG752"/>
    <mergeCell ref="AH752:AK752"/>
    <mergeCell ref="AL752:AS752"/>
    <mergeCell ref="AT752:BA752"/>
    <mergeCell ref="B767:N768"/>
    <mergeCell ref="O767:BA774"/>
    <mergeCell ref="B776:N777"/>
    <mergeCell ref="O776:BA781"/>
    <mergeCell ref="B783:N784"/>
    <mergeCell ref="O783:BA784"/>
    <mergeCell ref="B756:M757"/>
    <mergeCell ref="B759:N760"/>
    <mergeCell ref="O759:BA760"/>
    <mergeCell ref="B762:N763"/>
    <mergeCell ref="O762:BA765"/>
    <mergeCell ref="O786:U787"/>
    <mergeCell ref="V786:AE787"/>
    <mergeCell ref="AG786:AM787"/>
    <mergeCell ref="AO786:BA787"/>
    <mergeCell ref="BH788:DF791"/>
    <mergeCell ref="B789:W790"/>
    <mergeCell ref="X789:AG790"/>
    <mergeCell ref="AH789:AK790"/>
    <mergeCell ref="AL789:AS790"/>
    <mergeCell ref="AT789:BA790"/>
    <mergeCell ref="B791:W791"/>
    <mergeCell ref="X791:AG791"/>
    <mergeCell ref="AH791:AK791"/>
    <mergeCell ref="AL791:AS791"/>
    <mergeCell ref="AT791:BA791"/>
    <mergeCell ref="B793:W793"/>
    <mergeCell ref="X793:AG793"/>
    <mergeCell ref="AH793:AK793"/>
    <mergeCell ref="AL793:AS793"/>
    <mergeCell ref="AT793:BA793"/>
    <mergeCell ref="B792:W792"/>
    <mergeCell ref="X792:AG792"/>
    <mergeCell ref="AH792:AK792"/>
    <mergeCell ref="AL792:AS792"/>
    <mergeCell ref="AT792:BA792"/>
    <mergeCell ref="B807:N808"/>
    <mergeCell ref="O807:BA814"/>
    <mergeCell ref="B816:N817"/>
    <mergeCell ref="O816:BA821"/>
    <mergeCell ref="B823:N824"/>
    <mergeCell ref="O823:BA824"/>
    <mergeCell ref="B796:M797"/>
    <mergeCell ref="B799:N800"/>
    <mergeCell ref="O799:BA800"/>
    <mergeCell ref="B802:N803"/>
    <mergeCell ref="O802:BA805"/>
    <mergeCell ref="O826:U827"/>
    <mergeCell ref="V826:AE827"/>
    <mergeCell ref="AG826:AM827"/>
    <mergeCell ref="AO826:BA827"/>
    <mergeCell ref="BH828:DF831"/>
    <mergeCell ref="B829:W830"/>
    <mergeCell ref="X829:AG830"/>
    <mergeCell ref="AH829:AK830"/>
    <mergeCell ref="AL829:AS830"/>
    <mergeCell ref="AT829:BA830"/>
    <mergeCell ref="B831:W831"/>
    <mergeCell ref="X831:AG831"/>
    <mergeCell ref="AH831:AK831"/>
    <mergeCell ref="AL831:AS831"/>
    <mergeCell ref="AT831:BA831"/>
    <mergeCell ref="AH1238:AK1238"/>
    <mergeCell ref="B833:W833"/>
    <mergeCell ref="X833:AG833"/>
    <mergeCell ref="AH833:AK833"/>
    <mergeCell ref="AL833:AS833"/>
    <mergeCell ref="AT833:BA833"/>
    <mergeCell ref="B832:W832"/>
    <mergeCell ref="X832:AG832"/>
    <mergeCell ref="AH832:AK832"/>
    <mergeCell ref="AL832:AS832"/>
    <mergeCell ref="AT832:BA832"/>
    <mergeCell ref="B1252:C1252"/>
    <mergeCell ref="B1253:C1253"/>
    <mergeCell ref="B1244:C1244"/>
    <mergeCell ref="B1245:C1245"/>
    <mergeCell ref="B1246:C1246"/>
    <mergeCell ref="B1247:C1247"/>
    <mergeCell ref="B1248:C1248"/>
    <mergeCell ref="B1236:BA1237"/>
    <mergeCell ref="B1240:C1240"/>
    <mergeCell ref="B1241:C1241"/>
    <mergeCell ref="B1242:C1242"/>
    <mergeCell ref="B1243:C1243"/>
    <mergeCell ref="B1239:C1239"/>
    <mergeCell ref="E1239:AG1239"/>
    <mergeCell ref="AH1239:AK1239"/>
    <mergeCell ref="AL1239:AS1239"/>
    <mergeCell ref="AT1239:BA1239"/>
    <mergeCell ref="AT1240:BA1240"/>
    <mergeCell ref="AT1241:BA1241"/>
    <mergeCell ref="AT1242:BA1242"/>
    <mergeCell ref="AT1243:BA1243"/>
    <mergeCell ref="AT1259:BA1259"/>
    <mergeCell ref="AL1238:AS1238"/>
    <mergeCell ref="AL1240:AS1240"/>
    <mergeCell ref="AL1241:AS1241"/>
    <mergeCell ref="AL1242:AS1242"/>
    <mergeCell ref="AL1243:AS1243"/>
    <mergeCell ref="AL1244:AS1244"/>
    <mergeCell ref="AL1245:AS1245"/>
    <mergeCell ref="AL1246:AS1246"/>
    <mergeCell ref="AL1247:AS1247"/>
    <mergeCell ref="AL1248:AS1248"/>
    <mergeCell ref="AL1249:AS1249"/>
    <mergeCell ref="AL1250:AS1250"/>
    <mergeCell ref="AL1251:AS1251"/>
    <mergeCell ref="AL1252:AS1252"/>
    <mergeCell ref="AL1253:AS1253"/>
    <mergeCell ref="AT1255:BA1255"/>
    <mergeCell ref="AT1256:BA1256"/>
    <mergeCell ref="AT1257:BA1257"/>
    <mergeCell ref="AT1258:BA1258"/>
    <mergeCell ref="AL1259:AS1259"/>
    <mergeCell ref="AT1244:BA1244"/>
    <mergeCell ref="AH1248:AK1248"/>
    <mergeCell ref="AH1249:AK1249"/>
    <mergeCell ref="AH1250:AK1250"/>
    <mergeCell ref="AH1251:AK1251"/>
    <mergeCell ref="AH1252:AK1252"/>
    <mergeCell ref="AH1253:AK1253"/>
    <mergeCell ref="AL1254:AS1254"/>
    <mergeCell ref="AL1255:AS1255"/>
    <mergeCell ref="AL1256:AS1256"/>
    <mergeCell ref="B1255:C1255"/>
    <mergeCell ref="B1256:C1256"/>
    <mergeCell ref="B1257:C1257"/>
    <mergeCell ref="B1258:C1258"/>
    <mergeCell ref="B1249:C1249"/>
    <mergeCell ref="B1250:C1250"/>
    <mergeCell ref="B1251:C1251"/>
    <mergeCell ref="AH1256:AK1256"/>
    <mergeCell ref="AH1257:AK1257"/>
    <mergeCell ref="AH1258:AK1258"/>
    <mergeCell ref="AL1257:AS1257"/>
    <mergeCell ref="AL1258:AS1258"/>
    <mergeCell ref="BH1236:DF1239"/>
    <mergeCell ref="E1255:AG1255"/>
    <mergeCell ref="E1256:AG1256"/>
    <mergeCell ref="E1257:AG1257"/>
    <mergeCell ref="E1258:AG1258"/>
    <mergeCell ref="E1259:AG1259"/>
    <mergeCell ref="AH1259:AK1259"/>
    <mergeCell ref="E1240:AG1240"/>
    <mergeCell ref="E1241:AG1241"/>
    <mergeCell ref="E1242:AG1242"/>
    <mergeCell ref="E1243:AG1243"/>
    <mergeCell ref="E1244:AG1244"/>
    <mergeCell ref="E1245:AG1245"/>
    <mergeCell ref="E1246:AG1246"/>
    <mergeCell ref="E1247:AG1247"/>
    <mergeCell ref="E1248:AG1248"/>
    <mergeCell ref="E1249:AG1249"/>
    <mergeCell ref="E1250:AG1250"/>
    <mergeCell ref="E1251:AG1251"/>
    <mergeCell ref="E1252:AG1252"/>
    <mergeCell ref="E1253:AG1253"/>
    <mergeCell ref="E1254:AG1254"/>
    <mergeCell ref="AH1254:AK1254"/>
    <mergeCell ref="AH1255:AK1255"/>
    <mergeCell ref="AH1240:AK1240"/>
    <mergeCell ref="AH1241:AK1241"/>
    <mergeCell ref="AH1242:AK1242"/>
    <mergeCell ref="AH1243:AK1243"/>
    <mergeCell ref="AH1244:AK1244"/>
    <mergeCell ref="AH1245:AK1245"/>
    <mergeCell ref="AH1246:AK1246"/>
    <mergeCell ref="AH1247:AK1247"/>
  </mergeCells>
  <conditionalFormatting sqref="B13:AZ14">
    <cfRule type="expression" dxfId="199" priority="225">
      <formula>$AJ$10&lt;&gt;""</formula>
    </cfRule>
  </conditionalFormatting>
  <conditionalFormatting sqref="B36:M37">
    <cfRule type="cellIs" dxfId="198" priority="217" operator="notEqual">
      <formula>""</formula>
    </cfRule>
  </conditionalFormatting>
  <conditionalFormatting sqref="AG22">
    <cfRule type="cellIs" dxfId="197" priority="216" operator="equal">
      <formula>"Não se Aplica"</formula>
    </cfRule>
  </conditionalFormatting>
  <conditionalFormatting sqref="O39:BA40 O42:BA45 O47:BA54 O63:BA64 V66:AE67 AO66:BA67 B71:AS73 O56:BA61">
    <cfRule type="expression" dxfId="196" priority="215">
      <formula>$Z$32&gt;=1</formula>
    </cfRule>
  </conditionalFormatting>
  <conditionalFormatting sqref="AT71:BA73">
    <cfRule type="expression" dxfId="195" priority="214">
      <formula>$Z$32&gt;=1</formula>
    </cfRule>
  </conditionalFormatting>
  <conditionalFormatting sqref="B69:BA70">
    <cfRule type="expression" dxfId="194" priority="213">
      <formula>$Z$32&gt;=1</formula>
    </cfRule>
  </conditionalFormatting>
  <conditionalFormatting sqref="B76:M77">
    <cfRule type="cellIs" dxfId="193" priority="212" operator="notEqual">
      <formula>""</formula>
    </cfRule>
  </conditionalFormatting>
  <conditionalFormatting sqref="B116:M117">
    <cfRule type="cellIs" dxfId="192" priority="208" operator="notEqual">
      <formula>""</formula>
    </cfRule>
  </conditionalFormatting>
  <conditionalFormatting sqref="B156:M157">
    <cfRule type="cellIs" dxfId="191" priority="204" operator="notEqual">
      <formula>""</formula>
    </cfRule>
  </conditionalFormatting>
  <conditionalFormatting sqref="B196:M197">
    <cfRule type="cellIs" dxfId="190" priority="203" operator="notEqual">
      <formula>""</formula>
    </cfRule>
  </conditionalFormatting>
  <conditionalFormatting sqref="B236:M237">
    <cfRule type="cellIs" dxfId="189" priority="202" operator="notEqual">
      <formula>""</formula>
    </cfRule>
  </conditionalFormatting>
  <conditionalFormatting sqref="B276:M277">
    <cfRule type="cellIs" dxfId="188" priority="201" operator="notEqual">
      <formula>""</formula>
    </cfRule>
  </conditionalFormatting>
  <conditionalFormatting sqref="B316:M317">
    <cfRule type="cellIs" dxfId="187" priority="200" operator="notEqual">
      <formula>""</formula>
    </cfRule>
  </conditionalFormatting>
  <conditionalFormatting sqref="B356:M357">
    <cfRule type="cellIs" dxfId="186" priority="199" operator="notEqual">
      <formula>""</formula>
    </cfRule>
  </conditionalFormatting>
  <conditionalFormatting sqref="B396:M397">
    <cfRule type="cellIs" dxfId="185" priority="198" operator="notEqual">
      <formula>""</formula>
    </cfRule>
  </conditionalFormatting>
  <conditionalFormatting sqref="B436:M437">
    <cfRule type="cellIs" dxfId="184" priority="197" operator="notEqual">
      <formula>""</formula>
    </cfRule>
  </conditionalFormatting>
  <conditionalFormatting sqref="B476:M477">
    <cfRule type="cellIs" dxfId="183" priority="196" operator="notEqual">
      <formula>""</formula>
    </cfRule>
  </conditionalFormatting>
  <conditionalFormatting sqref="B516:M517">
    <cfRule type="cellIs" dxfId="182" priority="195" operator="notEqual">
      <formula>""</formula>
    </cfRule>
  </conditionalFormatting>
  <conditionalFormatting sqref="B556:M557">
    <cfRule type="cellIs" dxfId="181" priority="194" operator="notEqual">
      <formula>""</formula>
    </cfRule>
  </conditionalFormatting>
  <conditionalFormatting sqref="B596:M597">
    <cfRule type="cellIs" dxfId="180" priority="193" operator="notEqual">
      <formula>""</formula>
    </cfRule>
  </conditionalFormatting>
  <conditionalFormatting sqref="B636:M637">
    <cfRule type="cellIs" dxfId="179" priority="192" operator="notEqual">
      <formula>""</formula>
    </cfRule>
  </conditionalFormatting>
  <conditionalFormatting sqref="B676:M677">
    <cfRule type="cellIs" dxfId="178" priority="191" operator="notEqual">
      <formula>""</formula>
    </cfRule>
  </conditionalFormatting>
  <conditionalFormatting sqref="B716:M717">
    <cfRule type="cellIs" dxfId="177" priority="190" operator="notEqual">
      <formula>""</formula>
    </cfRule>
  </conditionalFormatting>
  <conditionalFormatting sqref="B756:M757">
    <cfRule type="cellIs" dxfId="176" priority="189" operator="notEqual">
      <formula>""</formula>
    </cfRule>
  </conditionalFormatting>
  <conditionalFormatting sqref="B796:M797">
    <cfRule type="cellIs" dxfId="175" priority="188" operator="notEqual">
      <formula>""</formula>
    </cfRule>
  </conditionalFormatting>
  <conditionalFormatting sqref="O79:BA80 O82:BA85 O87:BA94 O103:BA104 V106:AE107 AO106:BA107 B111:AS113 O96:BA101">
    <cfRule type="expression" dxfId="174" priority="187">
      <formula>$Z$32&gt;=2</formula>
    </cfRule>
  </conditionalFormatting>
  <conditionalFormatting sqref="AT111:BA113">
    <cfRule type="expression" dxfId="173" priority="186">
      <formula>$Z$32&gt;=2</formula>
    </cfRule>
  </conditionalFormatting>
  <conditionalFormatting sqref="B109:BA110">
    <cfRule type="expression" dxfId="172" priority="185">
      <formula>$Z$32&gt;=2</formula>
    </cfRule>
  </conditionalFormatting>
  <conditionalFormatting sqref="O119:BA120 O122:BA125 O127:BA134 O143:BA144 V146:AE147 AO146:BA147 B151:AS151 O136:BA141">
    <cfRule type="expression" dxfId="171" priority="184">
      <formula>$Z$32&gt;=3</formula>
    </cfRule>
  </conditionalFormatting>
  <conditionalFormatting sqref="AT151:BA153">
    <cfRule type="expression" dxfId="170" priority="183">
      <formula>$Z$32&gt;=3</formula>
    </cfRule>
  </conditionalFormatting>
  <conditionalFormatting sqref="B149:BA150">
    <cfRule type="expression" dxfId="169" priority="182">
      <formula>$Z$32&gt;=3</formula>
    </cfRule>
  </conditionalFormatting>
  <conditionalFormatting sqref="O159:BA160 O162:BA165 O167:BA174 O183:BA184 V186:AE187 AO186:BA187 B191:AS193 O176:BA181">
    <cfRule type="expression" dxfId="168" priority="181">
      <formula>$Z$32&gt;=4</formula>
    </cfRule>
  </conditionalFormatting>
  <conditionalFormatting sqref="AT191:BA193">
    <cfRule type="expression" dxfId="167" priority="180">
      <formula>$Z$32&gt;=4</formula>
    </cfRule>
  </conditionalFormatting>
  <conditionalFormatting sqref="B189:BA190">
    <cfRule type="expression" dxfId="166" priority="179">
      <formula>$Z$32&gt;=4</formula>
    </cfRule>
  </conditionalFormatting>
  <conditionalFormatting sqref="O199:BA200 O202:BA205 O207:BA214 O223:BA224 V226:AE227 AO226:BA227 B231:AS233 O216:BA221">
    <cfRule type="expression" dxfId="165" priority="178">
      <formula>$Z$32&gt;=5</formula>
    </cfRule>
  </conditionalFormatting>
  <conditionalFormatting sqref="AT231:BA233">
    <cfRule type="expression" dxfId="164" priority="177">
      <formula>$Z$32&gt;=5</formula>
    </cfRule>
  </conditionalFormatting>
  <conditionalFormatting sqref="B229:BA230">
    <cfRule type="expression" dxfId="163" priority="176">
      <formula>$Z$32&gt;=5</formula>
    </cfRule>
  </conditionalFormatting>
  <conditionalFormatting sqref="O239:BA240 O242:BA245 O247:BA254 O263:BA264 V266:AE267 AO266:BA267 B271:AS273 O256:BA261">
    <cfRule type="expression" dxfId="162" priority="175">
      <formula>$Z$32&gt;=6</formula>
    </cfRule>
  </conditionalFormatting>
  <conditionalFormatting sqref="AT271:BA273">
    <cfRule type="expression" dxfId="161" priority="174">
      <formula>$Z$32&gt;=6</formula>
    </cfRule>
  </conditionalFormatting>
  <conditionalFormatting sqref="B269:BA270">
    <cfRule type="expression" dxfId="160" priority="173">
      <formula>$Z$32&gt;=6</formula>
    </cfRule>
  </conditionalFormatting>
  <conditionalFormatting sqref="O279:BA280 O282:BA285 O287:BA294 O303:BA304 V306:AE307 AO306:BA307 B311:AS313 O296:BA301">
    <cfRule type="expression" dxfId="159" priority="172">
      <formula>$Z$32&gt;=7</formula>
    </cfRule>
  </conditionalFormatting>
  <conditionalFormatting sqref="AT311:BA313">
    <cfRule type="expression" dxfId="158" priority="171">
      <formula>$Z$32&gt;=7</formula>
    </cfRule>
  </conditionalFormatting>
  <conditionalFormatting sqref="B309:BA310">
    <cfRule type="expression" dxfId="157" priority="170">
      <formula>$Z$32&gt;=7</formula>
    </cfRule>
  </conditionalFormatting>
  <conditionalFormatting sqref="O319:BA320 O322:BA325 O327:BA334 O343:BA344 V346:AE347 AO346:BA347 B351:AS353 O336:BA341">
    <cfRule type="expression" dxfId="156" priority="169">
      <formula>$Z$32&gt;=8</formula>
    </cfRule>
  </conditionalFormatting>
  <conditionalFormatting sqref="AT351:BA353">
    <cfRule type="expression" dxfId="155" priority="168">
      <formula>$Z$32&gt;=8</formula>
    </cfRule>
  </conditionalFormatting>
  <conditionalFormatting sqref="B349:BA350">
    <cfRule type="expression" dxfId="154" priority="167">
      <formula>$Z$32&gt;=8</formula>
    </cfRule>
  </conditionalFormatting>
  <conditionalFormatting sqref="O359:BA360 O362:BA365 O367:BA374 O383:BA384 V386:AE387 AO386:BA387 B391:AS393 O376:BA381">
    <cfRule type="expression" dxfId="153" priority="166">
      <formula>$Z$32&gt;=9</formula>
    </cfRule>
  </conditionalFormatting>
  <conditionalFormatting sqref="AT391:BA393">
    <cfRule type="expression" dxfId="152" priority="165">
      <formula>$Z$32&gt;=9</formula>
    </cfRule>
  </conditionalFormatting>
  <conditionalFormatting sqref="B389:BA390">
    <cfRule type="expression" dxfId="151" priority="164">
      <formula>$Z$32&gt;=9</formula>
    </cfRule>
  </conditionalFormatting>
  <conditionalFormatting sqref="O399:BA400 O402:BA405 O407:BA414 O423:BA424 V426:AE427 AO426:BA427 B431:AS433 O416:BA421">
    <cfRule type="expression" dxfId="150" priority="163">
      <formula>$Z$32&gt;=10</formula>
    </cfRule>
  </conditionalFormatting>
  <conditionalFormatting sqref="AT431:BA433">
    <cfRule type="expression" dxfId="149" priority="162">
      <formula>$Z$32&gt;=10</formula>
    </cfRule>
  </conditionalFormatting>
  <conditionalFormatting sqref="B429:BA430">
    <cfRule type="expression" dxfId="148" priority="161">
      <formula>$Z$32&gt;=10</formula>
    </cfRule>
  </conditionalFormatting>
  <conditionalFormatting sqref="O439:BA440 O442:BA445 O447:BA454 O463:BA464 V466:AE467 AO466:BA467 B471:AS473 O456:BA461">
    <cfRule type="expression" dxfId="147" priority="160">
      <formula>$Z$32&gt;=11</formula>
    </cfRule>
  </conditionalFormatting>
  <conditionalFormatting sqref="AT471:BA473">
    <cfRule type="expression" dxfId="146" priority="159">
      <formula>$Z$32&gt;=11</formula>
    </cfRule>
  </conditionalFormatting>
  <conditionalFormatting sqref="B469:BA470">
    <cfRule type="expression" dxfId="145" priority="158">
      <formula>$Z$32&gt;=11</formula>
    </cfRule>
  </conditionalFormatting>
  <conditionalFormatting sqref="O479:BA480 O482:BA485 O487:BA494 O503:BA504 V506:AE507 AO506:BA507 B511:AS513 O496:BA501">
    <cfRule type="expression" dxfId="144" priority="157">
      <formula>$Z$32&gt;=12</formula>
    </cfRule>
  </conditionalFormatting>
  <conditionalFormatting sqref="AT511:BA513">
    <cfRule type="expression" dxfId="143" priority="156">
      <formula>$Z$32&gt;=12</formula>
    </cfRule>
  </conditionalFormatting>
  <conditionalFormatting sqref="B509:BA510">
    <cfRule type="expression" dxfId="142" priority="155">
      <formula>$Z$32&gt;=12</formula>
    </cfRule>
  </conditionalFormatting>
  <conditionalFormatting sqref="O519:BA520 O522:BA525 O527:BA534 O543:BA544 V546:AE547 AO546:BA547 B551:AS553 O536:BA541">
    <cfRule type="expression" dxfId="141" priority="154">
      <formula>$Z$32&gt;=13</formula>
    </cfRule>
  </conditionalFormatting>
  <conditionalFormatting sqref="AT551:BA553">
    <cfRule type="expression" dxfId="140" priority="153">
      <formula>$Z$32&gt;=13</formula>
    </cfRule>
  </conditionalFormatting>
  <conditionalFormatting sqref="B549:BA550">
    <cfRule type="expression" dxfId="139" priority="152">
      <formula>$Z$32&gt;=13</formula>
    </cfRule>
  </conditionalFormatting>
  <conditionalFormatting sqref="O559:BA560 O562:BA565 O567:BA574 O583:BA584 V586:AE587 AO586:BA587 B591:AS593 O576:BA581">
    <cfRule type="expression" dxfId="138" priority="151">
      <formula>$Z$32&gt;=14</formula>
    </cfRule>
  </conditionalFormatting>
  <conditionalFormatting sqref="AT591:BA593">
    <cfRule type="expression" dxfId="137" priority="150">
      <formula>$Z$32&gt;=14</formula>
    </cfRule>
  </conditionalFormatting>
  <conditionalFormatting sqref="B589:BA590">
    <cfRule type="expression" dxfId="136" priority="149">
      <formula>$Z$32&gt;=14</formula>
    </cfRule>
  </conditionalFormatting>
  <conditionalFormatting sqref="O599:BA600 O602:BA605 O607:BA614 O623:BA624 V626:AE627 AO626:BA627 B631:AS633 O616:BA621">
    <cfRule type="expression" dxfId="135" priority="148">
      <formula>$Z$32&gt;=15</formula>
    </cfRule>
  </conditionalFormatting>
  <conditionalFormatting sqref="AT631:BA633">
    <cfRule type="expression" dxfId="134" priority="147">
      <formula>$Z$32&gt;=15</formula>
    </cfRule>
  </conditionalFormatting>
  <conditionalFormatting sqref="B629:BA630">
    <cfRule type="expression" dxfId="133" priority="146">
      <formula>$Z$32&gt;=15</formula>
    </cfRule>
  </conditionalFormatting>
  <conditionalFormatting sqref="O639:BA640 O642:BA645 O647:BA654 O663:BA664 V666:AE667 AO666:BA667 B671:AS673 O656:BA661">
    <cfRule type="expression" dxfId="132" priority="145">
      <formula>$Z$32&gt;=16</formula>
    </cfRule>
  </conditionalFormatting>
  <conditionalFormatting sqref="AT671:BA673">
    <cfRule type="expression" dxfId="131" priority="144">
      <formula>$Z$32&gt;=16</formula>
    </cfRule>
  </conditionalFormatting>
  <conditionalFormatting sqref="B669:BA670">
    <cfRule type="expression" dxfId="130" priority="143">
      <formula>$Z$32&gt;=16</formula>
    </cfRule>
  </conditionalFormatting>
  <conditionalFormatting sqref="O679:BA680 O682:BA685 O687:BA694 O703:BA704 V706:AE707 AO706:BA707 B711:AS713 O696:BA701">
    <cfRule type="expression" dxfId="129" priority="142">
      <formula>$Z$32&gt;=17</formula>
    </cfRule>
  </conditionalFormatting>
  <conditionalFormatting sqref="AT711:BA713">
    <cfRule type="expression" dxfId="128" priority="141">
      <formula>$Z$32&gt;=17</formula>
    </cfRule>
  </conditionalFormatting>
  <conditionalFormatting sqref="B709:BA710">
    <cfRule type="expression" dxfId="127" priority="140">
      <formula>$Z$32&gt;=17</formula>
    </cfRule>
  </conditionalFormatting>
  <conditionalFormatting sqref="O719:BA720 O722:BA725 O727:BA734 O743:BA744 V746:AE747 AO746:BA747 B751:AS753 O736:BA741">
    <cfRule type="expression" dxfId="126" priority="139">
      <formula>$Z$32&gt;=18</formula>
    </cfRule>
  </conditionalFormatting>
  <conditionalFormatting sqref="AT751:BA753">
    <cfRule type="expression" dxfId="125" priority="138">
      <formula>$Z$32&gt;=18</formula>
    </cfRule>
  </conditionalFormatting>
  <conditionalFormatting sqref="B749:BA750">
    <cfRule type="expression" dxfId="124" priority="137">
      <formula>$Z$32&gt;=18</formula>
    </cfRule>
  </conditionalFormatting>
  <conditionalFormatting sqref="O759:BA760 O762:BA765 O767:BA774 O783:BA784 V786:AE787 AO786:BA787 B791:AS793 O776:BA781">
    <cfRule type="expression" dxfId="123" priority="136">
      <formula>$Z$32&gt;=19</formula>
    </cfRule>
  </conditionalFormatting>
  <conditionalFormatting sqref="AT791:BA793">
    <cfRule type="expression" dxfId="122" priority="135">
      <formula>$Z$32&gt;=19</formula>
    </cfRule>
  </conditionalFormatting>
  <conditionalFormatting sqref="B789:BA790">
    <cfRule type="expression" dxfId="121" priority="134">
      <formula>$Z$32&gt;=19</formula>
    </cfRule>
  </conditionalFormatting>
  <conditionalFormatting sqref="O799:BA800 O802:BA805 O807:BA814 O823:BA824 V826:AE827 AO826:BA827 B831:AS833 O816:BA821">
    <cfRule type="expression" dxfId="120" priority="133">
      <formula>$Z$32&gt;=20</formula>
    </cfRule>
  </conditionalFormatting>
  <conditionalFormatting sqref="AT831:BA833">
    <cfRule type="expression" dxfId="119" priority="132">
      <formula>$Z$32&gt;=20</formula>
    </cfRule>
  </conditionalFormatting>
  <conditionalFormatting sqref="B829:BA830">
    <cfRule type="expression" dxfId="118" priority="131">
      <formula>$Z$32&gt;=20</formula>
    </cfRule>
  </conditionalFormatting>
  <conditionalFormatting sqref="B1239:C1239 E1239:BA1239">
    <cfRule type="expression" dxfId="117" priority="103">
      <formula>$Z$32&lt;&gt;""</formula>
    </cfRule>
  </conditionalFormatting>
  <conditionalFormatting sqref="B1236:BA1237">
    <cfRule type="expression" dxfId="116" priority="101">
      <formula>$Z$32&lt;&gt;""</formula>
    </cfRule>
  </conditionalFormatting>
  <conditionalFormatting sqref="B836:M837">
    <cfRule type="cellIs" dxfId="115" priority="97" operator="notEqual">
      <formula>""</formula>
    </cfRule>
  </conditionalFormatting>
  <conditionalFormatting sqref="B876:M877">
    <cfRule type="cellIs" dxfId="114" priority="96" operator="notEqual">
      <formula>""</formula>
    </cfRule>
  </conditionalFormatting>
  <conditionalFormatting sqref="B916:M917">
    <cfRule type="cellIs" dxfId="113" priority="95" operator="notEqual">
      <formula>""</formula>
    </cfRule>
  </conditionalFormatting>
  <conditionalFormatting sqref="B956:M957">
    <cfRule type="cellIs" dxfId="112" priority="94" operator="notEqual">
      <formula>""</formula>
    </cfRule>
  </conditionalFormatting>
  <conditionalFormatting sqref="B996:M997">
    <cfRule type="cellIs" dxfId="111" priority="93" operator="notEqual">
      <formula>""</formula>
    </cfRule>
  </conditionalFormatting>
  <conditionalFormatting sqref="B1036:M1037">
    <cfRule type="cellIs" dxfId="110" priority="92" operator="notEqual">
      <formula>""</formula>
    </cfRule>
  </conditionalFormatting>
  <conditionalFormatting sqref="B1076:M1077">
    <cfRule type="cellIs" dxfId="109" priority="91" operator="notEqual">
      <formula>""</formula>
    </cfRule>
  </conditionalFormatting>
  <conditionalFormatting sqref="B1116:M1117">
    <cfRule type="cellIs" dxfId="108" priority="90" operator="notEqual">
      <formula>""</formula>
    </cfRule>
  </conditionalFormatting>
  <conditionalFormatting sqref="B1156:M1157">
    <cfRule type="cellIs" dxfId="107" priority="89" operator="notEqual">
      <formula>""</formula>
    </cfRule>
  </conditionalFormatting>
  <conditionalFormatting sqref="B1196:M1197">
    <cfRule type="cellIs" dxfId="106" priority="88" operator="notEqual">
      <formula>""</formula>
    </cfRule>
  </conditionalFormatting>
  <conditionalFormatting sqref="O839:BA840 O842:BA845 O847:BA854 O863:BA864 V866:AE867 AO866:BA867 B871:AS873 O856:BA861">
    <cfRule type="expression" dxfId="105" priority="87">
      <formula>$Z$32&gt;=21</formula>
    </cfRule>
  </conditionalFormatting>
  <conditionalFormatting sqref="AT871:BA873">
    <cfRule type="expression" dxfId="104" priority="86">
      <formula>$Z$32&gt;=21</formula>
    </cfRule>
  </conditionalFormatting>
  <conditionalFormatting sqref="B869:BA870">
    <cfRule type="expression" dxfId="103" priority="85">
      <formula>$Z$32&gt;=21</formula>
    </cfRule>
  </conditionalFormatting>
  <conditionalFormatting sqref="O879:BA880 O882:BA885 O887:BA894 O903:BA904 V906:AE907 AO906:BA907 B911:AS913 O896:BA901">
    <cfRule type="expression" dxfId="102" priority="84">
      <formula>$Z$32&gt;=22</formula>
    </cfRule>
  </conditionalFormatting>
  <conditionalFormatting sqref="AT911:BA913">
    <cfRule type="expression" dxfId="101" priority="83">
      <formula>$Z$32&gt;=22</formula>
    </cfRule>
  </conditionalFormatting>
  <conditionalFormatting sqref="B909:BA910">
    <cfRule type="expression" dxfId="100" priority="82">
      <formula>$Z$32&gt;=22</formula>
    </cfRule>
  </conditionalFormatting>
  <conditionalFormatting sqref="O919:BA920 O922:BA925 O927:BA934 O943:BA944 V946:AE947 AO946:BA947 B951:AS953 O936:BA941">
    <cfRule type="expression" dxfId="99" priority="81">
      <formula>$Z$32&gt;=23</formula>
    </cfRule>
  </conditionalFormatting>
  <conditionalFormatting sqref="AT951:BA953">
    <cfRule type="expression" dxfId="98" priority="80">
      <formula>$Z$32&gt;=23</formula>
    </cfRule>
  </conditionalFormatting>
  <conditionalFormatting sqref="B949:BA950">
    <cfRule type="expression" dxfId="97" priority="79">
      <formula>$Z$32&gt;=23</formula>
    </cfRule>
  </conditionalFormatting>
  <conditionalFormatting sqref="O959:BA960 O962:BA965 O967:BA974 O983:BA984 V986:AE987 AO986:BA987 B991:AS993 O976:BA981">
    <cfRule type="expression" dxfId="96" priority="78">
      <formula>$Z$32&gt;=24</formula>
    </cfRule>
  </conditionalFormatting>
  <conditionalFormatting sqref="AT991:BA993">
    <cfRule type="expression" dxfId="95" priority="77">
      <formula>$Z$32&gt;=24</formula>
    </cfRule>
  </conditionalFormatting>
  <conditionalFormatting sqref="B989:BA990">
    <cfRule type="expression" dxfId="94" priority="76">
      <formula>$Z$32&gt;=24</formula>
    </cfRule>
  </conditionalFormatting>
  <conditionalFormatting sqref="O999:BA1000 O1002:BA1005 O1007:BA1014 O1023:BA1024 V1026:AE1027 AO1026:BA1027 B1031:AS1033 O1016:BA1021">
    <cfRule type="expression" dxfId="93" priority="75">
      <formula>$Z$32&gt;=25</formula>
    </cfRule>
  </conditionalFormatting>
  <conditionalFormatting sqref="AT1031:BA1033">
    <cfRule type="expression" dxfId="92" priority="74">
      <formula>$Z$32&gt;=25</formula>
    </cfRule>
  </conditionalFormatting>
  <conditionalFormatting sqref="B1029:BA1030">
    <cfRule type="expression" dxfId="91" priority="73">
      <formula>$Z$32&gt;=25</formula>
    </cfRule>
  </conditionalFormatting>
  <conditionalFormatting sqref="O1039:BA1040 O1042:BA1045 O1047:BA1054 O1063:BA1064 V1066:AE1067 AO1066:BA1067 B1071:AS1073 O1056:BA1061">
    <cfRule type="expression" dxfId="90" priority="72">
      <formula>$Z$32&gt;=26</formula>
    </cfRule>
  </conditionalFormatting>
  <conditionalFormatting sqref="AT1071:BA1073">
    <cfRule type="expression" dxfId="89" priority="71">
      <formula>$Z$32&gt;=26</formula>
    </cfRule>
  </conditionalFormatting>
  <conditionalFormatting sqref="B1069:BA1070">
    <cfRule type="expression" dxfId="88" priority="70">
      <formula>$Z$32&gt;=26</formula>
    </cfRule>
  </conditionalFormatting>
  <conditionalFormatting sqref="O1079:BA1080 O1082:BA1085 O1087:BA1094 O1103:BA1104 V1106:AE1107 AO1106:BA1107 B1111:AS1113 O1096:BA1101">
    <cfRule type="expression" dxfId="87" priority="69">
      <formula>$Z$32&gt;=27</formula>
    </cfRule>
  </conditionalFormatting>
  <conditionalFormatting sqref="AT1111:BA1113">
    <cfRule type="expression" dxfId="86" priority="68">
      <formula>$Z$32&gt;=27</formula>
    </cfRule>
  </conditionalFormatting>
  <conditionalFormatting sqref="B1109:BA1110">
    <cfRule type="expression" dxfId="85" priority="67">
      <formula>$Z$32&gt;=27</formula>
    </cfRule>
  </conditionalFormatting>
  <conditionalFormatting sqref="O1119:BA1120 O1122:BA1125 O1127:BA1134 O1143:BA1144 V1146:AE1147 AO1146:BA1147 B1151:AS1153 O1136:BA1141">
    <cfRule type="expression" dxfId="84" priority="66">
      <formula>$Z$32&gt;=28</formula>
    </cfRule>
  </conditionalFormatting>
  <conditionalFormatting sqref="AT1151:BA1153">
    <cfRule type="expression" dxfId="83" priority="65">
      <formula>$Z$32&gt;=28</formula>
    </cfRule>
  </conditionalFormatting>
  <conditionalFormatting sqref="B1149:BA1150">
    <cfRule type="expression" dxfId="82" priority="64">
      <formula>$Z$32&gt;=28</formula>
    </cfRule>
  </conditionalFormatting>
  <conditionalFormatting sqref="O1159:BA1160 O1162:BA1165 O1167:BA1174 O1183:BA1184 V1186:AE1187 AO1186:BA1187 B1191:AS1193 O1176:BA1181">
    <cfRule type="expression" dxfId="81" priority="63">
      <formula>$Z$32&gt;=29</formula>
    </cfRule>
  </conditionalFormatting>
  <conditionalFormatting sqref="AT1191:BA1193">
    <cfRule type="expression" dxfId="80" priority="62">
      <formula>$Z$32&gt;=29</formula>
    </cfRule>
  </conditionalFormatting>
  <conditionalFormatting sqref="B1189:BA1190">
    <cfRule type="expression" dxfId="79" priority="61">
      <formula>$Z$32&gt;=29</formula>
    </cfRule>
  </conditionalFormatting>
  <conditionalFormatting sqref="O1199:BA1200 O1202:BA1205 O1207:BA1214 O1223:BA1224 V1226:AE1227 AO1226:BA1227 B1231:AS1233 O1216:BA1221">
    <cfRule type="expression" dxfId="78" priority="60">
      <formula>$Z$32&gt;=30</formula>
    </cfRule>
  </conditionalFormatting>
  <conditionalFormatting sqref="AT1231:BA1233">
    <cfRule type="expression" dxfId="77" priority="59">
      <formula>$Z$32&gt;=30</formula>
    </cfRule>
  </conditionalFormatting>
  <conditionalFormatting sqref="B1229:BA1230">
    <cfRule type="expression" dxfId="76" priority="58">
      <formula>$Z$32&gt;=30</formula>
    </cfRule>
  </conditionalFormatting>
  <conditionalFormatting sqref="B1240:C1240 E1240:BA1240">
    <cfRule type="expression" dxfId="75" priority="55">
      <formula>$Z$32&gt;=1</formula>
    </cfRule>
  </conditionalFormatting>
  <conditionalFormatting sqref="B1241:C1241 E1241:BA1241">
    <cfRule type="expression" dxfId="74" priority="50">
      <formula>$Z$32&gt;=2</formula>
    </cfRule>
  </conditionalFormatting>
  <conditionalFormatting sqref="B1242:C1242 E1242:BA1242">
    <cfRule type="expression" dxfId="73" priority="49">
      <formula>$Z$32&gt;=3</formula>
    </cfRule>
  </conditionalFormatting>
  <conditionalFormatting sqref="B1243:C1243 E1243:BA1243">
    <cfRule type="expression" dxfId="72" priority="48">
      <formula>$Z$32&gt;=4</formula>
    </cfRule>
  </conditionalFormatting>
  <conditionalFormatting sqref="B1244:C1244 E1244:BA1244">
    <cfRule type="expression" dxfId="71" priority="47">
      <formula>$Z$32&gt;=5</formula>
    </cfRule>
  </conditionalFormatting>
  <conditionalFormatting sqref="B1245:C1245 E1245:BA1245">
    <cfRule type="expression" dxfId="70" priority="46">
      <formula>$Z$32&gt;=6</formula>
    </cfRule>
  </conditionalFormatting>
  <conditionalFormatting sqref="B1246:C1246 E1246:BA1246">
    <cfRule type="expression" dxfId="69" priority="45">
      <formula>$Z$32&gt;=7</formula>
    </cfRule>
  </conditionalFormatting>
  <conditionalFormatting sqref="B1247:C1247 E1247:BA1247">
    <cfRule type="expression" dxfId="68" priority="44">
      <formula>$Z$32&gt;=8</formula>
    </cfRule>
  </conditionalFormatting>
  <conditionalFormatting sqref="B1248:C1248 E1248:BA1248">
    <cfRule type="expression" dxfId="67" priority="43">
      <formula>$Z$32&gt;=9</formula>
    </cfRule>
  </conditionalFormatting>
  <conditionalFormatting sqref="B1249:C1249 E1249:BA1249">
    <cfRule type="expression" dxfId="66" priority="42">
      <formula>$Z$32&gt;=10</formula>
    </cfRule>
  </conditionalFormatting>
  <conditionalFormatting sqref="B1250:C1250 E1250:BA1250">
    <cfRule type="expression" dxfId="65" priority="41">
      <formula>$Z$32&gt;=11</formula>
    </cfRule>
  </conditionalFormatting>
  <conditionalFormatting sqref="B1251:C1251 E1251:BA1251">
    <cfRule type="expression" dxfId="64" priority="40">
      <formula>$Z$32&gt;=12</formula>
    </cfRule>
  </conditionalFormatting>
  <conditionalFormatting sqref="B1252:C1252 E1252:BA1252">
    <cfRule type="expression" dxfId="63" priority="39">
      <formula>$Z$32&gt;=13</formula>
    </cfRule>
  </conditionalFormatting>
  <conditionalFormatting sqref="B1253:C1253 E1253:BA1253">
    <cfRule type="expression" dxfId="62" priority="38">
      <formula>$Z$32&gt;=14</formula>
    </cfRule>
  </conditionalFormatting>
  <conditionalFormatting sqref="B1254:C1254 E1254:BA1254">
    <cfRule type="expression" dxfId="61" priority="37">
      <formula>$Z$32&gt;=15</formula>
    </cfRule>
  </conditionalFormatting>
  <conditionalFormatting sqref="B1255:C1255 E1255:BA1255">
    <cfRule type="expression" dxfId="60" priority="36">
      <formula>$Z$32&gt;=16</formula>
    </cfRule>
  </conditionalFormatting>
  <conditionalFormatting sqref="B1256:C1256 E1256:BA1256">
    <cfRule type="expression" dxfId="59" priority="35">
      <formula>$Z$32&gt;=17</formula>
    </cfRule>
  </conditionalFormatting>
  <conditionalFormatting sqref="B1257:C1257 E1257:BA1257">
    <cfRule type="expression" dxfId="58" priority="34">
      <formula>$Z$32&gt;=18</formula>
    </cfRule>
  </conditionalFormatting>
  <conditionalFormatting sqref="B1258:C1258 E1258:BA1258">
    <cfRule type="expression" dxfId="57" priority="33">
      <formula>$Z$32&gt;=19</formula>
    </cfRule>
  </conditionalFormatting>
  <conditionalFormatting sqref="B1259:C1259 E1259:BA1259">
    <cfRule type="expression" dxfId="56" priority="32">
      <formula>$Z$32&gt;=20</formula>
    </cfRule>
  </conditionalFormatting>
  <conditionalFormatting sqref="B1260:C1260 E1260:BA1260">
    <cfRule type="expression" dxfId="55" priority="31">
      <formula>$Z$32&gt;=21</formula>
    </cfRule>
  </conditionalFormatting>
  <conditionalFormatting sqref="B1261:C1261 E1261:BA1261">
    <cfRule type="expression" dxfId="54" priority="30">
      <formula>$Z$32&gt;=22</formula>
    </cfRule>
  </conditionalFormatting>
  <conditionalFormatting sqref="B1262:C1262 E1262:BA1262">
    <cfRule type="expression" dxfId="53" priority="29">
      <formula>$Z$32&gt;=23</formula>
    </cfRule>
  </conditionalFormatting>
  <conditionalFormatting sqref="B1263:C1263 E1263:BA1263">
    <cfRule type="expression" dxfId="52" priority="28">
      <formula>$Z$32&gt;=24</formula>
    </cfRule>
  </conditionalFormatting>
  <conditionalFormatting sqref="B1264:C1264 E1264:BA1264">
    <cfRule type="expression" dxfId="51" priority="27">
      <formula>$Z$32&gt;=25</formula>
    </cfRule>
  </conditionalFormatting>
  <conditionalFormatting sqref="B1265:C1265 E1265:BA1265">
    <cfRule type="expression" dxfId="50" priority="26">
      <formula>$Z$32&gt;=26</formula>
    </cfRule>
  </conditionalFormatting>
  <conditionalFormatting sqref="B1266:C1266 E1266:BA1266">
    <cfRule type="expression" dxfId="49" priority="25">
      <formula>$Z$32&gt;=27</formula>
    </cfRule>
  </conditionalFormatting>
  <conditionalFormatting sqref="B1267:C1267 E1267:BA1267">
    <cfRule type="expression" dxfId="48" priority="24">
      <formula>$Z$32&gt;=28</formula>
    </cfRule>
  </conditionalFormatting>
  <conditionalFormatting sqref="B1268:C1268 E1268:BA1268">
    <cfRule type="expression" dxfId="47" priority="23">
      <formula>$Z$32&gt;=29</formula>
    </cfRule>
  </conditionalFormatting>
  <conditionalFormatting sqref="B1269:C1269 E1269:BA1269">
    <cfRule type="expression" dxfId="46" priority="22">
      <formula>$Z$32&gt;=30</formula>
    </cfRule>
  </conditionalFormatting>
  <conditionalFormatting sqref="AG23">
    <cfRule type="cellIs" dxfId="45" priority="14" operator="equal">
      <formula>"Não se Aplica"</formula>
    </cfRule>
  </conditionalFormatting>
  <conditionalFormatting sqref="AG24">
    <cfRule type="cellIs" dxfId="44" priority="13" operator="equal">
      <formula>"Não se Aplica"</formula>
    </cfRule>
  </conditionalFormatting>
  <conditionalFormatting sqref="AG25">
    <cfRule type="cellIs" dxfId="43" priority="12" operator="equal">
      <formula>"Não se Aplica"</formula>
    </cfRule>
  </conditionalFormatting>
  <conditionalFormatting sqref="AG26">
    <cfRule type="cellIs" dxfId="42" priority="11" operator="equal">
      <formula>"Não se Aplica"</formula>
    </cfRule>
  </conditionalFormatting>
  <conditionalFormatting sqref="AG27">
    <cfRule type="cellIs" dxfId="41" priority="10" operator="equal">
      <formula>"Não se Aplica"</formula>
    </cfRule>
  </conditionalFormatting>
  <conditionalFormatting sqref="AG28">
    <cfRule type="cellIs" dxfId="40" priority="9" operator="equal">
      <formula>"Não se Aplica"</formula>
    </cfRule>
  </conditionalFormatting>
  <conditionalFormatting sqref="B22">
    <cfRule type="expression" dxfId="39" priority="4926">
      <formula>$AG$22="Não se Aplica"</formula>
    </cfRule>
  </conditionalFormatting>
  <conditionalFormatting sqref="B23">
    <cfRule type="expression" dxfId="38" priority="4927">
      <formula>$AG$23="Não se Aplica"</formula>
    </cfRule>
  </conditionalFormatting>
  <conditionalFormatting sqref="B24">
    <cfRule type="expression" dxfId="37" priority="4928">
      <formula>$AG$24="Não se Aplica"</formula>
    </cfRule>
  </conditionalFormatting>
  <conditionalFormatting sqref="B25">
    <cfRule type="expression" dxfId="36" priority="4929">
      <formula>$AG$25="Não se Aplica"</formula>
    </cfRule>
  </conditionalFormatting>
  <conditionalFormatting sqref="B26">
    <cfRule type="expression" dxfId="35" priority="4930">
      <formula>$AG$26="Não se Aplica"</formula>
    </cfRule>
  </conditionalFormatting>
  <conditionalFormatting sqref="B27">
    <cfRule type="expression" dxfId="34" priority="4931">
      <formula>$AG$27="Não se Aplica"</formula>
    </cfRule>
  </conditionalFormatting>
  <conditionalFormatting sqref="B28">
    <cfRule type="expression" dxfId="33" priority="4932">
      <formula>$AG$28="Não se Aplica"</formula>
    </cfRule>
  </conditionalFormatting>
  <conditionalFormatting sqref="AO22:BA28">
    <cfRule type="cellIs" dxfId="32" priority="2" operator="equal">
      <formula>"OK"</formula>
    </cfRule>
  </conditionalFormatting>
  <conditionalFormatting sqref="B152:AS153">
    <cfRule type="expression" dxfId="31" priority="1">
      <formula>$Z$32&gt;=2</formula>
    </cfRule>
  </conditionalFormatting>
  <dataValidations count="3">
    <dataValidation type="list" allowBlank="1" showInputMessage="1" showErrorMessage="1" error="Marque com um &quot;x&quot; (minúsculo), se aplicável." prompt="Marque com um &quot;x&quot; (minúsculo), se aplicável." sqref="AJ10:AL11 AT10:AV11" xr:uid="{7D493693-6F45-41F5-8877-189A9DABB38E}">
      <formula1>"x"</formula1>
    </dataValidation>
    <dataValidation type="list" allowBlank="1" showInputMessage="1" showErrorMessage="1" sqref="O1199 O759 O79 O119 O159 O199 O239 O279 O319 O359 O399 O439 O479 O519 O559 O599 O639 O679 O719 O799 O1159 O839 O879 O919 O959 O999 O1039 O1079 O1119 O39:BA40" xr:uid="{BEE24618-D7CC-48B5-A78F-6D15FF708186}">
      <formula1>$B$22:$B$28</formula1>
    </dataValidation>
    <dataValidation type="whole" allowBlank="1" showInputMessage="1" showErrorMessage="1" error="Selecione até 30 despesas!" prompt="Insira até 30 itens de despesa." sqref="Z32:AD33" xr:uid="{8CDC3CC0-36D0-4D4B-AA86-43FA951C4345}">
      <formula1>1</formula1>
      <formula2>30</formula2>
    </dataValidation>
  </dataValidations>
  <hyperlinks>
    <hyperlink ref="B2:BA4" location="MENU!A1" display="ANEXO II - PLANO DE TRABALHO - FORMULÁRIO ORÇAMENTÁRIO" xr:uid="{C4B39DDE-324F-4D6F-B7EA-41618C6DE323}"/>
  </hyperlinks>
  <pageMargins left="0.511811024" right="0.511811024" top="0.78740157499999996" bottom="0.78740157499999996" header="0.31496062000000002" footer="0.31496062000000002"/>
  <pageSetup paperSize="9" orientation="portrait" r:id="rId1"/>
  <rowBreaks count="1" manualBreakCount="1">
    <brk id="74" max="53" man="1"/>
  </rowBreaks>
  <ignoredErrors>
    <ignoredError sqref="AI1240:AK1240 AT1233:BA1233 AT1191:BA1193 AL1111:BA1113 AL1031:BA1033 AL952:BA953 AL871:AS873 AL791:BA793 AL711:BA713 AL631:BA633 AL551:BA553 AL512:BA513 AM433:BA433 AM353:BA353 AL272:BA273 AM233:BA233 AM151:AS151 AT1231:BA1231 AT1232:BA1232 AM231:BA231 AM232:BA232 AM271:BA271 AM351:BA351 AM352:BA352 AM431:BA431 AM432:BA432 AM511:BA511" unlockedFormula="1"/>
    <ignoredError sqref="AM1240:AS1240 AT193:BA193 AM313:BA313 AM393:BA393 AM473:BA473 AL591:BA593 AL671:BA673 AL751:BA753 AL831:BA833 AL911:BA913 AL951:BA951 AL991:BA993 AL1071:BA1073 AL1151:BA1153 AT111:BA111 AT112:BA112 AT113:BA113 AT151:BA153 AM191:BA191 AM192:BA192 AM311:BA311 AM312:BA312 AM391:BA391 AM392:BA392 AM471:BA471 AM472:BA472" evalError="1" unlockedFormula="1"/>
    <ignoredError sqref="AL1269:AS1269 AL1240 AU1240:BA1240 BB70:BB82 B109:BB110 B115:BB118 Y113:AG113 BB111:BB113 B189:BB190 B195:BB198 B193:AG193 BB191:BB193 B309:BB310 B315:BB318 C313:W313 BB311:BB313 B389:BB390 B395:BB398 C393:W393 BB391:BB393 B469:BB470 B475:BB478 C473:W473 BB471:BB473 B589:BB590 B595:BB630 B591:AG593 BB591:BB593 B669:BB670 B675:BB710 B671:AG673 BB671:BB673 B749:BB750 B755:BB790 B751:AG753 BB751:BB753 B829:BB830 B835:BB870 B831:AG833 BB831:BB833 B909:BB910 B951:AG951 BB951 B915:BB950 B911:AG913 BB911:BB913 B989:BB990 B995:BB1030 B991:AG993 BB991:BB993 B1069:BB1070 B1075:BB1110 B1071:AG1073 BB1071:BB1073 B1149:BB1150 B1155:BB1190 B1151:AG1153 BB1151:BB1153 BB1230 Y111:AG111 Y112:AG112 AL1241:AS1241 AL1242:AS1242 AL1243:AS1243 AL1244:AS1244 AL1245:AS1245 AL1246:AS1246 AL1247:AS1247 AL1248:AS1248 AL1249:AS1249 AL1250:AS1250 AL1251:AS1251 AL1252:AS1252 AL1253:AS1253 AL1254:AS1254 AL1255:AS1255 AL1256:AS1256 AL1257:AS1257 AL1258:AS1258 AL1259:AS1259 AL1260:AS1260 AL1261:AS1261 AL1262:AS1262 AL1263:AS1263 AL1264:AS1264 AL1265:AS1265 AL1266:AS1266 AL1267:AS1267 AL1268:AS1268 B114:AS114 BB114 B194:AS194 BB194 B314:AS314 BB314 B394:AS394 BB394 B474:AS474 BB474 B594:AS594 BB594 B674:AS674 BB674 B754:AS754 BB754 B834:AS834 BB834 B914:AS914 BB914 B994:AS994 BB994 B1074:AS1074 BB1074 B1154:AS1154 BB1154 B120:BB121 B119:N119 P119:BB119 B123:BB126 B122:N122 P122:BB122 B147:BB150 B146:U146 W146:AN146 AP146:BB146 B128:BB135 B127:N127 P127:BB127 B137:BB142 B136:N136 P136:BB136 B144:BB145 B143:N143 P143:BB143 C191:AG191 C192:AG192 B200:BB201 B199:N199 P199:BB199 B203:BB206 B202:N202 P202:BB202 B208:BB215 B207:N207 P207:BB207 B217:BB222 B216:N216 P216:BB216 B224:BB225 B223:N223 P223:BB223 B227:BB230 B226:U226 W226:AN226 AP226:BB226 C311:W311 C312:W312 Y311:AG311 Y312:AG312 Y313:AG313 B320:BB321 B319:N319 P319:BB319 B323:BB326 B322:N322 P322:BB322 B328:BB335 B327:N327 P327:BB327 B337:BB342 B336:N336 P336:BB336 B344:BB345 B343:N343 P343:BB343 B347:BB350 B346:U346 W346:AN346 AP346:BB346 C391:W391 Y391:AG391 C392:W392 Y392:AG392 Y393:AG393 B400:BB401 B399:N399 P399:BB399 B403:BB406 B402:N402 P402:BB402 B408:BB415 B407:N407 P407:BB407 B417:BB422 B416:N416 P416:BB416 B424:BB425 B423:N423 P423:BB423 B427:BB430 B426:U426 W426:AN426 AP426:BB426 C471:W471 C472:W472 Y471:AG471 Y472:AG472 Y473:AG473 B480:BB481 B479:N479 P479:BB479 B483:BB486 B482:N482 P482:BB482 B488:BB495 B487:N487 P487:BB487 B497:BB502 B496:N496 P496:BB496 B504:BB505 B503:N503 P503:BB503 B507:BB510 B506:U506 W506:AN506 AP506:BB506"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F444-A5E6-4A62-88DF-1B20686FB9ED}">
  <sheetPr>
    <tabColor theme="7" tint="0.79998168889431442"/>
  </sheetPr>
  <dimension ref="A1:GZ721"/>
  <sheetViews>
    <sheetView showGridLines="0" showRowColHeaders="0" topLeftCell="A49" zoomScaleNormal="100" zoomScaleSheetLayoutView="100" workbookViewId="0">
      <selection activeCell="B2" sqref="B2:BA4"/>
    </sheetView>
  </sheetViews>
  <sheetFormatPr defaultColWidth="0" defaultRowHeight="12.75" zeroHeight="1"/>
  <cols>
    <col min="1" max="108" width="1.7109375" customWidth="1"/>
    <col min="109" max="208" width="1.7109375" hidden="1" customWidth="1"/>
    <col min="209" max="16384" width="9.140625" hidden="1"/>
  </cols>
  <sheetData>
    <row r="1" spans="1:111" ht="9" customHeight="1" thickBo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row>
    <row r="2" spans="1:111" ht="9" customHeight="1">
      <c r="A2" s="129"/>
      <c r="B2" s="501" t="s">
        <v>424</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2"/>
      <c r="BB2" s="129"/>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row>
    <row r="3" spans="1:111" ht="9" customHeight="1">
      <c r="A3" s="129"/>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4"/>
      <c r="BB3" s="129"/>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row>
    <row r="4" spans="1:111" ht="9" customHeight="1">
      <c r="A4" s="129"/>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6"/>
      <c r="BB4" s="129"/>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row>
    <row r="5" spans="1:111" ht="9" customHeight="1">
      <c r="A5" s="129"/>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29"/>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row>
    <row r="6" spans="1:111" ht="9" customHeight="1">
      <c r="A6" s="129"/>
      <c r="B6" s="521" t="s">
        <v>425</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2"/>
      <c r="BB6" s="129"/>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row>
    <row r="7" spans="1:111" ht="9" customHeight="1">
      <c r="A7" s="129"/>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c r="AZ7" s="523"/>
      <c r="BA7" s="524"/>
      <c r="BB7" s="129"/>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row>
    <row r="8" spans="1:111" ht="9" customHeigh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row>
    <row r="9" spans="1:111" ht="9" customHeight="1">
      <c r="A9" s="128"/>
      <c r="B9" s="525" t="s">
        <v>426</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128"/>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row>
    <row r="10" spans="1:111" ht="9" customHeight="1">
      <c r="A10" s="128"/>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128"/>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row>
    <row r="11" spans="1:111" ht="4.5" customHeight="1">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row>
    <row r="12" spans="1:111" ht="9" customHeight="1">
      <c r="A12" s="128"/>
      <c r="B12" s="527" t="s">
        <v>427</v>
      </c>
      <c r="C12" s="527"/>
      <c r="D12" s="527"/>
      <c r="E12" s="527"/>
      <c r="F12" s="527"/>
      <c r="G12" s="527"/>
      <c r="H12" s="527"/>
      <c r="I12" s="527"/>
      <c r="J12" s="527"/>
      <c r="K12" s="527"/>
      <c r="L12" s="527"/>
      <c r="M12" s="527"/>
      <c r="N12" s="186"/>
      <c r="O12" s="546"/>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8"/>
      <c r="BB12" s="128"/>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row>
    <row r="13" spans="1:111" ht="9" customHeight="1">
      <c r="A13" s="128"/>
      <c r="B13" s="527"/>
      <c r="C13" s="527"/>
      <c r="D13" s="527"/>
      <c r="E13" s="527"/>
      <c r="F13" s="527"/>
      <c r="G13" s="527"/>
      <c r="H13" s="527"/>
      <c r="I13" s="527"/>
      <c r="J13" s="527"/>
      <c r="K13" s="527"/>
      <c r="L13" s="527"/>
      <c r="M13" s="527"/>
      <c r="N13" s="186"/>
      <c r="O13" s="549"/>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1"/>
      <c r="BB13" s="128"/>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row>
    <row r="14" spans="1:111" ht="9" customHeight="1">
      <c r="A14" s="128"/>
      <c r="B14" s="187"/>
      <c r="C14" s="187"/>
      <c r="D14" s="187"/>
      <c r="E14" s="187"/>
      <c r="F14" s="187"/>
      <c r="G14" s="187"/>
      <c r="H14" s="187"/>
      <c r="I14" s="188"/>
      <c r="J14" s="187"/>
      <c r="K14" s="187"/>
      <c r="L14" s="187"/>
      <c r="M14" s="187"/>
      <c r="N14" s="128"/>
      <c r="O14" s="549"/>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1"/>
      <c r="BB14" s="128"/>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row>
    <row r="15" spans="1:111" ht="9" customHeight="1">
      <c r="A15" s="128"/>
      <c r="B15" s="187"/>
      <c r="C15" s="187"/>
      <c r="D15" s="187"/>
      <c r="E15" s="187"/>
      <c r="F15" s="187"/>
      <c r="G15" s="187"/>
      <c r="H15" s="187"/>
      <c r="I15" s="188"/>
      <c r="J15" s="187"/>
      <c r="K15" s="187"/>
      <c r="L15" s="187"/>
      <c r="M15" s="187"/>
      <c r="N15" s="128"/>
      <c r="O15" s="552"/>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4"/>
      <c r="BB15" s="128"/>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row>
    <row r="16" spans="1:111" ht="4.5" customHeight="1">
      <c r="A16" s="128"/>
      <c r="B16" s="187"/>
      <c r="C16" s="187"/>
      <c r="D16" s="187"/>
      <c r="E16" s="187"/>
      <c r="F16" s="187"/>
      <c r="G16" s="187"/>
      <c r="H16" s="187"/>
      <c r="I16" s="188"/>
      <c r="J16" s="187"/>
      <c r="K16" s="187"/>
      <c r="L16" s="187"/>
      <c r="M16" s="18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row>
    <row r="17" spans="1:111" ht="9" customHeight="1">
      <c r="A17" s="128"/>
      <c r="B17" s="527" t="s">
        <v>428</v>
      </c>
      <c r="C17" s="527"/>
      <c r="D17" s="527"/>
      <c r="E17" s="527"/>
      <c r="F17" s="527"/>
      <c r="G17" s="527"/>
      <c r="H17" s="527"/>
      <c r="I17" s="527"/>
      <c r="J17" s="527"/>
      <c r="K17" s="527"/>
      <c r="L17" s="527"/>
      <c r="M17" s="527"/>
      <c r="N17" s="186"/>
      <c r="O17" s="528"/>
      <c r="P17" s="529"/>
      <c r="Q17" s="529"/>
      <c r="R17" s="529"/>
      <c r="S17" s="529"/>
      <c r="T17" s="529"/>
      <c r="U17" s="529"/>
      <c r="V17" s="529"/>
      <c r="W17" s="529"/>
      <c r="X17" s="529"/>
      <c r="Y17" s="529"/>
      <c r="Z17" s="530"/>
      <c r="AA17" s="128"/>
      <c r="AB17" s="128"/>
      <c r="AC17" s="527" t="s">
        <v>430</v>
      </c>
      <c r="AD17" s="527"/>
      <c r="AE17" s="527"/>
      <c r="AF17" s="527"/>
      <c r="AG17" s="527"/>
      <c r="AH17" s="527"/>
      <c r="AI17" s="527"/>
      <c r="AJ17" s="527"/>
      <c r="AK17" s="527"/>
      <c r="AL17" s="527"/>
      <c r="AM17" s="527"/>
      <c r="AN17" s="527"/>
      <c r="AO17" s="128"/>
      <c r="AP17" s="528"/>
      <c r="AQ17" s="529"/>
      <c r="AR17" s="529"/>
      <c r="AS17" s="529"/>
      <c r="AT17" s="529"/>
      <c r="AU17" s="529"/>
      <c r="AV17" s="529"/>
      <c r="AW17" s="529"/>
      <c r="AX17" s="529"/>
      <c r="AY17" s="529"/>
      <c r="AZ17" s="529"/>
      <c r="BA17" s="530"/>
      <c r="BB17" s="128"/>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row>
    <row r="18" spans="1:111" ht="9" customHeight="1">
      <c r="A18" s="128"/>
      <c r="B18" s="527"/>
      <c r="C18" s="527"/>
      <c r="D18" s="527"/>
      <c r="E18" s="527"/>
      <c r="F18" s="527"/>
      <c r="G18" s="527"/>
      <c r="H18" s="527"/>
      <c r="I18" s="527"/>
      <c r="J18" s="527"/>
      <c r="K18" s="527"/>
      <c r="L18" s="527"/>
      <c r="M18" s="527"/>
      <c r="N18" s="186"/>
      <c r="O18" s="531"/>
      <c r="P18" s="532"/>
      <c r="Q18" s="532"/>
      <c r="R18" s="532"/>
      <c r="S18" s="532"/>
      <c r="T18" s="532"/>
      <c r="U18" s="532"/>
      <c r="V18" s="532"/>
      <c r="W18" s="532"/>
      <c r="X18" s="532"/>
      <c r="Y18" s="532"/>
      <c r="Z18" s="533"/>
      <c r="AA18" s="128"/>
      <c r="AB18" s="128"/>
      <c r="AC18" s="527"/>
      <c r="AD18" s="527"/>
      <c r="AE18" s="527"/>
      <c r="AF18" s="527"/>
      <c r="AG18" s="527"/>
      <c r="AH18" s="527"/>
      <c r="AI18" s="527"/>
      <c r="AJ18" s="527"/>
      <c r="AK18" s="527"/>
      <c r="AL18" s="527"/>
      <c r="AM18" s="527"/>
      <c r="AN18" s="527"/>
      <c r="AO18" s="128"/>
      <c r="AP18" s="531"/>
      <c r="AQ18" s="532"/>
      <c r="AR18" s="532"/>
      <c r="AS18" s="532"/>
      <c r="AT18" s="532"/>
      <c r="AU18" s="532"/>
      <c r="AV18" s="532"/>
      <c r="AW18" s="532"/>
      <c r="AX18" s="532"/>
      <c r="AY18" s="532"/>
      <c r="AZ18" s="532"/>
      <c r="BA18" s="533"/>
      <c r="BB18" s="128"/>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row>
    <row r="19" spans="1:111" ht="4.5" customHeight="1">
      <c r="A19" s="128"/>
      <c r="B19" s="187"/>
      <c r="C19" s="187"/>
      <c r="D19" s="187"/>
      <c r="E19" s="187"/>
      <c r="F19" s="187"/>
      <c r="G19" s="187"/>
      <c r="H19" s="187"/>
      <c r="I19" s="187"/>
      <c r="J19" s="187"/>
      <c r="K19" s="187"/>
      <c r="L19" s="187"/>
      <c r="M19" s="187"/>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row>
    <row r="20" spans="1:111" ht="9" customHeight="1">
      <c r="A20" s="128"/>
      <c r="B20" s="527" t="s">
        <v>429</v>
      </c>
      <c r="C20" s="527"/>
      <c r="D20" s="527"/>
      <c r="E20" s="527"/>
      <c r="F20" s="527"/>
      <c r="G20" s="527"/>
      <c r="H20" s="527"/>
      <c r="I20" s="527"/>
      <c r="J20" s="527"/>
      <c r="K20" s="527"/>
      <c r="L20" s="527"/>
      <c r="M20" s="527"/>
      <c r="N20" s="186"/>
      <c r="O20" s="534"/>
      <c r="P20" s="535"/>
      <c r="Q20" s="535"/>
      <c r="R20" s="535"/>
      <c r="S20" s="535"/>
      <c r="T20" s="535"/>
      <c r="U20" s="535"/>
      <c r="V20" s="535"/>
      <c r="W20" s="535"/>
      <c r="X20" s="535"/>
      <c r="Y20" s="535"/>
      <c r="Z20" s="536"/>
      <c r="AA20" s="128"/>
      <c r="AB20" s="128"/>
      <c r="AC20" s="527" t="s">
        <v>431</v>
      </c>
      <c r="AD20" s="527"/>
      <c r="AE20" s="527"/>
      <c r="AF20" s="527"/>
      <c r="AG20" s="527"/>
      <c r="AH20" s="527"/>
      <c r="AI20" s="527"/>
      <c r="AJ20" s="527"/>
      <c r="AK20" s="527"/>
      <c r="AL20" s="527"/>
      <c r="AM20" s="527"/>
      <c r="AN20" s="527"/>
      <c r="AO20" s="128"/>
      <c r="AP20" s="540">
        <f>O20*O17</f>
        <v>0</v>
      </c>
      <c r="AQ20" s="541"/>
      <c r="AR20" s="541"/>
      <c r="AS20" s="541"/>
      <c r="AT20" s="541"/>
      <c r="AU20" s="541"/>
      <c r="AV20" s="541"/>
      <c r="AW20" s="541"/>
      <c r="AX20" s="541"/>
      <c r="AY20" s="541"/>
      <c r="AZ20" s="541"/>
      <c r="BA20" s="542"/>
      <c r="BB20" s="128"/>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row>
    <row r="21" spans="1:111" ht="9" customHeight="1">
      <c r="A21" s="128"/>
      <c r="B21" s="527"/>
      <c r="C21" s="527"/>
      <c r="D21" s="527"/>
      <c r="E21" s="527"/>
      <c r="F21" s="527"/>
      <c r="G21" s="527"/>
      <c r="H21" s="527"/>
      <c r="I21" s="527"/>
      <c r="J21" s="527"/>
      <c r="K21" s="527"/>
      <c r="L21" s="527"/>
      <c r="M21" s="527"/>
      <c r="N21" s="186"/>
      <c r="O21" s="537"/>
      <c r="P21" s="538"/>
      <c r="Q21" s="538"/>
      <c r="R21" s="538"/>
      <c r="S21" s="538"/>
      <c r="T21" s="538"/>
      <c r="U21" s="538"/>
      <c r="V21" s="538"/>
      <c r="W21" s="538"/>
      <c r="X21" s="538"/>
      <c r="Y21" s="538"/>
      <c r="Z21" s="539"/>
      <c r="AA21" s="128"/>
      <c r="AB21" s="128"/>
      <c r="AC21" s="527"/>
      <c r="AD21" s="527"/>
      <c r="AE21" s="527"/>
      <c r="AF21" s="527"/>
      <c r="AG21" s="527"/>
      <c r="AH21" s="527"/>
      <c r="AI21" s="527"/>
      <c r="AJ21" s="527"/>
      <c r="AK21" s="527"/>
      <c r="AL21" s="527"/>
      <c r="AM21" s="527"/>
      <c r="AN21" s="527"/>
      <c r="AO21" s="128"/>
      <c r="AP21" s="543"/>
      <c r="AQ21" s="544"/>
      <c r="AR21" s="544"/>
      <c r="AS21" s="544"/>
      <c r="AT21" s="544"/>
      <c r="AU21" s="544"/>
      <c r="AV21" s="544"/>
      <c r="AW21" s="544"/>
      <c r="AX21" s="544"/>
      <c r="AY21" s="544"/>
      <c r="AZ21" s="544"/>
      <c r="BA21" s="545"/>
      <c r="BB21" s="128"/>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row>
    <row r="22" spans="1:111" ht="4.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row>
    <row r="23" spans="1:111" ht="9" customHeight="1">
      <c r="A23" s="128"/>
      <c r="B23" s="527" t="s">
        <v>432</v>
      </c>
      <c r="C23" s="527"/>
      <c r="D23" s="527"/>
      <c r="E23" s="527"/>
      <c r="F23" s="527"/>
      <c r="G23" s="527"/>
      <c r="H23" s="527"/>
      <c r="I23" s="527"/>
      <c r="J23" s="527"/>
      <c r="K23" s="527"/>
      <c r="L23" s="527"/>
      <c r="M23" s="527"/>
      <c r="N23" s="186"/>
      <c r="O23" s="546"/>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8"/>
      <c r="BB23" s="128"/>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row>
    <row r="24" spans="1:111" ht="9" customHeight="1">
      <c r="A24" s="128"/>
      <c r="B24" s="527"/>
      <c r="C24" s="527"/>
      <c r="D24" s="527"/>
      <c r="E24" s="527"/>
      <c r="F24" s="527"/>
      <c r="G24" s="527"/>
      <c r="H24" s="527"/>
      <c r="I24" s="527"/>
      <c r="J24" s="527"/>
      <c r="K24" s="527"/>
      <c r="L24" s="527"/>
      <c r="M24" s="527"/>
      <c r="N24" s="186"/>
      <c r="O24" s="549"/>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0"/>
      <c r="AY24" s="550"/>
      <c r="AZ24" s="550"/>
      <c r="BA24" s="551"/>
      <c r="BB24" s="128"/>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row>
    <row r="25" spans="1:111" ht="9" customHeight="1">
      <c r="A25" s="128"/>
      <c r="B25" s="187"/>
      <c r="C25" s="187"/>
      <c r="D25" s="187"/>
      <c r="E25" s="187"/>
      <c r="F25" s="187"/>
      <c r="G25" s="187"/>
      <c r="H25" s="187"/>
      <c r="I25" s="188"/>
      <c r="J25" s="187"/>
      <c r="K25" s="187"/>
      <c r="L25" s="187"/>
      <c r="M25" s="187"/>
      <c r="N25" s="128"/>
      <c r="O25" s="549"/>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0"/>
      <c r="AZ25" s="550"/>
      <c r="BA25" s="551"/>
      <c r="BB25" s="128"/>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row>
    <row r="26" spans="1:111" ht="9" customHeight="1">
      <c r="A26" s="128"/>
      <c r="B26" s="187"/>
      <c r="C26" s="187"/>
      <c r="D26" s="187"/>
      <c r="E26" s="187"/>
      <c r="F26" s="187"/>
      <c r="G26" s="187"/>
      <c r="H26" s="187"/>
      <c r="I26" s="188"/>
      <c r="J26" s="187"/>
      <c r="K26" s="187"/>
      <c r="L26" s="187"/>
      <c r="M26" s="187"/>
      <c r="N26" s="128"/>
      <c r="O26" s="552"/>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3"/>
      <c r="AW26" s="553"/>
      <c r="AX26" s="553"/>
      <c r="AY26" s="553"/>
      <c r="AZ26" s="553"/>
      <c r="BA26" s="554"/>
      <c r="BB26" s="128"/>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row>
    <row r="27" spans="1:111" ht="4.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row>
    <row r="28" spans="1:111" ht="9" customHeight="1">
      <c r="A28" s="128"/>
      <c r="B28" s="527" t="s">
        <v>433</v>
      </c>
      <c r="C28" s="527"/>
      <c r="D28" s="527"/>
      <c r="E28" s="527"/>
      <c r="F28" s="527"/>
      <c r="G28" s="527"/>
      <c r="H28" s="527"/>
      <c r="I28" s="527"/>
      <c r="J28" s="527"/>
      <c r="K28" s="527"/>
      <c r="L28" s="527"/>
      <c r="M28" s="527"/>
      <c r="N28" s="186"/>
      <c r="O28" s="546"/>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8"/>
      <c r="BB28" s="128"/>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row>
    <row r="29" spans="1:111" ht="9" customHeight="1">
      <c r="A29" s="128"/>
      <c r="B29" s="527"/>
      <c r="C29" s="527"/>
      <c r="D29" s="527"/>
      <c r="E29" s="527"/>
      <c r="F29" s="527"/>
      <c r="G29" s="527"/>
      <c r="H29" s="527"/>
      <c r="I29" s="527"/>
      <c r="J29" s="527"/>
      <c r="K29" s="527"/>
      <c r="L29" s="527"/>
      <c r="M29" s="527"/>
      <c r="N29" s="186"/>
      <c r="O29" s="549"/>
      <c r="P29" s="550"/>
      <c r="Q29" s="550"/>
      <c r="R29" s="550"/>
      <c r="S29" s="550"/>
      <c r="T29" s="550"/>
      <c r="U29" s="550"/>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0"/>
      <c r="AY29" s="550"/>
      <c r="AZ29" s="550"/>
      <c r="BA29" s="551"/>
      <c r="BB29" s="128"/>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row>
    <row r="30" spans="1:111" ht="9" customHeight="1">
      <c r="A30" s="128"/>
      <c r="B30" s="187"/>
      <c r="C30" s="187"/>
      <c r="D30" s="187"/>
      <c r="E30" s="187"/>
      <c r="F30" s="187"/>
      <c r="G30" s="187"/>
      <c r="H30" s="187"/>
      <c r="I30" s="188"/>
      <c r="J30" s="187"/>
      <c r="K30" s="187"/>
      <c r="L30" s="187"/>
      <c r="M30" s="187"/>
      <c r="N30" s="128"/>
      <c r="O30" s="549"/>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1"/>
      <c r="BB30" s="128"/>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row>
    <row r="31" spans="1:111" ht="9" customHeight="1">
      <c r="A31" s="128"/>
      <c r="B31" s="187"/>
      <c r="C31" s="187"/>
      <c r="D31" s="187"/>
      <c r="E31" s="187"/>
      <c r="F31" s="187"/>
      <c r="G31" s="187"/>
      <c r="H31" s="187"/>
      <c r="I31" s="188"/>
      <c r="J31" s="187"/>
      <c r="K31" s="187"/>
      <c r="L31" s="187"/>
      <c r="M31" s="187"/>
      <c r="N31" s="128"/>
      <c r="O31" s="552"/>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4"/>
      <c r="BB31" s="128"/>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row>
    <row r="32" spans="1:111" ht="4.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row>
    <row r="33" spans="1:111" ht="9" customHeight="1">
      <c r="A33" s="128"/>
      <c r="B33" s="527" t="s">
        <v>434</v>
      </c>
      <c r="C33" s="527"/>
      <c r="D33" s="527"/>
      <c r="E33" s="527"/>
      <c r="F33" s="527"/>
      <c r="G33" s="527"/>
      <c r="H33" s="527"/>
      <c r="I33" s="527"/>
      <c r="J33" s="527"/>
      <c r="K33" s="527"/>
      <c r="L33" s="527"/>
      <c r="M33" s="527"/>
      <c r="N33" s="186"/>
      <c r="O33" s="546"/>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8"/>
      <c r="BB33" s="128"/>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row>
    <row r="34" spans="1:111" ht="9" customHeight="1">
      <c r="A34" s="128"/>
      <c r="B34" s="527"/>
      <c r="C34" s="527"/>
      <c r="D34" s="527"/>
      <c r="E34" s="527"/>
      <c r="F34" s="527"/>
      <c r="G34" s="527"/>
      <c r="H34" s="527"/>
      <c r="I34" s="527"/>
      <c r="J34" s="527"/>
      <c r="K34" s="527"/>
      <c r="L34" s="527"/>
      <c r="M34" s="527"/>
      <c r="N34" s="186"/>
      <c r="O34" s="549"/>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0"/>
      <c r="AZ34" s="550"/>
      <c r="BA34" s="551"/>
      <c r="BB34" s="128"/>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row>
    <row r="35" spans="1:111" ht="9" customHeight="1">
      <c r="A35" s="128"/>
      <c r="B35" s="187"/>
      <c r="C35" s="187"/>
      <c r="D35" s="187"/>
      <c r="E35" s="187"/>
      <c r="F35" s="187"/>
      <c r="G35" s="187"/>
      <c r="H35" s="187"/>
      <c r="I35" s="188"/>
      <c r="J35" s="187"/>
      <c r="K35" s="187"/>
      <c r="L35" s="187"/>
      <c r="M35" s="187"/>
      <c r="N35" s="128"/>
      <c r="O35" s="549"/>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1"/>
      <c r="BB35" s="128"/>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row>
    <row r="36" spans="1:111" ht="9" customHeight="1">
      <c r="A36" s="128"/>
      <c r="B36" s="187"/>
      <c r="C36" s="187"/>
      <c r="D36" s="187"/>
      <c r="E36" s="187"/>
      <c r="F36" s="187"/>
      <c r="G36" s="187"/>
      <c r="H36" s="187"/>
      <c r="I36" s="188"/>
      <c r="J36" s="187"/>
      <c r="K36" s="187"/>
      <c r="L36" s="187"/>
      <c r="M36" s="187"/>
      <c r="N36" s="128"/>
      <c r="O36" s="552"/>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AY36" s="553"/>
      <c r="AZ36" s="553"/>
      <c r="BA36" s="554"/>
      <c r="BB36" s="128"/>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row>
    <row r="37" spans="1:111" ht="4.5"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row>
    <row r="38" spans="1:111" ht="9" customHeight="1">
      <c r="A38" s="128"/>
      <c r="B38" s="527" t="s">
        <v>435</v>
      </c>
      <c r="C38" s="527"/>
      <c r="D38" s="527"/>
      <c r="E38" s="527"/>
      <c r="F38" s="527"/>
      <c r="G38" s="527"/>
      <c r="H38" s="527"/>
      <c r="I38" s="527"/>
      <c r="J38" s="527"/>
      <c r="K38" s="527"/>
      <c r="L38" s="527"/>
      <c r="M38" s="527"/>
      <c r="N38" s="186"/>
      <c r="O38" s="546"/>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8"/>
      <c r="BB38" s="128"/>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row>
    <row r="39" spans="1:111" ht="9" customHeight="1">
      <c r="A39" s="128"/>
      <c r="B39" s="527"/>
      <c r="C39" s="527"/>
      <c r="D39" s="527"/>
      <c r="E39" s="527"/>
      <c r="F39" s="527"/>
      <c r="G39" s="527"/>
      <c r="H39" s="527"/>
      <c r="I39" s="527"/>
      <c r="J39" s="527"/>
      <c r="K39" s="527"/>
      <c r="L39" s="527"/>
      <c r="M39" s="527"/>
      <c r="N39" s="186"/>
      <c r="O39" s="549"/>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551"/>
      <c r="BB39" s="128"/>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row>
    <row r="40" spans="1:111" ht="9" customHeight="1">
      <c r="A40" s="128"/>
      <c r="B40" s="187"/>
      <c r="C40" s="187"/>
      <c r="D40" s="187"/>
      <c r="E40" s="187"/>
      <c r="F40" s="187"/>
      <c r="G40" s="187"/>
      <c r="H40" s="187"/>
      <c r="I40" s="188"/>
      <c r="J40" s="187"/>
      <c r="K40" s="187"/>
      <c r="L40" s="187"/>
      <c r="M40" s="187"/>
      <c r="N40" s="128"/>
      <c r="O40" s="549"/>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1"/>
      <c r="BB40" s="128"/>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row>
    <row r="41" spans="1:111" ht="9" customHeight="1">
      <c r="A41" s="128"/>
      <c r="B41" s="187"/>
      <c r="C41" s="187"/>
      <c r="D41" s="187"/>
      <c r="E41" s="187"/>
      <c r="F41" s="187"/>
      <c r="G41" s="187"/>
      <c r="H41" s="187"/>
      <c r="I41" s="188"/>
      <c r="J41" s="187"/>
      <c r="K41" s="187"/>
      <c r="L41" s="187"/>
      <c r="M41" s="187"/>
      <c r="N41" s="128"/>
      <c r="O41" s="552"/>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4"/>
      <c r="BB41" s="128"/>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row>
    <row r="42" spans="1:111" ht="4.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row>
    <row r="43" spans="1:111" ht="9" customHeight="1">
      <c r="A43" s="128"/>
      <c r="B43" s="527" t="s">
        <v>436</v>
      </c>
      <c r="C43" s="527"/>
      <c r="D43" s="527"/>
      <c r="E43" s="527"/>
      <c r="F43" s="527"/>
      <c r="G43" s="527"/>
      <c r="H43" s="527"/>
      <c r="I43" s="527"/>
      <c r="J43" s="527"/>
      <c r="K43" s="527"/>
      <c r="L43" s="527"/>
      <c r="M43" s="527"/>
      <c r="N43" s="186"/>
      <c r="O43" s="534"/>
      <c r="P43" s="535"/>
      <c r="Q43" s="535"/>
      <c r="R43" s="535"/>
      <c r="S43" s="535"/>
      <c r="T43" s="535"/>
      <c r="U43" s="535"/>
      <c r="V43" s="535"/>
      <c r="W43" s="535"/>
      <c r="X43" s="535"/>
      <c r="Y43" s="535"/>
      <c r="Z43" s="536"/>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row>
    <row r="44" spans="1:111" ht="9" customHeight="1">
      <c r="A44" s="128"/>
      <c r="B44" s="527"/>
      <c r="C44" s="527"/>
      <c r="D44" s="527"/>
      <c r="E44" s="527"/>
      <c r="F44" s="527"/>
      <c r="G44" s="527"/>
      <c r="H44" s="527"/>
      <c r="I44" s="527"/>
      <c r="J44" s="527"/>
      <c r="K44" s="527"/>
      <c r="L44" s="527"/>
      <c r="M44" s="527"/>
      <c r="N44" s="186"/>
      <c r="O44" s="537"/>
      <c r="P44" s="538"/>
      <c r="Q44" s="538"/>
      <c r="R44" s="538"/>
      <c r="S44" s="538"/>
      <c r="T44" s="538"/>
      <c r="U44" s="538"/>
      <c r="V44" s="538"/>
      <c r="W44" s="538"/>
      <c r="X44" s="538"/>
      <c r="Y44" s="538"/>
      <c r="Z44" s="539"/>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row>
    <row r="45" spans="1:111" ht="4.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row>
    <row r="46" spans="1:111" ht="9" customHeight="1">
      <c r="A46" s="128"/>
      <c r="B46" s="527" t="s">
        <v>437</v>
      </c>
      <c r="C46" s="527"/>
      <c r="D46" s="527"/>
      <c r="E46" s="527"/>
      <c r="F46" s="527"/>
      <c r="G46" s="527"/>
      <c r="H46" s="527"/>
      <c r="I46" s="527"/>
      <c r="J46" s="527"/>
      <c r="K46" s="527"/>
      <c r="L46" s="527"/>
      <c r="M46" s="527"/>
      <c r="N46" s="186"/>
      <c r="O46" s="546"/>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8"/>
      <c r="BB46" s="128"/>
      <c r="BC46" s="115"/>
      <c r="BD46" s="115"/>
      <c r="BE46" s="115"/>
      <c r="BF46" s="115"/>
      <c r="BG46" s="214" t="s">
        <v>458</v>
      </c>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115"/>
      <c r="DG46" s="115"/>
    </row>
    <row r="47" spans="1:111" ht="9" customHeight="1">
      <c r="A47" s="128"/>
      <c r="B47" s="527"/>
      <c r="C47" s="527"/>
      <c r="D47" s="527"/>
      <c r="E47" s="527"/>
      <c r="F47" s="527"/>
      <c r="G47" s="527"/>
      <c r="H47" s="527"/>
      <c r="I47" s="527"/>
      <c r="J47" s="527"/>
      <c r="K47" s="527"/>
      <c r="L47" s="527"/>
      <c r="M47" s="527"/>
      <c r="N47" s="186"/>
      <c r="O47" s="549"/>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1"/>
      <c r="BB47" s="128"/>
      <c r="BC47" s="115"/>
      <c r="BD47" s="115"/>
      <c r="BE47" s="115"/>
      <c r="BF47" s="115"/>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115"/>
      <c r="DG47" s="115"/>
    </row>
    <row r="48" spans="1:111" ht="9" customHeight="1">
      <c r="A48" s="128"/>
      <c r="B48" s="187"/>
      <c r="C48" s="187"/>
      <c r="D48" s="187"/>
      <c r="E48" s="187"/>
      <c r="F48" s="187"/>
      <c r="G48" s="187"/>
      <c r="H48" s="187"/>
      <c r="I48" s="188"/>
      <c r="J48" s="187"/>
      <c r="K48" s="187"/>
      <c r="L48" s="187"/>
      <c r="M48" s="187"/>
      <c r="N48" s="128"/>
      <c r="O48" s="549"/>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1"/>
      <c r="BB48" s="128"/>
      <c r="BC48" s="115"/>
      <c r="BD48" s="115"/>
      <c r="BE48" s="115"/>
      <c r="BF48" s="115"/>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115"/>
      <c r="DG48" s="115"/>
    </row>
    <row r="49" spans="1:111" ht="9" customHeight="1">
      <c r="A49" s="128"/>
      <c r="B49" s="187"/>
      <c r="C49" s="187"/>
      <c r="D49" s="187"/>
      <c r="E49" s="187"/>
      <c r="F49" s="187"/>
      <c r="G49" s="187"/>
      <c r="H49" s="187"/>
      <c r="I49" s="188"/>
      <c r="J49" s="187"/>
      <c r="K49" s="187"/>
      <c r="L49" s="187"/>
      <c r="M49" s="187"/>
      <c r="N49" s="128"/>
      <c r="O49" s="552"/>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4"/>
      <c r="BB49" s="128"/>
      <c r="BC49" s="115"/>
      <c r="BD49" s="115"/>
      <c r="BE49" s="115"/>
      <c r="BF49" s="115"/>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115"/>
      <c r="DG49" s="115"/>
    </row>
    <row r="50" spans="1:111" ht="4.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15"/>
      <c r="BD50" s="115"/>
      <c r="BE50" s="115"/>
      <c r="BF50" s="115"/>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115"/>
      <c r="DG50" s="115"/>
    </row>
    <row r="51" spans="1:111" ht="9" customHeight="1">
      <c r="A51" s="128"/>
      <c r="B51" s="527" t="s">
        <v>438</v>
      </c>
      <c r="C51" s="527"/>
      <c r="D51" s="527"/>
      <c r="E51" s="527"/>
      <c r="F51" s="527"/>
      <c r="G51" s="527"/>
      <c r="H51" s="527"/>
      <c r="I51" s="527"/>
      <c r="J51" s="527"/>
      <c r="K51" s="527"/>
      <c r="L51" s="527"/>
      <c r="M51" s="527"/>
      <c r="N51" s="186"/>
      <c r="O51" s="546"/>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8"/>
      <c r="BB51" s="128"/>
      <c r="BC51" s="115"/>
      <c r="BD51" s="115"/>
      <c r="BE51" s="115"/>
      <c r="BF51" s="115"/>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115"/>
      <c r="DG51" s="115"/>
    </row>
    <row r="52" spans="1:111" ht="9" customHeight="1">
      <c r="A52" s="128"/>
      <c r="B52" s="527"/>
      <c r="C52" s="527"/>
      <c r="D52" s="527"/>
      <c r="E52" s="527"/>
      <c r="F52" s="527"/>
      <c r="G52" s="527"/>
      <c r="H52" s="527"/>
      <c r="I52" s="527"/>
      <c r="J52" s="527"/>
      <c r="K52" s="527"/>
      <c r="L52" s="527"/>
      <c r="M52" s="527"/>
      <c r="N52" s="186"/>
      <c r="O52" s="549"/>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1"/>
      <c r="BB52" s="128"/>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row>
    <row r="53" spans="1:111" ht="9" customHeight="1">
      <c r="A53" s="128"/>
      <c r="B53" s="187"/>
      <c r="C53" s="187"/>
      <c r="D53" s="187"/>
      <c r="E53" s="187"/>
      <c r="F53" s="187"/>
      <c r="G53" s="187"/>
      <c r="H53" s="187"/>
      <c r="I53" s="188"/>
      <c r="J53" s="187"/>
      <c r="K53" s="187"/>
      <c r="L53" s="187"/>
      <c r="M53" s="187"/>
      <c r="N53" s="128"/>
      <c r="O53" s="549"/>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1"/>
      <c r="BB53" s="128"/>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row>
    <row r="54" spans="1:111" ht="9" customHeight="1">
      <c r="A54" s="128"/>
      <c r="B54" s="187"/>
      <c r="C54" s="187"/>
      <c r="D54" s="187"/>
      <c r="E54" s="187"/>
      <c r="F54" s="187"/>
      <c r="G54" s="187"/>
      <c r="H54" s="187"/>
      <c r="I54" s="188"/>
      <c r="J54" s="187"/>
      <c r="K54" s="187"/>
      <c r="L54" s="187"/>
      <c r="M54" s="187"/>
      <c r="N54" s="128"/>
      <c r="O54" s="552"/>
      <c r="P54" s="553"/>
      <c r="Q54" s="553"/>
      <c r="R54" s="553"/>
      <c r="S54" s="553"/>
      <c r="T54" s="55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c r="AY54" s="553"/>
      <c r="AZ54" s="553"/>
      <c r="BA54" s="554"/>
      <c r="BB54" s="128"/>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row>
    <row r="55" spans="1:111" ht="4.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row>
    <row r="56" spans="1:111" ht="9" customHeight="1">
      <c r="A56" s="128"/>
      <c r="B56" s="527" t="s">
        <v>439</v>
      </c>
      <c r="C56" s="527"/>
      <c r="D56" s="527"/>
      <c r="E56" s="527"/>
      <c r="F56" s="527"/>
      <c r="G56" s="527"/>
      <c r="H56" s="527"/>
      <c r="I56" s="527"/>
      <c r="J56" s="527"/>
      <c r="K56" s="527"/>
      <c r="L56" s="527"/>
      <c r="M56" s="527"/>
      <c r="N56" s="186"/>
      <c r="O56" s="534"/>
      <c r="P56" s="535"/>
      <c r="Q56" s="535"/>
      <c r="R56" s="535"/>
      <c r="S56" s="535"/>
      <c r="T56" s="535"/>
      <c r="U56" s="535"/>
      <c r="V56" s="535"/>
      <c r="W56" s="535"/>
      <c r="X56" s="535"/>
      <c r="Y56" s="535"/>
      <c r="Z56" s="536"/>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15"/>
      <c r="BD56" s="115"/>
      <c r="BE56" s="115"/>
      <c r="BF56" s="115"/>
      <c r="BG56" s="214" t="s">
        <v>459</v>
      </c>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115"/>
      <c r="DG56" s="115"/>
    </row>
    <row r="57" spans="1:111" ht="9" customHeight="1">
      <c r="A57" s="128"/>
      <c r="B57" s="527"/>
      <c r="C57" s="527"/>
      <c r="D57" s="527"/>
      <c r="E57" s="527"/>
      <c r="F57" s="527"/>
      <c r="G57" s="527"/>
      <c r="H57" s="527"/>
      <c r="I57" s="527"/>
      <c r="J57" s="527"/>
      <c r="K57" s="527"/>
      <c r="L57" s="527"/>
      <c r="M57" s="527"/>
      <c r="N57" s="186"/>
      <c r="O57" s="537"/>
      <c r="P57" s="538"/>
      <c r="Q57" s="538"/>
      <c r="R57" s="538"/>
      <c r="S57" s="538"/>
      <c r="T57" s="538"/>
      <c r="U57" s="538"/>
      <c r="V57" s="538"/>
      <c r="W57" s="538"/>
      <c r="X57" s="538"/>
      <c r="Y57" s="538"/>
      <c r="Z57" s="539"/>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15"/>
      <c r="BD57" s="115"/>
      <c r="BE57" s="115"/>
      <c r="BF57" s="115"/>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115"/>
      <c r="DG57" s="115"/>
    </row>
    <row r="58" spans="1:111" ht="18"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15"/>
      <c r="BD58" s="115"/>
      <c r="BE58" s="115"/>
      <c r="BF58" s="115"/>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115"/>
      <c r="DG58" s="115"/>
    </row>
    <row r="59" spans="1:111" ht="9" customHeight="1">
      <c r="A59" s="128"/>
      <c r="B59" s="525" t="s">
        <v>440</v>
      </c>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128"/>
      <c r="BC59" s="115"/>
      <c r="BD59" s="115"/>
      <c r="BE59" s="115"/>
      <c r="BF59" s="115"/>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115"/>
      <c r="DG59" s="115"/>
    </row>
    <row r="60" spans="1:111" ht="9" customHeight="1">
      <c r="A60" s="128"/>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128"/>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row>
    <row r="61" spans="1:111" ht="4.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row>
    <row r="62" spans="1:111" ht="9" customHeight="1">
      <c r="A62" s="128"/>
      <c r="B62" s="527" t="s">
        <v>427</v>
      </c>
      <c r="C62" s="527"/>
      <c r="D62" s="527"/>
      <c r="E62" s="527"/>
      <c r="F62" s="527"/>
      <c r="G62" s="527"/>
      <c r="H62" s="527"/>
      <c r="I62" s="527"/>
      <c r="J62" s="527"/>
      <c r="K62" s="527"/>
      <c r="L62" s="527"/>
      <c r="M62" s="527"/>
      <c r="N62" s="186"/>
      <c r="O62" s="546"/>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8"/>
      <c r="BB62" s="128"/>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row>
    <row r="63" spans="1:111" ht="9" customHeight="1">
      <c r="A63" s="128"/>
      <c r="B63" s="527"/>
      <c r="C63" s="527"/>
      <c r="D63" s="527"/>
      <c r="E63" s="527"/>
      <c r="F63" s="527"/>
      <c r="G63" s="527"/>
      <c r="H63" s="527"/>
      <c r="I63" s="527"/>
      <c r="J63" s="527"/>
      <c r="K63" s="527"/>
      <c r="L63" s="527"/>
      <c r="M63" s="527"/>
      <c r="N63" s="186"/>
      <c r="O63" s="549"/>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1"/>
      <c r="BB63" s="128"/>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row>
    <row r="64" spans="1:111" ht="9" customHeight="1">
      <c r="A64" s="128"/>
      <c r="B64" s="187"/>
      <c r="C64" s="187"/>
      <c r="D64" s="187"/>
      <c r="E64" s="187"/>
      <c r="F64" s="187"/>
      <c r="G64" s="187"/>
      <c r="H64" s="187"/>
      <c r="I64" s="188"/>
      <c r="J64" s="187"/>
      <c r="K64" s="187"/>
      <c r="L64" s="187"/>
      <c r="M64" s="187"/>
      <c r="N64" s="128"/>
      <c r="O64" s="549"/>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1"/>
      <c r="BB64" s="128"/>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row>
    <row r="65" spans="1:111" ht="9" customHeight="1">
      <c r="A65" s="128"/>
      <c r="B65" s="187"/>
      <c r="C65" s="187"/>
      <c r="D65" s="187"/>
      <c r="E65" s="187"/>
      <c r="F65" s="187"/>
      <c r="G65" s="187"/>
      <c r="H65" s="187"/>
      <c r="I65" s="188"/>
      <c r="J65" s="187"/>
      <c r="K65" s="187"/>
      <c r="L65" s="187"/>
      <c r="M65" s="187"/>
      <c r="N65" s="128"/>
      <c r="O65" s="552"/>
      <c r="P65" s="553"/>
      <c r="Q65" s="55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4"/>
      <c r="BB65" s="128"/>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row>
    <row r="66" spans="1:111" ht="4.5" customHeight="1">
      <c r="A66" s="128"/>
      <c r="B66" s="187"/>
      <c r="C66" s="187"/>
      <c r="D66" s="187"/>
      <c r="E66" s="187"/>
      <c r="F66" s="187"/>
      <c r="G66" s="187"/>
      <c r="H66" s="187"/>
      <c r="I66" s="188"/>
      <c r="J66" s="187"/>
      <c r="K66" s="187"/>
      <c r="L66" s="187"/>
      <c r="M66" s="187"/>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row>
    <row r="67" spans="1:111" ht="9" customHeight="1">
      <c r="A67" s="128"/>
      <c r="B67" s="527" t="s">
        <v>428</v>
      </c>
      <c r="C67" s="527"/>
      <c r="D67" s="527"/>
      <c r="E67" s="527"/>
      <c r="F67" s="527"/>
      <c r="G67" s="527"/>
      <c r="H67" s="527"/>
      <c r="I67" s="527"/>
      <c r="J67" s="527"/>
      <c r="K67" s="527"/>
      <c r="L67" s="527"/>
      <c r="M67" s="527"/>
      <c r="N67" s="186"/>
      <c r="O67" s="528"/>
      <c r="P67" s="529"/>
      <c r="Q67" s="529"/>
      <c r="R67" s="529"/>
      <c r="S67" s="529"/>
      <c r="T67" s="529"/>
      <c r="U67" s="529"/>
      <c r="V67" s="529"/>
      <c r="W67" s="529"/>
      <c r="X67" s="529"/>
      <c r="Y67" s="529"/>
      <c r="Z67" s="530"/>
      <c r="AA67" s="128"/>
      <c r="AB67" s="128"/>
      <c r="AC67" s="527" t="s">
        <v>430</v>
      </c>
      <c r="AD67" s="527"/>
      <c r="AE67" s="527"/>
      <c r="AF67" s="527"/>
      <c r="AG67" s="527"/>
      <c r="AH67" s="527"/>
      <c r="AI67" s="527"/>
      <c r="AJ67" s="527"/>
      <c r="AK67" s="527"/>
      <c r="AL67" s="527"/>
      <c r="AM67" s="527"/>
      <c r="AN67" s="527"/>
      <c r="AO67" s="128"/>
      <c r="AP67" s="528"/>
      <c r="AQ67" s="529"/>
      <c r="AR67" s="529"/>
      <c r="AS67" s="529"/>
      <c r="AT67" s="529"/>
      <c r="AU67" s="529"/>
      <c r="AV67" s="529"/>
      <c r="AW67" s="529"/>
      <c r="AX67" s="529"/>
      <c r="AY67" s="529"/>
      <c r="AZ67" s="529"/>
      <c r="BA67" s="530"/>
      <c r="BB67" s="128"/>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row>
    <row r="68" spans="1:111" ht="9" customHeight="1">
      <c r="A68" s="128"/>
      <c r="B68" s="527"/>
      <c r="C68" s="527"/>
      <c r="D68" s="527"/>
      <c r="E68" s="527"/>
      <c r="F68" s="527"/>
      <c r="G68" s="527"/>
      <c r="H68" s="527"/>
      <c r="I68" s="527"/>
      <c r="J68" s="527"/>
      <c r="K68" s="527"/>
      <c r="L68" s="527"/>
      <c r="M68" s="527"/>
      <c r="N68" s="186"/>
      <c r="O68" s="531"/>
      <c r="P68" s="532"/>
      <c r="Q68" s="532"/>
      <c r="R68" s="532"/>
      <c r="S68" s="532"/>
      <c r="T68" s="532"/>
      <c r="U68" s="532"/>
      <c r="V68" s="532"/>
      <c r="W68" s="532"/>
      <c r="X68" s="532"/>
      <c r="Y68" s="532"/>
      <c r="Z68" s="533"/>
      <c r="AA68" s="128"/>
      <c r="AB68" s="128"/>
      <c r="AC68" s="527"/>
      <c r="AD68" s="527"/>
      <c r="AE68" s="527"/>
      <c r="AF68" s="527"/>
      <c r="AG68" s="527"/>
      <c r="AH68" s="527"/>
      <c r="AI68" s="527"/>
      <c r="AJ68" s="527"/>
      <c r="AK68" s="527"/>
      <c r="AL68" s="527"/>
      <c r="AM68" s="527"/>
      <c r="AN68" s="527"/>
      <c r="AO68" s="128"/>
      <c r="AP68" s="531"/>
      <c r="AQ68" s="532"/>
      <c r="AR68" s="532"/>
      <c r="AS68" s="532"/>
      <c r="AT68" s="532"/>
      <c r="AU68" s="532"/>
      <c r="AV68" s="532"/>
      <c r="AW68" s="532"/>
      <c r="AX68" s="532"/>
      <c r="AY68" s="532"/>
      <c r="AZ68" s="532"/>
      <c r="BA68" s="533"/>
      <c r="BB68" s="128"/>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row>
    <row r="69" spans="1:111" ht="4.5" customHeight="1">
      <c r="A69" s="128"/>
      <c r="B69" s="187"/>
      <c r="C69" s="187"/>
      <c r="D69" s="187"/>
      <c r="E69" s="187"/>
      <c r="F69" s="187"/>
      <c r="G69" s="187"/>
      <c r="H69" s="187"/>
      <c r="I69" s="187"/>
      <c r="J69" s="187"/>
      <c r="K69" s="187"/>
      <c r="L69" s="187"/>
      <c r="M69" s="187"/>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row>
    <row r="70" spans="1:111" ht="9" customHeight="1">
      <c r="A70" s="128"/>
      <c r="B70" s="527" t="s">
        <v>429</v>
      </c>
      <c r="C70" s="527"/>
      <c r="D70" s="527"/>
      <c r="E70" s="527"/>
      <c r="F70" s="527"/>
      <c r="G70" s="527"/>
      <c r="H70" s="527"/>
      <c r="I70" s="527"/>
      <c r="J70" s="527"/>
      <c r="K70" s="527"/>
      <c r="L70" s="527"/>
      <c r="M70" s="527"/>
      <c r="N70" s="186"/>
      <c r="O70" s="534"/>
      <c r="P70" s="535"/>
      <c r="Q70" s="535"/>
      <c r="R70" s="535"/>
      <c r="S70" s="535"/>
      <c r="T70" s="535"/>
      <c r="U70" s="535"/>
      <c r="V70" s="535"/>
      <c r="W70" s="535"/>
      <c r="X70" s="535"/>
      <c r="Y70" s="535"/>
      <c r="Z70" s="536"/>
      <c r="AA70" s="128"/>
      <c r="AB70" s="128"/>
      <c r="AC70" s="527" t="s">
        <v>431</v>
      </c>
      <c r="AD70" s="527"/>
      <c r="AE70" s="527"/>
      <c r="AF70" s="527"/>
      <c r="AG70" s="527"/>
      <c r="AH70" s="527"/>
      <c r="AI70" s="527"/>
      <c r="AJ70" s="527"/>
      <c r="AK70" s="527"/>
      <c r="AL70" s="527"/>
      <c r="AM70" s="527"/>
      <c r="AN70" s="527"/>
      <c r="AO70" s="128"/>
      <c r="AP70" s="540">
        <f>O70*O67</f>
        <v>0</v>
      </c>
      <c r="AQ70" s="541"/>
      <c r="AR70" s="541"/>
      <c r="AS70" s="541"/>
      <c r="AT70" s="541"/>
      <c r="AU70" s="541"/>
      <c r="AV70" s="541"/>
      <c r="AW70" s="541"/>
      <c r="AX70" s="541"/>
      <c r="AY70" s="541"/>
      <c r="AZ70" s="541"/>
      <c r="BA70" s="542"/>
      <c r="BB70" s="128"/>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row>
    <row r="71" spans="1:111" ht="9" customHeight="1">
      <c r="A71" s="128"/>
      <c r="B71" s="527"/>
      <c r="C71" s="527"/>
      <c r="D71" s="527"/>
      <c r="E71" s="527"/>
      <c r="F71" s="527"/>
      <c r="G71" s="527"/>
      <c r="H71" s="527"/>
      <c r="I71" s="527"/>
      <c r="J71" s="527"/>
      <c r="K71" s="527"/>
      <c r="L71" s="527"/>
      <c r="M71" s="527"/>
      <c r="N71" s="186"/>
      <c r="O71" s="537"/>
      <c r="P71" s="538"/>
      <c r="Q71" s="538"/>
      <c r="R71" s="538"/>
      <c r="S71" s="538"/>
      <c r="T71" s="538"/>
      <c r="U71" s="538"/>
      <c r="V71" s="538"/>
      <c r="W71" s="538"/>
      <c r="X71" s="538"/>
      <c r="Y71" s="538"/>
      <c r="Z71" s="539"/>
      <c r="AA71" s="128"/>
      <c r="AB71" s="128"/>
      <c r="AC71" s="527"/>
      <c r="AD71" s="527"/>
      <c r="AE71" s="527"/>
      <c r="AF71" s="527"/>
      <c r="AG71" s="527"/>
      <c r="AH71" s="527"/>
      <c r="AI71" s="527"/>
      <c r="AJ71" s="527"/>
      <c r="AK71" s="527"/>
      <c r="AL71" s="527"/>
      <c r="AM71" s="527"/>
      <c r="AN71" s="527"/>
      <c r="AO71" s="128"/>
      <c r="AP71" s="543"/>
      <c r="AQ71" s="544"/>
      <c r="AR71" s="544"/>
      <c r="AS71" s="544"/>
      <c r="AT71" s="544"/>
      <c r="AU71" s="544"/>
      <c r="AV71" s="544"/>
      <c r="AW71" s="544"/>
      <c r="AX71" s="544"/>
      <c r="AY71" s="544"/>
      <c r="AZ71" s="544"/>
      <c r="BA71" s="545"/>
      <c r="BB71" s="128"/>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row>
    <row r="72" spans="1:111" ht="4.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row>
    <row r="73" spans="1:111" ht="9" customHeight="1">
      <c r="A73" s="128"/>
      <c r="B73" s="527" t="s">
        <v>432</v>
      </c>
      <c r="C73" s="527"/>
      <c r="D73" s="527"/>
      <c r="E73" s="527"/>
      <c r="F73" s="527"/>
      <c r="G73" s="527"/>
      <c r="H73" s="527"/>
      <c r="I73" s="527"/>
      <c r="J73" s="527"/>
      <c r="K73" s="527"/>
      <c r="L73" s="527"/>
      <c r="M73" s="527"/>
      <c r="N73" s="186"/>
      <c r="O73" s="546"/>
      <c r="P73" s="547"/>
      <c r="Q73" s="547"/>
      <c r="R73" s="547"/>
      <c r="S73" s="547"/>
      <c r="T73" s="547"/>
      <c r="U73" s="547"/>
      <c r="V73" s="547"/>
      <c r="W73" s="547"/>
      <c r="X73" s="547"/>
      <c r="Y73" s="547"/>
      <c r="Z73" s="547"/>
      <c r="AA73" s="547"/>
      <c r="AB73" s="547"/>
      <c r="AC73" s="547"/>
      <c r="AD73" s="547"/>
      <c r="AE73" s="547"/>
      <c r="AF73" s="547"/>
      <c r="AG73" s="547"/>
      <c r="AH73" s="547"/>
      <c r="AI73" s="547"/>
      <c r="AJ73" s="547"/>
      <c r="AK73" s="547"/>
      <c r="AL73" s="547"/>
      <c r="AM73" s="547"/>
      <c r="AN73" s="547"/>
      <c r="AO73" s="547"/>
      <c r="AP73" s="547"/>
      <c r="AQ73" s="547"/>
      <c r="AR73" s="547"/>
      <c r="AS73" s="547"/>
      <c r="AT73" s="547"/>
      <c r="AU73" s="547"/>
      <c r="AV73" s="547"/>
      <c r="AW73" s="547"/>
      <c r="AX73" s="547"/>
      <c r="AY73" s="547"/>
      <c r="AZ73" s="547"/>
      <c r="BA73" s="548"/>
      <c r="BB73" s="128"/>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row>
    <row r="74" spans="1:111" ht="9" customHeight="1">
      <c r="A74" s="128"/>
      <c r="B74" s="527"/>
      <c r="C74" s="527"/>
      <c r="D74" s="527"/>
      <c r="E74" s="527"/>
      <c r="F74" s="527"/>
      <c r="G74" s="527"/>
      <c r="H74" s="527"/>
      <c r="I74" s="527"/>
      <c r="J74" s="527"/>
      <c r="K74" s="527"/>
      <c r="L74" s="527"/>
      <c r="M74" s="527"/>
      <c r="N74" s="186"/>
      <c r="O74" s="549"/>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550"/>
      <c r="AM74" s="550"/>
      <c r="AN74" s="550"/>
      <c r="AO74" s="550"/>
      <c r="AP74" s="550"/>
      <c r="AQ74" s="550"/>
      <c r="AR74" s="550"/>
      <c r="AS74" s="550"/>
      <c r="AT74" s="550"/>
      <c r="AU74" s="550"/>
      <c r="AV74" s="550"/>
      <c r="AW74" s="550"/>
      <c r="AX74" s="550"/>
      <c r="AY74" s="550"/>
      <c r="AZ74" s="550"/>
      <c r="BA74" s="551"/>
      <c r="BB74" s="128"/>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row>
    <row r="75" spans="1:111" ht="9" customHeight="1">
      <c r="A75" s="128"/>
      <c r="B75" s="187"/>
      <c r="C75" s="187"/>
      <c r="D75" s="187"/>
      <c r="E75" s="187"/>
      <c r="F75" s="187"/>
      <c r="G75" s="187"/>
      <c r="H75" s="187"/>
      <c r="I75" s="188"/>
      <c r="J75" s="187"/>
      <c r="K75" s="187"/>
      <c r="L75" s="187"/>
      <c r="M75" s="187"/>
      <c r="N75" s="128"/>
      <c r="O75" s="549"/>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1"/>
      <c r="BB75" s="128"/>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row>
    <row r="76" spans="1:111" ht="9" customHeight="1">
      <c r="A76" s="128"/>
      <c r="B76" s="187"/>
      <c r="C76" s="187"/>
      <c r="D76" s="187"/>
      <c r="E76" s="187"/>
      <c r="F76" s="187"/>
      <c r="G76" s="187"/>
      <c r="H76" s="187"/>
      <c r="I76" s="188"/>
      <c r="J76" s="187"/>
      <c r="K76" s="187"/>
      <c r="L76" s="187"/>
      <c r="M76" s="187"/>
      <c r="N76" s="128"/>
      <c r="O76" s="552"/>
      <c r="P76" s="553"/>
      <c r="Q76" s="553"/>
      <c r="R76" s="553"/>
      <c r="S76" s="553"/>
      <c r="T76" s="553"/>
      <c r="U76" s="553"/>
      <c r="V76" s="553"/>
      <c r="W76" s="553"/>
      <c r="X76" s="553"/>
      <c r="Y76" s="553"/>
      <c r="Z76" s="553"/>
      <c r="AA76" s="553"/>
      <c r="AB76" s="553"/>
      <c r="AC76" s="553"/>
      <c r="AD76" s="553"/>
      <c r="AE76" s="553"/>
      <c r="AF76" s="553"/>
      <c r="AG76" s="553"/>
      <c r="AH76" s="553"/>
      <c r="AI76" s="553"/>
      <c r="AJ76" s="553"/>
      <c r="AK76" s="553"/>
      <c r="AL76" s="553"/>
      <c r="AM76" s="553"/>
      <c r="AN76" s="553"/>
      <c r="AO76" s="553"/>
      <c r="AP76" s="553"/>
      <c r="AQ76" s="553"/>
      <c r="AR76" s="553"/>
      <c r="AS76" s="553"/>
      <c r="AT76" s="553"/>
      <c r="AU76" s="553"/>
      <c r="AV76" s="553"/>
      <c r="AW76" s="553"/>
      <c r="AX76" s="553"/>
      <c r="AY76" s="553"/>
      <c r="AZ76" s="553"/>
      <c r="BA76" s="554"/>
      <c r="BB76" s="128"/>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row>
    <row r="77" spans="1:111" ht="4.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row>
    <row r="78" spans="1:111" ht="9" customHeight="1">
      <c r="A78" s="128"/>
      <c r="B78" s="527" t="s">
        <v>433</v>
      </c>
      <c r="C78" s="527"/>
      <c r="D78" s="527"/>
      <c r="E78" s="527"/>
      <c r="F78" s="527"/>
      <c r="G78" s="527"/>
      <c r="H78" s="527"/>
      <c r="I78" s="527"/>
      <c r="J78" s="527"/>
      <c r="K78" s="527"/>
      <c r="L78" s="527"/>
      <c r="M78" s="527"/>
      <c r="N78" s="186"/>
      <c r="O78" s="546"/>
      <c r="P78" s="547"/>
      <c r="Q78" s="547"/>
      <c r="R78" s="547"/>
      <c r="S78" s="547"/>
      <c r="T78" s="547"/>
      <c r="U78" s="547"/>
      <c r="V78" s="547"/>
      <c r="W78" s="547"/>
      <c r="X78" s="54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7"/>
      <c r="AY78" s="547"/>
      <c r="AZ78" s="547"/>
      <c r="BA78" s="548"/>
      <c r="BB78" s="128"/>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row>
    <row r="79" spans="1:111" ht="9" customHeight="1">
      <c r="A79" s="128"/>
      <c r="B79" s="527"/>
      <c r="C79" s="527"/>
      <c r="D79" s="527"/>
      <c r="E79" s="527"/>
      <c r="F79" s="527"/>
      <c r="G79" s="527"/>
      <c r="H79" s="527"/>
      <c r="I79" s="527"/>
      <c r="J79" s="527"/>
      <c r="K79" s="527"/>
      <c r="L79" s="527"/>
      <c r="M79" s="527"/>
      <c r="N79" s="186"/>
      <c r="O79" s="549"/>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0"/>
      <c r="AV79" s="550"/>
      <c r="AW79" s="550"/>
      <c r="AX79" s="550"/>
      <c r="AY79" s="550"/>
      <c r="AZ79" s="550"/>
      <c r="BA79" s="551"/>
      <c r="BB79" s="128"/>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row>
    <row r="80" spans="1:111" ht="9" customHeight="1">
      <c r="A80" s="128"/>
      <c r="B80" s="187"/>
      <c r="C80" s="187"/>
      <c r="D80" s="187"/>
      <c r="E80" s="187"/>
      <c r="F80" s="187"/>
      <c r="G80" s="187"/>
      <c r="H80" s="187"/>
      <c r="I80" s="188"/>
      <c r="J80" s="187"/>
      <c r="K80" s="187"/>
      <c r="L80" s="187"/>
      <c r="M80" s="187"/>
      <c r="N80" s="128"/>
      <c r="O80" s="549"/>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0"/>
      <c r="AY80" s="550"/>
      <c r="AZ80" s="550"/>
      <c r="BA80" s="551"/>
      <c r="BB80" s="128"/>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row>
    <row r="81" spans="1:111" ht="9" customHeight="1">
      <c r="A81" s="128"/>
      <c r="B81" s="187"/>
      <c r="C81" s="187"/>
      <c r="D81" s="187"/>
      <c r="E81" s="187"/>
      <c r="F81" s="187"/>
      <c r="G81" s="187"/>
      <c r="H81" s="187"/>
      <c r="I81" s="188"/>
      <c r="J81" s="187"/>
      <c r="K81" s="187"/>
      <c r="L81" s="187"/>
      <c r="M81" s="187"/>
      <c r="N81" s="128"/>
      <c r="O81" s="552"/>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53"/>
      <c r="AY81" s="553"/>
      <c r="AZ81" s="553"/>
      <c r="BA81" s="554"/>
      <c r="BB81" s="128"/>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row>
    <row r="82" spans="1:111" ht="4.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row>
    <row r="83" spans="1:111" ht="9" customHeight="1">
      <c r="A83" s="128"/>
      <c r="B83" s="527" t="s">
        <v>434</v>
      </c>
      <c r="C83" s="527"/>
      <c r="D83" s="527"/>
      <c r="E83" s="527"/>
      <c r="F83" s="527"/>
      <c r="G83" s="527"/>
      <c r="H83" s="527"/>
      <c r="I83" s="527"/>
      <c r="J83" s="527"/>
      <c r="K83" s="527"/>
      <c r="L83" s="527"/>
      <c r="M83" s="527"/>
      <c r="N83" s="186"/>
      <c r="O83" s="546"/>
      <c r="P83" s="547"/>
      <c r="Q83" s="547"/>
      <c r="R83" s="547"/>
      <c r="S83" s="547"/>
      <c r="T83" s="547"/>
      <c r="U83" s="547"/>
      <c r="V83" s="547"/>
      <c r="W83" s="547"/>
      <c r="X83" s="547"/>
      <c r="Y83" s="547"/>
      <c r="Z83" s="547"/>
      <c r="AA83" s="547"/>
      <c r="AB83" s="547"/>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7"/>
      <c r="AY83" s="547"/>
      <c r="AZ83" s="547"/>
      <c r="BA83" s="548"/>
      <c r="BB83" s="128"/>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row>
    <row r="84" spans="1:111" ht="9" customHeight="1">
      <c r="A84" s="128"/>
      <c r="B84" s="527"/>
      <c r="C84" s="527"/>
      <c r="D84" s="527"/>
      <c r="E84" s="527"/>
      <c r="F84" s="527"/>
      <c r="G84" s="527"/>
      <c r="H84" s="527"/>
      <c r="I84" s="527"/>
      <c r="J84" s="527"/>
      <c r="K84" s="527"/>
      <c r="L84" s="527"/>
      <c r="M84" s="527"/>
      <c r="N84" s="186"/>
      <c r="O84" s="549"/>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1"/>
      <c r="BB84" s="128"/>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row>
    <row r="85" spans="1:111" ht="9" customHeight="1">
      <c r="A85" s="128"/>
      <c r="B85" s="187"/>
      <c r="C85" s="187"/>
      <c r="D85" s="187"/>
      <c r="E85" s="187"/>
      <c r="F85" s="187"/>
      <c r="G85" s="187"/>
      <c r="H85" s="187"/>
      <c r="I85" s="188"/>
      <c r="J85" s="187"/>
      <c r="K85" s="187"/>
      <c r="L85" s="187"/>
      <c r="M85" s="187"/>
      <c r="N85" s="128"/>
      <c r="O85" s="549"/>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0"/>
      <c r="AY85" s="550"/>
      <c r="AZ85" s="550"/>
      <c r="BA85" s="551"/>
      <c r="BB85" s="128"/>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row>
    <row r="86" spans="1:111" ht="9" customHeight="1">
      <c r="A86" s="128"/>
      <c r="B86" s="187"/>
      <c r="C86" s="187"/>
      <c r="D86" s="187"/>
      <c r="E86" s="187"/>
      <c r="F86" s="187"/>
      <c r="G86" s="187"/>
      <c r="H86" s="187"/>
      <c r="I86" s="188"/>
      <c r="J86" s="187"/>
      <c r="K86" s="187"/>
      <c r="L86" s="187"/>
      <c r="M86" s="187"/>
      <c r="N86" s="128"/>
      <c r="O86" s="552"/>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3"/>
      <c r="AQ86" s="553"/>
      <c r="AR86" s="553"/>
      <c r="AS86" s="553"/>
      <c r="AT86" s="553"/>
      <c r="AU86" s="553"/>
      <c r="AV86" s="553"/>
      <c r="AW86" s="553"/>
      <c r="AX86" s="553"/>
      <c r="AY86" s="553"/>
      <c r="AZ86" s="553"/>
      <c r="BA86" s="554"/>
      <c r="BB86" s="128"/>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row>
    <row r="87" spans="1:111" ht="4.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row>
    <row r="88" spans="1:111" ht="9" customHeight="1">
      <c r="A88" s="128"/>
      <c r="B88" s="527" t="s">
        <v>435</v>
      </c>
      <c r="C88" s="527"/>
      <c r="D88" s="527"/>
      <c r="E88" s="527"/>
      <c r="F88" s="527"/>
      <c r="G88" s="527"/>
      <c r="H88" s="527"/>
      <c r="I88" s="527"/>
      <c r="J88" s="527"/>
      <c r="K88" s="527"/>
      <c r="L88" s="527"/>
      <c r="M88" s="527"/>
      <c r="N88" s="186"/>
      <c r="O88" s="546"/>
      <c r="P88" s="547"/>
      <c r="Q88" s="547"/>
      <c r="R88" s="547"/>
      <c r="S88" s="547"/>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547"/>
      <c r="AQ88" s="547"/>
      <c r="AR88" s="547"/>
      <c r="AS88" s="547"/>
      <c r="AT88" s="547"/>
      <c r="AU88" s="547"/>
      <c r="AV88" s="547"/>
      <c r="AW88" s="547"/>
      <c r="AX88" s="547"/>
      <c r="AY88" s="547"/>
      <c r="AZ88" s="547"/>
      <c r="BA88" s="548"/>
      <c r="BB88" s="128"/>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row>
    <row r="89" spans="1:111" ht="9" customHeight="1">
      <c r="A89" s="128"/>
      <c r="B89" s="527"/>
      <c r="C89" s="527"/>
      <c r="D89" s="527"/>
      <c r="E89" s="527"/>
      <c r="F89" s="527"/>
      <c r="G89" s="527"/>
      <c r="H89" s="527"/>
      <c r="I89" s="527"/>
      <c r="J89" s="527"/>
      <c r="K89" s="527"/>
      <c r="L89" s="527"/>
      <c r="M89" s="527"/>
      <c r="N89" s="186"/>
      <c r="O89" s="549"/>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1"/>
      <c r="BB89" s="128"/>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row>
    <row r="90" spans="1:111" ht="9" customHeight="1">
      <c r="A90" s="128"/>
      <c r="B90" s="187"/>
      <c r="C90" s="187"/>
      <c r="D90" s="187"/>
      <c r="E90" s="187"/>
      <c r="F90" s="187"/>
      <c r="G90" s="187"/>
      <c r="H90" s="187"/>
      <c r="I90" s="188"/>
      <c r="J90" s="187"/>
      <c r="K90" s="187"/>
      <c r="L90" s="187"/>
      <c r="M90" s="187"/>
      <c r="N90" s="128"/>
      <c r="O90" s="549"/>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1"/>
      <c r="BB90" s="128"/>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row>
    <row r="91" spans="1:111" ht="9" customHeight="1">
      <c r="A91" s="128"/>
      <c r="B91" s="187"/>
      <c r="C91" s="187"/>
      <c r="D91" s="187"/>
      <c r="E91" s="187"/>
      <c r="F91" s="187"/>
      <c r="G91" s="187"/>
      <c r="H91" s="187"/>
      <c r="I91" s="188"/>
      <c r="J91" s="187"/>
      <c r="K91" s="187"/>
      <c r="L91" s="187"/>
      <c r="M91" s="187"/>
      <c r="N91" s="128"/>
      <c r="O91" s="552"/>
      <c r="P91" s="553"/>
      <c r="Q91" s="553"/>
      <c r="R91" s="553"/>
      <c r="S91" s="553"/>
      <c r="T91" s="553"/>
      <c r="U91" s="553"/>
      <c r="V91" s="553"/>
      <c r="W91" s="553"/>
      <c r="X91" s="553"/>
      <c r="Y91" s="553"/>
      <c r="Z91" s="553"/>
      <c r="AA91" s="553"/>
      <c r="AB91" s="553"/>
      <c r="AC91" s="553"/>
      <c r="AD91" s="553"/>
      <c r="AE91" s="553"/>
      <c r="AF91" s="553"/>
      <c r="AG91" s="553"/>
      <c r="AH91" s="553"/>
      <c r="AI91" s="553"/>
      <c r="AJ91" s="553"/>
      <c r="AK91" s="553"/>
      <c r="AL91" s="553"/>
      <c r="AM91" s="553"/>
      <c r="AN91" s="553"/>
      <c r="AO91" s="553"/>
      <c r="AP91" s="553"/>
      <c r="AQ91" s="553"/>
      <c r="AR91" s="553"/>
      <c r="AS91" s="553"/>
      <c r="AT91" s="553"/>
      <c r="AU91" s="553"/>
      <c r="AV91" s="553"/>
      <c r="AW91" s="553"/>
      <c r="AX91" s="553"/>
      <c r="AY91" s="553"/>
      <c r="AZ91" s="553"/>
      <c r="BA91" s="554"/>
      <c r="BB91" s="128"/>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row>
    <row r="92" spans="1:111" ht="4.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row>
    <row r="93" spans="1:111" ht="9" customHeight="1">
      <c r="A93" s="128"/>
      <c r="B93" s="527" t="s">
        <v>436</v>
      </c>
      <c r="C93" s="527"/>
      <c r="D93" s="527"/>
      <c r="E93" s="527"/>
      <c r="F93" s="527"/>
      <c r="G93" s="527"/>
      <c r="H93" s="527"/>
      <c r="I93" s="527"/>
      <c r="J93" s="527"/>
      <c r="K93" s="527"/>
      <c r="L93" s="527"/>
      <c r="M93" s="527"/>
      <c r="N93" s="186"/>
      <c r="O93" s="534"/>
      <c r="P93" s="535"/>
      <c r="Q93" s="535"/>
      <c r="R93" s="535"/>
      <c r="S93" s="535"/>
      <c r="T93" s="535"/>
      <c r="U93" s="535"/>
      <c r="V93" s="535"/>
      <c r="W93" s="535"/>
      <c r="X93" s="535"/>
      <c r="Y93" s="535"/>
      <c r="Z93" s="536"/>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row>
    <row r="94" spans="1:111" ht="9" customHeight="1">
      <c r="A94" s="128"/>
      <c r="B94" s="527"/>
      <c r="C94" s="527"/>
      <c r="D94" s="527"/>
      <c r="E94" s="527"/>
      <c r="F94" s="527"/>
      <c r="G94" s="527"/>
      <c r="H94" s="527"/>
      <c r="I94" s="527"/>
      <c r="J94" s="527"/>
      <c r="K94" s="527"/>
      <c r="L94" s="527"/>
      <c r="M94" s="527"/>
      <c r="N94" s="186"/>
      <c r="O94" s="537"/>
      <c r="P94" s="538"/>
      <c r="Q94" s="538"/>
      <c r="R94" s="538"/>
      <c r="S94" s="538"/>
      <c r="T94" s="538"/>
      <c r="U94" s="538"/>
      <c r="V94" s="538"/>
      <c r="W94" s="538"/>
      <c r="X94" s="538"/>
      <c r="Y94" s="538"/>
      <c r="Z94" s="539"/>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row>
    <row r="95" spans="1:111" ht="4.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row>
    <row r="96" spans="1:111" ht="9" customHeight="1">
      <c r="A96" s="128"/>
      <c r="B96" s="527" t="s">
        <v>437</v>
      </c>
      <c r="C96" s="527"/>
      <c r="D96" s="527"/>
      <c r="E96" s="527"/>
      <c r="F96" s="527"/>
      <c r="G96" s="527"/>
      <c r="H96" s="527"/>
      <c r="I96" s="527"/>
      <c r="J96" s="527"/>
      <c r="K96" s="527"/>
      <c r="L96" s="527"/>
      <c r="M96" s="527"/>
      <c r="N96" s="186"/>
      <c r="O96" s="546"/>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547"/>
      <c r="AY96" s="547"/>
      <c r="AZ96" s="547"/>
      <c r="BA96" s="548"/>
      <c r="BB96" s="128"/>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row>
    <row r="97" spans="1:111" ht="9" customHeight="1">
      <c r="A97" s="128"/>
      <c r="B97" s="527"/>
      <c r="C97" s="527"/>
      <c r="D97" s="527"/>
      <c r="E97" s="527"/>
      <c r="F97" s="527"/>
      <c r="G97" s="527"/>
      <c r="H97" s="527"/>
      <c r="I97" s="527"/>
      <c r="J97" s="527"/>
      <c r="K97" s="527"/>
      <c r="L97" s="527"/>
      <c r="M97" s="527"/>
      <c r="N97" s="186"/>
      <c r="O97" s="549"/>
      <c r="P97" s="550"/>
      <c r="Q97" s="550"/>
      <c r="R97" s="550"/>
      <c r="S97" s="550"/>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0"/>
      <c r="AZ97" s="550"/>
      <c r="BA97" s="551"/>
      <c r="BB97" s="128"/>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row>
    <row r="98" spans="1:111" ht="9" customHeight="1">
      <c r="A98" s="128"/>
      <c r="B98" s="187"/>
      <c r="C98" s="187"/>
      <c r="D98" s="187"/>
      <c r="E98" s="187"/>
      <c r="F98" s="187"/>
      <c r="G98" s="187"/>
      <c r="H98" s="187"/>
      <c r="I98" s="188"/>
      <c r="J98" s="187"/>
      <c r="K98" s="187"/>
      <c r="L98" s="187"/>
      <c r="M98" s="187"/>
      <c r="N98" s="128"/>
      <c r="O98" s="549"/>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550"/>
      <c r="AY98" s="550"/>
      <c r="AZ98" s="550"/>
      <c r="BA98" s="551"/>
      <c r="BB98" s="128"/>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row>
    <row r="99" spans="1:111" ht="9" customHeight="1">
      <c r="A99" s="128"/>
      <c r="B99" s="187"/>
      <c r="C99" s="187"/>
      <c r="D99" s="187"/>
      <c r="E99" s="187"/>
      <c r="F99" s="187"/>
      <c r="G99" s="187"/>
      <c r="H99" s="187"/>
      <c r="I99" s="188"/>
      <c r="J99" s="187"/>
      <c r="K99" s="187"/>
      <c r="L99" s="187"/>
      <c r="M99" s="187"/>
      <c r="N99" s="128"/>
      <c r="O99" s="552"/>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553"/>
      <c r="AP99" s="553"/>
      <c r="AQ99" s="553"/>
      <c r="AR99" s="553"/>
      <c r="AS99" s="553"/>
      <c r="AT99" s="553"/>
      <c r="AU99" s="553"/>
      <c r="AV99" s="553"/>
      <c r="AW99" s="553"/>
      <c r="AX99" s="553"/>
      <c r="AY99" s="553"/>
      <c r="AZ99" s="553"/>
      <c r="BA99" s="554"/>
      <c r="BB99" s="128"/>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row>
    <row r="100" spans="1:111" ht="4.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row>
    <row r="101" spans="1:111" ht="9" customHeight="1">
      <c r="A101" s="128"/>
      <c r="B101" s="527" t="s">
        <v>438</v>
      </c>
      <c r="C101" s="527"/>
      <c r="D101" s="527"/>
      <c r="E101" s="527"/>
      <c r="F101" s="527"/>
      <c r="G101" s="527"/>
      <c r="H101" s="527"/>
      <c r="I101" s="527"/>
      <c r="J101" s="527"/>
      <c r="K101" s="527"/>
      <c r="L101" s="527"/>
      <c r="M101" s="527"/>
      <c r="N101" s="186"/>
      <c r="O101" s="546"/>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7"/>
      <c r="AL101" s="547"/>
      <c r="AM101" s="547"/>
      <c r="AN101" s="547"/>
      <c r="AO101" s="547"/>
      <c r="AP101" s="547"/>
      <c r="AQ101" s="547"/>
      <c r="AR101" s="547"/>
      <c r="AS101" s="547"/>
      <c r="AT101" s="547"/>
      <c r="AU101" s="547"/>
      <c r="AV101" s="547"/>
      <c r="AW101" s="547"/>
      <c r="AX101" s="547"/>
      <c r="AY101" s="547"/>
      <c r="AZ101" s="547"/>
      <c r="BA101" s="548"/>
      <c r="BB101" s="128"/>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row>
    <row r="102" spans="1:111" ht="9" customHeight="1">
      <c r="A102" s="128"/>
      <c r="B102" s="527"/>
      <c r="C102" s="527"/>
      <c r="D102" s="527"/>
      <c r="E102" s="527"/>
      <c r="F102" s="527"/>
      <c r="G102" s="527"/>
      <c r="H102" s="527"/>
      <c r="I102" s="527"/>
      <c r="J102" s="527"/>
      <c r="K102" s="527"/>
      <c r="L102" s="527"/>
      <c r="M102" s="527"/>
      <c r="N102" s="186"/>
      <c r="O102" s="549"/>
      <c r="P102" s="550"/>
      <c r="Q102" s="550"/>
      <c r="R102" s="550"/>
      <c r="S102" s="550"/>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0"/>
      <c r="AY102" s="550"/>
      <c r="AZ102" s="550"/>
      <c r="BA102" s="551"/>
      <c r="BB102" s="128"/>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row>
    <row r="103" spans="1:111" ht="9" customHeight="1">
      <c r="A103" s="128"/>
      <c r="B103" s="187"/>
      <c r="C103" s="187"/>
      <c r="D103" s="187"/>
      <c r="E103" s="187"/>
      <c r="F103" s="187"/>
      <c r="G103" s="187"/>
      <c r="H103" s="187"/>
      <c r="I103" s="188"/>
      <c r="J103" s="187"/>
      <c r="K103" s="187"/>
      <c r="L103" s="187"/>
      <c r="M103" s="187"/>
      <c r="N103" s="128"/>
      <c r="O103" s="549"/>
      <c r="P103" s="550"/>
      <c r="Q103" s="550"/>
      <c r="R103" s="550"/>
      <c r="S103" s="550"/>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0"/>
      <c r="AZ103" s="550"/>
      <c r="BA103" s="551"/>
      <c r="BB103" s="128"/>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row>
    <row r="104" spans="1:111" ht="9" customHeight="1">
      <c r="A104" s="128"/>
      <c r="B104" s="187"/>
      <c r="C104" s="187"/>
      <c r="D104" s="187"/>
      <c r="E104" s="187"/>
      <c r="F104" s="187"/>
      <c r="G104" s="187"/>
      <c r="H104" s="187"/>
      <c r="I104" s="188"/>
      <c r="J104" s="187"/>
      <c r="K104" s="187"/>
      <c r="L104" s="187"/>
      <c r="M104" s="187"/>
      <c r="N104" s="128"/>
      <c r="O104" s="552"/>
      <c r="P104" s="553"/>
      <c r="Q104" s="553"/>
      <c r="R104" s="553"/>
      <c r="S104" s="553"/>
      <c r="T104" s="553"/>
      <c r="U104" s="553"/>
      <c r="V104" s="553"/>
      <c r="W104" s="553"/>
      <c r="X104" s="553"/>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3"/>
      <c r="AY104" s="553"/>
      <c r="AZ104" s="553"/>
      <c r="BA104" s="554"/>
      <c r="BB104" s="128"/>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row>
    <row r="105" spans="1:111" ht="4.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row>
    <row r="106" spans="1:111" ht="9" customHeight="1">
      <c r="A106" s="128"/>
      <c r="B106" s="527" t="s">
        <v>439</v>
      </c>
      <c r="C106" s="527"/>
      <c r="D106" s="527"/>
      <c r="E106" s="527"/>
      <c r="F106" s="527"/>
      <c r="G106" s="527"/>
      <c r="H106" s="527"/>
      <c r="I106" s="527"/>
      <c r="J106" s="527"/>
      <c r="K106" s="527"/>
      <c r="L106" s="527"/>
      <c r="M106" s="527"/>
      <c r="N106" s="186"/>
      <c r="O106" s="534"/>
      <c r="P106" s="535"/>
      <c r="Q106" s="535"/>
      <c r="R106" s="535"/>
      <c r="S106" s="535"/>
      <c r="T106" s="535"/>
      <c r="U106" s="535"/>
      <c r="V106" s="535"/>
      <c r="W106" s="535"/>
      <c r="X106" s="535"/>
      <c r="Y106" s="535"/>
      <c r="Z106" s="536"/>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row>
    <row r="107" spans="1:111" ht="9" customHeight="1">
      <c r="A107" s="128"/>
      <c r="B107" s="527"/>
      <c r="C107" s="527"/>
      <c r="D107" s="527"/>
      <c r="E107" s="527"/>
      <c r="F107" s="527"/>
      <c r="G107" s="527"/>
      <c r="H107" s="527"/>
      <c r="I107" s="527"/>
      <c r="J107" s="527"/>
      <c r="K107" s="527"/>
      <c r="L107" s="527"/>
      <c r="M107" s="527"/>
      <c r="N107" s="186"/>
      <c r="O107" s="537"/>
      <c r="P107" s="538"/>
      <c r="Q107" s="538"/>
      <c r="R107" s="538"/>
      <c r="S107" s="538"/>
      <c r="T107" s="538"/>
      <c r="U107" s="538"/>
      <c r="V107" s="538"/>
      <c r="W107" s="538"/>
      <c r="X107" s="538"/>
      <c r="Y107" s="538"/>
      <c r="Z107" s="539"/>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row>
    <row r="108" spans="1:111" ht="18"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row>
    <row r="109" spans="1:111" ht="9" customHeight="1">
      <c r="A109" s="128"/>
      <c r="B109" s="525" t="s">
        <v>443</v>
      </c>
      <c r="C109" s="525"/>
      <c r="D109" s="525"/>
      <c r="E109" s="525"/>
      <c r="F109" s="525"/>
      <c r="G109" s="525"/>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5"/>
      <c r="AY109" s="525"/>
      <c r="AZ109" s="525"/>
      <c r="BA109" s="525"/>
      <c r="BB109" s="128"/>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row>
    <row r="110" spans="1:111" ht="9" customHeight="1">
      <c r="A110" s="128"/>
      <c r="B110" s="526"/>
      <c r="C110" s="526"/>
      <c r="D110" s="526"/>
      <c r="E110" s="526"/>
      <c r="F110" s="526"/>
      <c r="G110" s="526"/>
      <c r="H110" s="526"/>
      <c r="I110" s="526"/>
      <c r="J110" s="526"/>
      <c r="K110" s="526"/>
      <c r="L110" s="526"/>
      <c r="M110" s="526"/>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128"/>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row>
    <row r="111" spans="1:111" ht="4.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row>
    <row r="112" spans="1:111" ht="9" customHeight="1">
      <c r="A112" s="128"/>
      <c r="B112" s="527" t="s">
        <v>427</v>
      </c>
      <c r="C112" s="527"/>
      <c r="D112" s="527"/>
      <c r="E112" s="527"/>
      <c r="F112" s="527"/>
      <c r="G112" s="527"/>
      <c r="H112" s="527"/>
      <c r="I112" s="527"/>
      <c r="J112" s="527"/>
      <c r="K112" s="527"/>
      <c r="L112" s="527"/>
      <c r="M112" s="527"/>
      <c r="N112" s="186"/>
      <c r="O112" s="546"/>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8"/>
      <c r="BB112" s="128"/>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row>
    <row r="113" spans="1:111" ht="9" customHeight="1">
      <c r="A113" s="128"/>
      <c r="B113" s="527"/>
      <c r="C113" s="527"/>
      <c r="D113" s="527"/>
      <c r="E113" s="527"/>
      <c r="F113" s="527"/>
      <c r="G113" s="527"/>
      <c r="H113" s="527"/>
      <c r="I113" s="527"/>
      <c r="J113" s="527"/>
      <c r="K113" s="527"/>
      <c r="L113" s="527"/>
      <c r="M113" s="527"/>
      <c r="N113" s="186"/>
      <c r="O113" s="549"/>
      <c r="P113" s="550"/>
      <c r="Q113" s="550"/>
      <c r="R113" s="550"/>
      <c r="S113" s="550"/>
      <c r="T113" s="550"/>
      <c r="U113" s="550"/>
      <c r="V113" s="550"/>
      <c r="W113" s="550"/>
      <c r="X113" s="550"/>
      <c r="Y113" s="550"/>
      <c r="Z113" s="550"/>
      <c r="AA113" s="550"/>
      <c r="AB113" s="550"/>
      <c r="AC113" s="550"/>
      <c r="AD113" s="550"/>
      <c r="AE113" s="550"/>
      <c r="AF113" s="550"/>
      <c r="AG113" s="550"/>
      <c r="AH113" s="550"/>
      <c r="AI113" s="550"/>
      <c r="AJ113" s="550"/>
      <c r="AK113" s="550"/>
      <c r="AL113" s="550"/>
      <c r="AM113" s="550"/>
      <c r="AN113" s="550"/>
      <c r="AO113" s="550"/>
      <c r="AP113" s="550"/>
      <c r="AQ113" s="550"/>
      <c r="AR113" s="550"/>
      <c r="AS113" s="550"/>
      <c r="AT113" s="550"/>
      <c r="AU113" s="550"/>
      <c r="AV113" s="550"/>
      <c r="AW113" s="550"/>
      <c r="AX113" s="550"/>
      <c r="AY113" s="550"/>
      <c r="AZ113" s="550"/>
      <c r="BA113" s="551"/>
      <c r="BB113" s="128"/>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row>
    <row r="114" spans="1:111" ht="9" customHeight="1">
      <c r="A114" s="128"/>
      <c r="B114" s="187"/>
      <c r="C114" s="187"/>
      <c r="D114" s="187"/>
      <c r="E114" s="187"/>
      <c r="F114" s="187"/>
      <c r="G114" s="187"/>
      <c r="H114" s="187"/>
      <c r="I114" s="188"/>
      <c r="J114" s="187"/>
      <c r="K114" s="187"/>
      <c r="L114" s="187"/>
      <c r="M114" s="187"/>
      <c r="N114" s="128"/>
      <c r="O114" s="549"/>
      <c r="P114" s="550"/>
      <c r="Q114" s="550"/>
      <c r="R114" s="550"/>
      <c r="S114" s="550"/>
      <c r="T114" s="550"/>
      <c r="U114" s="550"/>
      <c r="V114" s="550"/>
      <c r="W114" s="550"/>
      <c r="X114" s="550"/>
      <c r="Y114" s="550"/>
      <c r="Z114" s="550"/>
      <c r="AA114" s="550"/>
      <c r="AB114" s="550"/>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0"/>
      <c r="AY114" s="550"/>
      <c r="AZ114" s="550"/>
      <c r="BA114" s="551"/>
      <c r="BB114" s="128"/>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row>
    <row r="115" spans="1:111" ht="9" customHeight="1">
      <c r="A115" s="128"/>
      <c r="B115" s="187"/>
      <c r="C115" s="187"/>
      <c r="D115" s="187"/>
      <c r="E115" s="187"/>
      <c r="F115" s="187"/>
      <c r="G115" s="187"/>
      <c r="H115" s="187"/>
      <c r="I115" s="188"/>
      <c r="J115" s="187"/>
      <c r="K115" s="187"/>
      <c r="L115" s="187"/>
      <c r="M115" s="187"/>
      <c r="N115" s="128"/>
      <c r="O115" s="552"/>
      <c r="P115" s="553"/>
      <c r="Q115" s="553"/>
      <c r="R115" s="553"/>
      <c r="S115" s="553"/>
      <c r="T115" s="553"/>
      <c r="U115" s="553"/>
      <c r="V115" s="553"/>
      <c r="W115" s="553"/>
      <c r="X115" s="553"/>
      <c r="Y115" s="553"/>
      <c r="Z115" s="553"/>
      <c r="AA115" s="553"/>
      <c r="AB115" s="553"/>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4"/>
      <c r="BB115" s="128"/>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row>
    <row r="116" spans="1:111" ht="4.5" customHeight="1">
      <c r="A116" s="128"/>
      <c r="B116" s="187"/>
      <c r="C116" s="187"/>
      <c r="D116" s="187"/>
      <c r="E116" s="187"/>
      <c r="F116" s="187"/>
      <c r="G116" s="187"/>
      <c r="H116" s="187"/>
      <c r="I116" s="188"/>
      <c r="J116" s="187"/>
      <c r="K116" s="187"/>
      <c r="L116" s="187"/>
      <c r="M116" s="187"/>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row>
    <row r="117" spans="1:111" ht="9" customHeight="1">
      <c r="A117" s="128"/>
      <c r="B117" s="527" t="s">
        <v>428</v>
      </c>
      <c r="C117" s="527"/>
      <c r="D117" s="527"/>
      <c r="E117" s="527"/>
      <c r="F117" s="527"/>
      <c r="G117" s="527"/>
      <c r="H117" s="527"/>
      <c r="I117" s="527"/>
      <c r="J117" s="527"/>
      <c r="K117" s="527"/>
      <c r="L117" s="527"/>
      <c r="M117" s="527"/>
      <c r="N117" s="186"/>
      <c r="O117" s="528"/>
      <c r="P117" s="529"/>
      <c r="Q117" s="529"/>
      <c r="R117" s="529"/>
      <c r="S117" s="529"/>
      <c r="T117" s="529"/>
      <c r="U117" s="529"/>
      <c r="V117" s="529"/>
      <c r="W117" s="529"/>
      <c r="X117" s="529"/>
      <c r="Y117" s="529"/>
      <c r="Z117" s="530"/>
      <c r="AA117" s="128"/>
      <c r="AB117" s="128"/>
      <c r="AC117" s="527" t="s">
        <v>430</v>
      </c>
      <c r="AD117" s="527"/>
      <c r="AE117" s="527"/>
      <c r="AF117" s="527"/>
      <c r="AG117" s="527"/>
      <c r="AH117" s="527"/>
      <c r="AI117" s="527"/>
      <c r="AJ117" s="527"/>
      <c r="AK117" s="527"/>
      <c r="AL117" s="527"/>
      <c r="AM117" s="527"/>
      <c r="AN117" s="527"/>
      <c r="AO117" s="128"/>
      <c r="AP117" s="528"/>
      <c r="AQ117" s="529"/>
      <c r="AR117" s="529"/>
      <c r="AS117" s="529"/>
      <c r="AT117" s="529"/>
      <c r="AU117" s="529"/>
      <c r="AV117" s="529"/>
      <c r="AW117" s="529"/>
      <c r="AX117" s="529"/>
      <c r="AY117" s="529"/>
      <c r="AZ117" s="529"/>
      <c r="BA117" s="530"/>
      <c r="BB117" s="128"/>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row>
    <row r="118" spans="1:111" ht="9" customHeight="1">
      <c r="A118" s="128"/>
      <c r="B118" s="527"/>
      <c r="C118" s="527"/>
      <c r="D118" s="527"/>
      <c r="E118" s="527"/>
      <c r="F118" s="527"/>
      <c r="G118" s="527"/>
      <c r="H118" s="527"/>
      <c r="I118" s="527"/>
      <c r="J118" s="527"/>
      <c r="K118" s="527"/>
      <c r="L118" s="527"/>
      <c r="M118" s="527"/>
      <c r="N118" s="186"/>
      <c r="O118" s="531"/>
      <c r="P118" s="532"/>
      <c r="Q118" s="532"/>
      <c r="R118" s="532"/>
      <c r="S118" s="532"/>
      <c r="T118" s="532"/>
      <c r="U118" s="532"/>
      <c r="V118" s="532"/>
      <c r="W118" s="532"/>
      <c r="X118" s="532"/>
      <c r="Y118" s="532"/>
      <c r="Z118" s="533"/>
      <c r="AA118" s="128"/>
      <c r="AB118" s="128"/>
      <c r="AC118" s="527"/>
      <c r="AD118" s="527"/>
      <c r="AE118" s="527"/>
      <c r="AF118" s="527"/>
      <c r="AG118" s="527"/>
      <c r="AH118" s="527"/>
      <c r="AI118" s="527"/>
      <c r="AJ118" s="527"/>
      <c r="AK118" s="527"/>
      <c r="AL118" s="527"/>
      <c r="AM118" s="527"/>
      <c r="AN118" s="527"/>
      <c r="AO118" s="128"/>
      <c r="AP118" s="531"/>
      <c r="AQ118" s="532"/>
      <c r="AR118" s="532"/>
      <c r="AS118" s="532"/>
      <c r="AT118" s="532"/>
      <c r="AU118" s="532"/>
      <c r="AV118" s="532"/>
      <c r="AW118" s="532"/>
      <c r="AX118" s="532"/>
      <c r="AY118" s="532"/>
      <c r="AZ118" s="532"/>
      <c r="BA118" s="533"/>
      <c r="BB118" s="128"/>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row>
    <row r="119" spans="1:111" ht="4.5" customHeight="1">
      <c r="A119" s="128"/>
      <c r="B119" s="187"/>
      <c r="C119" s="187"/>
      <c r="D119" s="187"/>
      <c r="E119" s="187"/>
      <c r="F119" s="187"/>
      <c r="G119" s="187"/>
      <c r="H119" s="187"/>
      <c r="I119" s="187"/>
      <c r="J119" s="187"/>
      <c r="K119" s="187"/>
      <c r="L119" s="187"/>
      <c r="M119" s="187"/>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row>
    <row r="120" spans="1:111" ht="9" customHeight="1">
      <c r="A120" s="128"/>
      <c r="B120" s="527" t="s">
        <v>429</v>
      </c>
      <c r="C120" s="527"/>
      <c r="D120" s="527"/>
      <c r="E120" s="527"/>
      <c r="F120" s="527"/>
      <c r="G120" s="527"/>
      <c r="H120" s="527"/>
      <c r="I120" s="527"/>
      <c r="J120" s="527"/>
      <c r="K120" s="527"/>
      <c r="L120" s="527"/>
      <c r="M120" s="527"/>
      <c r="N120" s="186"/>
      <c r="O120" s="534"/>
      <c r="P120" s="535"/>
      <c r="Q120" s="535"/>
      <c r="R120" s="535"/>
      <c r="S120" s="535"/>
      <c r="T120" s="535"/>
      <c r="U120" s="535"/>
      <c r="V120" s="535"/>
      <c r="W120" s="535"/>
      <c r="X120" s="535"/>
      <c r="Y120" s="535"/>
      <c r="Z120" s="536"/>
      <c r="AA120" s="128"/>
      <c r="AB120" s="128"/>
      <c r="AC120" s="527" t="s">
        <v>431</v>
      </c>
      <c r="AD120" s="527"/>
      <c r="AE120" s="527"/>
      <c r="AF120" s="527"/>
      <c r="AG120" s="527"/>
      <c r="AH120" s="527"/>
      <c r="AI120" s="527"/>
      <c r="AJ120" s="527"/>
      <c r="AK120" s="527"/>
      <c r="AL120" s="527"/>
      <c r="AM120" s="527"/>
      <c r="AN120" s="527"/>
      <c r="AO120" s="128"/>
      <c r="AP120" s="540">
        <f>O120*O117</f>
        <v>0</v>
      </c>
      <c r="AQ120" s="541"/>
      <c r="AR120" s="541"/>
      <c r="AS120" s="541"/>
      <c r="AT120" s="541"/>
      <c r="AU120" s="541"/>
      <c r="AV120" s="541"/>
      <c r="AW120" s="541"/>
      <c r="AX120" s="541"/>
      <c r="AY120" s="541"/>
      <c r="AZ120" s="541"/>
      <c r="BA120" s="542"/>
      <c r="BB120" s="128"/>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row>
    <row r="121" spans="1:111" ht="9" customHeight="1">
      <c r="A121" s="128"/>
      <c r="B121" s="527"/>
      <c r="C121" s="527"/>
      <c r="D121" s="527"/>
      <c r="E121" s="527"/>
      <c r="F121" s="527"/>
      <c r="G121" s="527"/>
      <c r="H121" s="527"/>
      <c r="I121" s="527"/>
      <c r="J121" s="527"/>
      <c r="K121" s="527"/>
      <c r="L121" s="527"/>
      <c r="M121" s="527"/>
      <c r="N121" s="186"/>
      <c r="O121" s="537"/>
      <c r="P121" s="538"/>
      <c r="Q121" s="538"/>
      <c r="R121" s="538"/>
      <c r="S121" s="538"/>
      <c r="T121" s="538"/>
      <c r="U121" s="538"/>
      <c r="V121" s="538"/>
      <c r="W121" s="538"/>
      <c r="X121" s="538"/>
      <c r="Y121" s="538"/>
      <c r="Z121" s="539"/>
      <c r="AA121" s="128"/>
      <c r="AB121" s="128"/>
      <c r="AC121" s="527"/>
      <c r="AD121" s="527"/>
      <c r="AE121" s="527"/>
      <c r="AF121" s="527"/>
      <c r="AG121" s="527"/>
      <c r="AH121" s="527"/>
      <c r="AI121" s="527"/>
      <c r="AJ121" s="527"/>
      <c r="AK121" s="527"/>
      <c r="AL121" s="527"/>
      <c r="AM121" s="527"/>
      <c r="AN121" s="527"/>
      <c r="AO121" s="128"/>
      <c r="AP121" s="543"/>
      <c r="AQ121" s="544"/>
      <c r="AR121" s="544"/>
      <c r="AS121" s="544"/>
      <c r="AT121" s="544"/>
      <c r="AU121" s="544"/>
      <c r="AV121" s="544"/>
      <c r="AW121" s="544"/>
      <c r="AX121" s="544"/>
      <c r="AY121" s="544"/>
      <c r="AZ121" s="544"/>
      <c r="BA121" s="545"/>
      <c r="BB121" s="128"/>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row>
    <row r="122" spans="1:111" ht="4.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row>
    <row r="123" spans="1:111" ht="9" customHeight="1">
      <c r="A123" s="128"/>
      <c r="B123" s="527" t="s">
        <v>432</v>
      </c>
      <c r="C123" s="527"/>
      <c r="D123" s="527"/>
      <c r="E123" s="527"/>
      <c r="F123" s="527"/>
      <c r="G123" s="527"/>
      <c r="H123" s="527"/>
      <c r="I123" s="527"/>
      <c r="J123" s="527"/>
      <c r="K123" s="527"/>
      <c r="L123" s="527"/>
      <c r="M123" s="527"/>
      <c r="N123" s="186"/>
      <c r="O123" s="546"/>
      <c r="P123" s="547"/>
      <c r="Q123" s="547"/>
      <c r="R123" s="547"/>
      <c r="S123" s="547"/>
      <c r="T123" s="547"/>
      <c r="U123" s="547"/>
      <c r="V123" s="547"/>
      <c r="W123" s="547"/>
      <c r="X123" s="547"/>
      <c r="Y123" s="547"/>
      <c r="Z123" s="547"/>
      <c r="AA123" s="547"/>
      <c r="AB123" s="547"/>
      <c r="AC123" s="547"/>
      <c r="AD123" s="547"/>
      <c r="AE123" s="547"/>
      <c r="AF123" s="547"/>
      <c r="AG123" s="547"/>
      <c r="AH123" s="547"/>
      <c r="AI123" s="547"/>
      <c r="AJ123" s="547"/>
      <c r="AK123" s="547"/>
      <c r="AL123" s="547"/>
      <c r="AM123" s="547"/>
      <c r="AN123" s="547"/>
      <c r="AO123" s="547"/>
      <c r="AP123" s="547"/>
      <c r="AQ123" s="547"/>
      <c r="AR123" s="547"/>
      <c r="AS123" s="547"/>
      <c r="AT123" s="547"/>
      <c r="AU123" s="547"/>
      <c r="AV123" s="547"/>
      <c r="AW123" s="547"/>
      <c r="AX123" s="547"/>
      <c r="AY123" s="547"/>
      <c r="AZ123" s="547"/>
      <c r="BA123" s="548"/>
      <c r="BB123" s="128"/>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row>
    <row r="124" spans="1:111" ht="9" customHeight="1">
      <c r="A124" s="128"/>
      <c r="B124" s="527"/>
      <c r="C124" s="527"/>
      <c r="D124" s="527"/>
      <c r="E124" s="527"/>
      <c r="F124" s="527"/>
      <c r="G124" s="527"/>
      <c r="H124" s="527"/>
      <c r="I124" s="527"/>
      <c r="J124" s="527"/>
      <c r="K124" s="527"/>
      <c r="L124" s="527"/>
      <c r="M124" s="527"/>
      <c r="N124" s="186"/>
      <c r="O124" s="549"/>
      <c r="P124" s="550"/>
      <c r="Q124" s="550"/>
      <c r="R124" s="550"/>
      <c r="S124" s="550"/>
      <c r="T124" s="550"/>
      <c r="U124" s="550"/>
      <c r="V124" s="550"/>
      <c r="W124" s="550"/>
      <c r="X124" s="550"/>
      <c r="Y124" s="550"/>
      <c r="Z124" s="550"/>
      <c r="AA124" s="550"/>
      <c r="AB124" s="550"/>
      <c r="AC124" s="550"/>
      <c r="AD124" s="550"/>
      <c r="AE124" s="550"/>
      <c r="AF124" s="550"/>
      <c r="AG124" s="550"/>
      <c r="AH124" s="550"/>
      <c r="AI124" s="550"/>
      <c r="AJ124" s="550"/>
      <c r="AK124" s="550"/>
      <c r="AL124" s="550"/>
      <c r="AM124" s="550"/>
      <c r="AN124" s="550"/>
      <c r="AO124" s="550"/>
      <c r="AP124" s="550"/>
      <c r="AQ124" s="550"/>
      <c r="AR124" s="550"/>
      <c r="AS124" s="550"/>
      <c r="AT124" s="550"/>
      <c r="AU124" s="550"/>
      <c r="AV124" s="550"/>
      <c r="AW124" s="550"/>
      <c r="AX124" s="550"/>
      <c r="AY124" s="550"/>
      <c r="AZ124" s="550"/>
      <c r="BA124" s="551"/>
      <c r="BB124" s="128"/>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row>
    <row r="125" spans="1:111" ht="9" customHeight="1">
      <c r="A125" s="128"/>
      <c r="B125" s="187"/>
      <c r="C125" s="187"/>
      <c r="D125" s="187"/>
      <c r="E125" s="187"/>
      <c r="F125" s="187"/>
      <c r="G125" s="187"/>
      <c r="H125" s="187"/>
      <c r="I125" s="188"/>
      <c r="J125" s="187"/>
      <c r="K125" s="187"/>
      <c r="L125" s="187"/>
      <c r="M125" s="187"/>
      <c r="N125" s="128"/>
      <c r="O125" s="549"/>
      <c r="P125" s="550"/>
      <c r="Q125" s="550"/>
      <c r="R125" s="550"/>
      <c r="S125" s="550"/>
      <c r="T125" s="550"/>
      <c r="U125" s="550"/>
      <c r="V125" s="550"/>
      <c r="W125" s="550"/>
      <c r="X125" s="550"/>
      <c r="Y125" s="550"/>
      <c r="Z125" s="550"/>
      <c r="AA125" s="550"/>
      <c r="AB125" s="550"/>
      <c r="AC125" s="550"/>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0"/>
      <c r="AY125" s="550"/>
      <c r="AZ125" s="550"/>
      <c r="BA125" s="551"/>
      <c r="BB125" s="128"/>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row>
    <row r="126" spans="1:111" ht="9" customHeight="1">
      <c r="A126" s="128"/>
      <c r="B126" s="187"/>
      <c r="C126" s="187"/>
      <c r="D126" s="187"/>
      <c r="E126" s="187"/>
      <c r="F126" s="187"/>
      <c r="G126" s="187"/>
      <c r="H126" s="187"/>
      <c r="I126" s="188"/>
      <c r="J126" s="187"/>
      <c r="K126" s="187"/>
      <c r="L126" s="187"/>
      <c r="M126" s="187"/>
      <c r="N126" s="128"/>
      <c r="O126" s="552"/>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3"/>
      <c r="AY126" s="553"/>
      <c r="AZ126" s="553"/>
      <c r="BA126" s="554"/>
      <c r="BB126" s="128"/>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row>
    <row r="127" spans="1:111" ht="4.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row>
    <row r="128" spans="1:111" ht="9" customHeight="1">
      <c r="A128" s="128"/>
      <c r="B128" s="527" t="s">
        <v>433</v>
      </c>
      <c r="C128" s="527"/>
      <c r="D128" s="527"/>
      <c r="E128" s="527"/>
      <c r="F128" s="527"/>
      <c r="G128" s="527"/>
      <c r="H128" s="527"/>
      <c r="I128" s="527"/>
      <c r="J128" s="527"/>
      <c r="K128" s="527"/>
      <c r="L128" s="527"/>
      <c r="M128" s="527"/>
      <c r="N128" s="186"/>
      <c r="O128" s="546"/>
      <c r="P128" s="547"/>
      <c r="Q128" s="547"/>
      <c r="R128" s="547"/>
      <c r="S128" s="547"/>
      <c r="T128" s="547"/>
      <c r="U128" s="547"/>
      <c r="V128" s="547"/>
      <c r="W128" s="547"/>
      <c r="X128" s="547"/>
      <c r="Y128" s="547"/>
      <c r="Z128" s="547"/>
      <c r="AA128" s="547"/>
      <c r="AB128" s="547"/>
      <c r="AC128" s="547"/>
      <c r="AD128" s="547"/>
      <c r="AE128" s="547"/>
      <c r="AF128" s="547"/>
      <c r="AG128" s="547"/>
      <c r="AH128" s="547"/>
      <c r="AI128" s="547"/>
      <c r="AJ128" s="547"/>
      <c r="AK128" s="547"/>
      <c r="AL128" s="547"/>
      <c r="AM128" s="547"/>
      <c r="AN128" s="547"/>
      <c r="AO128" s="547"/>
      <c r="AP128" s="547"/>
      <c r="AQ128" s="547"/>
      <c r="AR128" s="547"/>
      <c r="AS128" s="547"/>
      <c r="AT128" s="547"/>
      <c r="AU128" s="547"/>
      <c r="AV128" s="547"/>
      <c r="AW128" s="547"/>
      <c r="AX128" s="547"/>
      <c r="AY128" s="547"/>
      <c r="AZ128" s="547"/>
      <c r="BA128" s="548"/>
      <c r="BB128" s="128"/>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row>
    <row r="129" spans="1:111" ht="9" customHeight="1">
      <c r="A129" s="128"/>
      <c r="B129" s="527"/>
      <c r="C129" s="527"/>
      <c r="D129" s="527"/>
      <c r="E129" s="527"/>
      <c r="F129" s="527"/>
      <c r="G129" s="527"/>
      <c r="H129" s="527"/>
      <c r="I129" s="527"/>
      <c r="J129" s="527"/>
      <c r="K129" s="527"/>
      <c r="L129" s="527"/>
      <c r="M129" s="527"/>
      <c r="N129" s="186"/>
      <c r="O129" s="549"/>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550"/>
      <c r="AY129" s="550"/>
      <c r="AZ129" s="550"/>
      <c r="BA129" s="551"/>
      <c r="BB129" s="128"/>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row>
    <row r="130" spans="1:111" ht="9" customHeight="1">
      <c r="A130" s="128"/>
      <c r="B130" s="187"/>
      <c r="C130" s="187"/>
      <c r="D130" s="187"/>
      <c r="E130" s="187"/>
      <c r="F130" s="187"/>
      <c r="G130" s="187"/>
      <c r="H130" s="187"/>
      <c r="I130" s="188"/>
      <c r="J130" s="187"/>
      <c r="K130" s="187"/>
      <c r="L130" s="187"/>
      <c r="M130" s="187"/>
      <c r="N130" s="128"/>
      <c r="O130" s="549"/>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0"/>
      <c r="AY130" s="550"/>
      <c r="AZ130" s="550"/>
      <c r="BA130" s="551"/>
      <c r="BB130" s="128"/>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row>
    <row r="131" spans="1:111" ht="9" customHeight="1">
      <c r="A131" s="128"/>
      <c r="B131" s="187"/>
      <c r="C131" s="187"/>
      <c r="D131" s="187"/>
      <c r="E131" s="187"/>
      <c r="F131" s="187"/>
      <c r="G131" s="187"/>
      <c r="H131" s="187"/>
      <c r="I131" s="188"/>
      <c r="J131" s="187"/>
      <c r="K131" s="187"/>
      <c r="L131" s="187"/>
      <c r="M131" s="187"/>
      <c r="N131" s="128"/>
      <c r="O131" s="552"/>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3"/>
      <c r="AY131" s="553"/>
      <c r="AZ131" s="553"/>
      <c r="BA131" s="554"/>
      <c r="BB131" s="128"/>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row>
    <row r="132" spans="1:111" ht="4.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row>
    <row r="133" spans="1:111" ht="9" customHeight="1">
      <c r="A133" s="128"/>
      <c r="B133" s="527" t="s">
        <v>434</v>
      </c>
      <c r="C133" s="527"/>
      <c r="D133" s="527"/>
      <c r="E133" s="527"/>
      <c r="F133" s="527"/>
      <c r="G133" s="527"/>
      <c r="H133" s="527"/>
      <c r="I133" s="527"/>
      <c r="J133" s="527"/>
      <c r="K133" s="527"/>
      <c r="L133" s="527"/>
      <c r="M133" s="527"/>
      <c r="N133" s="186"/>
      <c r="O133" s="546"/>
      <c r="P133" s="547"/>
      <c r="Q133" s="547"/>
      <c r="R133" s="547"/>
      <c r="S133" s="547"/>
      <c r="T133" s="547"/>
      <c r="U133" s="547"/>
      <c r="V133" s="547"/>
      <c r="W133" s="547"/>
      <c r="X133" s="547"/>
      <c r="Y133" s="547"/>
      <c r="Z133" s="547"/>
      <c r="AA133" s="547"/>
      <c r="AB133" s="547"/>
      <c r="AC133" s="547"/>
      <c r="AD133" s="547"/>
      <c r="AE133" s="547"/>
      <c r="AF133" s="547"/>
      <c r="AG133" s="547"/>
      <c r="AH133" s="547"/>
      <c r="AI133" s="547"/>
      <c r="AJ133" s="547"/>
      <c r="AK133" s="547"/>
      <c r="AL133" s="547"/>
      <c r="AM133" s="547"/>
      <c r="AN133" s="547"/>
      <c r="AO133" s="547"/>
      <c r="AP133" s="547"/>
      <c r="AQ133" s="547"/>
      <c r="AR133" s="547"/>
      <c r="AS133" s="547"/>
      <c r="AT133" s="547"/>
      <c r="AU133" s="547"/>
      <c r="AV133" s="547"/>
      <c r="AW133" s="547"/>
      <c r="AX133" s="547"/>
      <c r="AY133" s="547"/>
      <c r="AZ133" s="547"/>
      <c r="BA133" s="548"/>
      <c r="BB133" s="128"/>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row>
    <row r="134" spans="1:111" ht="9" customHeight="1">
      <c r="A134" s="128"/>
      <c r="B134" s="527"/>
      <c r="C134" s="527"/>
      <c r="D134" s="527"/>
      <c r="E134" s="527"/>
      <c r="F134" s="527"/>
      <c r="G134" s="527"/>
      <c r="H134" s="527"/>
      <c r="I134" s="527"/>
      <c r="J134" s="527"/>
      <c r="K134" s="527"/>
      <c r="L134" s="527"/>
      <c r="M134" s="527"/>
      <c r="N134" s="186"/>
      <c r="O134" s="549"/>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0"/>
      <c r="AY134" s="550"/>
      <c r="AZ134" s="550"/>
      <c r="BA134" s="551"/>
      <c r="BB134" s="128"/>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row>
    <row r="135" spans="1:111" ht="9" customHeight="1">
      <c r="A135" s="128"/>
      <c r="B135" s="187"/>
      <c r="C135" s="187"/>
      <c r="D135" s="187"/>
      <c r="E135" s="187"/>
      <c r="F135" s="187"/>
      <c r="G135" s="187"/>
      <c r="H135" s="187"/>
      <c r="I135" s="188"/>
      <c r="J135" s="187"/>
      <c r="K135" s="187"/>
      <c r="L135" s="187"/>
      <c r="M135" s="187"/>
      <c r="N135" s="128"/>
      <c r="O135" s="549"/>
      <c r="P135" s="550"/>
      <c r="Q135" s="550"/>
      <c r="R135" s="550"/>
      <c r="S135" s="550"/>
      <c r="T135" s="550"/>
      <c r="U135" s="550"/>
      <c r="V135" s="550"/>
      <c r="W135" s="550"/>
      <c r="X135" s="550"/>
      <c r="Y135" s="550"/>
      <c r="Z135" s="550"/>
      <c r="AA135" s="550"/>
      <c r="AB135" s="550"/>
      <c r="AC135" s="550"/>
      <c r="AD135" s="550"/>
      <c r="AE135" s="550"/>
      <c r="AF135" s="550"/>
      <c r="AG135" s="550"/>
      <c r="AH135" s="550"/>
      <c r="AI135" s="550"/>
      <c r="AJ135" s="550"/>
      <c r="AK135" s="550"/>
      <c r="AL135" s="550"/>
      <c r="AM135" s="550"/>
      <c r="AN135" s="550"/>
      <c r="AO135" s="550"/>
      <c r="AP135" s="550"/>
      <c r="AQ135" s="550"/>
      <c r="AR135" s="550"/>
      <c r="AS135" s="550"/>
      <c r="AT135" s="550"/>
      <c r="AU135" s="550"/>
      <c r="AV135" s="550"/>
      <c r="AW135" s="550"/>
      <c r="AX135" s="550"/>
      <c r="AY135" s="550"/>
      <c r="AZ135" s="550"/>
      <c r="BA135" s="551"/>
      <c r="BB135" s="128"/>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row>
    <row r="136" spans="1:111" ht="9" customHeight="1">
      <c r="A136" s="128"/>
      <c r="B136" s="187"/>
      <c r="C136" s="187"/>
      <c r="D136" s="187"/>
      <c r="E136" s="187"/>
      <c r="F136" s="187"/>
      <c r="G136" s="187"/>
      <c r="H136" s="187"/>
      <c r="I136" s="188"/>
      <c r="J136" s="187"/>
      <c r="K136" s="187"/>
      <c r="L136" s="187"/>
      <c r="M136" s="187"/>
      <c r="N136" s="128"/>
      <c r="O136" s="552"/>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3"/>
      <c r="AY136" s="553"/>
      <c r="AZ136" s="553"/>
      <c r="BA136" s="554"/>
      <c r="BB136" s="128"/>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row>
    <row r="137" spans="1:111" ht="4.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row>
    <row r="138" spans="1:111" ht="9" customHeight="1">
      <c r="A138" s="128"/>
      <c r="B138" s="527" t="s">
        <v>435</v>
      </c>
      <c r="C138" s="527"/>
      <c r="D138" s="527"/>
      <c r="E138" s="527"/>
      <c r="F138" s="527"/>
      <c r="G138" s="527"/>
      <c r="H138" s="527"/>
      <c r="I138" s="527"/>
      <c r="J138" s="527"/>
      <c r="K138" s="527"/>
      <c r="L138" s="527"/>
      <c r="M138" s="527"/>
      <c r="N138" s="186"/>
      <c r="O138" s="546"/>
      <c r="P138" s="547"/>
      <c r="Q138" s="547"/>
      <c r="R138" s="547"/>
      <c r="S138" s="547"/>
      <c r="T138" s="547"/>
      <c r="U138" s="547"/>
      <c r="V138" s="547"/>
      <c r="W138" s="547"/>
      <c r="X138" s="547"/>
      <c r="Y138" s="547"/>
      <c r="Z138" s="547"/>
      <c r="AA138" s="547"/>
      <c r="AB138" s="547"/>
      <c r="AC138" s="547"/>
      <c r="AD138" s="547"/>
      <c r="AE138" s="547"/>
      <c r="AF138" s="547"/>
      <c r="AG138" s="547"/>
      <c r="AH138" s="547"/>
      <c r="AI138" s="547"/>
      <c r="AJ138" s="547"/>
      <c r="AK138" s="547"/>
      <c r="AL138" s="547"/>
      <c r="AM138" s="547"/>
      <c r="AN138" s="547"/>
      <c r="AO138" s="547"/>
      <c r="AP138" s="547"/>
      <c r="AQ138" s="547"/>
      <c r="AR138" s="547"/>
      <c r="AS138" s="547"/>
      <c r="AT138" s="547"/>
      <c r="AU138" s="547"/>
      <c r="AV138" s="547"/>
      <c r="AW138" s="547"/>
      <c r="AX138" s="547"/>
      <c r="AY138" s="547"/>
      <c r="AZ138" s="547"/>
      <c r="BA138" s="548"/>
      <c r="BB138" s="128"/>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row>
    <row r="139" spans="1:111" ht="9" customHeight="1">
      <c r="A139" s="128"/>
      <c r="B139" s="527"/>
      <c r="C139" s="527"/>
      <c r="D139" s="527"/>
      <c r="E139" s="527"/>
      <c r="F139" s="527"/>
      <c r="G139" s="527"/>
      <c r="H139" s="527"/>
      <c r="I139" s="527"/>
      <c r="J139" s="527"/>
      <c r="K139" s="527"/>
      <c r="L139" s="527"/>
      <c r="M139" s="527"/>
      <c r="N139" s="186"/>
      <c r="O139" s="549"/>
      <c r="P139" s="550"/>
      <c r="Q139" s="550"/>
      <c r="R139" s="550"/>
      <c r="S139" s="550"/>
      <c r="T139" s="550"/>
      <c r="U139" s="550"/>
      <c r="V139" s="550"/>
      <c r="W139" s="550"/>
      <c r="X139" s="550"/>
      <c r="Y139" s="550"/>
      <c r="Z139" s="550"/>
      <c r="AA139" s="550"/>
      <c r="AB139" s="550"/>
      <c r="AC139" s="550"/>
      <c r="AD139" s="550"/>
      <c r="AE139" s="550"/>
      <c r="AF139" s="550"/>
      <c r="AG139" s="550"/>
      <c r="AH139" s="550"/>
      <c r="AI139" s="550"/>
      <c r="AJ139" s="550"/>
      <c r="AK139" s="550"/>
      <c r="AL139" s="550"/>
      <c r="AM139" s="550"/>
      <c r="AN139" s="550"/>
      <c r="AO139" s="550"/>
      <c r="AP139" s="550"/>
      <c r="AQ139" s="550"/>
      <c r="AR139" s="550"/>
      <c r="AS139" s="550"/>
      <c r="AT139" s="550"/>
      <c r="AU139" s="550"/>
      <c r="AV139" s="550"/>
      <c r="AW139" s="550"/>
      <c r="AX139" s="550"/>
      <c r="AY139" s="550"/>
      <c r="AZ139" s="550"/>
      <c r="BA139" s="551"/>
      <c r="BB139" s="128"/>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row>
    <row r="140" spans="1:111" ht="9" customHeight="1">
      <c r="A140" s="128"/>
      <c r="B140" s="187"/>
      <c r="C140" s="187"/>
      <c r="D140" s="187"/>
      <c r="E140" s="187"/>
      <c r="F140" s="187"/>
      <c r="G140" s="187"/>
      <c r="H140" s="187"/>
      <c r="I140" s="188"/>
      <c r="J140" s="187"/>
      <c r="K140" s="187"/>
      <c r="L140" s="187"/>
      <c r="M140" s="187"/>
      <c r="N140" s="128"/>
      <c r="O140" s="549"/>
      <c r="P140" s="550"/>
      <c r="Q140" s="550"/>
      <c r="R140" s="550"/>
      <c r="S140" s="550"/>
      <c r="T140" s="550"/>
      <c r="U140" s="550"/>
      <c r="V140" s="550"/>
      <c r="W140" s="550"/>
      <c r="X140" s="550"/>
      <c r="Y140" s="550"/>
      <c r="Z140" s="550"/>
      <c r="AA140" s="550"/>
      <c r="AB140" s="550"/>
      <c r="AC140" s="550"/>
      <c r="AD140" s="550"/>
      <c r="AE140" s="550"/>
      <c r="AF140" s="550"/>
      <c r="AG140" s="550"/>
      <c r="AH140" s="550"/>
      <c r="AI140" s="550"/>
      <c r="AJ140" s="550"/>
      <c r="AK140" s="550"/>
      <c r="AL140" s="550"/>
      <c r="AM140" s="550"/>
      <c r="AN140" s="550"/>
      <c r="AO140" s="550"/>
      <c r="AP140" s="550"/>
      <c r="AQ140" s="550"/>
      <c r="AR140" s="550"/>
      <c r="AS140" s="550"/>
      <c r="AT140" s="550"/>
      <c r="AU140" s="550"/>
      <c r="AV140" s="550"/>
      <c r="AW140" s="550"/>
      <c r="AX140" s="550"/>
      <c r="AY140" s="550"/>
      <c r="AZ140" s="550"/>
      <c r="BA140" s="551"/>
      <c r="BB140" s="128"/>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row>
    <row r="141" spans="1:111" ht="9" customHeight="1">
      <c r="A141" s="128"/>
      <c r="B141" s="187"/>
      <c r="C141" s="187"/>
      <c r="D141" s="187"/>
      <c r="E141" s="187"/>
      <c r="F141" s="187"/>
      <c r="G141" s="187"/>
      <c r="H141" s="187"/>
      <c r="I141" s="188"/>
      <c r="J141" s="187"/>
      <c r="K141" s="187"/>
      <c r="L141" s="187"/>
      <c r="M141" s="187"/>
      <c r="N141" s="128"/>
      <c r="O141" s="552"/>
      <c r="P141" s="553"/>
      <c r="Q141" s="553"/>
      <c r="R141" s="553"/>
      <c r="S141" s="553"/>
      <c r="T141" s="553"/>
      <c r="U141" s="553"/>
      <c r="V141" s="553"/>
      <c r="W141" s="553"/>
      <c r="X141" s="553"/>
      <c r="Y141" s="553"/>
      <c r="Z141" s="553"/>
      <c r="AA141" s="553"/>
      <c r="AB141" s="553"/>
      <c r="AC141" s="553"/>
      <c r="AD141" s="553"/>
      <c r="AE141" s="553"/>
      <c r="AF141" s="553"/>
      <c r="AG141" s="553"/>
      <c r="AH141" s="553"/>
      <c r="AI141" s="553"/>
      <c r="AJ141" s="553"/>
      <c r="AK141" s="553"/>
      <c r="AL141" s="553"/>
      <c r="AM141" s="553"/>
      <c r="AN141" s="553"/>
      <c r="AO141" s="553"/>
      <c r="AP141" s="553"/>
      <c r="AQ141" s="553"/>
      <c r="AR141" s="553"/>
      <c r="AS141" s="553"/>
      <c r="AT141" s="553"/>
      <c r="AU141" s="553"/>
      <c r="AV141" s="553"/>
      <c r="AW141" s="553"/>
      <c r="AX141" s="553"/>
      <c r="AY141" s="553"/>
      <c r="AZ141" s="553"/>
      <c r="BA141" s="554"/>
      <c r="BB141" s="128"/>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row>
    <row r="142" spans="1:111" ht="4.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row>
    <row r="143" spans="1:111" ht="9" customHeight="1">
      <c r="A143" s="128"/>
      <c r="B143" s="527" t="s">
        <v>436</v>
      </c>
      <c r="C143" s="527"/>
      <c r="D143" s="527"/>
      <c r="E143" s="527"/>
      <c r="F143" s="527"/>
      <c r="G143" s="527"/>
      <c r="H143" s="527"/>
      <c r="I143" s="527"/>
      <c r="J143" s="527"/>
      <c r="K143" s="527"/>
      <c r="L143" s="527"/>
      <c r="M143" s="527"/>
      <c r="N143" s="186"/>
      <c r="O143" s="534"/>
      <c r="P143" s="535"/>
      <c r="Q143" s="535"/>
      <c r="R143" s="535"/>
      <c r="S143" s="535"/>
      <c r="T143" s="535"/>
      <c r="U143" s="535"/>
      <c r="V143" s="535"/>
      <c r="W143" s="535"/>
      <c r="X143" s="535"/>
      <c r="Y143" s="535"/>
      <c r="Z143" s="536"/>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row>
    <row r="144" spans="1:111" ht="9" customHeight="1">
      <c r="A144" s="128"/>
      <c r="B144" s="527"/>
      <c r="C144" s="527"/>
      <c r="D144" s="527"/>
      <c r="E144" s="527"/>
      <c r="F144" s="527"/>
      <c r="G144" s="527"/>
      <c r="H144" s="527"/>
      <c r="I144" s="527"/>
      <c r="J144" s="527"/>
      <c r="K144" s="527"/>
      <c r="L144" s="527"/>
      <c r="M144" s="527"/>
      <c r="N144" s="186"/>
      <c r="O144" s="537"/>
      <c r="P144" s="538"/>
      <c r="Q144" s="538"/>
      <c r="R144" s="538"/>
      <c r="S144" s="538"/>
      <c r="T144" s="538"/>
      <c r="U144" s="538"/>
      <c r="V144" s="538"/>
      <c r="W144" s="538"/>
      <c r="X144" s="538"/>
      <c r="Y144" s="538"/>
      <c r="Z144" s="539"/>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row>
    <row r="145" spans="1:111" ht="4.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row>
    <row r="146" spans="1:111" ht="9" customHeight="1">
      <c r="A146" s="128"/>
      <c r="B146" s="527" t="s">
        <v>437</v>
      </c>
      <c r="C146" s="527"/>
      <c r="D146" s="527"/>
      <c r="E146" s="527"/>
      <c r="F146" s="527"/>
      <c r="G146" s="527"/>
      <c r="H146" s="527"/>
      <c r="I146" s="527"/>
      <c r="J146" s="527"/>
      <c r="K146" s="527"/>
      <c r="L146" s="527"/>
      <c r="M146" s="527"/>
      <c r="N146" s="186"/>
      <c r="O146" s="546"/>
      <c r="P146" s="547"/>
      <c r="Q146" s="547"/>
      <c r="R146" s="547"/>
      <c r="S146" s="547"/>
      <c r="T146" s="547"/>
      <c r="U146" s="547"/>
      <c r="V146" s="547"/>
      <c r="W146" s="547"/>
      <c r="X146" s="547"/>
      <c r="Y146" s="547"/>
      <c r="Z146" s="547"/>
      <c r="AA146" s="547"/>
      <c r="AB146" s="547"/>
      <c r="AC146" s="547"/>
      <c r="AD146" s="547"/>
      <c r="AE146" s="547"/>
      <c r="AF146" s="547"/>
      <c r="AG146" s="547"/>
      <c r="AH146" s="547"/>
      <c r="AI146" s="547"/>
      <c r="AJ146" s="547"/>
      <c r="AK146" s="547"/>
      <c r="AL146" s="547"/>
      <c r="AM146" s="547"/>
      <c r="AN146" s="547"/>
      <c r="AO146" s="547"/>
      <c r="AP146" s="547"/>
      <c r="AQ146" s="547"/>
      <c r="AR146" s="547"/>
      <c r="AS146" s="547"/>
      <c r="AT146" s="547"/>
      <c r="AU146" s="547"/>
      <c r="AV146" s="547"/>
      <c r="AW146" s="547"/>
      <c r="AX146" s="547"/>
      <c r="AY146" s="547"/>
      <c r="AZ146" s="547"/>
      <c r="BA146" s="548"/>
      <c r="BB146" s="128"/>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row>
    <row r="147" spans="1:111" ht="9" customHeight="1">
      <c r="A147" s="128"/>
      <c r="B147" s="527"/>
      <c r="C147" s="527"/>
      <c r="D147" s="527"/>
      <c r="E147" s="527"/>
      <c r="F147" s="527"/>
      <c r="G147" s="527"/>
      <c r="H147" s="527"/>
      <c r="I147" s="527"/>
      <c r="J147" s="527"/>
      <c r="K147" s="527"/>
      <c r="L147" s="527"/>
      <c r="M147" s="527"/>
      <c r="N147" s="186"/>
      <c r="O147" s="549"/>
      <c r="P147" s="550"/>
      <c r="Q147" s="550"/>
      <c r="R147" s="550"/>
      <c r="S147" s="550"/>
      <c r="T147" s="550"/>
      <c r="U147" s="550"/>
      <c r="V147" s="550"/>
      <c r="W147" s="550"/>
      <c r="X147" s="550"/>
      <c r="Y147" s="550"/>
      <c r="Z147" s="550"/>
      <c r="AA147" s="550"/>
      <c r="AB147" s="550"/>
      <c r="AC147" s="550"/>
      <c r="AD147" s="550"/>
      <c r="AE147" s="550"/>
      <c r="AF147" s="550"/>
      <c r="AG147" s="550"/>
      <c r="AH147" s="550"/>
      <c r="AI147" s="550"/>
      <c r="AJ147" s="550"/>
      <c r="AK147" s="550"/>
      <c r="AL147" s="550"/>
      <c r="AM147" s="550"/>
      <c r="AN147" s="550"/>
      <c r="AO147" s="550"/>
      <c r="AP147" s="550"/>
      <c r="AQ147" s="550"/>
      <c r="AR147" s="550"/>
      <c r="AS147" s="550"/>
      <c r="AT147" s="550"/>
      <c r="AU147" s="550"/>
      <c r="AV147" s="550"/>
      <c r="AW147" s="550"/>
      <c r="AX147" s="550"/>
      <c r="AY147" s="550"/>
      <c r="AZ147" s="550"/>
      <c r="BA147" s="551"/>
      <c r="BB147" s="128"/>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row>
    <row r="148" spans="1:111" ht="9" customHeight="1">
      <c r="A148" s="128"/>
      <c r="B148" s="187"/>
      <c r="C148" s="187"/>
      <c r="D148" s="187"/>
      <c r="E148" s="187"/>
      <c r="F148" s="187"/>
      <c r="G148" s="187"/>
      <c r="H148" s="187"/>
      <c r="I148" s="188"/>
      <c r="J148" s="187"/>
      <c r="K148" s="187"/>
      <c r="L148" s="187"/>
      <c r="M148" s="187"/>
      <c r="N148" s="128"/>
      <c r="O148" s="549"/>
      <c r="P148" s="550"/>
      <c r="Q148" s="550"/>
      <c r="R148" s="550"/>
      <c r="S148" s="550"/>
      <c r="T148" s="550"/>
      <c r="U148" s="550"/>
      <c r="V148" s="550"/>
      <c r="W148" s="550"/>
      <c r="X148" s="550"/>
      <c r="Y148" s="550"/>
      <c r="Z148" s="550"/>
      <c r="AA148" s="550"/>
      <c r="AB148" s="550"/>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0"/>
      <c r="AY148" s="550"/>
      <c r="AZ148" s="550"/>
      <c r="BA148" s="551"/>
      <c r="BB148" s="128"/>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row>
    <row r="149" spans="1:111" ht="9" customHeight="1">
      <c r="A149" s="128"/>
      <c r="B149" s="187"/>
      <c r="C149" s="187"/>
      <c r="D149" s="187"/>
      <c r="E149" s="187"/>
      <c r="F149" s="187"/>
      <c r="G149" s="187"/>
      <c r="H149" s="187"/>
      <c r="I149" s="188"/>
      <c r="J149" s="187"/>
      <c r="K149" s="187"/>
      <c r="L149" s="187"/>
      <c r="M149" s="187"/>
      <c r="N149" s="128"/>
      <c r="O149" s="552"/>
      <c r="P149" s="553"/>
      <c r="Q149" s="553"/>
      <c r="R149" s="553"/>
      <c r="S149" s="553"/>
      <c r="T149" s="553"/>
      <c r="U149" s="553"/>
      <c r="V149" s="553"/>
      <c r="W149" s="553"/>
      <c r="X149" s="553"/>
      <c r="Y149" s="553"/>
      <c r="Z149" s="553"/>
      <c r="AA149" s="553"/>
      <c r="AB149" s="553"/>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53"/>
      <c r="AY149" s="553"/>
      <c r="AZ149" s="553"/>
      <c r="BA149" s="554"/>
      <c r="BB149" s="128"/>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row>
    <row r="150" spans="1:111" ht="4.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row>
    <row r="151" spans="1:111" ht="9" customHeight="1">
      <c r="A151" s="128"/>
      <c r="B151" s="527" t="s">
        <v>438</v>
      </c>
      <c r="C151" s="527"/>
      <c r="D151" s="527"/>
      <c r="E151" s="527"/>
      <c r="F151" s="527"/>
      <c r="G151" s="527"/>
      <c r="H151" s="527"/>
      <c r="I151" s="527"/>
      <c r="J151" s="527"/>
      <c r="K151" s="527"/>
      <c r="L151" s="527"/>
      <c r="M151" s="527"/>
      <c r="N151" s="186"/>
      <c r="O151" s="546"/>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c r="AP151" s="547"/>
      <c r="AQ151" s="547"/>
      <c r="AR151" s="547"/>
      <c r="AS151" s="547"/>
      <c r="AT151" s="547"/>
      <c r="AU151" s="547"/>
      <c r="AV151" s="547"/>
      <c r="AW151" s="547"/>
      <c r="AX151" s="547"/>
      <c r="AY151" s="547"/>
      <c r="AZ151" s="547"/>
      <c r="BA151" s="548"/>
      <c r="BB151" s="128"/>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row>
    <row r="152" spans="1:111" ht="9" customHeight="1">
      <c r="A152" s="128"/>
      <c r="B152" s="527"/>
      <c r="C152" s="527"/>
      <c r="D152" s="527"/>
      <c r="E152" s="527"/>
      <c r="F152" s="527"/>
      <c r="G152" s="527"/>
      <c r="H152" s="527"/>
      <c r="I152" s="527"/>
      <c r="J152" s="527"/>
      <c r="K152" s="527"/>
      <c r="L152" s="527"/>
      <c r="M152" s="527"/>
      <c r="N152" s="186"/>
      <c r="O152" s="549"/>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0"/>
      <c r="AM152" s="550"/>
      <c r="AN152" s="550"/>
      <c r="AO152" s="550"/>
      <c r="AP152" s="550"/>
      <c r="AQ152" s="550"/>
      <c r="AR152" s="550"/>
      <c r="AS152" s="550"/>
      <c r="AT152" s="550"/>
      <c r="AU152" s="550"/>
      <c r="AV152" s="550"/>
      <c r="AW152" s="550"/>
      <c r="AX152" s="550"/>
      <c r="AY152" s="550"/>
      <c r="AZ152" s="550"/>
      <c r="BA152" s="551"/>
      <c r="BB152" s="128"/>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row>
    <row r="153" spans="1:111" ht="9" customHeight="1">
      <c r="A153" s="128"/>
      <c r="B153" s="187"/>
      <c r="C153" s="187"/>
      <c r="D153" s="187"/>
      <c r="E153" s="187"/>
      <c r="F153" s="187"/>
      <c r="G153" s="187"/>
      <c r="H153" s="187"/>
      <c r="I153" s="188"/>
      <c r="J153" s="187"/>
      <c r="K153" s="187"/>
      <c r="L153" s="187"/>
      <c r="M153" s="187"/>
      <c r="N153" s="128"/>
      <c r="O153" s="549"/>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550"/>
      <c r="AL153" s="550"/>
      <c r="AM153" s="550"/>
      <c r="AN153" s="550"/>
      <c r="AO153" s="550"/>
      <c r="AP153" s="550"/>
      <c r="AQ153" s="550"/>
      <c r="AR153" s="550"/>
      <c r="AS153" s="550"/>
      <c r="AT153" s="550"/>
      <c r="AU153" s="550"/>
      <c r="AV153" s="550"/>
      <c r="AW153" s="550"/>
      <c r="AX153" s="550"/>
      <c r="AY153" s="550"/>
      <c r="AZ153" s="550"/>
      <c r="BA153" s="551"/>
      <c r="BB153" s="128"/>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row>
    <row r="154" spans="1:111" ht="9" customHeight="1">
      <c r="A154" s="128"/>
      <c r="B154" s="187"/>
      <c r="C154" s="187"/>
      <c r="D154" s="187"/>
      <c r="E154" s="187"/>
      <c r="F154" s="187"/>
      <c r="G154" s="187"/>
      <c r="H154" s="187"/>
      <c r="I154" s="188"/>
      <c r="J154" s="187"/>
      <c r="K154" s="187"/>
      <c r="L154" s="187"/>
      <c r="M154" s="187"/>
      <c r="N154" s="128"/>
      <c r="O154" s="552"/>
      <c r="P154" s="553"/>
      <c r="Q154" s="553"/>
      <c r="R154" s="553"/>
      <c r="S154" s="553"/>
      <c r="T154" s="553"/>
      <c r="U154" s="553"/>
      <c r="V154" s="553"/>
      <c r="W154" s="553"/>
      <c r="X154" s="553"/>
      <c r="Y154" s="553"/>
      <c r="Z154" s="553"/>
      <c r="AA154" s="553"/>
      <c r="AB154" s="553"/>
      <c r="AC154" s="553"/>
      <c r="AD154" s="553"/>
      <c r="AE154" s="553"/>
      <c r="AF154" s="553"/>
      <c r="AG154" s="553"/>
      <c r="AH154" s="553"/>
      <c r="AI154" s="553"/>
      <c r="AJ154" s="553"/>
      <c r="AK154" s="553"/>
      <c r="AL154" s="553"/>
      <c r="AM154" s="553"/>
      <c r="AN154" s="553"/>
      <c r="AO154" s="553"/>
      <c r="AP154" s="553"/>
      <c r="AQ154" s="553"/>
      <c r="AR154" s="553"/>
      <c r="AS154" s="553"/>
      <c r="AT154" s="553"/>
      <c r="AU154" s="553"/>
      <c r="AV154" s="553"/>
      <c r="AW154" s="553"/>
      <c r="AX154" s="553"/>
      <c r="AY154" s="553"/>
      <c r="AZ154" s="553"/>
      <c r="BA154" s="554"/>
      <c r="BB154" s="128"/>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row>
    <row r="155" spans="1:111" ht="4.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row>
    <row r="156" spans="1:111" ht="9" customHeight="1">
      <c r="A156" s="128"/>
      <c r="B156" s="527" t="s">
        <v>439</v>
      </c>
      <c r="C156" s="527"/>
      <c r="D156" s="527"/>
      <c r="E156" s="527"/>
      <c r="F156" s="527"/>
      <c r="G156" s="527"/>
      <c r="H156" s="527"/>
      <c r="I156" s="527"/>
      <c r="J156" s="527"/>
      <c r="K156" s="527"/>
      <c r="L156" s="527"/>
      <c r="M156" s="527"/>
      <c r="N156" s="186"/>
      <c r="O156" s="534"/>
      <c r="P156" s="535"/>
      <c r="Q156" s="535"/>
      <c r="R156" s="535"/>
      <c r="S156" s="535"/>
      <c r="T156" s="535"/>
      <c r="U156" s="535"/>
      <c r="V156" s="535"/>
      <c r="W156" s="535"/>
      <c r="X156" s="535"/>
      <c r="Y156" s="535"/>
      <c r="Z156" s="536"/>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row>
    <row r="157" spans="1:111" ht="9" customHeight="1">
      <c r="A157" s="128"/>
      <c r="B157" s="527"/>
      <c r="C157" s="527"/>
      <c r="D157" s="527"/>
      <c r="E157" s="527"/>
      <c r="F157" s="527"/>
      <c r="G157" s="527"/>
      <c r="H157" s="527"/>
      <c r="I157" s="527"/>
      <c r="J157" s="527"/>
      <c r="K157" s="527"/>
      <c r="L157" s="527"/>
      <c r="M157" s="527"/>
      <c r="N157" s="186"/>
      <c r="O157" s="537"/>
      <c r="P157" s="538"/>
      <c r="Q157" s="538"/>
      <c r="R157" s="538"/>
      <c r="S157" s="538"/>
      <c r="T157" s="538"/>
      <c r="U157" s="538"/>
      <c r="V157" s="538"/>
      <c r="W157" s="538"/>
      <c r="X157" s="538"/>
      <c r="Y157" s="538"/>
      <c r="Z157" s="539"/>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row>
    <row r="158" spans="1:111" ht="18"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row>
    <row r="159" spans="1:111" ht="9" customHeight="1">
      <c r="A159" s="128"/>
      <c r="B159" s="525" t="s">
        <v>442</v>
      </c>
      <c r="C159" s="525"/>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5"/>
      <c r="AL159" s="525"/>
      <c r="AM159" s="525"/>
      <c r="AN159" s="525"/>
      <c r="AO159" s="525"/>
      <c r="AP159" s="525"/>
      <c r="AQ159" s="525"/>
      <c r="AR159" s="525"/>
      <c r="AS159" s="525"/>
      <c r="AT159" s="525"/>
      <c r="AU159" s="525"/>
      <c r="AV159" s="525"/>
      <c r="AW159" s="525"/>
      <c r="AX159" s="525"/>
      <c r="AY159" s="525"/>
      <c r="AZ159" s="525"/>
      <c r="BA159" s="525"/>
      <c r="BB159" s="128"/>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row>
    <row r="160" spans="1:111" ht="9" customHeight="1">
      <c r="A160" s="128"/>
      <c r="B160" s="526"/>
      <c r="C160" s="526"/>
      <c r="D160" s="526"/>
      <c r="E160" s="526"/>
      <c r="F160" s="526"/>
      <c r="G160" s="526"/>
      <c r="H160" s="526"/>
      <c r="I160" s="526"/>
      <c r="J160" s="526"/>
      <c r="K160" s="526"/>
      <c r="L160" s="526"/>
      <c r="M160" s="526"/>
      <c r="N160" s="526"/>
      <c r="O160" s="526"/>
      <c r="P160" s="526"/>
      <c r="Q160" s="526"/>
      <c r="R160" s="526"/>
      <c r="S160" s="526"/>
      <c r="T160" s="526"/>
      <c r="U160" s="526"/>
      <c r="V160" s="526"/>
      <c r="W160" s="526"/>
      <c r="X160" s="526"/>
      <c r="Y160" s="526"/>
      <c r="Z160" s="526"/>
      <c r="AA160" s="526"/>
      <c r="AB160" s="526"/>
      <c r="AC160" s="526"/>
      <c r="AD160" s="526"/>
      <c r="AE160" s="526"/>
      <c r="AF160" s="526"/>
      <c r="AG160" s="526"/>
      <c r="AH160" s="526"/>
      <c r="AI160" s="526"/>
      <c r="AJ160" s="526"/>
      <c r="AK160" s="526"/>
      <c r="AL160" s="526"/>
      <c r="AM160" s="526"/>
      <c r="AN160" s="526"/>
      <c r="AO160" s="526"/>
      <c r="AP160" s="526"/>
      <c r="AQ160" s="526"/>
      <c r="AR160" s="526"/>
      <c r="AS160" s="526"/>
      <c r="AT160" s="526"/>
      <c r="AU160" s="526"/>
      <c r="AV160" s="526"/>
      <c r="AW160" s="526"/>
      <c r="AX160" s="526"/>
      <c r="AY160" s="526"/>
      <c r="AZ160" s="526"/>
      <c r="BA160" s="526"/>
      <c r="BB160" s="128"/>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row>
    <row r="161" spans="1:111" ht="4.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row>
    <row r="162" spans="1:111" ht="9" customHeight="1">
      <c r="A162" s="128"/>
      <c r="B162" s="527" t="s">
        <v>427</v>
      </c>
      <c r="C162" s="527"/>
      <c r="D162" s="527"/>
      <c r="E162" s="527"/>
      <c r="F162" s="527"/>
      <c r="G162" s="527"/>
      <c r="H162" s="527"/>
      <c r="I162" s="527"/>
      <c r="J162" s="527"/>
      <c r="K162" s="527"/>
      <c r="L162" s="527"/>
      <c r="M162" s="527"/>
      <c r="N162" s="186"/>
      <c r="O162" s="546"/>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547"/>
      <c r="AY162" s="547"/>
      <c r="AZ162" s="547"/>
      <c r="BA162" s="548"/>
      <c r="BB162" s="128"/>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row>
    <row r="163" spans="1:111" ht="9" customHeight="1">
      <c r="A163" s="128"/>
      <c r="B163" s="527"/>
      <c r="C163" s="527"/>
      <c r="D163" s="527"/>
      <c r="E163" s="527"/>
      <c r="F163" s="527"/>
      <c r="G163" s="527"/>
      <c r="H163" s="527"/>
      <c r="I163" s="527"/>
      <c r="J163" s="527"/>
      <c r="K163" s="527"/>
      <c r="L163" s="527"/>
      <c r="M163" s="527"/>
      <c r="N163" s="186"/>
      <c r="O163" s="549"/>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0"/>
      <c r="AK163" s="550"/>
      <c r="AL163" s="550"/>
      <c r="AM163" s="550"/>
      <c r="AN163" s="550"/>
      <c r="AO163" s="550"/>
      <c r="AP163" s="550"/>
      <c r="AQ163" s="550"/>
      <c r="AR163" s="550"/>
      <c r="AS163" s="550"/>
      <c r="AT163" s="550"/>
      <c r="AU163" s="550"/>
      <c r="AV163" s="550"/>
      <c r="AW163" s="550"/>
      <c r="AX163" s="550"/>
      <c r="AY163" s="550"/>
      <c r="AZ163" s="550"/>
      <c r="BA163" s="551"/>
      <c r="BB163" s="128"/>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row>
    <row r="164" spans="1:111" ht="9" customHeight="1">
      <c r="A164" s="128"/>
      <c r="B164" s="187"/>
      <c r="C164" s="187"/>
      <c r="D164" s="187"/>
      <c r="E164" s="187"/>
      <c r="F164" s="187"/>
      <c r="G164" s="187"/>
      <c r="H164" s="187"/>
      <c r="I164" s="188"/>
      <c r="J164" s="187"/>
      <c r="K164" s="187"/>
      <c r="L164" s="187"/>
      <c r="M164" s="187"/>
      <c r="N164" s="128"/>
      <c r="O164" s="549"/>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550"/>
      <c r="AY164" s="550"/>
      <c r="AZ164" s="550"/>
      <c r="BA164" s="551"/>
      <c r="BB164" s="128"/>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row>
    <row r="165" spans="1:111" ht="9" customHeight="1">
      <c r="A165" s="128"/>
      <c r="B165" s="187"/>
      <c r="C165" s="187"/>
      <c r="D165" s="187"/>
      <c r="E165" s="187"/>
      <c r="F165" s="187"/>
      <c r="G165" s="187"/>
      <c r="H165" s="187"/>
      <c r="I165" s="188"/>
      <c r="J165" s="187"/>
      <c r="K165" s="187"/>
      <c r="L165" s="187"/>
      <c r="M165" s="187"/>
      <c r="N165" s="128"/>
      <c r="O165" s="552"/>
      <c r="P165" s="553"/>
      <c r="Q165" s="553"/>
      <c r="R165" s="553"/>
      <c r="S165" s="553"/>
      <c r="T165" s="553"/>
      <c r="U165" s="553"/>
      <c r="V165" s="553"/>
      <c r="W165" s="553"/>
      <c r="X165" s="553"/>
      <c r="Y165" s="553"/>
      <c r="Z165" s="553"/>
      <c r="AA165" s="553"/>
      <c r="AB165" s="553"/>
      <c r="AC165" s="553"/>
      <c r="AD165" s="553"/>
      <c r="AE165" s="553"/>
      <c r="AF165" s="553"/>
      <c r="AG165" s="553"/>
      <c r="AH165" s="553"/>
      <c r="AI165" s="553"/>
      <c r="AJ165" s="553"/>
      <c r="AK165" s="553"/>
      <c r="AL165" s="553"/>
      <c r="AM165" s="553"/>
      <c r="AN165" s="553"/>
      <c r="AO165" s="553"/>
      <c r="AP165" s="553"/>
      <c r="AQ165" s="553"/>
      <c r="AR165" s="553"/>
      <c r="AS165" s="553"/>
      <c r="AT165" s="553"/>
      <c r="AU165" s="553"/>
      <c r="AV165" s="553"/>
      <c r="AW165" s="553"/>
      <c r="AX165" s="553"/>
      <c r="AY165" s="553"/>
      <c r="AZ165" s="553"/>
      <c r="BA165" s="554"/>
      <c r="BB165" s="128"/>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row>
    <row r="166" spans="1:111" ht="4.5" customHeight="1">
      <c r="A166" s="128"/>
      <c r="B166" s="187"/>
      <c r="C166" s="187"/>
      <c r="D166" s="187"/>
      <c r="E166" s="187"/>
      <c r="F166" s="187"/>
      <c r="G166" s="187"/>
      <c r="H166" s="187"/>
      <c r="I166" s="188"/>
      <c r="J166" s="187"/>
      <c r="K166" s="187"/>
      <c r="L166" s="187"/>
      <c r="M166" s="187"/>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row>
    <row r="167" spans="1:111" ht="9" customHeight="1">
      <c r="A167" s="128"/>
      <c r="B167" s="527" t="s">
        <v>428</v>
      </c>
      <c r="C167" s="527"/>
      <c r="D167" s="527"/>
      <c r="E167" s="527"/>
      <c r="F167" s="527"/>
      <c r="G167" s="527"/>
      <c r="H167" s="527"/>
      <c r="I167" s="527"/>
      <c r="J167" s="527"/>
      <c r="K167" s="527"/>
      <c r="L167" s="527"/>
      <c r="M167" s="527"/>
      <c r="N167" s="186"/>
      <c r="O167" s="528"/>
      <c r="P167" s="529"/>
      <c r="Q167" s="529"/>
      <c r="R167" s="529"/>
      <c r="S167" s="529"/>
      <c r="T167" s="529"/>
      <c r="U167" s="529"/>
      <c r="V167" s="529"/>
      <c r="W167" s="529"/>
      <c r="X167" s="529"/>
      <c r="Y167" s="529"/>
      <c r="Z167" s="530"/>
      <c r="AA167" s="128"/>
      <c r="AB167" s="128"/>
      <c r="AC167" s="527" t="s">
        <v>430</v>
      </c>
      <c r="AD167" s="527"/>
      <c r="AE167" s="527"/>
      <c r="AF167" s="527"/>
      <c r="AG167" s="527"/>
      <c r="AH167" s="527"/>
      <c r="AI167" s="527"/>
      <c r="AJ167" s="527"/>
      <c r="AK167" s="527"/>
      <c r="AL167" s="527"/>
      <c r="AM167" s="527"/>
      <c r="AN167" s="527"/>
      <c r="AO167" s="128"/>
      <c r="AP167" s="528"/>
      <c r="AQ167" s="529"/>
      <c r="AR167" s="529"/>
      <c r="AS167" s="529"/>
      <c r="AT167" s="529"/>
      <c r="AU167" s="529"/>
      <c r="AV167" s="529"/>
      <c r="AW167" s="529"/>
      <c r="AX167" s="529"/>
      <c r="AY167" s="529"/>
      <c r="AZ167" s="529"/>
      <c r="BA167" s="530"/>
      <c r="BB167" s="128"/>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row>
    <row r="168" spans="1:111" ht="9" customHeight="1">
      <c r="A168" s="128"/>
      <c r="B168" s="527"/>
      <c r="C168" s="527"/>
      <c r="D168" s="527"/>
      <c r="E168" s="527"/>
      <c r="F168" s="527"/>
      <c r="G168" s="527"/>
      <c r="H168" s="527"/>
      <c r="I168" s="527"/>
      <c r="J168" s="527"/>
      <c r="K168" s="527"/>
      <c r="L168" s="527"/>
      <c r="M168" s="527"/>
      <c r="N168" s="186"/>
      <c r="O168" s="531"/>
      <c r="P168" s="532"/>
      <c r="Q168" s="532"/>
      <c r="R168" s="532"/>
      <c r="S168" s="532"/>
      <c r="T168" s="532"/>
      <c r="U168" s="532"/>
      <c r="V168" s="532"/>
      <c r="W168" s="532"/>
      <c r="X168" s="532"/>
      <c r="Y168" s="532"/>
      <c r="Z168" s="533"/>
      <c r="AA168" s="128"/>
      <c r="AB168" s="128"/>
      <c r="AC168" s="527"/>
      <c r="AD168" s="527"/>
      <c r="AE168" s="527"/>
      <c r="AF168" s="527"/>
      <c r="AG168" s="527"/>
      <c r="AH168" s="527"/>
      <c r="AI168" s="527"/>
      <c r="AJ168" s="527"/>
      <c r="AK168" s="527"/>
      <c r="AL168" s="527"/>
      <c r="AM168" s="527"/>
      <c r="AN168" s="527"/>
      <c r="AO168" s="128"/>
      <c r="AP168" s="531"/>
      <c r="AQ168" s="532"/>
      <c r="AR168" s="532"/>
      <c r="AS168" s="532"/>
      <c r="AT168" s="532"/>
      <c r="AU168" s="532"/>
      <c r="AV168" s="532"/>
      <c r="AW168" s="532"/>
      <c r="AX168" s="532"/>
      <c r="AY168" s="532"/>
      <c r="AZ168" s="532"/>
      <c r="BA168" s="533"/>
      <c r="BB168" s="128"/>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row>
    <row r="169" spans="1:111" ht="4.5" customHeight="1">
      <c r="A169" s="128"/>
      <c r="B169" s="187"/>
      <c r="C169" s="187"/>
      <c r="D169" s="187"/>
      <c r="E169" s="187"/>
      <c r="F169" s="187"/>
      <c r="G169" s="187"/>
      <c r="H169" s="187"/>
      <c r="I169" s="187"/>
      <c r="J169" s="187"/>
      <c r="K169" s="187"/>
      <c r="L169" s="187"/>
      <c r="M169" s="187"/>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row>
    <row r="170" spans="1:111" ht="9" customHeight="1">
      <c r="A170" s="128"/>
      <c r="B170" s="527" t="s">
        <v>429</v>
      </c>
      <c r="C170" s="527"/>
      <c r="D170" s="527"/>
      <c r="E170" s="527"/>
      <c r="F170" s="527"/>
      <c r="G170" s="527"/>
      <c r="H170" s="527"/>
      <c r="I170" s="527"/>
      <c r="J170" s="527"/>
      <c r="K170" s="527"/>
      <c r="L170" s="527"/>
      <c r="M170" s="527"/>
      <c r="N170" s="186"/>
      <c r="O170" s="534"/>
      <c r="P170" s="535"/>
      <c r="Q170" s="535"/>
      <c r="R170" s="535"/>
      <c r="S170" s="535"/>
      <c r="T170" s="535"/>
      <c r="U170" s="535"/>
      <c r="V170" s="535"/>
      <c r="W170" s="535"/>
      <c r="X170" s="535"/>
      <c r="Y170" s="535"/>
      <c r="Z170" s="536"/>
      <c r="AA170" s="128"/>
      <c r="AB170" s="128"/>
      <c r="AC170" s="527" t="s">
        <v>431</v>
      </c>
      <c r="AD170" s="527"/>
      <c r="AE170" s="527"/>
      <c r="AF170" s="527"/>
      <c r="AG170" s="527"/>
      <c r="AH170" s="527"/>
      <c r="AI170" s="527"/>
      <c r="AJ170" s="527"/>
      <c r="AK170" s="527"/>
      <c r="AL170" s="527"/>
      <c r="AM170" s="527"/>
      <c r="AN170" s="527"/>
      <c r="AO170" s="128"/>
      <c r="AP170" s="540">
        <f>O170*O167</f>
        <v>0</v>
      </c>
      <c r="AQ170" s="541"/>
      <c r="AR170" s="541"/>
      <c r="AS170" s="541"/>
      <c r="AT170" s="541"/>
      <c r="AU170" s="541"/>
      <c r="AV170" s="541"/>
      <c r="AW170" s="541"/>
      <c r="AX170" s="541"/>
      <c r="AY170" s="541"/>
      <c r="AZ170" s="541"/>
      <c r="BA170" s="542"/>
      <c r="BB170" s="128"/>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row>
    <row r="171" spans="1:111" ht="9" customHeight="1">
      <c r="A171" s="128"/>
      <c r="B171" s="527"/>
      <c r="C171" s="527"/>
      <c r="D171" s="527"/>
      <c r="E171" s="527"/>
      <c r="F171" s="527"/>
      <c r="G171" s="527"/>
      <c r="H171" s="527"/>
      <c r="I171" s="527"/>
      <c r="J171" s="527"/>
      <c r="K171" s="527"/>
      <c r="L171" s="527"/>
      <c r="M171" s="527"/>
      <c r="N171" s="186"/>
      <c r="O171" s="537"/>
      <c r="P171" s="538"/>
      <c r="Q171" s="538"/>
      <c r="R171" s="538"/>
      <c r="S171" s="538"/>
      <c r="T171" s="538"/>
      <c r="U171" s="538"/>
      <c r="V171" s="538"/>
      <c r="W171" s="538"/>
      <c r="X171" s="538"/>
      <c r="Y171" s="538"/>
      <c r="Z171" s="539"/>
      <c r="AA171" s="128"/>
      <c r="AB171" s="128"/>
      <c r="AC171" s="527"/>
      <c r="AD171" s="527"/>
      <c r="AE171" s="527"/>
      <c r="AF171" s="527"/>
      <c r="AG171" s="527"/>
      <c r="AH171" s="527"/>
      <c r="AI171" s="527"/>
      <c r="AJ171" s="527"/>
      <c r="AK171" s="527"/>
      <c r="AL171" s="527"/>
      <c r="AM171" s="527"/>
      <c r="AN171" s="527"/>
      <c r="AO171" s="128"/>
      <c r="AP171" s="543"/>
      <c r="AQ171" s="544"/>
      <c r="AR171" s="544"/>
      <c r="AS171" s="544"/>
      <c r="AT171" s="544"/>
      <c r="AU171" s="544"/>
      <c r="AV171" s="544"/>
      <c r="AW171" s="544"/>
      <c r="AX171" s="544"/>
      <c r="AY171" s="544"/>
      <c r="AZ171" s="544"/>
      <c r="BA171" s="545"/>
      <c r="BB171" s="128"/>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row>
    <row r="172" spans="1:111" ht="4.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row>
    <row r="173" spans="1:111" ht="9" customHeight="1">
      <c r="A173" s="128"/>
      <c r="B173" s="527" t="s">
        <v>432</v>
      </c>
      <c r="C173" s="527"/>
      <c r="D173" s="527"/>
      <c r="E173" s="527"/>
      <c r="F173" s="527"/>
      <c r="G173" s="527"/>
      <c r="H173" s="527"/>
      <c r="I173" s="527"/>
      <c r="J173" s="527"/>
      <c r="K173" s="527"/>
      <c r="L173" s="527"/>
      <c r="M173" s="527"/>
      <c r="N173" s="186"/>
      <c r="O173" s="546"/>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7"/>
      <c r="AK173" s="547"/>
      <c r="AL173" s="547"/>
      <c r="AM173" s="547"/>
      <c r="AN173" s="547"/>
      <c r="AO173" s="547"/>
      <c r="AP173" s="547"/>
      <c r="AQ173" s="547"/>
      <c r="AR173" s="547"/>
      <c r="AS173" s="547"/>
      <c r="AT173" s="547"/>
      <c r="AU173" s="547"/>
      <c r="AV173" s="547"/>
      <c r="AW173" s="547"/>
      <c r="AX173" s="547"/>
      <c r="AY173" s="547"/>
      <c r="AZ173" s="547"/>
      <c r="BA173" s="548"/>
      <c r="BB173" s="128"/>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row>
    <row r="174" spans="1:111" ht="9" customHeight="1">
      <c r="A174" s="128"/>
      <c r="B174" s="527"/>
      <c r="C174" s="527"/>
      <c r="D174" s="527"/>
      <c r="E174" s="527"/>
      <c r="F174" s="527"/>
      <c r="G174" s="527"/>
      <c r="H174" s="527"/>
      <c r="I174" s="527"/>
      <c r="J174" s="527"/>
      <c r="K174" s="527"/>
      <c r="L174" s="527"/>
      <c r="M174" s="527"/>
      <c r="N174" s="186"/>
      <c r="O174" s="549"/>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0"/>
      <c r="AY174" s="550"/>
      <c r="AZ174" s="550"/>
      <c r="BA174" s="551"/>
      <c r="BB174" s="128"/>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row>
    <row r="175" spans="1:111" ht="9" customHeight="1">
      <c r="A175" s="128"/>
      <c r="B175" s="187"/>
      <c r="C175" s="187"/>
      <c r="D175" s="187"/>
      <c r="E175" s="187"/>
      <c r="F175" s="187"/>
      <c r="G175" s="187"/>
      <c r="H175" s="187"/>
      <c r="I175" s="188"/>
      <c r="J175" s="187"/>
      <c r="K175" s="187"/>
      <c r="L175" s="187"/>
      <c r="M175" s="187"/>
      <c r="N175" s="128"/>
      <c r="O175" s="549"/>
      <c r="P175" s="550"/>
      <c r="Q175" s="550"/>
      <c r="R175" s="550"/>
      <c r="S175" s="550"/>
      <c r="T175" s="550"/>
      <c r="U175" s="550"/>
      <c r="V175" s="550"/>
      <c r="W175" s="550"/>
      <c r="X175" s="550"/>
      <c r="Y175" s="550"/>
      <c r="Z175" s="550"/>
      <c r="AA175" s="550"/>
      <c r="AB175" s="550"/>
      <c r="AC175" s="550"/>
      <c r="AD175" s="550"/>
      <c r="AE175" s="550"/>
      <c r="AF175" s="550"/>
      <c r="AG175" s="550"/>
      <c r="AH175" s="550"/>
      <c r="AI175" s="550"/>
      <c r="AJ175" s="550"/>
      <c r="AK175" s="550"/>
      <c r="AL175" s="550"/>
      <c r="AM175" s="550"/>
      <c r="AN175" s="550"/>
      <c r="AO175" s="550"/>
      <c r="AP175" s="550"/>
      <c r="AQ175" s="550"/>
      <c r="AR175" s="550"/>
      <c r="AS175" s="550"/>
      <c r="AT175" s="550"/>
      <c r="AU175" s="550"/>
      <c r="AV175" s="550"/>
      <c r="AW175" s="550"/>
      <c r="AX175" s="550"/>
      <c r="AY175" s="550"/>
      <c r="AZ175" s="550"/>
      <c r="BA175" s="551"/>
      <c r="BB175" s="128"/>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row>
    <row r="176" spans="1:111" ht="9" customHeight="1">
      <c r="A176" s="128"/>
      <c r="B176" s="187"/>
      <c r="C176" s="187"/>
      <c r="D176" s="187"/>
      <c r="E176" s="187"/>
      <c r="F176" s="187"/>
      <c r="G176" s="187"/>
      <c r="H176" s="187"/>
      <c r="I176" s="188"/>
      <c r="J176" s="187"/>
      <c r="K176" s="187"/>
      <c r="L176" s="187"/>
      <c r="M176" s="187"/>
      <c r="N176" s="128"/>
      <c r="O176" s="552"/>
      <c r="P176" s="553"/>
      <c r="Q176" s="553"/>
      <c r="R176" s="553"/>
      <c r="S176" s="553"/>
      <c r="T176" s="553"/>
      <c r="U176" s="553"/>
      <c r="V176" s="553"/>
      <c r="W176" s="553"/>
      <c r="X176" s="553"/>
      <c r="Y176" s="553"/>
      <c r="Z176" s="553"/>
      <c r="AA176" s="553"/>
      <c r="AB176" s="553"/>
      <c r="AC176" s="553"/>
      <c r="AD176" s="553"/>
      <c r="AE176" s="553"/>
      <c r="AF176" s="553"/>
      <c r="AG176" s="553"/>
      <c r="AH176" s="553"/>
      <c r="AI176" s="553"/>
      <c r="AJ176" s="553"/>
      <c r="AK176" s="553"/>
      <c r="AL176" s="553"/>
      <c r="AM176" s="553"/>
      <c r="AN176" s="553"/>
      <c r="AO176" s="553"/>
      <c r="AP176" s="553"/>
      <c r="AQ176" s="553"/>
      <c r="AR176" s="553"/>
      <c r="AS176" s="553"/>
      <c r="AT176" s="553"/>
      <c r="AU176" s="553"/>
      <c r="AV176" s="553"/>
      <c r="AW176" s="553"/>
      <c r="AX176" s="553"/>
      <c r="AY176" s="553"/>
      <c r="AZ176" s="553"/>
      <c r="BA176" s="554"/>
      <c r="BB176" s="128"/>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row>
    <row r="177" spans="1:111" ht="4.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row>
    <row r="178" spans="1:111" ht="9" customHeight="1">
      <c r="A178" s="128"/>
      <c r="B178" s="527" t="s">
        <v>433</v>
      </c>
      <c r="C178" s="527"/>
      <c r="D178" s="527"/>
      <c r="E178" s="527"/>
      <c r="F178" s="527"/>
      <c r="G178" s="527"/>
      <c r="H178" s="527"/>
      <c r="I178" s="527"/>
      <c r="J178" s="527"/>
      <c r="K178" s="527"/>
      <c r="L178" s="527"/>
      <c r="M178" s="527"/>
      <c r="N178" s="186"/>
      <c r="O178" s="546"/>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7"/>
      <c r="AL178" s="547"/>
      <c r="AM178" s="547"/>
      <c r="AN178" s="547"/>
      <c r="AO178" s="547"/>
      <c r="AP178" s="547"/>
      <c r="AQ178" s="547"/>
      <c r="AR178" s="547"/>
      <c r="AS178" s="547"/>
      <c r="AT178" s="547"/>
      <c r="AU178" s="547"/>
      <c r="AV178" s="547"/>
      <c r="AW178" s="547"/>
      <c r="AX178" s="547"/>
      <c r="AY178" s="547"/>
      <c r="AZ178" s="547"/>
      <c r="BA178" s="548"/>
      <c r="BB178" s="128"/>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row>
    <row r="179" spans="1:111" ht="9" customHeight="1">
      <c r="A179" s="128"/>
      <c r="B179" s="527"/>
      <c r="C179" s="527"/>
      <c r="D179" s="527"/>
      <c r="E179" s="527"/>
      <c r="F179" s="527"/>
      <c r="G179" s="527"/>
      <c r="H179" s="527"/>
      <c r="I179" s="527"/>
      <c r="J179" s="527"/>
      <c r="K179" s="527"/>
      <c r="L179" s="527"/>
      <c r="M179" s="527"/>
      <c r="N179" s="186"/>
      <c r="O179" s="549"/>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0"/>
      <c r="AL179" s="550"/>
      <c r="AM179" s="550"/>
      <c r="AN179" s="550"/>
      <c r="AO179" s="550"/>
      <c r="AP179" s="550"/>
      <c r="AQ179" s="550"/>
      <c r="AR179" s="550"/>
      <c r="AS179" s="550"/>
      <c r="AT179" s="550"/>
      <c r="AU179" s="550"/>
      <c r="AV179" s="550"/>
      <c r="AW179" s="550"/>
      <c r="AX179" s="550"/>
      <c r="AY179" s="550"/>
      <c r="AZ179" s="550"/>
      <c r="BA179" s="551"/>
      <c r="BB179" s="128"/>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row>
    <row r="180" spans="1:111" ht="9" customHeight="1">
      <c r="A180" s="128"/>
      <c r="B180" s="187"/>
      <c r="C180" s="187"/>
      <c r="D180" s="187"/>
      <c r="E180" s="187"/>
      <c r="F180" s="187"/>
      <c r="G180" s="187"/>
      <c r="H180" s="187"/>
      <c r="I180" s="188"/>
      <c r="J180" s="187"/>
      <c r="K180" s="187"/>
      <c r="L180" s="187"/>
      <c r="M180" s="187"/>
      <c r="N180" s="128"/>
      <c r="O180" s="549"/>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0"/>
      <c r="AY180" s="550"/>
      <c r="AZ180" s="550"/>
      <c r="BA180" s="551"/>
      <c r="BB180" s="128"/>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row>
    <row r="181" spans="1:111" ht="9" customHeight="1">
      <c r="A181" s="128"/>
      <c r="B181" s="187"/>
      <c r="C181" s="187"/>
      <c r="D181" s="187"/>
      <c r="E181" s="187"/>
      <c r="F181" s="187"/>
      <c r="G181" s="187"/>
      <c r="H181" s="187"/>
      <c r="I181" s="188"/>
      <c r="J181" s="187"/>
      <c r="K181" s="187"/>
      <c r="L181" s="187"/>
      <c r="M181" s="187"/>
      <c r="N181" s="128"/>
      <c r="O181" s="552"/>
      <c r="P181" s="553"/>
      <c r="Q181" s="553"/>
      <c r="R181" s="553"/>
      <c r="S181" s="553"/>
      <c r="T181" s="553"/>
      <c r="U181" s="553"/>
      <c r="V181" s="553"/>
      <c r="W181" s="553"/>
      <c r="X181" s="553"/>
      <c r="Y181" s="553"/>
      <c r="Z181" s="553"/>
      <c r="AA181" s="553"/>
      <c r="AB181" s="553"/>
      <c r="AC181" s="553"/>
      <c r="AD181" s="553"/>
      <c r="AE181" s="553"/>
      <c r="AF181" s="553"/>
      <c r="AG181" s="553"/>
      <c r="AH181" s="553"/>
      <c r="AI181" s="553"/>
      <c r="AJ181" s="553"/>
      <c r="AK181" s="553"/>
      <c r="AL181" s="553"/>
      <c r="AM181" s="553"/>
      <c r="AN181" s="553"/>
      <c r="AO181" s="553"/>
      <c r="AP181" s="553"/>
      <c r="AQ181" s="553"/>
      <c r="AR181" s="553"/>
      <c r="AS181" s="553"/>
      <c r="AT181" s="553"/>
      <c r="AU181" s="553"/>
      <c r="AV181" s="553"/>
      <c r="AW181" s="553"/>
      <c r="AX181" s="553"/>
      <c r="AY181" s="553"/>
      <c r="AZ181" s="553"/>
      <c r="BA181" s="554"/>
      <c r="BB181" s="128"/>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row>
    <row r="182" spans="1:111" ht="4.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row>
    <row r="183" spans="1:111" ht="9" customHeight="1">
      <c r="A183" s="128"/>
      <c r="B183" s="527" t="s">
        <v>434</v>
      </c>
      <c r="C183" s="527"/>
      <c r="D183" s="527"/>
      <c r="E183" s="527"/>
      <c r="F183" s="527"/>
      <c r="G183" s="527"/>
      <c r="H183" s="527"/>
      <c r="I183" s="527"/>
      <c r="J183" s="527"/>
      <c r="K183" s="527"/>
      <c r="L183" s="527"/>
      <c r="M183" s="527"/>
      <c r="N183" s="186"/>
      <c r="O183" s="546"/>
      <c r="P183" s="547"/>
      <c r="Q183" s="547"/>
      <c r="R183" s="547"/>
      <c r="S183" s="547"/>
      <c r="T183" s="547"/>
      <c r="U183" s="547"/>
      <c r="V183" s="547"/>
      <c r="W183" s="547"/>
      <c r="X183" s="547"/>
      <c r="Y183" s="547"/>
      <c r="Z183" s="547"/>
      <c r="AA183" s="547"/>
      <c r="AB183" s="547"/>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47"/>
      <c r="AY183" s="547"/>
      <c r="AZ183" s="547"/>
      <c r="BA183" s="548"/>
      <c r="BB183" s="128"/>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row>
    <row r="184" spans="1:111" ht="9" customHeight="1">
      <c r="A184" s="128"/>
      <c r="B184" s="527"/>
      <c r="C184" s="527"/>
      <c r="D184" s="527"/>
      <c r="E184" s="527"/>
      <c r="F184" s="527"/>
      <c r="G184" s="527"/>
      <c r="H184" s="527"/>
      <c r="I184" s="527"/>
      <c r="J184" s="527"/>
      <c r="K184" s="527"/>
      <c r="L184" s="527"/>
      <c r="M184" s="527"/>
      <c r="N184" s="186"/>
      <c r="O184" s="549"/>
      <c r="P184" s="550"/>
      <c r="Q184" s="550"/>
      <c r="R184" s="550"/>
      <c r="S184" s="550"/>
      <c r="T184" s="550"/>
      <c r="U184" s="550"/>
      <c r="V184" s="550"/>
      <c r="W184" s="550"/>
      <c r="X184" s="550"/>
      <c r="Y184" s="550"/>
      <c r="Z184" s="550"/>
      <c r="AA184" s="550"/>
      <c r="AB184" s="550"/>
      <c r="AC184" s="550"/>
      <c r="AD184" s="550"/>
      <c r="AE184" s="550"/>
      <c r="AF184" s="550"/>
      <c r="AG184" s="550"/>
      <c r="AH184" s="550"/>
      <c r="AI184" s="550"/>
      <c r="AJ184" s="550"/>
      <c r="AK184" s="550"/>
      <c r="AL184" s="550"/>
      <c r="AM184" s="550"/>
      <c r="AN184" s="550"/>
      <c r="AO184" s="550"/>
      <c r="AP184" s="550"/>
      <c r="AQ184" s="550"/>
      <c r="AR184" s="550"/>
      <c r="AS184" s="550"/>
      <c r="AT184" s="550"/>
      <c r="AU184" s="550"/>
      <c r="AV184" s="550"/>
      <c r="AW184" s="550"/>
      <c r="AX184" s="550"/>
      <c r="AY184" s="550"/>
      <c r="AZ184" s="550"/>
      <c r="BA184" s="551"/>
      <c r="BB184" s="128"/>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row>
    <row r="185" spans="1:111" ht="9" customHeight="1">
      <c r="A185" s="128"/>
      <c r="B185" s="187"/>
      <c r="C185" s="187"/>
      <c r="D185" s="187"/>
      <c r="E185" s="187"/>
      <c r="F185" s="187"/>
      <c r="G185" s="187"/>
      <c r="H185" s="187"/>
      <c r="I185" s="188"/>
      <c r="J185" s="187"/>
      <c r="K185" s="187"/>
      <c r="L185" s="187"/>
      <c r="M185" s="187"/>
      <c r="N185" s="128"/>
      <c r="O185" s="549"/>
      <c r="P185" s="550"/>
      <c r="Q185" s="550"/>
      <c r="R185" s="550"/>
      <c r="S185" s="550"/>
      <c r="T185" s="550"/>
      <c r="U185" s="550"/>
      <c r="V185" s="550"/>
      <c r="W185" s="550"/>
      <c r="X185" s="550"/>
      <c r="Y185" s="550"/>
      <c r="Z185" s="550"/>
      <c r="AA185" s="550"/>
      <c r="AB185" s="550"/>
      <c r="AC185" s="550"/>
      <c r="AD185" s="550"/>
      <c r="AE185" s="550"/>
      <c r="AF185" s="550"/>
      <c r="AG185" s="550"/>
      <c r="AH185" s="550"/>
      <c r="AI185" s="550"/>
      <c r="AJ185" s="550"/>
      <c r="AK185" s="550"/>
      <c r="AL185" s="550"/>
      <c r="AM185" s="550"/>
      <c r="AN185" s="550"/>
      <c r="AO185" s="550"/>
      <c r="AP185" s="550"/>
      <c r="AQ185" s="550"/>
      <c r="AR185" s="550"/>
      <c r="AS185" s="550"/>
      <c r="AT185" s="550"/>
      <c r="AU185" s="550"/>
      <c r="AV185" s="550"/>
      <c r="AW185" s="550"/>
      <c r="AX185" s="550"/>
      <c r="AY185" s="550"/>
      <c r="AZ185" s="550"/>
      <c r="BA185" s="551"/>
      <c r="BB185" s="128"/>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row>
    <row r="186" spans="1:111" ht="9" customHeight="1">
      <c r="A186" s="128"/>
      <c r="B186" s="187"/>
      <c r="C186" s="187"/>
      <c r="D186" s="187"/>
      <c r="E186" s="187"/>
      <c r="F186" s="187"/>
      <c r="G186" s="187"/>
      <c r="H186" s="187"/>
      <c r="I186" s="188"/>
      <c r="J186" s="187"/>
      <c r="K186" s="187"/>
      <c r="L186" s="187"/>
      <c r="M186" s="187"/>
      <c r="N186" s="128"/>
      <c r="O186" s="552"/>
      <c r="P186" s="553"/>
      <c r="Q186" s="553"/>
      <c r="R186" s="553"/>
      <c r="S186" s="553"/>
      <c r="T186" s="553"/>
      <c r="U186" s="553"/>
      <c r="V186" s="553"/>
      <c r="W186" s="553"/>
      <c r="X186" s="553"/>
      <c r="Y186" s="553"/>
      <c r="Z186" s="553"/>
      <c r="AA186" s="553"/>
      <c r="AB186" s="553"/>
      <c r="AC186" s="553"/>
      <c r="AD186" s="553"/>
      <c r="AE186" s="553"/>
      <c r="AF186" s="553"/>
      <c r="AG186" s="553"/>
      <c r="AH186" s="553"/>
      <c r="AI186" s="553"/>
      <c r="AJ186" s="553"/>
      <c r="AK186" s="553"/>
      <c r="AL186" s="553"/>
      <c r="AM186" s="553"/>
      <c r="AN186" s="553"/>
      <c r="AO186" s="553"/>
      <c r="AP186" s="553"/>
      <c r="AQ186" s="553"/>
      <c r="AR186" s="553"/>
      <c r="AS186" s="553"/>
      <c r="AT186" s="553"/>
      <c r="AU186" s="553"/>
      <c r="AV186" s="553"/>
      <c r="AW186" s="553"/>
      <c r="AX186" s="553"/>
      <c r="AY186" s="553"/>
      <c r="AZ186" s="553"/>
      <c r="BA186" s="554"/>
      <c r="BB186" s="128"/>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row>
    <row r="187" spans="1:111" ht="4.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row>
    <row r="188" spans="1:111" ht="9" customHeight="1">
      <c r="A188" s="128"/>
      <c r="B188" s="527" t="s">
        <v>435</v>
      </c>
      <c r="C188" s="527"/>
      <c r="D188" s="527"/>
      <c r="E188" s="527"/>
      <c r="F188" s="527"/>
      <c r="G188" s="527"/>
      <c r="H188" s="527"/>
      <c r="I188" s="527"/>
      <c r="J188" s="527"/>
      <c r="K188" s="527"/>
      <c r="L188" s="527"/>
      <c r="M188" s="527"/>
      <c r="N188" s="186"/>
      <c r="O188" s="546"/>
      <c r="P188" s="547"/>
      <c r="Q188" s="547"/>
      <c r="R188" s="547"/>
      <c r="S188" s="547"/>
      <c r="T188" s="547"/>
      <c r="U188" s="547"/>
      <c r="V188" s="547"/>
      <c r="W188" s="547"/>
      <c r="X188" s="547"/>
      <c r="Y188" s="547"/>
      <c r="Z188" s="547"/>
      <c r="AA188" s="547"/>
      <c r="AB188" s="547"/>
      <c r="AC188" s="547"/>
      <c r="AD188" s="547"/>
      <c r="AE188" s="547"/>
      <c r="AF188" s="547"/>
      <c r="AG188" s="547"/>
      <c r="AH188" s="547"/>
      <c r="AI188" s="547"/>
      <c r="AJ188" s="547"/>
      <c r="AK188" s="547"/>
      <c r="AL188" s="547"/>
      <c r="AM188" s="547"/>
      <c r="AN188" s="547"/>
      <c r="AO188" s="547"/>
      <c r="AP188" s="547"/>
      <c r="AQ188" s="547"/>
      <c r="AR188" s="547"/>
      <c r="AS188" s="547"/>
      <c r="AT188" s="547"/>
      <c r="AU188" s="547"/>
      <c r="AV188" s="547"/>
      <c r="AW188" s="547"/>
      <c r="AX188" s="547"/>
      <c r="AY188" s="547"/>
      <c r="AZ188" s="547"/>
      <c r="BA188" s="548"/>
      <c r="BB188" s="128"/>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row>
    <row r="189" spans="1:111" ht="9" customHeight="1">
      <c r="A189" s="128"/>
      <c r="B189" s="527"/>
      <c r="C189" s="527"/>
      <c r="D189" s="527"/>
      <c r="E189" s="527"/>
      <c r="F189" s="527"/>
      <c r="G189" s="527"/>
      <c r="H189" s="527"/>
      <c r="I189" s="527"/>
      <c r="J189" s="527"/>
      <c r="K189" s="527"/>
      <c r="L189" s="527"/>
      <c r="M189" s="527"/>
      <c r="N189" s="186"/>
      <c r="O189" s="549"/>
      <c r="P189" s="550"/>
      <c r="Q189" s="550"/>
      <c r="R189" s="550"/>
      <c r="S189" s="550"/>
      <c r="T189" s="550"/>
      <c r="U189" s="550"/>
      <c r="V189" s="550"/>
      <c r="W189" s="550"/>
      <c r="X189" s="550"/>
      <c r="Y189" s="550"/>
      <c r="Z189" s="550"/>
      <c r="AA189" s="550"/>
      <c r="AB189" s="550"/>
      <c r="AC189" s="550"/>
      <c r="AD189" s="550"/>
      <c r="AE189" s="550"/>
      <c r="AF189" s="550"/>
      <c r="AG189" s="550"/>
      <c r="AH189" s="550"/>
      <c r="AI189" s="550"/>
      <c r="AJ189" s="550"/>
      <c r="AK189" s="550"/>
      <c r="AL189" s="550"/>
      <c r="AM189" s="550"/>
      <c r="AN189" s="550"/>
      <c r="AO189" s="550"/>
      <c r="AP189" s="550"/>
      <c r="AQ189" s="550"/>
      <c r="AR189" s="550"/>
      <c r="AS189" s="550"/>
      <c r="AT189" s="550"/>
      <c r="AU189" s="550"/>
      <c r="AV189" s="550"/>
      <c r="AW189" s="550"/>
      <c r="AX189" s="550"/>
      <c r="AY189" s="550"/>
      <c r="AZ189" s="550"/>
      <c r="BA189" s="551"/>
      <c r="BB189" s="128"/>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row>
    <row r="190" spans="1:111" ht="9" customHeight="1">
      <c r="A190" s="128"/>
      <c r="B190" s="187"/>
      <c r="C190" s="187"/>
      <c r="D190" s="187"/>
      <c r="E190" s="187"/>
      <c r="F190" s="187"/>
      <c r="G190" s="187"/>
      <c r="H190" s="187"/>
      <c r="I190" s="188"/>
      <c r="J190" s="187"/>
      <c r="K190" s="187"/>
      <c r="L190" s="187"/>
      <c r="M190" s="187"/>
      <c r="N190" s="128"/>
      <c r="O190" s="549"/>
      <c r="P190" s="550"/>
      <c r="Q190" s="550"/>
      <c r="R190" s="550"/>
      <c r="S190" s="550"/>
      <c r="T190" s="550"/>
      <c r="U190" s="550"/>
      <c r="V190" s="550"/>
      <c r="W190" s="550"/>
      <c r="X190" s="550"/>
      <c r="Y190" s="550"/>
      <c r="Z190" s="550"/>
      <c r="AA190" s="550"/>
      <c r="AB190" s="550"/>
      <c r="AC190" s="550"/>
      <c r="AD190" s="550"/>
      <c r="AE190" s="550"/>
      <c r="AF190" s="550"/>
      <c r="AG190" s="550"/>
      <c r="AH190" s="550"/>
      <c r="AI190" s="550"/>
      <c r="AJ190" s="550"/>
      <c r="AK190" s="550"/>
      <c r="AL190" s="550"/>
      <c r="AM190" s="550"/>
      <c r="AN190" s="550"/>
      <c r="AO190" s="550"/>
      <c r="AP190" s="550"/>
      <c r="AQ190" s="550"/>
      <c r="AR190" s="550"/>
      <c r="AS190" s="550"/>
      <c r="AT190" s="550"/>
      <c r="AU190" s="550"/>
      <c r="AV190" s="550"/>
      <c r="AW190" s="550"/>
      <c r="AX190" s="550"/>
      <c r="AY190" s="550"/>
      <c r="AZ190" s="550"/>
      <c r="BA190" s="551"/>
      <c r="BB190" s="128"/>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row>
    <row r="191" spans="1:111" ht="9" customHeight="1">
      <c r="A191" s="128"/>
      <c r="B191" s="187"/>
      <c r="C191" s="187"/>
      <c r="D191" s="187"/>
      <c r="E191" s="187"/>
      <c r="F191" s="187"/>
      <c r="G191" s="187"/>
      <c r="H191" s="187"/>
      <c r="I191" s="188"/>
      <c r="J191" s="187"/>
      <c r="K191" s="187"/>
      <c r="L191" s="187"/>
      <c r="M191" s="187"/>
      <c r="N191" s="128"/>
      <c r="O191" s="552"/>
      <c r="P191" s="553"/>
      <c r="Q191" s="553"/>
      <c r="R191" s="553"/>
      <c r="S191" s="553"/>
      <c r="T191" s="553"/>
      <c r="U191" s="553"/>
      <c r="V191" s="553"/>
      <c r="W191" s="553"/>
      <c r="X191" s="553"/>
      <c r="Y191" s="553"/>
      <c r="Z191" s="553"/>
      <c r="AA191" s="553"/>
      <c r="AB191" s="553"/>
      <c r="AC191" s="553"/>
      <c r="AD191" s="553"/>
      <c r="AE191" s="553"/>
      <c r="AF191" s="553"/>
      <c r="AG191" s="553"/>
      <c r="AH191" s="553"/>
      <c r="AI191" s="553"/>
      <c r="AJ191" s="553"/>
      <c r="AK191" s="553"/>
      <c r="AL191" s="553"/>
      <c r="AM191" s="553"/>
      <c r="AN191" s="553"/>
      <c r="AO191" s="553"/>
      <c r="AP191" s="553"/>
      <c r="AQ191" s="553"/>
      <c r="AR191" s="553"/>
      <c r="AS191" s="553"/>
      <c r="AT191" s="553"/>
      <c r="AU191" s="553"/>
      <c r="AV191" s="553"/>
      <c r="AW191" s="553"/>
      <c r="AX191" s="553"/>
      <c r="AY191" s="553"/>
      <c r="AZ191" s="553"/>
      <c r="BA191" s="554"/>
      <c r="BB191" s="128"/>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row>
    <row r="192" spans="1:111" ht="4.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row>
    <row r="193" spans="1:111" ht="9" customHeight="1">
      <c r="A193" s="128"/>
      <c r="B193" s="527" t="s">
        <v>436</v>
      </c>
      <c r="C193" s="527"/>
      <c r="D193" s="527"/>
      <c r="E193" s="527"/>
      <c r="F193" s="527"/>
      <c r="G193" s="527"/>
      <c r="H193" s="527"/>
      <c r="I193" s="527"/>
      <c r="J193" s="527"/>
      <c r="K193" s="527"/>
      <c r="L193" s="527"/>
      <c r="M193" s="527"/>
      <c r="N193" s="186"/>
      <c r="O193" s="534"/>
      <c r="P193" s="535"/>
      <c r="Q193" s="535"/>
      <c r="R193" s="535"/>
      <c r="S193" s="535"/>
      <c r="T193" s="535"/>
      <c r="U193" s="535"/>
      <c r="V193" s="535"/>
      <c r="W193" s="535"/>
      <c r="X193" s="535"/>
      <c r="Y193" s="535"/>
      <c r="Z193" s="536"/>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row>
    <row r="194" spans="1:111" ht="9" customHeight="1">
      <c r="A194" s="128"/>
      <c r="B194" s="527"/>
      <c r="C194" s="527"/>
      <c r="D194" s="527"/>
      <c r="E194" s="527"/>
      <c r="F194" s="527"/>
      <c r="G194" s="527"/>
      <c r="H194" s="527"/>
      <c r="I194" s="527"/>
      <c r="J194" s="527"/>
      <c r="K194" s="527"/>
      <c r="L194" s="527"/>
      <c r="M194" s="527"/>
      <c r="N194" s="186"/>
      <c r="O194" s="537"/>
      <c r="P194" s="538"/>
      <c r="Q194" s="538"/>
      <c r="R194" s="538"/>
      <c r="S194" s="538"/>
      <c r="T194" s="538"/>
      <c r="U194" s="538"/>
      <c r="V194" s="538"/>
      <c r="W194" s="538"/>
      <c r="X194" s="538"/>
      <c r="Y194" s="538"/>
      <c r="Z194" s="539"/>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row>
    <row r="195" spans="1:111" ht="4.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row>
    <row r="196" spans="1:111" ht="9" customHeight="1">
      <c r="A196" s="128"/>
      <c r="B196" s="527" t="s">
        <v>437</v>
      </c>
      <c r="C196" s="527"/>
      <c r="D196" s="527"/>
      <c r="E196" s="527"/>
      <c r="F196" s="527"/>
      <c r="G196" s="527"/>
      <c r="H196" s="527"/>
      <c r="I196" s="527"/>
      <c r="J196" s="527"/>
      <c r="K196" s="527"/>
      <c r="L196" s="527"/>
      <c r="M196" s="527"/>
      <c r="N196" s="186"/>
      <c r="O196" s="546"/>
      <c r="P196" s="547"/>
      <c r="Q196" s="547"/>
      <c r="R196" s="547"/>
      <c r="S196" s="547"/>
      <c r="T196" s="547"/>
      <c r="U196" s="547"/>
      <c r="V196" s="547"/>
      <c r="W196" s="547"/>
      <c r="X196" s="547"/>
      <c r="Y196" s="547"/>
      <c r="Z196" s="547"/>
      <c r="AA196" s="547"/>
      <c r="AB196" s="547"/>
      <c r="AC196" s="547"/>
      <c r="AD196" s="547"/>
      <c r="AE196" s="547"/>
      <c r="AF196" s="547"/>
      <c r="AG196" s="547"/>
      <c r="AH196" s="547"/>
      <c r="AI196" s="547"/>
      <c r="AJ196" s="547"/>
      <c r="AK196" s="547"/>
      <c r="AL196" s="547"/>
      <c r="AM196" s="547"/>
      <c r="AN196" s="547"/>
      <c r="AO196" s="547"/>
      <c r="AP196" s="547"/>
      <c r="AQ196" s="547"/>
      <c r="AR196" s="547"/>
      <c r="AS196" s="547"/>
      <c r="AT196" s="547"/>
      <c r="AU196" s="547"/>
      <c r="AV196" s="547"/>
      <c r="AW196" s="547"/>
      <c r="AX196" s="547"/>
      <c r="AY196" s="547"/>
      <c r="AZ196" s="547"/>
      <c r="BA196" s="548"/>
      <c r="BB196" s="128"/>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row>
    <row r="197" spans="1:111" ht="9" customHeight="1">
      <c r="A197" s="128"/>
      <c r="B197" s="527"/>
      <c r="C197" s="527"/>
      <c r="D197" s="527"/>
      <c r="E197" s="527"/>
      <c r="F197" s="527"/>
      <c r="G197" s="527"/>
      <c r="H197" s="527"/>
      <c r="I197" s="527"/>
      <c r="J197" s="527"/>
      <c r="K197" s="527"/>
      <c r="L197" s="527"/>
      <c r="M197" s="527"/>
      <c r="N197" s="186"/>
      <c r="O197" s="549"/>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50"/>
      <c r="AL197" s="550"/>
      <c r="AM197" s="550"/>
      <c r="AN197" s="550"/>
      <c r="AO197" s="550"/>
      <c r="AP197" s="550"/>
      <c r="AQ197" s="550"/>
      <c r="AR197" s="550"/>
      <c r="AS197" s="550"/>
      <c r="AT197" s="550"/>
      <c r="AU197" s="550"/>
      <c r="AV197" s="550"/>
      <c r="AW197" s="550"/>
      <c r="AX197" s="550"/>
      <c r="AY197" s="550"/>
      <c r="AZ197" s="550"/>
      <c r="BA197" s="551"/>
      <c r="BB197" s="128"/>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row>
    <row r="198" spans="1:111" ht="9" customHeight="1">
      <c r="A198" s="128"/>
      <c r="B198" s="187"/>
      <c r="C198" s="187"/>
      <c r="D198" s="187"/>
      <c r="E198" s="187"/>
      <c r="F198" s="187"/>
      <c r="G198" s="187"/>
      <c r="H198" s="187"/>
      <c r="I198" s="188"/>
      <c r="J198" s="187"/>
      <c r="K198" s="187"/>
      <c r="L198" s="187"/>
      <c r="M198" s="187"/>
      <c r="N198" s="128"/>
      <c r="O198" s="549"/>
      <c r="P198" s="550"/>
      <c r="Q198" s="550"/>
      <c r="R198" s="550"/>
      <c r="S198" s="550"/>
      <c r="T198" s="550"/>
      <c r="U198" s="550"/>
      <c r="V198" s="550"/>
      <c r="W198" s="550"/>
      <c r="X198" s="550"/>
      <c r="Y198" s="550"/>
      <c r="Z198" s="550"/>
      <c r="AA198" s="550"/>
      <c r="AB198" s="550"/>
      <c r="AC198" s="550"/>
      <c r="AD198" s="550"/>
      <c r="AE198" s="550"/>
      <c r="AF198" s="550"/>
      <c r="AG198" s="550"/>
      <c r="AH198" s="550"/>
      <c r="AI198" s="550"/>
      <c r="AJ198" s="550"/>
      <c r="AK198" s="550"/>
      <c r="AL198" s="550"/>
      <c r="AM198" s="550"/>
      <c r="AN198" s="550"/>
      <c r="AO198" s="550"/>
      <c r="AP198" s="550"/>
      <c r="AQ198" s="550"/>
      <c r="AR198" s="550"/>
      <c r="AS198" s="550"/>
      <c r="AT198" s="550"/>
      <c r="AU198" s="550"/>
      <c r="AV198" s="550"/>
      <c r="AW198" s="550"/>
      <c r="AX198" s="550"/>
      <c r="AY198" s="550"/>
      <c r="AZ198" s="550"/>
      <c r="BA198" s="551"/>
      <c r="BB198" s="128"/>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row>
    <row r="199" spans="1:111" ht="9" customHeight="1">
      <c r="A199" s="128"/>
      <c r="B199" s="187"/>
      <c r="C199" s="187"/>
      <c r="D199" s="187"/>
      <c r="E199" s="187"/>
      <c r="F199" s="187"/>
      <c r="G199" s="187"/>
      <c r="H199" s="187"/>
      <c r="I199" s="188"/>
      <c r="J199" s="187"/>
      <c r="K199" s="187"/>
      <c r="L199" s="187"/>
      <c r="M199" s="187"/>
      <c r="N199" s="128"/>
      <c r="O199" s="552"/>
      <c r="P199" s="553"/>
      <c r="Q199" s="553"/>
      <c r="R199" s="553"/>
      <c r="S199" s="553"/>
      <c r="T199" s="553"/>
      <c r="U199" s="553"/>
      <c r="V199" s="553"/>
      <c r="W199" s="553"/>
      <c r="X199" s="553"/>
      <c r="Y199" s="553"/>
      <c r="Z199" s="553"/>
      <c r="AA199" s="553"/>
      <c r="AB199" s="553"/>
      <c r="AC199" s="553"/>
      <c r="AD199" s="553"/>
      <c r="AE199" s="553"/>
      <c r="AF199" s="553"/>
      <c r="AG199" s="553"/>
      <c r="AH199" s="553"/>
      <c r="AI199" s="553"/>
      <c r="AJ199" s="553"/>
      <c r="AK199" s="553"/>
      <c r="AL199" s="553"/>
      <c r="AM199" s="553"/>
      <c r="AN199" s="553"/>
      <c r="AO199" s="553"/>
      <c r="AP199" s="553"/>
      <c r="AQ199" s="553"/>
      <c r="AR199" s="553"/>
      <c r="AS199" s="553"/>
      <c r="AT199" s="553"/>
      <c r="AU199" s="553"/>
      <c r="AV199" s="553"/>
      <c r="AW199" s="553"/>
      <c r="AX199" s="553"/>
      <c r="AY199" s="553"/>
      <c r="AZ199" s="553"/>
      <c r="BA199" s="554"/>
      <c r="BB199" s="128"/>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row>
    <row r="200" spans="1:111" ht="4.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row>
    <row r="201" spans="1:111" ht="9" customHeight="1">
      <c r="A201" s="128"/>
      <c r="B201" s="527" t="s">
        <v>438</v>
      </c>
      <c r="C201" s="527"/>
      <c r="D201" s="527"/>
      <c r="E201" s="527"/>
      <c r="F201" s="527"/>
      <c r="G201" s="527"/>
      <c r="H201" s="527"/>
      <c r="I201" s="527"/>
      <c r="J201" s="527"/>
      <c r="K201" s="527"/>
      <c r="L201" s="527"/>
      <c r="M201" s="527"/>
      <c r="N201" s="186"/>
      <c r="O201" s="546"/>
      <c r="P201" s="547"/>
      <c r="Q201" s="547"/>
      <c r="R201" s="547"/>
      <c r="S201" s="547"/>
      <c r="T201" s="547"/>
      <c r="U201" s="547"/>
      <c r="V201" s="547"/>
      <c r="W201" s="547"/>
      <c r="X201" s="547"/>
      <c r="Y201" s="547"/>
      <c r="Z201" s="547"/>
      <c r="AA201" s="547"/>
      <c r="AB201" s="547"/>
      <c r="AC201" s="547"/>
      <c r="AD201" s="547"/>
      <c r="AE201" s="547"/>
      <c r="AF201" s="547"/>
      <c r="AG201" s="547"/>
      <c r="AH201" s="547"/>
      <c r="AI201" s="547"/>
      <c r="AJ201" s="547"/>
      <c r="AK201" s="547"/>
      <c r="AL201" s="547"/>
      <c r="AM201" s="547"/>
      <c r="AN201" s="547"/>
      <c r="AO201" s="547"/>
      <c r="AP201" s="547"/>
      <c r="AQ201" s="547"/>
      <c r="AR201" s="547"/>
      <c r="AS201" s="547"/>
      <c r="AT201" s="547"/>
      <c r="AU201" s="547"/>
      <c r="AV201" s="547"/>
      <c r="AW201" s="547"/>
      <c r="AX201" s="547"/>
      <c r="AY201" s="547"/>
      <c r="AZ201" s="547"/>
      <c r="BA201" s="548"/>
      <c r="BB201" s="128"/>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row>
    <row r="202" spans="1:111" ht="9" customHeight="1">
      <c r="A202" s="128"/>
      <c r="B202" s="527"/>
      <c r="C202" s="527"/>
      <c r="D202" s="527"/>
      <c r="E202" s="527"/>
      <c r="F202" s="527"/>
      <c r="G202" s="527"/>
      <c r="H202" s="527"/>
      <c r="I202" s="527"/>
      <c r="J202" s="527"/>
      <c r="K202" s="527"/>
      <c r="L202" s="527"/>
      <c r="M202" s="527"/>
      <c r="N202" s="186"/>
      <c r="O202" s="549"/>
      <c r="P202" s="550"/>
      <c r="Q202" s="550"/>
      <c r="R202" s="550"/>
      <c r="S202" s="550"/>
      <c r="T202" s="550"/>
      <c r="U202" s="550"/>
      <c r="V202" s="550"/>
      <c r="W202" s="550"/>
      <c r="X202" s="550"/>
      <c r="Y202" s="550"/>
      <c r="Z202" s="550"/>
      <c r="AA202" s="550"/>
      <c r="AB202" s="550"/>
      <c r="AC202" s="550"/>
      <c r="AD202" s="550"/>
      <c r="AE202" s="550"/>
      <c r="AF202" s="550"/>
      <c r="AG202" s="550"/>
      <c r="AH202" s="550"/>
      <c r="AI202" s="550"/>
      <c r="AJ202" s="550"/>
      <c r="AK202" s="550"/>
      <c r="AL202" s="550"/>
      <c r="AM202" s="550"/>
      <c r="AN202" s="550"/>
      <c r="AO202" s="550"/>
      <c r="AP202" s="550"/>
      <c r="AQ202" s="550"/>
      <c r="AR202" s="550"/>
      <c r="AS202" s="550"/>
      <c r="AT202" s="550"/>
      <c r="AU202" s="550"/>
      <c r="AV202" s="550"/>
      <c r="AW202" s="550"/>
      <c r="AX202" s="550"/>
      <c r="AY202" s="550"/>
      <c r="AZ202" s="550"/>
      <c r="BA202" s="551"/>
      <c r="BB202" s="128"/>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row>
    <row r="203" spans="1:111" ht="9" customHeight="1">
      <c r="A203" s="128"/>
      <c r="B203" s="187"/>
      <c r="C203" s="187"/>
      <c r="D203" s="187"/>
      <c r="E203" s="187"/>
      <c r="F203" s="187"/>
      <c r="G203" s="187"/>
      <c r="H203" s="187"/>
      <c r="I203" s="188"/>
      <c r="J203" s="187"/>
      <c r="K203" s="187"/>
      <c r="L203" s="187"/>
      <c r="M203" s="187"/>
      <c r="N203" s="128"/>
      <c r="O203" s="549"/>
      <c r="P203" s="550"/>
      <c r="Q203" s="550"/>
      <c r="R203" s="550"/>
      <c r="S203" s="550"/>
      <c r="T203" s="550"/>
      <c r="U203" s="550"/>
      <c r="V203" s="550"/>
      <c r="W203" s="550"/>
      <c r="X203" s="550"/>
      <c r="Y203" s="550"/>
      <c r="Z203" s="550"/>
      <c r="AA203" s="550"/>
      <c r="AB203" s="550"/>
      <c r="AC203" s="550"/>
      <c r="AD203" s="550"/>
      <c r="AE203" s="550"/>
      <c r="AF203" s="550"/>
      <c r="AG203" s="550"/>
      <c r="AH203" s="550"/>
      <c r="AI203" s="550"/>
      <c r="AJ203" s="550"/>
      <c r="AK203" s="550"/>
      <c r="AL203" s="550"/>
      <c r="AM203" s="550"/>
      <c r="AN203" s="550"/>
      <c r="AO203" s="550"/>
      <c r="AP203" s="550"/>
      <c r="AQ203" s="550"/>
      <c r="AR203" s="550"/>
      <c r="AS203" s="550"/>
      <c r="AT203" s="550"/>
      <c r="AU203" s="550"/>
      <c r="AV203" s="550"/>
      <c r="AW203" s="550"/>
      <c r="AX203" s="550"/>
      <c r="AY203" s="550"/>
      <c r="AZ203" s="550"/>
      <c r="BA203" s="551"/>
      <c r="BB203" s="128"/>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row>
    <row r="204" spans="1:111" ht="9" customHeight="1">
      <c r="A204" s="128"/>
      <c r="B204" s="187"/>
      <c r="C204" s="187"/>
      <c r="D204" s="187"/>
      <c r="E204" s="187"/>
      <c r="F204" s="187"/>
      <c r="G204" s="187"/>
      <c r="H204" s="187"/>
      <c r="I204" s="188"/>
      <c r="J204" s="187"/>
      <c r="K204" s="187"/>
      <c r="L204" s="187"/>
      <c r="M204" s="187"/>
      <c r="N204" s="128"/>
      <c r="O204" s="552"/>
      <c r="P204" s="553"/>
      <c r="Q204" s="553"/>
      <c r="R204" s="553"/>
      <c r="S204" s="553"/>
      <c r="T204" s="553"/>
      <c r="U204" s="553"/>
      <c r="V204" s="553"/>
      <c r="W204" s="553"/>
      <c r="X204" s="553"/>
      <c r="Y204" s="553"/>
      <c r="Z204" s="553"/>
      <c r="AA204" s="553"/>
      <c r="AB204" s="553"/>
      <c r="AC204" s="553"/>
      <c r="AD204" s="553"/>
      <c r="AE204" s="553"/>
      <c r="AF204" s="553"/>
      <c r="AG204" s="553"/>
      <c r="AH204" s="553"/>
      <c r="AI204" s="553"/>
      <c r="AJ204" s="553"/>
      <c r="AK204" s="553"/>
      <c r="AL204" s="553"/>
      <c r="AM204" s="553"/>
      <c r="AN204" s="553"/>
      <c r="AO204" s="553"/>
      <c r="AP204" s="553"/>
      <c r="AQ204" s="553"/>
      <c r="AR204" s="553"/>
      <c r="AS204" s="553"/>
      <c r="AT204" s="553"/>
      <c r="AU204" s="553"/>
      <c r="AV204" s="553"/>
      <c r="AW204" s="553"/>
      <c r="AX204" s="553"/>
      <c r="AY204" s="553"/>
      <c r="AZ204" s="553"/>
      <c r="BA204" s="554"/>
      <c r="BB204" s="128"/>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row>
    <row r="205" spans="1:111" ht="4.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row>
    <row r="206" spans="1:111" ht="9" customHeight="1">
      <c r="A206" s="128"/>
      <c r="B206" s="527" t="s">
        <v>439</v>
      </c>
      <c r="C206" s="527"/>
      <c r="D206" s="527"/>
      <c r="E206" s="527"/>
      <c r="F206" s="527"/>
      <c r="G206" s="527"/>
      <c r="H206" s="527"/>
      <c r="I206" s="527"/>
      <c r="J206" s="527"/>
      <c r="K206" s="527"/>
      <c r="L206" s="527"/>
      <c r="M206" s="527"/>
      <c r="N206" s="186"/>
      <c r="O206" s="534"/>
      <c r="P206" s="535"/>
      <c r="Q206" s="535"/>
      <c r="R206" s="535"/>
      <c r="S206" s="535"/>
      <c r="T206" s="535"/>
      <c r="U206" s="535"/>
      <c r="V206" s="535"/>
      <c r="W206" s="535"/>
      <c r="X206" s="535"/>
      <c r="Y206" s="535"/>
      <c r="Z206" s="536"/>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row>
    <row r="207" spans="1:111" ht="9" customHeight="1">
      <c r="A207" s="128"/>
      <c r="B207" s="527"/>
      <c r="C207" s="527"/>
      <c r="D207" s="527"/>
      <c r="E207" s="527"/>
      <c r="F207" s="527"/>
      <c r="G207" s="527"/>
      <c r="H207" s="527"/>
      <c r="I207" s="527"/>
      <c r="J207" s="527"/>
      <c r="K207" s="527"/>
      <c r="L207" s="527"/>
      <c r="M207" s="527"/>
      <c r="N207" s="186"/>
      <c r="O207" s="537"/>
      <c r="P207" s="538"/>
      <c r="Q207" s="538"/>
      <c r="R207" s="538"/>
      <c r="S207" s="538"/>
      <c r="T207" s="538"/>
      <c r="U207" s="538"/>
      <c r="V207" s="538"/>
      <c r="W207" s="538"/>
      <c r="X207" s="538"/>
      <c r="Y207" s="538"/>
      <c r="Z207" s="539"/>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row>
    <row r="208" spans="1:111" ht="18"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row>
    <row r="209" spans="1:111" ht="9" customHeight="1">
      <c r="A209" s="128"/>
      <c r="B209" s="525" t="s">
        <v>441</v>
      </c>
      <c r="C209" s="525"/>
      <c r="D209" s="525"/>
      <c r="E209" s="525"/>
      <c r="F209" s="525"/>
      <c r="G209" s="525"/>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c r="AK209" s="525"/>
      <c r="AL209" s="525"/>
      <c r="AM209" s="525"/>
      <c r="AN209" s="525"/>
      <c r="AO209" s="525"/>
      <c r="AP209" s="525"/>
      <c r="AQ209" s="525"/>
      <c r="AR209" s="525"/>
      <c r="AS209" s="525"/>
      <c r="AT209" s="525"/>
      <c r="AU209" s="525"/>
      <c r="AV209" s="525"/>
      <c r="AW209" s="525"/>
      <c r="AX209" s="525"/>
      <c r="AY209" s="525"/>
      <c r="AZ209" s="525"/>
      <c r="BA209" s="525"/>
      <c r="BB209" s="128"/>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row>
    <row r="210" spans="1:111" ht="9" customHeight="1">
      <c r="A210" s="128"/>
      <c r="B210" s="526"/>
      <c r="C210" s="526"/>
      <c r="D210" s="526"/>
      <c r="E210" s="526"/>
      <c r="F210" s="526"/>
      <c r="G210" s="526"/>
      <c r="H210" s="526"/>
      <c r="I210" s="526"/>
      <c r="J210" s="526"/>
      <c r="K210" s="526"/>
      <c r="L210" s="526"/>
      <c r="M210" s="526"/>
      <c r="N210" s="526"/>
      <c r="O210" s="526"/>
      <c r="P210" s="526"/>
      <c r="Q210" s="526"/>
      <c r="R210" s="526"/>
      <c r="S210" s="526"/>
      <c r="T210" s="526"/>
      <c r="U210" s="526"/>
      <c r="V210" s="526"/>
      <c r="W210" s="526"/>
      <c r="X210" s="526"/>
      <c r="Y210" s="526"/>
      <c r="Z210" s="526"/>
      <c r="AA210" s="526"/>
      <c r="AB210" s="526"/>
      <c r="AC210" s="526"/>
      <c r="AD210" s="526"/>
      <c r="AE210" s="526"/>
      <c r="AF210" s="526"/>
      <c r="AG210" s="526"/>
      <c r="AH210" s="526"/>
      <c r="AI210" s="526"/>
      <c r="AJ210" s="526"/>
      <c r="AK210" s="526"/>
      <c r="AL210" s="526"/>
      <c r="AM210" s="526"/>
      <c r="AN210" s="526"/>
      <c r="AO210" s="526"/>
      <c r="AP210" s="526"/>
      <c r="AQ210" s="526"/>
      <c r="AR210" s="526"/>
      <c r="AS210" s="526"/>
      <c r="AT210" s="526"/>
      <c r="AU210" s="526"/>
      <c r="AV210" s="526"/>
      <c r="AW210" s="526"/>
      <c r="AX210" s="526"/>
      <c r="AY210" s="526"/>
      <c r="AZ210" s="526"/>
      <c r="BA210" s="526"/>
      <c r="BB210" s="128"/>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row>
    <row r="211" spans="1:111" ht="4.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row>
    <row r="212" spans="1:111" ht="9" customHeight="1">
      <c r="A212" s="128"/>
      <c r="B212" s="527" t="s">
        <v>427</v>
      </c>
      <c r="C212" s="527"/>
      <c r="D212" s="527"/>
      <c r="E212" s="527"/>
      <c r="F212" s="527"/>
      <c r="G212" s="527"/>
      <c r="H212" s="527"/>
      <c r="I212" s="527"/>
      <c r="J212" s="527"/>
      <c r="K212" s="527"/>
      <c r="L212" s="527"/>
      <c r="M212" s="527"/>
      <c r="N212" s="186"/>
      <c r="O212" s="546"/>
      <c r="P212" s="547"/>
      <c r="Q212" s="547"/>
      <c r="R212" s="547"/>
      <c r="S212" s="547"/>
      <c r="T212" s="547"/>
      <c r="U212" s="547"/>
      <c r="V212" s="547"/>
      <c r="W212" s="547"/>
      <c r="X212" s="547"/>
      <c r="Y212" s="547"/>
      <c r="Z212" s="547"/>
      <c r="AA212" s="547"/>
      <c r="AB212" s="547"/>
      <c r="AC212" s="547"/>
      <c r="AD212" s="547"/>
      <c r="AE212" s="547"/>
      <c r="AF212" s="547"/>
      <c r="AG212" s="547"/>
      <c r="AH212" s="547"/>
      <c r="AI212" s="547"/>
      <c r="AJ212" s="547"/>
      <c r="AK212" s="547"/>
      <c r="AL212" s="547"/>
      <c r="AM212" s="547"/>
      <c r="AN212" s="547"/>
      <c r="AO212" s="547"/>
      <c r="AP212" s="547"/>
      <c r="AQ212" s="547"/>
      <c r="AR212" s="547"/>
      <c r="AS212" s="547"/>
      <c r="AT212" s="547"/>
      <c r="AU212" s="547"/>
      <c r="AV212" s="547"/>
      <c r="AW212" s="547"/>
      <c r="AX212" s="547"/>
      <c r="AY212" s="547"/>
      <c r="AZ212" s="547"/>
      <c r="BA212" s="548"/>
      <c r="BB212" s="128"/>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row>
    <row r="213" spans="1:111" ht="9" customHeight="1">
      <c r="A213" s="128"/>
      <c r="B213" s="527"/>
      <c r="C213" s="527"/>
      <c r="D213" s="527"/>
      <c r="E213" s="527"/>
      <c r="F213" s="527"/>
      <c r="G213" s="527"/>
      <c r="H213" s="527"/>
      <c r="I213" s="527"/>
      <c r="J213" s="527"/>
      <c r="K213" s="527"/>
      <c r="L213" s="527"/>
      <c r="M213" s="527"/>
      <c r="N213" s="186"/>
      <c r="O213" s="549"/>
      <c r="P213" s="550"/>
      <c r="Q213" s="550"/>
      <c r="R213" s="550"/>
      <c r="S213" s="550"/>
      <c r="T213" s="550"/>
      <c r="U213" s="550"/>
      <c r="V213" s="550"/>
      <c r="W213" s="550"/>
      <c r="X213" s="550"/>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0"/>
      <c r="AY213" s="550"/>
      <c r="AZ213" s="550"/>
      <c r="BA213" s="551"/>
      <c r="BB213" s="128"/>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row>
    <row r="214" spans="1:111" ht="9" customHeight="1">
      <c r="A214" s="128"/>
      <c r="B214" s="187"/>
      <c r="C214" s="187"/>
      <c r="D214" s="187"/>
      <c r="E214" s="187"/>
      <c r="F214" s="187"/>
      <c r="G214" s="187"/>
      <c r="H214" s="187"/>
      <c r="I214" s="188"/>
      <c r="J214" s="187"/>
      <c r="K214" s="187"/>
      <c r="L214" s="187"/>
      <c r="M214" s="187"/>
      <c r="N214" s="128"/>
      <c r="O214" s="549"/>
      <c r="P214" s="550"/>
      <c r="Q214" s="550"/>
      <c r="R214" s="550"/>
      <c r="S214" s="550"/>
      <c r="T214" s="550"/>
      <c r="U214" s="550"/>
      <c r="V214" s="550"/>
      <c r="W214" s="550"/>
      <c r="X214" s="550"/>
      <c r="Y214" s="550"/>
      <c r="Z214" s="550"/>
      <c r="AA214" s="550"/>
      <c r="AB214" s="550"/>
      <c r="AC214" s="550"/>
      <c r="AD214" s="550"/>
      <c r="AE214" s="550"/>
      <c r="AF214" s="550"/>
      <c r="AG214" s="550"/>
      <c r="AH214" s="550"/>
      <c r="AI214" s="550"/>
      <c r="AJ214" s="550"/>
      <c r="AK214" s="550"/>
      <c r="AL214" s="550"/>
      <c r="AM214" s="550"/>
      <c r="AN214" s="550"/>
      <c r="AO214" s="550"/>
      <c r="AP214" s="550"/>
      <c r="AQ214" s="550"/>
      <c r="AR214" s="550"/>
      <c r="AS214" s="550"/>
      <c r="AT214" s="550"/>
      <c r="AU214" s="550"/>
      <c r="AV214" s="550"/>
      <c r="AW214" s="550"/>
      <c r="AX214" s="550"/>
      <c r="AY214" s="550"/>
      <c r="AZ214" s="550"/>
      <c r="BA214" s="551"/>
      <c r="BB214" s="128"/>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row>
    <row r="215" spans="1:111" ht="9" customHeight="1">
      <c r="A215" s="128"/>
      <c r="B215" s="187"/>
      <c r="C215" s="187"/>
      <c r="D215" s="187"/>
      <c r="E215" s="187"/>
      <c r="F215" s="187"/>
      <c r="G215" s="187"/>
      <c r="H215" s="187"/>
      <c r="I215" s="188"/>
      <c r="J215" s="187"/>
      <c r="K215" s="187"/>
      <c r="L215" s="187"/>
      <c r="M215" s="187"/>
      <c r="N215" s="128"/>
      <c r="O215" s="552"/>
      <c r="P215" s="553"/>
      <c r="Q215" s="553"/>
      <c r="R215" s="553"/>
      <c r="S215" s="553"/>
      <c r="T215" s="553"/>
      <c r="U215" s="553"/>
      <c r="V215" s="553"/>
      <c r="W215" s="553"/>
      <c r="X215" s="553"/>
      <c r="Y215" s="553"/>
      <c r="Z215" s="553"/>
      <c r="AA215" s="553"/>
      <c r="AB215" s="553"/>
      <c r="AC215" s="553"/>
      <c r="AD215" s="553"/>
      <c r="AE215" s="553"/>
      <c r="AF215" s="553"/>
      <c r="AG215" s="553"/>
      <c r="AH215" s="553"/>
      <c r="AI215" s="553"/>
      <c r="AJ215" s="553"/>
      <c r="AK215" s="553"/>
      <c r="AL215" s="553"/>
      <c r="AM215" s="553"/>
      <c r="AN215" s="553"/>
      <c r="AO215" s="553"/>
      <c r="AP215" s="553"/>
      <c r="AQ215" s="553"/>
      <c r="AR215" s="553"/>
      <c r="AS215" s="553"/>
      <c r="AT215" s="553"/>
      <c r="AU215" s="553"/>
      <c r="AV215" s="553"/>
      <c r="AW215" s="553"/>
      <c r="AX215" s="553"/>
      <c r="AY215" s="553"/>
      <c r="AZ215" s="553"/>
      <c r="BA215" s="554"/>
      <c r="BB215" s="128"/>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row>
    <row r="216" spans="1:111" ht="4.5" customHeight="1">
      <c r="A216" s="128"/>
      <c r="B216" s="187"/>
      <c r="C216" s="187"/>
      <c r="D216" s="187"/>
      <c r="E216" s="187"/>
      <c r="F216" s="187"/>
      <c r="G216" s="187"/>
      <c r="H216" s="187"/>
      <c r="I216" s="188"/>
      <c r="J216" s="187"/>
      <c r="K216" s="187"/>
      <c r="L216" s="187"/>
      <c r="M216" s="187"/>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row>
    <row r="217" spans="1:111" ht="9" customHeight="1">
      <c r="A217" s="128"/>
      <c r="B217" s="527" t="s">
        <v>428</v>
      </c>
      <c r="C217" s="527"/>
      <c r="D217" s="527"/>
      <c r="E217" s="527"/>
      <c r="F217" s="527"/>
      <c r="G217" s="527"/>
      <c r="H217" s="527"/>
      <c r="I217" s="527"/>
      <c r="J217" s="527"/>
      <c r="K217" s="527"/>
      <c r="L217" s="527"/>
      <c r="M217" s="527"/>
      <c r="N217" s="186"/>
      <c r="O217" s="528"/>
      <c r="P217" s="529"/>
      <c r="Q217" s="529"/>
      <c r="R217" s="529"/>
      <c r="S217" s="529"/>
      <c r="T217" s="529"/>
      <c r="U217" s="529"/>
      <c r="V217" s="529"/>
      <c r="W217" s="529"/>
      <c r="X217" s="529"/>
      <c r="Y217" s="529"/>
      <c r="Z217" s="530"/>
      <c r="AA217" s="128"/>
      <c r="AB217" s="128"/>
      <c r="AC217" s="527" t="s">
        <v>430</v>
      </c>
      <c r="AD217" s="527"/>
      <c r="AE217" s="527"/>
      <c r="AF217" s="527"/>
      <c r="AG217" s="527"/>
      <c r="AH217" s="527"/>
      <c r="AI217" s="527"/>
      <c r="AJ217" s="527"/>
      <c r="AK217" s="527"/>
      <c r="AL217" s="527"/>
      <c r="AM217" s="527"/>
      <c r="AN217" s="527"/>
      <c r="AO217" s="128"/>
      <c r="AP217" s="528"/>
      <c r="AQ217" s="529"/>
      <c r="AR217" s="529"/>
      <c r="AS217" s="529"/>
      <c r="AT217" s="529"/>
      <c r="AU217" s="529"/>
      <c r="AV217" s="529"/>
      <c r="AW217" s="529"/>
      <c r="AX217" s="529"/>
      <c r="AY217" s="529"/>
      <c r="AZ217" s="529"/>
      <c r="BA217" s="530"/>
      <c r="BB217" s="128"/>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row>
    <row r="218" spans="1:111" ht="9" customHeight="1">
      <c r="A218" s="128"/>
      <c r="B218" s="527"/>
      <c r="C218" s="527"/>
      <c r="D218" s="527"/>
      <c r="E218" s="527"/>
      <c r="F218" s="527"/>
      <c r="G218" s="527"/>
      <c r="H218" s="527"/>
      <c r="I218" s="527"/>
      <c r="J218" s="527"/>
      <c r="K218" s="527"/>
      <c r="L218" s="527"/>
      <c r="M218" s="527"/>
      <c r="N218" s="186"/>
      <c r="O218" s="531"/>
      <c r="P218" s="532"/>
      <c r="Q218" s="532"/>
      <c r="R218" s="532"/>
      <c r="S218" s="532"/>
      <c r="T218" s="532"/>
      <c r="U218" s="532"/>
      <c r="V218" s="532"/>
      <c r="W218" s="532"/>
      <c r="X218" s="532"/>
      <c r="Y218" s="532"/>
      <c r="Z218" s="533"/>
      <c r="AA218" s="128"/>
      <c r="AB218" s="128"/>
      <c r="AC218" s="527"/>
      <c r="AD218" s="527"/>
      <c r="AE218" s="527"/>
      <c r="AF218" s="527"/>
      <c r="AG218" s="527"/>
      <c r="AH218" s="527"/>
      <c r="AI218" s="527"/>
      <c r="AJ218" s="527"/>
      <c r="AK218" s="527"/>
      <c r="AL218" s="527"/>
      <c r="AM218" s="527"/>
      <c r="AN218" s="527"/>
      <c r="AO218" s="128"/>
      <c r="AP218" s="531"/>
      <c r="AQ218" s="532"/>
      <c r="AR218" s="532"/>
      <c r="AS218" s="532"/>
      <c r="AT218" s="532"/>
      <c r="AU218" s="532"/>
      <c r="AV218" s="532"/>
      <c r="AW218" s="532"/>
      <c r="AX218" s="532"/>
      <c r="AY218" s="532"/>
      <c r="AZ218" s="532"/>
      <c r="BA218" s="533"/>
      <c r="BB218" s="128"/>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row>
    <row r="219" spans="1:111" ht="4.5" customHeight="1">
      <c r="A219" s="128"/>
      <c r="B219" s="187"/>
      <c r="C219" s="187"/>
      <c r="D219" s="187"/>
      <c r="E219" s="187"/>
      <c r="F219" s="187"/>
      <c r="G219" s="187"/>
      <c r="H219" s="187"/>
      <c r="I219" s="187"/>
      <c r="J219" s="187"/>
      <c r="K219" s="187"/>
      <c r="L219" s="187"/>
      <c r="M219" s="187"/>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row>
    <row r="220" spans="1:111" ht="9" customHeight="1">
      <c r="A220" s="128"/>
      <c r="B220" s="527" t="s">
        <v>429</v>
      </c>
      <c r="C220" s="527"/>
      <c r="D220" s="527"/>
      <c r="E220" s="527"/>
      <c r="F220" s="527"/>
      <c r="G220" s="527"/>
      <c r="H220" s="527"/>
      <c r="I220" s="527"/>
      <c r="J220" s="527"/>
      <c r="K220" s="527"/>
      <c r="L220" s="527"/>
      <c r="M220" s="527"/>
      <c r="N220" s="186"/>
      <c r="O220" s="534"/>
      <c r="P220" s="535"/>
      <c r="Q220" s="535"/>
      <c r="R220" s="535"/>
      <c r="S220" s="535"/>
      <c r="T220" s="535"/>
      <c r="U220" s="535"/>
      <c r="V220" s="535"/>
      <c r="W220" s="535"/>
      <c r="X220" s="535"/>
      <c r="Y220" s="535"/>
      <c r="Z220" s="536"/>
      <c r="AA220" s="128"/>
      <c r="AB220" s="128"/>
      <c r="AC220" s="527" t="s">
        <v>431</v>
      </c>
      <c r="AD220" s="527"/>
      <c r="AE220" s="527"/>
      <c r="AF220" s="527"/>
      <c r="AG220" s="527"/>
      <c r="AH220" s="527"/>
      <c r="AI220" s="527"/>
      <c r="AJ220" s="527"/>
      <c r="AK220" s="527"/>
      <c r="AL220" s="527"/>
      <c r="AM220" s="527"/>
      <c r="AN220" s="527"/>
      <c r="AO220" s="128"/>
      <c r="AP220" s="540">
        <f>O220*O217</f>
        <v>0</v>
      </c>
      <c r="AQ220" s="541"/>
      <c r="AR220" s="541"/>
      <c r="AS220" s="541"/>
      <c r="AT220" s="541"/>
      <c r="AU220" s="541"/>
      <c r="AV220" s="541"/>
      <c r="AW220" s="541"/>
      <c r="AX220" s="541"/>
      <c r="AY220" s="541"/>
      <c r="AZ220" s="541"/>
      <c r="BA220" s="542"/>
      <c r="BB220" s="128"/>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row>
    <row r="221" spans="1:111" ht="9" customHeight="1">
      <c r="A221" s="128"/>
      <c r="B221" s="527"/>
      <c r="C221" s="527"/>
      <c r="D221" s="527"/>
      <c r="E221" s="527"/>
      <c r="F221" s="527"/>
      <c r="G221" s="527"/>
      <c r="H221" s="527"/>
      <c r="I221" s="527"/>
      <c r="J221" s="527"/>
      <c r="K221" s="527"/>
      <c r="L221" s="527"/>
      <c r="M221" s="527"/>
      <c r="N221" s="186"/>
      <c r="O221" s="537"/>
      <c r="P221" s="538"/>
      <c r="Q221" s="538"/>
      <c r="R221" s="538"/>
      <c r="S221" s="538"/>
      <c r="T221" s="538"/>
      <c r="U221" s="538"/>
      <c r="V221" s="538"/>
      <c r="W221" s="538"/>
      <c r="X221" s="538"/>
      <c r="Y221" s="538"/>
      <c r="Z221" s="539"/>
      <c r="AA221" s="128"/>
      <c r="AB221" s="128"/>
      <c r="AC221" s="527"/>
      <c r="AD221" s="527"/>
      <c r="AE221" s="527"/>
      <c r="AF221" s="527"/>
      <c r="AG221" s="527"/>
      <c r="AH221" s="527"/>
      <c r="AI221" s="527"/>
      <c r="AJ221" s="527"/>
      <c r="AK221" s="527"/>
      <c r="AL221" s="527"/>
      <c r="AM221" s="527"/>
      <c r="AN221" s="527"/>
      <c r="AO221" s="128"/>
      <c r="AP221" s="543"/>
      <c r="AQ221" s="544"/>
      <c r="AR221" s="544"/>
      <c r="AS221" s="544"/>
      <c r="AT221" s="544"/>
      <c r="AU221" s="544"/>
      <c r="AV221" s="544"/>
      <c r="AW221" s="544"/>
      <c r="AX221" s="544"/>
      <c r="AY221" s="544"/>
      <c r="AZ221" s="544"/>
      <c r="BA221" s="545"/>
      <c r="BB221" s="128"/>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row>
    <row r="222" spans="1:111" ht="4.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row>
    <row r="223" spans="1:111" ht="9" customHeight="1">
      <c r="A223" s="128"/>
      <c r="B223" s="527" t="s">
        <v>432</v>
      </c>
      <c r="C223" s="527"/>
      <c r="D223" s="527"/>
      <c r="E223" s="527"/>
      <c r="F223" s="527"/>
      <c r="G223" s="527"/>
      <c r="H223" s="527"/>
      <c r="I223" s="527"/>
      <c r="J223" s="527"/>
      <c r="K223" s="527"/>
      <c r="L223" s="527"/>
      <c r="M223" s="527"/>
      <c r="N223" s="186"/>
      <c r="O223" s="546"/>
      <c r="P223" s="547"/>
      <c r="Q223" s="547"/>
      <c r="R223" s="547"/>
      <c r="S223" s="547"/>
      <c r="T223" s="547"/>
      <c r="U223" s="547"/>
      <c r="V223" s="547"/>
      <c r="W223" s="547"/>
      <c r="X223" s="547"/>
      <c r="Y223" s="547"/>
      <c r="Z223" s="547"/>
      <c r="AA223" s="547"/>
      <c r="AB223" s="547"/>
      <c r="AC223" s="547"/>
      <c r="AD223" s="547"/>
      <c r="AE223" s="547"/>
      <c r="AF223" s="547"/>
      <c r="AG223" s="547"/>
      <c r="AH223" s="547"/>
      <c r="AI223" s="547"/>
      <c r="AJ223" s="547"/>
      <c r="AK223" s="547"/>
      <c r="AL223" s="547"/>
      <c r="AM223" s="547"/>
      <c r="AN223" s="547"/>
      <c r="AO223" s="547"/>
      <c r="AP223" s="547"/>
      <c r="AQ223" s="547"/>
      <c r="AR223" s="547"/>
      <c r="AS223" s="547"/>
      <c r="AT223" s="547"/>
      <c r="AU223" s="547"/>
      <c r="AV223" s="547"/>
      <c r="AW223" s="547"/>
      <c r="AX223" s="547"/>
      <c r="AY223" s="547"/>
      <c r="AZ223" s="547"/>
      <c r="BA223" s="548"/>
      <c r="BB223" s="128"/>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row>
    <row r="224" spans="1:111" ht="9" customHeight="1">
      <c r="A224" s="128"/>
      <c r="B224" s="527"/>
      <c r="C224" s="527"/>
      <c r="D224" s="527"/>
      <c r="E224" s="527"/>
      <c r="F224" s="527"/>
      <c r="G224" s="527"/>
      <c r="H224" s="527"/>
      <c r="I224" s="527"/>
      <c r="J224" s="527"/>
      <c r="K224" s="527"/>
      <c r="L224" s="527"/>
      <c r="M224" s="527"/>
      <c r="N224" s="186"/>
      <c r="O224" s="549"/>
      <c r="P224" s="550"/>
      <c r="Q224" s="550"/>
      <c r="R224" s="550"/>
      <c r="S224" s="550"/>
      <c r="T224" s="550"/>
      <c r="U224" s="550"/>
      <c r="V224" s="550"/>
      <c r="W224" s="550"/>
      <c r="X224" s="550"/>
      <c r="Y224" s="550"/>
      <c r="Z224" s="550"/>
      <c r="AA224" s="550"/>
      <c r="AB224" s="550"/>
      <c r="AC224" s="550"/>
      <c r="AD224" s="550"/>
      <c r="AE224" s="550"/>
      <c r="AF224" s="550"/>
      <c r="AG224" s="550"/>
      <c r="AH224" s="550"/>
      <c r="AI224" s="550"/>
      <c r="AJ224" s="550"/>
      <c r="AK224" s="550"/>
      <c r="AL224" s="550"/>
      <c r="AM224" s="550"/>
      <c r="AN224" s="550"/>
      <c r="AO224" s="550"/>
      <c r="AP224" s="550"/>
      <c r="AQ224" s="550"/>
      <c r="AR224" s="550"/>
      <c r="AS224" s="550"/>
      <c r="AT224" s="550"/>
      <c r="AU224" s="550"/>
      <c r="AV224" s="550"/>
      <c r="AW224" s="550"/>
      <c r="AX224" s="550"/>
      <c r="AY224" s="550"/>
      <c r="AZ224" s="550"/>
      <c r="BA224" s="551"/>
      <c r="BB224" s="128"/>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row>
    <row r="225" spans="1:111" ht="9" customHeight="1">
      <c r="A225" s="128"/>
      <c r="B225" s="187"/>
      <c r="C225" s="187"/>
      <c r="D225" s="187"/>
      <c r="E225" s="187"/>
      <c r="F225" s="187"/>
      <c r="G225" s="187"/>
      <c r="H225" s="187"/>
      <c r="I225" s="188"/>
      <c r="J225" s="187"/>
      <c r="K225" s="187"/>
      <c r="L225" s="187"/>
      <c r="M225" s="187"/>
      <c r="N225" s="128"/>
      <c r="O225" s="549"/>
      <c r="P225" s="550"/>
      <c r="Q225" s="550"/>
      <c r="R225" s="550"/>
      <c r="S225" s="550"/>
      <c r="T225" s="550"/>
      <c r="U225" s="550"/>
      <c r="V225" s="550"/>
      <c r="W225" s="550"/>
      <c r="X225" s="550"/>
      <c r="Y225" s="550"/>
      <c r="Z225" s="550"/>
      <c r="AA225" s="550"/>
      <c r="AB225" s="550"/>
      <c r="AC225" s="550"/>
      <c r="AD225" s="550"/>
      <c r="AE225" s="550"/>
      <c r="AF225" s="550"/>
      <c r="AG225" s="550"/>
      <c r="AH225" s="550"/>
      <c r="AI225" s="550"/>
      <c r="AJ225" s="550"/>
      <c r="AK225" s="550"/>
      <c r="AL225" s="550"/>
      <c r="AM225" s="550"/>
      <c r="AN225" s="550"/>
      <c r="AO225" s="550"/>
      <c r="AP225" s="550"/>
      <c r="AQ225" s="550"/>
      <c r="AR225" s="550"/>
      <c r="AS225" s="550"/>
      <c r="AT225" s="550"/>
      <c r="AU225" s="550"/>
      <c r="AV225" s="550"/>
      <c r="AW225" s="550"/>
      <c r="AX225" s="550"/>
      <c r="AY225" s="550"/>
      <c r="AZ225" s="550"/>
      <c r="BA225" s="551"/>
      <c r="BB225" s="128"/>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row>
    <row r="226" spans="1:111" ht="9" customHeight="1">
      <c r="A226" s="128"/>
      <c r="B226" s="187"/>
      <c r="C226" s="187"/>
      <c r="D226" s="187"/>
      <c r="E226" s="187"/>
      <c r="F226" s="187"/>
      <c r="G226" s="187"/>
      <c r="H226" s="187"/>
      <c r="I226" s="188"/>
      <c r="J226" s="187"/>
      <c r="K226" s="187"/>
      <c r="L226" s="187"/>
      <c r="M226" s="187"/>
      <c r="N226" s="128"/>
      <c r="O226" s="552"/>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3"/>
      <c r="AY226" s="553"/>
      <c r="AZ226" s="553"/>
      <c r="BA226" s="554"/>
      <c r="BB226" s="128"/>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row>
    <row r="227" spans="1:111" ht="4.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row>
    <row r="228" spans="1:111" ht="9" customHeight="1">
      <c r="A228" s="128"/>
      <c r="B228" s="527" t="s">
        <v>433</v>
      </c>
      <c r="C228" s="527"/>
      <c r="D228" s="527"/>
      <c r="E228" s="527"/>
      <c r="F228" s="527"/>
      <c r="G228" s="527"/>
      <c r="H228" s="527"/>
      <c r="I228" s="527"/>
      <c r="J228" s="527"/>
      <c r="K228" s="527"/>
      <c r="L228" s="527"/>
      <c r="M228" s="527"/>
      <c r="N228" s="186"/>
      <c r="O228" s="546"/>
      <c r="P228" s="547"/>
      <c r="Q228" s="547"/>
      <c r="R228" s="547"/>
      <c r="S228" s="547"/>
      <c r="T228" s="547"/>
      <c r="U228" s="547"/>
      <c r="V228" s="547"/>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7"/>
      <c r="AY228" s="547"/>
      <c r="AZ228" s="547"/>
      <c r="BA228" s="548"/>
      <c r="BB228" s="128"/>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row>
    <row r="229" spans="1:111" ht="9" customHeight="1">
      <c r="A229" s="128"/>
      <c r="B229" s="527"/>
      <c r="C229" s="527"/>
      <c r="D229" s="527"/>
      <c r="E229" s="527"/>
      <c r="F229" s="527"/>
      <c r="G229" s="527"/>
      <c r="H229" s="527"/>
      <c r="I229" s="527"/>
      <c r="J229" s="527"/>
      <c r="K229" s="527"/>
      <c r="L229" s="527"/>
      <c r="M229" s="527"/>
      <c r="N229" s="186"/>
      <c r="O229" s="549"/>
      <c r="P229" s="550"/>
      <c r="Q229" s="550"/>
      <c r="R229" s="550"/>
      <c r="S229" s="550"/>
      <c r="T229" s="550"/>
      <c r="U229" s="550"/>
      <c r="V229" s="550"/>
      <c r="W229" s="550"/>
      <c r="X229" s="550"/>
      <c r="Y229" s="550"/>
      <c r="Z229" s="550"/>
      <c r="AA229" s="550"/>
      <c r="AB229" s="550"/>
      <c r="AC229" s="550"/>
      <c r="AD229" s="550"/>
      <c r="AE229" s="550"/>
      <c r="AF229" s="550"/>
      <c r="AG229" s="550"/>
      <c r="AH229" s="550"/>
      <c r="AI229" s="550"/>
      <c r="AJ229" s="550"/>
      <c r="AK229" s="550"/>
      <c r="AL229" s="550"/>
      <c r="AM229" s="550"/>
      <c r="AN229" s="550"/>
      <c r="AO229" s="550"/>
      <c r="AP229" s="550"/>
      <c r="AQ229" s="550"/>
      <c r="AR229" s="550"/>
      <c r="AS229" s="550"/>
      <c r="AT229" s="550"/>
      <c r="AU229" s="550"/>
      <c r="AV229" s="550"/>
      <c r="AW229" s="550"/>
      <c r="AX229" s="550"/>
      <c r="AY229" s="550"/>
      <c r="AZ229" s="550"/>
      <c r="BA229" s="551"/>
      <c r="BB229" s="128"/>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row>
    <row r="230" spans="1:111" ht="9" customHeight="1">
      <c r="A230" s="128"/>
      <c r="B230" s="187"/>
      <c r="C230" s="187"/>
      <c r="D230" s="187"/>
      <c r="E230" s="187"/>
      <c r="F230" s="187"/>
      <c r="G230" s="187"/>
      <c r="H230" s="187"/>
      <c r="I230" s="188"/>
      <c r="J230" s="187"/>
      <c r="K230" s="187"/>
      <c r="L230" s="187"/>
      <c r="M230" s="187"/>
      <c r="N230" s="128"/>
      <c r="O230" s="549"/>
      <c r="P230" s="550"/>
      <c r="Q230" s="550"/>
      <c r="R230" s="550"/>
      <c r="S230" s="550"/>
      <c r="T230" s="550"/>
      <c r="U230" s="550"/>
      <c r="V230" s="550"/>
      <c r="W230" s="550"/>
      <c r="X230" s="550"/>
      <c r="Y230" s="550"/>
      <c r="Z230" s="550"/>
      <c r="AA230" s="550"/>
      <c r="AB230" s="550"/>
      <c r="AC230" s="550"/>
      <c r="AD230" s="550"/>
      <c r="AE230" s="550"/>
      <c r="AF230" s="550"/>
      <c r="AG230" s="550"/>
      <c r="AH230" s="550"/>
      <c r="AI230" s="550"/>
      <c r="AJ230" s="550"/>
      <c r="AK230" s="550"/>
      <c r="AL230" s="550"/>
      <c r="AM230" s="550"/>
      <c r="AN230" s="550"/>
      <c r="AO230" s="550"/>
      <c r="AP230" s="550"/>
      <c r="AQ230" s="550"/>
      <c r="AR230" s="550"/>
      <c r="AS230" s="550"/>
      <c r="AT230" s="550"/>
      <c r="AU230" s="550"/>
      <c r="AV230" s="550"/>
      <c r="AW230" s="550"/>
      <c r="AX230" s="550"/>
      <c r="AY230" s="550"/>
      <c r="AZ230" s="550"/>
      <c r="BA230" s="551"/>
      <c r="BB230" s="128"/>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row>
    <row r="231" spans="1:111" ht="9" customHeight="1">
      <c r="A231" s="128"/>
      <c r="B231" s="187"/>
      <c r="C231" s="187"/>
      <c r="D231" s="187"/>
      <c r="E231" s="187"/>
      <c r="F231" s="187"/>
      <c r="G231" s="187"/>
      <c r="H231" s="187"/>
      <c r="I231" s="188"/>
      <c r="J231" s="187"/>
      <c r="K231" s="187"/>
      <c r="L231" s="187"/>
      <c r="M231" s="187"/>
      <c r="N231" s="128"/>
      <c r="O231" s="552"/>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3"/>
      <c r="AK231" s="553"/>
      <c r="AL231" s="553"/>
      <c r="AM231" s="553"/>
      <c r="AN231" s="553"/>
      <c r="AO231" s="553"/>
      <c r="AP231" s="553"/>
      <c r="AQ231" s="553"/>
      <c r="AR231" s="553"/>
      <c r="AS231" s="553"/>
      <c r="AT231" s="553"/>
      <c r="AU231" s="553"/>
      <c r="AV231" s="553"/>
      <c r="AW231" s="553"/>
      <c r="AX231" s="553"/>
      <c r="AY231" s="553"/>
      <c r="AZ231" s="553"/>
      <c r="BA231" s="554"/>
      <c r="BB231" s="128"/>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row>
    <row r="232" spans="1:111" ht="4.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row>
    <row r="233" spans="1:111" ht="9" customHeight="1">
      <c r="A233" s="128"/>
      <c r="B233" s="527" t="s">
        <v>434</v>
      </c>
      <c r="C233" s="527"/>
      <c r="D233" s="527"/>
      <c r="E233" s="527"/>
      <c r="F233" s="527"/>
      <c r="G233" s="527"/>
      <c r="H233" s="527"/>
      <c r="I233" s="527"/>
      <c r="J233" s="527"/>
      <c r="K233" s="527"/>
      <c r="L233" s="527"/>
      <c r="M233" s="527"/>
      <c r="N233" s="186"/>
      <c r="O233" s="546"/>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7"/>
      <c r="AY233" s="547"/>
      <c r="AZ233" s="547"/>
      <c r="BA233" s="548"/>
      <c r="BB233" s="128"/>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row>
    <row r="234" spans="1:111" ht="9" customHeight="1">
      <c r="A234" s="128"/>
      <c r="B234" s="527"/>
      <c r="C234" s="527"/>
      <c r="D234" s="527"/>
      <c r="E234" s="527"/>
      <c r="F234" s="527"/>
      <c r="G234" s="527"/>
      <c r="H234" s="527"/>
      <c r="I234" s="527"/>
      <c r="J234" s="527"/>
      <c r="K234" s="527"/>
      <c r="L234" s="527"/>
      <c r="M234" s="527"/>
      <c r="N234" s="186"/>
      <c r="O234" s="549"/>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0"/>
      <c r="AY234" s="550"/>
      <c r="AZ234" s="550"/>
      <c r="BA234" s="551"/>
      <c r="BB234" s="128"/>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row>
    <row r="235" spans="1:111" ht="9" customHeight="1">
      <c r="A235" s="128"/>
      <c r="B235" s="187"/>
      <c r="C235" s="187"/>
      <c r="D235" s="187"/>
      <c r="E235" s="187"/>
      <c r="F235" s="187"/>
      <c r="G235" s="187"/>
      <c r="H235" s="187"/>
      <c r="I235" s="188"/>
      <c r="J235" s="187"/>
      <c r="K235" s="187"/>
      <c r="L235" s="187"/>
      <c r="M235" s="187"/>
      <c r="N235" s="128"/>
      <c r="O235" s="549"/>
      <c r="P235" s="550"/>
      <c r="Q235" s="550"/>
      <c r="R235" s="550"/>
      <c r="S235" s="550"/>
      <c r="T235" s="550"/>
      <c r="U235" s="550"/>
      <c r="V235" s="550"/>
      <c r="W235" s="550"/>
      <c r="X235" s="550"/>
      <c r="Y235" s="550"/>
      <c r="Z235" s="550"/>
      <c r="AA235" s="550"/>
      <c r="AB235" s="550"/>
      <c r="AC235" s="550"/>
      <c r="AD235" s="550"/>
      <c r="AE235" s="550"/>
      <c r="AF235" s="550"/>
      <c r="AG235" s="550"/>
      <c r="AH235" s="550"/>
      <c r="AI235" s="550"/>
      <c r="AJ235" s="550"/>
      <c r="AK235" s="550"/>
      <c r="AL235" s="550"/>
      <c r="AM235" s="550"/>
      <c r="AN235" s="550"/>
      <c r="AO235" s="550"/>
      <c r="AP235" s="550"/>
      <c r="AQ235" s="550"/>
      <c r="AR235" s="550"/>
      <c r="AS235" s="550"/>
      <c r="AT235" s="550"/>
      <c r="AU235" s="550"/>
      <c r="AV235" s="550"/>
      <c r="AW235" s="550"/>
      <c r="AX235" s="550"/>
      <c r="AY235" s="550"/>
      <c r="AZ235" s="550"/>
      <c r="BA235" s="551"/>
      <c r="BB235" s="128"/>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row>
    <row r="236" spans="1:111" ht="9" customHeight="1">
      <c r="A236" s="128"/>
      <c r="B236" s="187"/>
      <c r="C236" s="187"/>
      <c r="D236" s="187"/>
      <c r="E236" s="187"/>
      <c r="F236" s="187"/>
      <c r="G236" s="187"/>
      <c r="H236" s="187"/>
      <c r="I236" s="188"/>
      <c r="J236" s="187"/>
      <c r="K236" s="187"/>
      <c r="L236" s="187"/>
      <c r="M236" s="187"/>
      <c r="N236" s="128"/>
      <c r="O236" s="552"/>
      <c r="P236" s="553"/>
      <c r="Q236" s="553"/>
      <c r="R236" s="553"/>
      <c r="S236" s="553"/>
      <c r="T236" s="553"/>
      <c r="U236" s="553"/>
      <c r="V236" s="553"/>
      <c r="W236" s="553"/>
      <c r="X236" s="553"/>
      <c r="Y236" s="553"/>
      <c r="Z236" s="553"/>
      <c r="AA236" s="553"/>
      <c r="AB236" s="553"/>
      <c r="AC236" s="553"/>
      <c r="AD236" s="553"/>
      <c r="AE236" s="553"/>
      <c r="AF236" s="553"/>
      <c r="AG236" s="553"/>
      <c r="AH236" s="553"/>
      <c r="AI236" s="553"/>
      <c r="AJ236" s="553"/>
      <c r="AK236" s="553"/>
      <c r="AL236" s="553"/>
      <c r="AM236" s="553"/>
      <c r="AN236" s="553"/>
      <c r="AO236" s="553"/>
      <c r="AP236" s="553"/>
      <c r="AQ236" s="553"/>
      <c r="AR236" s="553"/>
      <c r="AS236" s="553"/>
      <c r="AT236" s="553"/>
      <c r="AU236" s="553"/>
      <c r="AV236" s="553"/>
      <c r="AW236" s="553"/>
      <c r="AX236" s="553"/>
      <c r="AY236" s="553"/>
      <c r="AZ236" s="553"/>
      <c r="BA236" s="554"/>
      <c r="BB236" s="128"/>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row>
    <row r="237" spans="1:111" ht="4.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row>
    <row r="238" spans="1:111" ht="9" customHeight="1">
      <c r="A238" s="128"/>
      <c r="B238" s="527" t="s">
        <v>435</v>
      </c>
      <c r="C238" s="527"/>
      <c r="D238" s="527"/>
      <c r="E238" s="527"/>
      <c r="F238" s="527"/>
      <c r="G238" s="527"/>
      <c r="H238" s="527"/>
      <c r="I238" s="527"/>
      <c r="J238" s="527"/>
      <c r="K238" s="527"/>
      <c r="L238" s="527"/>
      <c r="M238" s="527"/>
      <c r="N238" s="186"/>
      <c r="O238" s="546"/>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7"/>
      <c r="AY238" s="547"/>
      <c r="AZ238" s="547"/>
      <c r="BA238" s="548"/>
      <c r="BB238" s="128"/>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row>
    <row r="239" spans="1:111" ht="9" customHeight="1">
      <c r="A239" s="128"/>
      <c r="B239" s="527"/>
      <c r="C239" s="527"/>
      <c r="D239" s="527"/>
      <c r="E239" s="527"/>
      <c r="F239" s="527"/>
      <c r="G239" s="527"/>
      <c r="H239" s="527"/>
      <c r="I239" s="527"/>
      <c r="J239" s="527"/>
      <c r="K239" s="527"/>
      <c r="L239" s="527"/>
      <c r="M239" s="527"/>
      <c r="N239" s="186"/>
      <c r="O239" s="549"/>
      <c r="P239" s="550"/>
      <c r="Q239" s="550"/>
      <c r="R239" s="550"/>
      <c r="S239" s="550"/>
      <c r="T239" s="550"/>
      <c r="U239" s="550"/>
      <c r="V239" s="550"/>
      <c r="W239" s="550"/>
      <c r="X239" s="550"/>
      <c r="Y239" s="550"/>
      <c r="Z239" s="550"/>
      <c r="AA239" s="550"/>
      <c r="AB239" s="550"/>
      <c r="AC239" s="550"/>
      <c r="AD239" s="550"/>
      <c r="AE239" s="550"/>
      <c r="AF239" s="550"/>
      <c r="AG239" s="550"/>
      <c r="AH239" s="550"/>
      <c r="AI239" s="550"/>
      <c r="AJ239" s="550"/>
      <c r="AK239" s="550"/>
      <c r="AL239" s="550"/>
      <c r="AM239" s="550"/>
      <c r="AN239" s="550"/>
      <c r="AO239" s="550"/>
      <c r="AP239" s="550"/>
      <c r="AQ239" s="550"/>
      <c r="AR239" s="550"/>
      <c r="AS239" s="550"/>
      <c r="AT239" s="550"/>
      <c r="AU239" s="550"/>
      <c r="AV239" s="550"/>
      <c r="AW239" s="550"/>
      <c r="AX239" s="550"/>
      <c r="AY239" s="550"/>
      <c r="AZ239" s="550"/>
      <c r="BA239" s="551"/>
      <c r="BB239" s="128"/>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row>
    <row r="240" spans="1:111" ht="9" customHeight="1">
      <c r="A240" s="128"/>
      <c r="B240" s="187"/>
      <c r="C240" s="187"/>
      <c r="D240" s="187"/>
      <c r="E240" s="187"/>
      <c r="F240" s="187"/>
      <c r="G240" s="187"/>
      <c r="H240" s="187"/>
      <c r="I240" s="188"/>
      <c r="J240" s="187"/>
      <c r="K240" s="187"/>
      <c r="L240" s="187"/>
      <c r="M240" s="187"/>
      <c r="N240" s="128"/>
      <c r="O240" s="549"/>
      <c r="P240" s="550"/>
      <c r="Q240" s="550"/>
      <c r="R240" s="550"/>
      <c r="S240" s="550"/>
      <c r="T240" s="550"/>
      <c r="U240" s="550"/>
      <c r="V240" s="550"/>
      <c r="W240" s="550"/>
      <c r="X240" s="550"/>
      <c r="Y240" s="550"/>
      <c r="Z240" s="550"/>
      <c r="AA240" s="550"/>
      <c r="AB240" s="550"/>
      <c r="AC240" s="550"/>
      <c r="AD240" s="550"/>
      <c r="AE240" s="550"/>
      <c r="AF240" s="550"/>
      <c r="AG240" s="550"/>
      <c r="AH240" s="550"/>
      <c r="AI240" s="550"/>
      <c r="AJ240" s="550"/>
      <c r="AK240" s="550"/>
      <c r="AL240" s="550"/>
      <c r="AM240" s="550"/>
      <c r="AN240" s="550"/>
      <c r="AO240" s="550"/>
      <c r="AP240" s="550"/>
      <c r="AQ240" s="550"/>
      <c r="AR240" s="550"/>
      <c r="AS240" s="550"/>
      <c r="AT240" s="550"/>
      <c r="AU240" s="550"/>
      <c r="AV240" s="550"/>
      <c r="AW240" s="550"/>
      <c r="AX240" s="550"/>
      <c r="AY240" s="550"/>
      <c r="AZ240" s="550"/>
      <c r="BA240" s="551"/>
      <c r="BB240" s="128"/>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row>
    <row r="241" spans="1:111" ht="9" customHeight="1">
      <c r="A241" s="128"/>
      <c r="B241" s="187"/>
      <c r="C241" s="187"/>
      <c r="D241" s="187"/>
      <c r="E241" s="187"/>
      <c r="F241" s="187"/>
      <c r="G241" s="187"/>
      <c r="H241" s="187"/>
      <c r="I241" s="188"/>
      <c r="J241" s="187"/>
      <c r="K241" s="187"/>
      <c r="L241" s="187"/>
      <c r="M241" s="187"/>
      <c r="N241" s="128"/>
      <c r="O241" s="552"/>
      <c r="P241" s="553"/>
      <c r="Q241" s="553"/>
      <c r="R241" s="553"/>
      <c r="S241" s="553"/>
      <c r="T241" s="553"/>
      <c r="U241" s="553"/>
      <c r="V241" s="553"/>
      <c r="W241" s="553"/>
      <c r="X241" s="553"/>
      <c r="Y241" s="553"/>
      <c r="Z241" s="553"/>
      <c r="AA241" s="553"/>
      <c r="AB241" s="553"/>
      <c r="AC241" s="553"/>
      <c r="AD241" s="553"/>
      <c r="AE241" s="553"/>
      <c r="AF241" s="553"/>
      <c r="AG241" s="553"/>
      <c r="AH241" s="553"/>
      <c r="AI241" s="553"/>
      <c r="AJ241" s="553"/>
      <c r="AK241" s="553"/>
      <c r="AL241" s="553"/>
      <c r="AM241" s="553"/>
      <c r="AN241" s="553"/>
      <c r="AO241" s="553"/>
      <c r="AP241" s="553"/>
      <c r="AQ241" s="553"/>
      <c r="AR241" s="553"/>
      <c r="AS241" s="553"/>
      <c r="AT241" s="553"/>
      <c r="AU241" s="553"/>
      <c r="AV241" s="553"/>
      <c r="AW241" s="553"/>
      <c r="AX241" s="553"/>
      <c r="AY241" s="553"/>
      <c r="AZ241" s="553"/>
      <c r="BA241" s="554"/>
      <c r="BB241" s="128"/>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row>
    <row r="242" spans="1:111" ht="4.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row>
    <row r="243" spans="1:111" ht="9" customHeight="1">
      <c r="A243" s="128"/>
      <c r="B243" s="527" t="s">
        <v>436</v>
      </c>
      <c r="C243" s="527"/>
      <c r="D243" s="527"/>
      <c r="E243" s="527"/>
      <c r="F243" s="527"/>
      <c r="G243" s="527"/>
      <c r="H243" s="527"/>
      <c r="I243" s="527"/>
      <c r="J243" s="527"/>
      <c r="K243" s="527"/>
      <c r="L243" s="527"/>
      <c r="M243" s="527"/>
      <c r="N243" s="186"/>
      <c r="O243" s="534"/>
      <c r="P243" s="535"/>
      <c r="Q243" s="535"/>
      <c r="R243" s="535"/>
      <c r="S243" s="535"/>
      <c r="T243" s="535"/>
      <c r="U243" s="535"/>
      <c r="V243" s="535"/>
      <c r="W243" s="535"/>
      <c r="X243" s="535"/>
      <c r="Y243" s="535"/>
      <c r="Z243" s="536"/>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row>
    <row r="244" spans="1:111" ht="9" customHeight="1">
      <c r="A244" s="128"/>
      <c r="B244" s="527"/>
      <c r="C244" s="527"/>
      <c r="D244" s="527"/>
      <c r="E244" s="527"/>
      <c r="F244" s="527"/>
      <c r="G244" s="527"/>
      <c r="H244" s="527"/>
      <c r="I244" s="527"/>
      <c r="J244" s="527"/>
      <c r="K244" s="527"/>
      <c r="L244" s="527"/>
      <c r="M244" s="527"/>
      <c r="N244" s="186"/>
      <c r="O244" s="537"/>
      <c r="P244" s="538"/>
      <c r="Q244" s="538"/>
      <c r="R244" s="538"/>
      <c r="S244" s="538"/>
      <c r="T244" s="538"/>
      <c r="U244" s="538"/>
      <c r="V244" s="538"/>
      <c r="W244" s="538"/>
      <c r="X244" s="538"/>
      <c r="Y244" s="538"/>
      <c r="Z244" s="539"/>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row>
    <row r="245" spans="1:111" ht="4.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row>
    <row r="246" spans="1:111" ht="9" customHeight="1">
      <c r="A246" s="128"/>
      <c r="B246" s="527" t="s">
        <v>437</v>
      </c>
      <c r="C246" s="527"/>
      <c r="D246" s="527"/>
      <c r="E246" s="527"/>
      <c r="F246" s="527"/>
      <c r="G246" s="527"/>
      <c r="H246" s="527"/>
      <c r="I246" s="527"/>
      <c r="J246" s="527"/>
      <c r="K246" s="527"/>
      <c r="L246" s="527"/>
      <c r="M246" s="527"/>
      <c r="N246" s="186"/>
      <c r="O246" s="546"/>
      <c r="P246" s="547"/>
      <c r="Q246" s="547"/>
      <c r="R246" s="547"/>
      <c r="S246" s="547"/>
      <c r="T246" s="547"/>
      <c r="U246" s="547"/>
      <c r="V246" s="547"/>
      <c r="W246" s="547"/>
      <c r="X246" s="547"/>
      <c r="Y246" s="547"/>
      <c r="Z246" s="547"/>
      <c r="AA246" s="547"/>
      <c r="AB246" s="547"/>
      <c r="AC246" s="547"/>
      <c r="AD246" s="547"/>
      <c r="AE246" s="547"/>
      <c r="AF246" s="547"/>
      <c r="AG246" s="547"/>
      <c r="AH246" s="547"/>
      <c r="AI246" s="547"/>
      <c r="AJ246" s="547"/>
      <c r="AK246" s="547"/>
      <c r="AL246" s="547"/>
      <c r="AM246" s="547"/>
      <c r="AN246" s="547"/>
      <c r="AO246" s="547"/>
      <c r="AP246" s="547"/>
      <c r="AQ246" s="547"/>
      <c r="AR246" s="547"/>
      <c r="AS246" s="547"/>
      <c r="AT246" s="547"/>
      <c r="AU246" s="547"/>
      <c r="AV246" s="547"/>
      <c r="AW246" s="547"/>
      <c r="AX246" s="547"/>
      <c r="AY246" s="547"/>
      <c r="AZ246" s="547"/>
      <c r="BA246" s="548"/>
      <c r="BB246" s="128"/>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row>
    <row r="247" spans="1:111" ht="9" customHeight="1">
      <c r="A247" s="128"/>
      <c r="B247" s="527"/>
      <c r="C247" s="527"/>
      <c r="D247" s="527"/>
      <c r="E247" s="527"/>
      <c r="F247" s="527"/>
      <c r="G247" s="527"/>
      <c r="H247" s="527"/>
      <c r="I247" s="527"/>
      <c r="J247" s="527"/>
      <c r="K247" s="527"/>
      <c r="L247" s="527"/>
      <c r="M247" s="527"/>
      <c r="N247" s="186"/>
      <c r="O247" s="549"/>
      <c r="P247" s="550"/>
      <c r="Q247" s="550"/>
      <c r="R247" s="550"/>
      <c r="S247" s="550"/>
      <c r="T247" s="550"/>
      <c r="U247" s="550"/>
      <c r="V247" s="550"/>
      <c r="W247" s="550"/>
      <c r="X247" s="550"/>
      <c r="Y247" s="550"/>
      <c r="Z247" s="550"/>
      <c r="AA247" s="550"/>
      <c r="AB247" s="550"/>
      <c r="AC247" s="550"/>
      <c r="AD247" s="550"/>
      <c r="AE247" s="550"/>
      <c r="AF247" s="550"/>
      <c r="AG247" s="550"/>
      <c r="AH247" s="550"/>
      <c r="AI247" s="550"/>
      <c r="AJ247" s="550"/>
      <c r="AK247" s="550"/>
      <c r="AL247" s="550"/>
      <c r="AM247" s="550"/>
      <c r="AN247" s="550"/>
      <c r="AO247" s="550"/>
      <c r="AP247" s="550"/>
      <c r="AQ247" s="550"/>
      <c r="AR247" s="550"/>
      <c r="AS247" s="550"/>
      <c r="AT247" s="550"/>
      <c r="AU247" s="550"/>
      <c r="AV247" s="550"/>
      <c r="AW247" s="550"/>
      <c r="AX247" s="550"/>
      <c r="AY247" s="550"/>
      <c r="AZ247" s="550"/>
      <c r="BA247" s="551"/>
      <c r="BB247" s="128"/>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row>
    <row r="248" spans="1:111" ht="9" customHeight="1">
      <c r="A248" s="128"/>
      <c r="B248" s="187"/>
      <c r="C248" s="187"/>
      <c r="D248" s="187"/>
      <c r="E248" s="187"/>
      <c r="F248" s="187"/>
      <c r="G248" s="187"/>
      <c r="H248" s="187"/>
      <c r="I248" s="188"/>
      <c r="J248" s="187"/>
      <c r="K248" s="187"/>
      <c r="L248" s="187"/>
      <c r="M248" s="187"/>
      <c r="N248" s="128"/>
      <c r="O248" s="549"/>
      <c r="P248" s="550"/>
      <c r="Q248" s="550"/>
      <c r="R248" s="550"/>
      <c r="S248" s="550"/>
      <c r="T248" s="550"/>
      <c r="U248" s="550"/>
      <c r="V248" s="550"/>
      <c r="W248" s="550"/>
      <c r="X248" s="550"/>
      <c r="Y248" s="550"/>
      <c r="Z248" s="550"/>
      <c r="AA248" s="550"/>
      <c r="AB248" s="550"/>
      <c r="AC248" s="550"/>
      <c r="AD248" s="550"/>
      <c r="AE248" s="550"/>
      <c r="AF248" s="550"/>
      <c r="AG248" s="550"/>
      <c r="AH248" s="550"/>
      <c r="AI248" s="550"/>
      <c r="AJ248" s="550"/>
      <c r="AK248" s="550"/>
      <c r="AL248" s="550"/>
      <c r="AM248" s="550"/>
      <c r="AN248" s="550"/>
      <c r="AO248" s="550"/>
      <c r="AP248" s="550"/>
      <c r="AQ248" s="550"/>
      <c r="AR248" s="550"/>
      <c r="AS248" s="550"/>
      <c r="AT248" s="550"/>
      <c r="AU248" s="550"/>
      <c r="AV248" s="550"/>
      <c r="AW248" s="550"/>
      <c r="AX248" s="550"/>
      <c r="AY248" s="550"/>
      <c r="AZ248" s="550"/>
      <c r="BA248" s="551"/>
      <c r="BB248" s="128"/>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row>
    <row r="249" spans="1:111" ht="9" customHeight="1">
      <c r="A249" s="128"/>
      <c r="B249" s="187"/>
      <c r="C249" s="187"/>
      <c r="D249" s="187"/>
      <c r="E249" s="187"/>
      <c r="F249" s="187"/>
      <c r="G249" s="187"/>
      <c r="H249" s="187"/>
      <c r="I249" s="188"/>
      <c r="J249" s="187"/>
      <c r="K249" s="187"/>
      <c r="L249" s="187"/>
      <c r="M249" s="187"/>
      <c r="N249" s="128"/>
      <c r="O249" s="552"/>
      <c r="P249" s="553"/>
      <c r="Q249" s="553"/>
      <c r="R249" s="553"/>
      <c r="S249" s="553"/>
      <c r="T249" s="553"/>
      <c r="U249" s="553"/>
      <c r="V249" s="553"/>
      <c r="W249" s="553"/>
      <c r="X249" s="553"/>
      <c r="Y249" s="553"/>
      <c r="Z249" s="553"/>
      <c r="AA249" s="553"/>
      <c r="AB249" s="553"/>
      <c r="AC249" s="553"/>
      <c r="AD249" s="553"/>
      <c r="AE249" s="553"/>
      <c r="AF249" s="553"/>
      <c r="AG249" s="553"/>
      <c r="AH249" s="553"/>
      <c r="AI249" s="553"/>
      <c r="AJ249" s="553"/>
      <c r="AK249" s="553"/>
      <c r="AL249" s="553"/>
      <c r="AM249" s="553"/>
      <c r="AN249" s="553"/>
      <c r="AO249" s="553"/>
      <c r="AP249" s="553"/>
      <c r="AQ249" s="553"/>
      <c r="AR249" s="553"/>
      <c r="AS249" s="553"/>
      <c r="AT249" s="553"/>
      <c r="AU249" s="553"/>
      <c r="AV249" s="553"/>
      <c r="AW249" s="553"/>
      <c r="AX249" s="553"/>
      <c r="AY249" s="553"/>
      <c r="AZ249" s="553"/>
      <c r="BA249" s="554"/>
      <c r="BB249" s="128"/>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row>
    <row r="250" spans="1:111" ht="4.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row>
    <row r="251" spans="1:111" ht="9" customHeight="1">
      <c r="A251" s="128"/>
      <c r="B251" s="527" t="s">
        <v>438</v>
      </c>
      <c r="C251" s="527"/>
      <c r="D251" s="527"/>
      <c r="E251" s="527"/>
      <c r="F251" s="527"/>
      <c r="G251" s="527"/>
      <c r="H251" s="527"/>
      <c r="I251" s="527"/>
      <c r="J251" s="527"/>
      <c r="K251" s="527"/>
      <c r="L251" s="527"/>
      <c r="M251" s="527"/>
      <c r="N251" s="186"/>
      <c r="O251" s="546"/>
      <c r="P251" s="547"/>
      <c r="Q251" s="547"/>
      <c r="R251" s="547"/>
      <c r="S251" s="547"/>
      <c r="T251" s="547"/>
      <c r="U251" s="547"/>
      <c r="V251" s="547"/>
      <c r="W251" s="547"/>
      <c r="X251" s="547"/>
      <c r="Y251" s="547"/>
      <c r="Z251" s="547"/>
      <c r="AA251" s="547"/>
      <c r="AB251" s="547"/>
      <c r="AC251" s="547"/>
      <c r="AD251" s="547"/>
      <c r="AE251" s="547"/>
      <c r="AF251" s="547"/>
      <c r="AG251" s="547"/>
      <c r="AH251" s="547"/>
      <c r="AI251" s="547"/>
      <c r="AJ251" s="547"/>
      <c r="AK251" s="547"/>
      <c r="AL251" s="547"/>
      <c r="AM251" s="547"/>
      <c r="AN251" s="547"/>
      <c r="AO251" s="547"/>
      <c r="AP251" s="547"/>
      <c r="AQ251" s="547"/>
      <c r="AR251" s="547"/>
      <c r="AS251" s="547"/>
      <c r="AT251" s="547"/>
      <c r="AU251" s="547"/>
      <c r="AV251" s="547"/>
      <c r="AW251" s="547"/>
      <c r="AX251" s="547"/>
      <c r="AY251" s="547"/>
      <c r="AZ251" s="547"/>
      <c r="BA251" s="548"/>
      <c r="BB251" s="128"/>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row>
    <row r="252" spans="1:111" ht="9" customHeight="1">
      <c r="A252" s="128"/>
      <c r="B252" s="527"/>
      <c r="C252" s="527"/>
      <c r="D252" s="527"/>
      <c r="E252" s="527"/>
      <c r="F252" s="527"/>
      <c r="G252" s="527"/>
      <c r="H252" s="527"/>
      <c r="I252" s="527"/>
      <c r="J252" s="527"/>
      <c r="K252" s="527"/>
      <c r="L252" s="527"/>
      <c r="M252" s="527"/>
      <c r="N252" s="186"/>
      <c r="O252" s="549"/>
      <c r="P252" s="550"/>
      <c r="Q252" s="550"/>
      <c r="R252" s="550"/>
      <c r="S252" s="550"/>
      <c r="T252" s="550"/>
      <c r="U252" s="550"/>
      <c r="V252" s="550"/>
      <c r="W252" s="550"/>
      <c r="X252" s="550"/>
      <c r="Y252" s="550"/>
      <c r="Z252" s="550"/>
      <c r="AA252" s="550"/>
      <c r="AB252" s="550"/>
      <c r="AC252" s="550"/>
      <c r="AD252" s="550"/>
      <c r="AE252" s="550"/>
      <c r="AF252" s="550"/>
      <c r="AG252" s="550"/>
      <c r="AH252" s="550"/>
      <c r="AI252" s="550"/>
      <c r="AJ252" s="550"/>
      <c r="AK252" s="550"/>
      <c r="AL252" s="550"/>
      <c r="AM252" s="550"/>
      <c r="AN252" s="550"/>
      <c r="AO252" s="550"/>
      <c r="AP252" s="550"/>
      <c r="AQ252" s="550"/>
      <c r="AR252" s="550"/>
      <c r="AS252" s="550"/>
      <c r="AT252" s="550"/>
      <c r="AU252" s="550"/>
      <c r="AV252" s="550"/>
      <c r="AW252" s="550"/>
      <c r="AX252" s="550"/>
      <c r="AY252" s="550"/>
      <c r="AZ252" s="550"/>
      <c r="BA252" s="551"/>
      <c r="BB252" s="128"/>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row>
    <row r="253" spans="1:111" ht="9" customHeight="1">
      <c r="A253" s="128"/>
      <c r="B253" s="187"/>
      <c r="C253" s="187"/>
      <c r="D253" s="187"/>
      <c r="E253" s="187"/>
      <c r="F253" s="187"/>
      <c r="G253" s="187"/>
      <c r="H253" s="187"/>
      <c r="I253" s="188"/>
      <c r="J253" s="187"/>
      <c r="K253" s="187"/>
      <c r="L253" s="187"/>
      <c r="M253" s="187"/>
      <c r="N253" s="128"/>
      <c r="O253" s="549"/>
      <c r="P253" s="550"/>
      <c r="Q253" s="550"/>
      <c r="R253" s="550"/>
      <c r="S253" s="550"/>
      <c r="T253" s="550"/>
      <c r="U253" s="550"/>
      <c r="V253" s="550"/>
      <c r="W253" s="550"/>
      <c r="X253" s="550"/>
      <c r="Y253" s="550"/>
      <c r="Z253" s="550"/>
      <c r="AA253" s="550"/>
      <c r="AB253" s="550"/>
      <c r="AC253" s="550"/>
      <c r="AD253" s="550"/>
      <c r="AE253" s="550"/>
      <c r="AF253" s="550"/>
      <c r="AG253" s="550"/>
      <c r="AH253" s="550"/>
      <c r="AI253" s="550"/>
      <c r="AJ253" s="550"/>
      <c r="AK253" s="550"/>
      <c r="AL253" s="550"/>
      <c r="AM253" s="550"/>
      <c r="AN253" s="550"/>
      <c r="AO253" s="550"/>
      <c r="AP253" s="550"/>
      <c r="AQ253" s="550"/>
      <c r="AR253" s="550"/>
      <c r="AS253" s="550"/>
      <c r="AT253" s="550"/>
      <c r="AU253" s="550"/>
      <c r="AV253" s="550"/>
      <c r="AW253" s="550"/>
      <c r="AX253" s="550"/>
      <c r="AY253" s="550"/>
      <c r="AZ253" s="550"/>
      <c r="BA253" s="551"/>
      <c r="BB253" s="128"/>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row>
    <row r="254" spans="1:111" ht="9" customHeight="1">
      <c r="A254" s="128"/>
      <c r="B254" s="187"/>
      <c r="C254" s="187"/>
      <c r="D254" s="187"/>
      <c r="E254" s="187"/>
      <c r="F254" s="187"/>
      <c r="G254" s="187"/>
      <c r="H254" s="187"/>
      <c r="I254" s="188"/>
      <c r="J254" s="187"/>
      <c r="K254" s="187"/>
      <c r="L254" s="187"/>
      <c r="M254" s="187"/>
      <c r="N254" s="128"/>
      <c r="O254" s="552"/>
      <c r="P254" s="553"/>
      <c r="Q254" s="553"/>
      <c r="R254" s="553"/>
      <c r="S254" s="553"/>
      <c r="T254" s="553"/>
      <c r="U254" s="553"/>
      <c r="V254" s="553"/>
      <c r="W254" s="553"/>
      <c r="X254" s="553"/>
      <c r="Y254" s="553"/>
      <c r="Z254" s="553"/>
      <c r="AA254" s="553"/>
      <c r="AB254" s="553"/>
      <c r="AC254" s="553"/>
      <c r="AD254" s="553"/>
      <c r="AE254" s="553"/>
      <c r="AF254" s="553"/>
      <c r="AG254" s="553"/>
      <c r="AH254" s="553"/>
      <c r="AI254" s="553"/>
      <c r="AJ254" s="553"/>
      <c r="AK254" s="553"/>
      <c r="AL254" s="553"/>
      <c r="AM254" s="553"/>
      <c r="AN254" s="553"/>
      <c r="AO254" s="553"/>
      <c r="AP254" s="553"/>
      <c r="AQ254" s="553"/>
      <c r="AR254" s="553"/>
      <c r="AS254" s="553"/>
      <c r="AT254" s="553"/>
      <c r="AU254" s="553"/>
      <c r="AV254" s="553"/>
      <c r="AW254" s="553"/>
      <c r="AX254" s="553"/>
      <c r="AY254" s="553"/>
      <c r="AZ254" s="553"/>
      <c r="BA254" s="554"/>
      <c r="BB254" s="128"/>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row>
    <row r="255" spans="1:111" ht="4.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row>
    <row r="256" spans="1:111" ht="9" customHeight="1">
      <c r="A256" s="128"/>
      <c r="B256" s="527" t="s">
        <v>439</v>
      </c>
      <c r="C256" s="527"/>
      <c r="D256" s="527"/>
      <c r="E256" s="527"/>
      <c r="F256" s="527"/>
      <c r="G256" s="527"/>
      <c r="H256" s="527"/>
      <c r="I256" s="527"/>
      <c r="J256" s="527"/>
      <c r="K256" s="527"/>
      <c r="L256" s="527"/>
      <c r="M256" s="527"/>
      <c r="N256" s="186"/>
      <c r="O256" s="534"/>
      <c r="P256" s="535"/>
      <c r="Q256" s="535"/>
      <c r="R256" s="535"/>
      <c r="S256" s="535"/>
      <c r="T256" s="535"/>
      <c r="U256" s="535"/>
      <c r="V256" s="535"/>
      <c r="W256" s="535"/>
      <c r="X256" s="535"/>
      <c r="Y256" s="535"/>
      <c r="Z256" s="536"/>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row>
    <row r="257" spans="1:111" ht="9" customHeight="1">
      <c r="A257" s="128"/>
      <c r="B257" s="527"/>
      <c r="C257" s="527"/>
      <c r="D257" s="527"/>
      <c r="E257" s="527"/>
      <c r="F257" s="527"/>
      <c r="G257" s="527"/>
      <c r="H257" s="527"/>
      <c r="I257" s="527"/>
      <c r="J257" s="527"/>
      <c r="K257" s="527"/>
      <c r="L257" s="527"/>
      <c r="M257" s="527"/>
      <c r="N257" s="186"/>
      <c r="O257" s="537"/>
      <c r="P257" s="538"/>
      <c r="Q257" s="538"/>
      <c r="R257" s="538"/>
      <c r="S257" s="538"/>
      <c r="T257" s="538"/>
      <c r="U257" s="538"/>
      <c r="V257" s="538"/>
      <c r="W257" s="538"/>
      <c r="X257" s="538"/>
      <c r="Y257" s="538"/>
      <c r="Z257" s="539"/>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row>
    <row r="258" spans="1:111" ht="18"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row>
    <row r="259" spans="1:111" ht="9" customHeight="1">
      <c r="A259" s="128"/>
      <c r="B259" s="525" t="s">
        <v>444</v>
      </c>
      <c r="C259" s="525"/>
      <c r="D259" s="525"/>
      <c r="E259" s="525"/>
      <c r="F259" s="525"/>
      <c r="G259" s="525"/>
      <c r="H259" s="525"/>
      <c r="I259" s="525"/>
      <c r="J259" s="525"/>
      <c r="K259" s="525"/>
      <c r="L259" s="525"/>
      <c r="M259" s="525"/>
      <c r="N259" s="525"/>
      <c r="O259" s="525"/>
      <c r="P259" s="525"/>
      <c r="Q259" s="525"/>
      <c r="R259" s="525"/>
      <c r="S259" s="525"/>
      <c r="T259" s="525"/>
      <c r="U259" s="525"/>
      <c r="V259" s="525"/>
      <c r="W259" s="525"/>
      <c r="X259" s="525"/>
      <c r="Y259" s="525"/>
      <c r="Z259" s="525"/>
      <c r="AA259" s="525"/>
      <c r="AB259" s="525"/>
      <c r="AC259" s="525"/>
      <c r="AD259" s="525"/>
      <c r="AE259" s="525"/>
      <c r="AF259" s="525"/>
      <c r="AG259" s="525"/>
      <c r="AH259" s="525"/>
      <c r="AI259" s="525"/>
      <c r="AJ259" s="525"/>
      <c r="AK259" s="525"/>
      <c r="AL259" s="525"/>
      <c r="AM259" s="525"/>
      <c r="AN259" s="525"/>
      <c r="AO259" s="525"/>
      <c r="AP259" s="525"/>
      <c r="AQ259" s="525"/>
      <c r="AR259" s="525"/>
      <c r="AS259" s="525"/>
      <c r="AT259" s="525"/>
      <c r="AU259" s="525"/>
      <c r="AV259" s="525"/>
      <c r="AW259" s="525"/>
      <c r="AX259" s="525"/>
      <c r="AY259" s="525"/>
      <c r="AZ259" s="525"/>
      <c r="BA259" s="525"/>
      <c r="BB259" s="128"/>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row>
    <row r="260" spans="1:111" ht="9" customHeight="1">
      <c r="A260" s="128"/>
      <c r="B260" s="526"/>
      <c r="C260" s="526"/>
      <c r="D260" s="526"/>
      <c r="E260" s="526"/>
      <c r="F260" s="526"/>
      <c r="G260" s="526"/>
      <c r="H260" s="526"/>
      <c r="I260" s="526"/>
      <c r="J260" s="526"/>
      <c r="K260" s="526"/>
      <c r="L260" s="526"/>
      <c r="M260" s="526"/>
      <c r="N260" s="526"/>
      <c r="O260" s="526"/>
      <c r="P260" s="526"/>
      <c r="Q260" s="526"/>
      <c r="R260" s="526"/>
      <c r="S260" s="526"/>
      <c r="T260" s="526"/>
      <c r="U260" s="526"/>
      <c r="V260" s="526"/>
      <c r="W260" s="526"/>
      <c r="X260" s="526"/>
      <c r="Y260" s="526"/>
      <c r="Z260" s="526"/>
      <c r="AA260" s="526"/>
      <c r="AB260" s="526"/>
      <c r="AC260" s="526"/>
      <c r="AD260" s="526"/>
      <c r="AE260" s="526"/>
      <c r="AF260" s="526"/>
      <c r="AG260" s="526"/>
      <c r="AH260" s="526"/>
      <c r="AI260" s="526"/>
      <c r="AJ260" s="526"/>
      <c r="AK260" s="526"/>
      <c r="AL260" s="526"/>
      <c r="AM260" s="526"/>
      <c r="AN260" s="526"/>
      <c r="AO260" s="526"/>
      <c r="AP260" s="526"/>
      <c r="AQ260" s="526"/>
      <c r="AR260" s="526"/>
      <c r="AS260" s="526"/>
      <c r="AT260" s="526"/>
      <c r="AU260" s="526"/>
      <c r="AV260" s="526"/>
      <c r="AW260" s="526"/>
      <c r="AX260" s="526"/>
      <c r="AY260" s="526"/>
      <c r="AZ260" s="526"/>
      <c r="BA260" s="526"/>
      <c r="BB260" s="128"/>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row>
    <row r="261" spans="1:111" ht="4.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row>
    <row r="262" spans="1:111" ht="9" customHeight="1">
      <c r="A262" s="128"/>
      <c r="B262" s="527" t="s">
        <v>427</v>
      </c>
      <c r="C262" s="527"/>
      <c r="D262" s="527"/>
      <c r="E262" s="527"/>
      <c r="F262" s="527"/>
      <c r="G262" s="527"/>
      <c r="H262" s="527"/>
      <c r="I262" s="527"/>
      <c r="J262" s="527"/>
      <c r="K262" s="527"/>
      <c r="L262" s="527"/>
      <c r="M262" s="527"/>
      <c r="N262" s="186"/>
      <c r="O262" s="546"/>
      <c r="P262" s="547"/>
      <c r="Q262" s="547"/>
      <c r="R262" s="547"/>
      <c r="S262" s="547"/>
      <c r="T262" s="547"/>
      <c r="U262" s="547"/>
      <c r="V262" s="547"/>
      <c r="W262" s="547"/>
      <c r="X262" s="547"/>
      <c r="Y262" s="547"/>
      <c r="Z262" s="547"/>
      <c r="AA262" s="547"/>
      <c r="AB262" s="547"/>
      <c r="AC262" s="547"/>
      <c r="AD262" s="547"/>
      <c r="AE262" s="547"/>
      <c r="AF262" s="547"/>
      <c r="AG262" s="547"/>
      <c r="AH262" s="547"/>
      <c r="AI262" s="547"/>
      <c r="AJ262" s="547"/>
      <c r="AK262" s="547"/>
      <c r="AL262" s="547"/>
      <c r="AM262" s="547"/>
      <c r="AN262" s="547"/>
      <c r="AO262" s="547"/>
      <c r="AP262" s="547"/>
      <c r="AQ262" s="547"/>
      <c r="AR262" s="547"/>
      <c r="AS262" s="547"/>
      <c r="AT262" s="547"/>
      <c r="AU262" s="547"/>
      <c r="AV262" s="547"/>
      <c r="AW262" s="547"/>
      <c r="AX262" s="547"/>
      <c r="AY262" s="547"/>
      <c r="AZ262" s="547"/>
      <c r="BA262" s="548"/>
      <c r="BB262" s="128"/>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row>
    <row r="263" spans="1:111" ht="9" customHeight="1">
      <c r="A263" s="128"/>
      <c r="B263" s="527"/>
      <c r="C263" s="527"/>
      <c r="D263" s="527"/>
      <c r="E263" s="527"/>
      <c r="F263" s="527"/>
      <c r="G263" s="527"/>
      <c r="H263" s="527"/>
      <c r="I263" s="527"/>
      <c r="J263" s="527"/>
      <c r="K263" s="527"/>
      <c r="L263" s="527"/>
      <c r="M263" s="527"/>
      <c r="N263" s="186"/>
      <c r="O263" s="549"/>
      <c r="P263" s="550"/>
      <c r="Q263" s="550"/>
      <c r="R263" s="550"/>
      <c r="S263" s="550"/>
      <c r="T263" s="550"/>
      <c r="U263" s="550"/>
      <c r="V263" s="550"/>
      <c r="W263" s="550"/>
      <c r="X263" s="550"/>
      <c r="Y263" s="550"/>
      <c r="Z263" s="550"/>
      <c r="AA263" s="550"/>
      <c r="AB263" s="550"/>
      <c r="AC263" s="550"/>
      <c r="AD263" s="550"/>
      <c r="AE263" s="550"/>
      <c r="AF263" s="550"/>
      <c r="AG263" s="550"/>
      <c r="AH263" s="550"/>
      <c r="AI263" s="550"/>
      <c r="AJ263" s="550"/>
      <c r="AK263" s="550"/>
      <c r="AL263" s="550"/>
      <c r="AM263" s="550"/>
      <c r="AN263" s="550"/>
      <c r="AO263" s="550"/>
      <c r="AP263" s="550"/>
      <c r="AQ263" s="550"/>
      <c r="AR263" s="550"/>
      <c r="AS263" s="550"/>
      <c r="AT263" s="550"/>
      <c r="AU263" s="550"/>
      <c r="AV263" s="550"/>
      <c r="AW263" s="550"/>
      <c r="AX263" s="550"/>
      <c r="AY263" s="550"/>
      <c r="AZ263" s="550"/>
      <c r="BA263" s="551"/>
      <c r="BB263" s="128"/>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row>
    <row r="264" spans="1:111" ht="9" customHeight="1">
      <c r="A264" s="128"/>
      <c r="B264" s="187"/>
      <c r="C264" s="187"/>
      <c r="D264" s="187"/>
      <c r="E264" s="187"/>
      <c r="F264" s="187"/>
      <c r="G264" s="187"/>
      <c r="H264" s="187"/>
      <c r="I264" s="188"/>
      <c r="J264" s="187"/>
      <c r="K264" s="187"/>
      <c r="L264" s="187"/>
      <c r="M264" s="187"/>
      <c r="N264" s="128"/>
      <c r="O264" s="549"/>
      <c r="P264" s="550"/>
      <c r="Q264" s="550"/>
      <c r="R264" s="550"/>
      <c r="S264" s="550"/>
      <c r="T264" s="550"/>
      <c r="U264" s="550"/>
      <c r="V264" s="550"/>
      <c r="W264" s="550"/>
      <c r="X264" s="550"/>
      <c r="Y264" s="550"/>
      <c r="Z264" s="550"/>
      <c r="AA264" s="550"/>
      <c r="AB264" s="550"/>
      <c r="AC264" s="550"/>
      <c r="AD264" s="550"/>
      <c r="AE264" s="550"/>
      <c r="AF264" s="550"/>
      <c r="AG264" s="550"/>
      <c r="AH264" s="550"/>
      <c r="AI264" s="550"/>
      <c r="AJ264" s="550"/>
      <c r="AK264" s="550"/>
      <c r="AL264" s="550"/>
      <c r="AM264" s="550"/>
      <c r="AN264" s="550"/>
      <c r="AO264" s="550"/>
      <c r="AP264" s="550"/>
      <c r="AQ264" s="550"/>
      <c r="AR264" s="550"/>
      <c r="AS264" s="550"/>
      <c r="AT264" s="550"/>
      <c r="AU264" s="550"/>
      <c r="AV264" s="550"/>
      <c r="AW264" s="550"/>
      <c r="AX264" s="550"/>
      <c r="AY264" s="550"/>
      <c r="AZ264" s="550"/>
      <c r="BA264" s="551"/>
      <c r="BB264" s="128"/>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row>
    <row r="265" spans="1:111" ht="9" customHeight="1">
      <c r="A265" s="128"/>
      <c r="B265" s="187"/>
      <c r="C265" s="187"/>
      <c r="D265" s="187"/>
      <c r="E265" s="187"/>
      <c r="F265" s="187"/>
      <c r="G265" s="187"/>
      <c r="H265" s="187"/>
      <c r="I265" s="188"/>
      <c r="J265" s="187"/>
      <c r="K265" s="187"/>
      <c r="L265" s="187"/>
      <c r="M265" s="187"/>
      <c r="N265" s="128"/>
      <c r="O265" s="552"/>
      <c r="P265" s="553"/>
      <c r="Q265" s="553"/>
      <c r="R265" s="553"/>
      <c r="S265" s="553"/>
      <c r="T265" s="553"/>
      <c r="U265" s="553"/>
      <c r="V265" s="553"/>
      <c r="W265" s="553"/>
      <c r="X265" s="553"/>
      <c r="Y265" s="553"/>
      <c r="Z265" s="553"/>
      <c r="AA265" s="553"/>
      <c r="AB265" s="553"/>
      <c r="AC265" s="553"/>
      <c r="AD265" s="553"/>
      <c r="AE265" s="553"/>
      <c r="AF265" s="553"/>
      <c r="AG265" s="553"/>
      <c r="AH265" s="553"/>
      <c r="AI265" s="553"/>
      <c r="AJ265" s="553"/>
      <c r="AK265" s="553"/>
      <c r="AL265" s="553"/>
      <c r="AM265" s="553"/>
      <c r="AN265" s="553"/>
      <c r="AO265" s="553"/>
      <c r="AP265" s="553"/>
      <c r="AQ265" s="553"/>
      <c r="AR265" s="553"/>
      <c r="AS265" s="553"/>
      <c r="AT265" s="553"/>
      <c r="AU265" s="553"/>
      <c r="AV265" s="553"/>
      <c r="AW265" s="553"/>
      <c r="AX265" s="553"/>
      <c r="AY265" s="553"/>
      <c r="AZ265" s="553"/>
      <c r="BA265" s="554"/>
      <c r="BB265" s="128"/>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row>
    <row r="266" spans="1:111" ht="4.5" customHeight="1">
      <c r="A266" s="128"/>
      <c r="B266" s="187"/>
      <c r="C266" s="187"/>
      <c r="D266" s="187"/>
      <c r="E266" s="187"/>
      <c r="F266" s="187"/>
      <c r="G266" s="187"/>
      <c r="H266" s="187"/>
      <c r="I266" s="188"/>
      <c r="J266" s="187"/>
      <c r="K266" s="187"/>
      <c r="L266" s="187"/>
      <c r="M266" s="187"/>
      <c r="N266" s="128"/>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row>
    <row r="267" spans="1:111" ht="9" customHeight="1">
      <c r="A267" s="128"/>
      <c r="B267" s="527" t="s">
        <v>428</v>
      </c>
      <c r="C267" s="527"/>
      <c r="D267" s="527"/>
      <c r="E267" s="527"/>
      <c r="F267" s="527"/>
      <c r="G267" s="527"/>
      <c r="H267" s="527"/>
      <c r="I267" s="527"/>
      <c r="J267" s="527"/>
      <c r="K267" s="527"/>
      <c r="L267" s="527"/>
      <c r="M267" s="527"/>
      <c r="N267" s="186"/>
      <c r="O267" s="528"/>
      <c r="P267" s="529"/>
      <c r="Q267" s="529"/>
      <c r="R267" s="529"/>
      <c r="S267" s="529"/>
      <c r="T267" s="529"/>
      <c r="U267" s="529"/>
      <c r="V267" s="529"/>
      <c r="W267" s="529"/>
      <c r="X267" s="529"/>
      <c r="Y267" s="529"/>
      <c r="Z267" s="530"/>
      <c r="AA267" s="128"/>
      <c r="AB267" s="128"/>
      <c r="AC267" s="527" t="s">
        <v>430</v>
      </c>
      <c r="AD267" s="527"/>
      <c r="AE267" s="527"/>
      <c r="AF267" s="527"/>
      <c r="AG267" s="527"/>
      <c r="AH267" s="527"/>
      <c r="AI267" s="527"/>
      <c r="AJ267" s="527"/>
      <c r="AK267" s="527"/>
      <c r="AL267" s="527"/>
      <c r="AM267" s="527"/>
      <c r="AN267" s="527"/>
      <c r="AO267" s="128"/>
      <c r="AP267" s="528"/>
      <c r="AQ267" s="529"/>
      <c r="AR267" s="529"/>
      <c r="AS267" s="529"/>
      <c r="AT267" s="529"/>
      <c r="AU267" s="529"/>
      <c r="AV267" s="529"/>
      <c r="AW267" s="529"/>
      <c r="AX267" s="529"/>
      <c r="AY267" s="529"/>
      <c r="AZ267" s="529"/>
      <c r="BA267" s="530"/>
      <c r="BB267" s="128"/>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row>
    <row r="268" spans="1:111" ht="9" customHeight="1">
      <c r="A268" s="128"/>
      <c r="B268" s="527"/>
      <c r="C268" s="527"/>
      <c r="D268" s="527"/>
      <c r="E268" s="527"/>
      <c r="F268" s="527"/>
      <c r="G268" s="527"/>
      <c r="H268" s="527"/>
      <c r="I268" s="527"/>
      <c r="J268" s="527"/>
      <c r="K268" s="527"/>
      <c r="L268" s="527"/>
      <c r="M268" s="527"/>
      <c r="N268" s="186"/>
      <c r="O268" s="531"/>
      <c r="P268" s="532"/>
      <c r="Q268" s="532"/>
      <c r="R268" s="532"/>
      <c r="S268" s="532"/>
      <c r="T268" s="532"/>
      <c r="U268" s="532"/>
      <c r="V268" s="532"/>
      <c r="W268" s="532"/>
      <c r="X268" s="532"/>
      <c r="Y268" s="532"/>
      <c r="Z268" s="533"/>
      <c r="AA268" s="128"/>
      <c r="AB268" s="128"/>
      <c r="AC268" s="527"/>
      <c r="AD268" s="527"/>
      <c r="AE268" s="527"/>
      <c r="AF268" s="527"/>
      <c r="AG268" s="527"/>
      <c r="AH268" s="527"/>
      <c r="AI268" s="527"/>
      <c r="AJ268" s="527"/>
      <c r="AK268" s="527"/>
      <c r="AL268" s="527"/>
      <c r="AM268" s="527"/>
      <c r="AN268" s="527"/>
      <c r="AO268" s="128"/>
      <c r="AP268" s="531"/>
      <c r="AQ268" s="532"/>
      <c r="AR268" s="532"/>
      <c r="AS268" s="532"/>
      <c r="AT268" s="532"/>
      <c r="AU268" s="532"/>
      <c r="AV268" s="532"/>
      <c r="AW268" s="532"/>
      <c r="AX268" s="532"/>
      <c r="AY268" s="532"/>
      <c r="AZ268" s="532"/>
      <c r="BA268" s="533"/>
      <c r="BB268" s="128"/>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row>
    <row r="269" spans="1:111" ht="4.5" customHeight="1">
      <c r="A269" s="128"/>
      <c r="B269" s="187"/>
      <c r="C269" s="187"/>
      <c r="D269" s="187"/>
      <c r="E269" s="187"/>
      <c r="F269" s="187"/>
      <c r="G269" s="187"/>
      <c r="H269" s="187"/>
      <c r="I269" s="187"/>
      <c r="J269" s="187"/>
      <c r="K269" s="187"/>
      <c r="L269" s="187"/>
      <c r="M269" s="187"/>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row>
    <row r="270" spans="1:111" ht="9" customHeight="1">
      <c r="A270" s="128"/>
      <c r="B270" s="527" t="s">
        <v>429</v>
      </c>
      <c r="C270" s="527"/>
      <c r="D270" s="527"/>
      <c r="E270" s="527"/>
      <c r="F270" s="527"/>
      <c r="G270" s="527"/>
      <c r="H270" s="527"/>
      <c r="I270" s="527"/>
      <c r="J270" s="527"/>
      <c r="K270" s="527"/>
      <c r="L270" s="527"/>
      <c r="M270" s="527"/>
      <c r="N270" s="186"/>
      <c r="O270" s="534"/>
      <c r="P270" s="535"/>
      <c r="Q270" s="535"/>
      <c r="R270" s="535"/>
      <c r="S270" s="535"/>
      <c r="T270" s="535"/>
      <c r="U270" s="535"/>
      <c r="V270" s="535"/>
      <c r="W270" s="535"/>
      <c r="X270" s="535"/>
      <c r="Y270" s="535"/>
      <c r="Z270" s="536"/>
      <c r="AA270" s="128"/>
      <c r="AB270" s="128"/>
      <c r="AC270" s="527" t="s">
        <v>431</v>
      </c>
      <c r="AD270" s="527"/>
      <c r="AE270" s="527"/>
      <c r="AF270" s="527"/>
      <c r="AG270" s="527"/>
      <c r="AH270" s="527"/>
      <c r="AI270" s="527"/>
      <c r="AJ270" s="527"/>
      <c r="AK270" s="527"/>
      <c r="AL270" s="527"/>
      <c r="AM270" s="527"/>
      <c r="AN270" s="527"/>
      <c r="AO270" s="128"/>
      <c r="AP270" s="540">
        <f>O270*O267</f>
        <v>0</v>
      </c>
      <c r="AQ270" s="541"/>
      <c r="AR270" s="541"/>
      <c r="AS270" s="541"/>
      <c r="AT270" s="541"/>
      <c r="AU270" s="541"/>
      <c r="AV270" s="541"/>
      <c r="AW270" s="541"/>
      <c r="AX270" s="541"/>
      <c r="AY270" s="541"/>
      <c r="AZ270" s="541"/>
      <c r="BA270" s="542"/>
      <c r="BB270" s="128"/>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row>
    <row r="271" spans="1:111" ht="9" customHeight="1">
      <c r="A271" s="128"/>
      <c r="B271" s="527"/>
      <c r="C271" s="527"/>
      <c r="D271" s="527"/>
      <c r="E271" s="527"/>
      <c r="F271" s="527"/>
      <c r="G271" s="527"/>
      <c r="H271" s="527"/>
      <c r="I271" s="527"/>
      <c r="J271" s="527"/>
      <c r="K271" s="527"/>
      <c r="L271" s="527"/>
      <c r="M271" s="527"/>
      <c r="N271" s="186"/>
      <c r="O271" s="537"/>
      <c r="P271" s="538"/>
      <c r="Q271" s="538"/>
      <c r="R271" s="538"/>
      <c r="S271" s="538"/>
      <c r="T271" s="538"/>
      <c r="U271" s="538"/>
      <c r="V271" s="538"/>
      <c r="W271" s="538"/>
      <c r="X271" s="538"/>
      <c r="Y271" s="538"/>
      <c r="Z271" s="539"/>
      <c r="AA271" s="128"/>
      <c r="AB271" s="128"/>
      <c r="AC271" s="527"/>
      <c r="AD271" s="527"/>
      <c r="AE271" s="527"/>
      <c r="AF271" s="527"/>
      <c r="AG271" s="527"/>
      <c r="AH271" s="527"/>
      <c r="AI271" s="527"/>
      <c r="AJ271" s="527"/>
      <c r="AK271" s="527"/>
      <c r="AL271" s="527"/>
      <c r="AM271" s="527"/>
      <c r="AN271" s="527"/>
      <c r="AO271" s="128"/>
      <c r="AP271" s="543"/>
      <c r="AQ271" s="544"/>
      <c r="AR271" s="544"/>
      <c r="AS271" s="544"/>
      <c r="AT271" s="544"/>
      <c r="AU271" s="544"/>
      <c r="AV271" s="544"/>
      <c r="AW271" s="544"/>
      <c r="AX271" s="544"/>
      <c r="AY271" s="544"/>
      <c r="AZ271" s="544"/>
      <c r="BA271" s="545"/>
      <c r="BB271" s="128"/>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row>
    <row r="272" spans="1:111" ht="4.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row>
    <row r="273" spans="1:111" ht="9" customHeight="1">
      <c r="A273" s="128"/>
      <c r="B273" s="527" t="s">
        <v>432</v>
      </c>
      <c r="C273" s="527"/>
      <c r="D273" s="527"/>
      <c r="E273" s="527"/>
      <c r="F273" s="527"/>
      <c r="G273" s="527"/>
      <c r="H273" s="527"/>
      <c r="I273" s="527"/>
      <c r="J273" s="527"/>
      <c r="K273" s="527"/>
      <c r="L273" s="527"/>
      <c r="M273" s="527"/>
      <c r="N273" s="186"/>
      <c r="O273" s="546"/>
      <c r="P273" s="547"/>
      <c r="Q273" s="547"/>
      <c r="R273" s="547"/>
      <c r="S273" s="547"/>
      <c r="T273" s="547"/>
      <c r="U273" s="547"/>
      <c r="V273" s="547"/>
      <c r="W273" s="547"/>
      <c r="X273" s="547"/>
      <c r="Y273" s="547"/>
      <c r="Z273" s="547"/>
      <c r="AA273" s="547"/>
      <c r="AB273" s="547"/>
      <c r="AC273" s="547"/>
      <c r="AD273" s="547"/>
      <c r="AE273" s="547"/>
      <c r="AF273" s="547"/>
      <c r="AG273" s="547"/>
      <c r="AH273" s="547"/>
      <c r="AI273" s="547"/>
      <c r="AJ273" s="547"/>
      <c r="AK273" s="547"/>
      <c r="AL273" s="547"/>
      <c r="AM273" s="547"/>
      <c r="AN273" s="547"/>
      <c r="AO273" s="547"/>
      <c r="AP273" s="547"/>
      <c r="AQ273" s="547"/>
      <c r="AR273" s="547"/>
      <c r="AS273" s="547"/>
      <c r="AT273" s="547"/>
      <c r="AU273" s="547"/>
      <c r="AV273" s="547"/>
      <c r="AW273" s="547"/>
      <c r="AX273" s="547"/>
      <c r="AY273" s="547"/>
      <c r="AZ273" s="547"/>
      <c r="BA273" s="548"/>
      <c r="BB273" s="128"/>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row>
    <row r="274" spans="1:111" ht="9" customHeight="1">
      <c r="A274" s="128"/>
      <c r="B274" s="527"/>
      <c r="C274" s="527"/>
      <c r="D274" s="527"/>
      <c r="E274" s="527"/>
      <c r="F274" s="527"/>
      <c r="G274" s="527"/>
      <c r="H274" s="527"/>
      <c r="I274" s="527"/>
      <c r="J274" s="527"/>
      <c r="K274" s="527"/>
      <c r="L274" s="527"/>
      <c r="M274" s="527"/>
      <c r="N274" s="186"/>
      <c r="O274" s="549"/>
      <c r="P274" s="550"/>
      <c r="Q274" s="550"/>
      <c r="R274" s="550"/>
      <c r="S274" s="550"/>
      <c r="T274" s="550"/>
      <c r="U274" s="550"/>
      <c r="V274" s="550"/>
      <c r="W274" s="550"/>
      <c r="X274" s="550"/>
      <c r="Y274" s="550"/>
      <c r="Z274" s="550"/>
      <c r="AA274" s="550"/>
      <c r="AB274" s="550"/>
      <c r="AC274" s="550"/>
      <c r="AD274" s="550"/>
      <c r="AE274" s="550"/>
      <c r="AF274" s="550"/>
      <c r="AG274" s="550"/>
      <c r="AH274" s="550"/>
      <c r="AI274" s="550"/>
      <c r="AJ274" s="550"/>
      <c r="AK274" s="550"/>
      <c r="AL274" s="550"/>
      <c r="AM274" s="550"/>
      <c r="AN274" s="550"/>
      <c r="AO274" s="550"/>
      <c r="AP274" s="550"/>
      <c r="AQ274" s="550"/>
      <c r="AR274" s="550"/>
      <c r="AS274" s="550"/>
      <c r="AT274" s="550"/>
      <c r="AU274" s="550"/>
      <c r="AV274" s="550"/>
      <c r="AW274" s="550"/>
      <c r="AX274" s="550"/>
      <c r="AY274" s="550"/>
      <c r="AZ274" s="550"/>
      <c r="BA274" s="551"/>
      <c r="BB274" s="128"/>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row>
    <row r="275" spans="1:111" ht="9" customHeight="1">
      <c r="A275" s="128"/>
      <c r="B275" s="187"/>
      <c r="C275" s="187"/>
      <c r="D275" s="187"/>
      <c r="E275" s="187"/>
      <c r="F275" s="187"/>
      <c r="G275" s="187"/>
      <c r="H275" s="187"/>
      <c r="I275" s="188"/>
      <c r="J275" s="187"/>
      <c r="K275" s="187"/>
      <c r="L275" s="187"/>
      <c r="M275" s="187"/>
      <c r="N275" s="128"/>
      <c r="O275" s="549"/>
      <c r="P275" s="550"/>
      <c r="Q275" s="550"/>
      <c r="R275" s="550"/>
      <c r="S275" s="550"/>
      <c r="T275" s="550"/>
      <c r="U275" s="550"/>
      <c r="V275" s="550"/>
      <c r="W275" s="550"/>
      <c r="X275" s="550"/>
      <c r="Y275" s="550"/>
      <c r="Z275" s="550"/>
      <c r="AA275" s="550"/>
      <c r="AB275" s="550"/>
      <c r="AC275" s="550"/>
      <c r="AD275" s="550"/>
      <c r="AE275" s="550"/>
      <c r="AF275" s="550"/>
      <c r="AG275" s="550"/>
      <c r="AH275" s="550"/>
      <c r="AI275" s="550"/>
      <c r="AJ275" s="550"/>
      <c r="AK275" s="550"/>
      <c r="AL275" s="550"/>
      <c r="AM275" s="550"/>
      <c r="AN275" s="550"/>
      <c r="AO275" s="550"/>
      <c r="AP275" s="550"/>
      <c r="AQ275" s="550"/>
      <c r="AR275" s="550"/>
      <c r="AS275" s="550"/>
      <c r="AT275" s="550"/>
      <c r="AU275" s="550"/>
      <c r="AV275" s="550"/>
      <c r="AW275" s="550"/>
      <c r="AX275" s="550"/>
      <c r="AY275" s="550"/>
      <c r="AZ275" s="550"/>
      <c r="BA275" s="551"/>
      <c r="BB275" s="128"/>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row>
    <row r="276" spans="1:111" ht="9" customHeight="1">
      <c r="A276" s="128"/>
      <c r="B276" s="187"/>
      <c r="C276" s="187"/>
      <c r="D276" s="187"/>
      <c r="E276" s="187"/>
      <c r="F276" s="187"/>
      <c r="G276" s="187"/>
      <c r="H276" s="187"/>
      <c r="I276" s="188"/>
      <c r="J276" s="187"/>
      <c r="K276" s="187"/>
      <c r="L276" s="187"/>
      <c r="M276" s="187"/>
      <c r="N276" s="128"/>
      <c r="O276" s="552"/>
      <c r="P276" s="553"/>
      <c r="Q276" s="553"/>
      <c r="R276" s="553"/>
      <c r="S276" s="553"/>
      <c r="T276" s="553"/>
      <c r="U276" s="553"/>
      <c r="V276" s="553"/>
      <c r="W276" s="553"/>
      <c r="X276" s="553"/>
      <c r="Y276" s="553"/>
      <c r="Z276" s="553"/>
      <c r="AA276" s="553"/>
      <c r="AB276" s="553"/>
      <c r="AC276" s="553"/>
      <c r="AD276" s="553"/>
      <c r="AE276" s="553"/>
      <c r="AF276" s="553"/>
      <c r="AG276" s="553"/>
      <c r="AH276" s="553"/>
      <c r="AI276" s="553"/>
      <c r="AJ276" s="553"/>
      <c r="AK276" s="553"/>
      <c r="AL276" s="553"/>
      <c r="AM276" s="553"/>
      <c r="AN276" s="553"/>
      <c r="AO276" s="553"/>
      <c r="AP276" s="553"/>
      <c r="AQ276" s="553"/>
      <c r="AR276" s="553"/>
      <c r="AS276" s="553"/>
      <c r="AT276" s="553"/>
      <c r="AU276" s="553"/>
      <c r="AV276" s="553"/>
      <c r="AW276" s="553"/>
      <c r="AX276" s="553"/>
      <c r="AY276" s="553"/>
      <c r="AZ276" s="553"/>
      <c r="BA276" s="554"/>
      <c r="BB276" s="128"/>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row>
    <row r="277" spans="1:111" ht="4.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row>
    <row r="278" spans="1:111" ht="9" customHeight="1">
      <c r="A278" s="128"/>
      <c r="B278" s="527" t="s">
        <v>433</v>
      </c>
      <c r="C278" s="527"/>
      <c r="D278" s="527"/>
      <c r="E278" s="527"/>
      <c r="F278" s="527"/>
      <c r="G278" s="527"/>
      <c r="H278" s="527"/>
      <c r="I278" s="527"/>
      <c r="J278" s="527"/>
      <c r="K278" s="527"/>
      <c r="L278" s="527"/>
      <c r="M278" s="527"/>
      <c r="N278" s="186"/>
      <c r="O278" s="546"/>
      <c r="P278" s="547"/>
      <c r="Q278" s="547"/>
      <c r="R278" s="547"/>
      <c r="S278" s="547"/>
      <c r="T278" s="547"/>
      <c r="U278" s="547"/>
      <c r="V278" s="547"/>
      <c r="W278" s="547"/>
      <c r="X278" s="547"/>
      <c r="Y278" s="547"/>
      <c r="Z278" s="547"/>
      <c r="AA278" s="547"/>
      <c r="AB278" s="547"/>
      <c r="AC278" s="547"/>
      <c r="AD278" s="547"/>
      <c r="AE278" s="547"/>
      <c r="AF278" s="547"/>
      <c r="AG278" s="547"/>
      <c r="AH278" s="547"/>
      <c r="AI278" s="547"/>
      <c r="AJ278" s="547"/>
      <c r="AK278" s="547"/>
      <c r="AL278" s="547"/>
      <c r="AM278" s="547"/>
      <c r="AN278" s="547"/>
      <c r="AO278" s="547"/>
      <c r="AP278" s="547"/>
      <c r="AQ278" s="547"/>
      <c r="AR278" s="547"/>
      <c r="AS278" s="547"/>
      <c r="AT278" s="547"/>
      <c r="AU278" s="547"/>
      <c r="AV278" s="547"/>
      <c r="AW278" s="547"/>
      <c r="AX278" s="547"/>
      <c r="AY278" s="547"/>
      <c r="AZ278" s="547"/>
      <c r="BA278" s="548"/>
      <c r="BB278" s="128"/>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row>
    <row r="279" spans="1:111" ht="9" customHeight="1">
      <c r="A279" s="128"/>
      <c r="B279" s="527"/>
      <c r="C279" s="527"/>
      <c r="D279" s="527"/>
      <c r="E279" s="527"/>
      <c r="F279" s="527"/>
      <c r="G279" s="527"/>
      <c r="H279" s="527"/>
      <c r="I279" s="527"/>
      <c r="J279" s="527"/>
      <c r="K279" s="527"/>
      <c r="L279" s="527"/>
      <c r="M279" s="527"/>
      <c r="N279" s="186"/>
      <c r="O279" s="549"/>
      <c r="P279" s="550"/>
      <c r="Q279" s="550"/>
      <c r="R279" s="550"/>
      <c r="S279" s="550"/>
      <c r="T279" s="550"/>
      <c r="U279" s="550"/>
      <c r="V279" s="550"/>
      <c r="W279" s="550"/>
      <c r="X279" s="550"/>
      <c r="Y279" s="550"/>
      <c r="Z279" s="550"/>
      <c r="AA279" s="550"/>
      <c r="AB279" s="550"/>
      <c r="AC279" s="550"/>
      <c r="AD279" s="550"/>
      <c r="AE279" s="550"/>
      <c r="AF279" s="550"/>
      <c r="AG279" s="550"/>
      <c r="AH279" s="550"/>
      <c r="AI279" s="550"/>
      <c r="AJ279" s="550"/>
      <c r="AK279" s="550"/>
      <c r="AL279" s="550"/>
      <c r="AM279" s="550"/>
      <c r="AN279" s="550"/>
      <c r="AO279" s="550"/>
      <c r="AP279" s="550"/>
      <c r="AQ279" s="550"/>
      <c r="AR279" s="550"/>
      <c r="AS279" s="550"/>
      <c r="AT279" s="550"/>
      <c r="AU279" s="550"/>
      <c r="AV279" s="550"/>
      <c r="AW279" s="550"/>
      <c r="AX279" s="550"/>
      <c r="AY279" s="550"/>
      <c r="AZ279" s="550"/>
      <c r="BA279" s="551"/>
      <c r="BB279" s="128"/>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row>
    <row r="280" spans="1:111" ht="9" customHeight="1">
      <c r="A280" s="128"/>
      <c r="B280" s="187"/>
      <c r="C280" s="187"/>
      <c r="D280" s="187"/>
      <c r="E280" s="187"/>
      <c r="F280" s="187"/>
      <c r="G280" s="187"/>
      <c r="H280" s="187"/>
      <c r="I280" s="188"/>
      <c r="J280" s="187"/>
      <c r="K280" s="187"/>
      <c r="L280" s="187"/>
      <c r="M280" s="187"/>
      <c r="N280" s="128"/>
      <c r="O280" s="549"/>
      <c r="P280" s="550"/>
      <c r="Q280" s="550"/>
      <c r="R280" s="550"/>
      <c r="S280" s="550"/>
      <c r="T280" s="550"/>
      <c r="U280" s="550"/>
      <c r="V280" s="550"/>
      <c r="W280" s="550"/>
      <c r="X280" s="550"/>
      <c r="Y280" s="550"/>
      <c r="Z280" s="550"/>
      <c r="AA280" s="550"/>
      <c r="AB280" s="550"/>
      <c r="AC280" s="550"/>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0"/>
      <c r="AY280" s="550"/>
      <c r="AZ280" s="550"/>
      <c r="BA280" s="551"/>
      <c r="BB280" s="128"/>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row>
    <row r="281" spans="1:111" ht="9" customHeight="1">
      <c r="A281" s="128"/>
      <c r="B281" s="187"/>
      <c r="C281" s="187"/>
      <c r="D281" s="187"/>
      <c r="E281" s="187"/>
      <c r="F281" s="187"/>
      <c r="G281" s="187"/>
      <c r="H281" s="187"/>
      <c r="I281" s="188"/>
      <c r="J281" s="187"/>
      <c r="K281" s="187"/>
      <c r="L281" s="187"/>
      <c r="M281" s="187"/>
      <c r="N281" s="128"/>
      <c r="O281" s="552"/>
      <c r="P281" s="553"/>
      <c r="Q281" s="553"/>
      <c r="R281" s="553"/>
      <c r="S281" s="553"/>
      <c r="T281" s="553"/>
      <c r="U281" s="553"/>
      <c r="V281" s="553"/>
      <c r="W281" s="553"/>
      <c r="X281" s="553"/>
      <c r="Y281" s="553"/>
      <c r="Z281" s="553"/>
      <c r="AA281" s="553"/>
      <c r="AB281" s="553"/>
      <c r="AC281" s="553"/>
      <c r="AD281" s="553"/>
      <c r="AE281" s="553"/>
      <c r="AF281" s="553"/>
      <c r="AG281" s="553"/>
      <c r="AH281" s="553"/>
      <c r="AI281" s="553"/>
      <c r="AJ281" s="553"/>
      <c r="AK281" s="553"/>
      <c r="AL281" s="553"/>
      <c r="AM281" s="553"/>
      <c r="AN281" s="553"/>
      <c r="AO281" s="553"/>
      <c r="AP281" s="553"/>
      <c r="AQ281" s="553"/>
      <c r="AR281" s="553"/>
      <c r="AS281" s="553"/>
      <c r="AT281" s="553"/>
      <c r="AU281" s="553"/>
      <c r="AV281" s="553"/>
      <c r="AW281" s="553"/>
      <c r="AX281" s="553"/>
      <c r="AY281" s="553"/>
      <c r="AZ281" s="553"/>
      <c r="BA281" s="554"/>
      <c r="BB281" s="128"/>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row>
    <row r="282" spans="1:111" ht="4.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row>
    <row r="283" spans="1:111" ht="9" customHeight="1">
      <c r="A283" s="128"/>
      <c r="B283" s="527" t="s">
        <v>434</v>
      </c>
      <c r="C283" s="527"/>
      <c r="D283" s="527"/>
      <c r="E283" s="527"/>
      <c r="F283" s="527"/>
      <c r="G283" s="527"/>
      <c r="H283" s="527"/>
      <c r="I283" s="527"/>
      <c r="J283" s="527"/>
      <c r="K283" s="527"/>
      <c r="L283" s="527"/>
      <c r="M283" s="527"/>
      <c r="N283" s="186"/>
      <c r="O283" s="546"/>
      <c r="P283" s="547"/>
      <c r="Q283" s="547"/>
      <c r="R283" s="547"/>
      <c r="S283" s="547"/>
      <c r="T283" s="547"/>
      <c r="U283" s="547"/>
      <c r="V283" s="547"/>
      <c r="W283" s="547"/>
      <c r="X283" s="547"/>
      <c r="Y283" s="547"/>
      <c r="Z283" s="547"/>
      <c r="AA283" s="547"/>
      <c r="AB283" s="547"/>
      <c r="AC283" s="547"/>
      <c r="AD283" s="547"/>
      <c r="AE283" s="547"/>
      <c r="AF283" s="547"/>
      <c r="AG283" s="547"/>
      <c r="AH283" s="547"/>
      <c r="AI283" s="547"/>
      <c r="AJ283" s="547"/>
      <c r="AK283" s="547"/>
      <c r="AL283" s="547"/>
      <c r="AM283" s="547"/>
      <c r="AN283" s="547"/>
      <c r="AO283" s="547"/>
      <c r="AP283" s="547"/>
      <c r="AQ283" s="547"/>
      <c r="AR283" s="547"/>
      <c r="AS283" s="547"/>
      <c r="AT283" s="547"/>
      <c r="AU283" s="547"/>
      <c r="AV283" s="547"/>
      <c r="AW283" s="547"/>
      <c r="AX283" s="547"/>
      <c r="AY283" s="547"/>
      <c r="AZ283" s="547"/>
      <c r="BA283" s="548"/>
      <c r="BB283" s="128"/>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row>
    <row r="284" spans="1:111" ht="9" customHeight="1">
      <c r="A284" s="128"/>
      <c r="B284" s="527"/>
      <c r="C284" s="527"/>
      <c r="D284" s="527"/>
      <c r="E284" s="527"/>
      <c r="F284" s="527"/>
      <c r="G284" s="527"/>
      <c r="H284" s="527"/>
      <c r="I284" s="527"/>
      <c r="J284" s="527"/>
      <c r="K284" s="527"/>
      <c r="L284" s="527"/>
      <c r="M284" s="527"/>
      <c r="N284" s="186"/>
      <c r="O284" s="549"/>
      <c r="P284" s="550"/>
      <c r="Q284" s="550"/>
      <c r="R284" s="550"/>
      <c r="S284" s="550"/>
      <c r="T284" s="550"/>
      <c r="U284" s="550"/>
      <c r="V284" s="550"/>
      <c r="W284" s="550"/>
      <c r="X284" s="550"/>
      <c r="Y284" s="550"/>
      <c r="Z284" s="550"/>
      <c r="AA284" s="550"/>
      <c r="AB284" s="550"/>
      <c r="AC284" s="550"/>
      <c r="AD284" s="550"/>
      <c r="AE284" s="550"/>
      <c r="AF284" s="550"/>
      <c r="AG284" s="550"/>
      <c r="AH284" s="550"/>
      <c r="AI284" s="550"/>
      <c r="AJ284" s="550"/>
      <c r="AK284" s="550"/>
      <c r="AL284" s="550"/>
      <c r="AM284" s="550"/>
      <c r="AN284" s="550"/>
      <c r="AO284" s="550"/>
      <c r="AP284" s="550"/>
      <c r="AQ284" s="550"/>
      <c r="AR284" s="550"/>
      <c r="AS284" s="550"/>
      <c r="AT284" s="550"/>
      <c r="AU284" s="550"/>
      <c r="AV284" s="550"/>
      <c r="AW284" s="550"/>
      <c r="AX284" s="550"/>
      <c r="AY284" s="550"/>
      <c r="AZ284" s="550"/>
      <c r="BA284" s="551"/>
      <c r="BB284" s="128"/>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row>
    <row r="285" spans="1:111" ht="9" customHeight="1">
      <c r="A285" s="128"/>
      <c r="B285" s="187"/>
      <c r="C285" s="187"/>
      <c r="D285" s="187"/>
      <c r="E285" s="187"/>
      <c r="F285" s="187"/>
      <c r="G285" s="187"/>
      <c r="H285" s="187"/>
      <c r="I285" s="188"/>
      <c r="J285" s="187"/>
      <c r="K285" s="187"/>
      <c r="L285" s="187"/>
      <c r="M285" s="187"/>
      <c r="N285" s="128"/>
      <c r="O285" s="549"/>
      <c r="P285" s="550"/>
      <c r="Q285" s="550"/>
      <c r="R285" s="550"/>
      <c r="S285" s="550"/>
      <c r="T285" s="550"/>
      <c r="U285" s="550"/>
      <c r="V285" s="550"/>
      <c r="W285" s="550"/>
      <c r="X285" s="550"/>
      <c r="Y285" s="550"/>
      <c r="Z285" s="550"/>
      <c r="AA285" s="550"/>
      <c r="AB285" s="550"/>
      <c r="AC285" s="550"/>
      <c r="AD285" s="550"/>
      <c r="AE285" s="550"/>
      <c r="AF285" s="550"/>
      <c r="AG285" s="550"/>
      <c r="AH285" s="550"/>
      <c r="AI285" s="550"/>
      <c r="AJ285" s="550"/>
      <c r="AK285" s="550"/>
      <c r="AL285" s="550"/>
      <c r="AM285" s="550"/>
      <c r="AN285" s="550"/>
      <c r="AO285" s="550"/>
      <c r="AP285" s="550"/>
      <c r="AQ285" s="550"/>
      <c r="AR285" s="550"/>
      <c r="AS285" s="550"/>
      <c r="AT285" s="550"/>
      <c r="AU285" s="550"/>
      <c r="AV285" s="550"/>
      <c r="AW285" s="550"/>
      <c r="AX285" s="550"/>
      <c r="AY285" s="550"/>
      <c r="AZ285" s="550"/>
      <c r="BA285" s="551"/>
      <c r="BB285" s="128"/>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row>
    <row r="286" spans="1:111" ht="9" customHeight="1">
      <c r="A286" s="128"/>
      <c r="B286" s="187"/>
      <c r="C286" s="187"/>
      <c r="D286" s="187"/>
      <c r="E286" s="187"/>
      <c r="F286" s="187"/>
      <c r="G286" s="187"/>
      <c r="H286" s="187"/>
      <c r="I286" s="188"/>
      <c r="J286" s="187"/>
      <c r="K286" s="187"/>
      <c r="L286" s="187"/>
      <c r="M286" s="187"/>
      <c r="N286" s="128"/>
      <c r="O286" s="552"/>
      <c r="P286" s="553"/>
      <c r="Q286" s="553"/>
      <c r="R286" s="553"/>
      <c r="S286" s="553"/>
      <c r="T286" s="553"/>
      <c r="U286" s="553"/>
      <c r="V286" s="553"/>
      <c r="W286" s="553"/>
      <c r="X286" s="553"/>
      <c r="Y286" s="553"/>
      <c r="Z286" s="553"/>
      <c r="AA286" s="553"/>
      <c r="AB286" s="553"/>
      <c r="AC286" s="553"/>
      <c r="AD286" s="553"/>
      <c r="AE286" s="553"/>
      <c r="AF286" s="553"/>
      <c r="AG286" s="553"/>
      <c r="AH286" s="553"/>
      <c r="AI286" s="553"/>
      <c r="AJ286" s="553"/>
      <c r="AK286" s="553"/>
      <c r="AL286" s="553"/>
      <c r="AM286" s="553"/>
      <c r="AN286" s="553"/>
      <c r="AO286" s="553"/>
      <c r="AP286" s="553"/>
      <c r="AQ286" s="553"/>
      <c r="AR286" s="553"/>
      <c r="AS286" s="553"/>
      <c r="AT286" s="553"/>
      <c r="AU286" s="553"/>
      <c r="AV286" s="553"/>
      <c r="AW286" s="553"/>
      <c r="AX286" s="553"/>
      <c r="AY286" s="553"/>
      <c r="AZ286" s="553"/>
      <c r="BA286" s="554"/>
      <c r="BB286" s="128"/>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row>
    <row r="287" spans="1:111" ht="4.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row>
    <row r="288" spans="1:111" ht="9" customHeight="1">
      <c r="A288" s="128"/>
      <c r="B288" s="527" t="s">
        <v>435</v>
      </c>
      <c r="C288" s="527"/>
      <c r="D288" s="527"/>
      <c r="E288" s="527"/>
      <c r="F288" s="527"/>
      <c r="G288" s="527"/>
      <c r="H288" s="527"/>
      <c r="I288" s="527"/>
      <c r="J288" s="527"/>
      <c r="K288" s="527"/>
      <c r="L288" s="527"/>
      <c r="M288" s="527"/>
      <c r="N288" s="186"/>
      <c r="O288" s="546"/>
      <c r="P288" s="547"/>
      <c r="Q288" s="547"/>
      <c r="R288" s="547"/>
      <c r="S288" s="547"/>
      <c r="T288" s="547"/>
      <c r="U288" s="547"/>
      <c r="V288" s="547"/>
      <c r="W288" s="547"/>
      <c r="X288" s="547"/>
      <c r="Y288" s="547"/>
      <c r="Z288" s="547"/>
      <c r="AA288" s="547"/>
      <c r="AB288" s="547"/>
      <c r="AC288" s="547"/>
      <c r="AD288" s="547"/>
      <c r="AE288" s="547"/>
      <c r="AF288" s="547"/>
      <c r="AG288" s="547"/>
      <c r="AH288" s="547"/>
      <c r="AI288" s="547"/>
      <c r="AJ288" s="547"/>
      <c r="AK288" s="547"/>
      <c r="AL288" s="547"/>
      <c r="AM288" s="547"/>
      <c r="AN288" s="547"/>
      <c r="AO288" s="547"/>
      <c r="AP288" s="547"/>
      <c r="AQ288" s="547"/>
      <c r="AR288" s="547"/>
      <c r="AS288" s="547"/>
      <c r="AT288" s="547"/>
      <c r="AU288" s="547"/>
      <c r="AV288" s="547"/>
      <c r="AW288" s="547"/>
      <c r="AX288" s="547"/>
      <c r="AY288" s="547"/>
      <c r="AZ288" s="547"/>
      <c r="BA288" s="548"/>
      <c r="BB288" s="128"/>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row>
    <row r="289" spans="1:111" ht="9" customHeight="1">
      <c r="A289" s="128"/>
      <c r="B289" s="527"/>
      <c r="C289" s="527"/>
      <c r="D289" s="527"/>
      <c r="E289" s="527"/>
      <c r="F289" s="527"/>
      <c r="G289" s="527"/>
      <c r="H289" s="527"/>
      <c r="I289" s="527"/>
      <c r="J289" s="527"/>
      <c r="K289" s="527"/>
      <c r="L289" s="527"/>
      <c r="M289" s="527"/>
      <c r="N289" s="186"/>
      <c r="O289" s="549"/>
      <c r="P289" s="550"/>
      <c r="Q289" s="550"/>
      <c r="R289" s="550"/>
      <c r="S289" s="550"/>
      <c r="T289" s="550"/>
      <c r="U289" s="550"/>
      <c r="V289" s="550"/>
      <c r="W289" s="550"/>
      <c r="X289" s="550"/>
      <c r="Y289" s="550"/>
      <c r="Z289" s="550"/>
      <c r="AA289" s="550"/>
      <c r="AB289" s="550"/>
      <c r="AC289" s="550"/>
      <c r="AD289" s="550"/>
      <c r="AE289" s="550"/>
      <c r="AF289" s="550"/>
      <c r="AG289" s="550"/>
      <c r="AH289" s="550"/>
      <c r="AI289" s="550"/>
      <c r="AJ289" s="550"/>
      <c r="AK289" s="550"/>
      <c r="AL289" s="550"/>
      <c r="AM289" s="550"/>
      <c r="AN289" s="550"/>
      <c r="AO289" s="550"/>
      <c r="AP289" s="550"/>
      <c r="AQ289" s="550"/>
      <c r="AR289" s="550"/>
      <c r="AS289" s="550"/>
      <c r="AT289" s="550"/>
      <c r="AU289" s="550"/>
      <c r="AV289" s="550"/>
      <c r="AW289" s="550"/>
      <c r="AX289" s="550"/>
      <c r="AY289" s="550"/>
      <c r="AZ289" s="550"/>
      <c r="BA289" s="551"/>
      <c r="BB289" s="128"/>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row>
    <row r="290" spans="1:111" ht="9" customHeight="1">
      <c r="A290" s="128"/>
      <c r="B290" s="187"/>
      <c r="C290" s="187"/>
      <c r="D290" s="187"/>
      <c r="E290" s="187"/>
      <c r="F290" s="187"/>
      <c r="G290" s="187"/>
      <c r="H290" s="187"/>
      <c r="I290" s="188"/>
      <c r="J290" s="187"/>
      <c r="K290" s="187"/>
      <c r="L290" s="187"/>
      <c r="M290" s="187"/>
      <c r="N290" s="128"/>
      <c r="O290" s="549"/>
      <c r="P290" s="550"/>
      <c r="Q290" s="550"/>
      <c r="R290" s="550"/>
      <c r="S290" s="550"/>
      <c r="T290" s="550"/>
      <c r="U290" s="550"/>
      <c r="V290" s="550"/>
      <c r="W290" s="550"/>
      <c r="X290" s="550"/>
      <c r="Y290" s="550"/>
      <c r="Z290" s="550"/>
      <c r="AA290" s="550"/>
      <c r="AB290" s="550"/>
      <c r="AC290" s="550"/>
      <c r="AD290" s="550"/>
      <c r="AE290" s="550"/>
      <c r="AF290" s="550"/>
      <c r="AG290" s="550"/>
      <c r="AH290" s="550"/>
      <c r="AI290" s="550"/>
      <c r="AJ290" s="550"/>
      <c r="AK290" s="550"/>
      <c r="AL290" s="550"/>
      <c r="AM290" s="550"/>
      <c r="AN290" s="550"/>
      <c r="AO290" s="550"/>
      <c r="AP290" s="550"/>
      <c r="AQ290" s="550"/>
      <c r="AR290" s="550"/>
      <c r="AS290" s="550"/>
      <c r="AT290" s="550"/>
      <c r="AU290" s="550"/>
      <c r="AV290" s="550"/>
      <c r="AW290" s="550"/>
      <c r="AX290" s="550"/>
      <c r="AY290" s="550"/>
      <c r="AZ290" s="550"/>
      <c r="BA290" s="551"/>
      <c r="BB290" s="128"/>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row>
    <row r="291" spans="1:111" ht="9" customHeight="1">
      <c r="A291" s="128"/>
      <c r="B291" s="187"/>
      <c r="C291" s="187"/>
      <c r="D291" s="187"/>
      <c r="E291" s="187"/>
      <c r="F291" s="187"/>
      <c r="G291" s="187"/>
      <c r="H291" s="187"/>
      <c r="I291" s="188"/>
      <c r="J291" s="187"/>
      <c r="K291" s="187"/>
      <c r="L291" s="187"/>
      <c r="M291" s="187"/>
      <c r="N291" s="128"/>
      <c r="O291" s="552"/>
      <c r="P291" s="553"/>
      <c r="Q291" s="553"/>
      <c r="R291" s="553"/>
      <c r="S291" s="553"/>
      <c r="T291" s="553"/>
      <c r="U291" s="553"/>
      <c r="V291" s="553"/>
      <c r="W291" s="553"/>
      <c r="X291" s="553"/>
      <c r="Y291" s="553"/>
      <c r="Z291" s="553"/>
      <c r="AA291" s="553"/>
      <c r="AB291" s="553"/>
      <c r="AC291" s="553"/>
      <c r="AD291" s="553"/>
      <c r="AE291" s="553"/>
      <c r="AF291" s="553"/>
      <c r="AG291" s="553"/>
      <c r="AH291" s="553"/>
      <c r="AI291" s="553"/>
      <c r="AJ291" s="553"/>
      <c r="AK291" s="553"/>
      <c r="AL291" s="553"/>
      <c r="AM291" s="553"/>
      <c r="AN291" s="553"/>
      <c r="AO291" s="553"/>
      <c r="AP291" s="553"/>
      <c r="AQ291" s="553"/>
      <c r="AR291" s="553"/>
      <c r="AS291" s="553"/>
      <c r="AT291" s="553"/>
      <c r="AU291" s="553"/>
      <c r="AV291" s="553"/>
      <c r="AW291" s="553"/>
      <c r="AX291" s="553"/>
      <c r="AY291" s="553"/>
      <c r="AZ291" s="553"/>
      <c r="BA291" s="554"/>
      <c r="BB291" s="128"/>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row>
    <row r="292" spans="1:111" ht="4.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row>
    <row r="293" spans="1:111" ht="9" customHeight="1">
      <c r="A293" s="128"/>
      <c r="B293" s="527" t="s">
        <v>436</v>
      </c>
      <c r="C293" s="527"/>
      <c r="D293" s="527"/>
      <c r="E293" s="527"/>
      <c r="F293" s="527"/>
      <c r="G293" s="527"/>
      <c r="H293" s="527"/>
      <c r="I293" s="527"/>
      <c r="J293" s="527"/>
      <c r="K293" s="527"/>
      <c r="L293" s="527"/>
      <c r="M293" s="527"/>
      <c r="N293" s="186"/>
      <c r="O293" s="534"/>
      <c r="P293" s="535"/>
      <c r="Q293" s="535"/>
      <c r="R293" s="535"/>
      <c r="S293" s="535"/>
      <c r="T293" s="535"/>
      <c r="U293" s="535"/>
      <c r="V293" s="535"/>
      <c r="W293" s="535"/>
      <c r="X293" s="535"/>
      <c r="Y293" s="535"/>
      <c r="Z293" s="536"/>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row>
    <row r="294" spans="1:111" ht="9" customHeight="1">
      <c r="A294" s="128"/>
      <c r="B294" s="527"/>
      <c r="C294" s="527"/>
      <c r="D294" s="527"/>
      <c r="E294" s="527"/>
      <c r="F294" s="527"/>
      <c r="G294" s="527"/>
      <c r="H294" s="527"/>
      <c r="I294" s="527"/>
      <c r="J294" s="527"/>
      <c r="K294" s="527"/>
      <c r="L294" s="527"/>
      <c r="M294" s="527"/>
      <c r="N294" s="186"/>
      <c r="O294" s="537"/>
      <c r="P294" s="538"/>
      <c r="Q294" s="538"/>
      <c r="R294" s="538"/>
      <c r="S294" s="538"/>
      <c r="T294" s="538"/>
      <c r="U294" s="538"/>
      <c r="V294" s="538"/>
      <c r="W294" s="538"/>
      <c r="X294" s="538"/>
      <c r="Y294" s="538"/>
      <c r="Z294" s="539"/>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row>
    <row r="295" spans="1:111" ht="4.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row>
    <row r="296" spans="1:111" ht="9" customHeight="1">
      <c r="A296" s="128"/>
      <c r="B296" s="527" t="s">
        <v>437</v>
      </c>
      <c r="C296" s="527"/>
      <c r="D296" s="527"/>
      <c r="E296" s="527"/>
      <c r="F296" s="527"/>
      <c r="G296" s="527"/>
      <c r="H296" s="527"/>
      <c r="I296" s="527"/>
      <c r="J296" s="527"/>
      <c r="K296" s="527"/>
      <c r="L296" s="527"/>
      <c r="M296" s="527"/>
      <c r="N296" s="186"/>
      <c r="O296" s="546"/>
      <c r="P296" s="547"/>
      <c r="Q296" s="547"/>
      <c r="R296" s="547"/>
      <c r="S296" s="547"/>
      <c r="T296" s="547"/>
      <c r="U296" s="547"/>
      <c r="V296" s="547"/>
      <c r="W296" s="547"/>
      <c r="X296" s="547"/>
      <c r="Y296" s="547"/>
      <c r="Z296" s="547"/>
      <c r="AA296" s="547"/>
      <c r="AB296" s="547"/>
      <c r="AC296" s="547"/>
      <c r="AD296" s="547"/>
      <c r="AE296" s="547"/>
      <c r="AF296" s="547"/>
      <c r="AG296" s="547"/>
      <c r="AH296" s="547"/>
      <c r="AI296" s="547"/>
      <c r="AJ296" s="547"/>
      <c r="AK296" s="547"/>
      <c r="AL296" s="547"/>
      <c r="AM296" s="547"/>
      <c r="AN296" s="547"/>
      <c r="AO296" s="547"/>
      <c r="AP296" s="547"/>
      <c r="AQ296" s="547"/>
      <c r="AR296" s="547"/>
      <c r="AS296" s="547"/>
      <c r="AT296" s="547"/>
      <c r="AU296" s="547"/>
      <c r="AV296" s="547"/>
      <c r="AW296" s="547"/>
      <c r="AX296" s="547"/>
      <c r="AY296" s="547"/>
      <c r="AZ296" s="547"/>
      <c r="BA296" s="548"/>
      <c r="BB296" s="128"/>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row>
    <row r="297" spans="1:111" ht="9" customHeight="1">
      <c r="A297" s="128"/>
      <c r="B297" s="527"/>
      <c r="C297" s="527"/>
      <c r="D297" s="527"/>
      <c r="E297" s="527"/>
      <c r="F297" s="527"/>
      <c r="G297" s="527"/>
      <c r="H297" s="527"/>
      <c r="I297" s="527"/>
      <c r="J297" s="527"/>
      <c r="K297" s="527"/>
      <c r="L297" s="527"/>
      <c r="M297" s="527"/>
      <c r="N297" s="186"/>
      <c r="O297" s="549"/>
      <c r="P297" s="550"/>
      <c r="Q297" s="550"/>
      <c r="R297" s="550"/>
      <c r="S297" s="550"/>
      <c r="T297" s="550"/>
      <c r="U297" s="550"/>
      <c r="V297" s="550"/>
      <c r="W297" s="550"/>
      <c r="X297" s="550"/>
      <c r="Y297" s="550"/>
      <c r="Z297" s="550"/>
      <c r="AA297" s="550"/>
      <c r="AB297" s="550"/>
      <c r="AC297" s="550"/>
      <c r="AD297" s="550"/>
      <c r="AE297" s="550"/>
      <c r="AF297" s="550"/>
      <c r="AG297" s="550"/>
      <c r="AH297" s="550"/>
      <c r="AI297" s="550"/>
      <c r="AJ297" s="550"/>
      <c r="AK297" s="550"/>
      <c r="AL297" s="550"/>
      <c r="AM297" s="550"/>
      <c r="AN297" s="550"/>
      <c r="AO297" s="550"/>
      <c r="AP297" s="550"/>
      <c r="AQ297" s="550"/>
      <c r="AR297" s="550"/>
      <c r="AS297" s="550"/>
      <c r="AT297" s="550"/>
      <c r="AU297" s="550"/>
      <c r="AV297" s="550"/>
      <c r="AW297" s="550"/>
      <c r="AX297" s="550"/>
      <c r="AY297" s="550"/>
      <c r="AZ297" s="550"/>
      <c r="BA297" s="551"/>
      <c r="BB297" s="128"/>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row>
    <row r="298" spans="1:111" ht="9" customHeight="1">
      <c r="A298" s="128"/>
      <c r="B298" s="187"/>
      <c r="C298" s="187"/>
      <c r="D298" s="187"/>
      <c r="E298" s="187"/>
      <c r="F298" s="187"/>
      <c r="G298" s="187"/>
      <c r="H298" s="187"/>
      <c r="I298" s="188"/>
      <c r="J298" s="187"/>
      <c r="K298" s="187"/>
      <c r="L298" s="187"/>
      <c r="M298" s="187"/>
      <c r="N298" s="128"/>
      <c r="O298" s="549"/>
      <c r="P298" s="550"/>
      <c r="Q298" s="550"/>
      <c r="R298" s="550"/>
      <c r="S298" s="550"/>
      <c r="T298" s="550"/>
      <c r="U298" s="550"/>
      <c r="V298" s="550"/>
      <c r="W298" s="550"/>
      <c r="X298" s="550"/>
      <c r="Y298" s="550"/>
      <c r="Z298" s="550"/>
      <c r="AA298" s="550"/>
      <c r="AB298" s="550"/>
      <c r="AC298" s="550"/>
      <c r="AD298" s="550"/>
      <c r="AE298" s="550"/>
      <c r="AF298" s="550"/>
      <c r="AG298" s="550"/>
      <c r="AH298" s="550"/>
      <c r="AI298" s="550"/>
      <c r="AJ298" s="550"/>
      <c r="AK298" s="550"/>
      <c r="AL298" s="550"/>
      <c r="AM298" s="550"/>
      <c r="AN298" s="550"/>
      <c r="AO298" s="550"/>
      <c r="AP298" s="550"/>
      <c r="AQ298" s="550"/>
      <c r="AR298" s="550"/>
      <c r="AS298" s="550"/>
      <c r="AT298" s="550"/>
      <c r="AU298" s="550"/>
      <c r="AV298" s="550"/>
      <c r="AW298" s="550"/>
      <c r="AX298" s="550"/>
      <c r="AY298" s="550"/>
      <c r="AZ298" s="550"/>
      <c r="BA298" s="551"/>
      <c r="BB298" s="128"/>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row>
    <row r="299" spans="1:111" ht="9" customHeight="1">
      <c r="A299" s="128"/>
      <c r="B299" s="187"/>
      <c r="C299" s="187"/>
      <c r="D299" s="187"/>
      <c r="E299" s="187"/>
      <c r="F299" s="187"/>
      <c r="G299" s="187"/>
      <c r="H299" s="187"/>
      <c r="I299" s="188"/>
      <c r="J299" s="187"/>
      <c r="K299" s="187"/>
      <c r="L299" s="187"/>
      <c r="M299" s="187"/>
      <c r="N299" s="128"/>
      <c r="O299" s="552"/>
      <c r="P299" s="553"/>
      <c r="Q299" s="553"/>
      <c r="R299" s="553"/>
      <c r="S299" s="553"/>
      <c r="T299" s="553"/>
      <c r="U299" s="553"/>
      <c r="V299" s="553"/>
      <c r="W299" s="553"/>
      <c r="X299" s="553"/>
      <c r="Y299" s="553"/>
      <c r="Z299" s="553"/>
      <c r="AA299" s="553"/>
      <c r="AB299" s="553"/>
      <c r="AC299" s="553"/>
      <c r="AD299" s="553"/>
      <c r="AE299" s="553"/>
      <c r="AF299" s="553"/>
      <c r="AG299" s="553"/>
      <c r="AH299" s="553"/>
      <c r="AI299" s="553"/>
      <c r="AJ299" s="553"/>
      <c r="AK299" s="553"/>
      <c r="AL299" s="553"/>
      <c r="AM299" s="553"/>
      <c r="AN299" s="553"/>
      <c r="AO299" s="553"/>
      <c r="AP299" s="553"/>
      <c r="AQ299" s="553"/>
      <c r="AR299" s="553"/>
      <c r="AS299" s="553"/>
      <c r="AT299" s="553"/>
      <c r="AU299" s="553"/>
      <c r="AV299" s="553"/>
      <c r="AW299" s="553"/>
      <c r="AX299" s="553"/>
      <c r="AY299" s="553"/>
      <c r="AZ299" s="553"/>
      <c r="BA299" s="554"/>
      <c r="BB299" s="128"/>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row>
    <row r="300" spans="1:111" ht="4.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row>
    <row r="301" spans="1:111" ht="9" customHeight="1">
      <c r="A301" s="128"/>
      <c r="B301" s="527" t="s">
        <v>438</v>
      </c>
      <c r="C301" s="527"/>
      <c r="D301" s="527"/>
      <c r="E301" s="527"/>
      <c r="F301" s="527"/>
      <c r="G301" s="527"/>
      <c r="H301" s="527"/>
      <c r="I301" s="527"/>
      <c r="J301" s="527"/>
      <c r="K301" s="527"/>
      <c r="L301" s="527"/>
      <c r="M301" s="527"/>
      <c r="N301" s="186"/>
      <c r="O301" s="546"/>
      <c r="P301" s="547"/>
      <c r="Q301" s="547"/>
      <c r="R301" s="547"/>
      <c r="S301" s="547"/>
      <c r="T301" s="547"/>
      <c r="U301" s="547"/>
      <c r="V301" s="547"/>
      <c r="W301" s="547"/>
      <c r="X301" s="547"/>
      <c r="Y301" s="547"/>
      <c r="Z301" s="547"/>
      <c r="AA301" s="547"/>
      <c r="AB301" s="547"/>
      <c r="AC301" s="547"/>
      <c r="AD301" s="547"/>
      <c r="AE301" s="547"/>
      <c r="AF301" s="547"/>
      <c r="AG301" s="547"/>
      <c r="AH301" s="547"/>
      <c r="AI301" s="547"/>
      <c r="AJ301" s="547"/>
      <c r="AK301" s="547"/>
      <c r="AL301" s="547"/>
      <c r="AM301" s="547"/>
      <c r="AN301" s="547"/>
      <c r="AO301" s="547"/>
      <c r="AP301" s="547"/>
      <c r="AQ301" s="547"/>
      <c r="AR301" s="547"/>
      <c r="AS301" s="547"/>
      <c r="AT301" s="547"/>
      <c r="AU301" s="547"/>
      <c r="AV301" s="547"/>
      <c r="AW301" s="547"/>
      <c r="AX301" s="547"/>
      <c r="AY301" s="547"/>
      <c r="AZ301" s="547"/>
      <c r="BA301" s="548"/>
      <c r="BB301" s="128"/>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row>
    <row r="302" spans="1:111" ht="9" customHeight="1">
      <c r="A302" s="128"/>
      <c r="B302" s="527"/>
      <c r="C302" s="527"/>
      <c r="D302" s="527"/>
      <c r="E302" s="527"/>
      <c r="F302" s="527"/>
      <c r="G302" s="527"/>
      <c r="H302" s="527"/>
      <c r="I302" s="527"/>
      <c r="J302" s="527"/>
      <c r="K302" s="527"/>
      <c r="L302" s="527"/>
      <c r="M302" s="527"/>
      <c r="N302" s="186"/>
      <c r="O302" s="549"/>
      <c r="P302" s="550"/>
      <c r="Q302" s="550"/>
      <c r="R302" s="550"/>
      <c r="S302" s="550"/>
      <c r="T302" s="550"/>
      <c r="U302" s="550"/>
      <c r="V302" s="550"/>
      <c r="W302" s="550"/>
      <c r="X302" s="550"/>
      <c r="Y302" s="550"/>
      <c r="Z302" s="550"/>
      <c r="AA302" s="550"/>
      <c r="AB302" s="550"/>
      <c r="AC302" s="550"/>
      <c r="AD302" s="550"/>
      <c r="AE302" s="550"/>
      <c r="AF302" s="550"/>
      <c r="AG302" s="550"/>
      <c r="AH302" s="550"/>
      <c r="AI302" s="550"/>
      <c r="AJ302" s="550"/>
      <c r="AK302" s="550"/>
      <c r="AL302" s="550"/>
      <c r="AM302" s="550"/>
      <c r="AN302" s="550"/>
      <c r="AO302" s="550"/>
      <c r="AP302" s="550"/>
      <c r="AQ302" s="550"/>
      <c r="AR302" s="550"/>
      <c r="AS302" s="550"/>
      <c r="AT302" s="550"/>
      <c r="AU302" s="550"/>
      <c r="AV302" s="550"/>
      <c r="AW302" s="550"/>
      <c r="AX302" s="550"/>
      <c r="AY302" s="550"/>
      <c r="AZ302" s="550"/>
      <c r="BA302" s="551"/>
      <c r="BB302" s="128"/>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row>
    <row r="303" spans="1:111" ht="9" customHeight="1">
      <c r="A303" s="128"/>
      <c r="B303" s="187"/>
      <c r="C303" s="187"/>
      <c r="D303" s="187"/>
      <c r="E303" s="187"/>
      <c r="F303" s="187"/>
      <c r="G303" s="187"/>
      <c r="H303" s="187"/>
      <c r="I303" s="188"/>
      <c r="J303" s="187"/>
      <c r="K303" s="187"/>
      <c r="L303" s="187"/>
      <c r="M303" s="187"/>
      <c r="N303" s="128"/>
      <c r="O303" s="549"/>
      <c r="P303" s="550"/>
      <c r="Q303" s="550"/>
      <c r="R303" s="550"/>
      <c r="S303" s="550"/>
      <c r="T303" s="550"/>
      <c r="U303" s="550"/>
      <c r="V303" s="550"/>
      <c r="W303" s="550"/>
      <c r="X303" s="550"/>
      <c r="Y303" s="550"/>
      <c r="Z303" s="550"/>
      <c r="AA303" s="550"/>
      <c r="AB303" s="550"/>
      <c r="AC303" s="550"/>
      <c r="AD303" s="550"/>
      <c r="AE303" s="550"/>
      <c r="AF303" s="550"/>
      <c r="AG303" s="550"/>
      <c r="AH303" s="550"/>
      <c r="AI303" s="550"/>
      <c r="AJ303" s="550"/>
      <c r="AK303" s="550"/>
      <c r="AL303" s="550"/>
      <c r="AM303" s="550"/>
      <c r="AN303" s="550"/>
      <c r="AO303" s="550"/>
      <c r="AP303" s="550"/>
      <c r="AQ303" s="550"/>
      <c r="AR303" s="550"/>
      <c r="AS303" s="550"/>
      <c r="AT303" s="550"/>
      <c r="AU303" s="550"/>
      <c r="AV303" s="550"/>
      <c r="AW303" s="550"/>
      <c r="AX303" s="550"/>
      <c r="AY303" s="550"/>
      <c r="AZ303" s="550"/>
      <c r="BA303" s="551"/>
      <c r="BB303" s="128"/>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row>
    <row r="304" spans="1:111" ht="9" customHeight="1">
      <c r="A304" s="128"/>
      <c r="B304" s="187"/>
      <c r="C304" s="187"/>
      <c r="D304" s="187"/>
      <c r="E304" s="187"/>
      <c r="F304" s="187"/>
      <c r="G304" s="187"/>
      <c r="H304" s="187"/>
      <c r="I304" s="188"/>
      <c r="J304" s="187"/>
      <c r="K304" s="187"/>
      <c r="L304" s="187"/>
      <c r="M304" s="187"/>
      <c r="N304" s="128"/>
      <c r="O304" s="552"/>
      <c r="P304" s="553"/>
      <c r="Q304" s="553"/>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553"/>
      <c r="AM304" s="553"/>
      <c r="AN304" s="553"/>
      <c r="AO304" s="553"/>
      <c r="AP304" s="553"/>
      <c r="AQ304" s="553"/>
      <c r="AR304" s="553"/>
      <c r="AS304" s="553"/>
      <c r="AT304" s="553"/>
      <c r="AU304" s="553"/>
      <c r="AV304" s="553"/>
      <c r="AW304" s="553"/>
      <c r="AX304" s="553"/>
      <c r="AY304" s="553"/>
      <c r="AZ304" s="553"/>
      <c r="BA304" s="554"/>
      <c r="BB304" s="128"/>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row>
    <row r="305" spans="1:111" ht="4.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row>
    <row r="306" spans="1:111" ht="9" customHeight="1">
      <c r="A306" s="128"/>
      <c r="B306" s="527" t="s">
        <v>439</v>
      </c>
      <c r="C306" s="527"/>
      <c r="D306" s="527"/>
      <c r="E306" s="527"/>
      <c r="F306" s="527"/>
      <c r="G306" s="527"/>
      <c r="H306" s="527"/>
      <c r="I306" s="527"/>
      <c r="J306" s="527"/>
      <c r="K306" s="527"/>
      <c r="L306" s="527"/>
      <c r="M306" s="527"/>
      <c r="N306" s="186"/>
      <c r="O306" s="534"/>
      <c r="P306" s="535"/>
      <c r="Q306" s="535"/>
      <c r="R306" s="535"/>
      <c r="S306" s="535"/>
      <c r="T306" s="535"/>
      <c r="U306" s="535"/>
      <c r="V306" s="535"/>
      <c r="W306" s="535"/>
      <c r="X306" s="535"/>
      <c r="Y306" s="535"/>
      <c r="Z306" s="536"/>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row>
    <row r="307" spans="1:111" ht="9" customHeight="1">
      <c r="A307" s="128"/>
      <c r="B307" s="527"/>
      <c r="C307" s="527"/>
      <c r="D307" s="527"/>
      <c r="E307" s="527"/>
      <c r="F307" s="527"/>
      <c r="G307" s="527"/>
      <c r="H307" s="527"/>
      <c r="I307" s="527"/>
      <c r="J307" s="527"/>
      <c r="K307" s="527"/>
      <c r="L307" s="527"/>
      <c r="M307" s="527"/>
      <c r="N307" s="186"/>
      <c r="O307" s="537"/>
      <c r="P307" s="538"/>
      <c r="Q307" s="538"/>
      <c r="R307" s="538"/>
      <c r="S307" s="538"/>
      <c r="T307" s="538"/>
      <c r="U307" s="538"/>
      <c r="V307" s="538"/>
      <c r="W307" s="538"/>
      <c r="X307" s="538"/>
      <c r="Y307" s="538"/>
      <c r="Z307" s="539"/>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row>
    <row r="308" spans="1:111" ht="30" customHeight="1">
      <c r="A308" s="129"/>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c r="AY308" s="130"/>
      <c r="AZ308" s="130"/>
      <c r="BA308" s="130"/>
      <c r="BB308" s="129"/>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row>
    <row r="309" spans="1:111" ht="9" customHeight="1" thickBot="1">
      <c r="A309" s="129"/>
      <c r="B309" s="129"/>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row>
    <row r="310" spans="1:111" ht="9" customHeight="1">
      <c r="A310" s="129"/>
      <c r="B310" s="501" t="s">
        <v>424</v>
      </c>
      <c r="C310" s="501"/>
      <c r="D310" s="501"/>
      <c r="E310" s="501"/>
      <c r="F310" s="501"/>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1"/>
      <c r="AJ310" s="501"/>
      <c r="AK310" s="501"/>
      <c r="AL310" s="501"/>
      <c r="AM310" s="501"/>
      <c r="AN310" s="501"/>
      <c r="AO310" s="501"/>
      <c r="AP310" s="501"/>
      <c r="AQ310" s="501"/>
      <c r="AR310" s="501"/>
      <c r="AS310" s="501"/>
      <c r="AT310" s="501"/>
      <c r="AU310" s="501"/>
      <c r="AV310" s="501"/>
      <c r="AW310" s="501"/>
      <c r="AX310" s="501"/>
      <c r="AY310" s="501"/>
      <c r="AZ310" s="501"/>
      <c r="BA310" s="502"/>
      <c r="BB310" s="129"/>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row>
    <row r="311" spans="1:111" ht="9" customHeight="1">
      <c r="A311" s="129"/>
      <c r="B311" s="503"/>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503"/>
      <c r="AO311" s="503"/>
      <c r="AP311" s="503"/>
      <c r="AQ311" s="503"/>
      <c r="AR311" s="503"/>
      <c r="AS311" s="503"/>
      <c r="AT311" s="503"/>
      <c r="AU311" s="503"/>
      <c r="AV311" s="503"/>
      <c r="AW311" s="503"/>
      <c r="AX311" s="503"/>
      <c r="AY311" s="503"/>
      <c r="AZ311" s="503"/>
      <c r="BA311" s="504"/>
      <c r="BB311" s="129"/>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row>
    <row r="312" spans="1:111" ht="9" customHeight="1">
      <c r="A312" s="129"/>
      <c r="B312" s="505"/>
      <c r="C312" s="505"/>
      <c r="D312" s="505"/>
      <c r="E312" s="505"/>
      <c r="F312" s="505"/>
      <c r="G312" s="505"/>
      <c r="H312" s="505"/>
      <c r="I312" s="505"/>
      <c r="J312" s="505"/>
      <c r="K312" s="505"/>
      <c r="L312" s="505"/>
      <c r="M312" s="505"/>
      <c r="N312" s="505"/>
      <c r="O312" s="505"/>
      <c r="P312" s="505"/>
      <c r="Q312" s="505"/>
      <c r="R312" s="505"/>
      <c r="S312" s="505"/>
      <c r="T312" s="505"/>
      <c r="U312" s="505"/>
      <c r="V312" s="505"/>
      <c r="W312" s="505"/>
      <c r="X312" s="505"/>
      <c r="Y312" s="505"/>
      <c r="Z312" s="505"/>
      <c r="AA312" s="505"/>
      <c r="AB312" s="505"/>
      <c r="AC312" s="505"/>
      <c r="AD312" s="505"/>
      <c r="AE312" s="505"/>
      <c r="AF312" s="505"/>
      <c r="AG312" s="505"/>
      <c r="AH312" s="505"/>
      <c r="AI312" s="505"/>
      <c r="AJ312" s="505"/>
      <c r="AK312" s="505"/>
      <c r="AL312" s="505"/>
      <c r="AM312" s="505"/>
      <c r="AN312" s="505"/>
      <c r="AO312" s="505"/>
      <c r="AP312" s="505"/>
      <c r="AQ312" s="505"/>
      <c r="AR312" s="505"/>
      <c r="AS312" s="505"/>
      <c r="AT312" s="505"/>
      <c r="AU312" s="505"/>
      <c r="AV312" s="505"/>
      <c r="AW312" s="505"/>
      <c r="AX312" s="505"/>
      <c r="AY312" s="505"/>
      <c r="AZ312" s="505"/>
      <c r="BA312" s="506"/>
      <c r="BB312" s="129"/>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row>
    <row r="313" spans="1:111" ht="9" customHeight="1">
      <c r="A313" s="129"/>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c r="AY313" s="130"/>
      <c r="AZ313" s="130"/>
      <c r="BA313" s="130"/>
      <c r="BB313" s="129"/>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row>
    <row r="314" spans="1:111" ht="9" customHeight="1">
      <c r="A314" s="129"/>
      <c r="B314" s="521" t="s">
        <v>445</v>
      </c>
      <c r="C314" s="521"/>
      <c r="D314" s="521"/>
      <c r="E314" s="521"/>
      <c r="F314" s="521"/>
      <c r="G314" s="521"/>
      <c r="H314" s="521"/>
      <c r="I314" s="521"/>
      <c r="J314" s="521"/>
      <c r="K314" s="521"/>
      <c r="L314" s="521"/>
      <c r="M314" s="521"/>
      <c r="N314" s="521"/>
      <c r="O314" s="521"/>
      <c r="P314" s="521"/>
      <c r="Q314" s="521"/>
      <c r="R314" s="521"/>
      <c r="S314" s="521"/>
      <c r="T314" s="521"/>
      <c r="U314" s="521"/>
      <c r="V314" s="521"/>
      <c r="W314" s="521"/>
      <c r="X314" s="521"/>
      <c r="Y314" s="521"/>
      <c r="Z314" s="521"/>
      <c r="AA314" s="521"/>
      <c r="AB314" s="521"/>
      <c r="AC314" s="521"/>
      <c r="AD314" s="521"/>
      <c r="AE314" s="521"/>
      <c r="AF314" s="521"/>
      <c r="AG314" s="521"/>
      <c r="AH314" s="521"/>
      <c r="AI314" s="521"/>
      <c r="AJ314" s="521"/>
      <c r="AK314" s="521"/>
      <c r="AL314" s="521"/>
      <c r="AM314" s="521"/>
      <c r="AN314" s="521"/>
      <c r="AO314" s="521"/>
      <c r="AP314" s="521"/>
      <c r="AQ314" s="521"/>
      <c r="AR314" s="521"/>
      <c r="AS314" s="521"/>
      <c r="AT314" s="521"/>
      <c r="AU314" s="521"/>
      <c r="AV314" s="521"/>
      <c r="AW314" s="521"/>
      <c r="AX314" s="521"/>
      <c r="AY314" s="521"/>
      <c r="AZ314" s="521"/>
      <c r="BA314" s="522"/>
      <c r="BB314" s="129"/>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row>
    <row r="315" spans="1:111" ht="9" customHeight="1">
      <c r="A315" s="129"/>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c r="AZ315" s="523"/>
      <c r="BA315" s="524"/>
      <c r="BB315" s="129"/>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row>
    <row r="316" spans="1:111" ht="9"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row>
    <row r="317" spans="1:111" ht="9" customHeight="1">
      <c r="A317" s="128"/>
      <c r="B317" s="525" t="s">
        <v>446</v>
      </c>
      <c r="C317" s="525"/>
      <c r="D317" s="525"/>
      <c r="E317" s="525"/>
      <c r="F317" s="525"/>
      <c r="G317" s="525"/>
      <c r="H317" s="525"/>
      <c r="I317" s="525"/>
      <c r="J317" s="525"/>
      <c r="K317" s="525"/>
      <c r="L317" s="525"/>
      <c r="M317" s="525"/>
      <c r="N317" s="525"/>
      <c r="O317" s="525"/>
      <c r="P317" s="525"/>
      <c r="Q317" s="525"/>
      <c r="R317" s="525"/>
      <c r="S317" s="525"/>
      <c r="T317" s="525"/>
      <c r="U317" s="525"/>
      <c r="V317" s="525"/>
      <c r="W317" s="525"/>
      <c r="X317" s="525"/>
      <c r="Y317" s="525"/>
      <c r="Z317" s="525"/>
      <c r="AA317" s="525"/>
      <c r="AB317" s="525"/>
      <c r="AC317" s="525"/>
      <c r="AD317" s="525"/>
      <c r="AE317" s="525"/>
      <c r="AF317" s="525"/>
      <c r="AG317" s="525"/>
      <c r="AH317" s="525"/>
      <c r="AI317" s="525"/>
      <c r="AJ317" s="525"/>
      <c r="AK317" s="525"/>
      <c r="AL317" s="525"/>
      <c r="AM317" s="525"/>
      <c r="AN317" s="525"/>
      <c r="AO317" s="525"/>
      <c r="AP317" s="525"/>
      <c r="AQ317" s="525"/>
      <c r="AR317" s="525"/>
      <c r="AS317" s="525"/>
      <c r="AT317" s="525"/>
      <c r="AU317" s="525"/>
      <c r="AV317" s="525"/>
      <c r="AW317" s="525"/>
      <c r="AX317" s="525"/>
      <c r="AY317" s="525"/>
      <c r="AZ317" s="525"/>
      <c r="BA317" s="525"/>
      <c r="BB317" s="128"/>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row>
    <row r="318" spans="1:111" ht="9" customHeight="1">
      <c r="A318" s="128"/>
      <c r="B318" s="526"/>
      <c r="C318" s="526"/>
      <c r="D318" s="526"/>
      <c r="E318" s="526"/>
      <c r="F318" s="526"/>
      <c r="G318" s="526"/>
      <c r="H318" s="526"/>
      <c r="I318" s="526"/>
      <c r="J318" s="526"/>
      <c r="K318" s="526"/>
      <c r="L318" s="526"/>
      <c r="M318" s="526"/>
      <c r="N318" s="526"/>
      <c r="O318" s="526"/>
      <c r="P318" s="526"/>
      <c r="Q318" s="526"/>
      <c r="R318" s="526"/>
      <c r="S318" s="526"/>
      <c r="T318" s="526"/>
      <c r="U318" s="526"/>
      <c r="V318" s="526"/>
      <c r="W318" s="526"/>
      <c r="X318" s="526"/>
      <c r="Y318" s="526"/>
      <c r="Z318" s="526"/>
      <c r="AA318" s="526"/>
      <c r="AB318" s="526"/>
      <c r="AC318" s="526"/>
      <c r="AD318" s="526"/>
      <c r="AE318" s="526"/>
      <c r="AF318" s="526"/>
      <c r="AG318" s="526"/>
      <c r="AH318" s="526"/>
      <c r="AI318" s="526"/>
      <c r="AJ318" s="526"/>
      <c r="AK318" s="526"/>
      <c r="AL318" s="526"/>
      <c r="AM318" s="526"/>
      <c r="AN318" s="526"/>
      <c r="AO318" s="526"/>
      <c r="AP318" s="526"/>
      <c r="AQ318" s="526"/>
      <c r="AR318" s="526"/>
      <c r="AS318" s="526"/>
      <c r="AT318" s="526"/>
      <c r="AU318" s="526"/>
      <c r="AV318" s="526"/>
      <c r="AW318" s="526"/>
      <c r="AX318" s="526"/>
      <c r="AY318" s="526"/>
      <c r="AZ318" s="526"/>
      <c r="BA318" s="526"/>
      <c r="BB318" s="128"/>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row>
    <row r="319" spans="1:111" ht="4.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row>
    <row r="320" spans="1:111" ht="9" customHeight="1">
      <c r="A320" s="128"/>
      <c r="B320" s="527" t="s">
        <v>447</v>
      </c>
      <c r="C320" s="527"/>
      <c r="D320" s="527"/>
      <c r="E320" s="527"/>
      <c r="F320" s="527"/>
      <c r="G320" s="527"/>
      <c r="H320" s="527"/>
      <c r="I320" s="527"/>
      <c r="J320" s="527"/>
      <c r="K320" s="527"/>
      <c r="L320" s="527"/>
      <c r="M320" s="527"/>
      <c r="N320" s="186"/>
      <c r="O320" s="546"/>
      <c r="P320" s="547"/>
      <c r="Q320" s="547"/>
      <c r="R320" s="547"/>
      <c r="S320" s="547"/>
      <c r="T320" s="547"/>
      <c r="U320" s="547"/>
      <c r="V320" s="547"/>
      <c r="W320" s="547"/>
      <c r="X320" s="547"/>
      <c r="Y320" s="547"/>
      <c r="Z320" s="547"/>
      <c r="AA320" s="547"/>
      <c r="AB320" s="547"/>
      <c r="AC320" s="547"/>
      <c r="AD320" s="547"/>
      <c r="AE320" s="547"/>
      <c r="AF320" s="547"/>
      <c r="AG320" s="547"/>
      <c r="AH320" s="547"/>
      <c r="AI320" s="547"/>
      <c r="AJ320" s="547"/>
      <c r="AK320" s="547"/>
      <c r="AL320" s="547"/>
      <c r="AM320" s="547"/>
      <c r="AN320" s="547"/>
      <c r="AO320" s="547"/>
      <c r="AP320" s="547"/>
      <c r="AQ320" s="547"/>
      <c r="AR320" s="547"/>
      <c r="AS320" s="547"/>
      <c r="AT320" s="547"/>
      <c r="AU320" s="547"/>
      <c r="AV320" s="547"/>
      <c r="AW320" s="547"/>
      <c r="AX320" s="547"/>
      <c r="AY320" s="547"/>
      <c r="AZ320" s="547"/>
      <c r="BA320" s="548"/>
      <c r="BB320" s="128"/>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row>
    <row r="321" spans="1:111" ht="9" customHeight="1">
      <c r="A321" s="128"/>
      <c r="B321" s="527"/>
      <c r="C321" s="527"/>
      <c r="D321" s="527"/>
      <c r="E321" s="527"/>
      <c r="F321" s="527"/>
      <c r="G321" s="527"/>
      <c r="H321" s="527"/>
      <c r="I321" s="527"/>
      <c r="J321" s="527"/>
      <c r="K321" s="527"/>
      <c r="L321" s="527"/>
      <c r="M321" s="527"/>
      <c r="N321" s="186"/>
      <c r="O321" s="549"/>
      <c r="P321" s="550"/>
      <c r="Q321" s="550"/>
      <c r="R321" s="550"/>
      <c r="S321" s="550"/>
      <c r="T321" s="550"/>
      <c r="U321" s="550"/>
      <c r="V321" s="550"/>
      <c r="W321" s="550"/>
      <c r="X321" s="550"/>
      <c r="Y321" s="550"/>
      <c r="Z321" s="550"/>
      <c r="AA321" s="550"/>
      <c r="AB321" s="550"/>
      <c r="AC321" s="550"/>
      <c r="AD321" s="550"/>
      <c r="AE321" s="550"/>
      <c r="AF321" s="550"/>
      <c r="AG321" s="550"/>
      <c r="AH321" s="550"/>
      <c r="AI321" s="550"/>
      <c r="AJ321" s="550"/>
      <c r="AK321" s="550"/>
      <c r="AL321" s="550"/>
      <c r="AM321" s="550"/>
      <c r="AN321" s="550"/>
      <c r="AO321" s="550"/>
      <c r="AP321" s="550"/>
      <c r="AQ321" s="550"/>
      <c r="AR321" s="550"/>
      <c r="AS321" s="550"/>
      <c r="AT321" s="550"/>
      <c r="AU321" s="550"/>
      <c r="AV321" s="550"/>
      <c r="AW321" s="550"/>
      <c r="AX321" s="550"/>
      <c r="AY321" s="550"/>
      <c r="AZ321" s="550"/>
      <c r="BA321" s="551"/>
      <c r="BB321" s="128"/>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row>
    <row r="322" spans="1:111" ht="9" customHeight="1">
      <c r="A322" s="128"/>
      <c r="B322" s="187"/>
      <c r="C322" s="187"/>
      <c r="D322" s="187"/>
      <c r="E322" s="187"/>
      <c r="F322" s="187"/>
      <c r="G322" s="187"/>
      <c r="H322" s="187"/>
      <c r="I322" s="188"/>
      <c r="J322" s="187"/>
      <c r="K322" s="187"/>
      <c r="L322" s="187"/>
      <c r="M322" s="187"/>
      <c r="N322" s="128"/>
      <c r="O322" s="549"/>
      <c r="P322" s="550"/>
      <c r="Q322" s="550"/>
      <c r="R322" s="550"/>
      <c r="S322" s="550"/>
      <c r="T322" s="550"/>
      <c r="U322" s="550"/>
      <c r="V322" s="550"/>
      <c r="W322" s="550"/>
      <c r="X322" s="550"/>
      <c r="Y322" s="550"/>
      <c r="Z322" s="550"/>
      <c r="AA322" s="550"/>
      <c r="AB322" s="550"/>
      <c r="AC322" s="550"/>
      <c r="AD322" s="550"/>
      <c r="AE322" s="550"/>
      <c r="AF322" s="550"/>
      <c r="AG322" s="550"/>
      <c r="AH322" s="550"/>
      <c r="AI322" s="550"/>
      <c r="AJ322" s="550"/>
      <c r="AK322" s="550"/>
      <c r="AL322" s="550"/>
      <c r="AM322" s="550"/>
      <c r="AN322" s="550"/>
      <c r="AO322" s="550"/>
      <c r="AP322" s="550"/>
      <c r="AQ322" s="550"/>
      <c r="AR322" s="550"/>
      <c r="AS322" s="550"/>
      <c r="AT322" s="550"/>
      <c r="AU322" s="550"/>
      <c r="AV322" s="550"/>
      <c r="AW322" s="550"/>
      <c r="AX322" s="550"/>
      <c r="AY322" s="550"/>
      <c r="AZ322" s="550"/>
      <c r="BA322" s="551"/>
      <c r="BB322" s="128"/>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row>
    <row r="323" spans="1:111" ht="9" customHeight="1">
      <c r="A323" s="128"/>
      <c r="B323" s="187"/>
      <c r="C323" s="187"/>
      <c r="D323" s="187"/>
      <c r="E323" s="187"/>
      <c r="F323" s="187"/>
      <c r="G323" s="187"/>
      <c r="H323" s="187"/>
      <c r="I323" s="188"/>
      <c r="J323" s="187"/>
      <c r="K323" s="187"/>
      <c r="L323" s="187"/>
      <c r="M323" s="187"/>
      <c r="N323" s="128"/>
      <c r="O323" s="552"/>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R323" s="553"/>
      <c r="AS323" s="553"/>
      <c r="AT323" s="553"/>
      <c r="AU323" s="553"/>
      <c r="AV323" s="553"/>
      <c r="AW323" s="553"/>
      <c r="AX323" s="553"/>
      <c r="AY323" s="553"/>
      <c r="AZ323" s="553"/>
      <c r="BA323" s="554"/>
      <c r="BB323" s="128"/>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row>
    <row r="324" spans="1:111" ht="4.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row>
    <row r="325" spans="1:111" ht="9" customHeight="1">
      <c r="A325" s="128"/>
      <c r="B325" s="527" t="s">
        <v>448</v>
      </c>
      <c r="C325" s="527"/>
      <c r="D325" s="527"/>
      <c r="E325" s="527"/>
      <c r="F325" s="527"/>
      <c r="G325" s="527"/>
      <c r="H325" s="527"/>
      <c r="I325" s="527"/>
      <c r="J325" s="527"/>
      <c r="K325" s="527"/>
      <c r="L325" s="527"/>
      <c r="M325" s="527"/>
      <c r="N325" s="186"/>
      <c r="O325" s="528"/>
      <c r="P325" s="529"/>
      <c r="Q325" s="529"/>
      <c r="R325" s="529"/>
      <c r="S325" s="529"/>
      <c r="T325" s="529"/>
      <c r="U325" s="529"/>
      <c r="V325" s="529"/>
      <c r="W325" s="529"/>
      <c r="X325" s="529"/>
      <c r="Y325" s="529"/>
      <c r="Z325" s="530"/>
      <c r="AA325" s="128"/>
      <c r="AB325" s="128"/>
      <c r="AC325" s="527" t="s">
        <v>449</v>
      </c>
      <c r="AD325" s="527"/>
      <c r="AE325" s="527"/>
      <c r="AF325" s="527"/>
      <c r="AG325" s="527"/>
      <c r="AH325" s="527"/>
      <c r="AI325" s="527"/>
      <c r="AJ325" s="527"/>
      <c r="AK325" s="527"/>
      <c r="AL325" s="527"/>
      <c r="AM325" s="527"/>
      <c r="AN325" s="527"/>
      <c r="AO325" s="128"/>
      <c r="AP325" s="528"/>
      <c r="AQ325" s="529"/>
      <c r="AR325" s="529"/>
      <c r="AS325" s="529"/>
      <c r="AT325" s="529"/>
      <c r="AU325" s="529"/>
      <c r="AV325" s="529"/>
      <c r="AW325" s="529"/>
      <c r="AX325" s="529"/>
      <c r="AY325" s="529"/>
      <c r="AZ325" s="529"/>
      <c r="BA325" s="530"/>
      <c r="BB325" s="128"/>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row>
    <row r="326" spans="1:111" ht="9" customHeight="1">
      <c r="A326" s="128"/>
      <c r="B326" s="527"/>
      <c r="C326" s="527"/>
      <c r="D326" s="527"/>
      <c r="E326" s="527"/>
      <c r="F326" s="527"/>
      <c r="G326" s="527"/>
      <c r="H326" s="527"/>
      <c r="I326" s="527"/>
      <c r="J326" s="527"/>
      <c r="K326" s="527"/>
      <c r="L326" s="527"/>
      <c r="M326" s="527"/>
      <c r="N326" s="186"/>
      <c r="O326" s="531"/>
      <c r="P326" s="532"/>
      <c r="Q326" s="532"/>
      <c r="R326" s="532"/>
      <c r="S326" s="532"/>
      <c r="T326" s="532"/>
      <c r="U326" s="532"/>
      <c r="V326" s="532"/>
      <c r="W326" s="532"/>
      <c r="X326" s="532"/>
      <c r="Y326" s="532"/>
      <c r="Z326" s="533"/>
      <c r="AA326" s="128"/>
      <c r="AB326" s="128"/>
      <c r="AC326" s="527"/>
      <c r="AD326" s="527"/>
      <c r="AE326" s="527"/>
      <c r="AF326" s="527"/>
      <c r="AG326" s="527"/>
      <c r="AH326" s="527"/>
      <c r="AI326" s="527"/>
      <c r="AJ326" s="527"/>
      <c r="AK326" s="527"/>
      <c r="AL326" s="527"/>
      <c r="AM326" s="527"/>
      <c r="AN326" s="527"/>
      <c r="AO326" s="128"/>
      <c r="AP326" s="531"/>
      <c r="AQ326" s="532"/>
      <c r="AR326" s="532"/>
      <c r="AS326" s="532"/>
      <c r="AT326" s="532"/>
      <c r="AU326" s="532"/>
      <c r="AV326" s="532"/>
      <c r="AW326" s="532"/>
      <c r="AX326" s="532"/>
      <c r="AY326" s="532"/>
      <c r="AZ326" s="532"/>
      <c r="BA326" s="533"/>
      <c r="BB326" s="128"/>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row>
    <row r="327" spans="1:111" ht="4.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row>
    <row r="328" spans="1:111" ht="9" customHeight="1">
      <c r="A328" s="128"/>
      <c r="B328" s="527" t="s">
        <v>450</v>
      </c>
      <c r="C328" s="527"/>
      <c r="D328" s="527"/>
      <c r="E328" s="527"/>
      <c r="F328" s="527"/>
      <c r="G328" s="527"/>
      <c r="H328" s="527"/>
      <c r="I328" s="527"/>
      <c r="J328" s="527"/>
      <c r="K328" s="527"/>
      <c r="L328" s="527"/>
      <c r="M328" s="527"/>
      <c r="N328" s="186"/>
      <c r="O328" s="528"/>
      <c r="P328" s="529"/>
      <c r="Q328" s="529"/>
      <c r="R328" s="529"/>
      <c r="S328" s="529"/>
      <c r="T328" s="529"/>
      <c r="U328" s="529"/>
      <c r="V328" s="529"/>
      <c r="W328" s="529"/>
      <c r="X328" s="529"/>
      <c r="Y328" s="529"/>
      <c r="Z328" s="530"/>
      <c r="AA328" s="128"/>
      <c r="AB328" s="128"/>
      <c r="AC328" s="527" t="s">
        <v>451</v>
      </c>
      <c r="AD328" s="527"/>
      <c r="AE328" s="527"/>
      <c r="AF328" s="527"/>
      <c r="AG328" s="527"/>
      <c r="AH328" s="527"/>
      <c r="AI328" s="527"/>
      <c r="AJ328" s="527"/>
      <c r="AK328" s="527"/>
      <c r="AL328" s="527"/>
      <c r="AM328" s="527"/>
      <c r="AN328" s="527"/>
      <c r="AO328" s="128"/>
      <c r="AP328" s="528"/>
      <c r="AQ328" s="529"/>
      <c r="AR328" s="529"/>
      <c r="AS328" s="529"/>
      <c r="AT328" s="529"/>
      <c r="AU328" s="529"/>
      <c r="AV328" s="529"/>
      <c r="AW328" s="529"/>
      <c r="AX328" s="529"/>
      <c r="AY328" s="529"/>
      <c r="AZ328" s="529"/>
      <c r="BA328" s="530"/>
      <c r="BB328" s="128"/>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row>
    <row r="329" spans="1:111" ht="9" customHeight="1">
      <c r="A329" s="128"/>
      <c r="B329" s="527"/>
      <c r="C329" s="527"/>
      <c r="D329" s="527"/>
      <c r="E329" s="527"/>
      <c r="F329" s="527"/>
      <c r="G329" s="527"/>
      <c r="H329" s="527"/>
      <c r="I329" s="527"/>
      <c r="J329" s="527"/>
      <c r="K329" s="527"/>
      <c r="L329" s="527"/>
      <c r="M329" s="527"/>
      <c r="N329" s="186"/>
      <c r="O329" s="531"/>
      <c r="P329" s="532"/>
      <c r="Q329" s="532"/>
      <c r="R329" s="532"/>
      <c r="S329" s="532"/>
      <c r="T329" s="532"/>
      <c r="U329" s="532"/>
      <c r="V329" s="532"/>
      <c r="W329" s="532"/>
      <c r="X329" s="532"/>
      <c r="Y329" s="532"/>
      <c r="Z329" s="533"/>
      <c r="AA329" s="128"/>
      <c r="AB329" s="128"/>
      <c r="AC329" s="527"/>
      <c r="AD329" s="527"/>
      <c r="AE329" s="527"/>
      <c r="AF329" s="527"/>
      <c r="AG329" s="527"/>
      <c r="AH329" s="527"/>
      <c r="AI329" s="527"/>
      <c r="AJ329" s="527"/>
      <c r="AK329" s="527"/>
      <c r="AL329" s="527"/>
      <c r="AM329" s="527"/>
      <c r="AN329" s="527"/>
      <c r="AO329" s="128"/>
      <c r="AP329" s="531"/>
      <c r="AQ329" s="532"/>
      <c r="AR329" s="532"/>
      <c r="AS329" s="532"/>
      <c r="AT329" s="532"/>
      <c r="AU329" s="532"/>
      <c r="AV329" s="532"/>
      <c r="AW329" s="532"/>
      <c r="AX329" s="532"/>
      <c r="AY329" s="532"/>
      <c r="AZ329" s="532"/>
      <c r="BA329" s="533"/>
      <c r="BB329" s="128"/>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row>
    <row r="330" spans="1:111" ht="4.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row>
    <row r="331" spans="1:111" ht="9" customHeight="1">
      <c r="A331" s="128"/>
      <c r="B331" s="527" t="s">
        <v>452</v>
      </c>
      <c r="C331" s="527"/>
      <c r="D331" s="527"/>
      <c r="E331" s="527"/>
      <c r="F331" s="527"/>
      <c r="G331" s="527"/>
      <c r="H331" s="527"/>
      <c r="I331" s="527"/>
      <c r="J331" s="527"/>
      <c r="K331" s="527"/>
      <c r="L331" s="527"/>
      <c r="M331" s="527"/>
      <c r="N331" s="186"/>
      <c r="O331" s="546"/>
      <c r="P331" s="547"/>
      <c r="Q331" s="547"/>
      <c r="R331" s="547"/>
      <c r="S331" s="547"/>
      <c r="T331" s="547"/>
      <c r="U331" s="547"/>
      <c r="V331" s="547"/>
      <c r="W331" s="547"/>
      <c r="X331" s="547"/>
      <c r="Y331" s="547"/>
      <c r="Z331" s="547"/>
      <c r="AA331" s="547"/>
      <c r="AB331" s="547"/>
      <c r="AC331" s="547"/>
      <c r="AD331" s="547"/>
      <c r="AE331" s="547"/>
      <c r="AF331" s="547"/>
      <c r="AG331" s="547"/>
      <c r="AH331" s="547"/>
      <c r="AI331" s="547"/>
      <c r="AJ331" s="547"/>
      <c r="AK331" s="547"/>
      <c r="AL331" s="547"/>
      <c r="AM331" s="547"/>
      <c r="AN331" s="547"/>
      <c r="AO331" s="547"/>
      <c r="AP331" s="547"/>
      <c r="AQ331" s="547"/>
      <c r="AR331" s="547"/>
      <c r="AS331" s="547"/>
      <c r="AT331" s="547"/>
      <c r="AU331" s="547"/>
      <c r="AV331" s="547"/>
      <c r="AW331" s="547"/>
      <c r="AX331" s="547"/>
      <c r="AY331" s="547"/>
      <c r="AZ331" s="547"/>
      <c r="BA331" s="548"/>
      <c r="BB331" s="128"/>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row>
    <row r="332" spans="1:111" ht="9" customHeight="1">
      <c r="A332" s="128"/>
      <c r="B332" s="527"/>
      <c r="C332" s="527"/>
      <c r="D332" s="527"/>
      <c r="E332" s="527"/>
      <c r="F332" s="527"/>
      <c r="G332" s="527"/>
      <c r="H332" s="527"/>
      <c r="I332" s="527"/>
      <c r="J332" s="527"/>
      <c r="K332" s="527"/>
      <c r="L332" s="527"/>
      <c r="M332" s="527"/>
      <c r="N332" s="186"/>
      <c r="O332" s="549"/>
      <c r="P332" s="550"/>
      <c r="Q332" s="550"/>
      <c r="R332" s="550"/>
      <c r="S332" s="550"/>
      <c r="T332" s="550"/>
      <c r="U332" s="550"/>
      <c r="V332" s="550"/>
      <c r="W332" s="550"/>
      <c r="X332" s="550"/>
      <c r="Y332" s="550"/>
      <c r="Z332" s="550"/>
      <c r="AA332" s="550"/>
      <c r="AB332" s="550"/>
      <c r="AC332" s="550"/>
      <c r="AD332" s="550"/>
      <c r="AE332" s="550"/>
      <c r="AF332" s="550"/>
      <c r="AG332" s="550"/>
      <c r="AH332" s="550"/>
      <c r="AI332" s="550"/>
      <c r="AJ332" s="550"/>
      <c r="AK332" s="550"/>
      <c r="AL332" s="550"/>
      <c r="AM332" s="550"/>
      <c r="AN332" s="550"/>
      <c r="AO332" s="550"/>
      <c r="AP332" s="550"/>
      <c r="AQ332" s="550"/>
      <c r="AR332" s="550"/>
      <c r="AS332" s="550"/>
      <c r="AT332" s="550"/>
      <c r="AU332" s="550"/>
      <c r="AV332" s="550"/>
      <c r="AW332" s="550"/>
      <c r="AX332" s="550"/>
      <c r="AY332" s="550"/>
      <c r="AZ332" s="550"/>
      <c r="BA332" s="551"/>
      <c r="BB332" s="128"/>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row>
    <row r="333" spans="1:111" ht="9" customHeight="1">
      <c r="A333" s="128"/>
      <c r="B333" s="187"/>
      <c r="C333" s="187"/>
      <c r="D333" s="187"/>
      <c r="E333" s="187"/>
      <c r="F333" s="187"/>
      <c r="G333" s="187"/>
      <c r="H333" s="187"/>
      <c r="I333" s="188"/>
      <c r="J333" s="187"/>
      <c r="K333" s="187"/>
      <c r="L333" s="187"/>
      <c r="M333" s="187"/>
      <c r="N333" s="128"/>
      <c r="O333" s="549"/>
      <c r="P333" s="550"/>
      <c r="Q333" s="550"/>
      <c r="R333" s="550"/>
      <c r="S333" s="550"/>
      <c r="T333" s="550"/>
      <c r="U333" s="550"/>
      <c r="V333" s="550"/>
      <c r="W333" s="550"/>
      <c r="X333" s="550"/>
      <c r="Y333" s="550"/>
      <c r="Z333" s="550"/>
      <c r="AA333" s="550"/>
      <c r="AB333" s="550"/>
      <c r="AC333" s="550"/>
      <c r="AD333" s="550"/>
      <c r="AE333" s="550"/>
      <c r="AF333" s="550"/>
      <c r="AG333" s="550"/>
      <c r="AH333" s="550"/>
      <c r="AI333" s="550"/>
      <c r="AJ333" s="550"/>
      <c r="AK333" s="550"/>
      <c r="AL333" s="550"/>
      <c r="AM333" s="550"/>
      <c r="AN333" s="550"/>
      <c r="AO333" s="550"/>
      <c r="AP333" s="550"/>
      <c r="AQ333" s="550"/>
      <c r="AR333" s="550"/>
      <c r="AS333" s="550"/>
      <c r="AT333" s="550"/>
      <c r="AU333" s="550"/>
      <c r="AV333" s="550"/>
      <c r="AW333" s="550"/>
      <c r="AX333" s="550"/>
      <c r="AY333" s="550"/>
      <c r="AZ333" s="550"/>
      <c r="BA333" s="551"/>
      <c r="BB333" s="128"/>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row>
    <row r="334" spans="1:111" ht="9" customHeight="1">
      <c r="A334" s="128"/>
      <c r="B334" s="187"/>
      <c r="C334" s="187"/>
      <c r="D334" s="187"/>
      <c r="E334" s="187"/>
      <c r="F334" s="187"/>
      <c r="G334" s="187"/>
      <c r="H334" s="187"/>
      <c r="I334" s="188"/>
      <c r="J334" s="187"/>
      <c r="K334" s="187"/>
      <c r="L334" s="187"/>
      <c r="M334" s="187"/>
      <c r="N334" s="128"/>
      <c r="O334" s="552"/>
      <c r="P334" s="553"/>
      <c r="Q334" s="553"/>
      <c r="R334" s="553"/>
      <c r="S334" s="553"/>
      <c r="T334" s="553"/>
      <c r="U334" s="553"/>
      <c r="V334" s="553"/>
      <c r="W334" s="553"/>
      <c r="X334" s="553"/>
      <c r="Y334" s="553"/>
      <c r="Z334" s="553"/>
      <c r="AA334" s="553"/>
      <c r="AB334" s="553"/>
      <c r="AC334" s="553"/>
      <c r="AD334" s="553"/>
      <c r="AE334" s="553"/>
      <c r="AF334" s="553"/>
      <c r="AG334" s="553"/>
      <c r="AH334" s="553"/>
      <c r="AI334" s="553"/>
      <c r="AJ334" s="553"/>
      <c r="AK334" s="553"/>
      <c r="AL334" s="553"/>
      <c r="AM334" s="553"/>
      <c r="AN334" s="553"/>
      <c r="AO334" s="553"/>
      <c r="AP334" s="553"/>
      <c r="AQ334" s="553"/>
      <c r="AR334" s="553"/>
      <c r="AS334" s="553"/>
      <c r="AT334" s="553"/>
      <c r="AU334" s="553"/>
      <c r="AV334" s="553"/>
      <c r="AW334" s="553"/>
      <c r="AX334" s="553"/>
      <c r="AY334" s="553"/>
      <c r="AZ334" s="553"/>
      <c r="BA334" s="554"/>
      <c r="BB334" s="128"/>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row>
    <row r="335" spans="1:111" ht="4.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row>
    <row r="336" spans="1:111" ht="9" customHeight="1">
      <c r="A336" s="128"/>
      <c r="B336" s="527" t="s">
        <v>453</v>
      </c>
      <c r="C336" s="527"/>
      <c r="D336" s="527"/>
      <c r="E336" s="527"/>
      <c r="F336" s="527"/>
      <c r="G336" s="527"/>
      <c r="H336" s="527"/>
      <c r="I336" s="527"/>
      <c r="J336" s="527"/>
      <c r="K336" s="527"/>
      <c r="L336" s="527"/>
      <c r="M336" s="527"/>
      <c r="N336" s="186"/>
      <c r="O336" s="546"/>
      <c r="P336" s="547"/>
      <c r="Q336" s="547"/>
      <c r="R336" s="547"/>
      <c r="S336" s="547"/>
      <c r="T336" s="547"/>
      <c r="U336" s="547"/>
      <c r="V336" s="547"/>
      <c r="W336" s="547"/>
      <c r="X336" s="547"/>
      <c r="Y336" s="547"/>
      <c r="Z336" s="547"/>
      <c r="AA336" s="547"/>
      <c r="AB336" s="547"/>
      <c r="AC336" s="547"/>
      <c r="AD336" s="547"/>
      <c r="AE336" s="547"/>
      <c r="AF336" s="547"/>
      <c r="AG336" s="547"/>
      <c r="AH336" s="547"/>
      <c r="AI336" s="547"/>
      <c r="AJ336" s="547"/>
      <c r="AK336" s="547"/>
      <c r="AL336" s="547"/>
      <c r="AM336" s="547"/>
      <c r="AN336" s="547"/>
      <c r="AO336" s="547"/>
      <c r="AP336" s="547"/>
      <c r="AQ336" s="547"/>
      <c r="AR336" s="547"/>
      <c r="AS336" s="547"/>
      <c r="AT336" s="547"/>
      <c r="AU336" s="547"/>
      <c r="AV336" s="547"/>
      <c r="AW336" s="547"/>
      <c r="AX336" s="547"/>
      <c r="AY336" s="547"/>
      <c r="AZ336" s="547"/>
      <c r="BA336" s="548"/>
      <c r="BB336" s="128"/>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row>
    <row r="337" spans="1:111" ht="9" customHeight="1">
      <c r="A337" s="128"/>
      <c r="B337" s="527"/>
      <c r="C337" s="527"/>
      <c r="D337" s="527"/>
      <c r="E337" s="527"/>
      <c r="F337" s="527"/>
      <c r="G337" s="527"/>
      <c r="H337" s="527"/>
      <c r="I337" s="527"/>
      <c r="J337" s="527"/>
      <c r="K337" s="527"/>
      <c r="L337" s="527"/>
      <c r="M337" s="527"/>
      <c r="N337" s="186"/>
      <c r="O337" s="549"/>
      <c r="P337" s="550"/>
      <c r="Q337" s="550"/>
      <c r="R337" s="550"/>
      <c r="S337" s="550"/>
      <c r="T337" s="550"/>
      <c r="U337" s="550"/>
      <c r="V337" s="550"/>
      <c r="W337" s="550"/>
      <c r="X337" s="550"/>
      <c r="Y337" s="550"/>
      <c r="Z337" s="550"/>
      <c r="AA337" s="550"/>
      <c r="AB337" s="550"/>
      <c r="AC337" s="550"/>
      <c r="AD337" s="550"/>
      <c r="AE337" s="550"/>
      <c r="AF337" s="550"/>
      <c r="AG337" s="550"/>
      <c r="AH337" s="550"/>
      <c r="AI337" s="550"/>
      <c r="AJ337" s="550"/>
      <c r="AK337" s="550"/>
      <c r="AL337" s="550"/>
      <c r="AM337" s="550"/>
      <c r="AN337" s="550"/>
      <c r="AO337" s="550"/>
      <c r="AP337" s="550"/>
      <c r="AQ337" s="550"/>
      <c r="AR337" s="550"/>
      <c r="AS337" s="550"/>
      <c r="AT337" s="550"/>
      <c r="AU337" s="550"/>
      <c r="AV337" s="550"/>
      <c r="AW337" s="550"/>
      <c r="AX337" s="550"/>
      <c r="AY337" s="550"/>
      <c r="AZ337" s="550"/>
      <c r="BA337" s="551"/>
      <c r="BB337" s="128"/>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row>
    <row r="338" spans="1:111" ht="9" customHeight="1">
      <c r="A338" s="128"/>
      <c r="B338" s="187"/>
      <c r="C338" s="187"/>
      <c r="D338" s="187"/>
      <c r="E338" s="187"/>
      <c r="F338" s="187"/>
      <c r="G338" s="187"/>
      <c r="H338" s="187"/>
      <c r="I338" s="188"/>
      <c r="J338" s="187"/>
      <c r="K338" s="187"/>
      <c r="L338" s="187"/>
      <c r="M338" s="187"/>
      <c r="N338" s="128"/>
      <c r="O338" s="549"/>
      <c r="P338" s="550"/>
      <c r="Q338" s="550"/>
      <c r="R338" s="550"/>
      <c r="S338" s="550"/>
      <c r="T338" s="550"/>
      <c r="U338" s="550"/>
      <c r="V338" s="550"/>
      <c r="W338" s="550"/>
      <c r="X338" s="550"/>
      <c r="Y338" s="550"/>
      <c r="Z338" s="550"/>
      <c r="AA338" s="550"/>
      <c r="AB338" s="550"/>
      <c r="AC338" s="550"/>
      <c r="AD338" s="550"/>
      <c r="AE338" s="550"/>
      <c r="AF338" s="550"/>
      <c r="AG338" s="550"/>
      <c r="AH338" s="550"/>
      <c r="AI338" s="550"/>
      <c r="AJ338" s="550"/>
      <c r="AK338" s="550"/>
      <c r="AL338" s="550"/>
      <c r="AM338" s="550"/>
      <c r="AN338" s="550"/>
      <c r="AO338" s="550"/>
      <c r="AP338" s="550"/>
      <c r="AQ338" s="550"/>
      <c r="AR338" s="550"/>
      <c r="AS338" s="550"/>
      <c r="AT338" s="550"/>
      <c r="AU338" s="550"/>
      <c r="AV338" s="550"/>
      <c r="AW338" s="550"/>
      <c r="AX338" s="550"/>
      <c r="AY338" s="550"/>
      <c r="AZ338" s="550"/>
      <c r="BA338" s="551"/>
      <c r="BB338" s="128"/>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row>
    <row r="339" spans="1:111" ht="9" customHeight="1">
      <c r="A339" s="128"/>
      <c r="B339" s="187"/>
      <c r="C339" s="187"/>
      <c r="D339" s="187"/>
      <c r="E339" s="187"/>
      <c r="F339" s="187"/>
      <c r="G339" s="187"/>
      <c r="H339" s="187"/>
      <c r="I339" s="188"/>
      <c r="J339" s="187"/>
      <c r="K339" s="187"/>
      <c r="L339" s="187"/>
      <c r="M339" s="187"/>
      <c r="N339" s="128"/>
      <c r="O339" s="552"/>
      <c r="P339" s="553"/>
      <c r="Q339" s="553"/>
      <c r="R339" s="553"/>
      <c r="S339" s="553"/>
      <c r="T339" s="553"/>
      <c r="U339" s="553"/>
      <c r="V339" s="553"/>
      <c r="W339" s="553"/>
      <c r="X339" s="553"/>
      <c r="Y339" s="553"/>
      <c r="Z339" s="553"/>
      <c r="AA339" s="553"/>
      <c r="AB339" s="553"/>
      <c r="AC339" s="553"/>
      <c r="AD339" s="553"/>
      <c r="AE339" s="553"/>
      <c r="AF339" s="553"/>
      <c r="AG339" s="553"/>
      <c r="AH339" s="553"/>
      <c r="AI339" s="553"/>
      <c r="AJ339" s="553"/>
      <c r="AK339" s="553"/>
      <c r="AL339" s="553"/>
      <c r="AM339" s="553"/>
      <c r="AN339" s="553"/>
      <c r="AO339" s="553"/>
      <c r="AP339" s="553"/>
      <c r="AQ339" s="553"/>
      <c r="AR339" s="553"/>
      <c r="AS339" s="553"/>
      <c r="AT339" s="553"/>
      <c r="AU339" s="553"/>
      <c r="AV339" s="553"/>
      <c r="AW339" s="553"/>
      <c r="AX339" s="553"/>
      <c r="AY339" s="553"/>
      <c r="AZ339" s="553"/>
      <c r="BA339" s="554"/>
      <c r="BB339" s="128"/>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row>
    <row r="340" spans="1:111" ht="4.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row>
    <row r="341" spans="1:111" ht="9" customHeight="1">
      <c r="A341" s="128"/>
      <c r="B341" s="527" t="s">
        <v>454</v>
      </c>
      <c r="C341" s="527"/>
      <c r="D341" s="527"/>
      <c r="E341" s="527"/>
      <c r="F341" s="527"/>
      <c r="G341" s="527"/>
      <c r="H341" s="527"/>
      <c r="I341" s="527"/>
      <c r="J341" s="527"/>
      <c r="K341" s="527"/>
      <c r="L341" s="527"/>
      <c r="M341" s="527"/>
      <c r="N341" s="186"/>
      <c r="O341" s="546"/>
      <c r="P341" s="547"/>
      <c r="Q341" s="547"/>
      <c r="R341" s="547"/>
      <c r="S341" s="547"/>
      <c r="T341" s="547"/>
      <c r="U341" s="547"/>
      <c r="V341" s="547"/>
      <c r="W341" s="547"/>
      <c r="X341" s="547"/>
      <c r="Y341" s="547"/>
      <c r="Z341" s="547"/>
      <c r="AA341" s="547"/>
      <c r="AB341" s="547"/>
      <c r="AC341" s="547"/>
      <c r="AD341" s="547"/>
      <c r="AE341" s="547"/>
      <c r="AF341" s="547"/>
      <c r="AG341" s="547"/>
      <c r="AH341" s="547"/>
      <c r="AI341" s="547"/>
      <c r="AJ341" s="547"/>
      <c r="AK341" s="547"/>
      <c r="AL341" s="547"/>
      <c r="AM341" s="547"/>
      <c r="AN341" s="547"/>
      <c r="AO341" s="547"/>
      <c r="AP341" s="547"/>
      <c r="AQ341" s="547"/>
      <c r="AR341" s="547"/>
      <c r="AS341" s="547"/>
      <c r="AT341" s="547"/>
      <c r="AU341" s="547"/>
      <c r="AV341" s="547"/>
      <c r="AW341" s="547"/>
      <c r="AX341" s="547"/>
      <c r="AY341" s="547"/>
      <c r="AZ341" s="547"/>
      <c r="BA341" s="548"/>
      <c r="BB341" s="128"/>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row>
    <row r="342" spans="1:111" ht="9" customHeight="1">
      <c r="A342" s="128"/>
      <c r="B342" s="527"/>
      <c r="C342" s="527"/>
      <c r="D342" s="527"/>
      <c r="E342" s="527"/>
      <c r="F342" s="527"/>
      <c r="G342" s="527"/>
      <c r="H342" s="527"/>
      <c r="I342" s="527"/>
      <c r="J342" s="527"/>
      <c r="K342" s="527"/>
      <c r="L342" s="527"/>
      <c r="M342" s="527"/>
      <c r="N342" s="186"/>
      <c r="O342" s="549"/>
      <c r="P342" s="550"/>
      <c r="Q342" s="550"/>
      <c r="R342" s="550"/>
      <c r="S342" s="550"/>
      <c r="T342" s="550"/>
      <c r="U342" s="550"/>
      <c r="V342" s="550"/>
      <c r="W342" s="550"/>
      <c r="X342" s="550"/>
      <c r="Y342" s="550"/>
      <c r="Z342" s="550"/>
      <c r="AA342" s="550"/>
      <c r="AB342" s="550"/>
      <c r="AC342" s="550"/>
      <c r="AD342" s="550"/>
      <c r="AE342" s="550"/>
      <c r="AF342" s="550"/>
      <c r="AG342" s="550"/>
      <c r="AH342" s="550"/>
      <c r="AI342" s="550"/>
      <c r="AJ342" s="550"/>
      <c r="AK342" s="550"/>
      <c r="AL342" s="550"/>
      <c r="AM342" s="550"/>
      <c r="AN342" s="550"/>
      <c r="AO342" s="550"/>
      <c r="AP342" s="550"/>
      <c r="AQ342" s="550"/>
      <c r="AR342" s="550"/>
      <c r="AS342" s="550"/>
      <c r="AT342" s="550"/>
      <c r="AU342" s="550"/>
      <c r="AV342" s="550"/>
      <c r="AW342" s="550"/>
      <c r="AX342" s="550"/>
      <c r="AY342" s="550"/>
      <c r="AZ342" s="550"/>
      <c r="BA342" s="551"/>
      <c r="BB342" s="128"/>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row>
    <row r="343" spans="1:111" ht="9" customHeight="1">
      <c r="A343" s="128"/>
      <c r="B343" s="187"/>
      <c r="C343" s="187"/>
      <c r="D343" s="187"/>
      <c r="E343" s="187"/>
      <c r="F343" s="187"/>
      <c r="G343" s="187"/>
      <c r="H343" s="187"/>
      <c r="I343" s="188"/>
      <c r="J343" s="187"/>
      <c r="K343" s="187"/>
      <c r="L343" s="187"/>
      <c r="M343" s="187"/>
      <c r="N343" s="128"/>
      <c r="O343" s="549"/>
      <c r="P343" s="550"/>
      <c r="Q343" s="550"/>
      <c r="R343" s="550"/>
      <c r="S343" s="550"/>
      <c r="T343" s="550"/>
      <c r="U343" s="550"/>
      <c r="V343" s="550"/>
      <c r="W343" s="550"/>
      <c r="X343" s="550"/>
      <c r="Y343" s="550"/>
      <c r="Z343" s="550"/>
      <c r="AA343" s="550"/>
      <c r="AB343" s="550"/>
      <c r="AC343" s="550"/>
      <c r="AD343" s="550"/>
      <c r="AE343" s="550"/>
      <c r="AF343" s="550"/>
      <c r="AG343" s="550"/>
      <c r="AH343" s="550"/>
      <c r="AI343" s="550"/>
      <c r="AJ343" s="550"/>
      <c r="AK343" s="550"/>
      <c r="AL343" s="550"/>
      <c r="AM343" s="550"/>
      <c r="AN343" s="550"/>
      <c r="AO343" s="550"/>
      <c r="AP343" s="550"/>
      <c r="AQ343" s="550"/>
      <c r="AR343" s="550"/>
      <c r="AS343" s="550"/>
      <c r="AT343" s="550"/>
      <c r="AU343" s="550"/>
      <c r="AV343" s="550"/>
      <c r="AW343" s="550"/>
      <c r="AX343" s="550"/>
      <c r="AY343" s="550"/>
      <c r="AZ343" s="550"/>
      <c r="BA343" s="551"/>
      <c r="BB343" s="128"/>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row>
    <row r="344" spans="1:111" ht="9" customHeight="1">
      <c r="A344" s="128"/>
      <c r="B344" s="187"/>
      <c r="C344" s="187"/>
      <c r="D344" s="187"/>
      <c r="E344" s="187"/>
      <c r="F344" s="187"/>
      <c r="G344" s="187"/>
      <c r="H344" s="187"/>
      <c r="I344" s="188"/>
      <c r="J344" s="187"/>
      <c r="K344" s="187"/>
      <c r="L344" s="187"/>
      <c r="M344" s="187"/>
      <c r="N344" s="128"/>
      <c r="O344" s="552"/>
      <c r="P344" s="553"/>
      <c r="Q344" s="553"/>
      <c r="R344" s="553"/>
      <c r="S344" s="553"/>
      <c r="T344" s="553"/>
      <c r="U344" s="553"/>
      <c r="V344" s="553"/>
      <c r="W344" s="553"/>
      <c r="X344" s="553"/>
      <c r="Y344" s="553"/>
      <c r="Z344" s="553"/>
      <c r="AA344" s="553"/>
      <c r="AB344" s="553"/>
      <c r="AC344" s="553"/>
      <c r="AD344" s="553"/>
      <c r="AE344" s="553"/>
      <c r="AF344" s="553"/>
      <c r="AG344" s="553"/>
      <c r="AH344" s="553"/>
      <c r="AI344" s="553"/>
      <c r="AJ344" s="553"/>
      <c r="AK344" s="553"/>
      <c r="AL344" s="553"/>
      <c r="AM344" s="553"/>
      <c r="AN344" s="553"/>
      <c r="AO344" s="553"/>
      <c r="AP344" s="553"/>
      <c r="AQ344" s="553"/>
      <c r="AR344" s="553"/>
      <c r="AS344" s="553"/>
      <c r="AT344" s="553"/>
      <c r="AU344" s="553"/>
      <c r="AV344" s="553"/>
      <c r="AW344" s="553"/>
      <c r="AX344" s="553"/>
      <c r="AY344" s="553"/>
      <c r="AZ344" s="553"/>
      <c r="BA344" s="554"/>
      <c r="BB344" s="128"/>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row>
    <row r="345" spans="1:111" ht="4.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row>
    <row r="346" spans="1:111" ht="9" customHeight="1">
      <c r="A346" s="128"/>
      <c r="B346" s="527" t="s">
        <v>455</v>
      </c>
      <c r="C346" s="527"/>
      <c r="D346" s="527"/>
      <c r="E346" s="527"/>
      <c r="F346" s="527"/>
      <c r="G346" s="527"/>
      <c r="H346" s="527"/>
      <c r="I346" s="527"/>
      <c r="J346" s="527"/>
      <c r="K346" s="527"/>
      <c r="L346" s="527"/>
      <c r="M346" s="527"/>
      <c r="N346" s="186"/>
      <c r="O346" s="528"/>
      <c r="P346" s="529"/>
      <c r="Q346" s="529"/>
      <c r="R346" s="529"/>
      <c r="S346" s="529"/>
      <c r="T346" s="529"/>
      <c r="U346" s="529"/>
      <c r="V346" s="529"/>
      <c r="W346" s="529"/>
      <c r="X346" s="529"/>
      <c r="Y346" s="529"/>
      <c r="Z346" s="530"/>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row>
    <row r="347" spans="1:111" ht="9" customHeight="1">
      <c r="A347" s="128"/>
      <c r="B347" s="527"/>
      <c r="C347" s="527"/>
      <c r="D347" s="527"/>
      <c r="E347" s="527"/>
      <c r="F347" s="527"/>
      <c r="G347" s="527"/>
      <c r="H347" s="527"/>
      <c r="I347" s="527"/>
      <c r="J347" s="527"/>
      <c r="K347" s="527"/>
      <c r="L347" s="527"/>
      <c r="M347" s="527"/>
      <c r="N347" s="186"/>
      <c r="O347" s="531"/>
      <c r="P347" s="532"/>
      <c r="Q347" s="532"/>
      <c r="R347" s="532"/>
      <c r="S347" s="532"/>
      <c r="T347" s="532"/>
      <c r="U347" s="532"/>
      <c r="V347" s="532"/>
      <c r="W347" s="532"/>
      <c r="X347" s="532"/>
      <c r="Y347" s="532"/>
      <c r="Z347" s="533"/>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row>
    <row r="348" spans="1:111" ht="4.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row>
    <row r="349" spans="1:111" ht="9" customHeight="1">
      <c r="A349" s="128"/>
      <c r="B349" s="527" t="s">
        <v>434</v>
      </c>
      <c r="C349" s="527"/>
      <c r="D349" s="527"/>
      <c r="E349" s="527"/>
      <c r="F349" s="527"/>
      <c r="G349" s="527"/>
      <c r="H349" s="527"/>
      <c r="I349" s="527"/>
      <c r="J349" s="527"/>
      <c r="K349" s="527"/>
      <c r="L349" s="527"/>
      <c r="M349" s="527"/>
      <c r="N349" s="186"/>
      <c r="O349" s="546"/>
      <c r="P349" s="547"/>
      <c r="Q349" s="547"/>
      <c r="R349" s="547"/>
      <c r="S349" s="547"/>
      <c r="T349" s="547"/>
      <c r="U349" s="547"/>
      <c r="V349" s="547"/>
      <c r="W349" s="547"/>
      <c r="X349" s="547"/>
      <c r="Y349" s="547"/>
      <c r="Z349" s="547"/>
      <c r="AA349" s="547"/>
      <c r="AB349" s="547"/>
      <c r="AC349" s="547"/>
      <c r="AD349" s="547"/>
      <c r="AE349" s="547"/>
      <c r="AF349" s="547"/>
      <c r="AG349" s="547"/>
      <c r="AH349" s="547"/>
      <c r="AI349" s="547"/>
      <c r="AJ349" s="547"/>
      <c r="AK349" s="547"/>
      <c r="AL349" s="547"/>
      <c r="AM349" s="547"/>
      <c r="AN349" s="547"/>
      <c r="AO349" s="547"/>
      <c r="AP349" s="547"/>
      <c r="AQ349" s="547"/>
      <c r="AR349" s="547"/>
      <c r="AS349" s="547"/>
      <c r="AT349" s="547"/>
      <c r="AU349" s="547"/>
      <c r="AV349" s="547"/>
      <c r="AW349" s="547"/>
      <c r="AX349" s="547"/>
      <c r="AY349" s="547"/>
      <c r="AZ349" s="547"/>
      <c r="BA349" s="548"/>
      <c r="BB349" s="128"/>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row>
    <row r="350" spans="1:111" ht="9" customHeight="1">
      <c r="A350" s="128"/>
      <c r="B350" s="527"/>
      <c r="C350" s="527"/>
      <c r="D350" s="527"/>
      <c r="E350" s="527"/>
      <c r="F350" s="527"/>
      <c r="G350" s="527"/>
      <c r="H350" s="527"/>
      <c r="I350" s="527"/>
      <c r="J350" s="527"/>
      <c r="K350" s="527"/>
      <c r="L350" s="527"/>
      <c r="M350" s="527"/>
      <c r="N350" s="186"/>
      <c r="O350" s="549"/>
      <c r="P350" s="550"/>
      <c r="Q350" s="550"/>
      <c r="R350" s="550"/>
      <c r="S350" s="550"/>
      <c r="T350" s="550"/>
      <c r="U350" s="550"/>
      <c r="V350" s="550"/>
      <c r="W350" s="550"/>
      <c r="X350" s="550"/>
      <c r="Y350" s="550"/>
      <c r="Z350" s="550"/>
      <c r="AA350" s="550"/>
      <c r="AB350" s="550"/>
      <c r="AC350" s="550"/>
      <c r="AD350" s="550"/>
      <c r="AE350" s="550"/>
      <c r="AF350" s="550"/>
      <c r="AG350" s="550"/>
      <c r="AH350" s="550"/>
      <c r="AI350" s="550"/>
      <c r="AJ350" s="550"/>
      <c r="AK350" s="550"/>
      <c r="AL350" s="550"/>
      <c r="AM350" s="550"/>
      <c r="AN350" s="550"/>
      <c r="AO350" s="550"/>
      <c r="AP350" s="550"/>
      <c r="AQ350" s="550"/>
      <c r="AR350" s="550"/>
      <c r="AS350" s="550"/>
      <c r="AT350" s="550"/>
      <c r="AU350" s="550"/>
      <c r="AV350" s="550"/>
      <c r="AW350" s="550"/>
      <c r="AX350" s="550"/>
      <c r="AY350" s="550"/>
      <c r="AZ350" s="550"/>
      <c r="BA350" s="551"/>
      <c r="BB350" s="128"/>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row>
    <row r="351" spans="1:111" ht="9" customHeight="1">
      <c r="A351" s="128"/>
      <c r="B351" s="187"/>
      <c r="C351" s="187"/>
      <c r="D351" s="187"/>
      <c r="E351" s="187"/>
      <c r="F351" s="187"/>
      <c r="G351" s="187"/>
      <c r="H351" s="187"/>
      <c r="I351" s="188"/>
      <c r="J351" s="187"/>
      <c r="K351" s="187"/>
      <c r="L351" s="187"/>
      <c r="M351" s="187"/>
      <c r="N351" s="128"/>
      <c r="O351" s="549"/>
      <c r="P351" s="550"/>
      <c r="Q351" s="550"/>
      <c r="R351" s="550"/>
      <c r="S351" s="550"/>
      <c r="T351" s="550"/>
      <c r="U351" s="550"/>
      <c r="V351" s="550"/>
      <c r="W351" s="550"/>
      <c r="X351" s="550"/>
      <c r="Y351" s="550"/>
      <c r="Z351" s="550"/>
      <c r="AA351" s="550"/>
      <c r="AB351" s="550"/>
      <c r="AC351" s="550"/>
      <c r="AD351" s="550"/>
      <c r="AE351" s="550"/>
      <c r="AF351" s="550"/>
      <c r="AG351" s="550"/>
      <c r="AH351" s="550"/>
      <c r="AI351" s="550"/>
      <c r="AJ351" s="550"/>
      <c r="AK351" s="550"/>
      <c r="AL351" s="550"/>
      <c r="AM351" s="550"/>
      <c r="AN351" s="550"/>
      <c r="AO351" s="550"/>
      <c r="AP351" s="550"/>
      <c r="AQ351" s="550"/>
      <c r="AR351" s="550"/>
      <c r="AS351" s="550"/>
      <c r="AT351" s="550"/>
      <c r="AU351" s="550"/>
      <c r="AV351" s="550"/>
      <c r="AW351" s="550"/>
      <c r="AX351" s="550"/>
      <c r="AY351" s="550"/>
      <c r="AZ351" s="550"/>
      <c r="BA351" s="551"/>
      <c r="BB351" s="128"/>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row>
    <row r="352" spans="1:111" ht="9" customHeight="1">
      <c r="A352" s="128"/>
      <c r="B352" s="187"/>
      <c r="C352" s="187"/>
      <c r="D352" s="187"/>
      <c r="E352" s="187"/>
      <c r="F352" s="187"/>
      <c r="G352" s="187"/>
      <c r="H352" s="187"/>
      <c r="I352" s="188"/>
      <c r="J352" s="187"/>
      <c r="K352" s="187"/>
      <c r="L352" s="187"/>
      <c r="M352" s="187"/>
      <c r="N352" s="128"/>
      <c r="O352" s="552"/>
      <c r="P352" s="553"/>
      <c r="Q352" s="553"/>
      <c r="R352" s="553"/>
      <c r="S352" s="553"/>
      <c r="T352" s="553"/>
      <c r="U352" s="553"/>
      <c r="V352" s="553"/>
      <c r="W352" s="553"/>
      <c r="X352" s="553"/>
      <c r="Y352" s="553"/>
      <c r="Z352" s="553"/>
      <c r="AA352" s="553"/>
      <c r="AB352" s="553"/>
      <c r="AC352" s="553"/>
      <c r="AD352" s="553"/>
      <c r="AE352" s="553"/>
      <c r="AF352" s="553"/>
      <c r="AG352" s="553"/>
      <c r="AH352" s="553"/>
      <c r="AI352" s="553"/>
      <c r="AJ352" s="553"/>
      <c r="AK352" s="553"/>
      <c r="AL352" s="553"/>
      <c r="AM352" s="553"/>
      <c r="AN352" s="553"/>
      <c r="AO352" s="553"/>
      <c r="AP352" s="553"/>
      <c r="AQ352" s="553"/>
      <c r="AR352" s="553"/>
      <c r="AS352" s="553"/>
      <c r="AT352" s="553"/>
      <c r="AU352" s="553"/>
      <c r="AV352" s="553"/>
      <c r="AW352" s="553"/>
      <c r="AX352" s="553"/>
      <c r="AY352" s="553"/>
      <c r="AZ352" s="553"/>
      <c r="BA352" s="554"/>
      <c r="BB352" s="128"/>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row>
    <row r="353" spans="1:111" ht="4.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row>
    <row r="354" spans="1:111" ht="9" customHeight="1">
      <c r="A354" s="128"/>
      <c r="B354" s="527" t="s">
        <v>456</v>
      </c>
      <c r="C354" s="527"/>
      <c r="D354" s="527"/>
      <c r="E354" s="527"/>
      <c r="F354" s="527"/>
      <c r="G354" s="527"/>
      <c r="H354" s="527"/>
      <c r="I354" s="527"/>
      <c r="J354" s="527"/>
      <c r="K354" s="527"/>
      <c r="L354" s="527"/>
      <c r="M354" s="527"/>
      <c r="N354" s="186"/>
      <c r="O354" s="546"/>
      <c r="P354" s="547"/>
      <c r="Q354" s="547"/>
      <c r="R354" s="547"/>
      <c r="S354" s="547"/>
      <c r="T354" s="547"/>
      <c r="U354" s="547"/>
      <c r="V354" s="547"/>
      <c r="W354" s="547"/>
      <c r="X354" s="547"/>
      <c r="Y354" s="547"/>
      <c r="Z354" s="547"/>
      <c r="AA354" s="547"/>
      <c r="AB354" s="547"/>
      <c r="AC354" s="547"/>
      <c r="AD354" s="547"/>
      <c r="AE354" s="547"/>
      <c r="AF354" s="547"/>
      <c r="AG354" s="547"/>
      <c r="AH354" s="547"/>
      <c r="AI354" s="547"/>
      <c r="AJ354" s="547"/>
      <c r="AK354" s="547"/>
      <c r="AL354" s="547"/>
      <c r="AM354" s="547"/>
      <c r="AN354" s="547"/>
      <c r="AO354" s="547"/>
      <c r="AP354" s="547"/>
      <c r="AQ354" s="547"/>
      <c r="AR354" s="547"/>
      <c r="AS354" s="547"/>
      <c r="AT354" s="547"/>
      <c r="AU354" s="547"/>
      <c r="AV354" s="547"/>
      <c r="AW354" s="547"/>
      <c r="AX354" s="547"/>
      <c r="AY354" s="547"/>
      <c r="AZ354" s="547"/>
      <c r="BA354" s="548"/>
      <c r="BB354" s="128"/>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row>
    <row r="355" spans="1:111" ht="9" customHeight="1">
      <c r="A355" s="128"/>
      <c r="B355" s="527"/>
      <c r="C355" s="527"/>
      <c r="D355" s="527"/>
      <c r="E355" s="527"/>
      <c r="F355" s="527"/>
      <c r="G355" s="527"/>
      <c r="H355" s="527"/>
      <c r="I355" s="527"/>
      <c r="J355" s="527"/>
      <c r="K355" s="527"/>
      <c r="L355" s="527"/>
      <c r="M355" s="527"/>
      <c r="N355" s="186"/>
      <c r="O355" s="549"/>
      <c r="P355" s="550"/>
      <c r="Q355" s="550"/>
      <c r="R355" s="550"/>
      <c r="S355" s="550"/>
      <c r="T355" s="550"/>
      <c r="U355" s="550"/>
      <c r="V355" s="550"/>
      <c r="W355" s="550"/>
      <c r="X355" s="550"/>
      <c r="Y355" s="550"/>
      <c r="Z355" s="550"/>
      <c r="AA355" s="550"/>
      <c r="AB355" s="550"/>
      <c r="AC355" s="550"/>
      <c r="AD355" s="550"/>
      <c r="AE355" s="550"/>
      <c r="AF355" s="550"/>
      <c r="AG355" s="550"/>
      <c r="AH355" s="550"/>
      <c r="AI355" s="550"/>
      <c r="AJ355" s="550"/>
      <c r="AK355" s="550"/>
      <c r="AL355" s="550"/>
      <c r="AM355" s="550"/>
      <c r="AN355" s="550"/>
      <c r="AO355" s="550"/>
      <c r="AP355" s="550"/>
      <c r="AQ355" s="550"/>
      <c r="AR355" s="550"/>
      <c r="AS355" s="550"/>
      <c r="AT355" s="550"/>
      <c r="AU355" s="550"/>
      <c r="AV355" s="550"/>
      <c r="AW355" s="550"/>
      <c r="AX355" s="550"/>
      <c r="AY355" s="550"/>
      <c r="AZ355" s="550"/>
      <c r="BA355" s="551"/>
      <c r="BB355" s="128"/>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row>
    <row r="356" spans="1:111" ht="9" customHeight="1">
      <c r="A356" s="128"/>
      <c r="B356" s="187"/>
      <c r="C356" s="187"/>
      <c r="D356" s="187"/>
      <c r="E356" s="187"/>
      <c r="F356" s="187"/>
      <c r="G356" s="187"/>
      <c r="H356" s="187"/>
      <c r="I356" s="188"/>
      <c r="J356" s="187"/>
      <c r="K356" s="187"/>
      <c r="L356" s="187"/>
      <c r="M356" s="187"/>
      <c r="N356" s="128"/>
      <c r="O356" s="549"/>
      <c r="P356" s="550"/>
      <c r="Q356" s="550"/>
      <c r="R356" s="550"/>
      <c r="S356" s="550"/>
      <c r="T356" s="550"/>
      <c r="U356" s="550"/>
      <c r="V356" s="550"/>
      <c r="W356" s="550"/>
      <c r="X356" s="550"/>
      <c r="Y356" s="550"/>
      <c r="Z356" s="550"/>
      <c r="AA356" s="550"/>
      <c r="AB356" s="550"/>
      <c r="AC356" s="550"/>
      <c r="AD356" s="550"/>
      <c r="AE356" s="550"/>
      <c r="AF356" s="550"/>
      <c r="AG356" s="550"/>
      <c r="AH356" s="550"/>
      <c r="AI356" s="550"/>
      <c r="AJ356" s="550"/>
      <c r="AK356" s="550"/>
      <c r="AL356" s="550"/>
      <c r="AM356" s="550"/>
      <c r="AN356" s="550"/>
      <c r="AO356" s="550"/>
      <c r="AP356" s="550"/>
      <c r="AQ356" s="550"/>
      <c r="AR356" s="550"/>
      <c r="AS356" s="550"/>
      <c r="AT356" s="550"/>
      <c r="AU356" s="550"/>
      <c r="AV356" s="550"/>
      <c r="AW356" s="550"/>
      <c r="AX356" s="550"/>
      <c r="AY356" s="550"/>
      <c r="AZ356" s="550"/>
      <c r="BA356" s="551"/>
      <c r="BB356" s="128"/>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row>
    <row r="357" spans="1:111" ht="9" customHeight="1">
      <c r="A357" s="128"/>
      <c r="B357" s="187"/>
      <c r="C357" s="187"/>
      <c r="D357" s="187"/>
      <c r="E357" s="187"/>
      <c r="F357" s="187"/>
      <c r="G357" s="187"/>
      <c r="H357" s="187"/>
      <c r="I357" s="188"/>
      <c r="J357" s="187"/>
      <c r="K357" s="187"/>
      <c r="L357" s="187"/>
      <c r="M357" s="187"/>
      <c r="N357" s="128"/>
      <c r="O357" s="552"/>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553"/>
      <c r="AL357" s="553"/>
      <c r="AM357" s="553"/>
      <c r="AN357" s="553"/>
      <c r="AO357" s="553"/>
      <c r="AP357" s="553"/>
      <c r="AQ357" s="553"/>
      <c r="AR357" s="553"/>
      <c r="AS357" s="553"/>
      <c r="AT357" s="553"/>
      <c r="AU357" s="553"/>
      <c r="AV357" s="553"/>
      <c r="AW357" s="553"/>
      <c r="AX357" s="553"/>
      <c r="AY357" s="553"/>
      <c r="AZ357" s="553"/>
      <c r="BA357" s="554"/>
      <c r="BB357" s="128"/>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row>
    <row r="358" spans="1:111" ht="4.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row>
    <row r="359" spans="1:111" ht="9" customHeight="1">
      <c r="A359" s="128"/>
      <c r="B359" s="527" t="s">
        <v>457</v>
      </c>
      <c r="C359" s="527"/>
      <c r="D359" s="527"/>
      <c r="E359" s="527"/>
      <c r="F359" s="527"/>
      <c r="G359" s="527"/>
      <c r="H359" s="527"/>
      <c r="I359" s="527"/>
      <c r="J359" s="527"/>
      <c r="K359" s="527"/>
      <c r="L359" s="527"/>
      <c r="M359" s="527"/>
      <c r="N359" s="186"/>
      <c r="O359" s="546"/>
      <c r="P359" s="547"/>
      <c r="Q359" s="547"/>
      <c r="R359" s="547"/>
      <c r="S359" s="547"/>
      <c r="T359" s="547"/>
      <c r="U359" s="547"/>
      <c r="V359" s="547"/>
      <c r="W359" s="547"/>
      <c r="X359" s="547"/>
      <c r="Y359" s="547"/>
      <c r="Z359" s="547"/>
      <c r="AA359" s="547"/>
      <c r="AB359" s="547"/>
      <c r="AC359" s="547"/>
      <c r="AD359" s="547"/>
      <c r="AE359" s="547"/>
      <c r="AF359" s="547"/>
      <c r="AG359" s="547"/>
      <c r="AH359" s="547"/>
      <c r="AI359" s="547"/>
      <c r="AJ359" s="547"/>
      <c r="AK359" s="547"/>
      <c r="AL359" s="547"/>
      <c r="AM359" s="547"/>
      <c r="AN359" s="547"/>
      <c r="AO359" s="547"/>
      <c r="AP359" s="547"/>
      <c r="AQ359" s="547"/>
      <c r="AR359" s="547"/>
      <c r="AS359" s="547"/>
      <c r="AT359" s="547"/>
      <c r="AU359" s="547"/>
      <c r="AV359" s="547"/>
      <c r="AW359" s="547"/>
      <c r="AX359" s="547"/>
      <c r="AY359" s="547"/>
      <c r="AZ359" s="547"/>
      <c r="BA359" s="548"/>
      <c r="BB359" s="128"/>
      <c r="BC359" s="115"/>
      <c r="BD359" s="115"/>
      <c r="BE359" s="115"/>
      <c r="BF359" s="115"/>
      <c r="BG359" s="214" t="s">
        <v>460</v>
      </c>
      <c r="BH359" s="214"/>
      <c r="BI359" s="214"/>
      <c r="BJ359" s="214"/>
      <c r="BK359" s="214"/>
      <c r="BL359" s="214"/>
      <c r="BM359" s="214"/>
      <c r="BN359" s="214"/>
      <c r="BO359" s="214"/>
      <c r="BP359" s="214"/>
      <c r="BQ359" s="214"/>
      <c r="BR359" s="214"/>
      <c r="BS359" s="214"/>
      <c r="BT359" s="214"/>
      <c r="BU359" s="214"/>
      <c r="BV359" s="214"/>
      <c r="BW359" s="214"/>
      <c r="BX359" s="214"/>
      <c r="BY359" s="214"/>
      <c r="BZ359" s="214"/>
      <c r="CA359" s="214"/>
      <c r="CB359" s="214"/>
      <c r="CC359" s="214"/>
      <c r="CD359" s="214"/>
      <c r="CE359" s="214"/>
      <c r="CF359" s="214"/>
      <c r="CG359" s="214"/>
      <c r="CH359" s="214"/>
      <c r="CI359" s="214"/>
      <c r="CJ359" s="214"/>
      <c r="CK359" s="214"/>
      <c r="CL359" s="214"/>
      <c r="CM359" s="214"/>
      <c r="CN359" s="214"/>
      <c r="CO359" s="214"/>
      <c r="CP359" s="214"/>
      <c r="CQ359" s="214"/>
      <c r="CR359" s="214"/>
      <c r="CS359" s="214"/>
      <c r="CT359" s="214"/>
      <c r="CU359" s="214"/>
      <c r="CV359" s="214"/>
      <c r="CW359" s="214"/>
      <c r="CX359" s="214"/>
      <c r="CY359" s="214"/>
      <c r="CZ359" s="214"/>
      <c r="DA359" s="214"/>
      <c r="DB359" s="214"/>
      <c r="DC359" s="214"/>
      <c r="DD359" s="214"/>
      <c r="DE359" s="214"/>
      <c r="DF359" s="115"/>
      <c r="DG359" s="115"/>
    </row>
    <row r="360" spans="1:111" ht="9" customHeight="1">
      <c r="A360" s="128"/>
      <c r="B360" s="527"/>
      <c r="C360" s="527"/>
      <c r="D360" s="527"/>
      <c r="E360" s="527"/>
      <c r="F360" s="527"/>
      <c r="G360" s="527"/>
      <c r="H360" s="527"/>
      <c r="I360" s="527"/>
      <c r="J360" s="527"/>
      <c r="K360" s="527"/>
      <c r="L360" s="527"/>
      <c r="M360" s="527"/>
      <c r="N360" s="186"/>
      <c r="O360" s="549"/>
      <c r="P360" s="550"/>
      <c r="Q360" s="550"/>
      <c r="R360" s="550"/>
      <c r="S360" s="550"/>
      <c r="T360" s="550"/>
      <c r="U360" s="550"/>
      <c r="V360" s="550"/>
      <c r="W360" s="550"/>
      <c r="X360" s="550"/>
      <c r="Y360" s="550"/>
      <c r="Z360" s="550"/>
      <c r="AA360" s="550"/>
      <c r="AB360" s="550"/>
      <c r="AC360" s="550"/>
      <c r="AD360" s="550"/>
      <c r="AE360" s="550"/>
      <c r="AF360" s="550"/>
      <c r="AG360" s="550"/>
      <c r="AH360" s="550"/>
      <c r="AI360" s="550"/>
      <c r="AJ360" s="550"/>
      <c r="AK360" s="550"/>
      <c r="AL360" s="550"/>
      <c r="AM360" s="550"/>
      <c r="AN360" s="550"/>
      <c r="AO360" s="550"/>
      <c r="AP360" s="550"/>
      <c r="AQ360" s="550"/>
      <c r="AR360" s="550"/>
      <c r="AS360" s="550"/>
      <c r="AT360" s="550"/>
      <c r="AU360" s="550"/>
      <c r="AV360" s="550"/>
      <c r="AW360" s="550"/>
      <c r="AX360" s="550"/>
      <c r="AY360" s="550"/>
      <c r="AZ360" s="550"/>
      <c r="BA360" s="551"/>
      <c r="BB360" s="128"/>
      <c r="BC360" s="115"/>
      <c r="BD360" s="115"/>
      <c r="BE360" s="115"/>
      <c r="BF360" s="115"/>
      <c r="BG360" s="214"/>
      <c r="BH360" s="214"/>
      <c r="BI360" s="214"/>
      <c r="BJ360" s="214"/>
      <c r="BK360" s="214"/>
      <c r="BL360" s="214"/>
      <c r="BM360" s="214"/>
      <c r="BN360" s="214"/>
      <c r="BO360" s="214"/>
      <c r="BP360" s="214"/>
      <c r="BQ360" s="214"/>
      <c r="BR360" s="214"/>
      <c r="BS360" s="214"/>
      <c r="BT360" s="214"/>
      <c r="BU360" s="214"/>
      <c r="BV360" s="214"/>
      <c r="BW360" s="214"/>
      <c r="BX360" s="214"/>
      <c r="BY360" s="214"/>
      <c r="BZ360" s="214"/>
      <c r="CA360" s="214"/>
      <c r="CB360" s="214"/>
      <c r="CC360" s="214"/>
      <c r="CD360" s="214"/>
      <c r="CE360" s="214"/>
      <c r="CF360" s="214"/>
      <c r="CG360" s="214"/>
      <c r="CH360" s="214"/>
      <c r="CI360" s="214"/>
      <c r="CJ360" s="214"/>
      <c r="CK360" s="214"/>
      <c r="CL360" s="214"/>
      <c r="CM360" s="214"/>
      <c r="CN360" s="214"/>
      <c r="CO360" s="214"/>
      <c r="CP360" s="214"/>
      <c r="CQ360" s="214"/>
      <c r="CR360" s="214"/>
      <c r="CS360" s="214"/>
      <c r="CT360" s="214"/>
      <c r="CU360" s="214"/>
      <c r="CV360" s="214"/>
      <c r="CW360" s="214"/>
      <c r="CX360" s="214"/>
      <c r="CY360" s="214"/>
      <c r="CZ360" s="214"/>
      <c r="DA360" s="214"/>
      <c r="DB360" s="214"/>
      <c r="DC360" s="214"/>
      <c r="DD360" s="214"/>
      <c r="DE360" s="214"/>
      <c r="DF360" s="115"/>
      <c r="DG360" s="115"/>
    </row>
    <row r="361" spans="1:111" ht="9" customHeight="1">
      <c r="A361" s="128"/>
      <c r="B361" s="187"/>
      <c r="C361" s="187"/>
      <c r="D361" s="187"/>
      <c r="E361" s="187"/>
      <c r="F361" s="187"/>
      <c r="G361" s="187"/>
      <c r="H361" s="187"/>
      <c r="I361" s="188"/>
      <c r="J361" s="187"/>
      <c r="K361" s="187"/>
      <c r="L361" s="187"/>
      <c r="M361" s="187"/>
      <c r="N361" s="128"/>
      <c r="O361" s="549"/>
      <c r="P361" s="550"/>
      <c r="Q361" s="550"/>
      <c r="R361" s="550"/>
      <c r="S361" s="550"/>
      <c r="T361" s="550"/>
      <c r="U361" s="550"/>
      <c r="V361" s="550"/>
      <c r="W361" s="550"/>
      <c r="X361" s="550"/>
      <c r="Y361" s="550"/>
      <c r="Z361" s="550"/>
      <c r="AA361" s="550"/>
      <c r="AB361" s="550"/>
      <c r="AC361" s="550"/>
      <c r="AD361" s="550"/>
      <c r="AE361" s="550"/>
      <c r="AF361" s="550"/>
      <c r="AG361" s="550"/>
      <c r="AH361" s="550"/>
      <c r="AI361" s="550"/>
      <c r="AJ361" s="550"/>
      <c r="AK361" s="550"/>
      <c r="AL361" s="550"/>
      <c r="AM361" s="550"/>
      <c r="AN361" s="550"/>
      <c r="AO361" s="550"/>
      <c r="AP361" s="550"/>
      <c r="AQ361" s="550"/>
      <c r="AR361" s="550"/>
      <c r="AS361" s="550"/>
      <c r="AT361" s="550"/>
      <c r="AU361" s="550"/>
      <c r="AV361" s="550"/>
      <c r="AW361" s="550"/>
      <c r="AX361" s="550"/>
      <c r="AY361" s="550"/>
      <c r="AZ361" s="550"/>
      <c r="BA361" s="551"/>
      <c r="BB361" s="128"/>
      <c r="BC361" s="115"/>
      <c r="BD361" s="115"/>
      <c r="BE361" s="115"/>
      <c r="BF361" s="115"/>
      <c r="BG361" s="214"/>
      <c r="BH361" s="214"/>
      <c r="BI361" s="214"/>
      <c r="BJ361" s="214"/>
      <c r="BK361" s="214"/>
      <c r="BL361" s="214"/>
      <c r="BM361" s="214"/>
      <c r="BN361" s="214"/>
      <c r="BO361" s="214"/>
      <c r="BP361" s="214"/>
      <c r="BQ361" s="214"/>
      <c r="BR361" s="214"/>
      <c r="BS361" s="214"/>
      <c r="BT361" s="214"/>
      <c r="BU361" s="214"/>
      <c r="BV361" s="214"/>
      <c r="BW361" s="214"/>
      <c r="BX361" s="214"/>
      <c r="BY361" s="214"/>
      <c r="BZ361" s="214"/>
      <c r="CA361" s="214"/>
      <c r="CB361" s="214"/>
      <c r="CC361" s="214"/>
      <c r="CD361" s="214"/>
      <c r="CE361" s="214"/>
      <c r="CF361" s="214"/>
      <c r="CG361" s="214"/>
      <c r="CH361" s="214"/>
      <c r="CI361" s="214"/>
      <c r="CJ361" s="214"/>
      <c r="CK361" s="214"/>
      <c r="CL361" s="214"/>
      <c r="CM361" s="214"/>
      <c r="CN361" s="214"/>
      <c r="CO361" s="214"/>
      <c r="CP361" s="214"/>
      <c r="CQ361" s="214"/>
      <c r="CR361" s="214"/>
      <c r="CS361" s="214"/>
      <c r="CT361" s="214"/>
      <c r="CU361" s="214"/>
      <c r="CV361" s="214"/>
      <c r="CW361" s="214"/>
      <c r="CX361" s="214"/>
      <c r="CY361" s="214"/>
      <c r="CZ361" s="214"/>
      <c r="DA361" s="214"/>
      <c r="DB361" s="214"/>
      <c r="DC361" s="214"/>
      <c r="DD361" s="214"/>
      <c r="DE361" s="214"/>
      <c r="DF361" s="115"/>
      <c r="DG361" s="115"/>
    </row>
    <row r="362" spans="1:111" ht="9" customHeight="1">
      <c r="A362" s="128"/>
      <c r="B362" s="187"/>
      <c r="C362" s="187"/>
      <c r="D362" s="187"/>
      <c r="E362" s="187"/>
      <c r="F362" s="187"/>
      <c r="G362" s="187"/>
      <c r="H362" s="187"/>
      <c r="I362" s="188"/>
      <c r="J362" s="187"/>
      <c r="K362" s="187"/>
      <c r="L362" s="187"/>
      <c r="M362" s="187"/>
      <c r="N362" s="128"/>
      <c r="O362" s="552"/>
      <c r="P362" s="553"/>
      <c r="Q362" s="553"/>
      <c r="R362" s="553"/>
      <c r="S362" s="553"/>
      <c r="T362" s="553"/>
      <c r="U362" s="553"/>
      <c r="V362" s="553"/>
      <c r="W362" s="553"/>
      <c r="X362" s="553"/>
      <c r="Y362" s="553"/>
      <c r="Z362" s="553"/>
      <c r="AA362" s="553"/>
      <c r="AB362" s="553"/>
      <c r="AC362" s="553"/>
      <c r="AD362" s="553"/>
      <c r="AE362" s="553"/>
      <c r="AF362" s="553"/>
      <c r="AG362" s="553"/>
      <c r="AH362" s="553"/>
      <c r="AI362" s="553"/>
      <c r="AJ362" s="553"/>
      <c r="AK362" s="553"/>
      <c r="AL362" s="553"/>
      <c r="AM362" s="553"/>
      <c r="AN362" s="553"/>
      <c r="AO362" s="553"/>
      <c r="AP362" s="553"/>
      <c r="AQ362" s="553"/>
      <c r="AR362" s="553"/>
      <c r="AS362" s="553"/>
      <c r="AT362" s="553"/>
      <c r="AU362" s="553"/>
      <c r="AV362" s="553"/>
      <c r="AW362" s="553"/>
      <c r="AX362" s="553"/>
      <c r="AY362" s="553"/>
      <c r="AZ362" s="553"/>
      <c r="BA362" s="554"/>
      <c r="BB362" s="128"/>
      <c r="BC362" s="115"/>
      <c r="BD362" s="115"/>
      <c r="BE362" s="115"/>
      <c r="BF362" s="115"/>
      <c r="BG362" s="214"/>
      <c r="BH362" s="214"/>
      <c r="BI362" s="214"/>
      <c r="BJ362" s="214"/>
      <c r="BK362" s="214"/>
      <c r="BL362" s="214"/>
      <c r="BM362" s="214"/>
      <c r="BN362" s="214"/>
      <c r="BO362" s="214"/>
      <c r="BP362" s="214"/>
      <c r="BQ362" s="214"/>
      <c r="BR362" s="214"/>
      <c r="BS362" s="214"/>
      <c r="BT362" s="214"/>
      <c r="BU362" s="214"/>
      <c r="BV362" s="214"/>
      <c r="BW362" s="214"/>
      <c r="BX362" s="214"/>
      <c r="BY362" s="214"/>
      <c r="BZ362" s="214"/>
      <c r="CA362" s="214"/>
      <c r="CB362" s="214"/>
      <c r="CC362" s="214"/>
      <c r="CD362" s="214"/>
      <c r="CE362" s="214"/>
      <c r="CF362" s="214"/>
      <c r="CG362" s="214"/>
      <c r="CH362" s="214"/>
      <c r="CI362" s="214"/>
      <c r="CJ362" s="214"/>
      <c r="CK362" s="214"/>
      <c r="CL362" s="214"/>
      <c r="CM362" s="214"/>
      <c r="CN362" s="214"/>
      <c r="CO362" s="214"/>
      <c r="CP362" s="214"/>
      <c r="CQ362" s="214"/>
      <c r="CR362" s="214"/>
      <c r="CS362" s="214"/>
      <c r="CT362" s="214"/>
      <c r="CU362" s="214"/>
      <c r="CV362" s="214"/>
      <c r="CW362" s="214"/>
      <c r="CX362" s="214"/>
      <c r="CY362" s="214"/>
      <c r="CZ362" s="214"/>
      <c r="DA362" s="214"/>
      <c r="DB362" s="214"/>
      <c r="DC362" s="214"/>
      <c r="DD362" s="214"/>
      <c r="DE362" s="214"/>
      <c r="DF362" s="115"/>
      <c r="DG362" s="115"/>
    </row>
    <row r="363" spans="1:111" ht="18"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15"/>
      <c r="BD363" s="115"/>
      <c r="BE363" s="115"/>
      <c r="BF363" s="115"/>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c r="CC363" s="83"/>
      <c r="CD363" s="83"/>
      <c r="CE363" s="83"/>
      <c r="CF363" s="83"/>
      <c r="CG363" s="83"/>
      <c r="CH363" s="83"/>
      <c r="CI363" s="83"/>
      <c r="CJ363" s="83"/>
      <c r="CK363" s="83"/>
      <c r="CL363" s="83"/>
      <c r="CM363" s="83"/>
      <c r="CN363" s="83"/>
      <c r="CO363" s="83"/>
      <c r="CP363" s="83"/>
      <c r="CQ363" s="83"/>
      <c r="CR363" s="83"/>
      <c r="CS363" s="83"/>
      <c r="CT363" s="83"/>
      <c r="CU363" s="83"/>
      <c r="CV363" s="83"/>
      <c r="CW363" s="83"/>
      <c r="CX363" s="83"/>
      <c r="CY363" s="83"/>
      <c r="CZ363" s="83"/>
      <c r="DA363" s="83"/>
      <c r="DB363" s="83"/>
      <c r="DC363" s="83"/>
      <c r="DD363" s="83"/>
      <c r="DE363" s="83"/>
      <c r="DF363" s="115"/>
      <c r="DG363" s="115"/>
    </row>
    <row r="364" spans="1:111" ht="9" customHeight="1">
      <c r="A364" s="128"/>
      <c r="B364" s="525" t="s">
        <v>461</v>
      </c>
      <c r="C364" s="525"/>
      <c r="D364" s="525"/>
      <c r="E364" s="525"/>
      <c r="F364" s="525"/>
      <c r="G364" s="525"/>
      <c r="H364" s="525"/>
      <c r="I364" s="525"/>
      <c r="J364" s="525"/>
      <c r="K364" s="525"/>
      <c r="L364" s="525"/>
      <c r="M364" s="525"/>
      <c r="N364" s="525"/>
      <c r="O364" s="525"/>
      <c r="P364" s="525"/>
      <c r="Q364" s="525"/>
      <c r="R364" s="525"/>
      <c r="S364" s="525"/>
      <c r="T364" s="525"/>
      <c r="U364" s="525"/>
      <c r="V364" s="525"/>
      <c r="W364" s="525"/>
      <c r="X364" s="525"/>
      <c r="Y364" s="525"/>
      <c r="Z364" s="525"/>
      <c r="AA364" s="525"/>
      <c r="AB364" s="525"/>
      <c r="AC364" s="525"/>
      <c r="AD364" s="525"/>
      <c r="AE364" s="525"/>
      <c r="AF364" s="525"/>
      <c r="AG364" s="525"/>
      <c r="AH364" s="525"/>
      <c r="AI364" s="525"/>
      <c r="AJ364" s="525"/>
      <c r="AK364" s="525"/>
      <c r="AL364" s="525"/>
      <c r="AM364" s="525"/>
      <c r="AN364" s="525"/>
      <c r="AO364" s="525"/>
      <c r="AP364" s="525"/>
      <c r="AQ364" s="525"/>
      <c r="AR364" s="525"/>
      <c r="AS364" s="525"/>
      <c r="AT364" s="525"/>
      <c r="AU364" s="525"/>
      <c r="AV364" s="525"/>
      <c r="AW364" s="525"/>
      <c r="AX364" s="525"/>
      <c r="AY364" s="525"/>
      <c r="AZ364" s="525"/>
      <c r="BA364" s="525"/>
      <c r="BB364" s="128"/>
      <c r="BC364" s="115"/>
      <c r="BD364" s="115"/>
      <c r="BE364" s="115"/>
      <c r="BF364" s="115"/>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c r="CC364" s="83"/>
      <c r="CD364" s="83"/>
      <c r="CE364" s="83"/>
      <c r="CF364" s="83"/>
      <c r="CG364" s="83"/>
      <c r="CH364" s="83"/>
      <c r="CI364" s="83"/>
      <c r="CJ364" s="83"/>
      <c r="CK364" s="83"/>
      <c r="CL364" s="83"/>
      <c r="CM364" s="83"/>
      <c r="CN364" s="83"/>
      <c r="CO364" s="83"/>
      <c r="CP364" s="83"/>
      <c r="CQ364" s="83"/>
      <c r="CR364" s="83"/>
      <c r="CS364" s="83"/>
      <c r="CT364" s="83"/>
      <c r="CU364" s="83"/>
      <c r="CV364" s="83"/>
      <c r="CW364" s="83"/>
      <c r="CX364" s="83"/>
      <c r="CY364" s="83"/>
      <c r="CZ364" s="83"/>
      <c r="DA364" s="83"/>
      <c r="DB364" s="83"/>
      <c r="DC364" s="83"/>
      <c r="DD364" s="83"/>
      <c r="DE364" s="83"/>
      <c r="DF364" s="115"/>
      <c r="DG364" s="115"/>
    </row>
    <row r="365" spans="1:111" ht="9" customHeight="1">
      <c r="A365" s="128"/>
      <c r="B365" s="526"/>
      <c r="C365" s="526"/>
      <c r="D365" s="526"/>
      <c r="E365" s="526"/>
      <c r="F365" s="526"/>
      <c r="G365" s="526"/>
      <c r="H365" s="526"/>
      <c r="I365" s="526"/>
      <c r="J365" s="526"/>
      <c r="K365" s="526"/>
      <c r="L365" s="526"/>
      <c r="M365" s="526"/>
      <c r="N365" s="526"/>
      <c r="O365" s="526"/>
      <c r="P365" s="526"/>
      <c r="Q365" s="526"/>
      <c r="R365" s="526"/>
      <c r="S365" s="526"/>
      <c r="T365" s="526"/>
      <c r="U365" s="526"/>
      <c r="V365" s="526"/>
      <c r="W365" s="526"/>
      <c r="X365" s="526"/>
      <c r="Y365" s="526"/>
      <c r="Z365" s="526"/>
      <c r="AA365" s="526"/>
      <c r="AB365" s="526"/>
      <c r="AC365" s="526"/>
      <c r="AD365" s="526"/>
      <c r="AE365" s="526"/>
      <c r="AF365" s="526"/>
      <c r="AG365" s="526"/>
      <c r="AH365" s="526"/>
      <c r="AI365" s="526"/>
      <c r="AJ365" s="526"/>
      <c r="AK365" s="526"/>
      <c r="AL365" s="526"/>
      <c r="AM365" s="526"/>
      <c r="AN365" s="526"/>
      <c r="AO365" s="526"/>
      <c r="AP365" s="526"/>
      <c r="AQ365" s="526"/>
      <c r="AR365" s="526"/>
      <c r="AS365" s="526"/>
      <c r="AT365" s="526"/>
      <c r="AU365" s="526"/>
      <c r="AV365" s="526"/>
      <c r="AW365" s="526"/>
      <c r="AX365" s="526"/>
      <c r="AY365" s="526"/>
      <c r="AZ365" s="526"/>
      <c r="BA365" s="526"/>
      <c r="BB365" s="128"/>
      <c r="BC365" s="115"/>
      <c r="BD365" s="115"/>
      <c r="BE365" s="115"/>
      <c r="BF365" s="115"/>
      <c r="BG365" s="83"/>
      <c r="BH365" s="83"/>
      <c r="BI365" s="83"/>
      <c r="BJ365" s="83"/>
      <c r="BK365" s="83"/>
      <c r="BL365" s="83"/>
      <c r="BM365" s="83"/>
      <c r="BN365" s="83"/>
      <c r="BO365" s="83"/>
      <c r="BP365" s="83"/>
      <c r="BQ365" s="83"/>
      <c r="BR365" s="83"/>
      <c r="BS365" s="83"/>
      <c r="BT365" s="83"/>
      <c r="BU365" s="83"/>
      <c r="BV365" s="83"/>
      <c r="BW365" s="83"/>
      <c r="BX365" s="83"/>
      <c r="BY365" s="83"/>
      <c r="BZ365" s="83"/>
      <c r="CA365" s="83"/>
      <c r="CB365" s="83"/>
      <c r="CC365" s="83"/>
      <c r="CD365" s="83"/>
      <c r="CE365" s="83"/>
      <c r="CF365" s="83"/>
      <c r="CG365" s="83"/>
      <c r="CH365" s="83"/>
      <c r="CI365" s="83"/>
      <c r="CJ365" s="83"/>
      <c r="CK365" s="83"/>
      <c r="CL365" s="83"/>
      <c r="CM365" s="83"/>
      <c r="CN365" s="83"/>
      <c r="CO365" s="83"/>
      <c r="CP365" s="83"/>
      <c r="CQ365" s="83"/>
      <c r="CR365" s="83"/>
      <c r="CS365" s="83"/>
      <c r="CT365" s="83"/>
      <c r="CU365" s="83"/>
      <c r="CV365" s="83"/>
      <c r="CW365" s="83"/>
      <c r="CX365" s="83"/>
      <c r="CY365" s="83"/>
      <c r="CZ365" s="83"/>
      <c r="DA365" s="83"/>
      <c r="DB365" s="83"/>
      <c r="DC365" s="83"/>
      <c r="DD365" s="83"/>
      <c r="DE365" s="83"/>
      <c r="DF365" s="115"/>
      <c r="DG365" s="115"/>
    </row>
    <row r="366" spans="1:111" ht="4.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15"/>
      <c r="BD366" s="115"/>
      <c r="BE366" s="115"/>
      <c r="BF366" s="115"/>
      <c r="BG366" s="83"/>
      <c r="BH366" s="83"/>
      <c r="BI366" s="83"/>
      <c r="BJ366" s="83"/>
      <c r="BK366" s="83"/>
      <c r="BL366" s="83"/>
      <c r="BM366" s="83"/>
      <c r="BN366" s="83"/>
      <c r="BO366" s="83"/>
      <c r="BP366" s="83"/>
      <c r="BQ366" s="83"/>
      <c r="BR366" s="83"/>
      <c r="BS366" s="83"/>
      <c r="BT366" s="83"/>
      <c r="BU366" s="83"/>
      <c r="BV366" s="83"/>
      <c r="BW366" s="83"/>
      <c r="BX366" s="83"/>
      <c r="BY366" s="83"/>
      <c r="BZ366" s="83"/>
      <c r="CA366" s="83"/>
      <c r="CB366" s="83"/>
      <c r="CC366" s="83"/>
      <c r="CD366" s="83"/>
      <c r="CE366" s="83"/>
      <c r="CF366" s="83"/>
      <c r="CG366" s="83"/>
      <c r="CH366" s="83"/>
      <c r="CI366" s="83"/>
      <c r="CJ366" s="83"/>
      <c r="CK366" s="83"/>
      <c r="CL366" s="83"/>
      <c r="CM366" s="83"/>
      <c r="CN366" s="83"/>
      <c r="CO366" s="83"/>
      <c r="CP366" s="83"/>
      <c r="CQ366" s="83"/>
      <c r="CR366" s="83"/>
      <c r="CS366" s="83"/>
      <c r="CT366" s="83"/>
      <c r="CU366" s="83"/>
      <c r="CV366" s="83"/>
      <c r="CW366" s="83"/>
      <c r="CX366" s="83"/>
      <c r="CY366" s="83"/>
      <c r="CZ366" s="83"/>
      <c r="DA366" s="83"/>
      <c r="DB366" s="83"/>
      <c r="DC366" s="83"/>
      <c r="DD366" s="83"/>
      <c r="DE366" s="83"/>
      <c r="DF366" s="115"/>
      <c r="DG366" s="115"/>
    </row>
    <row r="367" spans="1:111" ht="9" customHeight="1">
      <c r="A367" s="128"/>
      <c r="B367" s="527" t="s">
        <v>447</v>
      </c>
      <c r="C367" s="527"/>
      <c r="D367" s="527"/>
      <c r="E367" s="527"/>
      <c r="F367" s="527"/>
      <c r="G367" s="527"/>
      <c r="H367" s="527"/>
      <c r="I367" s="527"/>
      <c r="J367" s="527"/>
      <c r="K367" s="527"/>
      <c r="L367" s="527"/>
      <c r="M367" s="527"/>
      <c r="N367" s="186"/>
      <c r="O367" s="546"/>
      <c r="P367" s="547"/>
      <c r="Q367" s="547"/>
      <c r="R367" s="547"/>
      <c r="S367" s="547"/>
      <c r="T367" s="547"/>
      <c r="U367" s="547"/>
      <c r="V367" s="547"/>
      <c r="W367" s="547"/>
      <c r="X367" s="547"/>
      <c r="Y367" s="547"/>
      <c r="Z367" s="547"/>
      <c r="AA367" s="547"/>
      <c r="AB367" s="547"/>
      <c r="AC367" s="547"/>
      <c r="AD367" s="547"/>
      <c r="AE367" s="547"/>
      <c r="AF367" s="547"/>
      <c r="AG367" s="547"/>
      <c r="AH367" s="547"/>
      <c r="AI367" s="547"/>
      <c r="AJ367" s="547"/>
      <c r="AK367" s="547"/>
      <c r="AL367" s="547"/>
      <c r="AM367" s="547"/>
      <c r="AN367" s="547"/>
      <c r="AO367" s="547"/>
      <c r="AP367" s="547"/>
      <c r="AQ367" s="547"/>
      <c r="AR367" s="547"/>
      <c r="AS367" s="547"/>
      <c r="AT367" s="547"/>
      <c r="AU367" s="547"/>
      <c r="AV367" s="547"/>
      <c r="AW367" s="547"/>
      <c r="AX367" s="547"/>
      <c r="AY367" s="547"/>
      <c r="AZ367" s="547"/>
      <c r="BA367" s="548"/>
      <c r="BB367" s="128"/>
      <c r="BC367" s="115"/>
      <c r="BD367" s="115"/>
      <c r="BE367" s="115"/>
      <c r="BF367" s="115"/>
      <c r="BG367" s="83"/>
      <c r="BH367" s="83"/>
      <c r="BI367" s="83"/>
      <c r="BJ367" s="83"/>
      <c r="BK367" s="83"/>
      <c r="BL367" s="83"/>
      <c r="BM367" s="83"/>
      <c r="BN367" s="83"/>
      <c r="BO367" s="83"/>
      <c r="BP367" s="83"/>
      <c r="BQ367" s="83"/>
      <c r="BR367" s="83"/>
      <c r="BS367" s="83"/>
      <c r="BT367" s="83"/>
      <c r="BU367" s="83"/>
      <c r="BV367" s="83"/>
      <c r="BW367" s="83"/>
      <c r="BX367" s="83"/>
      <c r="BY367" s="83"/>
      <c r="BZ367" s="83"/>
      <c r="CA367" s="83"/>
      <c r="CB367" s="83"/>
      <c r="CC367" s="83"/>
      <c r="CD367" s="83"/>
      <c r="CE367" s="83"/>
      <c r="CF367" s="83"/>
      <c r="CG367" s="83"/>
      <c r="CH367" s="83"/>
      <c r="CI367" s="83"/>
      <c r="CJ367" s="83"/>
      <c r="CK367" s="83"/>
      <c r="CL367" s="83"/>
      <c r="CM367" s="83"/>
      <c r="CN367" s="83"/>
      <c r="CO367" s="83"/>
      <c r="CP367" s="83"/>
      <c r="CQ367" s="83"/>
      <c r="CR367" s="83"/>
      <c r="CS367" s="83"/>
      <c r="CT367" s="83"/>
      <c r="CU367" s="83"/>
      <c r="CV367" s="83"/>
      <c r="CW367" s="83"/>
      <c r="CX367" s="83"/>
      <c r="CY367" s="83"/>
      <c r="CZ367" s="83"/>
      <c r="DA367" s="83"/>
      <c r="DB367" s="83"/>
      <c r="DC367" s="83"/>
      <c r="DD367" s="83"/>
      <c r="DE367" s="83"/>
      <c r="DF367" s="115"/>
      <c r="DG367" s="115"/>
    </row>
    <row r="368" spans="1:111" ht="9" customHeight="1">
      <c r="A368" s="128"/>
      <c r="B368" s="527"/>
      <c r="C368" s="527"/>
      <c r="D368" s="527"/>
      <c r="E368" s="527"/>
      <c r="F368" s="527"/>
      <c r="G368" s="527"/>
      <c r="H368" s="527"/>
      <c r="I368" s="527"/>
      <c r="J368" s="527"/>
      <c r="K368" s="527"/>
      <c r="L368" s="527"/>
      <c r="M368" s="527"/>
      <c r="N368" s="186"/>
      <c r="O368" s="549"/>
      <c r="P368" s="550"/>
      <c r="Q368" s="550"/>
      <c r="R368" s="550"/>
      <c r="S368" s="550"/>
      <c r="T368" s="550"/>
      <c r="U368" s="550"/>
      <c r="V368" s="550"/>
      <c r="W368" s="550"/>
      <c r="X368" s="550"/>
      <c r="Y368" s="550"/>
      <c r="Z368" s="550"/>
      <c r="AA368" s="550"/>
      <c r="AB368" s="550"/>
      <c r="AC368" s="550"/>
      <c r="AD368" s="550"/>
      <c r="AE368" s="550"/>
      <c r="AF368" s="550"/>
      <c r="AG368" s="550"/>
      <c r="AH368" s="550"/>
      <c r="AI368" s="550"/>
      <c r="AJ368" s="550"/>
      <c r="AK368" s="550"/>
      <c r="AL368" s="550"/>
      <c r="AM368" s="550"/>
      <c r="AN368" s="550"/>
      <c r="AO368" s="550"/>
      <c r="AP368" s="550"/>
      <c r="AQ368" s="550"/>
      <c r="AR368" s="550"/>
      <c r="AS368" s="550"/>
      <c r="AT368" s="550"/>
      <c r="AU368" s="550"/>
      <c r="AV368" s="550"/>
      <c r="AW368" s="550"/>
      <c r="AX368" s="550"/>
      <c r="AY368" s="550"/>
      <c r="AZ368" s="550"/>
      <c r="BA368" s="551"/>
      <c r="BB368" s="128"/>
      <c r="BC368" s="115"/>
      <c r="BD368" s="115"/>
      <c r="BE368" s="115"/>
      <c r="BF368" s="115"/>
      <c r="BG368" s="83"/>
      <c r="BH368" s="83"/>
      <c r="BI368" s="83"/>
      <c r="BJ368" s="83"/>
      <c r="BK368" s="83"/>
      <c r="BL368" s="83"/>
      <c r="BM368" s="83"/>
      <c r="BN368" s="83"/>
      <c r="BO368" s="83"/>
      <c r="BP368" s="83"/>
      <c r="BQ368" s="83"/>
      <c r="BR368" s="83"/>
      <c r="BS368" s="83"/>
      <c r="BT368" s="83"/>
      <c r="BU368" s="83"/>
      <c r="BV368" s="83"/>
      <c r="BW368" s="83"/>
      <c r="BX368" s="83"/>
      <c r="BY368" s="83"/>
      <c r="BZ368" s="83"/>
      <c r="CA368" s="83"/>
      <c r="CB368" s="83"/>
      <c r="CC368" s="83"/>
      <c r="CD368" s="83"/>
      <c r="CE368" s="83"/>
      <c r="CF368" s="83"/>
      <c r="CG368" s="83"/>
      <c r="CH368" s="83"/>
      <c r="CI368" s="83"/>
      <c r="CJ368" s="83"/>
      <c r="CK368" s="83"/>
      <c r="CL368" s="83"/>
      <c r="CM368" s="83"/>
      <c r="CN368" s="83"/>
      <c r="CO368" s="83"/>
      <c r="CP368" s="83"/>
      <c r="CQ368" s="83"/>
      <c r="CR368" s="83"/>
      <c r="CS368" s="83"/>
      <c r="CT368" s="83"/>
      <c r="CU368" s="83"/>
      <c r="CV368" s="83"/>
      <c r="CW368" s="83"/>
      <c r="CX368" s="83"/>
      <c r="CY368" s="83"/>
      <c r="CZ368" s="83"/>
      <c r="DA368" s="83"/>
      <c r="DB368" s="83"/>
      <c r="DC368" s="83"/>
      <c r="DD368" s="83"/>
      <c r="DE368" s="83"/>
      <c r="DF368" s="115"/>
      <c r="DG368" s="115"/>
    </row>
    <row r="369" spans="1:111" ht="9" customHeight="1">
      <c r="A369" s="128"/>
      <c r="B369" s="187"/>
      <c r="C369" s="187"/>
      <c r="D369" s="187"/>
      <c r="E369" s="187"/>
      <c r="F369" s="187"/>
      <c r="G369" s="187"/>
      <c r="H369" s="187"/>
      <c r="I369" s="188"/>
      <c r="J369" s="187"/>
      <c r="K369" s="187"/>
      <c r="L369" s="187"/>
      <c r="M369" s="187"/>
      <c r="N369" s="128"/>
      <c r="O369" s="549"/>
      <c r="P369" s="550"/>
      <c r="Q369" s="550"/>
      <c r="R369" s="550"/>
      <c r="S369" s="550"/>
      <c r="T369" s="550"/>
      <c r="U369" s="550"/>
      <c r="V369" s="550"/>
      <c r="W369" s="550"/>
      <c r="X369" s="550"/>
      <c r="Y369" s="550"/>
      <c r="Z369" s="550"/>
      <c r="AA369" s="550"/>
      <c r="AB369" s="550"/>
      <c r="AC369" s="550"/>
      <c r="AD369" s="550"/>
      <c r="AE369" s="550"/>
      <c r="AF369" s="550"/>
      <c r="AG369" s="550"/>
      <c r="AH369" s="550"/>
      <c r="AI369" s="550"/>
      <c r="AJ369" s="550"/>
      <c r="AK369" s="550"/>
      <c r="AL369" s="550"/>
      <c r="AM369" s="550"/>
      <c r="AN369" s="550"/>
      <c r="AO369" s="550"/>
      <c r="AP369" s="550"/>
      <c r="AQ369" s="550"/>
      <c r="AR369" s="550"/>
      <c r="AS369" s="550"/>
      <c r="AT369" s="550"/>
      <c r="AU369" s="550"/>
      <c r="AV369" s="550"/>
      <c r="AW369" s="550"/>
      <c r="AX369" s="550"/>
      <c r="AY369" s="550"/>
      <c r="AZ369" s="550"/>
      <c r="BA369" s="551"/>
      <c r="BB369" s="128"/>
      <c r="BC369" s="115"/>
      <c r="BD369" s="115"/>
      <c r="BE369" s="115"/>
      <c r="BF369" s="115"/>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c r="CC369" s="83"/>
      <c r="CD369" s="83"/>
      <c r="CE369" s="83"/>
      <c r="CF369" s="83"/>
      <c r="CG369" s="83"/>
      <c r="CH369" s="83"/>
      <c r="CI369" s="83"/>
      <c r="CJ369" s="83"/>
      <c r="CK369" s="83"/>
      <c r="CL369" s="83"/>
      <c r="CM369" s="83"/>
      <c r="CN369" s="83"/>
      <c r="CO369" s="83"/>
      <c r="CP369" s="83"/>
      <c r="CQ369" s="83"/>
      <c r="CR369" s="83"/>
      <c r="CS369" s="83"/>
      <c r="CT369" s="83"/>
      <c r="CU369" s="83"/>
      <c r="CV369" s="83"/>
      <c r="CW369" s="83"/>
      <c r="CX369" s="83"/>
      <c r="CY369" s="83"/>
      <c r="CZ369" s="83"/>
      <c r="DA369" s="83"/>
      <c r="DB369" s="83"/>
      <c r="DC369" s="83"/>
      <c r="DD369" s="83"/>
      <c r="DE369" s="83"/>
      <c r="DF369" s="115"/>
      <c r="DG369" s="115"/>
    </row>
    <row r="370" spans="1:111" ht="9" customHeight="1">
      <c r="A370" s="128"/>
      <c r="B370" s="187"/>
      <c r="C370" s="187"/>
      <c r="D370" s="187"/>
      <c r="E370" s="187"/>
      <c r="F370" s="187"/>
      <c r="G370" s="187"/>
      <c r="H370" s="187"/>
      <c r="I370" s="188"/>
      <c r="J370" s="187"/>
      <c r="K370" s="187"/>
      <c r="L370" s="187"/>
      <c r="M370" s="187"/>
      <c r="N370" s="128"/>
      <c r="O370" s="552"/>
      <c r="P370" s="553"/>
      <c r="Q370" s="553"/>
      <c r="R370" s="553"/>
      <c r="S370" s="553"/>
      <c r="T370" s="553"/>
      <c r="U370" s="553"/>
      <c r="V370" s="553"/>
      <c r="W370" s="553"/>
      <c r="X370" s="553"/>
      <c r="Y370" s="553"/>
      <c r="Z370" s="553"/>
      <c r="AA370" s="553"/>
      <c r="AB370" s="553"/>
      <c r="AC370" s="553"/>
      <c r="AD370" s="553"/>
      <c r="AE370" s="553"/>
      <c r="AF370" s="553"/>
      <c r="AG370" s="553"/>
      <c r="AH370" s="553"/>
      <c r="AI370" s="553"/>
      <c r="AJ370" s="553"/>
      <c r="AK370" s="553"/>
      <c r="AL370" s="553"/>
      <c r="AM370" s="553"/>
      <c r="AN370" s="553"/>
      <c r="AO370" s="553"/>
      <c r="AP370" s="553"/>
      <c r="AQ370" s="553"/>
      <c r="AR370" s="553"/>
      <c r="AS370" s="553"/>
      <c r="AT370" s="553"/>
      <c r="AU370" s="553"/>
      <c r="AV370" s="553"/>
      <c r="AW370" s="553"/>
      <c r="AX370" s="553"/>
      <c r="AY370" s="553"/>
      <c r="AZ370" s="553"/>
      <c r="BA370" s="554"/>
      <c r="BB370" s="128"/>
      <c r="BC370" s="115"/>
      <c r="BD370" s="115"/>
      <c r="BE370" s="115"/>
      <c r="BF370" s="115"/>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83"/>
      <c r="CN370" s="83"/>
      <c r="CO370" s="83"/>
      <c r="CP370" s="83"/>
      <c r="CQ370" s="83"/>
      <c r="CR370" s="83"/>
      <c r="CS370" s="83"/>
      <c r="CT370" s="83"/>
      <c r="CU370" s="83"/>
      <c r="CV370" s="83"/>
      <c r="CW370" s="83"/>
      <c r="CX370" s="83"/>
      <c r="CY370" s="83"/>
      <c r="CZ370" s="83"/>
      <c r="DA370" s="83"/>
      <c r="DB370" s="83"/>
      <c r="DC370" s="83"/>
      <c r="DD370" s="83"/>
      <c r="DE370" s="83"/>
      <c r="DF370" s="115"/>
      <c r="DG370" s="115"/>
    </row>
    <row r="371" spans="1:111" ht="4.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15"/>
      <c r="BD371" s="115"/>
      <c r="BE371" s="115"/>
      <c r="BF371" s="115"/>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83"/>
      <c r="CN371" s="83"/>
      <c r="CO371" s="83"/>
      <c r="CP371" s="83"/>
      <c r="CQ371" s="83"/>
      <c r="CR371" s="83"/>
      <c r="CS371" s="83"/>
      <c r="CT371" s="83"/>
      <c r="CU371" s="83"/>
      <c r="CV371" s="83"/>
      <c r="CW371" s="83"/>
      <c r="CX371" s="83"/>
      <c r="CY371" s="83"/>
      <c r="CZ371" s="83"/>
      <c r="DA371" s="83"/>
      <c r="DB371" s="83"/>
      <c r="DC371" s="83"/>
      <c r="DD371" s="83"/>
      <c r="DE371" s="83"/>
      <c r="DF371" s="115"/>
      <c r="DG371" s="115"/>
    </row>
    <row r="372" spans="1:111" ht="9" customHeight="1">
      <c r="A372" s="128"/>
      <c r="B372" s="527" t="s">
        <v>448</v>
      </c>
      <c r="C372" s="527"/>
      <c r="D372" s="527"/>
      <c r="E372" s="527"/>
      <c r="F372" s="527"/>
      <c r="G372" s="527"/>
      <c r="H372" s="527"/>
      <c r="I372" s="527"/>
      <c r="J372" s="527"/>
      <c r="K372" s="527"/>
      <c r="L372" s="527"/>
      <c r="M372" s="527"/>
      <c r="N372" s="186"/>
      <c r="O372" s="528"/>
      <c r="P372" s="529"/>
      <c r="Q372" s="529"/>
      <c r="R372" s="529"/>
      <c r="S372" s="529"/>
      <c r="T372" s="529"/>
      <c r="U372" s="529"/>
      <c r="V372" s="529"/>
      <c r="W372" s="529"/>
      <c r="X372" s="529"/>
      <c r="Y372" s="529"/>
      <c r="Z372" s="530"/>
      <c r="AA372" s="128"/>
      <c r="AB372" s="128"/>
      <c r="AC372" s="527" t="s">
        <v>449</v>
      </c>
      <c r="AD372" s="527"/>
      <c r="AE372" s="527"/>
      <c r="AF372" s="527"/>
      <c r="AG372" s="527"/>
      <c r="AH372" s="527"/>
      <c r="AI372" s="527"/>
      <c r="AJ372" s="527"/>
      <c r="AK372" s="527"/>
      <c r="AL372" s="527"/>
      <c r="AM372" s="527"/>
      <c r="AN372" s="527"/>
      <c r="AO372" s="128"/>
      <c r="AP372" s="528"/>
      <c r="AQ372" s="529"/>
      <c r="AR372" s="529"/>
      <c r="AS372" s="529"/>
      <c r="AT372" s="529"/>
      <c r="AU372" s="529"/>
      <c r="AV372" s="529"/>
      <c r="AW372" s="529"/>
      <c r="AX372" s="529"/>
      <c r="AY372" s="529"/>
      <c r="AZ372" s="529"/>
      <c r="BA372" s="530"/>
      <c r="BB372" s="128"/>
      <c r="BC372" s="115"/>
      <c r="BD372" s="115"/>
      <c r="BE372" s="115"/>
      <c r="BF372" s="115"/>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c r="CC372" s="83"/>
      <c r="CD372" s="83"/>
      <c r="CE372" s="83"/>
      <c r="CF372" s="83"/>
      <c r="CG372" s="83"/>
      <c r="CH372" s="83"/>
      <c r="CI372" s="83"/>
      <c r="CJ372" s="83"/>
      <c r="CK372" s="83"/>
      <c r="CL372" s="83"/>
      <c r="CM372" s="83"/>
      <c r="CN372" s="83"/>
      <c r="CO372" s="83"/>
      <c r="CP372" s="83"/>
      <c r="CQ372" s="83"/>
      <c r="CR372" s="83"/>
      <c r="CS372" s="83"/>
      <c r="CT372" s="83"/>
      <c r="CU372" s="83"/>
      <c r="CV372" s="83"/>
      <c r="CW372" s="83"/>
      <c r="CX372" s="83"/>
      <c r="CY372" s="83"/>
      <c r="CZ372" s="83"/>
      <c r="DA372" s="83"/>
      <c r="DB372" s="83"/>
      <c r="DC372" s="83"/>
      <c r="DD372" s="83"/>
      <c r="DE372" s="83"/>
      <c r="DF372" s="115"/>
      <c r="DG372" s="115"/>
    </row>
    <row r="373" spans="1:111" ht="9" customHeight="1">
      <c r="A373" s="128"/>
      <c r="B373" s="527"/>
      <c r="C373" s="527"/>
      <c r="D373" s="527"/>
      <c r="E373" s="527"/>
      <c r="F373" s="527"/>
      <c r="G373" s="527"/>
      <c r="H373" s="527"/>
      <c r="I373" s="527"/>
      <c r="J373" s="527"/>
      <c r="K373" s="527"/>
      <c r="L373" s="527"/>
      <c r="M373" s="527"/>
      <c r="N373" s="186"/>
      <c r="O373" s="531"/>
      <c r="P373" s="532"/>
      <c r="Q373" s="532"/>
      <c r="R373" s="532"/>
      <c r="S373" s="532"/>
      <c r="T373" s="532"/>
      <c r="U373" s="532"/>
      <c r="V373" s="532"/>
      <c r="W373" s="532"/>
      <c r="X373" s="532"/>
      <c r="Y373" s="532"/>
      <c r="Z373" s="533"/>
      <c r="AA373" s="128"/>
      <c r="AB373" s="128"/>
      <c r="AC373" s="527"/>
      <c r="AD373" s="527"/>
      <c r="AE373" s="527"/>
      <c r="AF373" s="527"/>
      <c r="AG373" s="527"/>
      <c r="AH373" s="527"/>
      <c r="AI373" s="527"/>
      <c r="AJ373" s="527"/>
      <c r="AK373" s="527"/>
      <c r="AL373" s="527"/>
      <c r="AM373" s="527"/>
      <c r="AN373" s="527"/>
      <c r="AO373" s="128"/>
      <c r="AP373" s="531"/>
      <c r="AQ373" s="532"/>
      <c r="AR373" s="532"/>
      <c r="AS373" s="532"/>
      <c r="AT373" s="532"/>
      <c r="AU373" s="532"/>
      <c r="AV373" s="532"/>
      <c r="AW373" s="532"/>
      <c r="AX373" s="532"/>
      <c r="AY373" s="532"/>
      <c r="AZ373" s="532"/>
      <c r="BA373" s="533"/>
      <c r="BB373" s="128"/>
      <c r="BC373" s="115"/>
      <c r="BD373" s="115"/>
      <c r="BE373" s="115"/>
      <c r="BF373" s="115"/>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c r="CC373" s="83"/>
      <c r="CD373" s="83"/>
      <c r="CE373" s="83"/>
      <c r="CF373" s="83"/>
      <c r="CG373" s="83"/>
      <c r="CH373" s="83"/>
      <c r="CI373" s="83"/>
      <c r="CJ373" s="83"/>
      <c r="CK373" s="83"/>
      <c r="CL373" s="83"/>
      <c r="CM373" s="83"/>
      <c r="CN373" s="83"/>
      <c r="CO373" s="83"/>
      <c r="CP373" s="83"/>
      <c r="CQ373" s="83"/>
      <c r="CR373" s="83"/>
      <c r="CS373" s="83"/>
      <c r="CT373" s="83"/>
      <c r="CU373" s="83"/>
      <c r="CV373" s="83"/>
      <c r="CW373" s="83"/>
      <c r="CX373" s="83"/>
      <c r="CY373" s="83"/>
      <c r="CZ373" s="83"/>
      <c r="DA373" s="83"/>
      <c r="DB373" s="83"/>
      <c r="DC373" s="83"/>
      <c r="DD373" s="83"/>
      <c r="DE373" s="83"/>
      <c r="DF373" s="115"/>
      <c r="DG373" s="115"/>
    </row>
    <row r="374" spans="1:111" ht="4.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15"/>
      <c r="BD374" s="115"/>
      <c r="BE374" s="115"/>
      <c r="BF374" s="115"/>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83"/>
      <c r="CN374" s="83"/>
      <c r="CO374" s="83"/>
      <c r="CP374" s="83"/>
      <c r="CQ374" s="83"/>
      <c r="CR374" s="83"/>
      <c r="CS374" s="83"/>
      <c r="CT374" s="83"/>
      <c r="CU374" s="83"/>
      <c r="CV374" s="83"/>
      <c r="CW374" s="83"/>
      <c r="CX374" s="83"/>
      <c r="CY374" s="83"/>
      <c r="CZ374" s="83"/>
      <c r="DA374" s="83"/>
      <c r="DB374" s="83"/>
      <c r="DC374" s="83"/>
      <c r="DD374" s="83"/>
      <c r="DE374" s="83"/>
      <c r="DF374" s="115"/>
      <c r="DG374" s="115"/>
    </row>
    <row r="375" spans="1:111" ht="9" customHeight="1">
      <c r="A375" s="128"/>
      <c r="B375" s="527" t="s">
        <v>450</v>
      </c>
      <c r="C375" s="527"/>
      <c r="D375" s="527"/>
      <c r="E375" s="527"/>
      <c r="F375" s="527"/>
      <c r="G375" s="527"/>
      <c r="H375" s="527"/>
      <c r="I375" s="527"/>
      <c r="J375" s="527"/>
      <c r="K375" s="527"/>
      <c r="L375" s="527"/>
      <c r="M375" s="527"/>
      <c r="N375" s="186"/>
      <c r="O375" s="528"/>
      <c r="P375" s="529"/>
      <c r="Q375" s="529"/>
      <c r="R375" s="529"/>
      <c r="S375" s="529"/>
      <c r="T375" s="529"/>
      <c r="U375" s="529"/>
      <c r="V375" s="529"/>
      <c r="W375" s="529"/>
      <c r="X375" s="529"/>
      <c r="Y375" s="529"/>
      <c r="Z375" s="530"/>
      <c r="AA375" s="128"/>
      <c r="AB375" s="128"/>
      <c r="AC375" s="527" t="s">
        <v>451</v>
      </c>
      <c r="AD375" s="527"/>
      <c r="AE375" s="527"/>
      <c r="AF375" s="527"/>
      <c r="AG375" s="527"/>
      <c r="AH375" s="527"/>
      <c r="AI375" s="527"/>
      <c r="AJ375" s="527"/>
      <c r="AK375" s="527"/>
      <c r="AL375" s="527"/>
      <c r="AM375" s="527"/>
      <c r="AN375" s="527"/>
      <c r="AO375" s="128"/>
      <c r="AP375" s="528"/>
      <c r="AQ375" s="529"/>
      <c r="AR375" s="529"/>
      <c r="AS375" s="529"/>
      <c r="AT375" s="529"/>
      <c r="AU375" s="529"/>
      <c r="AV375" s="529"/>
      <c r="AW375" s="529"/>
      <c r="AX375" s="529"/>
      <c r="AY375" s="529"/>
      <c r="AZ375" s="529"/>
      <c r="BA375" s="530"/>
      <c r="BB375" s="128"/>
      <c r="BC375" s="115"/>
      <c r="BD375" s="115"/>
      <c r="BE375" s="115"/>
      <c r="BF375" s="115"/>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c r="CC375" s="83"/>
      <c r="CD375" s="83"/>
      <c r="CE375" s="83"/>
      <c r="CF375" s="83"/>
      <c r="CG375" s="83"/>
      <c r="CH375" s="83"/>
      <c r="CI375" s="83"/>
      <c r="CJ375" s="83"/>
      <c r="CK375" s="83"/>
      <c r="CL375" s="83"/>
      <c r="CM375" s="83"/>
      <c r="CN375" s="83"/>
      <c r="CO375" s="83"/>
      <c r="CP375" s="83"/>
      <c r="CQ375" s="83"/>
      <c r="CR375" s="83"/>
      <c r="CS375" s="83"/>
      <c r="CT375" s="83"/>
      <c r="CU375" s="83"/>
      <c r="CV375" s="83"/>
      <c r="CW375" s="83"/>
      <c r="CX375" s="83"/>
      <c r="CY375" s="83"/>
      <c r="CZ375" s="83"/>
      <c r="DA375" s="83"/>
      <c r="DB375" s="83"/>
      <c r="DC375" s="83"/>
      <c r="DD375" s="83"/>
      <c r="DE375" s="83"/>
      <c r="DF375" s="115"/>
      <c r="DG375" s="115"/>
    </row>
    <row r="376" spans="1:111" ht="9" customHeight="1">
      <c r="A376" s="128"/>
      <c r="B376" s="527"/>
      <c r="C376" s="527"/>
      <c r="D376" s="527"/>
      <c r="E376" s="527"/>
      <c r="F376" s="527"/>
      <c r="G376" s="527"/>
      <c r="H376" s="527"/>
      <c r="I376" s="527"/>
      <c r="J376" s="527"/>
      <c r="K376" s="527"/>
      <c r="L376" s="527"/>
      <c r="M376" s="527"/>
      <c r="N376" s="186"/>
      <c r="O376" s="531"/>
      <c r="P376" s="532"/>
      <c r="Q376" s="532"/>
      <c r="R376" s="532"/>
      <c r="S376" s="532"/>
      <c r="T376" s="532"/>
      <c r="U376" s="532"/>
      <c r="V376" s="532"/>
      <c r="W376" s="532"/>
      <c r="X376" s="532"/>
      <c r="Y376" s="532"/>
      <c r="Z376" s="533"/>
      <c r="AA376" s="128"/>
      <c r="AB376" s="128"/>
      <c r="AC376" s="527"/>
      <c r="AD376" s="527"/>
      <c r="AE376" s="527"/>
      <c r="AF376" s="527"/>
      <c r="AG376" s="527"/>
      <c r="AH376" s="527"/>
      <c r="AI376" s="527"/>
      <c r="AJ376" s="527"/>
      <c r="AK376" s="527"/>
      <c r="AL376" s="527"/>
      <c r="AM376" s="527"/>
      <c r="AN376" s="527"/>
      <c r="AO376" s="128"/>
      <c r="AP376" s="531"/>
      <c r="AQ376" s="532"/>
      <c r="AR376" s="532"/>
      <c r="AS376" s="532"/>
      <c r="AT376" s="532"/>
      <c r="AU376" s="532"/>
      <c r="AV376" s="532"/>
      <c r="AW376" s="532"/>
      <c r="AX376" s="532"/>
      <c r="AY376" s="532"/>
      <c r="AZ376" s="532"/>
      <c r="BA376" s="533"/>
      <c r="BB376" s="128"/>
      <c r="BC376" s="115"/>
      <c r="BD376" s="115"/>
      <c r="BE376" s="115"/>
      <c r="BF376" s="115"/>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c r="CC376" s="83"/>
      <c r="CD376" s="83"/>
      <c r="CE376" s="83"/>
      <c r="CF376" s="83"/>
      <c r="CG376" s="83"/>
      <c r="CH376" s="83"/>
      <c r="CI376" s="83"/>
      <c r="CJ376" s="83"/>
      <c r="CK376" s="83"/>
      <c r="CL376" s="83"/>
      <c r="CM376" s="83"/>
      <c r="CN376" s="83"/>
      <c r="CO376" s="83"/>
      <c r="CP376" s="83"/>
      <c r="CQ376" s="83"/>
      <c r="CR376" s="83"/>
      <c r="CS376" s="83"/>
      <c r="CT376" s="83"/>
      <c r="CU376" s="83"/>
      <c r="CV376" s="83"/>
      <c r="CW376" s="83"/>
      <c r="CX376" s="83"/>
      <c r="CY376" s="83"/>
      <c r="CZ376" s="83"/>
      <c r="DA376" s="83"/>
      <c r="DB376" s="83"/>
      <c r="DC376" s="83"/>
      <c r="DD376" s="83"/>
      <c r="DE376" s="83"/>
      <c r="DF376" s="115"/>
      <c r="DG376" s="115"/>
    </row>
    <row r="377" spans="1:111" ht="4.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15"/>
      <c r="BD377" s="115"/>
      <c r="BE377" s="115"/>
      <c r="BF377" s="115"/>
      <c r="BG377" s="83"/>
      <c r="BH377" s="83"/>
      <c r="BI377" s="83"/>
      <c r="BJ377" s="83"/>
      <c r="BK377" s="83"/>
      <c r="BL377" s="83"/>
      <c r="BM377" s="83"/>
      <c r="BN377" s="83"/>
      <c r="BO377" s="83"/>
      <c r="BP377" s="83"/>
      <c r="BQ377" s="83"/>
      <c r="BR377" s="83"/>
      <c r="BS377" s="83"/>
      <c r="BT377" s="83"/>
      <c r="BU377" s="83"/>
      <c r="BV377" s="83"/>
      <c r="BW377" s="83"/>
      <c r="BX377" s="83"/>
      <c r="BY377" s="83"/>
      <c r="BZ377" s="83"/>
      <c r="CA377" s="83"/>
      <c r="CB377" s="83"/>
      <c r="CC377" s="83"/>
      <c r="CD377" s="83"/>
      <c r="CE377" s="83"/>
      <c r="CF377" s="83"/>
      <c r="CG377" s="83"/>
      <c r="CH377" s="83"/>
      <c r="CI377" s="83"/>
      <c r="CJ377" s="83"/>
      <c r="CK377" s="83"/>
      <c r="CL377" s="83"/>
      <c r="CM377" s="83"/>
      <c r="CN377" s="83"/>
      <c r="CO377" s="83"/>
      <c r="CP377" s="83"/>
      <c r="CQ377" s="83"/>
      <c r="CR377" s="83"/>
      <c r="CS377" s="83"/>
      <c r="CT377" s="83"/>
      <c r="CU377" s="83"/>
      <c r="CV377" s="83"/>
      <c r="CW377" s="83"/>
      <c r="CX377" s="83"/>
      <c r="CY377" s="83"/>
      <c r="CZ377" s="83"/>
      <c r="DA377" s="83"/>
      <c r="DB377" s="83"/>
      <c r="DC377" s="83"/>
      <c r="DD377" s="83"/>
      <c r="DE377" s="83"/>
      <c r="DF377" s="115"/>
      <c r="DG377" s="115"/>
    </row>
    <row r="378" spans="1:111" ht="9" customHeight="1">
      <c r="A378" s="128"/>
      <c r="B378" s="527" t="s">
        <v>452</v>
      </c>
      <c r="C378" s="527"/>
      <c r="D378" s="527"/>
      <c r="E378" s="527"/>
      <c r="F378" s="527"/>
      <c r="G378" s="527"/>
      <c r="H378" s="527"/>
      <c r="I378" s="527"/>
      <c r="J378" s="527"/>
      <c r="K378" s="527"/>
      <c r="L378" s="527"/>
      <c r="M378" s="527"/>
      <c r="N378" s="186"/>
      <c r="O378" s="546"/>
      <c r="P378" s="547"/>
      <c r="Q378" s="547"/>
      <c r="R378" s="547"/>
      <c r="S378" s="547"/>
      <c r="T378" s="547"/>
      <c r="U378" s="547"/>
      <c r="V378" s="547"/>
      <c r="W378" s="547"/>
      <c r="X378" s="547"/>
      <c r="Y378" s="547"/>
      <c r="Z378" s="547"/>
      <c r="AA378" s="547"/>
      <c r="AB378" s="547"/>
      <c r="AC378" s="547"/>
      <c r="AD378" s="547"/>
      <c r="AE378" s="547"/>
      <c r="AF378" s="547"/>
      <c r="AG378" s="547"/>
      <c r="AH378" s="547"/>
      <c r="AI378" s="547"/>
      <c r="AJ378" s="547"/>
      <c r="AK378" s="547"/>
      <c r="AL378" s="547"/>
      <c r="AM378" s="547"/>
      <c r="AN378" s="547"/>
      <c r="AO378" s="547"/>
      <c r="AP378" s="547"/>
      <c r="AQ378" s="547"/>
      <c r="AR378" s="547"/>
      <c r="AS378" s="547"/>
      <c r="AT378" s="547"/>
      <c r="AU378" s="547"/>
      <c r="AV378" s="547"/>
      <c r="AW378" s="547"/>
      <c r="AX378" s="547"/>
      <c r="AY378" s="547"/>
      <c r="AZ378" s="547"/>
      <c r="BA378" s="548"/>
      <c r="BB378" s="128"/>
      <c r="BC378" s="115"/>
      <c r="BD378" s="115"/>
      <c r="BE378" s="115"/>
      <c r="BF378" s="115"/>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83"/>
      <c r="CN378" s="83"/>
      <c r="CO378" s="83"/>
      <c r="CP378" s="83"/>
      <c r="CQ378" s="83"/>
      <c r="CR378" s="83"/>
      <c r="CS378" s="83"/>
      <c r="CT378" s="83"/>
      <c r="CU378" s="83"/>
      <c r="CV378" s="83"/>
      <c r="CW378" s="83"/>
      <c r="CX378" s="83"/>
      <c r="CY378" s="83"/>
      <c r="CZ378" s="83"/>
      <c r="DA378" s="83"/>
      <c r="DB378" s="83"/>
      <c r="DC378" s="83"/>
      <c r="DD378" s="83"/>
      <c r="DE378" s="83"/>
      <c r="DF378" s="115"/>
      <c r="DG378" s="115"/>
    </row>
    <row r="379" spans="1:111" ht="9" customHeight="1">
      <c r="A379" s="128"/>
      <c r="B379" s="527"/>
      <c r="C379" s="527"/>
      <c r="D379" s="527"/>
      <c r="E379" s="527"/>
      <c r="F379" s="527"/>
      <c r="G379" s="527"/>
      <c r="H379" s="527"/>
      <c r="I379" s="527"/>
      <c r="J379" s="527"/>
      <c r="K379" s="527"/>
      <c r="L379" s="527"/>
      <c r="M379" s="527"/>
      <c r="N379" s="186"/>
      <c r="O379" s="549"/>
      <c r="P379" s="550"/>
      <c r="Q379" s="550"/>
      <c r="R379" s="550"/>
      <c r="S379" s="550"/>
      <c r="T379" s="550"/>
      <c r="U379" s="550"/>
      <c r="V379" s="550"/>
      <c r="W379" s="550"/>
      <c r="X379" s="550"/>
      <c r="Y379" s="550"/>
      <c r="Z379" s="550"/>
      <c r="AA379" s="550"/>
      <c r="AB379" s="550"/>
      <c r="AC379" s="550"/>
      <c r="AD379" s="550"/>
      <c r="AE379" s="550"/>
      <c r="AF379" s="550"/>
      <c r="AG379" s="550"/>
      <c r="AH379" s="550"/>
      <c r="AI379" s="550"/>
      <c r="AJ379" s="550"/>
      <c r="AK379" s="550"/>
      <c r="AL379" s="550"/>
      <c r="AM379" s="550"/>
      <c r="AN379" s="550"/>
      <c r="AO379" s="550"/>
      <c r="AP379" s="550"/>
      <c r="AQ379" s="550"/>
      <c r="AR379" s="550"/>
      <c r="AS379" s="550"/>
      <c r="AT379" s="550"/>
      <c r="AU379" s="550"/>
      <c r="AV379" s="550"/>
      <c r="AW379" s="550"/>
      <c r="AX379" s="550"/>
      <c r="AY379" s="550"/>
      <c r="AZ379" s="550"/>
      <c r="BA379" s="551"/>
      <c r="BB379" s="128"/>
      <c r="BC379" s="115"/>
      <c r="BD379" s="115"/>
      <c r="BE379" s="115"/>
      <c r="BF379" s="115"/>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c r="CC379" s="83"/>
      <c r="CD379" s="83"/>
      <c r="CE379" s="83"/>
      <c r="CF379" s="83"/>
      <c r="CG379" s="83"/>
      <c r="CH379" s="83"/>
      <c r="CI379" s="83"/>
      <c r="CJ379" s="83"/>
      <c r="CK379" s="83"/>
      <c r="CL379" s="83"/>
      <c r="CM379" s="83"/>
      <c r="CN379" s="83"/>
      <c r="CO379" s="83"/>
      <c r="CP379" s="83"/>
      <c r="CQ379" s="83"/>
      <c r="CR379" s="83"/>
      <c r="CS379" s="83"/>
      <c r="CT379" s="83"/>
      <c r="CU379" s="83"/>
      <c r="CV379" s="83"/>
      <c r="CW379" s="83"/>
      <c r="CX379" s="83"/>
      <c r="CY379" s="83"/>
      <c r="CZ379" s="83"/>
      <c r="DA379" s="83"/>
      <c r="DB379" s="83"/>
      <c r="DC379" s="83"/>
      <c r="DD379" s="83"/>
      <c r="DE379" s="83"/>
      <c r="DF379" s="115"/>
      <c r="DG379" s="115"/>
    </row>
    <row r="380" spans="1:111" ht="9" customHeight="1">
      <c r="A380" s="128"/>
      <c r="B380" s="187"/>
      <c r="C380" s="187"/>
      <c r="D380" s="187"/>
      <c r="E380" s="187"/>
      <c r="F380" s="187"/>
      <c r="G380" s="187"/>
      <c r="H380" s="187"/>
      <c r="I380" s="188"/>
      <c r="J380" s="187"/>
      <c r="K380" s="187"/>
      <c r="L380" s="187"/>
      <c r="M380" s="187"/>
      <c r="N380" s="128"/>
      <c r="O380" s="549"/>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c r="AO380" s="550"/>
      <c r="AP380" s="550"/>
      <c r="AQ380" s="550"/>
      <c r="AR380" s="550"/>
      <c r="AS380" s="550"/>
      <c r="AT380" s="550"/>
      <c r="AU380" s="550"/>
      <c r="AV380" s="550"/>
      <c r="AW380" s="550"/>
      <c r="AX380" s="550"/>
      <c r="AY380" s="550"/>
      <c r="AZ380" s="550"/>
      <c r="BA380" s="551"/>
      <c r="BB380" s="128"/>
      <c r="BC380" s="115"/>
      <c r="BD380" s="115"/>
      <c r="BE380" s="115"/>
      <c r="BF380" s="115"/>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c r="CC380" s="83"/>
      <c r="CD380" s="83"/>
      <c r="CE380" s="83"/>
      <c r="CF380" s="83"/>
      <c r="CG380" s="83"/>
      <c r="CH380" s="83"/>
      <c r="CI380" s="83"/>
      <c r="CJ380" s="83"/>
      <c r="CK380" s="83"/>
      <c r="CL380" s="83"/>
      <c r="CM380" s="83"/>
      <c r="CN380" s="83"/>
      <c r="CO380" s="83"/>
      <c r="CP380" s="83"/>
      <c r="CQ380" s="83"/>
      <c r="CR380" s="83"/>
      <c r="CS380" s="83"/>
      <c r="CT380" s="83"/>
      <c r="CU380" s="83"/>
      <c r="CV380" s="83"/>
      <c r="CW380" s="83"/>
      <c r="CX380" s="83"/>
      <c r="CY380" s="83"/>
      <c r="CZ380" s="83"/>
      <c r="DA380" s="83"/>
      <c r="DB380" s="83"/>
      <c r="DC380" s="83"/>
      <c r="DD380" s="83"/>
      <c r="DE380" s="83"/>
      <c r="DF380" s="115"/>
      <c r="DG380" s="115"/>
    </row>
    <row r="381" spans="1:111" ht="9" customHeight="1">
      <c r="A381" s="128"/>
      <c r="B381" s="187"/>
      <c r="C381" s="187"/>
      <c r="D381" s="187"/>
      <c r="E381" s="187"/>
      <c r="F381" s="187"/>
      <c r="G381" s="187"/>
      <c r="H381" s="187"/>
      <c r="I381" s="188"/>
      <c r="J381" s="187"/>
      <c r="K381" s="187"/>
      <c r="L381" s="187"/>
      <c r="M381" s="187"/>
      <c r="N381" s="128"/>
      <c r="O381" s="552"/>
      <c r="P381" s="553"/>
      <c r="Q381" s="553"/>
      <c r="R381" s="553"/>
      <c r="S381" s="553"/>
      <c r="T381" s="553"/>
      <c r="U381" s="553"/>
      <c r="V381" s="553"/>
      <c r="W381" s="553"/>
      <c r="X381" s="553"/>
      <c r="Y381" s="553"/>
      <c r="Z381" s="553"/>
      <c r="AA381" s="553"/>
      <c r="AB381" s="553"/>
      <c r="AC381" s="553"/>
      <c r="AD381" s="553"/>
      <c r="AE381" s="553"/>
      <c r="AF381" s="553"/>
      <c r="AG381" s="553"/>
      <c r="AH381" s="553"/>
      <c r="AI381" s="553"/>
      <c r="AJ381" s="553"/>
      <c r="AK381" s="553"/>
      <c r="AL381" s="553"/>
      <c r="AM381" s="553"/>
      <c r="AN381" s="553"/>
      <c r="AO381" s="553"/>
      <c r="AP381" s="553"/>
      <c r="AQ381" s="553"/>
      <c r="AR381" s="553"/>
      <c r="AS381" s="553"/>
      <c r="AT381" s="553"/>
      <c r="AU381" s="553"/>
      <c r="AV381" s="553"/>
      <c r="AW381" s="553"/>
      <c r="AX381" s="553"/>
      <c r="AY381" s="553"/>
      <c r="AZ381" s="553"/>
      <c r="BA381" s="554"/>
      <c r="BB381" s="128"/>
      <c r="BC381" s="115"/>
      <c r="BD381" s="115"/>
      <c r="BE381" s="115"/>
      <c r="BF381" s="115"/>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c r="CC381" s="83"/>
      <c r="CD381" s="83"/>
      <c r="CE381" s="83"/>
      <c r="CF381" s="83"/>
      <c r="CG381" s="83"/>
      <c r="CH381" s="83"/>
      <c r="CI381" s="83"/>
      <c r="CJ381" s="83"/>
      <c r="CK381" s="83"/>
      <c r="CL381" s="83"/>
      <c r="CM381" s="83"/>
      <c r="CN381" s="83"/>
      <c r="CO381" s="83"/>
      <c r="CP381" s="83"/>
      <c r="CQ381" s="83"/>
      <c r="CR381" s="83"/>
      <c r="CS381" s="83"/>
      <c r="CT381" s="83"/>
      <c r="CU381" s="83"/>
      <c r="CV381" s="83"/>
      <c r="CW381" s="83"/>
      <c r="CX381" s="83"/>
      <c r="CY381" s="83"/>
      <c r="CZ381" s="83"/>
      <c r="DA381" s="83"/>
      <c r="DB381" s="83"/>
      <c r="DC381" s="83"/>
      <c r="DD381" s="83"/>
      <c r="DE381" s="83"/>
      <c r="DF381" s="115"/>
      <c r="DG381" s="115"/>
    </row>
    <row r="382" spans="1:111" ht="4.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15"/>
      <c r="BD382" s="115"/>
      <c r="BE382" s="115"/>
      <c r="BF382" s="115"/>
      <c r="BG382" s="83"/>
      <c r="BH382" s="83"/>
      <c r="BI382" s="83"/>
      <c r="BJ382" s="83"/>
      <c r="BK382" s="83"/>
      <c r="BL382" s="83"/>
      <c r="BM382" s="83"/>
      <c r="BN382" s="83"/>
      <c r="BO382" s="83"/>
      <c r="BP382" s="83"/>
      <c r="BQ382" s="83"/>
      <c r="BR382" s="83"/>
      <c r="BS382" s="83"/>
      <c r="BT382" s="83"/>
      <c r="BU382" s="83"/>
      <c r="BV382" s="83"/>
      <c r="BW382" s="83"/>
      <c r="BX382" s="83"/>
      <c r="BY382" s="83"/>
      <c r="BZ382" s="83"/>
      <c r="CA382" s="83"/>
      <c r="CB382" s="83"/>
      <c r="CC382" s="83"/>
      <c r="CD382" s="83"/>
      <c r="CE382" s="83"/>
      <c r="CF382" s="83"/>
      <c r="CG382" s="83"/>
      <c r="CH382" s="83"/>
      <c r="CI382" s="83"/>
      <c r="CJ382" s="83"/>
      <c r="CK382" s="83"/>
      <c r="CL382" s="83"/>
      <c r="CM382" s="83"/>
      <c r="CN382" s="83"/>
      <c r="CO382" s="83"/>
      <c r="CP382" s="83"/>
      <c r="CQ382" s="83"/>
      <c r="CR382" s="83"/>
      <c r="CS382" s="83"/>
      <c r="CT382" s="83"/>
      <c r="CU382" s="83"/>
      <c r="CV382" s="83"/>
      <c r="CW382" s="83"/>
      <c r="CX382" s="83"/>
      <c r="CY382" s="83"/>
      <c r="CZ382" s="83"/>
      <c r="DA382" s="83"/>
      <c r="DB382" s="83"/>
      <c r="DC382" s="83"/>
      <c r="DD382" s="83"/>
      <c r="DE382" s="83"/>
      <c r="DF382" s="115"/>
      <c r="DG382" s="115"/>
    </row>
    <row r="383" spans="1:111" ht="9" customHeight="1">
      <c r="A383" s="128"/>
      <c r="B383" s="527" t="s">
        <v>453</v>
      </c>
      <c r="C383" s="527"/>
      <c r="D383" s="527"/>
      <c r="E383" s="527"/>
      <c r="F383" s="527"/>
      <c r="G383" s="527"/>
      <c r="H383" s="527"/>
      <c r="I383" s="527"/>
      <c r="J383" s="527"/>
      <c r="K383" s="527"/>
      <c r="L383" s="527"/>
      <c r="M383" s="527"/>
      <c r="N383" s="186"/>
      <c r="O383" s="546"/>
      <c r="P383" s="547"/>
      <c r="Q383" s="547"/>
      <c r="R383" s="547"/>
      <c r="S383" s="547"/>
      <c r="T383" s="547"/>
      <c r="U383" s="547"/>
      <c r="V383" s="547"/>
      <c r="W383" s="547"/>
      <c r="X383" s="547"/>
      <c r="Y383" s="547"/>
      <c r="Z383" s="547"/>
      <c r="AA383" s="547"/>
      <c r="AB383" s="547"/>
      <c r="AC383" s="547"/>
      <c r="AD383" s="547"/>
      <c r="AE383" s="547"/>
      <c r="AF383" s="547"/>
      <c r="AG383" s="547"/>
      <c r="AH383" s="547"/>
      <c r="AI383" s="547"/>
      <c r="AJ383" s="547"/>
      <c r="AK383" s="547"/>
      <c r="AL383" s="547"/>
      <c r="AM383" s="547"/>
      <c r="AN383" s="547"/>
      <c r="AO383" s="547"/>
      <c r="AP383" s="547"/>
      <c r="AQ383" s="547"/>
      <c r="AR383" s="547"/>
      <c r="AS383" s="547"/>
      <c r="AT383" s="547"/>
      <c r="AU383" s="547"/>
      <c r="AV383" s="547"/>
      <c r="AW383" s="547"/>
      <c r="AX383" s="547"/>
      <c r="AY383" s="547"/>
      <c r="AZ383" s="547"/>
      <c r="BA383" s="548"/>
      <c r="BB383" s="128"/>
      <c r="BC383" s="115"/>
      <c r="BD383" s="115"/>
      <c r="BE383" s="115"/>
      <c r="BF383" s="115"/>
      <c r="BG383" s="83"/>
      <c r="BH383" s="83"/>
      <c r="BI383" s="83"/>
      <c r="BJ383" s="83"/>
      <c r="BK383" s="83"/>
      <c r="BL383" s="83"/>
      <c r="BM383" s="83"/>
      <c r="BN383" s="83"/>
      <c r="BO383" s="83"/>
      <c r="BP383" s="83"/>
      <c r="BQ383" s="83"/>
      <c r="BR383" s="83"/>
      <c r="BS383" s="83"/>
      <c r="BT383" s="83"/>
      <c r="BU383" s="83"/>
      <c r="BV383" s="83"/>
      <c r="BW383" s="83"/>
      <c r="BX383" s="83"/>
      <c r="BY383" s="83"/>
      <c r="BZ383" s="83"/>
      <c r="CA383" s="83"/>
      <c r="CB383" s="83"/>
      <c r="CC383" s="83"/>
      <c r="CD383" s="83"/>
      <c r="CE383" s="83"/>
      <c r="CF383" s="83"/>
      <c r="CG383" s="83"/>
      <c r="CH383" s="83"/>
      <c r="CI383" s="83"/>
      <c r="CJ383" s="83"/>
      <c r="CK383" s="83"/>
      <c r="CL383" s="83"/>
      <c r="CM383" s="83"/>
      <c r="CN383" s="83"/>
      <c r="CO383" s="83"/>
      <c r="CP383" s="83"/>
      <c r="CQ383" s="83"/>
      <c r="CR383" s="83"/>
      <c r="CS383" s="83"/>
      <c r="CT383" s="83"/>
      <c r="CU383" s="83"/>
      <c r="CV383" s="83"/>
      <c r="CW383" s="83"/>
      <c r="CX383" s="83"/>
      <c r="CY383" s="83"/>
      <c r="CZ383" s="83"/>
      <c r="DA383" s="83"/>
      <c r="DB383" s="83"/>
      <c r="DC383" s="83"/>
      <c r="DD383" s="83"/>
      <c r="DE383" s="83"/>
      <c r="DF383" s="115"/>
      <c r="DG383" s="115"/>
    </row>
    <row r="384" spans="1:111" ht="9" customHeight="1">
      <c r="A384" s="128"/>
      <c r="B384" s="527"/>
      <c r="C384" s="527"/>
      <c r="D384" s="527"/>
      <c r="E384" s="527"/>
      <c r="F384" s="527"/>
      <c r="G384" s="527"/>
      <c r="H384" s="527"/>
      <c r="I384" s="527"/>
      <c r="J384" s="527"/>
      <c r="K384" s="527"/>
      <c r="L384" s="527"/>
      <c r="M384" s="527"/>
      <c r="N384" s="186"/>
      <c r="O384" s="549"/>
      <c r="P384" s="550"/>
      <c r="Q384" s="550"/>
      <c r="R384" s="550"/>
      <c r="S384" s="550"/>
      <c r="T384" s="550"/>
      <c r="U384" s="550"/>
      <c r="V384" s="550"/>
      <c r="W384" s="550"/>
      <c r="X384" s="550"/>
      <c r="Y384" s="550"/>
      <c r="Z384" s="550"/>
      <c r="AA384" s="550"/>
      <c r="AB384" s="550"/>
      <c r="AC384" s="550"/>
      <c r="AD384" s="550"/>
      <c r="AE384" s="550"/>
      <c r="AF384" s="550"/>
      <c r="AG384" s="550"/>
      <c r="AH384" s="550"/>
      <c r="AI384" s="550"/>
      <c r="AJ384" s="550"/>
      <c r="AK384" s="550"/>
      <c r="AL384" s="550"/>
      <c r="AM384" s="550"/>
      <c r="AN384" s="550"/>
      <c r="AO384" s="550"/>
      <c r="AP384" s="550"/>
      <c r="AQ384" s="550"/>
      <c r="AR384" s="550"/>
      <c r="AS384" s="550"/>
      <c r="AT384" s="550"/>
      <c r="AU384" s="550"/>
      <c r="AV384" s="550"/>
      <c r="AW384" s="550"/>
      <c r="AX384" s="550"/>
      <c r="AY384" s="550"/>
      <c r="AZ384" s="550"/>
      <c r="BA384" s="551"/>
      <c r="BB384" s="128"/>
      <c r="BC384" s="115"/>
      <c r="BD384" s="115"/>
      <c r="BE384" s="115"/>
      <c r="BF384" s="115"/>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c r="CC384" s="83"/>
      <c r="CD384" s="83"/>
      <c r="CE384" s="83"/>
      <c r="CF384" s="83"/>
      <c r="CG384" s="83"/>
      <c r="CH384" s="83"/>
      <c r="CI384" s="83"/>
      <c r="CJ384" s="83"/>
      <c r="CK384" s="83"/>
      <c r="CL384" s="83"/>
      <c r="CM384" s="83"/>
      <c r="CN384" s="83"/>
      <c r="CO384" s="83"/>
      <c r="CP384" s="83"/>
      <c r="CQ384" s="83"/>
      <c r="CR384" s="83"/>
      <c r="CS384" s="83"/>
      <c r="CT384" s="83"/>
      <c r="CU384" s="83"/>
      <c r="CV384" s="83"/>
      <c r="CW384" s="83"/>
      <c r="CX384" s="83"/>
      <c r="CY384" s="83"/>
      <c r="CZ384" s="83"/>
      <c r="DA384" s="83"/>
      <c r="DB384" s="83"/>
      <c r="DC384" s="83"/>
      <c r="DD384" s="83"/>
      <c r="DE384" s="83"/>
      <c r="DF384" s="115"/>
      <c r="DG384" s="115"/>
    </row>
    <row r="385" spans="1:111" ht="9" customHeight="1">
      <c r="A385" s="128"/>
      <c r="B385" s="187"/>
      <c r="C385" s="187"/>
      <c r="D385" s="187"/>
      <c r="E385" s="187"/>
      <c r="F385" s="187"/>
      <c r="G385" s="187"/>
      <c r="H385" s="187"/>
      <c r="I385" s="188"/>
      <c r="J385" s="187"/>
      <c r="K385" s="187"/>
      <c r="L385" s="187"/>
      <c r="M385" s="187"/>
      <c r="N385" s="128"/>
      <c r="O385" s="549"/>
      <c r="P385" s="550"/>
      <c r="Q385" s="550"/>
      <c r="R385" s="550"/>
      <c r="S385" s="550"/>
      <c r="T385" s="550"/>
      <c r="U385" s="550"/>
      <c r="V385" s="550"/>
      <c r="W385" s="550"/>
      <c r="X385" s="550"/>
      <c r="Y385" s="550"/>
      <c r="Z385" s="550"/>
      <c r="AA385" s="550"/>
      <c r="AB385" s="550"/>
      <c r="AC385" s="550"/>
      <c r="AD385" s="550"/>
      <c r="AE385" s="550"/>
      <c r="AF385" s="550"/>
      <c r="AG385" s="550"/>
      <c r="AH385" s="550"/>
      <c r="AI385" s="550"/>
      <c r="AJ385" s="550"/>
      <c r="AK385" s="550"/>
      <c r="AL385" s="550"/>
      <c r="AM385" s="550"/>
      <c r="AN385" s="550"/>
      <c r="AO385" s="550"/>
      <c r="AP385" s="550"/>
      <c r="AQ385" s="550"/>
      <c r="AR385" s="550"/>
      <c r="AS385" s="550"/>
      <c r="AT385" s="550"/>
      <c r="AU385" s="550"/>
      <c r="AV385" s="550"/>
      <c r="AW385" s="550"/>
      <c r="AX385" s="550"/>
      <c r="AY385" s="550"/>
      <c r="AZ385" s="550"/>
      <c r="BA385" s="551"/>
      <c r="BB385" s="128"/>
      <c r="BC385" s="115"/>
      <c r="BD385" s="115"/>
      <c r="BE385" s="115"/>
      <c r="BF385" s="115"/>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c r="CC385" s="83"/>
      <c r="CD385" s="83"/>
      <c r="CE385" s="83"/>
      <c r="CF385" s="83"/>
      <c r="CG385" s="83"/>
      <c r="CH385" s="83"/>
      <c r="CI385" s="83"/>
      <c r="CJ385" s="83"/>
      <c r="CK385" s="83"/>
      <c r="CL385" s="83"/>
      <c r="CM385" s="83"/>
      <c r="CN385" s="83"/>
      <c r="CO385" s="83"/>
      <c r="CP385" s="83"/>
      <c r="CQ385" s="83"/>
      <c r="CR385" s="83"/>
      <c r="CS385" s="83"/>
      <c r="CT385" s="83"/>
      <c r="CU385" s="83"/>
      <c r="CV385" s="83"/>
      <c r="CW385" s="83"/>
      <c r="CX385" s="83"/>
      <c r="CY385" s="83"/>
      <c r="CZ385" s="83"/>
      <c r="DA385" s="83"/>
      <c r="DB385" s="83"/>
      <c r="DC385" s="83"/>
      <c r="DD385" s="83"/>
      <c r="DE385" s="83"/>
      <c r="DF385" s="115"/>
      <c r="DG385" s="115"/>
    </row>
    <row r="386" spans="1:111" ht="9" customHeight="1">
      <c r="A386" s="128"/>
      <c r="B386" s="187"/>
      <c r="C386" s="187"/>
      <c r="D386" s="187"/>
      <c r="E386" s="187"/>
      <c r="F386" s="187"/>
      <c r="G386" s="187"/>
      <c r="H386" s="187"/>
      <c r="I386" s="188"/>
      <c r="J386" s="187"/>
      <c r="K386" s="187"/>
      <c r="L386" s="187"/>
      <c r="M386" s="187"/>
      <c r="N386" s="128"/>
      <c r="O386" s="552"/>
      <c r="P386" s="553"/>
      <c r="Q386" s="553"/>
      <c r="R386" s="553"/>
      <c r="S386" s="553"/>
      <c r="T386" s="553"/>
      <c r="U386" s="553"/>
      <c r="V386" s="553"/>
      <c r="W386" s="553"/>
      <c r="X386" s="553"/>
      <c r="Y386" s="553"/>
      <c r="Z386" s="553"/>
      <c r="AA386" s="553"/>
      <c r="AB386" s="553"/>
      <c r="AC386" s="553"/>
      <c r="AD386" s="553"/>
      <c r="AE386" s="553"/>
      <c r="AF386" s="553"/>
      <c r="AG386" s="553"/>
      <c r="AH386" s="553"/>
      <c r="AI386" s="553"/>
      <c r="AJ386" s="553"/>
      <c r="AK386" s="553"/>
      <c r="AL386" s="553"/>
      <c r="AM386" s="553"/>
      <c r="AN386" s="553"/>
      <c r="AO386" s="553"/>
      <c r="AP386" s="553"/>
      <c r="AQ386" s="553"/>
      <c r="AR386" s="553"/>
      <c r="AS386" s="553"/>
      <c r="AT386" s="553"/>
      <c r="AU386" s="553"/>
      <c r="AV386" s="553"/>
      <c r="AW386" s="553"/>
      <c r="AX386" s="553"/>
      <c r="AY386" s="553"/>
      <c r="AZ386" s="553"/>
      <c r="BA386" s="554"/>
      <c r="BB386" s="128"/>
      <c r="BC386" s="115"/>
      <c r="BD386" s="115"/>
      <c r="BE386" s="115"/>
      <c r="BF386" s="115"/>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83"/>
      <c r="CN386" s="83"/>
      <c r="CO386" s="83"/>
      <c r="CP386" s="83"/>
      <c r="CQ386" s="83"/>
      <c r="CR386" s="83"/>
      <c r="CS386" s="83"/>
      <c r="CT386" s="83"/>
      <c r="CU386" s="83"/>
      <c r="CV386" s="83"/>
      <c r="CW386" s="83"/>
      <c r="CX386" s="83"/>
      <c r="CY386" s="83"/>
      <c r="CZ386" s="83"/>
      <c r="DA386" s="83"/>
      <c r="DB386" s="83"/>
      <c r="DC386" s="83"/>
      <c r="DD386" s="83"/>
      <c r="DE386" s="83"/>
      <c r="DF386" s="115"/>
      <c r="DG386" s="115"/>
    </row>
    <row r="387" spans="1:111" ht="4.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15"/>
      <c r="BD387" s="115"/>
      <c r="BE387" s="115"/>
      <c r="BF387" s="115"/>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c r="CC387" s="83"/>
      <c r="CD387" s="83"/>
      <c r="CE387" s="83"/>
      <c r="CF387" s="83"/>
      <c r="CG387" s="83"/>
      <c r="CH387" s="83"/>
      <c r="CI387" s="83"/>
      <c r="CJ387" s="83"/>
      <c r="CK387" s="83"/>
      <c r="CL387" s="83"/>
      <c r="CM387" s="83"/>
      <c r="CN387" s="83"/>
      <c r="CO387" s="83"/>
      <c r="CP387" s="83"/>
      <c r="CQ387" s="83"/>
      <c r="CR387" s="83"/>
      <c r="CS387" s="83"/>
      <c r="CT387" s="83"/>
      <c r="CU387" s="83"/>
      <c r="CV387" s="83"/>
      <c r="CW387" s="83"/>
      <c r="CX387" s="83"/>
      <c r="CY387" s="83"/>
      <c r="CZ387" s="83"/>
      <c r="DA387" s="83"/>
      <c r="DB387" s="83"/>
      <c r="DC387" s="83"/>
      <c r="DD387" s="83"/>
      <c r="DE387" s="83"/>
      <c r="DF387" s="115"/>
      <c r="DG387" s="115"/>
    </row>
    <row r="388" spans="1:111" ht="9" customHeight="1">
      <c r="A388" s="128"/>
      <c r="B388" s="527" t="s">
        <v>454</v>
      </c>
      <c r="C388" s="527"/>
      <c r="D388" s="527"/>
      <c r="E388" s="527"/>
      <c r="F388" s="527"/>
      <c r="G388" s="527"/>
      <c r="H388" s="527"/>
      <c r="I388" s="527"/>
      <c r="J388" s="527"/>
      <c r="K388" s="527"/>
      <c r="L388" s="527"/>
      <c r="M388" s="527"/>
      <c r="N388" s="186"/>
      <c r="O388" s="546"/>
      <c r="P388" s="547"/>
      <c r="Q388" s="547"/>
      <c r="R388" s="547"/>
      <c r="S388" s="547"/>
      <c r="T388" s="547"/>
      <c r="U388" s="547"/>
      <c r="V388" s="547"/>
      <c r="W388" s="547"/>
      <c r="X388" s="547"/>
      <c r="Y388" s="547"/>
      <c r="Z388" s="547"/>
      <c r="AA388" s="547"/>
      <c r="AB388" s="547"/>
      <c r="AC388" s="547"/>
      <c r="AD388" s="547"/>
      <c r="AE388" s="547"/>
      <c r="AF388" s="547"/>
      <c r="AG388" s="547"/>
      <c r="AH388" s="547"/>
      <c r="AI388" s="547"/>
      <c r="AJ388" s="547"/>
      <c r="AK388" s="547"/>
      <c r="AL388" s="547"/>
      <c r="AM388" s="547"/>
      <c r="AN388" s="547"/>
      <c r="AO388" s="547"/>
      <c r="AP388" s="547"/>
      <c r="AQ388" s="547"/>
      <c r="AR388" s="547"/>
      <c r="AS388" s="547"/>
      <c r="AT388" s="547"/>
      <c r="AU388" s="547"/>
      <c r="AV388" s="547"/>
      <c r="AW388" s="547"/>
      <c r="AX388" s="547"/>
      <c r="AY388" s="547"/>
      <c r="AZ388" s="547"/>
      <c r="BA388" s="548"/>
      <c r="BB388" s="128"/>
      <c r="BC388" s="115"/>
      <c r="BD388" s="115"/>
      <c r="BE388" s="115"/>
      <c r="BF388" s="115"/>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c r="CC388" s="83"/>
      <c r="CD388" s="83"/>
      <c r="CE388" s="83"/>
      <c r="CF388" s="83"/>
      <c r="CG388" s="83"/>
      <c r="CH388" s="83"/>
      <c r="CI388" s="83"/>
      <c r="CJ388" s="83"/>
      <c r="CK388" s="83"/>
      <c r="CL388" s="83"/>
      <c r="CM388" s="83"/>
      <c r="CN388" s="83"/>
      <c r="CO388" s="83"/>
      <c r="CP388" s="83"/>
      <c r="CQ388" s="83"/>
      <c r="CR388" s="83"/>
      <c r="CS388" s="83"/>
      <c r="CT388" s="83"/>
      <c r="CU388" s="83"/>
      <c r="CV388" s="83"/>
      <c r="CW388" s="83"/>
      <c r="CX388" s="83"/>
      <c r="CY388" s="83"/>
      <c r="CZ388" s="83"/>
      <c r="DA388" s="83"/>
      <c r="DB388" s="83"/>
      <c r="DC388" s="83"/>
      <c r="DD388" s="83"/>
      <c r="DE388" s="83"/>
      <c r="DF388" s="115"/>
      <c r="DG388" s="115"/>
    </row>
    <row r="389" spans="1:111" ht="9" customHeight="1">
      <c r="A389" s="128"/>
      <c r="B389" s="527"/>
      <c r="C389" s="527"/>
      <c r="D389" s="527"/>
      <c r="E389" s="527"/>
      <c r="F389" s="527"/>
      <c r="G389" s="527"/>
      <c r="H389" s="527"/>
      <c r="I389" s="527"/>
      <c r="J389" s="527"/>
      <c r="K389" s="527"/>
      <c r="L389" s="527"/>
      <c r="M389" s="527"/>
      <c r="N389" s="186"/>
      <c r="O389" s="549"/>
      <c r="P389" s="550"/>
      <c r="Q389" s="550"/>
      <c r="R389" s="550"/>
      <c r="S389" s="550"/>
      <c r="T389" s="550"/>
      <c r="U389" s="550"/>
      <c r="V389" s="550"/>
      <c r="W389" s="550"/>
      <c r="X389" s="550"/>
      <c r="Y389" s="550"/>
      <c r="Z389" s="550"/>
      <c r="AA389" s="550"/>
      <c r="AB389" s="550"/>
      <c r="AC389" s="550"/>
      <c r="AD389" s="550"/>
      <c r="AE389" s="550"/>
      <c r="AF389" s="550"/>
      <c r="AG389" s="550"/>
      <c r="AH389" s="550"/>
      <c r="AI389" s="550"/>
      <c r="AJ389" s="550"/>
      <c r="AK389" s="550"/>
      <c r="AL389" s="550"/>
      <c r="AM389" s="550"/>
      <c r="AN389" s="550"/>
      <c r="AO389" s="550"/>
      <c r="AP389" s="550"/>
      <c r="AQ389" s="550"/>
      <c r="AR389" s="550"/>
      <c r="AS389" s="550"/>
      <c r="AT389" s="550"/>
      <c r="AU389" s="550"/>
      <c r="AV389" s="550"/>
      <c r="AW389" s="550"/>
      <c r="AX389" s="550"/>
      <c r="AY389" s="550"/>
      <c r="AZ389" s="550"/>
      <c r="BA389" s="551"/>
      <c r="BB389" s="128"/>
      <c r="BC389" s="115"/>
      <c r="BD389" s="115"/>
      <c r="BE389" s="115"/>
      <c r="BF389" s="115"/>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c r="CC389" s="83"/>
      <c r="CD389" s="83"/>
      <c r="CE389" s="83"/>
      <c r="CF389" s="83"/>
      <c r="CG389" s="83"/>
      <c r="CH389" s="83"/>
      <c r="CI389" s="83"/>
      <c r="CJ389" s="83"/>
      <c r="CK389" s="83"/>
      <c r="CL389" s="83"/>
      <c r="CM389" s="83"/>
      <c r="CN389" s="83"/>
      <c r="CO389" s="83"/>
      <c r="CP389" s="83"/>
      <c r="CQ389" s="83"/>
      <c r="CR389" s="83"/>
      <c r="CS389" s="83"/>
      <c r="CT389" s="83"/>
      <c r="CU389" s="83"/>
      <c r="CV389" s="83"/>
      <c r="CW389" s="83"/>
      <c r="CX389" s="83"/>
      <c r="CY389" s="83"/>
      <c r="CZ389" s="83"/>
      <c r="DA389" s="83"/>
      <c r="DB389" s="83"/>
      <c r="DC389" s="83"/>
      <c r="DD389" s="83"/>
      <c r="DE389" s="83"/>
      <c r="DF389" s="115"/>
      <c r="DG389" s="115"/>
    </row>
    <row r="390" spans="1:111" ht="9" customHeight="1">
      <c r="A390" s="128"/>
      <c r="B390" s="187"/>
      <c r="C390" s="187"/>
      <c r="D390" s="187"/>
      <c r="E390" s="187"/>
      <c r="F390" s="187"/>
      <c r="G390" s="187"/>
      <c r="H390" s="187"/>
      <c r="I390" s="188"/>
      <c r="J390" s="187"/>
      <c r="K390" s="187"/>
      <c r="L390" s="187"/>
      <c r="M390" s="187"/>
      <c r="N390" s="128"/>
      <c r="O390" s="549"/>
      <c r="P390" s="550"/>
      <c r="Q390" s="550"/>
      <c r="R390" s="550"/>
      <c r="S390" s="550"/>
      <c r="T390" s="550"/>
      <c r="U390" s="550"/>
      <c r="V390" s="550"/>
      <c r="W390" s="550"/>
      <c r="X390" s="550"/>
      <c r="Y390" s="550"/>
      <c r="Z390" s="550"/>
      <c r="AA390" s="550"/>
      <c r="AB390" s="550"/>
      <c r="AC390" s="550"/>
      <c r="AD390" s="550"/>
      <c r="AE390" s="550"/>
      <c r="AF390" s="550"/>
      <c r="AG390" s="550"/>
      <c r="AH390" s="550"/>
      <c r="AI390" s="550"/>
      <c r="AJ390" s="550"/>
      <c r="AK390" s="550"/>
      <c r="AL390" s="550"/>
      <c r="AM390" s="550"/>
      <c r="AN390" s="550"/>
      <c r="AO390" s="550"/>
      <c r="AP390" s="550"/>
      <c r="AQ390" s="550"/>
      <c r="AR390" s="550"/>
      <c r="AS390" s="550"/>
      <c r="AT390" s="550"/>
      <c r="AU390" s="550"/>
      <c r="AV390" s="550"/>
      <c r="AW390" s="550"/>
      <c r="AX390" s="550"/>
      <c r="AY390" s="550"/>
      <c r="AZ390" s="550"/>
      <c r="BA390" s="551"/>
      <c r="BB390" s="128"/>
      <c r="BC390" s="115"/>
      <c r="BD390" s="115"/>
      <c r="BE390" s="115"/>
      <c r="BF390" s="115"/>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83"/>
      <c r="CN390" s="83"/>
      <c r="CO390" s="83"/>
      <c r="CP390" s="83"/>
      <c r="CQ390" s="83"/>
      <c r="CR390" s="83"/>
      <c r="CS390" s="83"/>
      <c r="CT390" s="83"/>
      <c r="CU390" s="83"/>
      <c r="CV390" s="83"/>
      <c r="CW390" s="83"/>
      <c r="CX390" s="83"/>
      <c r="CY390" s="83"/>
      <c r="CZ390" s="83"/>
      <c r="DA390" s="83"/>
      <c r="DB390" s="83"/>
      <c r="DC390" s="83"/>
      <c r="DD390" s="83"/>
      <c r="DE390" s="83"/>
      <c r="DF390" s="115"/>
      <c r="DG390" s="115"/>
    </row>
    <row r="391" spans="1:111" ht="9" customHeight="1">
      <c r="A391" s="128"/>
      <c r="B391" s="187"/>
      <c r="C391" s="187"/>
      <c r="D391" s="187"/>
      <c r="E391" s="187"/>
      <c r="F391" s="187"/>
      <c r="G391" s="187"/>
      <c r="H391" s="187"/>
      <c r="I391" s="188"/>
      <c r="J391" s="187"/>
      <c r="K391" s="187"/>
      <c r="L391" s="187"/>
      <c r="M391" s="187"/>
      <c r="N391" s="128"/>
      <c r="O391" s="552"/>
      <c r="P391" s="553"/>
      <c r="Q391" s="553"/>
      <c r="R391" s="553"/>
      <c r="S391" s="553"/>
      <c r="T391" s="553"/>
      <c r="U391" s="553"/>
      <c r="V391" s="553"/>
      <c r="W391" s="553"/>
      <c r="X391" s="553"/>
      <c r="Y391" s="553"/>
      <c r="Z391" s="553"/>
      <c r="AA391" s="553"/>
      <c r="AB391" s="553"/>
      <c r="AC391" s="553"/>
      <c r="AD391" s="553"/>
      <c r="AE391" s="553"/>
      <c r="AF391" s="553"/>
      <c r="AG391" s="553"/>
      <c r="AH391" s="553"/>
      <c r="AI391" s="553"/>
      <c r="AJ391" s="553"/>
      <c r="AK391" s="553"/>
      <c r="AL391" s="553"/>
      <c r="AM391" s="553"/>
      <c r="AN391" s="553"/>
      <c r="AO391" s="553"/>
      <c r="AP391" s="553"/>
      <c r="AQ391" s="553"/>
      <c r="AR391" s="553"/>
      <c r="AS391" s="553"/>
      <c r="AT391" s="553"/>
      <c r="AU391" s="553"/>
      <c r="AV391" s="553"/>
      <c r="AW391" s="553"/>
      <c r="AX391" s="553"/>
      <c r="AY391" s="553"/>
      <c r="AZ391" s="553"/>
      <c r="BA391" s="554"/>
      <c r="BB391" s="128"/>
      <c r="BC391" s="115"/>
      <c r="BD391" s="115"/>
      <c r="BE391" s="115"/>
      <c r="BF391" s="115"/>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c r="CC391" s="83"/>
      <c r="CD391" s="83"/>
      <c r="CE391" s="83"/>
      <c r="CF391" s="83"/>
      <c r="CG391" s="83"/>
      <c r="CH391" s="83"/>
      <c r="CI391" s="83"/>
      <c r="CJ391" s="83"/>
      <c r="CK391" s="83"/>
      <c r="CL391" s="83"/>
      <c r="CM391" s="83"/>
      <c r="CN391" s="83"/>
      <c r="CO391" s="83"/>
      <c r="CP391" s="83"/>
      <c r="CQ391" s="83"/>
      <c r="CR391" s="83"/>
      <c r="CS391" s="83"/>
      <c r="CT391" s="83"/>
      <c r="CU391" s="83"/>
      <c r="CV391" s="83"/>
      <c r="CW391" s="83"/>
      <c r="CX391" s="83"/>
      <c r="CY391" s="83"/>
      <c r="CZ391" s="83"/>
      <c r="DA391" s="83"/>
      <c r="DB391" s="83"/>
      <c r="DC391" s="83"/>
      <c r="DD391" s="83"/>
      <c r="DE391" s="83"/>
      <c r="DF391" s="115"/>
      <c r="DG391" s="115"/>
    </row>
    <row r="392" spans="1:111" ht="4.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15"/>
      <c r="BD392" s="115"/>
      <c r="BE392" s="115"/>
      <c r="BF392" s="115"/>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c r="CC392" s="83"/>
      <c r="CD392" s="83"/>
      <c r="CE392" s="83"/>
      <c r="CF392" s="83"/>
      <c r="CG392" s="83"/>
      <c r="CH392" s="83"/>
      <c r="CI392" s="83"/>
      <c r="CJ392" s="83"/>
      <c r="CK392" s="83"/>
      <c r="CL392" s="83"/>
      <c r="CM392" s="83"/>
      <c r="CN392" s="83"/>
      <c r="CO392" s="83"/>
      <c r="CP392" s="83"/>
      <c r="CQ392" s="83"/>
      <c r="CR392" s="83"/>
      <c r="CS392" s="83"/>
      <c r="CT392" s="83"/>
      <c r="CU392" s="83"/>
      <c r="CV392" s="83"/>
      <c r="CW392" s="83"/>
      <c r="CX392" s="83"/>
      <c r="CY392" s="83"/>
      <c r="CZ392" s="83"/>
      <c r="DA392" s="83"/>
      <c r="DB392" s="83"/>
      <c r="DC392" s="83"/>
      <c r="DD392" s="83"/>
      <c r="DE392" s="83"/>
      <c r="DF392" s="115"/>
      <c r="DG392" s="115"/>
    </row>
    <row r="393" spans="1:111" ht="9" customHeight="1">
      <c r="A393" s="128"/>
      <c r="B393" s="527" t="s">
        <v>455</v>
      </c>
      <c r="C393" s="527"/>
      <c r="D393" s="527"/>
      <c r="E393" s="527"/>
      <c r="F393" s="527"/>
      <c r="G393" s="527"/>
      <c r="H393" s="527"/>
      <c r="I393" s="527"/>
      <c r="J393" s="527"/>
      <c r="K393" s="527"/>
      <c r="L393" s="527"/>
      <c r="M393" s="527"/>
      <c r="N393" s="186"/>
      <c r="O393" s="528"/>
      <c r="P393" s="529"/>
      <c r="Q393" s="529"/>
      <c r="R393" s="529"/>
      <c r="S393" s="529"/>
      <c r="T393" s="529"/>
      <c r="U393" s="529"/>
      <c r="V393" s="529"/>
      <c r="W393" s="529"/>
      <c r="X393" s="529"/>
      <c r="Y393" s="529"/>
      <c r="Z393" s="530"/>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15"/>
      <c r="BD393" s="115"/>
      <c r="BE393" s="115"/>
      <c r="BF393" s="115"/>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83"/>
      <c r="CN393" s="83"/>
      <c r="CO393" s="83"/>
      <c r="CP393" s="83"/>
      <c r="CQ393" s="83"/>
      <c r="CR393" s="83"/>
      <c r="CS393" s="83"/>
      <c r="CT393" s="83"/>
      <c r="CU393" s="83"/>
      <c r="CV393" s="83"/>
      <c r="CW393" s="83"/>
      <c r="CX393" s="83"/>
      <c r="CY393" s="83"/>
      <c r="CZ393" s="83"/>
      <c r="DA393" s="83"/>
      <c r="DB393" s="83"/>
      <c r="DC393" s="83"/>
      <c r="DD393" s="83"/>
      <c r="DE393" s="83"/>
      <c r="DF393" s="115"/>
      <c r="DG393" s="115"/>
    </row>
    <row r="394" spans="1:111" ht="9" customHeight="1">
      <c r="A394" s="128"/>
      <c r="B394" s="527"/>
      <c r="C394" s="527"/>
      <c r="D394" s="527"/>
      <c r="E394" s="527"/>
      <c r="F394" s="527"/>
      <c r="G394" s="527"/>
      <c r="H394" s="527"/>
      <c r="I394" s="527"/>
      <c r="J394" s="527"/>
      <c r="K394" s="527"/>
      <c r="L394" s="527"/>
      <c r="M394" s="527"/>
      <c r="N394" s="186"/>
      <c r="O394" s="531"/>
      <c r="P394" s="532"/>
      <c r="Q394" s="532"/>
      <c r="R394" s="532"/>
      <c r="S394" s="532"/>
      <c r="T394" s="532"/>
      <c r="U394" s="532"/>
      <c r="V394" s="532"/>
      <c r="W394" s="532"/>
      <c r="X394" s="532"/>
      <c r="Y394" s="532"/>
      <c r="Z394" s="533"/>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15"/>
      <c r="BD394" s="115"/>
      <c r="BE394" s="115"/>
      <c r="BF394" s="115"/>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83"/>
      <c r="CN394" s="83"/>
      <c r="CO394" s="83"/>
      <c r="CP394" s="83"/>
      <c r="CQ394" s="83"/>
      <c r="CR394" s="83"/>
      <c r="CS394" s="83"/>
      <c r="CT394" s="83"/>
      <c r="CU394" s="83"/>
      <c r="CV394" s="83"/>
      <c r="CW394" s="83"/>
      <c r="CX394" s="83"/>
      <c r="CY394" s="83"/>
      <c r="CZ394" s="83"/>
      <c r="DA394" s="83"/>
      <c r="DB394" s="83"/>
      <c r="DC394" s="83"/>
      <c r="DD394" s="83"/>
      <c r="DE394" s="83"/>
      <c r="DF394" s="115"/>
      <c r="DG394" s="115"/>
    </row>
    <row r="395" spans="1:111" ht="4.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15"/>
      <c r="BD395" s="115"/>
      <c r="BE395" s="115"/>
      <c r="BF395" s="115"/>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83"/>
      <c r="CN395" s="83"/>
      <c r="CO395" s="83"/>
      <c r="CP395" s="83"/>
      <c r="CQ395" s="83"/>
      <c r="CR395" s="83"/>
      <c r="CS395" s="83"/>
      <c r="CT395" s="83"/>
      <c r="CU395" s="83"/>
      <c r="CV395" s="83"/>
      <c r="CW395" s="83"/>
      <c r="CX395" s="83"/>
      <c r="CY395" s="83"/>
      <c r="CZ395" s="83"/>
      <c r="DA395" s="83"/>
      <c r="DB395" s="83"/>
      <c r="DC395" s="83"/>
      <c r="DD395" s="83"/>
      <c r="DE395" s="83"/>
      <c r="DF395" s="115"/>
      <c r="DG395" s="115"/>
    </row>
    <row r="396" spans="1:111" ht="9" customHeight="1">
      <c r="A396" s="128"/>
      <c r="B396" s="527" t="s">
        <v>434</v>
      </c>
      <c r="C396" s="527"/>
      <c r="D396" s="527"/>
      <c r="E396" s="527"/>
      <c r="F396" s="527"/>
      <c r="G396" s="527"/>
      <c r="H396" s="527"/>
      <c r="I396" s="527"/>
      <c r="J396" s="527"/>
      <c r="K396" s="527"/>
      <c r="L396" s="527"/>
      <c r="M396" s="527"/>
      <c r="N396" s="186"/>
      <c r="O396" s="546"/>
      <c r="P396" s="547"/>
      <c r="Q396" s="547"/>
      <c r="R396" s="547"/>
      <c r="S396" s="547"/>
      <c r="T396" s="547"/>
      <c r="U396" s="547"/>
      <c r="V396" s="547"/>
      <c r="W396" s="547"/>
      <c r="X396" s="547"/>
      <c r="Y396" s="547"/>
      <c r="Z396" s="547"/>
      <c r="AA396" s="547"/>
      <c r="AB396" s="547"/>
      <c r="AC396" s="547"/>
      <c r="AD396" s="547"/>
      <c r="AE396" s="547"/>
      <c r="AF396" s="547"/>
      <c r="AG396" s="547"/>
      <c r="AH396" s="547"/>
      <c r="AI396" s="547"/>
      <c r="AJ396" s="547"/>
      <c r="AK396" s="547"/>
      <c r="AL396" s="547"/>
      <c r="AM396" s="547"/>
      <c r="AN396" s="547"/>
      <c r="AO396" s="547"/>
      <c r="AP396" s="547"/>
      <c r="AQ396" s="547"/>
      <c r="AR396" s="547"/>
      <c r="AS396" s="547"/>
      <c r="AT396" s="547"/>
      <c r="AU396" s="547"/>
      <c r="AV396" s="547"/>
      <c r="AW396" s="547"/>
      <c r="AX396" s="547"/>
      <c r="AY396" s="547"/>
      <c r="AZ396" s="547"/>
      <c r="BA396" s="548"/>
      <c r="BB396" s="128"/>
      <c r="BC396" s="115"/>
      <c r="BD396" s="115"/>
      <c r="BE396" s="115"/>
      <c r="BF396" s="115"/>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c r="CC396" s="83"/>
      <c r="CD396" s="83"/>
      <c r="CE396" s="83"/>
      <c r="CF396" s="83"/>
      <c r="CG396" s="83"/>
      <c r="CH396" s="83"/>
      <c r="CI396" s="83"/>
      <c r="CJ396" s="83"/>
      <c r="CK396" s="83"/>
      <c r="CL396" s="83"/>
      <c r="CM396" s="83"/>
      <c r="CN396" s="83"/>
      <c r="CO396" s="83"/>
      <c r="CP396" s="83"/>
      <c r="CQ396" s="83"/>
      <c r="CR396" s="83"/>
      <c r="CS396" s="83"/>
      <c r="CT396" s="83"/>
      <c r="CU396" s="83"/>
      <c r="CV396" s="83"/>
      <c r="CW396" s="83"/>
      <c r="CX396" s="83"/>
      <c r="CY396" s="83"/>
      <c r="CZ396" s="83"/>
      <c r="DA396" s="83"/>
      <c r="DB396" s="83"/>
      <c r="DC396" s="83"/>
      <c r="DD396" s="83"/>
      <c r="DE396" s="83"/>
      <c r="DF396" s="115"/>
      <c r="DG396" s="115"/>
    </row>
    <row r="397" spans="1:111" ht="9" customHeight="1">
      <c r="A397" s="128"/>
      <c r="B397" s="527"/>
      <c r="C397" s="527"/>
      <c r="D397" s="527"/>
      <c r="E397" s="527"/>
      <c r="F397" s="527"/>
      <c r="G397" s="527"/>
      <c r="H397" s="527"/>
      <c r="I397" s="527"/>
      <c r="J397" s="527"/>
      <c r="K397" s="527"/>
      <c r="L397" s="527"/>
      <c r="M397" s="527"/>
      <c r="N397" s="186"/>
      <c r="O397" s="549"/>
      <c r="P397" s="550"/>
      <c r="Q397" s="550"/>
      <c r="R397" s="550"/>
      <c r="S397" s="550"/>
      <c r="T397" s="550"/>
      <c r="U397" s="550"/>
      <c r="V397" s="550"/>
      <c r="W397" s="550"/>
      <c r="X397" s="550"/>
      <c r="Y397" s="550"/>
      <c r="Z397" s="550"/>
      <c r="AA397" s="550"/>
      <c r="AB397" s="550"/>
      <c r="AC397" s="550"/>
      <c r="AD397" s="550"/>
      <c r="AE397" s="550"/>
      <c r="AF397" s="550"/>
      <c r="AG397" s="550"/>
      <c r="AH397" s="550"/>
      <c r="AI397" s="550"/>
      <c r="AJ397" s="550"/>
      <c r="AK397" s="550"/>
      <c r="AL397" s="550"/>
      <c r="AM397" s="550"/>
      <c r="AN397" s="550"/>
      <c r="AO397" s="550"/>
      <c r="AP397" s="550"/>
      <c r="AQ397" s="550"/>
      <c r="AR397" s="550"/>
      <c r="AS397" s="550"/>
      <c r="AT397" s="550"/>
      <c r="AU397" s="550"/>
      <c r="AV397" s="550"/>
      <c r="AW397" s="550"/>
      <c r="AX397" s="550"/>
      <c r="AY397" s="550"/>
      <c r="AZ397" s="550"/>
      <c r="BA397" s="551"/>
      <c r="BB397" s="128"/>
      <c r="BC397" s="115"/>
      <c r="BD397" s="115"/>
      <c r="BE397" s="115"/>
      <c r="BF397" s="115"/>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c r="CC397" s="83"/>
      <c r="CD397" s="83"/>
      <c r="CE397" s="83"/>
      <c r="CF397" s="83"/>
      <c r="CG397" s="83"/>
      <c r="CH397" s="83"/>
      <c r="CI397" s="83"/>
      <c r="CJ397" s="83"/>
      <c r="CK397" s="83"/>
      <c r="CL397" s="83"/>
      <c r="CM397" s="83"/>
      <c r="CN397" s="83"/>
      <c r="CO397" s="83"/>
      <c r="CP397" s="83"/>
      <c r="CQ397" s="83"/>
      <c r="CR397" s="83"/>
      <c r="CS397" s="83"/>
      <c r="CT397" s="83"/>
      <c r="CU397" s="83"/>
      <c r="CV397" s="83"/>
      <c r="CW397" s="83"/>
      <c r="CX397" s="83"/>
      <c r="CY397" s="83"/>
      <c r="CZ397" s="83"/>
      <c r="DA397" s="83"/>
      <c r="DB397" s="83"/>
      <c r="DC397" s="83"/>
      <c r="DD397" s="83"/>
      <c r="DE397" s="83"/>
      <c r="DF397" s="115"/>
      <c r="DG397" s="115"/>
    </row>
    <row r="398" spans="1:111" ht="9" customHeight="1">
      <c r="A398" s="128"/>
      <c r="B398" s="187"/>
      <c r="C398" s="187"/>
      <c r="D398" s="187"/>
      <c r="E398" s="187"/>
      <c r="F398" s="187"/>
      <c r="G398" s="187"/>
      <c r="H398" s="187"/>
      <c r="I398" s="188"/>
      <c r="J398" s="187"/>
      <c r="K398" s="187"/>
      <c r="L398" s="187"/>
      <c r="M398" s="187"/>
      <c r="N398" s="128"/>
      <c r="O398" s="549"/>
      <c r="P398" s="550"/>
      <c r="Q398" s="550"/>
      <c r="R398" s="550"/>
      <c r="S398" s="550"/>
      <c r="T398" s="550"/>
      <c r="U398" s="550"/>
      <c r="V398" s="550"/>
      <c r="W398" s="550"/>
      <c r="X398" s="550"/>
      <c r="Y398" s="550"/>
      <c r="Z398" s="550"/>
      <c r="AA398" s="550"/>
      <c r="AB398" s="550"/>
      <c r="AC398" s="550"/>
      <c r="AD398" s="550"/>
      <c r="AE398" s="550"/>
      <c r="AF398" s="550"/>
      <c r="AG398" s="550"/>
      <c r="AH398" s="550"/>
      <c r="AI398" s="550"/>
      <c r="AJ398" s="550"/>
      <c r="AK398" s="550"/>
      <c r="AL398" s="550"/>
      <c r="AM398" s="550"/>
      <c r="AN398" s="550"/>
      <c r="AO398" s="550"/>
      <c r="AP398" s="550"/>
      <c r="AQ398" s="550"/>
      <c r="AR398" s="550"/>
      <c r="AS398" s="550"/>
      <c r="AT398" s="550"/>
      <c r="AU398" s="550"/>
      <c r="AV398" s="550"/>
      <c r="AW398" s="550"/>
      <c r="AX398" s="550"/>
      <c r="AY398" s="550"/>
      <c r="AZ398" s="550"/>
      <c r="BA398" s="551"/>
      <c r="BB398" s="128"/>
      <c r="BC398" s="115"/>
      <c r="BD398" s="115"/>
      <c r="BE398" s="115"/>
      <c r="BF398" s="115"/>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83"/>
      <c r="CN398" s="83"/>
      <c r="CO398" s="83"/>
      <c r="CP398" s="83"/>
      <c r="CQ398" s="83"/>
      <c r="CR398" s="83"/>
      <c r="CS398" s="83"/>
      <c r="CT398" s="83"/>
      <c r="CU398" s="83"/>
      <c r="CV398" s="83"/>
      <c r="CW398" s="83"/>
      <c r="CX398" s="83"/>
      <c r="CY398" s="83"/>
      <c r="CZ398" s="83"/>
      <c r="DA398" s="83"/>
      <c r="DB398" s="83"/>
      <c r="DC398" s="83"/>
      <c r="DD398" s="83"/>
      <c r="DE398" s="83"/>
      <c r="DF398" s="115"/>
      <c r="DG398" s="115"/>
    </row>
    <row r="399" spans="1:111" ht="9" customHeight="1">
      <c r="A399" s="128"/>
      <c r="B399" s="187"/>
      <c r="C399" s="187"/>
      <c r="D399" s="187"/>
      <c r="E399" s="187"/>
      <c r="F399" s="187"/>
      <c r="G399" s="187"/>
      <c r="H399" s="187"/>
      <c r="I399" s="188"/>
      <c r="J399" s="187"/>
      <c r="K399" s="187"/>
      <c r="L399" s="187"/>
      <c r="M399" s="187"/>
      <c r="N399" s="128"/>
      <c r="O399" s="552"/>
      <c r="P399" s="553"/>
      <c r="Q399" s="553"/>
      <c r="R399" s="553"/>
      <c r="S399" s="553"/>
      <c r="T399" s="553"/>
      <c r="U399" s="553"/>
      <c r="V399" s="553"/>
      <c r="W399" s="553"/>
      <c r="X399" s="553"/>
      <c r="Y399" s="553"/>
      <c r="Z399" s="553"/>
      <c r="AA399" s="553"/>
      <c r="AB399" s="553"/>
      <c r="AC399" s="553"/>
      <c r="AD399" s="553"/>
      <c r="AE399" s="553"/>
      <c r="AF399" s="553"/>
      <c r="AG399" s="553"/>
      <c r="AH399" s="553"/>
      <c r="AI399" s="553"/>
      <c r="AJ399" s="553"/>
      <c r="AK399" s="553"/>
      <c r="AL399" s="553"/>
      <c r="AM399" s="553"/>
      <c r="AN399" s="553"/>
      <c r="AO399" s="553"/>
      <c r="AP399" s="553"/>
      <c r="AQ399" s="553"/>
      <c r="AR399" s="553"/>
      <c r="AS399" s="553"/>
      <c r="AT399" s="553"/>
      <c r="AU399" s="553"/>
      <c r="AV399" s="553"/>
      <c r="AW399" s="553"/>
      <c r="AX399" s="553"/>
      <c r="AY399" s="553"/>
      <c r="AZ399" s="553"/>
      <c r="BA399" s="554"/>
      <c r="BB399" s="128"/>
      <c r="BC399" s="115"/>
      <c r="BD399" s="115"/>
      <c r="BE399" s="115"/>
      <c r="BF399" s="115"/>
      <c r="BG399" s="83"/>
      <c r="BH399" s="83"/>
      <c r="BI399" s="83"/>
      <c r="BJ399" s="83"/>
      <c r="BK399" s="83"/>
      <c r="BL399" s="83"/>
      <c r="BM399" s="83"/>
      <c r="BN399" s="83"/>
      <c r="BO399" s="83"/>
      <c r="BP399" s="83"/>
      <c r="BQ399" s="83"/>
      <c r="BR399" s="83"/>
      <c r="BS399" s="83"/>
      <c r="BT399" s="83"/>
      <c r="BU399" s="83"/>
      <c r="BV399" s="83"/>
      <c r="BW399" s="83"/>
      <c r="BX399" s="83"/>
      <c r="BY399" s="83"/>
      <c r="BZ399" s="83"/>
      <c r="CA399" s="83"/>
      <c r="CB399" s="83"/>
      <c r="CC399" s="83"/>
      <c r="CD399" s="83"/>
      <c r="CE399" s="83"/>
      <c r="CF399" s="83"/>
      <c r="CG399" s="83"/>
      <c r="CH399" s="83"/>
      <c r="CI399" s="83"/>
      <c r="CJ399" s="83"/>
      <c r="CK399" s="83"/>
      <c r="CL399" s="83"/>
      <c r="CM399" s="83"/>
      <c r="CN399" s="83"/>
      <c r="CO399" s="83"/>
      <c r="CP399" s="83"/>
      <c r="CQ399" s="83"/>
      <c r="CR399" s="83"/>
      <c r="CS399" s="83"/>
      <c r="CT399" s="83"/>
      <c r="CU399" s="83"/>
      <c r="CV399" s="83"/>
      <c r="CW399" s="83"/>
      <c r="CX399" s="83"/>
      <c r="CY399" s="83"/>
      <c r="CZ399" s="83"/>
      <c r="DA399" s="83"/>
      <c r="DB399" s="83"/>
      <c r="DC399" s="83"/>
      <c r="DD399" s="83"/>
      <c r="DE399" s="83"/>
      <c r="DF399" s="115"/>
      <c r="DG399" s="115"/>
    </row>
    <row r="400" spans="1:111" ht="4.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15"/>
      <c r="BD400" s="115"/>
      <c r="BE400" s="115"/>
      <c r="BF400" s="115"/>
      <c r="BG400" s="83"/>
      <c r="BH400" s="83"/>
      <c r="BI400" s="83"/>
      <c r="BJ400" s="83"/>
      <c r="BK400" s="83"/>
      <c r="BL400" s="83"/>
      <c r="BM400" s="83"/>
      <c r="BN400" s="83"/>
      <c r="BO400" s="83"/>
      <c r="BP400" s="83"/>
      <c r="BQ400" s="83"/>
      <c r="BR400" s="83"/>
      <c r="BS400" s="83"/>
      <c r="BT400" s="83"/>
      <c r="BU400" s="83"/>
      <c r="BV400" s="83"/>
      <c r="BW400" s="83"/>
      <c r="BX400" s="83"/>
      <c r="BY400" s="83"/>
      <c r="BZ400" s="83"/>
      <c r="CA400" s="83"/>
      <c r="CB400" s="83"/>
      <c r="CC400" s="83"/>
      <c r="CD400" s="83"/>
      <c r="CE400" s="83"/>
      <c r="CF400" s="83"/>
      <c r="CG400" s="83"/>
      <c r="CH400" s="83"/>
      <c r="CI400" s="83"/>
      <c r="CJ400" s="83"/>
      <c r="CK400" s="83"/>
      <c r="CL400" s="83"/>
      <c r="CM400" s="83"/>
      <c r="CN400" s="83"/>
      <c r="CO400" s="83"/>
      <c r="CP400" s="83"/>
      <c r="CQ400" s="83"/>
      <c r="CR400" s="83"/>
      <c r="CS400" s="83"/>
      <c r="CT400" s="83"/>
      <c r="CU400" s="83"/>
      <c r="CV400" s="83"/>
      <c r="CW400" s="83"/>
      <c r="CX400" s="83"/>
      <c r="CY400" s="83"/>
      <c r="CZ400" s="83"/>
      <c r="DA400" s="83"/>
      <c r="DB400" s="83"/>
      <c r="DC400" s="83"/>
      <c r="DD400" s="83"/>
      <c r="DE400" s="83"/>
      <c r="DF400" s="115"/>
      <c r="DG400" s="115"/>
    </row>
    <row r="401" spans="1:111" ht="9" customHeight="1">
      <c r="A401" s="128"/>
      <c r="B401" s="527" t="s">
        <v>456</v>
      </c>
      <c r="C401" s="527"/>
      <c r="D401" s="527"/>
      <c r="E401" s="527"/>
      <c r="F401" s="527"/>
      <c r="G401" s="527"/>
      <c r="H401" s="527"/>
      <c r="I401" s="527"/>
      <c r="J401" s="527"/>
      <c r="K401" s="527"/>
      <c r="L401" s="527"/>
      <c r="M401" s="527"/>
      <c r="N401" s="186"/>
      <c r="O401" s="546"/>
      <c r="P401" s="547"/>
      <c r="Q401" s="547"/>
      <c r="R401" s="547"/>
      <c r="S401" s="547"/>
      <c r="T401" s="547"/>
      <c r="U401" s="547"/>
      <c r="V401" s="547"/>
      <c r="W401" s="547"/>
      <c r="X401" s="547"/>
      <c r="Y401" s="547"/>
      <c r="Z401" s="547"/>
      <c r="AA401" s="547"/>
      <c r="AB401" s="547"/>
      <c r="AC401" s="547"/>
      <c r="AD401" s="547"/>
      <c r="AE401" s="547"/>
      <c r="AF401" s="547"/>
      <c r="AG401" s="547"/>
      <c r="AH401" s="547"/>
      <c r="AI401" s="547"/>
      <c r="AJ401" s="547"/>
      <c r="AK401" s="547"/>
      <c r="AL401" s="547"/>
      <c r="AM401" s="547"/>
      <c r="AN401" s="547"/>
      <c r="AO401" s="547"/>
      <c r="AP401" s="547"/>
      <c r="AQ401" s="547"/>
      <c r="AR401" s="547"/>
      <c r="AS401" s="547"/>
      <c r="AT401" s="547"/>
      <c r="AU401" s="547"/>
      <c r="AV401" s="547"/>
      <c r="AW401" s="547"/>
      <c r="AX401" s="547"/>
      <c r="AY401" s="547"/>
      <c r="AZ401" s="547"/>
      <c r="BA401" s="548"/>
      <c r="BB401" s="128"/>
      <c r="BC401" s="115"/>
      <c r="BD401" s="115"/>
      <c r="BE401" s="115"/>
      <c r="BF401" s="115"/>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c r="CC401" s="83"/>
      <c r="CD401" s="83"/>
      <c r="CE401" s="83"/>
      <c r="CF401" s="83"/>
      <c r="CG401" s="83"/>
      <c r="CH401" s="83"/>
      <c r="CI401" s="83"/>
      <c r="CJ401" s="83"/>
      <c r="CK401" s="83"/>
      <c r="CL401" s="83"/>
      <c r="CM401" s="83"/>
      <c r="CN401" s="83"/>
      <c r="CO401" s="83"/>
      <c r="CP401" s="83"/>
      <c r="CQ401" s="83"/>
      <c r="CR401" s="83"/>
      <c r="CS401" s="83"/>
      <c r="CT401" s="83"/>
      <c r="CU401" s="83"/>
      <c r="CV401" s="83"/>
      <c r="CW401" s="83"/>
      <c r="CX401" s="83"/>
      <c r="CY401" s="83"/>
      <c r="CZ401" s="83"/>
      <c r="DA401" s="83"/>
      <c r="DB401" s="83"/>
      <c r="DC401" s="83"/>
      <c r="DD401" s="83"/>
      <c r="DE401" s="83"/>
      <c r="DF401" s="115"/>
      <c r="DG401" s="115"/>
    </row>
    <row r="402" spans="1:111" ht="9" customHeight="1">
      <c r="A402" s="128"/>
      <c r="B402" s="527"/>
      <c r="C402" s="527"/>
      <c r="D402" s="527"/>
      <c r="E402" s="527"/>
      <c r="F402" s="527"/>
      <c r="G402" s="527"/>
      <c r="H402" s="527"/>
      <c r="I402" s="527"/>
      <c r="J402" s="527"/>
      <c r="K402" s="527"/>
      <c r="L402" s="527"/>
      <c r="M402" s="527"/>
      <c r="N402" s="186"/>
      <c r="O402" s="549"/>
      <c r="P402" s="550"/>
      <c r="Q402" s="550"/>
      <c r="R402" s="550"/>
      <c r="S402" s="550"/>
      <c r="T402" s="550"/>
      <c r="U402" s="550"/>
      <c r="V402" s="550"/>
      <c r="W402" s="550"/>
      <c r="X402" s="550"/>
      <c r="Y402" s="550"/>
      <c r="Z402" s="550"/>
      <c r="AA402" s="550"/>
      <c r="AB402" s="550"/>
      <c r="AC402" s="550"/>
      <c r="AD402" s="550"/>
      <c r="AE402" s="550"/>
      <c r="AF402" s="550"/>
      <c r="AG402" s="550"/>
      <c r="AH402" s="550"/>
      <c r="AI402" s="550"/>
      <c r="AJ402" s="550"/>
      <c r="AK402" s="550"/>
      <c r="AL402" s="550"/>
      <c r="AM402" s="550"/>
      <c r="AN402" s="550"/>
      <c r="AO402" s="550"/>
      <c r="AP402" s="550"/>
      <c r="AQ402" s="550"/>
      <c r="AR402" s="550"/>
      <c r="AS402" s="550"/>
      <c r="AT402" s="550"/>
      <c r="AU402" s="550"/>
      <c r="AV402" s="550"/>
      <c r="AW402" s="550"/>
      <c r="AX402" s="550"/>
      <c r="AY402" s="550"/>
      <c r="AZ402" s="550"/>
      <c r="BA402" s="551"/>
      <c r="BB402" s="128"/>
      <c r="BC402" s="115"/>
      <c r="BD402" s="115"/>
      <c r="BE402" s="115"/>
      <c r="BF402" s="115"/>
      <c r="BG402" s="83"/>
      <c r="BH402" s="83"/>
      <c r="BI402" s="83"/>
      <c r="BJ402" s="83"/>
      <c r="BK402" s="83"/>
      <c r="BL402" s="83"/>
      <c r="BM402" s="83"/>
      <c r="BN402" s="83"/>
      <c r="BO402" s="83"/>
      <c r="BP402" s="83"/>
      <c r="BQ402" s="83"/>
      <c r="BR402" s="83"/>
      <c r="BS402" s="83"/>
      <c r="BT402" s="83"/>
      <c r="BU402" s="83"/>
      <c r="BV402" s="83"/>
      <c r="BW402" s="83"/>
      <c r="BX402" s="83"/>
      <c r="BY402" s="83"/>
      <c r="BZ402" s="83"/>
      <c r="CA402" s="83"/>
      <c r="CB402" s="83"/>
      <c r="CC402" s="83"/>
      <c r="CD402" s="83"/>
      <c r="CE402" s="83"/>
      <c r="CF402" s="83"/>
      <c r="CG402" s="83"/>
      <c r="CH402" s="83"/>
      <c r="CI402" s="83"/>
      <c r="CJ402" s="83"/>
      <c r="CK402" s="83"/>
      <c r="CL402" s="83"/>
      <c r="CM402" s="83"/>
      <c r="CN402" s="83"/>
      <c r="CO402" s="83"/>
      <c r="CP402" s="83"/>
      <c r="CQ402" s="83"/>
      <c r="CR402" s="83"/>
      <c r="CS402" s="83"/>
      <c r="CT402" s="83"/>
      <c r="CU402" s="83"/>
      <c r="CV402" s="83"/>
      <c r="CW402" s="83"/>
      <c r="CX402" s="83"/>
      <c r="CY402" s="83"/>
      <c r="CZ402" s="83"/>
      <c r="DA402" s="83"/>
      <c r="DB402" s="83"/>
      <c r="DC402" s="83"/>
      <c r="DD402" s="83"/>
      <c r="DE402" s="83"/>
      <c r="DF402" s="115"/>
      <c r="DG402" s="115"/>
    </row>
    <row r="403" spans="1:111" ht="9" customHeight="1">
      <c r="A403" s="128"/>
      <c r="B403" s="187"/>
      <c r="C403" s="187"/>
      <c r="D403" s="187"/>
      <c r="E403" s="187"/>
      <c r="F403" s="187"/>
      <c r="G403" s="187"/>
      <c r="H403" s="187"/>
      <c r="I403" s="188"/>
      <c r="J403" s="187"/>
      <c r="K403" s="187"/>
      <c r="L403" s="187"/>
      <c r="M403" s="187"/>
      <c r="N403" s="128"/>
      <c r="O403" s="549"/>
      <c r="P403" s="550"/>
      <c r="Q403" s="550"/>
      <c r="R403" s="550"/>
      <c r="S403" s="550"/>
      <c r="T403" s="550"/>
      <c r="U403" s="550"/>
      <c r="V403" s="550"/>
      <c r="W403" s="550"/>
      <c r="X403" s="550"/>
      <c r="Y403" s="550"/>
      <c r="Z403" s="550"/>
      <c r="AA403" s="550"/>
      <c r="AB403" s="550"/>
      <c r="AC403" s="550"/>
      <c r="AD403" s="550"/>
      <c r="AE403" s="550"/>
      <c r="AF403" s="550"/>
      <c r="AG403" s="550"/>
      <c r="AH403" s="550"/>
      <c r="AI403" s="550"/>
      <c r="AJ403" s="550"/>
      <c r="AK403" s="550"/>
      <c r="AL403" s="550"/>
      <c r="AM403" s="550"/>
      <c r="AN403" s="550"/>
      <c r="AO403" s="550"/>
      <c r="AP403" s="550"/>
      <c r="AQ403" s="550"/>
      <c r="AR403" s="550"/>
      <c r="AS403" s="550"/>
      <c r="AT403" s="550"/>
      <c r="AU403" s="550"/>
      <c r="AV403" s="550"/>
      <c r="AW403" s="550"/>
      <c r="AX403" s="550"/>
      <c r="AY403" s="550"/>
      <c r="AZ403" s="550"/>
      <c r="BA403" s="551"/>
      <c r="BB403" s="128"/>
      <c r="BC403" s="115"/>
      <c r="BD403" s="115"/>
      <c r="BE403" s="115"/>
      <c r="BF403" s="115"/>
      <c r="BG403" s="83"/>
      <c r="BH403" s="83"/>
      <c r="BI403" s="83"/>
      <c r="BJ403" s="83"/>
      <c r="BK403" s="83"/>
      <c r="BL403" s="83"/>
      <c r="BM403" s="83"/>
      <c r="BN403" s="83"/>
      <c r="BO403" s="83"/>
      <c r="BP403" s="83"/>
      <c r="BQ403" s="83"/>
      <c r="BR403" s="83"/>
      <c r="BS403" s="83"/>
      <c r="BT403" s="83"/>
      <c r="BU403" s="83"/>
      <c r="BV403" s="83"/>
      <c r="BW403" s="83"/>
      <c r="BX403" s="83"/>
      <c r="BY403" s="83"/>
      <c r="BZ403" s="83"/>
      <c r="CA403" s="83"/>
      <c r="CB403" s="83"/>
      <c r="CC403" s="83"/>
      <c r="CD403" s="83"/>
      <c r="CE403" s="83"/>
      <c r="CF403" s="83"/>
      <c r="CG403" s="83"/>
      <c r="CH403" s="83"/>
      <c r="CI403" s="83"/>
      <c r="CJ403" s="83"/>
      <c r="CK403" s="83"/>
      <c r="CL403" s="83"/>
      <c r="CM403" s="83"/>
      <c r="CN403" s="83"/>
      <c r="CO403" s="83"/>
      <c r="CP403" s="83"/>
      <c r="CQ403" s="83"/>
      <c r="CR403" s="83"/>
      <c r="CS403" s="83"/>
      <c r="CT403" s="83"/>
      <c r="CU403" s="83"/>
      <c r="CV403" s="83"/>
      <c r="CW403" s="83"/>
      <c r="CX403" s="83"/>
      <c r="CY403" s="83"/>
      <c r="CZ403" s="83"/>
      <c r="DA403" s="83"/>
      <c r="DB403" s="83"/>
      <c r="DC403" s="83"/>
      <c r="DD403" s="83"/>
      <c r="DE403" s="83"/>
      <c r="DF403" s="115"/>
      <c r="DG403" s="115"/>
    </row>
    <row r="404" spans="1:111" ht="9" customHeight="1">
      <c r="A404" s="128"/>
      <c r="B404" s="187"/>
      <c r="C404" s="187"/>
      <c r="D404" s="187"/>
      <c r="E404" s="187"/>
      <c r="F404" s="187"/>
      <c r="G404" s="187"/>
      <c r="H404" s="187"/>
      <c r="I404" s="188"/>
      <c r="J404" s="187"/>
      <c r="K404" s="187"/>
      <c r="L404" s="187"/>
      <c r="M404" s="187"/>
      <c r="N404" s="128"/>
      <c r="O404" s="552"/>
      <c r="P404" s="553"/>
      <c r="Q404" s="553"/>
      <c r="R404" s="553"/>
      <c r="S404" s="553"/>
      <c r="T404" s="553"/>
      <c r="U404" s="553"/>
      <c r="V404" s="553"/>
      <c r="W404" s="553"/>
      <c r="X404" s="553"/>
      <c r="Y404" s="553"/>
      <c r="Z404" s="553"/>
      <c r="AA404" s="553"/>
      <c r="AB404" s="553"/>
      <c r="AC404" s="553"/>
      <c r="AD404" s="553"/>
      <c r="AE404" s="553"/>
      <c r="AF404" s="553"/>
      <c r="AG404" s="553"/>
      <c r="AH404" s="553"/>
      <c r="AI404" s="553"/>
      <c r="AJ404" s="553"/>
      <c r="AK404" s="553"/>
      <c r="AL404" s="553"/>
      <c r="AM404" s="553"/>
      <c r="AN404" s="553"/>
      <c r="AO404" s="553"/>
      <c r="AP404" s="553"/>
      <c r="AQ404" s="553"/>
      <c r="AR404" s="553"/>
      <c r="AS404" s="553"/>
      <c r="AT404" s="553"/>
      <c r="AU404" s="553"/>
      <c r="AV404" s="553"/>
      <c r="AW404" s="553"/>
      <c r="AX404" s="553"/>
      <c r="AY404" s="553"/>
      <c r="AZ404" s="553"/>
      <c r="BA404" s="554"/>
      <c r="BB404" s="128"/>
      <c r="BC404" s="115"/>
      <c r="BD404" s="115"/>
      <c r="BE404" s="115"/>
      <c r="BF404" s="115"/>
      <c r="BG404" s="83"/>
      <c r="BH404" s="83"/>
      <c r="BI404" s="83"/>
      <c r="BJ404" s="83"/>
      <c r="BK404" s="83"/>
      <c r="BL404" s="83"/>
      <c r="BM404" s="83"/>
      <c r="BN404" s="83"/>
      <c r="BO404" s="83"/>
      <c r="BP404" s="83"/>
      <c r="BQ404" s="83"/>
      <c r="BR404" s="83"/>
      <c r="BS404" s="83"/>
      <c r="BT404" s="83"/>
      <c r="BU404" s="83"/>
      <c r="BV404" s="83"/>
      <c r="BW404" s="83"/>
      <c r="BX404" s="83"/>
      <c r="BY404" s="83"/>
      <c r="BZ404" s="83"/>
      <c r="CA404" s="83"/>
      <c r="CB404" s="83"/>
      <c r="CC404" s="83"/>
      <c r="CD404" s="83"/>
      <c r="CE404" s="83"/>
      <c r="CF404" s="83"/>
      <c r="CG404" s="83"/>
      <c r="CH404" s="83"/>
      <c r="CI404" s="83"/>
      <c r="CJ404" s="83"/>
      <c r="CK404" s="83"/>
      <c r="CL404" s="83"/>
      <c r="CM404" s="83"/>
      <c r="CN404" s="83"/>
      <c r="CO404" s="83"/>
      <c r="CP404" s="83"/>
      <c r="CQ404" s="83"/>
      <c r="CR404" s="83"/>
      <c r="CS404" s="83"/>
      <c r="CT404" s="83"/>
      <c r="CU404" s="83"/>
      <c r="CV404" s="83"/>
      <c r="CW404" s="83"/>
      <c r="CX404" s="83"/>
      <c r="CY404" s="83"/>
      <c r="CZ404" s="83"/>
      <c r="DA404" s="83"/>
      <c r="DB404" s="83"/>
      <c r="DC404" s="83"/>
      <c r="DD404" s="83"/>
      <c r="DE404" s="83"/>
      <c r="DF404" s="115"/>
      <c r="DG404" s="115"/>
    </row>
    <row r="405" spans="1:111" ht="4.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15"/>
      <c r="BD405" s="115"/>
      <c r="BE405" s="115"/>
      <c r="BF405" s="115"/>
      <c r="BG405" s="83"/>
      <c r="BH405" s="83"/>
      <c r="BI405" s="83"/>
      <c r="BJ405" s="83"/>
      <c r="BK405" s="83"/>
      <c r="BL405" s="83"/>
      <c r="BM405" s="83"/>
      <c r="BN405" s="83"/>
      <c r="BO405" s="83"/>
      <c r="BP405" s="83"/>
      <c r="BQ405" s="83"/>
      <c r="BR405" s="83"/>
      <c r="BS405" s="83"/>
      <c r="BT405" s="83"/>
      <c r="BU405" s="83"/>
      <c r="BV405" s="83"/>
      <c r="BW405" s="83"/>
      <c r="BX405" s="83"/>
      <c r="BY405" s="83"/>
      <c r="BZ405" s="83"/>
      <c r="CA405" s="83"/>
      <c r="CB405" s="83"/>
      <c r="CC405" s="83"/>
      <c r="CD405" s="83"/>
      <c r="CE405" s="83"/>
      <c r="CF405" s="83"/>
      <c r="CG405" s="83"/>
      <c r="CH405" s="83"/>
      <c r="CI405" s="83"/>
      <c r="CJ405" s="83"/>
      <c r="CK405" s="83"/>
      <c r="CL405" s="83"/>
      <c r="CM405" s="83"/>
      <c r="CN405" s="83"/>
      <c r="CO405" s="83"/>
      <c r="CP405" s="83"/>
      <c r="CQ405" s="83"/>
      <c r="CR405" s="83"/>
      <c r="CS405" s="83"/>
      <c r="CT405" s="83"/>
      <c r="CU405" s="83"/>
      <c r="CV405" s="83"/>
      <c r="CW405" s="83"/>
      <c r="CX405" s="83"/>
      <c r="CY405" s="83"/>
      <c r="CZ405" s="83"/>
      <c r="DA405" s="83"/>
      <c r="DB405" s="83"/>
      <c r="DC405" s="83"/>
      <c r="DD405" s="83"/>
      <c r="DE405" s="83"/>
      <c r="DF405" s="115"/>
      <c r="DG405" s="115"/>
    </row>
    <row r="406" spans="1:111" ht="9" customHeight="1">
      <c r="A406" s="128"/>
      <c r="B406" s="527" t="s">
        <v>457</v>
      </c>
      <c r="C406" s="527"/>
      <c r="D406" s="527"/>
      <c r="E406" s="527"/>
      <c r="F406" s="527"/>
      <c r="G406" s="527"/>
      <c r="H406" s="527"/>
      <c r="I406" s="527"/>
      <c r="J406" s="527"/>
      <c r="K406" s="527"/>
      <c r="L406" s="527"/>
      <c r="M406" s="527"/>
      <c r="N406" s="186"/>
      <c r="O406" s="546"/>
      <c r="P406" s="547"/>
      <c r="Q406" s="547"/>
      <c r="R406" s="547"/>
      <c r="S406" s="547"/>
      <c r="T406" s="547"/>
      <c r="U406" s="547"/>
      <c r="V406" s="547"/>
      <c r="W406" s="547"/>
      <c r="X406" s="547"/>
      <c r="Y406" s="547"/>
      <c r="Z406" s="547"/>
      <c r="AA406" s="547"/>
      <c r="AB406" s="547"/>
      <c r="AC406" s="547"/>
      <c r="AD406" s="547"/>
      <c r="AE406" s="547"/>
      <c r="AF406" s="547"/>
      <c r="AG406" s="547"/>
      <c r="AH406" s="547"/>
      <c r="AI406" s="547"/>
      <c r="AJ406" s="547"/>
      <c r="AK406" s="547"/>
      <c r="AL406" s="547"/>
      <c r="AM406" s="547"/>
      <c r="AN406" s="547"/>
      <c r="AO406" s="547"/>
      <c r="AP406" s="547"/>
      <c r="AQ406" s="547"/>
      <c r="AR406" s="547"/>
      <c r="AS406" s="547"/>
      <c r="AT406" s="547"/>
      <c r="AU406" s="547"/>
      <c r="AV406" s="547"/>
      <c r="AW406" s="547"/>
      <c r="AX406" s="547"/>
      <c r="AY406" s="547"/>
      <c r="AZ406" s="547"/>
      <c r="BA406" s="548"/>
      <c r="BB406" s="128"/>
      <c r="BC406" s="115"/>
      <c r="BD406" s="115"/>
      <c r="BE406" s="115"/>
      <c r="BF406" s="115"/>
      <c r="BG406" s="83"/>
      <c r="BH406" s="83"/>
      <c r="BI406" s="83"/>
      <c r="BJ406" s="83"/>
      <c r="BK406" s="83"/>
      <c r="BL406" s="83"/>
      <c r="BM406" s="83"/>
      <c r="BN406" s="83"/>
      <c r="BO406" s="83"/>
      <c r="BP406" s="83"/>
      <c r="BQ406" s="83"/>
      <c r="BR406" s="83"/>
      <c r="BS406" s="83"/>
      <c r="BT406" s="83"/>
      <c r="BU406" s="83"/>
      <c r="BV406" s="83"/>
      <c r="BW406" s="83"/>
      <c r="BX406" s="83"/>
      <c r="BY406" s="83"/>
      <c r="BZ406" s="83"/>
      <c r="CA406" s="83"/>
      <c r="CB406" s="83"/>
      <c r="CC406" s="83"/>
      <c r="CD406" s="83"/>
      <c r="CE406" s="83"/>
      <c r="CF406" s="83"/>
      <c r="CG406" s="83"/>
      <c r="CH406" s="83"/>
      <c r="CI406" s="83"/>
      <c r="CJ406" s="83"/>
      <c r="CK406" s="83"/>
      <c r="CL406" s="83"/>
      <c r="CM406" s="83"/>
      <c r="CN406" s="83"/>
      <c r="CO406" s="83"/>
      <c r="CP406" s="83"/>
      <c r="CQ406" s="83"/>
      <c r="CR406" s="83"/>
      <c r="CS406" s="83"/>
      <c r="CT406" s="83"/>
      <c r="CU406" s="83"/>
      <c r="CV406" s="83"/>
      <c r="CW406" s="83"/>
      <c r="CX406" s="83"/>
      <c r="CY406" s="83"/>
      <c r="CZ406" s="83"/>
      <c r="DA406" s="83"/>
      <c r="DB406" s="83"/>
      <c r="DC406" s="83"/>
      <c r="DD406" s="83"/>
      <c r="DE406" s="83"/>
      <c r="DF406" s="115"/>
      <c r="DG406" s="115"/>
    </row>
    <row r="407" spans="1:111" ht="9" customHeight="1">
      <c r="A407" s="128"/>
      <c r="B407" s="527"/>
      <c r="C407" s="527"/>
      <c r="D407" s="527"/>
      <c r="E407" s="527"/>
      <c r="F407" s="527"/>
      <c r="G407" s="527"/>
      <c r="H407" s="527"/>
      <c r="I407" s="527"/>
      <c r="J407" s="527"/>
      <c r="K407" s="527"/>
      <c r="L407" s="527"/>
      <c r="M407" s="527"/>
      <c r="N407" s="186"/>
      <c r="O407" s="549"/>
      <c r="P407" s="550"/>
      <c r="Q407" s="550"/>
      <c r="R407" s="550"/>
      <c r="S407" s="550"/>
      <c r="T407" s="550"/>
      <c r="U407" s="550"/>
      <c r="V407" s="550"/>
      <c r="W407" s="550"/>
      <c r="X407" s="550"/>
      <c r="Y407" s="550"/>
      <c r="Z407" s="550"/>
      <c r="AA407" s="550"/>
      <c r="AB407" s="550"/>
      <c r="AC407" s="550"/>
      <c r="AD407" s="550"/>
      <c r="AE407" s="550"/>
      <c r="AF407" s="550"/>
      <c r="AG407" s="550"/>
      <c r="AH407" s="550"/>
      <c r="AI407" s="550"/>
      <c r="AJ407" s="550"/>
      <c r="AK407" s="550"/>
      <c r="AL407" s="550"/>
      <c r="AM407" s="550"/>
      <c r="AN407" s="550"/>
      <c r="AO407" s="550"/>
      <c r="AP407" s="550"/>
      <c r="AQ407" s="550"/>
      <c r="AR407" s="550"/>
      <c r="AS407" s="550"/>
      <c r="AT407" s="550"/>
      <c r="AU407" s="550"/>
      <c r="AV407" s="550"/>
      <c r="AW407" s="550"/>
      <c r="AX407" s="550"/>
      <c r="AY407" s="550"/>
      <c r="AZ407" s="550"/>
      <c r="BA407" s="551"/>
      <c r="BB407" s="128"/>
      <c r="BC407" s="115"/>
      <c r="BD407" s="115"/>
      <c r="BE407" s="115"/>
      <c r="BF407" s="115"/>
      <c r="BG407" s="83"/>
      <c r="BH407" s="83"/>
      <c r="BI407" s="83"/>
      <c r="BJ407" s="83"/>
      <c r="BK407" s="83"/>
      <c r="BL407" s="83"/>
      <c r="BM407" s="83"/>
      <c r="BN407" s="83"/>
      <c r="BO407" s="83"/>
      <c r="BP407" s="83"/>
      <c r="BQ407" s="83"/>
      <c r="BR407" s="83"/>
      <c r="BS407" s="83"/>
      <c r="BT407" s="83"/>
      <c r="BU407" s="83"/>
      <c r="BV407" s="83"/>
      <c r="BW407" s="83"/>
      <c r="BX407" s="83"/>
      <c r="BY407" s="83"/>
      <c r="BZ407" s="83"/>
      <c r="CA407" s="83"/>
      <c r="CB407" s="83"/>
      <c r="CC407" s="83"/>
      <c r="CD407" s="83"/>
      <c r="CE407" s="83"/>
      <c r="CF407" s="83"/>
      <c r="CG407" s="83"/>
      <c r="CH407" s="83"/>
      <c r="CI407" s="83"/>
      <c r="CJ407" s="83"/>
      <c r="CK407" s="83"/>
      <c r="CL407" s="83"/>
      <c r="CM407" s="83"/>
      <c r="CN407" s="83"/>
      <c r="CO407" s="83"/>
      <c r="CP407" s="83"/>
      <c r="CQ407" s="83"/>
      <c r="CR407" s="83"/>
      <c r="CS407" s="83"/>
      <c r="CT407" s="83"/>
      <c r="CU407" s="83"/>
      <c r="CV407" s="83"/>
      <c r="CW407" s="83"/>
      <c r="CX407" s="83"/>
      <c r="CY407" s="83"/>
      <c r="CZ407" s="83"/>
      <c r="DA407" s="83"/>
      <c r="DB407" s="83"/>
      <c r="DC407" s="83"/>
      <c r="DD407" s="83"/>
      <c r="DE407" s="83"/>
      <c r="DF407" s="115"/>
      <c r="DG407" s="115"/>
    </row>
    <row r="408" spans="1:111" ht="9" customHeight="1">
      <c r="A408" s="128"/>
      <c r="B408" s="187"/>
      <c r="C408" s="187"/>
      <c r="D408" s="187"/>
      <c r="E408" s="187"/>
      <c r="F408" s="187"/>
      <c r="G408" s="187"/>
      <c r="H408" s="187"/>
      <c r="I408" s="188"/>
      <c r="J408" s="187"/>
      <c r="K408" s="187"/>
      <c r="L408" s="187"/>
      <c r="M408" s="187"/>
      <c r="N408" s="128"/>
      <c r="O408" s="549"/>
      <c r="P408" s="550"/>
      <c r="Q408" s="550"/>
      <c r="R408" s="550"/>
      <c r="S408" s="550"/>
      <c r="T408" s="550"/>
      <c r="U408" s="550"/>
      <c r="V408" s="550"/>
      <c r="W408" s="550"/>
      <c r="X408" s="550"/>
      <c r="Y408" s="550"/>
      <c r="Z408" s="550"/>
      <c r="AA408" s="550"/>
      <c r="AB408" s="550"/>
      <c r="AC408" s="550"/>
      <c r="AD408" s="550"/>
      <c r="AE408" s="550"/>
      <c r="AF408" s="550"/>
      <c r="AG408" s="550"/>
      <c r="AH408" s="550"/>
      <c r="AI408" s="550"/>
      <c r="AJ408" s="550"/>
      <c r="AK408" s="550"/>
      <c r="AL408" s="550"/>
      <c r="AM408" s="550"/>
      <c r="AN408" s="550"/>
      <c r="AO408" s="550"/>
      <c r="AP408" s="550"/>
      <c r="AQ408" s="550"/>
      <c r="AR408" s="550"/>
      <c r="AS408" s="550"/>
      <c r="AT408" s="550"/>
      <c r="AU408" s="550"/>
      <c r="AV408" s="550"/>
      <c r="AW408" s="550"/>
      <c r="AX408" s="550"/>
      <c r="AY408" s="550"/>
      <c r="AZ408" s="550"/>
      <c r="BA408" s="551"/>
      <c r="BB408" s="128"/>
      <c r="BC408" s="115"/>
      <c r="BD408" s="115"/>
      <c r="BE408" s="115"/>
      <c r="BF408" s="115"/>
      <c r="BG408" s="83"/>
      <c r="BH408" s="83"/>
      <c r="BI408" s="83"/>
      <c r="BJ408" s="83"/>
      <c r="BK408" s="83"/>
      <c r="BL408" s="83"/>
      <c r="BM408" s="83"/>
      <c r="BN408" s="83"/>
      <c r="BO408" s="83"/>
      <c r="BP408" s="83"/>
      <c r="BQ408" s="83"/>
      <c r="BR408" s="83"/>
      <c r="BS408" s="83"/>
      <c r="BT408" s="83"/>
      <c r="BU408" s="83"/>
      <c r="BV408" s="83"/>
      <c r="BW408" s="83"/>
      <c r="BX408" s="83"/>
      <c r="BY408" s="83"/>
      <c r="BZ408" s="83"/>
      <c r="CA408" s="83"/>
      <c r="CB408" s="83"/>
      <c r="CC408" s="83"/>
      <c r="CD408" s="83"/>
      <c r="CE408" s="83"/>
      <c r="CF408" s="83"/>
      <c r="CG408" s="83"/>
      <c r="CH408" s="83"/>
      <c r="CI408" s="83"/>
      <c r="CJ408" s="83"/>
      <c r="CK408" s="83"/>
      <c r="CL408" s="83"/>
      <c r="CM408" s="83"/>
      <c r="CN408" s="83"/>
      <c r="CO408" s="83"/>
      <c r="CP408" s="83"/>
      <c r="CQ408" s="83"/>
      <c r="CR408" s="83"/>
      <c r="CS408" s="83"/>
      <c r="CT408" s="83"/>
      <c r="CU408" s="83"/>
      <c r="CV408" s="83"/>
      <c r="CW408" s="83"/>
      <c r="CX408" s="83"/>
      <c r="CY408" s="83"/>
      <c r="CZ408" s="83"/>
      <c r="DA408" s="83"/>
      <c r="DB408" s="83"/>
      <c r="DC408" s="83"/>
      <c r="DD408" s="83"/>
      <c r="DE408" s="83"/>
      <c r="DF408" s="115"/>
      <c r="DG408" s="115"/>
    </row>
    <row r="409" spans="1:111" ht="9" customHeight="1">
      <c r="A409" s="128"/>
      <c r="B409" s="187"/>
      <c r="C409" s="187"/>
      <c r="D409" s="187"/>
      <c r="E409" s="187"/>
      <c r="F409" s="187"/>
      <c r="G409" s="187"/>
      <c r="H409" s="187"/>
      <c r="I409" s="188"/>
      <c r="J409" s="187"/>
      <c r="K409" s="187"/>
      <c r="L409" s="187"/>
      <c r="M409" s="187"/>
      <c r="N409" s="128"/>
      <c r="O409" s="552"/>
      <c r="P409" s="553"/>
      <c r="Q409" s="553"/>
      <c r="R409" s="553"/>
      <c r="S409" s="553"/>
      <c r="T409" s="553"/>
      <c r="U409" s="553"/>
      <c r="V409" s="553"/>
      <c r="W409" s="553"/>
      <c r="X409" s="553"/>
      <c r="Y409" s="553"/>
      <c r="Z409" s="553"/>
      <c r="AA409" s="553"/>
      <c r="AB409" s="553"/>
      <c r="AC409" s="553"/>
      <c r="AD409" s="553"/>
      <c r="AE409" s="553"/>
      <c r="AF409" s="553"/>
      <c r="AG409" s="553"/>
      <c r="AH409" s="553"/>
      <c r="AI409" s="553"/>
      <c r="AJ409" s="553"/>
      <c r="AK409" s="553"/>
      <c r="AL409" s="553"/>
      <c r="AM409" s="553"/>
      <c r="AN409" s="553"/>
      <c r="AO409" s="553"/>
      <c r="AP409" s="553"/>
      <c r="AQ409" s="553"/>
      <c r="AR409" s="553"/>
      <c r="AS409" s="553"/>
      <c r="AT409" s="553"/>
      <c r="AU409" s="553"/>
      <c r="AV409" s="553"/>
      <c r="AW409" s="553"/>
      <c r="AX409" s="553"/>
      <c r="AY409" s="553"/>
      <c r="AZ409" s="553"/>
      <c r="BA409" s="554"/>
      <c r="BB409" s="128"/>
      <c r="BC409" s="115"/>
      <c r="BD409" s="115"/>
      <c r="BE409" s="115"/>
      <c r="BF409" s="115"/>
      <c r="BG409" s="83"/>
      <c r="BH409" s="83"/>
      <c r="BI409" s="83"/>
      <c r="BJ409" s="83"/>
      <c r="BK409" s="83"/>
      <c r="BL409" s="83"/>
      <c r="BM409" s="83"/>
      <c r="BN409" s="83"/>
      <c r="BO409" s="83"/>
      <c r="BP409" s="83"/>
      <c r="BQ409" s="83"/>
      <c r="BR409" s="83"/>
      <c r="BS409" s="83"/>
      <c r="BT409" s="83"/>
      <c r="BU409" s="83"/>
      <c r="BV409" s="83"/>
      <c r="BW409" s="83"/>
      <c r="BX409" s="83"/>
      <c r="BY409" s="83"/>
      <c r="BZ409" s="83"/>
      <c r="CA409" s="83"/>
      <c r="CB409" s="83"/>
      <c r="CC409" s="83"/>
      <c r="CD409" s="83"/>
      <c r="CE409" s="83"/>
      <c r="CF409" s="83"/>
      <c r="CG409" s="83"/>
      <c r="CH409" s="83"/>
      <c r="CI409" s="83"/>
      <c r="CJ409" s="83"/>
      <c r="CK409" s="83"/>
      <c r="CL409" s="83"/>
      <c r="CM409" s="83"/>
      <c r="CN409" s="83"/>
      <c r="CO409" s="83"/>
      <c r="CP409" s="83"/>
      <c r="CQ409" s="83"/>
      <c r="CR409" s="83"/>
      <c r="CS409" s="83"/>
      <c r="CT409" s="83"/>
      <c r="CU409" s="83"/>
      <c r="CV409" s="83"/>
      <c r="CW409" s="83"/>
      <c r="CX409" s="83"/>
      <c r="CY409" s="83"/>
      <c r="CZ409" s="83"/>
      <c r="DA409" s="83"/>
      <c r="DB409" s="83"/>
      <c r="DC409" s="83"/>
      <c r="DD409" s="83"/>
      <c r="DE409" s="83"/>
      <c r="DF409" s="115"/>
      <c r="DG409" s="115"/>
    </row>
    <row r="410" spans="1:111" ht="18"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15"/>
      <c r="BD410" s="115"/>
      <c r="BE410" s="115"/>
      <c r="BF410" s="115"/>
      <c r="BG410" s="83"/>
      <c r="BH410" s="83"/>
      <c r="BI410" s="83"/>
      <c r="BJ410" s="83"/>
      <c r="BK410" s="83"/>
      <c r="BL410" s="83"/>
      <c r="BM410" s="83"/>
      <c r="BN410" s="83"/>
      <c r="BO410" s="83"/>
      <c r="BP410" s="83"/>
      <c r="BQ410" s="83"/>
      <c r="BR410" s="83"/>
      <c r="BS410" s="83"/>
      <c r="BT410" s="83"/>
      <c r="BU410" s="83"/>
      <c r="BV410" s="83"/>
      <c r="BW410" s="83"/>
      <c r="BX410" s="83"/>
      <c r="BY410" s="83"/>
      <c r="BZ410" s="83"/>
      <c r="CA410" s="83"/>
      <c r="CB410" s="83"/>
      <c r="CC410" s="83"/>
      <c r="CD410" s="83"/>
      <c r="CE410" s="83"/>
      <c r="CF410" s="83"/>
      <c r="CG410" s="83"/>
      <c r="CH410" s="83"/>
      <c r="CI410" s="83"/>
      <c r="CJ410" s="83"/>
      <c r="CK410" s="83"/>
      <c r="CL410" s="83"/>
      <c r="CM410" s="83"/>
      <c r="CN410" s="83"/>
      <c r="CO410" s="83"/>
      <c r="CP410" s="83"/>
      <c r="CQ410" s="83"/>
      <c r="CR410" s="83"/>
      <c r="CS410" s="83"/>
      <c r="CT410" s="83"/>
      <c r="CU410" s="83"/>
      <c r="CV410" s="83"/>
      <c r="CW410" s="83"/>
      <c r="CX410" s="83"/>
      <c r="CY410" s="83"/>
      <c r="CZ410" s="83"/>
      <c r="DA410" s="83"/>
      <c r="DB410" s="83"/>
      <c r="DC410" s="83"/>
      <c r="DD410" s="83"/>
      <c r="DE410" s="83"/>
      <c r="DF410" s="115"/>
      <c r="DG410" s="115"/>
    </row>
    <row r="411" spans="1:111" ht="9" customHeight="1">
      <c r="A411" s="128"/>
      <c r="B411" s="525" t="s">
        <v>465</v>
      </c>
      <c r="C411" s="525"/>
      <c r="D411" s="525"/>
      <c r="E411" s="525"/>
      <c r="F411" s="525"/>
      <c r="G411" s="525"/>
      <c r="H411" s="525"/>
      <c r="I411" s="525"/>
      <c r="J411" s="525"/>
      <c r="K411" s="525"/>
      <c r="L411" s="525"/>
      <c r="M411" s="525"/>
      <c r="N411" s="525"/>
      <c r="O411" s="525"/>
      <c r="P411" s="525"/>
      <c r="Q411" s="525"/>
      <c r="R411" s="525"/>
      <c r="S411" s="525"/>
      <c r="T411" s="525"/>
      <c r="U411" s="525"/>
      <c r="V411" s="525"/>
      <c r="W411" s="525"/>
      <c r="X411" s="525"/>
      <c r="Y411" s="525"/>
      <c r="Z411" s="525"/>
      <c r="AA411" s="525"/>
      <c r="AB411" s="525"/>
      <c r="AC411" s="525"/>
      <c r="AD411" s="525"/>
      <c r="AE411" s="525"/>
      <c r="AF411" s="525"/>
      <c r="AG411" s="525"/>
      <c r="AH411" s="525"/>
      <c r="AI411" s="525"/>
      <c r="AJ411" s="525"/>
      <c r="AK411" s="525"/>
      <c r="AL411" s="525"/>
      <c r="AM411" s="525"/>
      <c r="AN411" s="525"/>
      <c r="AO411" s="525"/>
      <c r="AP411" s="525"/>
      <c r="AQ411" s="525"/>
      <c r="AR411" s="525"/>
      <c r="AS411" s="525"/>
      <c r="AT411" s="525"/>
      <c r="AU411" s="525"/>
      <c r="AV411" s="525"/>
      <c r="AW411" s="525"/>
      <c r="AX411" s="525"/>
      <c r="AY411" s="525"/>
      <c r="AZ411" s="525"/>
      <c r="BA411" s="525"/>
      <c r="BB411" s="128"/>
      <c r="BC411" s="115"/>
      <c r="BD411" s="115"/>
      <c r="BE411" s="115"/>
      <c r="BF411" s="115"/>
      <c r="BG411" s="83"/>
      <c r="BH411" s="83"/>
      <c r="BI411" s="83"/>
      <c r="BJ411" s="83"/>
      <c r="BK411" s="83"/>
      <c r="BL411" s="83"/>
      <c r="BM411" s="83"/>
      <c r="BN411" s="83"/>
      <c r="BO411" s="83"/>
      <c r="BP411" s="83"/>
      <c r="BQ411" s="83"/>
      <c r="BR411" s="83"/>
      <c r="BS411" s="83"/>
      <c r="BT411" s="83"/>
      <c r="BU411" s="83"/>
      <c r="BV411" s="83"/>
      <c r="BW411" s="83"/>
      <c r="BX411" s="83"/>
      <c r="BY411" s="83"/>
      <c r="BZ411" s="83"/>
      <c r="CA411" s="83"/>
      <c r="CB411" s="83"/>
      <c r="CC411" s="83"/>
      <c r="CD411" s="83"/>
      <c r="CE411" s="83"/>
      <c r="CF411" s="83"/>
      <c r="CG411" s="83"/>
      <c r="CH411" s="83"/>
      <c r="CI411" s="83"/>
      <c r="CJ411" s="83"/>
      <c r="CK411" s="83"/>
      <c r="CL411" s="83"/>
      <c r="CM411" s="83"/>
      <c r="CN411" s="83"/>
      <c r="CO411" s="83"/>
      <c r="CP411" s="83"/>
      <c r="CQ411" s="83"/>
      <c r="CR411" s="83"/>
      <c r="CS411" s="83"/>
      <c r="CT411" s="83"/>
      <c r="CU411" s="83"/>
      <c r="CV411" s="83"/>
      <c r="CW411" s="83"/>
      <c r="CX411" s="83"/>
      <c r="CY411" s="83"/>
      <c r="CZ411" s="83"/>
      <c r="DA411" s="83"/>
      <c r="DB411" s="83"/>
      <c r="DC411" s="83"/>
      <c r="DD411" s="83"/>
      <c r="DE411" s="83"/>
      <c r="DF411" s="115"/>
      <c r="DG411" s="115"/>
    </row>
    <row r="412" spans="1:111" ht="9" customHeight="1">
      <c r="A412" s="128"/>
      <c r="B412" s="526"/>
      <c r="C412" s="526"/>
      <c r="D412" s="526"/>
      <c r="E412" s="526"/>
      <c r="F412" s="526"/>
      <c r="G412" s="526"/>
      <c r="H412" s="526"/>
      <c r="I412" s="526"/>
      <c r="J412" s="526"/>
      <c r="K412" s="526"/>
      <c r="L412" s="526"/>
      <c r="M412" s="526"/>
      <c r="N412" s="526"/>
      <c r="O412" s="526"/>
      <c r="P412" s="526"/>
      <c r="Q412" s="526"/>
      <c r="R412" s="526"/>
      <c r="S412" s="526"/>
      <c r="T412" s="526"/>
      <c r="U412" s="526"/>
      <c r="V412" s="526"/>
      <c r="W412" s="526"/>
      <c r="X412" s="526"/>
      <c r="Y412" s="526"/>
      <c r="Z412" s="526"/>
      <c r="AA412" s="526"/>
      <c r="AB412" s="526"/>
      <c r="AC412" s="526"/>
      <c r="AD412" s="526"/>
      <c r="AE412" s="526"/>
      <c r="AF412" s="526"/>
      <c r="AG412" s="526"/>
      <c r="AH412" s="526"/>
      <c r="AI412" s="526"/>
      <c r="AJ412" s="526"/>
      <c r="AK412" s="526"/>
      <c r="AL412" s="526"/>
      <c r="AM412" s="526"/>
      <c r="AN412" s="526"/>
      <c r="AO412" s="526"/>
      <c r="AP412" s="526"/>
      <c r="AQ412" s="526"/>
      <c r="AR412" s="526"/>
      <c r="AS412" s="526"/>
      <c r="AT412" s="526"/>
      <c r="AU412" s="526"/>
      <c r="AV412" s="526"/>
      <c r="AW412" s="526"/>
      <c r="AX412" s="526"/>
      <c r="AY412" s="526"/>
      <c r="AZ412" s="526"/>
      <c r="BA412" s="526"/>
      <c r="BB412" s="128"/>
      <c r="BC412" s="115"/>
      <c r="BD412" s="115"/>
      <c r="BE412" s="115"/>
      <c r="BF412" s="115"/>
      <c r="BG412" s="83"/>
      <c r="BH412" s="83"/>
      <c r="BI412" s="83"/>
      <c r="BJ412" s="83"/>
      <c r="BK412" s="83"/>
      <c r="BL412" s="83"/>
      <c r="BM412" s="83"/>
      <c r="BN412" s="83"/>
      <c r="BO412" s="83"/>
      <c r="BP412" s="83"/>
      <c r="BQ412" s="83"/>
      <c r="BR412" s="83"/>
      <c r="BS412" s="83"/>
      <c r="BT412" s="83"/>
      <c r="BU412" s="83"/>
      <c r="BV412" s="83"/>
      <c r="BW412" s="83"/>
      <c r="BX412" s="83"/>
      <c r="BY412" s="83"/>
      <c r="BZ412" s="83"/>
      <c r="CA412" s="83"/>
      <c r="CB412" s="83"/>
      <c r="CC412" s="83"/>
      <c r="CD412" s="83"/>
      <c r="CE412" s="83"/>
      <c r="CF412" s="83"/>
      <c r="CG412" s="83"/>
      <c r="CH412" s="83"/>
      <c r="CI412" s="83"/>
      <c r="CJ412" s="83"/>
      <c r="CK412" s="83"/>
      <c r="CL412" s="83"/>
      <c r="CM412" s="83"/>
      <c r="CN412" s="83"/>
      <c r="CO412" s="83"/>
      <c r="CP412" s="83"/>
      <c r="CQ412" s="83"/>
      <c r="CR412" s="83"/>
      <c r="CS412" s="83"/>
      <c r="CT412" s="83"/>
      <c r="CU412" s="83"/>
      <c r="CV412" s="83"/>
      <c r="CW412" s="83"/>
      <c r="CX412" s="83"/>
      <c r="CY412" s="83"/>
      <c r="CZ412" s="83"/>
      <c r="DA412" s="83"/>
      <c r="DB412" s="83"/>
      <c r="DC412" s="83"/>
      <c r="DD412" s="83"/>
      <c r="DE412" s="83"/>
      <c r="DF412" s="115"/>
      <c r="DG412" s="115"/>
    </row>
    <row r="413" spans="1:111" ht="4.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15"/>
      <c r="BD413" s="115"/>
      <c r="BE413" s="115"/>
      <c r="BF413" s="115"/>
      <c r="BG413" s="83"/>
      <c r="BH413" s="83"/>
      <c r="BI413" s="83"/>
      <c r="BJ413" s="83"/>
      <c r="BK413" s="83"/>
      <c r="BL413" s="83"/>
      <c r="BM413" s="83"/>
      <c r="BN413" s="83"/>
      <c r="BO413" s="83"/>
      <c r="BP413" s="83"/>
      <c r="BQ413" s="83"/>
      <c r="BR413" s="83"/>
      <c r="BS413" s="83"/>
      <c r="BT413" s="83"/>
      <c r="BU413" s="83"/>
      <c r="BV413" s="83"/>
      <c r="BW413" s="83"/>
      <c r="BX413" s="83"/>
      <c r="BY413" s="83"/>
      <c r="BZ413" s="83"/>
      <c r="CA413" s="83"/>
      <c r="CB413" s="83"/>
      <c r="CC413" s="83"/>
      <c r="CD413" s="83"/>
      <c r="CE413" s="83"/>
      <c r="CF413" s="83"/>
      <c r="CG413" s="83"/>
      <c r="CH413" s="83"/>
      <c r="CI413" s="83"/>
      <c r="CJ413" s="83"/>
      <c r="CK413" s="83"/>
      <c r="CL413" s="83"/>
      <c r="CM413" s="83"/>
      <c r="CN413" s="83"/>
      <c r="CO413" s="83"/>
      <c r="CP413" s="83"/>
      <c r="CQ413" s="83"/>
      <c r="CR413" s="83"/>
      <c r="CS413" s="83"/>
      <c r="CT413" s="83"/>
      <c r="CU413" s="83"/>
      <c r="CV413" s="83"/>
      <c r="CW413" s="83"/>
      <c r="CX413" s="83"/>
      <c r="CY413" s="83"/>
      <c r="CZ413" s="83"/>
      <c r="DA413" s="83"/>
      <c r="DB413" s="83"/>
      <c r="DC413" s="83"/>
      <c r="DD413" s="83"/>
      <c r="DE413" s="83"/>
      <c r="DF413" s="115"/>
      <c r="DG413" s="115"/>
    </row>
    <row r="414" spans="1:111" ht="9" customHeight="1">
      <c r="A414" s="128"/>
      <c r="B414" s="527" t="s">
        <v>447</v>
      </c>
      <c r="C414" s="527"/>
      <c r="D414" s="527"/>
      <c r="E414" s="527"/>
      <c r="F414" s="527"/>
      <c r="G414" s="527"/>
      <c r="H414" s="527"/>
      <c r="I414" s="527"/>
      <c r="J414" s="527"/>
      <c r="K414" s="527"/>
      <c r="L414" s="527"/>
      <c r="M414" s="527"/>
      <c r="N414" s="186"/>
      <c r="O414" s="546"/>
      <c r="P414" s="547"/>
      <c r="Q414" s="547"/>
      <c r="R414" s="547"/>
      <c r="S414" s="547"/>
      <c r="T414" s="547"/>
      <c r="U414" s="547"/>
      <c r="V414" s="547"/>
      <c r="W414" s="547"/>
      <c r="X414" s="547"/>
      <c r="Y414" s="547"/>
      <c r="Z414" s="547"/>
      <c r="AA414" s="547"/>
      <c r="AB414" s="547"/>
      <c r="AC414" s="547"/>
      <c r="AD414" s="547"/>
      <c r="AE414" s="547"/>
      <c r="AF414" s="547"/>
      <c r="AG414" s="547"/>
      <c r="AH414" s="547"/>
      <c r="AI414" s="547"/>
      <c r="AJ414" s="547"/>
      <c r="AK414" s="547"/>
      <c r="AL414" s="547"/>
      <c r="AM414" s="547"/>
      <c r="AN414" s="547"/>
      <c r="AO414" s="547"/>
      <c r="AP414" s="547"/>
      <c r="AQ414" s="547"/>
      <c r="AR414" s="547"/>
      <c r="AS414" s="547"/>
      <c r="AT414" s="547"/>
      <c r="AU414" s="547"/>
      <c r="AV414" s="547"/>
      <c r="AW414" s="547"/>
      <c r="AX414" s="547"/>
      <c r="AY414" s="547"/>
      <c r="AZ414" s="547"/>
      <c r="BA414" s="548"/>
      <c r="BB414" s="128"/>
      <c r="BC414" s="115"/>
      <c r="BD414" s="115"/>
      <c r="BE414" s="115"/>
      <c r="BF414" s="115"/>
      <c r="BG414" s="83"/>
      <c r="BH414" s="83"/>
      <c r="BI414" s="83"/>
      <c r="BJ414" s="83"/>
      <c r="BK414" s="83"/>
      <c r="BL414" s="83"/>
      <c r="BM414" s="83"/>
      <c r="BN414" s="83"/>
      <c r="BO414" s="83"/>
      <c r="BP414" s="83"/>
      <c r="BQ414" s="83"/>
      <c r="BR414" s="83"/>
      <c r="BS414" s="83"/>
      <c r="BT414" s="83"/>
      <c r="BU414" s="83"/>
      <c r="BV414" s="83"/>
      <c r="BW414" s="83"/>
      <c r="BX414" s="83"/>
      <c r="BY414" s="83"/>
      <c r="BZ414" s="83"/>
      <c r="CA414" s="83"/>
      <c r="CB414" s="83"/>
      <c r="CC414" s="83"/>
      <c r="CD414" s="83"/>
      <c r="CE414" s="83"/>
      <c r="CF414" s="83"/>
      <c r="CG414" s="83"/>
      <c r="CH414" s="83"/>
      <c r="CI414" s="83"/>
      <c r="CJ414" s="83"/>
      <c r="CK414" s="83"/>
      <c r="CL414" s="83"/>
      <c r="CM414" s="83"/>
      <c r="CN414" s="83"/>
      <c r="CO414" s="83"/>
      <c r="CP414" s="83"/>
      <c r="CQ414" s="83"/>
      <c r="CR414" s="83"/>
      <c r="CS414" s="83"/>
      <c r="CT414" s="83"/>
      <c r="CU414" s="83"/>
      <c r="CV414" s="83"/>
      <c r="CW414" s="83"/>
      <c r="CX414" s="83"/>
      <c r="CY414" s="83"/>
      <c r="CZ414" s="83"/>
      <c r="DA414" s="83"/>
      <c r="DB414" s="83"/>
      <c r="DC414" s="83"/>
      <c r="DD414" s="83"/>
      <c r="DE414" s="83"/>
      <c r="DF414" s="115"/>
      <c r="DG414" s="115"/>
    </row>
    <row r="415" spans="1:111" ht="9" customHeight="1">
      <c r="A415" s="128"/>
      <c r="B415" s="527"/>
      <c r="C415" s="527"/>
      <c r="D415" s="527"/>
      <c r="E415" s="527"/>
      <c r="F415" s="527"/>
      <c r="G415" s="527"/>
      <c r="H415" s="527"/>
      <c r="I415" s="527"/>
      <c r="J415" s="527"/>
      <c r="K415" s="527"/>
      <c r="L415" s="527"/>
      <c r="M415" s="527"/>
      <c r="N415" s="186"/>
      <c r="O415" s="549"/>
      <c r="P415" s="550"/>
      <c r="Q415" s="550"/>
      <c r="R415" s="550"/>
      <c r="S415" s="550"/>
      <c r="T415" s="550"/>
      <c r="U415" s="550"/>
      <c r="V415" s="550"/>
      <c r="W415" s="550"/>
      <c r="X415" s="550"/>
      <c r="Y415" s="550"/>
      <c r="Z415" s="550"/>
      <c r="AA415" s="550"/>
      <c r="AB415" s="550"/>
      <c r="AC415" s="550"/>
      <c r="AD415" s="550"/>
      <c r="AE415" s="550"/>
      <c r="AF415" s="550"/>
      <c r="AG415" s="550"/>
      <c r="AH415" s="550"/>
      <c r="AI415" s="550"/>
      <c r="AJ415" s="550"/>
      <c r="AK415" s="550"/>
      <c r="AL415" s="550"/>
      <c r="AM415" s="550"/>
      <c r="AN415" s="550"/>
      <c r="AO415" s="550"/>
      <c r="AP415" s="550"/>
      <c r="AQ415" s="550"/>
      <c r="AR415" s="550"/>
      <c r="AS415" s="550"/>
      <c r="AT415" s="550"/>
      <c r="AU415" s="550"/>
      <c r="AV415" s="550"/>
      <c r="AW415" s="550"/>
      <c r="AX415" s="550"/>
      <c r="AY415" s="550"/>
      <c r="AZ415" s="550"/>
      <c r="BA415" s="551"/>
      <c r="BB415" s="128"/>
      <c r="BC415" s="115"/>
      <c r="BD415" s="115"/>
      <c r="BE415" s="115"/>
      <c r="BF415" s="115"/>
      <c r="BG415" s="83"/>
      <c r="BH415" s="83"/>
      <c r="BI415" s="83"/>
      <c r="BJ415" s="83"/>
      <c r="BK415" s="83"/>
      <c r="BL415" s="83"/>
      <c r="BM415" s="83"/>
      <c r="BN415" s="83"/>
      <c r="BO415" s="83"/>
      <c r="BP415" s="83"/>
      <c r="BQ415" s="83"/>
      <c r="BR415" s="83"/>
      <c r="BS415" s="83"/>
      <c r="BT415" s="83"/>
      <c r="BU415" s="83"/>
      <c r="BV415" s="83"/>
      <c r="BW415" s="83"/>
      <c r="BX415" s="83"/>
      <c r="BY415" s="83"/>
      <c r="BZ415" s="83"/>
      <c r="CA415" s="83"/>
      <c r="CB415" s="83"/>
      <c r="CC415" s="83"/>
      <c r="CD415" s="83"/>
      <c r="CE415" s="83"/>
      <c r="CF415" s="83"/>
      <c r="CG415" s="83"/>
      <c r="CH415" s="83"/>
      <c r="CI415" s="83"/>
      <c r="CJ415" s="83"/>
      <c r="CK415" s="83"/>
      <c r="CL415" s="83"/>
      <c r="CM415" s="83"/>
      <c r="CN415" s="83"/>
      <c r="CO415" s="83"/>
      <c r="CP415" s="83"/>
      <c r="CQ415" s="83"/>
      <c r="CR415" s="83"/>
      <c r="CS415" s="83"/>
      <c r="CT415" s="83"/>
      <c r="CU415" s="83"/>
      <c r="CV415" s="83"/>
      <c r="CW415" s="83"/>
      <c r="CX415" s="83"/>
      <c r="CY415" s="83"/>
      <c r="CZ415" s="83"/>
      <c r="DA415" s="83"/>
      <c r="DB415" s="83"/>
      <c r="DC415" s="83"/>
      <c r="DD415" s="83"/>
      <c r="DE415" s="83"/>
      <c r="DF415" s="115"/>
      <c r="DG415" s="115"/>
    </row>
    <row r="416" spans="1:111" ht="9" customHeight="1">
      <c r="A416" s="128"/>
      <c r="B416" s="187"/>
      <c r="C416" s="187"/>
      <c r="D416" s="187"/>
      <c r="E416" s="187"/>
      <c r="F416" s="187"/>
      <c r="G416" s="187"/>
      <c r="H416" s="187"/>
      <c r="I416" s="188"/>
      <c r="J416" s="187"/>
      <c r="K416" s="187"/>
      <c r="L416" s="187"/>
      <c r="M416" s="187"/>
      <c r="N416" s="128"/>
      <c r="O416" s="549"/>
      <c r="P416" s="550"/>
      <c r="Q416" s="550"/>
      <c r="R416" s="550"/>
      <c r="S416" s="550"/>
      <c r="T416" s="550"/>
      <c r="U416" s="550"/>
      <c r="V416" s="550"/>
      <c r="W416" s="550"/>
      <c r="X416" s="550"/>
      <c r="Y416" s="550"/>
      <c r="Z416" s="550"/>
      <c r="AA416" s="550"/>
      <c r="AB416" s="550"/>
      <c r="AC416" s="550"/>
      <c r="AD416" s="550"/>
      <c r="AE416" s="550"/>
      <c r="AF416" s="550"/>
      <c r="AG416" s="550"/>
      <c r="AH416" s="550"/>
      <c r="AI416" s="550"/>
      <c r="AJ416" s="550"/>
      <c r="AK416" s="550"/>
      <c r="AL416" s="550"/>
      <c r="AM416" s="550"/>
      <c r="AN416" s="550"/>
      <c r="AO416" s="550"/>
      <c r="AP416" s="550"/>
      <c r="AQ416" s="550"/>
      <c r="AR416" s="550"/>
      <c r="AS416" s="550"/>
      <c r="AT416" s="550"/>
      <c r="AU416" s="550"/>
      <c r="AV416" s="550"/>
      <c r="AW416" s="550"/>
      <c r="AX416" s="550"/>
      <c r="AY416" s="550"/>
      <c r="AZ416" s="550"/>
      <c r="BA416" s="551"/>
      <c r="BB416" s="128"/>
      <c r="BC416" s="115"/>
      <c r="BD416" s="115"/>
      <c r="BE416" s="115"/>
      <c r="BF416" s="115"/>
      <c r="BG416" s="83"/>
      <c r="BH416" s="83"/>
      <c r="BI416" s="83"/>
      <c r="BJ416" s="83"/>
      <c r="BK416" s="83"/>
      <c r="BL416" s="83"/>
      <c r="BM416" s="83"/>
      <c r="BN416" s="83"/>
      <c r="BO416" s="83"/>
      <c r="BP416" s="83"/>
      <c r="BQ416" s="83"/>
      <c r="BR416" s="83"/>
      <c r="BS416" s="83"/>
      <c r="BT416" s="83"/>
      <c r="BU416" s="83"/>
      <c r="BV416" s="83"/>
      <c r="BW416" s="83"/>
      <c r="BX416" s="83"/>
      <c r="BY416" s="83"/>
      <c r="BZ416" s="83"/>
      <c r="CA416" s="83"/>
      <c r="CB416" s="83"/>
      <c r="CC416" s="83"/>
      <c r="CD416" s="83"/>
      <c r="CE416" s="83"/>
      <c r="CF416" s="83"/>
      <c r="CG416" s="83"/>
      <c r="CH416" s="83"/>
      <c r="CI416" s="83"/>
      <c r="CJ416" s="83"/>
      <c r="CK416" s="83"/>
      <c r="CL416" s="83"/>
      <c r="CM416" s="83"/>
      <c r="CN416" s="83"/>
      <c r="CO416" s="83"/>
      <c r="CP416" s="83"/>
      <c r="CQ416" s="83"/>
      <c r="CR416" s="83"/>
      <c r="CS416" s="83"/>
      <c r="CT416" s="83"/>
      <c r="CU416" s="83"/>
      <c r="CV416" s="83"/>
      <c r="CW416" s="83"/>
      <c r="CX416" s="83"/>
      <c r="CY416" s="83"/>
      <c r="CZ416" s="83"/>
      <c r="DA416" s="83"/>
      <c r="DB416" s="83"/>
      <c r="DC416" s="83"/>
      <c r="DD416" s="83"/>
      <c r="DE416" s="83"/>
      <c r="DF416" s="115"/>
      <c r="DG416" s="115"/>
    </row>
    <row r="417" spans="1:111" ht="9" customHeight="1">
      <c r="A417" s="128"/>
      <c r="B417" s="187"/>
      <c r="C417" s="187"/>
      <c r="D417" s="187"/>
      <c r="E417" s="187"/>
      <c r="F417" s="187"/>
      <c r="G417" s="187"/>
      <c r="H417" s="187"/>
      <c r="I417" s="188"/>
      <c r="J417" s="187"/>
      <c r="K417" s="187"/>
      <c r="L417" s="187"/>
      <c r="M417" s="187"/>
      <c r="N417" s="128"/>
      <c r="O417" s="552"/>
      <c r="P417" s="553"/>
      <c r="Q417" s="553"/>
      <c r="R417" s="553"/>
      <c r="S417" s="553"/>
      <c r="T417" s="553"/>
      <c r="U417" s="553"/>
      <c r="V417" s="553"/>
      <c r="W417" s="553"/>
      <c r="X417" s="553"/>
      <c r="Y417" s="553"/>
      <c r="Z417" s="553"/>
      <c r="AA417" s="553"/>
      <c r="AB417" s="553"/>
      <c r="AC417" s="553"/>
      <c r="AD417" s="553"/>
      <c r="AE417" s="553"/>
      <c r="AF417" s="553"/>
      <c r="AG417" s="553"/>
      <c r="AH417" s="553"/>
      <c r="AI417" s="553"/>
      <c r="AJ417" s="553"/>
      <c r="AK417" s="553"/>
      <c r="AL417" s="553"/>
      <c r="AM417" s="553"/>
      <c r="AN417" s="553"/>
      <c r="AO417" s="553"/>
      <c r="AP417" s="553"/>
      <c r="AQ417" s="553"/>
      <c r="AR417" s="553"/>
      <c r="AS417" s="553"/>
      <c r="AT417" s="553"/>
      <c r="AU417" s="553"/>
      <c r="AV417" s="553"/>
      <c r="AW417" s="553"/>
      <c r="AX417" s="553"/>
      <c r="AY417" s="553"/>
      <c r="AZ417" s="553"/>
      <c r="BA417" s="554"/>
      <c r="BB417" s="128"/>
      <c r="BC417" s="115"/>
      <c r="BD417" s="115"/>
      <c r="BE417" s="115"/>
      <c r="BF417" s="115"/>
      <c r="BG417" s="83"/>
      <c r="BH417" s="83"/>
      <c r="BI417" s="83"/>
      <c r="BJ417" s="83"/>
      <c r="BK417" s="83"/>
      <c r="BL417" s="83"/>
      <c r="BM417" s="83"/>
      <c r="BN417" s="83"/>
      <c r="BO417" s="83"/>
      <c r="BP417" s="83"/>
      <c r="BQ417" s="83"/>
      <c r="BR417" s="83"/>
      <c r="BS417" s="83"/>
      <c r="BT417" s="83"/>
      <c r="BU417" s="83"/>
      <c r="BV417" s="83"/>
      <c r="BW417" s="83"/>
      <c r="BX417" s="83"/>
      <c r="BY417" s="83"/>
      <c r="BZ417" s="83"/>
      <c r="CA417" s="83"/>
      <c r="CB417" s="83"/>
      <c r="CC417" s="83"/>
      <c r="CD417" s="83"/>
      <c r="CE417" s="83"/>
      <c r="CF417" s="83"/>
      <c r="CG417" s="83"/>
      <c r="CH417" s="83"/>
      <c r="CI417" s="83"/>
      <c r="CJ417" s="83"/>
      <c r="CK417" s="83"/>
      <c r="CL417" s="83"/>
      <c r="CM417" s="83"/>
      <c r="CN417" s="83"/>
      <c r="CO417" s="83"/>
      <c r="CP417" s="83"/>
      <c r="CQ417" s="83"/>
      <c r="CR417" s="83"/>
      <c r="CS417" s="83"/>
      <c r="CT417" s="83"/>
      <c r="CU417" s="83"/>
      <c r="CV417" s="83"/>
      <c r="CW417" s="83"/>
      <c r="CX417" s="83"/>
      <c r="CY417" s="83"/>
      <c r="CZ417" s="83"/>
      <c r="DA417" s="83"/>
      <c r="DB417" s="83"/>
      <c r="DC417" s="83"/>
      <c r="DD417" s="83"/>
      <c r="DE417" s="83"/>
      <c r="DF417" s="115"/>
      <c r="DG417" s="115"/>
    </row>
    <row r="418" spans="1:111" ht="4.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15"/>
      <c r="BD418" s="115"/>
      <c r="BE418" s="115"/>
      <c r="BF418" s="115"/>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83"/>
      <c r="CN418" s="83"/>
      <c r="CO418" s="83"/>
      <c r="CP418" s="83"/>
      <c r="CQ418" s="83"/>
      <c r="CR418" s="83"/>
      <c r="CS418" s="83"/>
      <c r="CT418" s="83"/>
      <c r="CU418" s="83"/>
      <c r="CV418" s="83"/>
      <c r="CW418" s="83"/>
      <c r="CX418" s="83"/>
      <c r="CY418" s="83"/>
      <c r="CZ418" s="83"/>
      <c r="DA418" s="83"/>
      <c r="DB418" s="83"/>
      <c r="DC418" s="83"/>
      <c r="DD418" s="83"/>
      <c r="DE418" s="83"/>
      <c r="DF418" s="115"/>
      <c r="DG418" s="115"/>
    </row>
    <row r="419" spans="1:111" ht="9" customHeight="1">
      <c r="A419" s="128"/>
      <c r="B419" s="527" t="s">
        <v>448</v>
      </c>
      <c r="C419" s="527"/>
      <c r="D419" s="527"/>
      <c r="E419" s="527"/>
      <c r="F419" s="527"/>
      <c r="G419" s="527"/>
      <c r="H419" s="527"/>
      <c r="I419" s="527"/>
      <c r="J419" s="527"/>
      <c r="K419" s="527"/>
      <c r="L419" s="527"/>
      <c r="M419" s="527"/>
      <c r="N419" s="186"/>
      <c r="O419" s="528"/>
      <c r="P419" s="529"/>
      <c r="Q419" s="529"/>
      <c r="R419" s="529"/>
      <c r="S419" s="529"/>
      <c r="T419" s="529"/>
      <c r="U419" s="529"/>
      <c r="V419" s="529"/>
      <c r="W419" s="529"/>
      <c r="X419" s="529"/>
      <c r="Y419" s="529"/>
      <c r="Z419" s="530"/>
      <c r="AA419" s="128"/>
      <c r="AB419" s="128"/>
      <c r="AC419" s="527" t="s">
        <v>449</v>
      </c>
      <c r="AD419" s="527"/>
      <c r="AE419" s="527"/>
      <c r="AF419" s="527"/>
      <c r="AG419" s="527"/>
      <c r="AH419" s="527"/>
      <c r="AI419" s="527"/>
      <c r="AJ419" s="527"/>
      <c r="AK419" s="527"/>
      <c r="AL419" s="527"/>
      <c r="AM419" s="527"/>
      <c r="AN419" s="527"/>
      <c r="AO419" s="128"/>
      <c r="AP419" s="528"/>
      <c r="AQ419" s="529"/>
      <c r="AR419" s="529"/>
      <c r="AS419" s="529"/>
      <c r="AT419" s="529"/>
      <c r="AU419" s="529"/>
      <c r="AV419" s="529"/>
      <c r="AW419" s="529"/>
      <c r="AX419" s="529"/>
      <c r="AY419" s="529"/>
      <c r="AZ419" s="529"/>
      <c r="BA419" s="530"/>
      <c r="BB419" s="128"/>
      <c r="BC419" s="115"/>
      <c r="BD419" s="115"/>
      <c r="BE419" s="115"/>
      <c r="BF419" s="115"/>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c r="CC419" s="83"/>
      <c r="CD419" s="83"/>
      <c r="CE419" s="83"/>
      <c r="CF419" s="83"/>
      <c r="CG419" s="83"/>
      <c r="CH419" s="83"/>
      <c r="CI419" s="83"/>
      <c r="CJ419" s="83"/>
      <c r="CK419" s="83"/>
      <c r="CL419" s="83"/>
      <c r="CM419" s="83"/>
      <c r="CN419" s="83"/>
      <c r="CO419" s="83"/>
      <c r="CP419" s="83"/>
      <c r="CQ419" s="83"/>
      <c r="CR419" s="83"/>
      <c r="CS419" s="83"/>
      <c r="CT419" s="83"/>
      <c r="CU419" s="83"/>
      <c r="CV419" s="83"/>
      <c r="CW419" s="83"/>
      <c r="CX419" s="83"/>
      <c r="CY419" s="83"/>
      <c r="CZ419" s="83"/>
      <c r="DA419" s="83"/>
      <c r="DB419" s="83"/>
      <c r="DC419" s="83"/>
      <c r="DD419" s="83"/>
      <c r="DE419" s="83"/>
      <c r="DF419" s="115"/>
      <c r="DG419" s="115"/>
    </row>
    <row r="420" spans="1:111" ht="9" customHeight="1">
      <c r="A420" s="128"/>
      <c r="B420" s="527"/>
      <c r="C420" s="527"/>
      <c r="D420" s="527"/>
      <c r="E420" s="527"/>
      <c r="F420" s="527"/>
      <c r="G420" s="527"/>
      <c r="H420" s="527"/>
      <c r="I420" s="527"/>
      <c r="J420" s="527"/>
      <c r="K420" s="527"/>
      <c r="L420" s="527"/>
      <c r="M420" s="527"/>
      <c r="N420" s="186"/>
      <c r="O420" s="531"/>
      <c r="P420" s="532"/>
      <c r="Q420" s="532"/>
      <c r="R420" s="532"/>
      <c r="S420" s="532"/>
      <c r="T420" s="532"/>
      <c r="U420" s="532"/>
      <c r="V420" s="532"/>
      <c r="W420" s="532"/>
      <c r="X420" s="532"/>
      <c r="Y420" s="532"/>
      <c r="Z420" s="533"/>
      <c r="AA420" s="128"/>
      <c r="AB420" s="128"/>
      <c r="AC420" s="527"/>
      <c r="AD420" s="527"/>
      <c r="AE420" s="527"/>
      <c r="AF420" s="527"/>
      <c r="AG420" s="527"/>
      <c r="AH420" s="527"/>
      <c r="AI420" s="527"/>
      <c r="AJ420" s="527"/>
      <c r="AK420" s="527"/>
      <c r="AL420" s="527"/>
      <c r="AM420" s="527"/>
      <c r="AN420" s="527"/>
      <c r="AO420" s="128"/>
      <c r="AP420" s="531"/>
      <c r="AQ420" s="532"/>
      <c r="AR420" s="532"/>
      <c r="AS420" s="532"/>
      <c r="AT420" s="532"/>
      <c r="AU420" s="532"/>
      <c r="AV420" s="532"/>
      <c r="AW420" s="532"/>
      <c r="AX420" s="532"/>
      <c r="AY420" s="532"/>
      <c r="AZ420" s="532"/>
      <c r="BA420" s="533"/>
      <c r="BB420" s="128"/>
      <c r="BC420" s="115"/>
      <c r="BD420" s="115"/>
      <c r="BE420" s="115"/>
      <c r="BF420" s="115"/>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83"/>
      <c r="CN420" s="83"/>
      <c r="CO420" s="83"/>
      <c r="CP420" s="83"/>
      <c r="CQ420" s="83"/>
      <c r="CR420" s="83"/>
      <c r="CS420" s="83"/>
      <c r="CT420" s="83"/>
      <c r="CU420" s="83"/>
      <c r="CV420" s="83"/>
      <c r="CW420" s="83"/>
      <c r="CX420" s="83"/>
      <c r="CY420" s="83"/>
      <c r="CZ420" s="83"/>
      <c r="DA420" s="83"/>
      <c r="DB420" s="83"/>
      <c r="DC420" s="83"/>
      <c r="DD420" s="83"/>
      <c r="DE420" s="83"/>
      <c r="DF420" s="115"/>
      <c r="DG420" s="115"/>
    </row>
    <row r="421" spans="1:111" ht="4.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8"/>
      <c r="AM421" s="128"/>
      <c r="AN421" s="128"/>
      <c r="AO421" s="128"/>
      <c r="AP421" s="128"/>
      <c r="AQ421" s="128"/>
      <c r="AR421" s="128"/>
      <c r="AS421" s="128"/>
      <c r="AT421" s="128"/>
      <c r="AU421" s="128"/>
      <c r="AV421" s="128"/>
      <c r="AW421" s="128"/>
      <c r="AX421" s="128"/>
      <c r="AY421" s="128"/>
      <c r="AZ421" s="128"/>
      <c r="BA421" s="128"/>
      <c r="BB421" s="128"/>
      <c r="BC421" s="115"/>
      <c r="BD421" s="115"/>
      <c r="BE421" s="115"/>
      <c r="BF421" s="115"/>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c r="CC421" s="83"/>
      <c r="CD421" s="83"/>
      <c r="CE421" s="83"/>
      <c r="CF421" s="83"/>
      <c r="CG421" s="83"/>
      <c r="CH421" s="83"/>
      <c r="CI421" s="83"/>
      <c r="CJ421" s="83"/>
      <c r="CK421" s="83"/>
      <c r="CL421" s="83"/>
      <c r="CM421" s="83"/>
      <c r="CN421" s="83"/>
      <c r="CO421" s="83"/>
      <c r="CP421" s="83"/>
      <c r="CQ421" s="83"/>
      <c r="CR421" s="83"/>
      <c r="CS421" s="83"/>
      <c r="CT421" s="83"/>
      <c r="CU421" s="83"/>
      <c r="CV421" s="83"/>
      <c r="CW421" s="83"/>
      <c r="CX421" s="83"/>
      <c r="CY421" s="83"/>
      <c r="CZ421" s="83"/>
      <c r="DA421" s="83"/>
      <c r="DB421" s="83"/>
      <c r="DC421" s="83"/>
      <c r="DD421" s="83"/>
      <c r="DE421" s="83"/>
      <c r="DF421" s="115"/>
      <c r="DG421" s="115"/>
    </row>
    <row r="422" spans="1:111" ht="9" customHeight="1">
      <c r="A422" s="128"/>
      <c r="B422" s="527" t="s">
        <v>450</v>
      </c>
      <c r="C422" s="527"/>
      <c r="D422" s="527"/>
      <c r="E422" s="527"/>
      <c r="F422" s="527"/>
      <c r="G422" s="527"/>
      <c r="H422" s="527"/>
      <c r="I422" s="527"/>
      <c r="J422" s="527"/>
      <c r="K422" s="527"/>
      <c r="L422" s="527"/>
      <c r="M422" s="527"/>
      <c r="N422" s="186"/>
      <c r="O422" s="528"/>
      <c r="P422" s="529"/>
      <c r="Q422" s="529"/>
      <c r="R422" s="529"/>
      <c r="S422" s="529"/>
      <c r="T422" s="529"/>
      <c r="U422" s="529"/>
      <c r="V422" s="529"/>
      <c r="W422" s="529"/>
      <c r="X422" s="529"/>
      <c r="Y422" s="529"/>
      <c r="Z422" s="530"/>
      <c r="AA422" s="128"/>
      <c r="AB422" s="128"/>
      <c r="AC422" s="527" t="s">
        <v>451</v>
      </c>
      <c r="AD422" s="527"/>
      <c r="AE422" s="527"/>
      <c r="AF422" s="527"/>
      <c r="AG422" s="527"/>
      <c r="AH422" s="527"/>
      <c r="AI422" s="527"/>
      <c r="AJ422" s="527"/>
      <c r="AK422" s="527"/>
      <c r="AL422" s="527"/>
      <c r="AM422" s="527"/>
      <c r="AN422" s="527"/>
      <c r="AO422" s="128"/>
      <c r="AP422" s="528"/>
      <c r="AQ422" s="529"/>
      <c r="AR422" s="529"/>
      <c r="AS422" s="529"/>
      <c r="AT422" s="529"/>
      <c r="AU422" s="529"/>
      <c r="AV422" s="529"/>
      <c r="AW422" s="529"/>
      <c r="AX422" s="529"/>
      <c r="AY422" s="529"/>
      <c r="AZ422" s="529"/>
      <c r="BA422" s="530"/>
      <c r="BB422" s="128"/>
      <c r="BC422" s="115"/>
      <c r="BD422" s="115"/>
      <c r="BE422" s="115"/>
      <c r="BF422" s="115"/>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c r="CC422" s="83"/>
      <c r="CD422" s="83"/>
      <c r="CE422" s="83"/>
      <c r="CF422" s="83"/>
      <c r="CG422" s="83"/>
      <c r="CH422" s="83"/>
      <c r="CI422" s="83"/>
      <c r="CJ422" s="83"/>
      <c r="CK422" s="83"/>
      <c r="CL422" s="83"/>
      <c r="CM422" s="83"/>
      <c r="CN422" s="83"/>
      <c r="CO422" s="83"/>
      <c r="CP422" s="83"/>
      <c r="CQ422" s="83"/>
      <c r="CR422" s="83"/>
      <c r="CS422" s="83"/>
      <c r="CT422" s="83"/>
      <c r="CU422" s="83"/>
      <c r="CV422" s="83"/>
      <c r="CW422" s="83"/>
      <c r="CX422" s="83"/>
      <c r="CY422" s="83"/>
      <c r="CZ422" s="83"/>
      <c r="DA422" s="83"/>
      <c r="DB422" s="83"/>
      <c r="DC422" s="83"/>
      <c r="DD422" s="83"/>
      <c r="DE422" s="83"/>
      <c r="DF422" s="115"/>
      <c r="DG422" s="115"/>
    </row>
    <row r="423" spans="1:111" ht="9" customHeight="1">
      <c r="A423" s="128"/>
      <c r="B423" s="527"/>
      <c r="C423" s="527"/>
      <c r="D423" s="527"/>
      <c r="E423" s="527"/>
      <c r="F423" s="527"/>
      <c r="G423" s="527"/>
      <c r="H423" s="527"/>
      <c r="I423" s="527"/>
      <c r="J423" s="527"/>
      <c r="K423" s="527"/>
      <c r="L423" s="527"/>
      <c r="M423" s="527"/>
      <c r="N423" s="186"/>
      <c r="O423" s="531"/>
      <c r="P423" s="532"/>
      <c r="Q423" s="532"/>
      <c r="R423" s="532"/>
      <c r="S423" s="532"/>
      <c r="T423" s="532"/>
      <c r="U423" s="532"/>
      <c r="V423" s="532"/>
      <c r="W423" s="532"/>
      <c r="X423" s="532"/>
      <c r="Y423" s="532"/>
      <c r="Z423" s="533"/>
      <c r="AA423" s="128"/>
      <c r="AB423" s="128"/>
      <c r="AC423" s="527"/>
      <c r="AD423" s="527"/>
      <c r="AE423" s="527"/>
      <c r="AF423" s="527"/>
      <c r="AG423" s="527"/>
      <c r="AH423" s="527"/>
      <c r="AI423" s="527"/>
      <c r="AJ423" s="527"/>
      <c r="AK423" s="527"/>
      <c r="AL423" s="527"/>
      <c r="AM423" s="527"/>
      <c r="AN423" s="527"/>
      <c r="AO423" s="128"/>
      <c r="AP423" s="531"/>
      <c r="AQ423" s="532"/>
      <c r="AR423" s="532"/>
      <c r="AS423" s="532"/>
      <c r="AT423" s="532"/>
      <c r="AU423" s="532"/>
      <c r="AV423" s="532"/>
      <c r="AW423" s="532"/>
      <c r="AX423" s="532"/>
      <c r="AY423" s="532"/>
      <c r="AZ423" s="532"/>
      <c r="BA423" s="533"/>
      <c r="BB423" s="128"/>
      <c r="BC423" s="115"/>
      <c r="BD423" s="115"/>
      <c r="BE423" s="115"/>
      <c r="BF423" s="115"/>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c r="CG423" s="83"/>
      <c r="CH423" s="83"/>
      <c r="CI423" s="83"/>
      <c r="CJ423" s="83"/>
      <c r="CK423" s="83"/>
      <c r="CL423" s="83"/>
      <c r="CM423" s="83"/>
      <c r="CN423" s="83"/>
      <c r="CO423" s="83"/>
      <c r="CP423" s="83"/>
      <c r="CQ423" s="83"/>
      <c r="CR423" s="83"/>
      <c r="CS423" s="83"/>
      <c r="CT423" s="83"/>
      <c r="CU423" s="83"/>
      <c r="CV423" s="83"/>
      <c r="CW423" s="83"/>
      <c r="CX423" s="83"/>
      <c r="CY423" s="83"/>
      <c r="CZ423" s="83"/>
      <c r="DA423" s="83"/>
      <c r="DB423" s="83"/>
      <c r="DC423" s="83"/>
      <c r="DD423" s="83"/>
      <c r="DE423" s="83"/>
      <c r="DF423" s="115"/>
      <c r="DG423" s="115"/>
    </row>
    <row r="424" spans="1:111" ht="4.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15"/>
      <c r="BD424" s="115"/>
      <c r="BE424" s="115"/>
      <c r="BF424" s="115"/>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c r="CC424" s="83"/>
      <c r="CD424" s="83"/>
      <c r="CE424" s="83"/>
      <c r="CF424" s="83"/>
      <c r="CG424" s="83"/>
      <c r="CH424" s="83"/>
      <c r="CI424" s="83"/>
      <c r="CJ424" s="83"/>
      <c r="CK424" s="83"/>
      <c r="CL424" s="83"/>
      <c r="CM424" s="83"/>
      <c r="CN424" s="83"/>
      <c r="CO424" s="83"/>
      <c r="CP424" s="83"/>
      <c r="CQ424" s="83"/>
      <c r="CR424" s="83"/>
      <c r="CS424" s="83"/>
      <c r="CT424" s="83"/>
      <c r="CU424" s="83"/>
      <c r="CV424" s="83"/>
      <c r="CW424" s="83"/>
      <c r="CX424" s="83"/>
      <c r="CY424" s="83"/>
      <c r="CZ424" s="83"/>
      <c r="DA424" s="83"/>
      <c r="DB424" s="83"/>
      <c r="DC424" s="83"/>
      <c r="DD424" s="83"/>
      <c r="DE424" s="83"/>
      <c r="DF424" s="115"/>
      <c r="DG424" s="115"/>
    </row>
    <row r="425" spans="1:111" ht="9" customHeight="1">
      <c r="A425" s="128"/>
      <c r="B425" s="527" t="s">
        <v>452</v>
      </c>
      <c r="C425" s="527"/>
      <c r="D425" s="527"/>
      <c r="E425" s="527"/>
      <c r="F425" s="527"/>
      <c r="G425" s="527"/>
      <c r="H425" s="527"/>
      <c r="I425" s="527"/>
      <c r="J425" s="527"/>
      <c r="K425" s="527"/>
      <c r="L425" s="527"/>
      <c r="M425" s="527"/>
      <c r="N425" s="186"/>
      <c r="O425" s="546"/>
      <c r="P425" s="547"/>
      <c r="Q425" s="547"/>
      <c r="R425" s="547"/>
      <c r="S425" s="547"/>
      <c r="T425" s="547"/>
      <c r="U425" s="547"/>
      <c r="V425" s="547"/>
      <c r="W425" s="547"/>
      <c r="X425" s="547"/>
      <c r="Y425" s="547"/>
      <c r="Z425" s="547"/>
      <c r="AA425" s="547"/>
      <c r="AB425" s="547"/>
      <c r="AC425" s="547"/>
      <c r="AD425" s="547"/>
      <c r="AE425" s="547"/>
      <c r="AF425" s="547"/>
      <c r="AG425" s="547"/>
      <c r="AH425" s="547"/>
      <c r="AI425" s="547"/>
      <c r="AJ425" s="547"/>
      <c r="AK425" s="547"/>
      <c r="AL425" s="547"/>
      <c r="AM425" s="547"/>
      <c r="AN425" s="547"/>
      <c r="AO425" s="547"/>
      <c r="AP425" s="547"/>
      <c r="AQ425" s="547"/>
      <c r="AR425" s="547"/>
      <c r="AS425" s="547"/>
      <c r="AT425" s="547"/>
      <c r="AU425" s="547"/>
      <c r="AV425" s="547"/>
      <c r="AW425" s="547"/>
      <c r="AX425" s="547"/>
      <c r="AY425" s="547"/>
      <c r="AZ425" s="547"/>
      <c r="BA425" s="548"/>
      <c r="BB425" s="128"/>
      <c r="BC425" s="115"/>
      <c r="BD425" s="115"/>
      <c r="BE425" s="115"/>
      <c r="BF425" s="115"/>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83"/>
      <c r="CN425" s="83"/>
      <c r="CO425" s="83"/>
      <c r="CP425" s="83"/>
      <c r="CQ425" s="83"/>
      <c r="CR425" s="83"/>
      <c r="CS425" s="83"/>
      <c r="CT425" s="83"/>
      <c r="CU425" s="83"/>
      <c r="CV425" s="83"/>
      <c r="CW425" s="83"/>
      <c r="CX425" s="83"/>
      <c r="CY425" s="83"/>
      <c r="CZ425" s="83"/>
      <c r="DA425" s="83"/>
      <c r="DB425" s="83"/>
      <c r="DC425" s="83"/>
      <c r="DD425" s="83"/>
      <c r="DE425" s="83"/>
      <c r="DF425" s="115"/>
      <c r="DG425" s="115"/>
    </row>
    <row r="426" spans="1:111" ht="9" customHeight="1">
      <c r="A426" s="128"/>
      <c r="B426" s="527"/>
      <c r="C426" s="527"/>
      <c r="D426" s="527"/>
      <c r="E426" s="527"/>
      <c r="F426" s="527"/>
      <c r="G426" s="527"/>
      <c r="H426" s="527"/>
      <c r="I426" s="527"/>
      <c r="J426" s="527"/>
      <c r="K426" s="527"/>
      <c r="L426" s="527"/>
      <c r="M426" s="527"/>
      <c r="N426" s="186"/>
      <c r="O426" s="549"/>
      <c r="P426" s="550"/>
      <c r="Q426" s="550"/>
      <c r="R426" s="550"/>
      <c r="S426" s="550"/>
      <c r="T426" s="550"/>
      <c r="U426" s="550"/>
      <c r="V426" s="550"/>
      <c r="W426" s="550"/>
      <c r="X426" s="550"/>
      <c r="Y426" s="550"/>
      <c r="Z426" s="550"/>
      <c r="AA426" s="550"/>
      <c r="AB426" s="550"/>
      <c r="AC426" s="550"/>
      <c r="AD426" s="550"/>
      <c r="AE426" s="550"/>
      <c r="AF426" s="550"/>
      <c r="AG426" s="550"/>
      <c r="AH426" s="550"/>
      <c r="AI426" s="550"/>
      <c r="AJ426" s="550"/>
      <c r="AK426" s="550"/>
      <c r="AL426" s="550"/>
      <c r="AM426" s="550"/>
      <c r="AN426" s="550"/>
      <c r="AO426" s="550"/>
      <c r="AP426" s="550"/>
      <c r="AQ426" s="550"/>
      <c r="AR426" s="550"/>
      <c r="AS426" s="550"/>
      <c r="AT426" s="550"/>
      <c r="AU426" s="550"/>
      <c r="AV426" s="550"/>
      <c r="AW426" s="550"/>
      <c r="AX426" s="550"/>
      <c r="AY426" s="550"/>
      <c r="AZ426" s="550"/>
      <c r="BA426" s="551"/>
      <c r="BB426" s="128"/>
      <c r="BC426" s="115"/>
      <c r="BD426" s="115"/>
      <c r="BE426" s="115"/>
      <c r="BF426" s="115"/>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c r="CC426" s="83"/>
      <c r="CD426" s="83"/>
      <c r="CE426" s="83"/>
      <c r="CF426" s="83"/>
      <c r="CG426" s="83"/>
      <c r="CH426" s="83"/>
      <c r="CI426" s="83"/>
      <c r="CJ426" s="83"/>
      <c r="CK426" s="83"/>
      <c r="CL426" s="83"/>
      <c r="CM426" s="83"/>
      <c r="CN426" s="83"/>
      <c r="CO426" s="83"/>
      <c r="CP426" s="83"/>
      <c r="CQ426" s="83"/>
      <c r="CR426" s="83"/>
      <c r="CS426" s="83"/>
      <c r="CT426" s="83"/>
      <c r="CU426" s="83"/>
      <c r="CV426" s="83"/>
      <c r="CW426" s="83"/>
      <c r="CX426" s="83"/>
      <c r="CY426" s="83"/>
      <c r="CZ426" s="83"/>
      <c r="DA426" s="83"/>
      <c r="DB426" s="83"/>
      <c r="DC426" s="83"/>
      <c r="DD426" s="83"/>
      <c r="DE426" s="83"/>
      <c r="DF426" s="115"/>
      <c r="DG426" s="115"/>
    </row>
    <row r="427" spans="1:111" ht="9" customHeight="1">
      <c r="A427" s="128"/>
      <c r="B427" s="187"/>
      <c r="C427" s="187"/>
      <c r="D427" s="187"/>
      <c r="E427" s="187"/>
      <c r="F427" s="187"/>
      <c r="G427" s="187"/>
      <c r="H427" s="187"/>
      <c r="I427" s="188"/>
      <c r="J427" s="187"/>
      <c r="K427" s="187"/>
      <c r="L427" s="187"/>
      <c r="M427" s="187"/>
      <c r="N427" s="128"/>
      <c r="O427" s="549"/>
      <c r="P427" s="550"/>
      <c r="Q427" s="550"/>
      <c r="R427" s="550"/>
      <c r="S427" s="550"/>
      <c r="T427" s="550"/>
      <c r="U427" s="550"/>
      <c r="V427" s="550"/>
      <c r="W427" s="550"/>
      <c r="X427" s="550"/>
      <c r="Y427" s="550"/>
      <c r="Z427" s="550"/>
      <c r="AA427" s="550"/>
      <c r="AB427" s="550"/>
      <c r="AC427" s="550"/>
      <c r="AD427" s="550"/>
      <c r="AE427" s="550"/>
      <c r="AF427" s="550"/>
      <c r="AG427" s="550"/>
      <c r="AH427" s="550"/>
      <c r="AI427" s="550"/>
      <c r="AJ427" s="550"/>
      <c r="AK427" s="550"/>
      <c r="AL427" s="550"/>
      <c r="AM427" s="550"/>
      <c r="AN427" s="550"/>
      <c r="AO427" s="550"/>
      <c r="AP427" s="550"/>
      <c r="AQ427" s="550"/>
      <c r="AR427" s="550"/>
      <c r="AS427" s="550"/>
      <c r="AT427" s="550"/>
      <c r="AU427" s="550"/>
      <c r="AV427" s="550"/>
      <c r="AW427" s="550"/>
      <c r="AX427" s="550"/>
      <c r="AY427" s="550"/>
      <c r="AZ427" s="550"/>
      <c r="BA427" s="551"/>
      <c r="BB427" s="128"/>
      <c r="BC427" s="115"/>
      <c r="BD427" s="115"/>
      <c r="BE427" s="115"/>
      <c r="BF427" s="115"/>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c r="CC427" s="83"/>
      <c r="CD427" s="83"/>
      <c r="CE427" s="83"/>
      <c r="CF427" s="83"/>
      <c r="CG427" s="83"/>
      <c r="CH427" s="83"/>
      <c r="CI427" s="83"/>
      <c r="CJ427" s="83"/>
      <c r="CK427" s="83"/>
      <c r="CL427" s="83"/>
      <c r="CM427" s="83"/>
      <c r="CN427" s="83"/>
      <c r="CO427" s="83"/>
      <c r="CP427" s="83"/>
      <c r="CQ427" s="83"/>
      <c r="CR427" s="83"/>
      <c r="CS427" s="83"/>
      <c r="CT427" s="83"/>
      <c r="CU427" s="83"/>
      <c r="CV427" s="83"/>
      <c r="CW427" s="83"/>
      <c r="CX427" s="83"/>
      <c r="CY427" s="83"/>
      <c r="CZ427" s="83"/>
      <c r="DA427" s="83"/>
      <c r="DB427" s="83"/>
      <c r="DC427" s="83"/>
      <c r="DD427" s="83"/>
      <c r="DE427" s="83"/>
      <c r="DF427" s="115"/>
      <c r="DG427" s="115"/>
    </row>
    <row r="428" spans="1:111" ht="9" customHeight="1">
      <c r="A428" s="128"/>
      <c r="B428" s="187"/>
      <c r="C428" s="187"/>
      <c r="D428" s="187"/>
      <c r="E428" s="187"/>
      <c r="F428" s="187"/>
      <c r="G428" s="187"/>
      <c r="H428" s="187"/>
      <c r="I428" s="188"/>
      <c r="J428" s="187"/>
      <c r="K428" s="187"/>
      <c r="L428" s="187"/>
      <c r="M428" s="187"/>
      <c r="N428" s="128"/>
      <c r="O428" s="552"/>
      <c r="P428" s="553"/>
      <c r="Q428" s="553"/>
      <c r="R428" s="553"/>
      <c r="S428" s="553"/>
      <c r="T428" s="553"/>
      <c r="U428" s="553"/>
      <c r="V428" s="553"/>
      <c r="W428" s="553"/>
      <c r="X428" s="553"/>
      <c r="Y428" s="553"/>
      <c r="Z428" s="553"/>
      <c r="AA428" s="553"/>
      <c r="AB428" s="553"/>
      <c r="AC428" s="553"/>
      <c r="AD428" s="553"/>
      <c r="AE428" s="553"/>
      <c r="AF428" s="553"/>
      <c r="AG428" s="553"/>
      <c r="AH428" s="553"/>
      <c r="AI428" s="553"/>
      <c r="AJ428" s="553"/>
      <c r="AK428" s="553"/>
      <c r="AL428" s="553"/>
      <c r="AM428" s="553"/>
      <c r="AN428" s="553"/>
      <c r="AO428" s="553"/>
      <c r="AP428" s="553"/>
      <c r="AQ428" s="553"/>
      <c r="AR428" s="553"/>
      <c r="AS428" s="553"/>
      <c r="AT428" s="553"/>
      <c r="AU428" s="553"/>
      <c r="AV428" s="553"/>
      <c r="AW428" s="553"/>
      <c r="AX428" s="553"/>
      <c r="AY428" s="553"/>
      <c r="AZ428" s="553"/>
      <c r="BA428" s="554"/>
      <c r="BB428" s="128"/>
      <c r="BC428" s="115"/>
      <c r="BD428" s="115"/>
      <c r="BE428" s="115"/>
      <c r="BF428" s="115"/>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83"/>
      <c r="CN428" s="83"/>
      <c r="CO428" s="83"/>
      <c r="CP428" s="83"/>
      <c r="CQ428" s="83"/>
      <c r="CR428" s="83"/>
      <c r="CS428" s="83"/>
      <c r="CT428" s="83"/>
      <c r="CU428" s="83"/>
      <c r="CV428" s="83"/>
      <c r="CW428" s="83"/>
      <c r="CX428" s="83"/>
      <c r="CY428" s="83"/>
      <c r="CZ428" s="83"/>
      <c r="DA428" s="83"/>
      <c r="DB428" s="83"/>
      <c r="DC428" s="83"/>
      <c r="DD428" s="83"/>
      <c r="DE428" s="83"/>
      <c r="DF428" s="115"/>
      <c r="DG428" s="115"/>
    </row>
    <row r="429" spans="1:111" ht="4.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15"/>
      <c r="BD429" s="115"/>
      <c r="BE429" s="115"/>
      <c r="BF429" s="115"/>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c r="CC429" s="83"/>
      <c r="CD429" s="83"/>
      <c r="CE429" s="83"/>
      <c r="CF429" s="83"/>
      <c r="CG429" s="83"/>
      <c r="CH429" s="83"/>
      <c r="CI429" s="83"/>
      <c r="CJ429" s="83"/>
      <c r="CK429" s="83"/>
      <c r="CL429" s="83"/>
      <c r="CM429" s="83"/>
      <c r="CN429" s="83"/>
      <c r="CO429" s="83"/>
      <c r="CP429" s="83"/>
      <c r="CQ429" s="83"/>
      <c r="CR429" s="83"/>
      <c r="CS429" s="83"/>
      <c r="CT429" s="83"/>
      <c r="CU429" s="83"/>
      <c r="CV429" s="83"/>
      <c r="CW429" s="83"/>
      <c r="CX429" s="83"/>
      <c r="CY429" s="83"/>
      <c r="CZ429" s="83"/>
      <c r="DA429" s="83"/>
      <c r="DB429" s="83"/>
      <c r="DC429" s="83"/>
      <c r="DD429" s="83"/>
      <c r="DE429" s="83"/>
      <c r="DF429" s="115"/>
      <c r="DG429" s="115"/>
    </row>
    <row r="430" spans="1:111" ht="9" customHeight="1">
      <c r="A430" s="128"/>
      <c r="B430" s="527" t="s">
        <v>453</v>
      </c>
      <c r="C430" s="527"/>
      <c r="D430" s="527"/>
      <c r="E430" s="527"/>
      <c r="F430" s="527"/>
      <c r="G430" s="527"/>
      <c r="H430" s="527"/>
      <c r="I430" s="527"/>
      <c r="J430" s="527"/>
      <c r="K430" s="527"/>
      <c r="L430" s="527"/>
      <c r="M430" s="527"/>
      <c r="N430" s="186"/>
      <c r="O430" s="546"/>
      <c r="P430" s="547"/>
      <c r="Q430" s="547"/>
      <c r="R430" s="547"/>
      <c r="S430" s="547"/>
      <c r="T430" s="547"/>
      <c r="U430" s="547"/>
      <c r="V430" s="547"/>
      <c r="W430" s="547"/>
      <c r="X430" s="547"/>
      <c r="Y430" s="547"/>
      <c r="Z430" s="547"/>
      <c r="AA430" s="547"/>
      <c r="AB430" s="547"/>
      <c r="AC430" s="547"/>
      <c r="AD430" s="547"/>
      <c r="AE430" s="547"/>
      <c r="AF430" s="547"/>
      <c r="AG430" s="547"/>
      <c r="AH430" s="547"/>
      <c r="AI430" s="547"/>
      <c r="AJ430" s="547"/>
      <c r="AK430" s="547"/>
      <c r="AL430" s="547"/>
      <c r="AM430" s="547"/>
      <c r="AN430" s="547"/>
      <c r="AO430" s="547"/>
      <c r="AP430" s="547"/>
      <c r="AQ430" s="547"/>
      <c r="AR430" s="547"/>
      <c r="AS430" s="547"/>
      <c r="AT430" s="547"/>
      <c r="AU430" s="547"/>
      <c r="AV430" s="547"/>
      <c r="AW430" s="547"/>
      <c r="AX430" s="547"/>
      <c r="AY430" s="547"/>
      <c r="AZ430" s="547"/>
      <c r="BA430" s="548"/>
      <c r="BB430" s="128"/>
      <c r="BC430" s="115"/>
      <c r="BD430" s="115"/>
      <c r="BE430" s="115"/>
      <c r="BF430" s="115"/>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c r="CC430" s="83"/>
      <c r="CD430" s="83"/>
      <c r="CE430" s="83"/>
      <c r="CF430" s="83"/>
      <c r="CG430" s="83"/>
      <c r="CH430" s="83"/>
      <c r="CI430" s="83"/>
      <c r="CJ430" s="83"/>
      <c r="CK430" s="83"/>
      <c r="CL430" s="83"/>
      <c r="CM430" s="83"/>
      <c r="CN430" s="83"/>
      <c r="CO430" s="83"/>
      <c r="CP430" s="83"/>
      <c r="CQ430" s="83"/>
      <c r="CR430" s="83"/>
      <c r="CS430" s="83"/>
      <c r="CT430" s="83"/>
      <c r="CU430" s="83"/>
      <c r="CV430" s="83"/>
      <c r="CW430" s="83"/>
      <c r="CX430" s="83"/>
      <c r="CY430" s="83"/>
      <c r="CZ430" s="83"/>
      <c r="DA430" s="83"/>
      <c r="DB430" s="83"/>
      <c r="DC430" s="83"/>
      <c r="DD430" s="83"/>
      <c r="DE430" s="83"/>
      <c r="DF430" s="115"/>
      <c r="DG430" s="115"/>
    </row>
    <row r="431" spans="1:111" ht="9" customHeight="1">
      <c r="A431" s="128"/>
      <c r="B431" s="527"/>
      <c r="C431" s="527"/>
      <c r="D431" s="527"/>
      <c r="E431" s="527"/>
      <c r="F431" s="527"/>
      <c r="G431" s="527"/>
      <c r="H431" s="527"/>
      <c r="I431" s="527"/>
      <c r="J431" s="527"/>
      <c r="K431" s="527"/>
      <c r="L431" s="527"/>
      <c r="M431" s="527"/>
      <c r="N431" s="186"/>
      <c r="O431" s="549"/>
      <c r="P431" s="550"/>
      <c r="Q431" s="550"/>
      <c r="R431" s="550"/>
      <c r="S431" s="550"/>
      <c r="T431" s="550"/>
      <c r="U431" s="550"/>
      <c r="V431" s="550"/>
      <c r="W431" s="550"/>
      <c r="X431" s="550"/>
      <c r="Y431" s="550"/>
      <c r="Z431" s="550"/>
      <c r="AA431" s="550"/>
      <c r="AB431" s="550"/>
      <c r="AC431" s="550"/>
      <c r="AD431" s="550"/>
      <c r="AE431" s="550"/>
      <c r="AF431" s="550"/>
      <c r="AG431" s="550"/>
      <c r="AH431" s="550"/>
      <c r="AI431" s="550"/>
      <c r="AJ431" s="550"/>
      <c r="AK431" s="550"/>
      <c r="AL431" s="550"/>
      <c r="AM431" s="550"/>
      <c r="AN431" s="550"/>
      <c r="AO431" s="550"/>
      <c r="AP431" s="550"/>
      <c r="AQ431" s="550"/>
      <c r="AR431" s="550"/>
      <c r="AS431" s="550"/>
      <c r="AT431" s="550"/>
      <c r="AU431" s="550"/>
      <c r="AV431" s="550"/>
      <c r="AW431" s="550"/>
      <c r="AX431" s="550"/>
      <c r="AY431" s="550"/>
      <c r="AZ431" s="550"/>
      <c r="BA431" s="551"/>
      <c r="BB431" s="128"/>
      <c r="BC431" s="115"/>
      <c r="BD431" s="115"/>
      <c r="BE431" s="115"/>
      <c r="BF431" s="115"/>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c r="CC431" s="83"/>
      <c r="CD431" s="83"/>
      <c r="CE431" s="83"/>
      <c r="CF431" s="83"/>
      <c r="CG431" s="83"/>
      <c r="CH431" s="83"/>
      <c r="CI431" s="83"/>
      <c r="CJ431" s="83"/>
      <c r="CK431" s="83"/>
      <c r="CL431" s="83"/>
      <c r="CM431" s="83"/>
      <c r="CN431" s="83"/>
      <c r="CO431" s="83"/>
      <c r="CP431" s="83"/>
      <c r="CQ431" s="83"/>
      <c r="CR431" s="83"/>
      <c r="CS431" s="83"/>
      <c r="CT431" s="83"/>
      <c r="CU431" s="83"/>
      <c r="CV431" s="83"/>
      <c r="CW431" s="83"/>
      <c r="CX431" s="83"/>
      <c r="CY431" s="83"/>
      <c r="CZ431" s="83"/>
      <c r="DA431" s="83"/>
      <c r="DB431" s="83"/>
      <c r="DC431" s="83"/>
      <c r="DD431" s="83"/>
      <c r="DE431" s="83"/>
      <c r="DF431" s="115"/>
      <c r="DG431" s="115"/>
    </row>
    <row r="432" spans="1:111" ht="9" customHeight="1">
      <c r="A432" s="128"/>
      <c r="B432" s="187"/>
      <c r="C432" s="187"/>
      <c r="D432" s="187"/>
      <c r="E432" s="187"/>
      <c r="F432" s="187"/>
      <c r="G432" s="187"/>
      <c r="H432" s="187"/>
      <c r="I432" s="188"/>
      <c r="J432" s="187"/>
      <c r="K432" s="187"/>
      <c r="L432" s="187"/>
      <c r="M432" s="187"/>
      <c r="N432" s="128"/>
      <c r="O432" s="549"/>
      <c r="P432" s="550"/>
      <c r="Q432" s="550"/>
      <c r="R432" s="550"/>
      <c r="S432" s="550"/>
      <c r="T432" s="550"/>
      <c r="U432" s="550"/>
      <c r="V432" s="550"/>
      <c r="W432" s="550"/>
      <c r="X432" s="550"/>
      <c r="Y432" s="550"/>
      <c r="Z432" s="550"/>
      <c r="AA432" s="550"/>
      <c r="AB432" s="550"/>
      <c r="AC432" s="550"/>
      <c r="AD432" s="550"/>
      <c r="AE432" s="550"/>
      <c r="AF432" s="550"/>
      <c r="AG432" s="550"/>
      <c r="AH432" s="550"/>
      <c r="AI432" s="550"/>
      <c r="AJ432" s="550"/>
      <c r="AK432" s="550"/>
      <c r="AL432" s="550"/>
      <c r="AM432" s="550"/>
      <c r="AN432" s="550"/>
      <c r="AO432" s="550"/>
      <c r="AP432" s="550"/>
      <c r="AQ432" s="550"/>
      <c r="AR432" s="550"/>
      <c r="AS432" s="550"/>
      <c r="AT432" s="550"/>
      <c r="AU432" s="550"/>
      <c r="AV432" s="550"/>
      <c r="AW432" s="550"/>
      <c r="AX432" s="550"/>
      <c r="AY432" s="550"/>
      <c r="AZ432" s="550"/>
      <c r="BA432" s="551"/>
      <c r="BB432" s="128"/>
      <c r="BC432" s="115"/>
      <c r="BD432" s="115"/>
      <c r="BE432" s="115"/>
      <c r="BF432" s="115"/>
      <c r="BG432" s="83"/>
      <c r="BH432" s="83"/>
      <c r="BI432" s="83"/>
      <c r="BJ432" s="83"/>
      <c r="BK432" s="83"/>
      <c r="BL432" s="83"/>
      <c r="BM432" s="83"/>
      <c r="BN432" s="83"/>
      <c r="BO432" s="83"/>
      <c r="BP432" s="83"/>
      <c r="BQ432" s="83"/>
      <c r="BR432" s="83"/>
      <c r="BS432" s="83"/>
      <c r="BT432" s="83"/>
      <c r="BU432" s="83"/>
      <c r="BV432" s="83"/>
      <c r="BW432" s="83"/>
      <c r="BX432" s="83"/>
      <c r="BY432" s="83"/>
      <c r="BZ432" s="83"/>
      <c r="CA432" s="83"/>
      <c r="CB432" s="83"/>
      <c r="CC432" s="83"/>
      <c r="CD432" s="83"/>
      <c r="CE432" s="83"/>
      <c r="CF432" s="83"/>
      <c r="CG432" s="83"/>
      <c r="CH432" s="83"/>
      <c r="CI432" s="83"/>
      <c r="CJ432" s="83"/>
      <c r="CK432" s="83"/>
      <c r="CL432" s="83"/>
      <c r="CM432" s="83"/>
      <c r="CN432" s="83"/>
      <c r="CO432" s="83"/>
      <c r="CP432" s="83"/>
      <c r="CQ432" s="83"/>
      <c r="CR432" s="83"/>
      <c r="CS432" s="83"/>
      <c r="CT432" s="83"/>
      <c r="CU432" s="83"/>
      <c r="CV432" s="83"/>
      <c r="CW432" s="83"/>
      <c r="CX432" s="83"/>
      <c r="CY432" s="83"/>
      <c r="CZ432" s="83"/>
      <c r="DA432" s="83"/>
      <c r="DB432" s="83"/>
      <c r="DC432" s="83"/>
      <c r="DD432" s="83"/>
      <c r="DE432" s="83"/>
      <c r="DF432" s="115"/>
      <c r="DG432" s="115"/>
    </row>
    <row r="433" spans="1:111" ht="9" customHeight="1">
      <c r="A433" s="128"/>
      <c r="B433" s="187"/>
      <c r="C433" s="187"/>
      <c r="D433" s="187"/>
      <c r="E433" s="187"/>
      <c r="F433" s="187"/>
      <c r="G433" s="187"/>
      <c r="H433" s="187"/>
      <c r="I433" s="188"/>
      <c r="J433" s="187"/>
      <c r="K433" s="187"/>
      <c r="L433" s="187"/>
      <c r="M433" s="187"/>
      <c r="N433" s="128"/>
      <c r="O433" s="552"/>
      <c r="P433" s="553"/>
      <c r="Q433" s="553"/>
      <c r="R433" s="553"/>
      <c r="S433" s="553"/>
      <c r="T433" s="553"/>
      <c r="U433" s="553"/>
      <c r="V433" s="553"/>
      <c r="W433" s="553"/>
      <c r="X433" s="553"/>
      <c r="Y433" s="553"/>
      <c r="Z433" s="553"/>
      <c r="AA433" s="553"/>
      <c r="AB433" s="553"/>
      <c r="AC433" s="553"/>
      <c r="AD433" s="553"/>
      <c r="AE433" s="553"/>
      <c r="AF433" s="553"/>
      <c r="AG433" s="553"/>
      <c r="AH433" s="553"/>
      <c r="AI433" s="553"/>
      <c r="AJ433" s="553"/>
      <c r="AK433" s="553"/>
      <c r="AL433" s="553"/>
      <c r="AM433" s="553"/>
      <c r="AN433" s="553"/>
      <c r="AO433" s="553"/>
      <c r="AP433" s="553"/>
      <c r="AQ433" s="553"/>
      <c r="AR433" s="553"/>
      <c r="AS433" s="553"/>
      <c r="AT433" s="553"/>
      <c r="AU433" s="553"/>
      <c r="AV433" s="553"/>
      <c r="AW433" s="553"/>
      <c r="AX433" s="553"/>
      <c r="AY433" s="553"/>
      <c r="AZ433" s="553"/>
      <c r="BA433" s="554"/>
      <c r="BB433" s="128"/>
      <c r="BC433" s="115"/>
      <c r="BD433" s="115"/>
      <c r="BE433" s="115"/>
      <c r="BF433" s="115"/>
      <c r="BG433" s="83"/>
      <c r="BH433" s="83"/>
      <c r="BI433" s="83"/>
      <c r="BJ433" s="83"/>
      <c r="BK433" s="83"/>
      <c r="BL433" s="83"/>
      <c r="BM433" s="83"/>
      <c r="BN433" s="83"/>
      <c r="BO433" s="83"/>
      <c r="BP433" s="83"/>
      <c r="BQ433" s="83"/>
      <c r="BR433" s="83"/>
      <c r="BS433" s="83"/>
      <c r="BT433" s="83"/>
      <c r="BU433" s="83"/>
      <c r="BV433" s="83"/>
      <c r="BW433" s="83"/>
      <c r="BX433" s="83"/>
      <c r="BY433" s="83"/>
      <c r="BZ433" s="83"/>
      <c r="CA433" s="83"/>
      <c r="CB433" s="83"/>
      <c r="CC433" s="83"/>
      <c r="CD433" s="83"/>
      <c r="CE433" s="83"/>
      <c r="CF433" s="83"/>
      <c r="CG433" s="83"/>
      <c r="CH433" s="83"/>
      <c r="CI433" s="83"/>
      <c r="CJ433" s="83"/>
      <c r="CK433" s="83"/>
      <c r="CL433" s="83"/>
      <c r="CM433" s="83"/>
      <c r="CN433" s="83"/>
      <c r="CO433" s="83"/>
      <c r="CP433" s="83"/>
      <c r="CQ433" s="83"/>
      <c r="CR433" s="83"/>
      <c r="CS433" s="83"/>
      <c r="CT433" s="83"/>
      <c r="CU433" s="83"/>
      <c r="CV433" s="83"/>
      <c r="CW433" s="83"/>
      <c r="CX433" s="83"/>
      <c r="CY433" s="83"/>
      <c r="CZ433" s="83"/>
      <c r="DA433" s="83"/>
      <c r="DB433" s="83"/>
      <c r="DC433" s="83"/>
      <c r="DD433" s="83"/>
      <c r="DE433" s="83"/>
      <c r="DF433" s="115"/>
      <c r="DG433" s="115"/>
    </row>
    <row r="434" spans="1:111" ht="4.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15"/>
      <c r="BD434" s="115"/>
      <c r="BE434" s="115"/>
      <c r="BF434" s="115"/>
      <c r="BG434" s="83"/>
      <c r="BH434" s="83"/>
      <c r="BI434" s="83"/>
      <c r="BJ434" s="83"/>
      <c r="BK434" s="83"/>
      <c r="BL434" s="83"/>
      <c r="BM434" s="83"/>
      <c r="BN434" s="83"/>
      <c r="BO434" s="83"/>
      <c r="BP434" s="83"/>
      <c r="BQ434" s="83"/>
      <c r="BR434" s="83"/>
      <c r="BS434" s="83"/>
      <c r="BT434" s="83"/>
      <c r="BU434" s="83"/>
      <c r="BV434" s="83"/>
      <c r="BW434" s="83"/>
      <c r="BX434" s="83"/>
      <c r="BY434" s="83"/>
      <c r="BZ434" s="83"/>
      <c r="CA434" s="83"/>
      <c r="CB434" s="83"/>
      <c r="CC434" s="83"/>
      <c r="CD434" s="83"/>
      <c r="CE434" s="83"/>
      <c r="CF434" s="83"/>
      <c r="CG434" s="83"/>
      <c r="CH434" s="83"/>
      <c r="CI434" s="83"/>
      <c r="CJ434" s="83"/>
      <c r="CK434" s="83"/>
      <c r="CL434" s="83"/>
      <c r="CM434" s="83"/>
      <c r="CN434" s="83"/>
      <c r="CO434" s="83"/>
      <c r="CP434" s="83"/>
      <c r="CQ434" s="83"/>
      <c r="CR434" s="83"/>
      <c r="CS434" s="83"/>
      <c r="CT434" s="83"/>
      <c r="CU434" s="83"/>
      <c r="CV434" s="83"/>
      <c r="CW434" s="83"/>
      <c r="CX434" s="83"/>
      <c r="CY434" s="83"/>
      <c r="CZ434" s="83"/>
      <c r="DA434" s="83"/>
      <c r="DB434" s="83"/>
      <c r="DC434" s="83"/>
      <c r="DD434" s="83"/>
      <c r="DE434" s="83"/>
      <c r="DF434" s="115"/>
      <c r="DG434" s="115"/>
    </row>
    <row r="435" spans="1:111" ht="9" customHeight="1">
      <c r="A435" s="128"/>
      <c r="B435" s="527" t="s">
        <v>454</v>
      </c>
      <c r="C435" s="527"/>
      <c r="D435" s="527"/>
      <c r="E435" s="527"/>
      <c r="F435" s="527"/>
      <c r="G435" s="527"/>
      <c r="H435" s="527"/>
      <c r="I435" s="527"/>
      <c r="J435" s="527"/>
      <c r="K435" s="527"/>
      <c r="L435" s="527"/>
      <c r="M435" s="527"/>
      <c r="N435" s="186"/>
      <c r="O435" s="546"/>
      <c r="P435" s="547"/>
      <c r="Q435" s="547"/>
      <c r="R435" s="547"/>
      <c r="S435" s="547"/>
      <c r="T435" s="547"/>
      <c r="U435" s="547"/>
      <c r="V435" s="547"/>
      <c r="W435" s="547"/>
      <c r="X435" s="547"/>
      <c r="Y435" s="547"/>
      <c r="Z435" s="547"/>
      <c r="AA435" s="547"/>
      <c r="AB435" s="547"/>
      <c r="AC435" s="547"/>
      <c r="AD435" s="547"/>
      <c r="AE435" s="547"/>
      <c r="AF435" s="547"/>
      <c r="AG435" s="547"/>
      <c r="AH435" s="547"/>
      <c r="AI435" s="547"/>
      <c r="AJ435" s="547"/>
      <c r="AK435" s="547"/>
      <c r="AL435" s="547"/>
      <c r="AM435" s="547"/>
      <c r="AN435" s="547"/>
      <c r="AO435" s="547"/>
      <c r="AP435" s="547"/>
      <c r="AQ435" s="547"/>
      <c r="AR435" s="547"/>
      <c r="AS435" s="547"/>
      <c r="AT435" s="547"/>
      <c r="AU435" s="547"/>
      <c r="AV435" s="547"/>
      <c r="AW435" s="547"/>
      <c r="AX435" s="547"/>
      <c r="AY435" s="547"/>
      <c r="AZ435" s="547"/>
      <c r="BA435" s="548"/>
      <c r="BB435" s="128"/>
      <c r="BC435" s="115"/>
      <c r="BD435" s="115"/>
      <c r="BE435" s="115"/>
      <c r="BF435" s="115"/>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c r="CC435" s="83"/>
      <c r="CD435" s="83"/>
      <c r="CE435" s="83"/>
      <c r="CF435" s="83"/>
      <c r="CG435" s="83"/>
      <c r="CH435" s="83"/>
      <c r="CI435" s="83"/>
      <c r="CJ435" s="83"/>
      <c r="CK435" s="83"/>
      <c r="CL435" s="83"/>
      <c r="CM435" s="83"/>
      <c r="CN435" s="83"/>
      <c r="CO435" s="83"/>
      <c r="CP435" s="83"/>
      <c r="CQ435" s="83"/>
      <c r="CR435" s="83"/>
      <c r="CS435" s="83"/>
      <c r="CT435" s="83"/>
      <c r="CU435" s="83"/>
      <c r="CV435" s="83"/>
      <c r="CW435" s="83"/>
      <c r="CX435" s="83"/>
      <c r="CY435" s="83"/>
      <c r="CZ435" s="83"/>
      <c r="DA435" s="83"/>
      <c r="DB435" s="83"/>
      <c r="DC435" s="83"/>
      <c r="DD435" s="83"/>
      <c r="DE435" s="83"/>
      <c r="DF435" s="115"/>
      <c r="DG435" s="115"/>
    </row>
    <row r="436" spans="1:111" ht="9" customHeight="1">
      <c r="A436" s="128"/>
      <c r="B436" s="527"/>
      <c r="C436" s="527"/>
      <c r="D436" s="527"/>
      <c r="E436" s="527"/>
      <c r="F436" s="527"/>
      <c r="G436" s="527"/>
      <c r="H436" s="527"/>
      <c r="I436" s="527"/>
      <c r="J436" s="527"/>
      <c r="K436" s="527"/>
      <c r="L436" s="527"/>
      <c r="M436" s="527"/>
      <c r="N436" s="186"/>
      <c r="O436" s="549"/>
      <c r="P436" s="550"/>
      <c r="Q436" s="550"/>
      <c r="R436" s="550"/>
      <c r="S436" s="550"/>
      <c r="T436" s="550"/>
      <c r="U436" s="550"/>
      <c r="V436" s="550"/>
      <c r="W436" s="550"/>
      <c r="X436" s="550"/>
      <c r="Y436" s="550"/>
      <c r="Z436" s="550"/>
      <c r="AA436" s="550"/>
      <c r="AB436" s="550"/>
      <c r="AC436" s="550"/>
      <c r="AD436" s="550"/>
      <c r="AE436" s="550"/>
      <c r="AF436" s="550"/>
      <c r="AG436" s="550"/>
      <c r="AH436" s="550"/>
      <c r="AI436" s="550"/>
      <c r="AJ436" s="550"/>
      <c r="AK436" s="550"/>
      <c r="AL436" s="550"/>
      <c r="AM436" s="550"/>
      <c r="AN436" s="550"/>
      <c r="AO436" s="550"/>
      <c r="AP436" s="550"/>
      <c r="AQ436" s="550"/>
      <c r="AR436" s="550"/>
      <c r="AS436" s="550"/>
      <c r="AT436" s="550"/>
      <c r="AU436" s="550"/>
      <c r="AV436" s="550"/>
      <c r="AW436" s="550"/>
      <c r="AX436" s="550"/>
      <c r="AY436" s="550"/>
      <c r="AZ436" s="550"/>
      <c r="BA436" s="551"/>
      <c r="BB436" s="128"/>
      <c r="BC436" s="115"/>
      <c r="BD436" s="115"/>
      <c r="BE436" s="115"/>
      <c r="BF436" s="115"/>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c r="CC436" s="83"/>
      <c r="CD436" s="83"/>
      <c r="CE436" s="83"/>
      <c r="CF436" s="83"/>
      <c r="CG436" s="83"/>
      <c r="CH436" s="83"/>
      <c r="CI436" s="83"/>
      <c r="CJ436" s="83"/>
      <c r="CK436" s="83"/>
      <c r="CL436" s="83"/>
      <c r="CM436" s="83"/>
      <c r="CN436" s="83"/>
      <c r="CO436" s="83"/>
      <c r="CP436" s="83"/>
      <c r="CQ436" s="83"/>
      <c r="CR436" s="83"/>
      <c r="CS436" s="83"/>
      <c r="CT436" s="83"/>
      <c r="CU436" s="83"/>
      <c r="CV436" s="83"/>
      <c r="CW436" s="83"/>
      <c r="CX436" s="83"/>
      <c r="CY436" s="83"/>
      <c r="CZ436" s="83"/>
      <c r="DA436" s="83"/>
      <c r="DB436" s="83"/>
      <c r="DC436" s="83"/>
      <c r="DD436" s="83"/>
      <c r="DE436" s="83"/>
      <c r="DF436" s="115"/>
      <c r="DG436" s="115"/>
    </row>
    <row r="437" spans="1:111" ht="9" customHeight="1">
      <c r="A437" s="128"/>
      <c r="B437" s="187"/>
      <c r="C437" s="187"/>
      <c r="D437" s="187"/>
      <c r="E437" s="187"/>
      <c r="F437" s="187"/>
      <c r="G437" s="187"/>
      <c r="H437" s="187"/>
      <c r="I437" s="188"/>
      <c r="J437" s="187"/>
      <c r="K437" s="187"/>
      <c r="L437" s="187"/>
      <c r="M437" s="187"/>
      <c r="N437" s="128"/>
      <c r="O437" s="549"/>
      <c r="P437" s="550"/>
      <c r="Q437" s="550"/>
      <c r="R437" s="550"/>
      <c r="S437" s="550"/>
      <c r="T437" s="550"/>
      <c r="U437" s="550"/>
      <c r="V437" s="550"/>
      <c r="W437" s="550"/>
      <c r="X437" s="550"/>
      <c r="Y437" s="550"/>
      <c r="Z437" s="550"/>
      <c r="AA437" s="550"/>
      <c r="AB437" s="550"/>
      <c r="AC437" s="550"/>
      <c r="AD437" s="550"/>
      <c r="AE437" s="550"/>
      <c r="AF437" s="550"/>
      <c r="AG437" s="550"/>
      <c r="AH437" s="550"/>
      <c r="AI437" s="550"/>
      <c r="AJ437" s="550"/>
      <c r="AK437" s="550"/>
      <c r="AL437" s="550"/>
      <c r="AM437" s="550"/>
      <c r="AN437" s="550"/>
      <c r="AO437" s="550"/>
      <c r="AP437" s="550"/>
      <c r="AQ437" s="550"/>
      <c r="AR437" s="550"/>
      <c r="AS437" s="550"/>
      <c r="AT437" s="550"/>
      <c r="AU437" s="550"/>
      <c r="AV437" s="550"/>
      <c r="AW437" s="550"/>
      <c r="AX437" s="550"/>
      <c r="AY437" s="550"/>
      <c r="AZ437" s="550"/>
      <c r="BA437" s="551"/>
      <c r="BB437" s="128"/>
      <c r="BC437" s="115"/>
      <c r="BD437" s="115"/>
      <c r="BE437" s="115"/>
      <c r="BF437" s="115"/>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c r="CC437" s="83"/>
      <c r="CD437" s="83"/>
      <c r="CE437" s="83"/>
      <c r="CF437" s="83"/>
      <c r="CG437" s="83"/>
      <c r="CH437" s="83"/>
      <c r="CI437" s="83"/>
      <c r="CJ437" s="83"/>
      <c r="CK437" s="83"/>
      <c r="CL437" s="83"/>
      <c r="CM437" s="83"/>
      <c r="CN437" s="83"/>
      <c r="CO437" s="83"/>
      <c r="CP437" s="83"/>
      <c r="CQ437" s="83"/>
      <c r="CR437" s="83"/>
      <c r="CS437" s="83"/>
      <c r="CT437" s="83"/>
      <c r="CU437" s="83"/>
      <c r="CV437" s="83"/>
      <c r="CW437" s="83"/>
      <c r="CX437" s="83"/>
      <c r="CY437" s="83"/>
      <c r="CZ437" s="83"/>
      <c r="DA437" s="83"/>
      <c r="DB437" s="83"/>
      <c r="DC437" s="83"/>
      <c r="DD437" s="83"/>
      <c r="DE437" s="83"/>
      <c r="DF437" s="115"/>
      <c r="DG437" s="115"/>
    </row>
    <row r="438" spans="1:111" ht="9" customHeight="1">
      <c r="A438" s="128"/>
      <c r="B438" s="187"/>
      <c r="C438" s="187"/>
      <c r="D438" s="187"/>
      <c r="E438" s="187"/>
      <c r="F438" s="187"/>
      <c r="G438" s="187"/>
      <c r="H438" s="187"/>
      <c r="I438" s="188"/>
      <c r="J438" s="187"/>
      <c r="K438" s="187"/>
      <c r="L438" s="187"/>
      <c r="M438" s="187"/>
      <c r="N438" s="128"/>
      <c r="O438" s="552"/>
      <c r="P438" s="553"/>
      <c r="Q438" s="553"/>
      <c r="R438" s="553"/>
      <c r="S438" s="553"/>
      <c r="T438" s="553"/>
      <c r="U438" s="553"/>
      <c r="V438" s="553"/>
      <c r="W438" s="553"/>
      <c r="X438" s="553"/>
      <c r="Y438" s="553"/>
      <c r="Z438" s="553"/>
      <c r="AA438" s="553"/>
      <c r="AB438" s="553"/>
      <c r="AC438" s="553"/>
      <c r="AD438" s="553"/>
      <c r="AE438" s="553"/>
      <c r="AF438" s="553"/>
      <c r="AG438" s="553"/>
      <c r="AH438" s="553"/>
      <c r="AI438" s="553"/>
      <c r="AJ438" s="553"/>
      <c r="AK438" s="553"/>
      <c r="AL438" s="553"/>
      <c r="AM438" s="553"/>
      <c r="AN438" s="553"/>
      <c r="AO438" s="553"/>
      <c r="AP438" s="553"/>
      <c r="AQ438" s="553"/>
      <c r="AR438" s="553"/>
      <c r="AS438" s="553"/>
      <c r="AT438" s="553"/>
      <c r="AU438" s="553"/>
      <c r="AV438" s="553"/>
      <c r="AW438" s="553"/>
      <c r="AX438" s="553"/>
      <c r="AY438" s="553"/>
      <c r="AZ438" s="553"/>
      <c r="BA438" s="554"/>
      <c r="BB438" s="128"/>
      <c r="BC438" s="115"/>
      <c r="BD438" s="115"/>
      <c r="BE438" s="115"/>
      <c r="BF438" s="115"/>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c r="CC438" s="83"/>
      <c r="CD438" s="83"/>
      <c r="CE438" s="83"/>
      <c r="CF438" s="83"/>
      <c r="CG438" s="83"/>
      <c r="CH438" s="83"/>
      <c r="CI438" s="83"/>
      <c r="CJ438" s="83"/>
      <c r="CK438" s="83"/>
      <c r="CL438" s="83"/>
      <c r="CM438" s="83"/>
      <c r="CN438" s="83"/>
      <c r="CO438" s="83"/>
      <c r="CP438" s="83"/>
      <c r="CQ438" s="83"/>
      <c r="CR438" s="83"/>
      <c r="CS438" s="83"/>
      <c r="CT438" s="83"/>
      <c r="CU438" s="83"/>
      <c r="CV438" s="83"/>
      <c r="CW438" s="83"/>
      <c r="CX438" s="83"/>
      <c r="CY438" s="83"/>
      <c r="CZ438" s="83"/>
      <c r="DA438" s="83"/>
      <c r="DB438" s="83"/>
      <c r="DC438" s="83"/>
      <c r="DD438" s="83"/>
      <c r="DE438" s="83"/>
      <c r="DF438" s="115"/>
      <c r="DG438" s="115"/>
    </row>
    <row r="439" spans="1:111" ht="4.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8"/>
      <c r="AM439" s="128"/>
      <c r="AN439" s="128"/>
      <c r="AO439" s="128"/>
      <c r="AP439" s="128"/>
      <c r="AQ439" s="128"/>
      <c r="AR439" s="128"/>
      <c r="AS439" s="128"/>
      <c r="AT439" s="128"/>
      <c r="AU439" s="128"/>
      <c r="AV439" s="128"/>
      <c r="AW439" s="128"/>
      <c r="AX439" s="128"/>
      <c r="AY439" s="128"/>
      <c r="AZ439" s="128"/>
      <c r="BA439" s="128"/>
      <c r="BB439" s="128"/>
      <c r="BC439" s="115"/>
      <c r="BD439" s="115"/>
      <c r="BE439" s="115"/>
      <c r="BF439" s="115"/>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c r="CC439" s="83"/>
      <c r="CD439" s="83"/>
      <c r="CE439" s="83"/>
      <c r="CF439" s="83"/>
      <c r="CG439" s="83"/>
      <c r="CH439" s="83"/>
      <c r="CI439" s="83"/>
      <c r="CJ439" s="83"/>
      <c r="CK439" s="83"/>
      <c r="CL439" s="83"/>
      <c r="CM439" s="83"/>
      <c r="CN439" s="83"/>
      <c r="CO439" s="83"/>
      <c r="CP439" s="83"/>
      <c r="CQ439" s="83"/>
      <c r="CR439" s="83"/>
      <c r="CS439" s="83"/>
      <c r="CT439" s="83"/>
      <c r="CU439" s="83"/>
      <c r="CV439" s="83"/>
      <c r="CW439" s="83"/>
      <c r="CX439" s="83"/>
      <c r="CY439" s="83"/>
      <c r="CZ439" s="83"/>
      <c r="DA439" s="83"/>
      <c r="DB439" s="83"/>
      <c r="DC439" s="83"/>
      <c r="DD439" s="83"/>
      <c r="DE439" s="83"/>
      <c r="DF439" s="115"/>
      <c r="DG439" s="115"/>
    </row>
    <row r="440" spans="1:111" ht="9" customHeight="1">
      <c r="A440" s="128"/>
      <c r="B440" s="527" t="s">
        <v>455</v>
      </c>
      <c r="C440" s="527"/>
      <c r="D440" s="527"/>
      <c r="E440" s="527"/>
      <c r="F440" s="527"/>
      <c r="G440" s="527"/>
      <c r="H440" s="527"/>
      <c r="I440" s="527"/>
      <c r="J440" s="527"/>
      <c r="K440" s="527"/>
      <c r="L440" s="527"/>
      <c r="M440" s="527"/>
      <c r="N440" s="186"/>
      <c r="O440" s="528"/>
      <c r="P440" s="529"/>
      <c r="Q440" s="529"/>
      <c r="R440" s="529"/>
      <c r="S440" s="529"/>
      <c r="T440" s="529"/>
      <c r="U440" s="529"/>
      <c r="V440" s="529"/>
      <c r="W440" s="529"/>
      <c r="X440" s="529"/>
      <c r="Y440" s="529"/>
      <c r="Z440" s="530"/>
      <c r="AA440" s="128"/>
      <c r="AB440" s="128"/>
      <c r="AC440" s="128"/>
      <c r="AD440" s="128"/>
      <c r="AE440" s="128"/>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15"/>
      <c r="BD440" s="115"/>
      <c r="BE440" s="115"/>
      <c r="BF440" s="115"/>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83"/>
      <c r="CN440" s="83"/>
      <c r="CO440" s="83"/>
      <c r="CP440" s="83"/>
      <c r="CQ440" s="83"/>
      <c r="CR440" s="83"/>
      <c r="CS440" s="83"/>
      <c r="CT440" s="83"/>
      <c r="CU440" s="83"/>
      <c r="CV440" s="83"/>
      <c r="CW440" s="83"/>
      <c r="CX440" s="83"/>
      <c r="CY440" s="83"/>
      <c r="CZ440" s="83"/>
      <c r="DA440" s="83"/>
      <c r="DB440" s="83"/>
      <c r="DC440" s="83"/>
      <c r="DD440" s="83"/>
      <c r="DE440" s="83"/>
      <c r="DF440" s="115"/>
      <c r="DG440" s="115"/>
    </row>
    <row r="441" spans="1:111" ht="9" customHeight="1">
      <c r="A441" s="128"/>
      <c r="B441" s="527"/>
      <c r="C441" s="527"/>
      <c r="D441" s="527"/>
      <c r="E441" s="527"/>
      <c r="F441" s="527"/>
      <c r="G441" s="527"/>
      <c r="H441" s="527"/>
      <c r="I441" s="527"/>
      <c r="J441" s="527"/>
      <c r="K441" s="527"/>
      <c r="L441" s="527"/>
      <c r="M441" s="527"/>
      <c r="N441" s="186"/>
      <c r="O441" s="531"/>
      <c r="P441" s="532"/>
      <c r="Q441" s="532"/>
      <c r="R441" s="532"/>
      <c r="S441" s="532"/>
      <c r="T441" s="532"/>
      <c r="U441" s="532"/>
      <c r="V441" s="532"/>
      <c r="W441" s="532"/>
      <c r="X441" s="532"/>
      <c r="Y441" s="532"/>
      <c r="Z441" s="533"/>
      <c r="AA441" s="128"/>
      <c r="AB441" s="128"/>
      <c r="AC441" s="128"/>
      <c r="AD441" s="128"/>
      <c r="AE441" s="128"/>
      <c r="AF441" s="128"/>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15"/>
      <c r="BD441" s="115"/>
      <c r="BE441" s="115"/>
      <c r="BF441" s="115"/>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c r="CC441" s="83"/>
      <c r="CD441" s="83"/>
      <c r="CE441" s="83"/>
      <c r="CF441" s="83"/>
      <c r="CG441" s="83"/>
      <c r="CH441" s="83"/>
      <c r="CI441" s="83"/>
      <c r="CJ441" s="83"/>
      <c r="CK441" s="83"/>
      <c r="CL441" s="83"/>
      <c r="CM441" s="83"/>
      <c r="CN441" s="83"/>
      <c r="CO441" s="83"/>
      <c r="CP441" s="83"/>
      <c r="CQ441" s="83"/>
      <c r="CR441" s="83"/>
      <c r="CS441" s="83"/>
      <c r="CT441" s="83"/>
      <c r="CU441" s="83"/>
      <c r="CV441" s="83"/>
      <c r="CW441" s="83"/>
      <c r="CX441" s="83"/>
      <c r="CY441" s="83"/>
      <c r="CZ441" s="83"/>
      <c r="DA441" s="83"/>
      <c r="DB441" s="83"/>
      <c r="DC441" s="83"/>
      <c r="DD441" s="83"/>
      <c r="DE441" s="83"/>
      <c r="DF441" s="115"/>
      <c r="DG441" s="115"/>
    </row>
    <row r="442" spans="1:111" ht="4.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15"/>
      <c r="BD442" s="115"/>
      <c r="BE442" s="115"/>
      <c r="BF442" s="115"/>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c r="CC442" s="83"/>
      <c r="CD442" s="83"/>
      <c r="CE442" s="83"/>
      <c r="CF442" s="83"/>
      <c r="CG442" s="83"/>
      <c r="CH442" s="83"/>
      <c r="CI442" s="83"/>
      <c r="CJ442" s="83"/>
      <c r="CK442" s="83"/>
      <c r="CL442" s="83"/>
      <c r="CM442" s="83"/>
      <c r="CN442" s="83"/>
      <c r="CO442" s="83"/>
      <c r="CP442" s="83"/>
      <c r="CQ442" s="83"/>
      <c r="CR442" s="83"/>
      <c r="CS442" s="83"/>
      <c r="CT442" s="83"/>
      <c r="CU442" s="83"/>
      <c r="CV442" s="83"/>
      <c r="CW442" s="83"/>
      <c r="CX442" s="83"/>
      <c r="CY442" s="83"/>
      <c r="CZ442" s="83"/>
      <c r="DA442" s="83"/>
      <c r="DB442" s="83"/>
      <c r="DC442" s="83"/>
      <c r="DD442" s="83"/>
      <c r="DE442" s="83"/>
      <c r="DF442" s="115"/>
      <c r="DG442" s="115"/>
    </row>
    <row r="443" spans="1:111" ht="9" customHeight="1">
      <c r="A443" s="128"/>
      <c r="B443" s="527" t="s">
        <v>434</v>
      </c>
      <c r="C443" s="527"/>
      <c r="D443" s="527"/>
      <c r="E443" s="527"/>
      <c r="F443" s="527"/>
      <c r="G443" s="527"/>
      <c r="H443" s="527"/>
      <c r="I443" s="527"/>
      <c r="J443" s="527"/>
      <c r="K443" s="527"/>
      <c r="L443" s="527"/>
      <c r="M443" s="527"/>
      <c r="N443" s="186"/>
      <c r="O443" s="546"/>
      <c r="P443" s="547"/>
      <c r="Q443" s="547"/>
      <c r="R443" s="547"/>
      <c r="S443" s="547"/>
      <c r="T443" s="547"/>
      <c r="U443" s="547"/>
      <c r="V443" s="547"/>
      <c r="W443" s="547"/>
      <c r="X443" s="547"/>
      <c r="Y443" s="547"/>
      <c r="Z443" s="547"/>
      <c r="AA443" s="547"/>
      <c r="AB443" s="547"/>
      <c r="AC443" s="547"/>
      <c r="AD443" s="547"/>
      <c r="AE443" s="547"/>
      <c r="AF443" s="547"/>
      <c r="AG443" s="547"/>
      <c r="AH443" s="547"/>
      <c r="AI443" s="547"/>
      <c r="AJ443" s="547"/>
      <c r="AK443" s="547"/>
      <c r="AL443" s="547"/>
      <c r="AM443" s="547"/>
      <c r="AN443" s="547"/>
      <c r="AO443" s="547"/>
      <c r="AP443" s="547"/>
      <c r="AQ443" s="547"/>
      <c r="AR443" s="547"/>
      <c r="AS443" s="547"/>
      <c r="AT443" s="547"/>
      <c r="AU443" s="547"/>
      <c r="AV443" s="547"/>
      <c r="AW443" s="547"/>
      <c r="AX443" s="547"/>
      <c r="AY443" s="547"/>
      <c r="AZ443" s="547"/>
      <c r="BA443" s="548"/>
      <c r="BB443" s="128"/>
      <c r="BC443" s="115"/>
      <c r="BD443" s="115"/>
      <c r="BE443" s="115"/>
      <c r="BF443" s="115"/>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83"/>
      <c r="CN443" s="83"/>
      <c r="CO443" s="83"/>
      <c r="CP443" s="83"/>
      <c r="CQ443" s="83"/>
      <c r="CR443" s="83"/>
      <c r="CS443" s="83"/>
      <c r="CT443" s="83"/>
      <c r="CU443" s="83"/>
      <c r="CV443" s="83"/>
      <c r="CW443" s="83"/>
      <c r="CX443" s="83"/>
      <c r="CY443" s="83"/>
      <c r="CZ443" s="83"/>
      <c r="DA443" s="83"/>
      <c r="DB443" s="83"/>
      <c r="DC443" s="83"/>
      <c r="DD443" s="83"/>
      <c r="DE443" s="83"/>
      <c r="DF443" s="115"/>
      <c r="DG443" s="115"/>
    </row>
    <row r="444" spans="1:111" ht="9" customHeight="1">
      <c r="A444" s="128"/>
      <c r="B444" s="527"/>
      <c r="C444" s="527"/>
      <c r="D444" s="527"/>
      <c r="E444" s="527"/>
      <c r="F444" s="527"/>
      <c r="G444" s="527"/>
      <c r="H444" s="527"/>
      <c r="I444" s="527"/>
      <c r="J444" s="527"/>
      <c r="K444" s="527"/>
      <c r="L444" s="527"/>
      <c r="M444" s="527"/>
      <c r="N444" s="186"/>
      <c r="O444" s="549"/>
      <c r="P444" s="550"/>
      <c r="Q444" s="550"/>
      <c r="R444" s="550"/>
      <c r="S444" s="550"/>
      <c r="T444" s="550"/>
      <c r="U444" s="550"/>
      <c r="V444" s="550"/>
      <c r="W444" s="550"/>
      <c r="X444" s="550"/>
      <c r="Y444" s="550"/>
      <c r="Z444" s="550"/>
      <c r="AA444" s="550"/>
      <c r="AB444" s="550"/>
      <c r="AC444" s="550"/>
      <c r="AD444" s="550"/>
      <c r="AE444" s="550"/>
      <c r="AF444" s="550"/>
      <c r="AG444" s="550"/>
      <c r="AH444" s="550"/>
      <c r="AI444" s="550"/>
      <c r="AJ444" s="550"/>
      <c r="AK444" s="550"/>
      <c r="AL444" s="550"/>
      <c r="AM444" s="550"/>
      <c r="AN444" s="550"/>
      <c r="AO444" s="550"/>
      <c r="AP444" s="550"/>
      <c r="AQ444" s="550"/>
      <c r="AR444" s="550"/>
      <c r="AS444" s="550"/>
      <c r="AT444" s="550"/>
      <c r="AU444" s="550"/>
      <c r="AV444" s="550"/>
      <c r="AW444" s="550"/>
      <c r="AX444" s="550"/>
      <c r="AY444" s="550"/>
      <c r="AZ444" s="550"/>
      <c r="BA444" s="551"/>
      <c r="BB444" s="128"/>
      <c r="BC444" s="115"/>
      <c r="BD444" s="115"/>
      <c r="BE444" s="115"/>
      <c r="BF444" s="115"/>
      <c r="BG444" s="83"/>
      <c r="BH444" s="83"/>
      <c r="BI444" s="83"/>
      <c r="BJ444" s="83"/>
      <c r="BK444" s="83"/>
      <c r="BL444" s="83"/>
      <c r="BM444" s="83"/>
      <c r="BN444" s="83"/>
      <c r="BO444" s="83"/>
      <c r="BP444" s="83"/>
      <c r="BQ444" s="83"/>
      <c r="BR444" s="83"/>
      <c r="BS444" s="83"/>
      <c r="BT444" s="83"/>
      <c r="BU444" s="83"/>
      <c r="BV444" s="83"/>
      <c r="BW444" s="83"/>
      <c r="BX444" s="83"/>
      <c r="BY444" s="83"/>
      <c r="BZ444" s="83"/>
      <c r="CA444" s="83"/>
      <c r="CB444" s="83"/>
      <c r="CC444" s="83"/>
      <c r="CD444" s="83"/>
      <c r="CE444" s="83"/>
      <c r="CF444" s="83"/>
      <c r="CG444" s="83"/>
      <c r="CH444" s="83"/>
      <c r="CI444" s="83"/>
      <c r="CJ444" s="83"/>
      <c r="CK444" s="83"/>
      <c r="CL444" s="83"/>
      <c r="CM444" s="83"/>
      <c r="CN444" s="83"/>
      <c r="CO444" s="83"/>
      <c r="CP444" s="83"/>
      <c r="CQ444" s="83"/>
      <c r="CR444" s="83"/>
      <c r="CS444" s="83"/>
      <c r="CT444" s="83"/>
      <c r="CU444" s="83"/>
      <c r="CV444" s="83"/>
      <c r="CW444" s="83"/>
      <c r="CX444" s="83"/>
      <c r="CY444" s="83"/>
      <c r="CZ444" s="83"/>
      <c r="DA444" s="83"/>
      <c r="DB444" s="83"/>
      <c r="DC444" s="83"/>
      <c r="DD444" s="83"/>
      <c r="DE444" s="83"/>
      <c r="DF444" s="115"/>
      <c r="DG444" s="115"/>
    </row>
    <row r="445" spans="1:111" ht="9" customHeight="1">
      <c r="A445" s="128"/>
      <c r="B445" s="187"/>
      <c r="C445" s="187"/>
      <c r="D445" s="187"/>
      <c r="E445" s="187"/>
      <c r="F445" s="187"/>
      <c r="G445" s="187"/>
      <c r="H445" s="187"/>
      <c r="I445" s="188"/>
      <c r="J445" s="187"/>
      <c r="K445" s="187"/>
      <c r="L445" s="187"/>
      <c r="M445" s="187"/>
      <c r="N445" s="128"/>
      <c r="O445" s="549"/>
      <c r="P445" s="550"/>
      <c r="Q445" s="550"/>
      <c r="R445" s="550"/>
      <c r="S445" s="550"/>
      <c r="T445" s="550"/>
      <c r="U445" s="550"/>
      <c r="V445" s="550"/>
      <c r="W445" s="550"/>
      <c r="X445" s="550"/>
      <c r="Y445" s="550"/>
      <c r="Z445" s="550"/>
      <c r="AA445" s="550"/>
      <c r="AB445" s="550"/>
      <c r="AC445" s="550"/>
      <c r="AD445" s="550"/>
      <c r="AE445" s="550"/>
      <c r="AF445" s="550"/>
      <c r="AG445" s="550"/>
      <c r="AH445" s="550"/>
      <c r="AI445" s="550"/>
      <c r="AJ445" s="550"/>
      <c r="AK445" s="550"/>
      <c r="AL445" s="550"/>
      <c r="AM445" s="550"/>
      <c r="AN445" s="550"/>
      <c r="AO445" s="550"/>
      <c r="AP445" s="550"/>
      <c r="AQ445" s="550"/>
      <c r="AR445" s="550"/>
      <c r="AS445" s="550"/>
      <c r="AT445" s="550"/>
      <c r="AU445" s="550"/>
      <c r="AV445" s="550"/>
      <c r="AW445" s="550"/>
      <c r="AX445" s="550"/>
      <c r="AY445" s="550"/>
      <c r="AZ445" s="550"/>
      <c r="BA445" s="551"/>
      <c r="BB445" s="128"/>
      <c r="BC445" s="115"/>
      <c r="BD445" s="115"/>
      <c r="BE445" s="115"/>
      <c r="BF445" s="115"/>
      <c r="BG445" s="83"/>
      <c r="BH445" s="83"/>
      <c r="BI445" s="83"/>
      <c r="BJ445" s="83"/>
      <c r="BK445" s="83"/>
      <c r="BL445" s="83"/>
      <c r="BM445" s="83"/>
      <c r="BN445" s="83"/>
      <c r="BO445" s="83"/>
      <c r="BP445" s="83"/>
      <c r="BQ445" s="83"/>
      <c r="BR445" s="83"/>
      <c r="BS445" s="83"/>
      <c r="BT445" s="83"/>
      <c r="BU445" s="83"/>
      <c r="BV445" s="83"/>
      <c r="BW445" s="83"/>
      <c r="BX445" s="83"/>
      <c r="BY445" s="83"/>
      <c r="BZ445" s="83"/>
      <c r="CA445" s="83"/>
      <c r="CB445" s="83"/>
      <c r="CC445" s="83"/>
      <c r="CD445" s="83"/>
      <c r="CE445" s="83"/>
      <c r="CF445" s="83"/>
      <c r="CG445" s="83"/>
      <c r="CH445" s="83"/>
      <c r="CI445" s="83"/>
      <c r="CJ445" s="83"/>
      <c r="CK445" s="83"/>
      <c r="CL445" s="83"/>
      <c r="CM445" s="83"/>
      <c r="CN445" s="83"/>
      <c r="CO445" s="83"/>
      <c r="CP445" s="83"/>
      <c r="CQ445" s="83"/>
      <c r="CR445" s="83"/>
      <c r="CS445" s="83"/>
      <c r="CT445" s="83"/>
      <c r="CU445" s="83"/>
      <c r="CV445" s="83"/>
      <c r="CW445" s="83"/>
      <c r="CX445" s="83"/>
      <c r="CY445" s="83"/>
      <c r="CZ445" s="83"/>
      <c r="DA445" s="83"/>
      <c r="DB445" s="83"/>
      <c r="DC445" s="83"/>
      <c r="DD445" s="83"/>
      <c r="DE445" s="83"/>
      <c r="DF445" s="115"/>
      <c r="DG445" s="115"/>
    </row>
    <row r="446" spans="1:111" ht="9" customHeight="1">
      <c r="A446" s="128"/>
      <c r="B446" s="187"/>
      <c r="C446" s="187"/>
      <c r="D446" s="187"/>
      <c r="E446" s="187"/>
      <c r="F446" s="187"/>
      <c r="G446" s="187"/>
      <c r="H446" s="187"/>
      <c r="I446" s="188"/>
      <c r="J446" s="187"/>
      <c r="K446" s="187"/>
      <c r="L446" s="187"/>
      <c r="M446" s="187"/>
      <c r="N446" s="128"/>
      <c r="O446" s="552"/>
      <c r="P446" s="553"/>
      <c r="Q446" s="553"/>
      <c r="R446" s="553"/>
      <c r="S446" s="553"/>
      <c r="T446" s="553"/>
      <c r="U446" s="553"/>
      <c r="V446" s="553"/>
      <c r="W446" s="553"/>
      <c r="X446" s="553"/>
      <c r="Y446" s="553"/>
      <c r="Z446" s="553"/>
      <c r="AA446" s="553"/>
      <c r="AB446" s="553"/>
      <c r="AC446" s="553"/>
      <c r="AD446" s="553"/>
      <c r="AE446" s="553"/>
      <c r="AF446" s="553"/>
      <c r="AG446" s="553"/>
      <c r="AH446" s="553"/>
      <c r="AI446" s="553"/>
      <c r="AJ446" s="553"/>
      <c r="AK446" s="553"/>
      <c r="AL446" s="553"/>
      <c r="AM446" s="553"/>
      <c r="AN446" s="553"/>
      <c r="AO446" s="553"/>
      <c r="AP446" s="553"/>
      <c r="AQ446" s="553"/>
      <c r="AR446" s="553"/>
      <c r="AS446" s="553"/>
      <c r="AT446" s="553"/>
      <c r="AU446" s="553"/>
      <c r="AV446" s="553"/>
      <c r="AW446" s="553"/>
      <c r="AX446" s="553"/>
      <c r="AY446" s="553"/>
      <c r="AZ446" s="553"/>
      <c r="BA446" s="554"/>
      <c r="BB446" s="128"/>
      <c r="BC446" s="115"/>
      <c r="BD446" s="115"/>
      <c r="BE446" s="115"/>
      <c r="BF446" s="115"/>
      <c r="BG446" s="83"/>
      <c r="BH446" s="83"/>
      <c r="BI446" s="83"/>
      <c r="BJ446" s="83"/>
      <c r="BK446" s="83"/>
      <c r="BL446" s="83"/>
      <c r="BM446" s="83"/>
      <c r="BN446" s="83"/>
      <c r="BO446" s="83"/>
      <c r="BP446" s="83"/>
      <c r="BQ446" s="83"/>
      <c r="BR446" s="83"/>
      <c r="BS446" s="83"/>
      <c r="BT446" s="83"/>
      <c r="BU446" s="83"/>
      <c r="BV446" s="83"/>
      <c r="BW446" s="83"/>
      <c r="BX446" s="83"/>
      <c r="BY446" s="83"/>
      <c r="BZ446" s="83"/>
      <c r="CA446" s="83"/>
      <c r="CB446" s="83"/>
      <c r="CC446" s="83"/>
      <c r="CD446" s="83"/>
      <c r="CE446" s="83"/>
      <c r="CF446" s="83"/>
      <c r="CG446" s="83"/>
      <c r="CH446" s="83"/>
      <c r="CI446" s="83"/>
      <c r="CJ446" s="83"/>
      <c r="CK446" s="83"/>
      <c r="CL446" s="83"/>
      <c r="CM446" s="83"/>
      <c r="CN446" s="83"/>
      <c r="CO446" s="83"/>
      <c r="CP446" s="83"/>
      <c r="CQ446" s="83"/>
      <c r="CR446" s="83"/>
      <c r="CS446" s="83"/>
      <c r="CT446" s="83"/>
      <c r="CU446" s="83"/>
      <c r="CV446" s="83"/>
      <c r="CW446" s="83"/>
      <c r="CX446" s="83"/>
      <c r="CY446" s="83"/>
      <c r="CZ446" s="83"/>
      <c r="DA446" s="83"/>
      <c r="DB446" s="83"/>
      <c r="DC446" s="83"/>
      <c r="DD446" s="83"/>
      <c r="DE446" s="83"/>
      <c r="DF446" s="115"/>
      <c r="DG446" s="115"/>
    </row>
    <row r="447" spans="1:111" ht="4.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15"/>
      <c r="BD447" s="115"/>
      <c r="BE447" s="115"/>
      <c r="BF447" s="115"/>
      <c r="BG447" s="83"/>
      <c r="BH447" s="83"/>
      <c r="BI447" s="83"/>
      <c r="BJ447" s="83"/>
      <c r="BK447" s="83"/>
      <c r="BL447" s="83"/>
      <c r="BM447" s="83"/>
      <c r="BN447" s="83"/>
      <c r="BO447" s="83"/>
      <c r="BP447" s="83"/>
      <c r="BQ447" s="83"/>
      <c r="BR447" s="83"/>
      <c r="BS447" s="83"/>
      <c r="BT447" s="83"/>
      <c r="BU447" s="83"/>
      <c r="BV447" s="83"/>
      <c r="BW447" s="83"/>
      <c r="BX447" s="83"/>
      <c r="BY447" s="83"/>
      <c r="BZ447" s="83"/>
      <c r="CA447" s="83"/>
      <c r="CB447" s="83"/>
      <c r="CC447" s="83"/>
      <c r="CD447" s="83"/>
      <c r="CE447" s="83"/>
      <c r="CF447" s="83"/>
      <c r="CG447" s="83"/>
      <c r="CH447" s="83"/>
      <c r="CI447" s="83"/>
      <c r="CJ447" s="83"/>
      <c r="CK447" s="83"/>
      <c r="CL447" s="83"/>
      <c r="CM447" s="83"/>
      <c r="CN447" s="83"/>
      <c r="CO447" s="83"/>
      <c r="CP447" s="83"/>
      <c r="CQ447" s="83"/>
      <c r="CR447" s="83"/>
      <c r="CS447" s="83"/>
      <c r="CT447" s="83"/>
      <c r="CU447" s="83"/>
      <c r="CV447" s="83"/>
      <c r="CW447" s="83"/>
      <c r="CX447" s="83"/>
      <c r="CY447" s="83"/>
      <c r="CZ447" s="83"/>
      <c r="DA447" s="83"/>
      <c r="DB447" s="83"/>
      <c r="DC447" s="83"/>
      <c r="DD447" s="83"/>
      <c r="DE447" s="83"/>
      <c r="DF447" s="115"/>
      <c r="DG447" s="115"/>
    </row>
    <row r="448" spans="1:111" ht="9" customHeight="1">
      <c r="A448" s="128"/>
      <c r="B448" s="527" t="s">
        <v>456</v>
      </c>
      <c r="C448" s="527"/>
      <c r="D448" s="527"/>
      <c r="E448" s="527"/>
      <c r="F448" s="527"/>
      <c r="G448" s="527"/>
      <c r="H448" s="527"/>
      <c r="I448" s="527"/>
      <c r="J448" s="527"/>
      <c r="K448" s="527"/>
      <c r="L448" s="527"/>
      <c r="M448" s="527"/>
      <c r="N448" s="186"/>
      <c r="O448" s="546"/>
      <c r="P448" s="547"/>
      <c r="Q448" s="547"/>
      <c r="R448" s="547"/>
      <c r="S448" s="547"/>
      <c r="T448" s="547"/>
      <c r="U448" s="547"/>
      <c r="V448" s="547"/>
      <c r="W448" s="547"/>
      <c r="X448" s="547"/>
      <c r="Y448" s="547"/>
      <c r="Z448" s="547"/>
      <c r="AA448" s="547"/>
      <c r="AB448" s="547"/>
      <c r="AC448" s="547"/>
      <c r="AD448" s="547"/>
      <c r="AE448" s="547"/>
      <c r="AF448" s="547"/>
      <c r="AG448" s="547"/>
      <c r="AH448" s="547"/>
      <c r="AI448" s="547"/>
      <c r="AJ448" s="547"/>
      <c r="AK448" s="547"/>
      <c r="AL448" s="547"/>
      <c r="AM448" s="547"/>
      <c r="AN448" s="547"/>
      <c r="AO448" s="547"/>
      <c r="AP448" s="547"/>
      <c r="AQ448" s="547"/>
      <c r="AR448" s="547"/>
      <c r="AS448" s="547"/>
      <c r="AT448" s="547"/>
      <c r="AU448" s="547"/>
      <c r="AV448" s="547"/>
      <c r="AW448" s="547"/>
      <c r="AX448" s="547"/>
      <c r="AY448" s="547"/>
      <c r="AZ448" s="547"/>
      <c r="BA448" s="548"/>
      <c r="BB448" s="128"/>
      <c r="BC448" s="115"/>
      <c r="BD448" s="115"/>
      <c r="BE448" s="115"/>
      <c r="BF448" s="115"/>
      <c r="BG448" s="83"/>
      <c r="BH448" s="83"/>
      <c r="BI448" s="83"/>
      <c r="BJ448" s="83"/>
      <c r="BK448" s="83"/>
      <c r="BL448" s="83"/>
      <c r="BM448" s="83"/>
      <c r="BN448" s="83"/>
      <c r="BO448" s="83"/>
      <c r="BP448" s="83"/>
      <c r="BQ448" s="83"/>
      <c r="BR448" s="83"/>
      <c r="BS448" s="83"/>
      <c r="BT448" s="83"/>
      <c r="BU448" s="83"/>
      <c r="BV448" s="83"/>
      <c r="BW448" s="83"/>
      <c r="BX448" s="83"/>
      <c r="BY448" s="83"/>
      <c r="BZ448" s="83"/>
      <c r="CA448" s="83"/>
      <c r="CB448" s="83"/>
      <c r="CC448" s="83"/>
      <c r="CD448" s="83"/>
      <c r="CE448" s="83"/>
      <c r="CF448" s="83"/>
      <c r="CG448" s="83"/>
      <c r="CH448" s="83"/>
      <c r="CI448" s="83"/>
      <c r="CJ448" s="83"/>
      <c r="CK448" s="83"/>
      <c r="CL448" s="83"/>
      <c r="CM448" s="83"/>
      <c r="CN448" s="83"/>
      <c r="CO448" s="83"/>
      <c r="CP448" s="83"/>
      <c r="CQ448" s="83"/>
      <c r="CR448" s="83"/>
      <c r="CS448" s="83"/>
      <c r="CT448" s="83"/>
      <c r="CU448" s="83"/>
      <c r="CV448" s="83"/>
      <c r="CW448" s="83"/>
      <c r="CX448" s="83"/>
      <c r="CY448" s="83"/>
      <c r="CZ448" s="83"/>
      <c r="DA448" s="83"/>
      <c r="DB448" s="83"/>
      <c r="DC448" s="83"/>
      <c r="DD448" s="83"/>
      <c r="DE448" s="83"/>
      <c r="DF448" s="115"/>
      <c r="DG448" s="115"/>
    </row>
    <row r="449" spans="1:111" ht="9" customHeight="1">
      <c r="A449" s="128"/>
      <c r="B449" s="527"/>
      <c r="C449" s="527"/>
      <c r="D449" s="527"/>
      <c r="E449" s="527"/>
      <c r="F449" s="527"/>
      <c r="G449" s="527"/>
      <c r="H449" s="527"/>
      <c r="I449" s="527"/>
      <c r="J449" s="527"/>
      <c r="K449" s="527"/>
      <c r="L449" s="527"/>
      <c r="M449" s="527"/>
      <c r="N449" s="186"/>
      <c r="O449" s="549"/>
      <c r="P449" s="550"/>
      <c r="Q449" s="550"/>
      <c r="R449" s="550"/>
      <c r="S449" s="550"/>
      <c r="T449" s="550"/>
      <c r="U449" s="550"/>
      <c r="V449" s="550"/>
      <c r="W449" s="550"/>
      <c r="X449" s="550"/>
      <c r="Y449" s="550"/>
      <c r="Z449" s="550"/>
      <c r="AA449" s="550"/>
      <c r="AB449" s="550"/>
      <c r="AC449" s="550"/>
      <c r="AD449" s="550"/>
      <c r="AE449" s="550"/>
      <c r="AF449" s="550"/>
      <c r="AG449" s="550"/>
      <c r="AH449" s="550"/>
      <c r="AI449" s="550"/>
      <c r="AJ449" s="550"/>
      <c r="AK449" s="550"/>
      <c r="AL449" s="550"/>
      <c r="AM449" s="550"/>
      <c r="AN449" s="550"/>
      <c r="AO449" s="550"/>
      <c r="AP449" s="550"/>
      <c r="AQ449" s="550"/>
      <c r="AR449" s="550"/>
      <c r="AS449" s="550"/>
      <c r="AT449" s="550"/>
      <c r="AU449" s="550"/>
      <c r="AV449" s="550"/>
      <c r="AW449" s="550"/>
      <c r="AX449" s="550"/>
      <c r="AY449" s="550"/>
      <c r="AZ449" s="550"/>
      <c r="BA449" s="551"/>
      <c r="BB449" s="128"/>
      <c r="BC449" s="115"/>
      <c r="BD449" s="115"/>
      <c r="BE449" s="115"/>
      <c r="BF449" s="115"/>
      <c r="BG449" s="83"/>
      <c r="BH449" s="83"/>
      <c r="BI449" s="83"/>
      <c r="BJ449" s="83"/>
      <c r="BK449" s="83"/>
      <c r="BL449" s="83"/>
      <c r="BM449" s="83"/>
      <c r="BN449" s="83"/>
      <c r="BO449" s="83"/>
      <c r="BP449" s="83"/>
      <c r="BQ449" s="83"/>
      <c r="BR449" s="83"/>
      <c r="BS449" s="83"/>
      <c r="BT449" s="83"/>
      <c r="BU449" s="83"/>
      <c r="BV449" s="83"/>
      <c r="BW449" s="83"/>
      <c r="BX449" s="83"/>
      <c r="BY449" s="83"/>
      <c r="BZ449" s="83"/>
      <c r="CA449" s="83"/>
      <c r="CB449" s="83"/>
      <c r="CC449" s="83"/>
      <c r="CD449" s="83"/>
      <c r="CE449" s="83"/>
      <c r="CF449" s="83"/>
      <c r="CG449" s="83"/>
      <c r="CH449" s="83"/>
      <c r="CI449" s="83"/>
      <c r="CJ449" s="83"/>
      <c r="CK449" s="83"/>
      <c r="CL449" s="83"/>
      <c r="CM449" s="83"/>
      <c r="CN449" s="83"/>
      <c r="CO449" s="83"/>
      <c r="CP449" s="83"/>
      <c r="CQ449" s="83"/>
      <c r="CR449" s="83"/>
      <c r="CS449" s="83"/>
      <c r="CT449" s="83"/>
      <c r="CU449" s="83"/>
      <c r="CV449" s="83"/>
      <c r="CW449" s="83"/>
      <c r="CX449" s="83"/>
      <c r="CY449" s="83"/>
      <c r="CZ449" s="83"/>
      <c r="DA449" s="83"/>
      <c r="DB449" s="83"/>
      <c r="DC449" s="83"/>
      <c r="DD449" s="83"/>
      <c r="DE449" s="83"/>
      <c r="DF449" s="115"/>
      <c r="DG449" s="115"/>
    </row>
    <row r="450" spans="1:111" ht="9" customHeight="1">
      <c r="A450" s="128"/>
      <c r="B450" s="187"/>
      <c r="C450" s="187"/>
      <c r="D450" s="187"/>
      <c r="E450" s="187"/>
      <c r="F450" s="187"/>
      <c r="G450" s="187"/>
      <c r="H450" s="187"/>
      <c r="I450" s="188"/>
      <c r="J450" s="187"/>
      <c r="K450" s="187"/>
      <c r="L450" s="187"/>
      <c r="M450" s="187"/>
      <c r="N450" s="128"/>
      <c r="O450" s="549"/>
      <c r="P450" s="550"/>
      <c r="Q450" s="550"/>
      <c r="R450" s="550"/>
      <c r="S450" s="550"/>
      <c r="T450" s="550"/>
      <c r="U450" s="550"/>
      <c r="V450" s="550"/>
      <c r="W450" s="550"/>
      <c r="X450" s="550"/>
      <c r="Y450" s="550"/>
      <c r="Z450" s="550"/>
      <c r="AA450" s="550"/>
      <c r="AB450" s="550"/>
      <c r="AC450" s="550"/>
      <c r="AD450" s="550"/>
      <c r="AE450" s="550"/>
      <c r="AF450" s="550"/>
      <c r="AG450" s="550"/>
      <c r="AH450" s="550"/>
      <c r="AI450" s="550"/>
      <c r="AJ450" s="550"/>
      <c r="AK450" s="550"/>
      <c r="AL450" s="550"/>
      <c r="AM450" s="550"/>
      <c r="AN450" s="550"/>
      <c r="AO450" s="550"/>
      <c r="AP450" s="550"/>
      <c r="AQ450" s="550"/>
      <c r="AR450" s="550"/>
      <c r="AS450" s="550"/>
      <c r="AT450" s="550"/>
      <c r="AU450" s="550"/>
      <c r="AV450" s="550"/>
      <c r="AW450" s="550"/>
      <c r="AX450" s="550"/>
      <c r="AY450" s="550"/>
      <c r="AZ450" s="550"/>
      <c r="BA450" s="551"/>
      <c r="BB450" s="128"/>
      <c r="BC450" s="115"/>
      <c r="BD450" s="115"/>
      <c r="BE450" s="115"/>
      <c r="BF450" s="115"/>
      <c r="BG450" s="83"/>
      <c r="BH450" s="83"/>
      <c r="BI450" s="83"/>
      <c r="BJ450" s="83"/>
      <c r="BK450" s="83"/>
      <c r="BL450" s="83"/>
      <c r="BM450" s="83"/>
      <c r="BN450" s="83"/>
      <c r="BO450" s="83"/>
      <c r="BP450" s="83"/>
      <c r="BQ450" s="83"/>
      <c r="BR450" s="83"/>
      <c r="BS450" s="83"/>
      <c r="BT450" s="83"/>
      <c r="BU450" s="83"/>
      <c r="BV450" s="83"/>
      <c r="BW450" s="83"/>
      <c r="BX450" s="83"/>
      <c r="BY450" s="83"/>
      <c r="BZ450" s="83"/>
      <c r="CA450" s="83"/>
      <c r="CB450" s="83"/>
      <c r="CC450" s="83"/>
      <c r="CD450" s="83"/>
      <c r="CE450" s="83"/>
      <c r="CF450" s="83"/>
      <c r="CG450" s="83"/>
      <c r="CH450" s="83"/>
      <c r="CI450" s="83"/>
      <c r="CJ450" s="83"/>
      <c r="CK450" s="83"/>
      <c r="CL450" s="83"/>
      <c r="CM450" s="83"/>
      <c r="CN450" s="83"/>
      <c r="CO450" s="83"/>
      <c r="CP450" s="83"/>
      <c r="CQ450" s="83"/>
      <c r="CR450" s="83"/>
      <c r="CS450" s="83"/>
      <c r="CT450" s="83"/>
      <c r="CU450" s="83"/>
      <c r="CV450" s="83"/>
      <c r="CW450" s="83"/>
      <c r="CX450" s="83"/>
      <c r="CY450" s="83"/>
      <c r="CZ450" s="83"/>
      <c r="DA450" s="83"/>
      <c r="DB450" s="83"/>
      <c r="DC450" s="83"/>
      <c r="DD450" s="83"/>
      <c r="DE450" s="83"/>
      <c r="DF450" s="115"/>
      <c r="DG450" s="115"/>
    </row>
    <row r="451" spans="1:111" ht="9" customHeight="1">
      <c r="A451" s="128"/>
      <c r="B451" s="187"/>
      <c r="C451" s="187"/>
      <c r="D451" s="187"/>
      <c r="E451" s="187"/>
      <c r="F451" s="187"/>
      <c r="G451" s="187"/>
      <c r="H451" s="187"/>
      <c r="I451" s="188"/>
      <c r="J451" s="187"/>
      <c r="K451" s="187"/>
      <c r="L451" s="187"/>
      <c r="M451" s="187"/>
      <c r="N451" s="128"/>
      <c r="O451" s="552"/>
      <c r="P451" s="553"/>
      <c r="Q451" s="553"/>
      <c r="R451" s="553"/>
      <c r="S451" s="553"/>
      <c r="T451" s="553"/>
      <c r="U451" s="553"/>
      <c r="V451" s="553"/>
      <c r="W451" s="553"/>
      <c r="X451" s="553"/>
      <c r="Y451" s="553"/>
      <c r="Z451" s="553"/>
      <c r="AA451" s="553"/>
      <c r="AB451" s="553"/>
      <c r="AC451" s="553"/>
      <c r="AD451" s="553"/>
      <c r="AE451" s="553"/>
      <c r="AF451" s="553"/>
      <c r="AG451" s="553"/>
      <c r="AH451" s="553"/>
      <c r="AI451" s="553"/>
      <c r="AJ451" s="553"/>
      <c r="AK451" s="553"/>
      <c r="AL451" s="553"/>
      <c r="AM451" s="553"/>
      <c r="AN451" s="553"/>
      <c r="AO451" s="553"/>
      <c r="AP451" s="553"/>
      <c r="AQ451" s="553"/>
      <c r="AR451" s="553"/>
      <c r="AS451" s="553"/>
      <c r="AT451" s="553"/>
      <c r="AU451" s="553"/>
      <c r="AV451" s="553"/>
      <c r="AW451" s="553"/>
      <c r="AX451" s="553"/>
      <c r="AY451" s="553"/>
      <c r="AZ451" s="553"/>
      <c r="BA451" s="554"/>
      <c r="BB451" s="128"/>
      <c r="BC451" s="115"/>
      <c r="BD451" s="115"/>
      <c r="BE451" s="115"/>
      <c r="BF451" s="115"/>
      <c r="BG451" s="83"/>
      <c r="BH451" s="83"/>
      <c r="BI451" s="83"/>
      <c r="BJ451" s="83"/>
      <c r="BK451" s="83"/>
      <c r="BL451" s="83"/>
      <c r="BM451" s="83"/>
      <c r="BN451" s="83"/>
      <c r="BO451" s="83"/>
      <c r="BP451" s="83"/>
      <c r="BQ451" s="83"/>
      <c r="BR451" s="83"/>
      <c r="BS451" s="83"/>
      <c r="BT451" s="83"/>
      <c r="BU451" s="83"/>
      <c r="BV451" s="83"/>
      <c r="BW451" s="83"/>
      <c r="BX451" s="83"/>
      <c r="BY451" s="83"/>
      <c r="BZ451" s="83"/>
      <c r="CA451" s="83"/>
      <c r="CB451" s="83"/>
      <c r="CC451" s="83"/>
      <c r="CD451" s="83"/>
      <c r="CE451" s="83"/>
      <c r="CF451" s="83"/>
      <c r="CG451" s="83"/>
      <c r="CH451" s="83"/>
      <c r="CI451" s="83"/>
      <c r="CJ451" s="83"/>
      <c r="CK451" s="83"/>
      <c r="CL451" s="83"/>
      <c r="CM451" s="83"/>
      <c r="CN451" s="83"/>
      <c r="CO451" s="83"/>
      <c r="CP451" s="83"/>
      <c r="CQ451" s="83"/>
      <c r="CR451" s="83"/>
      <c r="CS451" s="83"/>
      <c r="CT451" s="83"/>
      <c r="CU451" s="83"/>
      <c r="CV451" s="83"/>
      <c r="CW451" s="83"/>
      <c r="CX451" s="83"/>
      <c r="CY451" s="83"/>
      <c r="CZ451" s="83"/>
      <c r="DA451" s="83"/>
      <c r="DB451" s="83"/>
      <c r="DC451" s="83"/>
      <c r="DD451" s="83"/>
      <c r="DE451" s="83"/>
      <c r="DF451" s="115"/>
      <c r="DG451" s="115"/>
    </row>
    <row r="452" spans="1:111" ht="4.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15"/>
      <c r="BD452" s="115"/>
      <c r="BE452" s="115"/>
      <c r="BF452" s="115"/>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c r="CC452" s="83"/>
      <c r="CD452" s="83"/>
      <c r="CE452" s="83"/>
      <c r="CF452" s="83"/>
      <c r="CG452" s="83"/>
      <c r="CH452" s="83"/>
      <c r="CI452" s="83"/>
      <c r="CJ452" s="83"/>
      <c r="CK452" s="83"/>
      <c r="CL452" s="83"/>
      <c r="CM452" s="83"/>
      <c r="CN452" s="83"/>
      <c r="CO452" s="83"/>
      <c r="CP452" s="83"/>
      <c r="CQ452" s="83"/>
      <c r="CR452" s="83"/>
      <c r="CS452" s="83"/>
      <c r="CT452" s="83"/>
      <c r="CU452" s="83"/>
      <c r="CV452" s="83"/>
      <c r="CW452" s="83"/>
      <c r="CX452" s="83"/>
      <c r="CY452" s="83"/>
      <c r="CZ452" s="83"/>
      <c r="DA452" s="83"/>
      <c r="DB452" s="83"/>
      <c r="DC452" s="83"/>
      <c r="DD452" s="83"/>
      <c r="DE452" s="83"/>
      <c r="DF452" s="115"/>
      <c r="DG452" s="115"/>
    </row>
    <row r="453" spans="1:111" ht="9" customHeight="1">
      <c r="A453" s="128"/>
      <c r="B453" s="527" t="s">
        <v>457</v>
      </c>
      <c r="C453" s="527"/>
      <c r="D453" s="527"/>
      <c r="E453" s="527"/>
      <c r="F453" s="527"/>
      <c r="G453" s="527"/>
      <c r="H453" s="527"/>
      <c r="I453" s="527"/>
      <c r="J453" s="527"/>
      <c r="K453" s="527"/>
      <c r="L453" s="527"/>
      <c r="M453" s="527"/>
      <c r="N453" s="186"/>
      <c r="O453" s="546"/>
      <c r="P453" s="547"/>
      <c r="Q453" s="547"/>
      <c r="R453" s="547"/>
      <c r="S453" s="547"/>
      <c r="T453" s="547"/>
      <c r="U453" s="547"/>
      <c r="V453" s="547"/>
      <c r="W453" s="547"/>
      <c r="X453" s="547"/>
      <c r="Y453" s="547"/>
      <c r="Z453" s="547"/>
      <c r="AA453" s="547"/>
      <c r="AB453" s="547"/>
      <c r="AC453" s="547"/>
      <c r="AD453" s="547"/>
      <c r="AE453" s="547"/>
      <c r="AF453" s="547"/>
      <c r="AG453" s="547"/>
      <c r="AH453" s="547"/>
      <c r="AI453" s="547"/>
      <c r="AJ453" s="547"/>
      <c r="AK453" s="547"/>
      <c r="AL453" s="547"/>
      <c r="AM453" s="547"/>
      <c r="AN453" s="547"/>
      <c r="AO453" s="547"/>
      <c r="AP453" s="547"/>
      <c r="AQ453" s="547"/>
      <c r="AR453" s="547"/>
      <c r="AS453" s="547"/>
      <c r="AT453" s="547"/>
      <c r="AU453" s="547"/>
      <c r="AV453" s="547"/>
      <c r="AW453" s="547"/>
      <c r="AX453" s="547"/>
      <c r="AY453" s="547"/>
      <c r="AZ453" s="547"/>
      <c r="BA453" s="548"/>
      <c r="BB453" s="128"/>
      <c r="BC453" s="115"/>
      <c r="BD453" s="115"/>
      <c r="BE453" s="115"/>
      <c r="BF453" s="115"/>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c r="CC453" s="83"/>
      <c r="CD453" s="83"/>
      <c r="CE453" s="83"/>
      <c r="CF453" s="83"/>
      <c r="CG453" s="83"/>
      <c r="CH453" s="83"/>
      <c r="CI453" s="83"/>
      <c r="CJ453" s="83"/>
      <c r="CK453" s="83"/>
      <c r="CL453" s="83"/>
      <c r="CM453" s="83"/>
      <c r="CN453" s="83"/>
      <c r="CO453" s="83"/>
      <c r="CP453" s="83"/>
      <c r="CQ453" s="83"/>
      <c r="CR453" s="83"/>
      <c r="CS453" s="83"/>
      <c r="CT453" s="83"/>
      <c r="CU453" s="83"/>
      <c r="CV453" s="83"/>
      <c r="CW453" s="83"/>
      <c r="CX453" s="83"/>
      <c r="CY453" s="83"/>
      <c r="CZ453" s="83"/>
      <c r="DA453" s="83"/>
      <c r="DB453" s="83"/>
      <c r="DC453" s="83"/>
      <c r="DD453" s="83"/>
      <c r="DE453" s="83"/>
      <c r="DF453" s="115"/>
      <c r="DG453" s="115"/>
    </row>
    <row r="454" spans="1:111" ht="9" customHeight="1">
      <c r="A454" s="128"/>
      <c r="B454" s="527"/>
      <c r="C454" s="527"/>
      <c r="D454" s="527"/>
      <c r="E454" s="527"/>
      <c r="F454" s="527"/>
      <c r="G454" s="527"/>
      <c r="H454" s="527"/>
      <c r="I454" s="527"/>
      <c r="J454" s="527"/>
      <c r="K454" s="527"/>
      <c r="L454" s="527"/>
      <c r="M454" s="527"/>
      <c r="N454" s="186"/>
      <c r="O454" s="549"/>
      <c r="P454" s="550"/>
      <c r="Q454" s="550"/>
      <c r="R454" s="550"/>
      <c r="S454" s="550"/>
      <c r="T454" s="550"/>
      <c r="U454" s="550"/>
      <c r="V454" s="550"/>
      <c r="W454" s="550"/>
      <c r="X454" s="550"/>
      <c r="Y454" s="550"/>
      <c r="Z454" s="550"/>
      <c r="AA454" s="550"/>
      <c r="AB454" s="550"/>
      <c r="AC454" s="550"/>
      <c r="AD454" s="550"/>
      <c r="AE454" s="550"/>
      <c r="AF454" s="550"/>
      <c r="AG454" s="550"/>
      <c r="AH454" s="550"/>
      <c r="AI454" s="550"/>
      <c r="AJ454" s="550"/>
      <c r="AK454" s="550"/>
      <c r="AL454" s="550"/>
      <c r="AM454" s="550"/>
      <c r="AN454" s="550"/>
      <c r="AO454" s="550"/>
      <c r="AP454" s="550"/>
      <c r="AQ454" s="550"/>
      <c r="AR454" s="550"/>
      <c r="AS454" s="550"/>
      <c r="AT454" s="550"/>
      <c r="AU454" s="550"/>
      <c r="AV454" s="550"/>
      <c r="AW454" s="550"/>
      <c r="AX454" s="550"/>
      <c r="AY454" s="550"/>
      <c r="AZ454" s="550"/>
      <c r="BA454" s="551"/>
      <c r="BB454" s="128"/>
      <c r="BC454" s="115"/>
      <c r="BD454" s="115"/>
      <c r="BE454" s="115"/>
      <c r="BF454" s="115"/>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c r="CC454" s="83"/>
      <c r="CD454" s="83"/>
      <c r="CE454" s="83"/>
      <c r="CF454" s="83"/>
      <c r="CG454" s="83"/>
      <c r="CH454" s="83"/>
      <c r="CI454" s="83"/>
      <c r="CJ454" s="83"/>
      <c r="CK454" s="83"/>
      <c r="CL454" s="83"/>
      <c r="CM454" s="83"/>
      <c r="CN454" s="83"/>
      <c r="CO454" s="83"/>
      <c r="CP454" s="83"/>
      <c r="CQ454" s="83"/>
      <c r="CR454" s="83"/>
      <c r="CS454" s="83"/>
      <c r="CT454" s="83"/>
      <c r="CU454" s="83"/>
      <c r="CV454" s="83"/>
      <c r="CW454" s="83"/>
      <c r="CX454" s="83"/>
      <c r="CY454" s="83"/>
      <c r="CZ454" s="83"/>
      <c r="DA454" s="83"/>
      <c r="DB454" s="83"/>
      <c r="DC454" s="83"/>
      <c r="DD454" s="83"/>
      <c r="DE454" s="83"/>
      <c r="DF454" s="115"/>
      <c r="DG454" s="115"/>
    </row>
    <row r="455" spans="1:111" ht="9" customHeight="1">
      <c r="A455" s="128"/>
      <c r="B455" s="187"/>
      <c r="C455" s="187"/>
      <c r="D455" s="187"/>
      <c r="E455" s="187"/>
      <c r="F455" s="187"/>
      <c r="G455" s="187"/>
      <c r="H455" s="187"/>
      <c r="I455" s="188"/>
      <c r="J455" s="187"/>
      <c r="K455" s="187"/>
      <c r="L455" s="187"/>
      <c r="M455" s="187"/>
      <c r="N455" s="128"/>
      <c r="O455" s="549"/>
      <c r="P455" s="550"/>
      <c r="Q455" s="550"/>
      <c r="R455" s="550"/>
      <c r="S455" s="550"/>
      <c r="T455" s="550"/>
      <c r="U455" s="550"/>
      <c r="V455" s="550"/>
      <c r="W455" s="550"/>
      <c r="X455" s="550"/>
      <c r="Y455" s="550"/>
      <c r="Z455" s="550"/>
      <c r="AA455" s="550"/>
      <c r="AB455" s="550"/>
      <c r="AC455" s="550"/>
      <c r="AD455" s="550"/>
      <c r="AE455" s="550"/>
      <c r="AF455" s="550"/>
      <c r="AG455" s="550"/>
      <c r="AH455" s="550"/>
      <c r="AI455" s="550"/>
      <c r="AJ455" s="550"/>
      <c r="AK455" s="550"/>
      <c r="AL455" s="550"/>
      <c r="AM455" s="550"/>
      <c r="AN455" s="550"/>
      <c r="AO455" s="550"/>
      <c r="AP455" s="550"/>
      <c r="AQ455" s="550"/>
      <c r="AR455" s="550"/>
      <c r="AS455" s="550"/>
      <c r="AT455" s="550"/>
      <c r="AU455" s="550"/>
      <c r="AV455" s="550"/>
      <c r="AW455" s="550"/>
      <c r="AX455" s="550"/>
      <c r="AY455" s="550"/>
      <c r="AZ455" s="550"/>
      <c r="BA455" s="551"/>
      <c r="BB455" s="128"/>
      <c r="BC455" s="115"/>
      <c r="BD455" s="115"/>
      <c r="BE455" s="115"/>
      <c r="BF455" s="115"/>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83"/>
      <c r="CN455" s="83"/>
      <c r="CO455" s="83"/>
      <c r="CP455" s="83"/>
      <c r="CQ455" s="83"/>
      <c r="CR455" s="83"/>
      <c r="CS455" s="83"/>
      <c r="CT455" s="83"/>
      <c r="CU455" s="83"/>
      <c r="CV455" s="83"/>
      <c r="CW455" s="83"/>
      <c r="CX455" s="83"/>
      <c r="CY455" s="83"/>
      <c r="CZ455" s="83"/>
      <c r="DA455" s="83"/>
      <c r="DB455" s="83"/>
      <c r="DC455" s="83"/>
      <c r="DD455" s="83"/>
      <c r="DE455" s="83"/>
      <c r="DF455" s="115"/>
      <c r="DG455" s="115"/>
    </row>
    <row r="456" spans="1:111" ht="9" customHeight="1">
      <c r="A456" s="128"/>
      <c r="B456" s="187"/>
      <c r="C456" s="187"/>
      <c r="D456" s="187"/>
      <c r="E456" s="187"/>
      <c r="F456" s="187"/>
      <c r="G456" s="187"/>
      <c r="H456" s="187"/>
      <c r="I456" s="188"/>
      <c r="J456" s="187"/>
      <c r="K456" s="187"/>
      <c r="L456" s="187"/>
      <c r="M456" s="187"/>
      <c r="N456" s="128"/>
      <c r="O456" s="552"/>
      <c r="P456" s="553"/>
      <c r="Q456" s="553"/>
      <c r="R456" s="553"/>
      <c r="S456" s="553"/>
      <c r="T456" s="553"/>
      <c r="U456" s="553"/>
      <c r="V456" s="553"/>
      <c r="W456" s="553"/>
      <c r="X456" s="553"/>
      <c r="Y456" s="553"/>
      <c r="Z456" s="553"/>
      <c r="AA456" s="553"/>
      <c r="AB456" s="553"/>
      <c r="AC456" s="553"/>
      <c r="AD456" s="553"/>
      <c r="AE456" s="553"/>
      <c r="AF456" s="553"/>
      <c r="AG456" s="553"/>
      <c r="AH456" s="553"/>
      <c r="AI456" s="553"/>
      <c r="AJ456" s="553"/>
      <c r="AK456" s="553"/>
      <c r="AL456" s="553"/>
      <c r="AM456" s="553"/>
      <c r="AN456" s="553"/>
      <c r="AO456" s="553"/>
      <c r="AP456" s="553"/>
      <c r="AQ456" s="553"/>
      <c r="AR456" s="553"/>
      <c r="AS456" s="553"/>
      <c r="AT456" s="553"/>
      <c r="AU456" s="553"/>
      <c r="AV456" s="553"/>
      <c r="AW456" s="553"/>
      <c r="AX456" s="553"/>
      <c r="AY456" s="553"/>
      <c r="AZ456" s="553"/>
      <c r="BA456" s="554"/>
      <c r="BB456" s="128"/>
      <c r="BC456" s="115"/>
      <c r="BD456" s="115"/>
      <c r="BE456" s="115"/>
      <c r="BF456" s="115"/>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c r="CC456" s="83"/>
      <c r="CD456" s="83"/>
      <c r="CE456" s="83"/>
      <c r="CF456" s="83"/>
      <c r="CG456" s="83"/>
      <c r="CH456" s="83"/>
      <c r="CI456" s="83"/>
      <c r="CJ456" s="83"/>
      <c r="CK456" s="83"/>
      <c r="CL456" s="83"/>
      <c r="CM456" s="83"/>
      <c r="CN456" s="83"/>
      <c r="CO456" s="83"/>
      <c r="CP456" s="83"/>
      <c r="CQ456" s="83"/>
      <c r="CR456" s="83"/>
      <c r="CS456" s="83"/>
      <c r="CT456" s="83"/>
      <c r="CU456" s="83"/>
      <c r="CV456" s="83"/>
      <c r="CW456" s="83"/>
      <c r="CX456" s="83"/>
      <c r="CY456" s="83"/>
      <c r="CZ456" s="83"/>
      <c r="DA456" s="83"/>
      <c r="DB456" s="83"/>
      <c r="DC456" s="83"/>
      <c r="DD456" s="83"/>
      <c r="DE456" s="83"/>
      <c r="DF456" s="115"/>
      <c r="DG456" s="115"/>
    </row>
    <row r="457" spans="1:111" ht="18"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15"/>
      <c r="BD457" s="115"/>
      <c r="BE457" s="115"/>
      <c r="BF457" s="115"/>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c r="CC457" s="83"/>
      <c r="CD457" s="83"/>
      <c r="CE457" s="83"/>
      <c r="CF457" s="83"/>
      <c r="CG457" s="83"/>
      <c r="CH457" s="83"/>
      <c r="CI457" s="83"/>
      <c r="CJ457" s="83"/>
      <c r="CK457" s="83"/>
      <c r="CL457" s="83"/>
      <c r="CM457" s="83"/>
      <c r="CN457" s="83"/>
      <c r="CO457" s="83"/>
      <c r="CP457" s="83"/>
      <c r="CQ457" s="83"/>
      <c r="CR457" s="83"/>
      <c r="CS457" s="83"/>
      <c r="CT457" s="83"/>
      <c r="CU457" s="83"/>
      <c r="CV457" s="83"/>
      <c r="CW457" s="83"/>
      <c r="CX457" s="83"/>
      <c r="CY457" s="83"/>
      <c r="CZ457" s="83"/>
      <c r="DA457" s="83"/>
      <c r="DB457" s="83"/>
      <c r="DC457" s="83"/>
      <c r="DD457" s="83"/>
      <c r="DE457" s="83"/>
      <c r="DF457" s="115"/>
      <c r="DG457" s="115"/>
    </row>
    <row r="458" spans="1:111" ht="9" customHeight="1">
      <c r="A458" s="128"/>
      <c r="B458" s="525" t="s">
        <v>464</v>
      </c>
      <c r="C458" s="525"/>
      <c r="D458" s="525"/>
      <c r="E458" s="525"/>
      <c r="F458" s="525"/>
      <c r="G458" s="525"/>
      <c r="H458" s="525"/>
      <c r="I458" s="525"/>
      <c r="J458" s="525"/>
      <c r="K458" s="525"/>
      <c r="L458" s="525"/>
      <c r="M458" s="525"/>
      <c r="N458" s="525"/>
      <c r="O458" s="525"/>
      <c r="P458" s="525"/>
      <c r="Q458" s="525"/>
      <c r="R458" s="525"/>
      <c r="S458" s="525"/>
      <c r="T458" s="525"/>
      <c r="U458" s="525"/>
      <c r="V458" s="525"/>
      <c r="W458" s="525"/>
      <c r="X458" s="525"/>
      <c r="Y458" s="525"/>
      <c r="Z458" s="525"/>
      <c r="AA458" s="525"/>
      <c r="AB458" s="525"/>
      <c r="AC458" s="525"/>
      <c r="AD458" s="525"/>
      <c r="AE458" s="525"/>
      <c r="AF458" s="525"/>
      <c r="AG458" s="525"/>
      <c r="AH458" s="525"/>
      <c r="AI458" s="525"/>
      <c r="AJ458" s="525"/>
      <c r="AK458" s="525"/>
      <c r="AL458" s="525"/>
      <c r="AM458" s="525"/>
      <c r="AN458" s="525"/>
      <c r="AO458" s="525"/>
      <c r="AP458" s="525"/>
      <c r="AQ458" s="525"/>
      <c r="AR458" s="525"/>
      <c r="AS458" s="525"/>
      <c r="AT458" s="525"/>
      <c r="AU458" s="525"/>
      <c r="AV458" s="525"/>
      <c r="AW458" s="525"/>
      <c r="AX458" s="525"/>
      <c r="AY458" s="525"/>
      <c r="AZ458" s="525"/>
      <c r="BA458" s="525"/>
      <c r="BB458" s="128"/>
      <c r="BC458" s="115"/>
      <c r="BD458" s="115"/>
      <c r="BE458" s="115"/>
      <c r="BF458" s="115"/>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c r="CC458" s="83"/>
      <c r="CD458" s="83"/>
      <c r="CE458" s="83"/>
      <c r="CF458" s="83"/>
      <c r="CG458" s="83"/>
      <c r="CH458" s="83"/>
      <c r="CI458" s="83"/>
      <c r="CJ458" s="83"/>
      <c r="CK458" s="83"/>
      <c r="CL458" s="83"/>
      <c r="CM458" s="83"/>
      <c r="CN458" s="83"/>
      <c r="CO458" s="83"/>
      <c r="CP458" s="83"/>
      <c r="CQ458" s="83"/>
      <c r="CR458" s="83"/>
      <c r="CS458" s="83"/>
      <c r="CT458" s="83"/>
      <c r="CU458" s="83"/>
      <c r="CV458" s="83"/>
      <c r="CW458" s="83"/>
      <c r="CX458" s="83"/>
      <c r="CY458" s="83"/>
      <c r="CZ458" s="83"/>
      <c r="DA458" s="83"/>
      <c r="DB458" s="83"/>
      <c r="DC458" s="83"/>
      <c r="DD458" s="83"/>
      <c r="DE458" s="83"/>
      <c r="DF458" s="115"/>
      <c r="DG458" s="115"/>
    </row>
    <row r="459" spans="1:111" ht="9" customHeight="1">
      <c r="A459" s="128"/>
      <c r="B459" s="526"/>
      <c r="C459" s="526"/>
      <c r="D459" s="526"/>
      <c r="E459" s="526"/>
      <c r="F459" s="526"/>
      <c r="G459" s="526"/>
      <c r="H459" s="526"/>
      <c r="I459" s="526"/>
      <c r="J459" s="526"/>
      <c r="K459" s="526"/>
      <c r="L459" s="526"/>
      <c r="M459" s="526"/>
      <c r="N459" s="526"/>
      <c r="O459" s="526"/>
      <c r="P459" s="526"/>
      <c r="Q459" s="526"/>
      <c r="R459" s="526"/>
      <c r="S459" s="526"/>
      <c r="T459" s="526"/>
      <c r="U459" s="526"/>
      <c r="V459" s="526"/>
      <c r="W459" s="526"/>
      <c r="X459" s="526"/>
      <c r="Y459" s="526"/>
      <c r="Z459" s="526"/>
      <c r="AA459" s="526"/>
      <c r="AB459" s="526"/>
      <c r="AC459" s="526"/>
      <c r="AD459" s="526"/>
      <c r="AE459" s="526"/>
      <c r="AF459" s="526"/>
      <c r="AG459" s="526"/>
      <c r="AH459" s="526"/>
      <c r="AI459" s="526"/>
      <c r="AJ459" s="526"/>
      <c r="AK459" s="526"/>
      <c r="AL459" s="526"/>
      <c r="AM459" s="526"/>
      <c r="AN459" s="526"/>
      <c r="AO459" s="526"/>
      <c r="AP459" s="526"/>
      <c r="AQ459" s="526"/>
      <c r="AR459" s="526"/>
      <c r="AS459" s="526"/>
      <c r="AT459" s="526"/>
      <c r="AU459" s="526"/>
      <c r="AV459" s="526"/>
      <c r="AW459" s="526"/>
      <c r="AX459" s="526"/>
      <c r="AY459" s="526"/>
      <c r="AZ459" s="526"/>
      <c r="BA459" s="526"/>
      <c r="BB459" s="128"/>
      <c r="BC459" s="115"/>
      <c r="BD459" s="115"/>
      <c r="BE459" s="115"/>
      <c r="BF459" s="115"/>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83"/>
      <c r="CN459" s="83"/>
      <c r="CO459" s="83"/>
      <c r="CP459" s="83"/>
      <c r="CQ459" s="83"/>
      <c r="CR459" s="83"/>
      <c r="CS459" s="83"/>
      <c r="CT459" s="83"/>
      <c r="CU459" s="83"/>
      <c r="CV459" s="83"/>
      <c r="CW459" s="83"/>
      <c r="CX459" s="83"/>
      <c r="CY459" s="83"/>
      <c r="CZ459" s="83"/>
      <c r="DA459" s="83"/>
      <c r="DB459" s="83"/>
      <c r="DC459" s="83"/>
      <c r="DD459" s="83"/>
      <c r="DE459" s="83"/>
      <c r="DF459" s="115"/>
      <c r="DG459" s="115"/>
    </row>
    <row r="460" spans="1:111" ht="4.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15"/>
      <c r="BD460" s="115"/>
      <c r="BE460" s="115"/>
      <c r="BF460" s="115"/>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c r="CC460" s="83"/>
      <c r="CD460" s="83"/>
      <c r="CE460" s="83"/>
      <c r="CF460" s="83"/>
      <c r="CG460" s="83"/>
      <c r="CH460" s="83"/>
      <c r="CI460" s="83"/>
      <c r="CJ460" s="83"/>
      <c r="CK460" s="83"/>
      <c r="CL460" s="83"/>
      <c r="CM460" s="83"/>
      <c r="CN460" s="83"/>
      <c r="CO460" s="83"/>
      <c r="CP460" s="83"/>
      <c r="CQ460" s="83"/>
      <c r="CR460" s="83"/>
      <c r="CS460" s="83"/>
      <c r="CT460" s="83"/>
      <c r="CU460" s="83"/>
      <c r="CV460" s="83"/>
      <c r="CW460" s="83"/>
      <c r="CX460" s="83"/>
      <c r="CY460" s="83"/>
      <c r="CZ460" s="83"/>
      <c r="DA460" s="83"/>
      <c r="DB460" s="83"/>
      <c r="DC460" s="83"/>
      <c r="DD460" s="83"/>
      <c r="DE460" s="83"/>
      <c r="DF460" s="115"/>
      <c r="DG460" s="115"/>
    </row>
    <row r="461" spans="1:111" ht="9" customHeight="1">
      <c r="A461" s="128"/>
      <c r="B461" s="527" t="s">
        <v>447</v>
      </c>
      <c r="C461" s="527"/>
      <c r="D461" s="527"/>
      <c r="E461" s="527"/>
      <c r="F461" s="527"/>
      <c r="G461" s="527"/>
      <c r="H461" s="527"/>
      <c r="I461" s="527"/>
      <c r="J461" s="527"/>
      <c r="K461" s="527"/>
      <c r="L461" s="527"/>
      <c r="M461" s="527"/>
      <c r="N461" s="186"/>
      <c r="O461" s="546"/>
      <c r="P461" s="547"/>
      <c r="Q461" s="547"/>
      <c r="R461" s="547"/>
      <c r="S461" s="547"/>
      <c r="T461" s="547"/>
      <c r="U461" s="547"/>
      <c r="V461" s="547"/>
      <c r="W461" s="547"/>
      <c r="X461" s="547"/>
      <c r="Y461" s="547"/>
      <c r="Z461" s="547"/>
      <c r="AA461" s="547"/>
      <c r="AB461" s="547"/>
      <c r="AC461" s="547"/>
      <c r="AD461" s="547"/>
      <c r="AE461" s="547"/>
      <c r="AF461" s="547"/>
      <c r="AG461" s="547"/>
      <c r="AH461" s="547"/>
      <c r="AI461" s="547"/>
      <c r="AJ461" s="547"/>
      <c r="AK461" s="547"/>
      <c r="AL461" s="547"/>
      <c r="AM461" s="547"/>
      <c r="AN461" s="547"/>
      <c r="AO461" s="547"/>
      <c r="AP461" s="547"/>
      <c r="AQ461" s="547"/>
      <c r="AR461" s="547"/>
      <c r="AS461" s="547"/>
      <c r="AT461" s="547"/>
      <c r="AU461" s="547"/>
      <c r="AV461" s="547"/>
      <c r="AW461" s="547"/>
      <c r="AX461" s="547"/>
      <c r="AY461" s="547"/>
      <c r="AZ461" s="547"/>
      <c r="BA461" s="548"/>
      <c r="BB461" s="128"/>
      <c r="BC461" s="115"/>
      <c r="BD461" s="115"/>
      <c r="BE461" s="115"/>
      <c r="BF461" s="115"/>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83"/>
      <c r="CN461" s="83"/>
      <c r="CO461" s="83"/>
      <c r="CP461" s="83"/>
      <c r="CQ461" s="83"/>
      <c r="CR461" s="83"/>
      <c r="CS461" s="83"/>
      <c r="CT461" s="83"/>
      <c r="CU461" s="83"/>
      <c r="CV461" s="83"/>
      <c r="CW461" s="83"/>
      <c r="CX461" s="83"/>
      <c r="CY461" s="83"/>
      <c r="CZ461" s="83"/>
      <c r="DA461" s="83"/>
      <c r="DB461" s="83"/>
      <c r="DC461" s="83"/>
      <c r="DD461" s="83"/>
      <c r="DE461" s="83"/>
      <c r="DF461" s="115"/>
      <c r="DG461" s="115"/>
    </row>
    <row r="462" spans="1:111" ht="9" customHeight="1">
      <c r="A462" s="128"/>
      <c r="B462" s="527"/>
      <c r="C462" s="527"/>
      <c r="D462" s="527"/>
      <c r="E462" s="527"/>
      <c r="F462" s="527"/>
      <c r="G462" s="527"/>
      <c r="H462" s="527"/>
      <c r="I462" s="527"/>
      <c r="J462" s="527"/>
      <c r="K462" s="527"/>
      <c r="L462" s="527"/>
      <c r="M462" s="527"/>
      <c r="N462" s="186"/>
      <c r="O462" s="549"/>
      <c r="P462" s="550"/>
      <c r="Q462" s="550"/>
      <c r="R462" s="550"/>
      <c r="S462" s="550"/>
      <c r="T462" s="550"/>
      <c r="U462" s="550"/>
      <c r="V462" s="550"/>
      <c r="W462" s="550"/>
      <c r="X462" s="550"/>
      <c r="Y462" s="550"/>
      <c r="Z462" s="550"/>
      <c r="AA462" s="550"/>
      <c r="AB462" s="550"/>
      <c r="AC462" s="550"/>
      <c r="AD462" s="550"/>
      <c r="AE462" s="550"/>
      <c r="AF462" s="550"/>
      <c r="AG462" s="550"/>
      <c r="AH462" s="550"/>
      <c r="AI462" s="550"/>
      <c r="AJ462" s="550"/>
      <c r="AK462" s="550"/>
      <c r="AL462" s="550"/>
      <c r="AM462" s="550"/>
      <c r="AN462" s="550"/>
      <c r="AO462" s="550"/>
      <c r="AP462" s="550"/>
      <c r="AQ462" s="550"/>
      <c r="AR462" s="550"/>
      <c r="AS462" s="550"/>
      <c r="AT462" s="550"/>
      <c r="AU462" s="550"/>
      <c r="AV462" s="550"/>
      <c r="AW462" s="550"/>
      <c r="AX462" s="550"/>
      <c r="AY462" s="550"/>
      <c r="AZ462" s="550"/>
      <c r="BA462" s="551"/>
      <c r="BB462" s="128"/>
      <c r="BC462" s="115"/>
      <c r="BD462" s="115"/>
      <c r="BE462" s="115"/>
      <c r="BF462" s="115"/>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c r="CC462" s="83"/>
      <c r="CD462" s="83"/>
      <c r="CE462" s="83"/>
      <c r="CF462" s="83"/>
      <c r="CG462" s="83"/>
      <c r="CH462" s="83"/>
      <c r="CI462" s="83"/>
      <c r="CJ462" s="83"/>
      <c r="CK462" s="83"/>
      <c r="CL462" s="83"/>
      <c r="CM462" s="83"/>
      <c r="CN462" s="83"/>
      <c r="CO462" s="83"/>
      <c r="CP462" s="83"/>
      <c r="CQ462" s="83"/>
      <c r="CR462" s="83"/>
      <c r="CS462" s="83"/>
      <c r="CT462" s="83"/>
      <c r="CU462" s="83"/>
      <c r="CV462" s="83"/>
      <c r="CW462" s="83"/>
      <c r="CX462" s="83"/>
      <c r="CY462" s="83"/>
      <c r="CZ462" s="83"/>
      <c r="DA462" s="83"/>
      <c r="DB462" s="83"/>
      <c r="DC462" s="83"/>
      <c r="DD462" s="83"/>
      <c r="DE462" s="83"/>
      <c r="DF462" s="115"/>
      <c r="DG462" s="115"/>
    </row>
    <row r="463" spans="1:111" ht="9" customHeight="1">
      <c r="A463" s="128"/>
      <c r="B463" s="187"/>
      <c r="C463" s="187"/>
      <c r="D463" s="187"/>
      <c r="E463" s="187"/>
      <c r="F463" s="187"/>
      <c r="G463" s="187"/>
      <c r="H463" s="187"/>
      <c r="I463" s="188"/>
      <c r="J463" s="187"/>
      <c r="K463" s="187"/>
      <c r="L463" s="187"/>
      <c r="M463" s="187"/>
      <c r="N463" s="128"/>
      <c r="O463" s="549"/>
      <c r="P463" s="550"/>
      <c r="Q463" s="550"/>
      <c r="R463" s="550"/>
      <c r="S463" s="550"/>
      <c r="T463" s="550"/>
      <c r="U463" s="550"/>
      <c r="V463" s="550"/>
      <c r="W463" s="550"/>
      <c r="X463" s="550"/>
      <c r="Y463" s="550"/>
      <c r="Z463" s="550"/>
      <c r="AA463" s="550"/>
      <c r="AB463" s="550"/>
      <c r="AC463" s="550"/>
      <c r="AD463" s="550"/>
      <c r="AE463" s="550"/>
      <c r="AF463" s="550"/>
      <c r="AG463" s="550"/>
      <c r="AH463" s="550"/>
      <c r="AI463" s="550"/>
      <c r="AJ463" s="550"/>
      <c r="AK463" s="550"/>
      <c r="AL463" s="550"/>
      <c r="AM463" s="550"/>
      <c r="AN463" s="550"/>
      <c r="AO463" s="550"/>
      <c r="AP463" s="550"/>
      <c r="AQ463" s="550"/>
      <c r="AR463" s="550"/>
      <c r="AS463" s="550"/>
      <c r="AT463" s="550"/>
      <c r="AU463" s="550"/>
      <c r="AV463" s="550"/>
      <c r="AW463" s="550"/>
      <c r="AX463" s="550"/>
      <c r="AY463" s="550"/>
      <c r="AZ463" s="550"/>
      <c r="BA463" s="551"/>
      <c r="BB463" s="128"/>
      <c r="BC463" s="115"/>
      <c r="BD463" s="115"/>
      <c r="BE463" s="115"/>
      <c r="BF463" s="115"/>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83"/>
      <c r="CN463" s="83"/>
      <c r="CO463" s="83"/>
      <c r="CP463" s="83"/>
      <c r="CQ463" s="83"/>
      <c r="CR463" s="83"/>
      <c r="CS463" s="83"/>
      <c r="CT463" s="83"/>
      <c r="CU463" s="83"/>
      <c r="CV463" s="83"/>
      <c r="CW463" s="83"/>
      <c r="CX463" s="83"/>
      <c r="CY463" s="83"/>
      <c r="CZ463" s="83"/>
      <c r="DA463" s="83"/>
      <c r="DB463" s="83"/>
      <c r="DC463" s="83"/>
      <c r="DD463" s="83"/>
      <c r="DE463" s="83"/>
      <c r="DF463" s="115"/>
      <c r="DG463" s="115"/>
    </row>
    <row r="464" spans="1:111" ht="9" customHeight="1">
      <c r="A464" s="128"/>
      <c r="B464" s="187"/>
      <c r="C464" s="187"/>
      <c r="D464" s="187"/>
      <c r="E464" s="187"/>
      <c r="F464" s="187"/>
      <c r="G464" s="187"/>
      <c r="H464" s="187"/>
      <c r="I464" s="188"/>
      <c r="J464" s="187"/>
      <c r="K464" s="187"/>
      <c r="L464" s="187"/>
      <c r="M464" s="187"/>
      <c r="N464" s="128"/>
      <c r="O464" s="552"/>
      <c r="P464" s="553"/>
      <c r="Q464" s="553"/>
      <c r="R464" s="553"/>
      <c r="S464" s="553"/>
      <c r="T464" s="553"/>
      <c r="U464" s="553"/>
      <c r="V464" s="553"/>
      <c r="W464" s="553"/>
      <c r="X464" s="553"/>
      <c r="Y464" s="553"/>
      <c r="Z464" s="553"/>
      <c r="AA464" s="553"/>
      <c r="AB464" s="553"/>
      <c r="AC464" s="553"/>
      <c r="AD464" s="553"/>
      <c r="AE464" s="553"/>
      <c r="AF464" s="553"/>
      <c r="AG464" s="553"/>
      <c r="AH464" s="553"/>
      <c r="AI464" s="553"/>
      <c r="AJ464" s="553"/>
      <c r="AK464" s="553"/>
      <c r="AL464" s="553"/>
      <c r="AM464" s="553"/>
      <c r="AN464" s="553"/>
      <c r="AO464" s="553"/>
      <c r="AP464" s="553"/>
      <c r="AQ464" s="553"/>
      <c r="AR464" s="553"/>
      <c r="AS464" s="553"/>
      <c r="AT464" s="553"/>
      <c r="AU464" s="553"/>
      <c r="AV464" s="553"/>
      <c r="AW464" s="553"/>
      <c r="AX464" s="553"/>
      <c r="AY464" s="553"/>
      <c r="AZ464" s="553"/>
      <c r="BA464" s="554"/>
      <c r="BB464" s="128"/>
      <c r="BC464" s="115"/>
      <c r="BD464" s="115"/>
      <c r="BE464" s="115"/>
      <c r="BF464" s="115"/>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c r="CC464" s="83"/>
      <c r="CD464" s="83"/>
      <c r="CE464" s="83"/>
      <c r="CF464" s="83"/>
      <c r="CG464" s="83"/>
      <c r="CH464" s="83"/>
      <c r="CI464" s="83"/>
      <c r="CJ464" s="83"/>
      <c r="CK464" s="83"/>
      <c r="CL464" s="83"/>
      <c r="CM464" s="83"/>
      <c r="CN464" s="83"/>
      <c r="CO464" s="83"/>
      <c r="CP464" s="83"/>
      <c r="CQ464" s="83"/>
      <c r="CR464" s="83"/>
      <c r="CS464" s="83"/>
      <c r="CT464" s="83"/>
      <c r="CU464" s="83"/>
      <c r="CV464" s="83"/>
      <c r="CW464" s="83"/>
      <c r="CX464" s="83"/>
      <c r="CY464" s="83"/>
      <c r="CZ464" s="83"/>
      <c r="DA464" s="83"/>
      <c r="DB464" s="83"/>
      <c r="DC464" s="83"/>
      <c r="DD464" s="83"/>
      <c r="DE464" s="83"/>
      <c r="DF464" s="115"/>
      <c r="DG464" s="115"/>
    </row>
    <row r="465" spans="1:111" ht="4.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15"/>
      <c r="BD465" s="115"/>
      <c r="BE465" s="115"/>
      <c r="BF465" s="115"/>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c r="CC465" s="83"/>
      <c r="CD465" s="83"/>
      <c r="CE465" s="83"/>
      <c r="CF465" s="83"/>
      <c r="CG465" s="83"/>
      <c r="CH465" s="83"/>
      <c r="CI465" s="83"/>
      <c r="CJ465" s="83"/>
      <c r="CK465" s="83"/>
      <c r="CL465" s="83"/>
      <c r="CM465" s="83"/>
      <c r="CN465" s="83"/>
      <c r="CO465" s="83"/>
      <c r="CP465" s="83"/>
      <c r="CQ465" s="83"/>
      <c r="CR465" s="83"/>
      <c r="CS465" s="83"/>
      <c r="CT465" s="83"/>
      <c r="CU465" s="83"/>
      <c r="CV465" s="83"/>
      <c r="CW465" s="83"/>
      <c r="CX465" s="83"/>
      <c r="CY465" s="83"/>
      <c r="CZ465" s="83"/>
      <c r="DA465" s="83"/>
      <c r="DB465" s="83"/>
      <c r="DC465" s="83"/>
      <c r="DD465" s="83"/>
      <c r="DE465" s="83"/>
      <c r="DF465" s="115"/>
      <c r="DG465" s="115"/>
    </row>
    <row r="466" spans="1:111" ht="9" customHeight="1">
      <c r="A466" s="128"/>
      <c r="B466" s="527" t="s">
        <v>448</v>
      </c>
      <c r="C466" s="527"/>
      <c r="D466" s="527"/>
      <c r="E466" s="527"/>
      <c r="F466" s="527"/>
      <c r="G466" s="527"/>
      <c r="H466" s="527"/>
      <c r="I466" s="527"/>
      <c r="J466" s="527"/>
      <c r="K466" s="527"/>
      <c r="L466" s="527"/>
      <c r="M466" s="527"/>
      <c r="N466" s="186"/>
      <c r="O466" s="528"/>
      <c r="P466" s="529"/>
      <c r="Q466" s="529"/>
      <c r="R466" s="529"/>
      <c r="S466" s="529"/>
      <c r="T466" s="529"/>
      <c r="U466" s="529"/>
      <c r="V466" s="529"/>
      <c r="W466" s="529"/>
      <c r="X466" s="529"/>
      <c r="Y466" s="529"/>
      <c r="Z466" s="530"/>
      <c r="AA466" s="128"/>
      <c r="AB466" s="128"/>
      <c r="AC466" s="527" t="s">
        <v>449</v>
      </c>
      <c r="AD466" s="527"/>
      <c r="AE466" s="527"/>
      <c r="AF466" s="527"/>
      <c r="AG466" s="527"/>
      <c r="AH466" s="527"/>
      <c r="AI466" s="527"/>
      <c r="AJ466" s="527"/>
      <c r="AK466" s="527"/>
      <c r="AL466" s="527"/>
      <c r="AM466" s="527"/>
      <c r="AN466" s="527"/>
      <c r="AO466" s="128"/>
      <c r="AP466" s="528"/>
      <c r="AQ466" s="529"/>
      <c r="AR466" s="529"/>
      <c r="AS466" s="529"/>
      <c r="AT466" s="529"/>
      <c r="AU466" s="529"/>
      <c r="AV466" s="529"/>
      <c r="AW466" s="529"/>
      <c r="AX466" s="529"/>
      <c r="AY466" s="529"/>
      <c r="AZ466" s="529"/>
      <c r="BA466" s="530"/>
      <c r="BB466" s="128"/>
      <c r="BC466" s="115"/>
      <c r="BD466" s="115"/>
      <c r="BE466" s="115"/>
      <c r="BF466" s="115"/>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c r="CC466" s="83"/>
      <c r="CD466" s="83"/>
      <c r="CE466" s="83"/>
      <c r="CF466" s="83"/>
      <c r="CG466" s="83"/>
      <c r="CH466" s="83"/>
      <c r="CI466" s="83"/>
      <c r="CJ466" s="83"/>
      <c r="CK466" s="83"/>
      <c r="CL466" s="83"/>
      <c r="CM466" s="83"/>
      <c r="CN466" s="83"/>
      <c r="CO466" s="83"/>
      <c r="CP466" s="83"/>
      <c r="CQ466" s="83"/>
      <c r="CR466" s="83"/>
      <c r="CS466" s="83"/>
      <c r="CT466" s="83"/>
      <c r="CU466" s="83"/>
      <c r="CV466" s="83"/>
      <c r="CW466" s="83"/>
      <c r="CX466" s="83"/>
      <c r="CY466" s="83"/>
      <c r="CZ466" s="83"/>
      <c r="DA466" s="83"/>
      <c r="DB466" s="83"/>
      <c r="DC466" s="83"/>
      <c r="DD466" s="83"/>
      <c r="DE466" s="83"/>
      <c r="DF466" s="115"/>
      <c r="DG466" s="115"/>
    </row>
    <row r="467" spans="1:111" ht="9" customHeight="1">
      <c r="A467" s="128"/>
      <c r="B467" s="527"/>
      <c r="C467" s="527"/>
      <c r="D467" s="527"/>
      <c r="E467" s="527"/>
      <c r="F467" s="527"/>
      <c r="G467" s="527"/>
      <c r="H467" s="527"/>
      <c r="I467" s="527"/>
      <c r="J467" s="527"/>
      <c r="K467" s="527"/>
      <c r="L467" s="527"/>
      <c r="M467" s="527"/>
      <c r="N467" s="186"/>
      <c r="O467" s="531"/>
      <c r="P467" s="532"/>
      <c r="Q467" s="532"/>
      <c r="R467" s="532"/>
      <c r="S467" s="532"/>
      <c r="T467" s="532"/>
      <c r="U467" s="532"/>
      <c r="V467" s="532"/>
      <c r="W467" s="532"/>
      <c r="X467" s="532"/>
      <c r="Y467" s="532"/>
      <c r="Z467" s="533"/>
      <c r="AA467" s="128"/>
      <c r="AB467" s="128"/>
      <c r="AC467" s="527"/>
      <c r="AD467" s="527"/>
      <c r="AE467" s="527"/>
      <c r="AF467" s="527"/>
      <c r="AG467" s="527"/>
      <c r="AH467" s="527"/>
      <c r="AI467" s="527"/>
      <c r="AJ467" s="527"/>
      <c r="AK467" s="527"/>
      <c r="AL467" s="527"/>
      <c r="AM467" s="527"/>
      <c r="AN467" s="527"/>
      <c r="AO467" s="128"/>
      <c r="AP467" s="531"/>
      <c r="AQ467" s="532"/>
      <c r="AR467" s="532"/>
      <c r="AS467" s="532"/>
      <c r="AT467" s="532"/>
      <c r="AU467" s="532"/>
      <c r="AV467" s="532"/>
      <c r="AW467" s="532"/>
      <c r="AX467" s="532"/>
      <c r="AY467" s="532"/>
      <c r="AZ467" s="532"/>
      <c r="BA467" s="533"/>
      <c r="BB467" s="128"/>
      <c r="BC467" s="115"/>
      <c r="BD467" s="115"/>
      <c r="BE467" s="115"/>
      <c r="BF467" s="115"/>
      <c r="BG467" s="83"/>
      <c r="BH467" s="83"/>
      <c r="BI467" s="83"/>
      <c r="BJ467" s="83"/>
      <c r="BK467" s="83"/>
      <c r="BL467" s="83"/>
      <c r="BM467" s="83"/>
      <c r="BN467" s="83"/>
      <c r="BO467" s="83"/>
      <c r="BP467" s="83"/>
      <c r="BQ467" s="83"/>
      <c r="BR467" s="83"/>
      <c r="BS467" s="83"/>
      <c r="BT467" s="83"/>
      <c r="BU467" s="83"/>
      <c r="BV467" s="83"/>
      <c r="BW467" s="83"/>
      <c r="BX467" s="83"/>
      <c r="BY467" s="83"/>
      <c r="BZ467" s="83"/>
      <c r="CA467" s="83"/>
      <c r="CB467" s="83"/>
      <c r="CC467" s="83"/>
      <c r="CD467" s="83"/>
      <c r="CE467" s="83"/>
      <c r="CF467" s="83"/>
      <c r="CG467" s="83"/>
      <c r="CH467" s="83"/>
      <c r="CI467" s="83"/>
      <c r="CJ467" s="83"/>
      <c r="CK467" s="83"/>
      <c r="CL467" s="83"/>
      <c r="CM467" s="83"/>
      <c r="CN467" s="83"/>
      <c r="CO467" s="83"/>
      <c r="CP467" s="83"/>
      <c r="CQ467" s="83"/>
      <c r="CR467" s="83"/>
      <c r="CS467" s="83"/>
      <c r="CT467" s="83"/>
      <c r="CU467" s="83"/>
      <c r="CV467" s="83"/>
      <c r="CW467" s="83"/>
      <c r="CX467" s="83"/>
      <c r="CY467" s="83"/>
      <c r="CZ467" s="83"/>
      <c r="DA467" s="83"/>
      <c r="DB467" s="83"/>
      <c r="DC467" s="83"/>
      <c r="DD467" s="83"/>
      <c r="DE467" s="83"/>
      <c r="DF467" s="115"/>
      <c r="DG467" s="115"/>
    </row>
    <row r="468" spans="1:111" ht="4.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15"/>
      <c r="BD468" s="115"/>
      <c r="BE468" s="115"/>
      <c r="BF468" s="115"/>
      <c r="BG468" s="83"/>
      <c r="BH468" s="83"/>
      <c r="BI468" s="83"/>
      <c r="BJ468" s="83"/>
      <c r="BK468" s="83"/>
      <c r="BL468" s="83"/>
      <c r="BM468" s="83"/>
      <c r="BN468" s="83"/>
      <c r="BO468" s="83"/>
      <c r="BP468" s="83"/>
      <c r="BQ468" s="83"/>
      <c r="BR468" s="83"/>
      <c r="BS468" s="83"/>
      <c r="BT468" s="83"/>
      <c r="BU468" s="83"/>
      <c r="BV468" s="83"/>
      <c r="BW468" s="83"/>
      <c r="BX468" s="83"/>
      <c r="BY468" s="83"/>
      <c r="BZ468" s="83"/>
      <c r="CA468" s="83"/>
      <c r="CB468" s="83"/>
      <c r="CC468" s="83"/>
      <c r="CD468" s="83"/>
      <c r="CE468" s="83"/>
      <c r="CF468" s="83"/>
      <c r="CG468" s="83"/>
      <c r="CH468" s="83"/>
      <c r="CI468" s="83"/>
      <c r="CJ468" s="83"/>
      <c r="CK468" s="83"/>
      <c r="CL468" s="83"/>
      <c r="CM468" s="83"/>
      <c r="CN468" s="83"/>
      <c r="CO468" s="83"/>
      <c r="CP468" s="83"/>
      <c r="CQ468" s="83"/>
      <c r="CR468" s="83"/>
      <c r="CS468" s="83"/>
      <c r="CT468" s="83"/>
      <c r="CU468" s="83"/>
      <c r="CV468" s="83"/>
      <c r="CW468" s="83"/>
      <c r="CX468" s="83"/>
      <c r="CY468" s="83"/>
      <c r="CZ468" s="83"/>
      <c r="DA468" s="83"/>
      <c r="DB468" s="83"/>
      <c r="DC468" s="83"/>
      <c r="DD468" s="83"/>
      <c r="DE468" s="83"/>
      <c r="DF468" s="115"/>
      <c r="DG468" s="115"/>
    </row>
    <row r="469" spans="1:111" ht="9" customHeight="1">
      <c r="A469" s="128"/>
      <c r="B469" s="527" t="s">
        <v>450</v>
      </c>
      <c r="C469" s="527"/>
      <c r="D469" s="527"/>
      <c r="E469" s="527"/>
      <c r="F469" s="527"/>
      <c r="G469" s="527"/>
      <c r="H469" s="527"/>
      <c r="I469" s="527"/>
      <c r="J469" s="527"/>
      <c r="K469" s="527"/>
      <c r="L469" s="527"/>
      <c r="M469" s="527"/>
      <c r="N469" s="186"/>
      <c r="O469" s="528"/>
      <c r="P469" s="529"/>
      <c r="Q469" s="529"/>
      <c r="R469" s="529"/>
      <c r="S469" s="529"/>
      <c r="T469" s="529"/>
      <c r="U469" s="529"/>
      <c r="V469" s="529"/>
      <c r="W469" s="529"/>
      <c r="X469" s="529"/>
      <c r="Y469" s="529"/>
      <c r="Z469" s="530"/>
      <c r="AA469" s="128"/>
      <c r="AB469" s="128"/>
      <c r="AC469" s="527" t="s">
        <v>451</v>
      </c>
      <c r="AD469" s="527"/>
      <c r="AE469" s="527"/>
      <c r="AF469" s="527"/>
      <c r="AG469" s="527"/>
      <c r="AH469" s="527"/>
      <c r="AI469" s="527"/>
      <c r="AJ469" s="527"/>
      <c r="AK469" s="527"/>
      <c r="AL469" s="527"/>
      <c r="AM469" s="527"/>
      <c r="AN469" s="527"/>
      <c r="AO469" s="128"/>
      <c r="AP469" s="528"/>
      <c r="AQ469" s="529"/>
      <c r="AR469" s="529"/>
      <c r="AS469" s="529"/>
      <c r="AT469" s="529"/>
      <c r="AU469" s="529"/>
      <c r="AV469" s="529"/>
      <c r="AW469" s="529"/>
      <c r="AX469" s="529"/>
      <c r="AY469" s="529"/>
      <c r="AZ469" s="529"/>
      <c r="BA469" s="530"/>
      <c r="BB469" s="128"/>
      <c r="BC469" s="115"/>
      <c r="BD469" s="115"/>
      <c r="BE469" s="115"/>
      <c r="BF469" s="115"/>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c r="CC469" s="83"/>
      <c r="CD469" s="83"/>
      <c r="CE469" s="83"/>
      <c r="CF469" s="83"/>
      <c r="CG469" s="83"/>
      <c r="CH469" s="83"/>
      <c r="CI469" s="83"/>
      <c r="CJ469" s="83"/>
      <c r="CK469" s="83"/>
      <c r="CL469" s="83"/>
      <c r="CM469" s="83"/>
      <c r="CN469" s="83"/>
      <c r="CO469" s="83"/>
      <c r="CP469" s="83"/>
      <c r="CQ469" s="83"/>
      <c r="CR469" s="83"/>
      <c r="CS469" s="83"/>
      <c r="CT469" s="83"/>
      <c r="CU469" s="83"/>
      <c r="CV469" s="83"/>
      <c r="CW469" s="83"/>
      <c r="CX469" s="83"/>
      <c r="CY469" s="83"/>
      <c r="CZ469" s="83"/>
      <c r="DA469" s="83"/>
      <c r="DB469" s="83"/>
      <c r="DC469" s="83"/>
      <c r="DD469" s="83"/>
      <c r="DE469" s="83"/>
      <c r="DF469" s="115"/>
      <c r="DG469" s="115"/>
    </row>
    <row r="470" spans="1:111" ht="9" customHeight="1">
      <c r="A470" s="128"/>
      <c r="B470" s="527"/>
      <c r="C470" s="527"/>
      <c r="D470" s="527"/>
      <c r="E470" s="527"/>
      <c r="F470" s="527"/>
      <c r="G470" s="527"/>
      <c r="H470" s="527"/>
      <c r="I470" s="527"/>
      <c r="J470" s="527"/>
      <c r="K470" s="527"/>
      <c r="L470" s="527"/>
      <c r="M470" s="527"/>
      <c r="N470" s="186"/>
      <c r="O470" s="531"/>
      <c r="P470" s="532"/>
      <c r="Q470" s="532"/>
      <c r="R470" s="532"/>
      <c r="S470" s="532"/>
      <c r="T470" s="532"/>
      <c r="U470" s="532"/>
      <c r="V470" s="532"/>
      <c r="W470" s="532"/>
      <c r="X470" s="532"/>
      <c r="Y470" s="532"/>
      <c r="Z470" s="533"/>
      <c r="AA470" s="128"/>
      <c r="AB470" s="128"/>
      <c r="AC470" s="527"/>
      <c r="AD470" s="527"/>
      <c r="AE470" s="527"/>
      <c r="AF470" s="527"/>
      <c r="AG470" s="527"/>
      <c r="AH470" s="527"/>
      <c r="AI470" s="527"/>
      <c r="AJ470" s="527"/>
      <c r="AK470" s="527"/>
      <c r="AL470" s="527"/>
      <c r="AM470" s="527"/>
      <c r="AN470" s="527"/>
      <c r="AO470" s="128"/>
      <c r="AP470" s="531"/>
      <c r="AQ470" s="532"/>
      <c r="AR470" s="532"/>
      <c r="AS470" s="532"/>
      <c r="AT470" s="532"/>
      <c r="AU470" s="532"/>
      <c r="AV470" s="532"/>
      <c r="AW470" s="532"/>
      <c r="AX470" s="532"/>
      <c r="AY470" s="532"/>
      <c r="AZ470" s="532"/>
      <c r="BA470" s="533"/>
      <c r="BB470" s="128"/>
      <c r="BC470" s="115"/>
      <c r="BD470" s="115"/>
      <c r="BE470" s="115"/>
      <c r="BF470" s="115"/>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c r="CC470" s="83"/>
      <c r="CD470" s="83"/>
      <c r="CE470" s="83"/>
      <c r="CF470" s="83"/>
      <c r="CG470" s="83"/>
      <c r="CH470" s="83"/>
      <c r="CI470" s="83"/>
      <c r="CJ470" s="83"/>
      <c r="CK470" s="83"/>
      <c r="CL470" s="83"/>
      <c r="CM470" s="83"/>
      <c r="CN470" s="83"/>
      <c r="CO470" s="83"/>
      <c r="CP470" s="83"/>
      <c r="CQ470" s="83"/>
      <c r="CR470" s="83"/>
      <c r="CS470" s="83"/>
      <c r="CT470" s="83"/>
      <c r="CU470" s="83"/>
      <c r="CV470" s="83"/>
      <c r="CW470" s="83"/>
      <c r="CX470" s="83"/>
      <c r="CY470" s="83"/>
      <c r="CZ470" s="83"/>
      <c r="DA470" s="83"/>
      <c r="DB470" s="83"/>
      <c r="DC470" s="83"/>
      <c r="DD470" s="83"/>
      <c r="DE470" s="83"/>
      <c r="DF470" s="115"/>
      <c r="DG470" s="115"/>
    </row>
    <row r="471" spans="1:111" ht="4.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15"/>
      <c r="BD471" s="115"/>
      <c r="BE471" s="115"/>
      <c r="BF471" s="115"/>
      <c r="BG471" s="83"/>
      <c r="BH471" s="83"/>
      <c r="BI471" s="83"/>
      <c r="BJ471" s="83"/>
      <c r="BK471" s="83"/>
      <c r="BL471" s="83"/>
      <c r="BM471" s="83"/>
      <c r="BN471" s="83"/>
      <c r="BO471" s="83"/>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83"/>
      <c r="CN471" s="83"/>
      <c r="CO471" s="83"/>
      <c r="CP471" s="83"/>
      <c r="CQ471" s="83"/>
      <c r="CR471" s="83"/>
      <c r="CS471" s="83"/>
      <c r="CT471" s="83"/>
      <c r="CU471" s="83"/>
      <c r="CV471" s="83"/>
      <c r="CW471" s="83"/>
      <c r="CX471" s="83"/>
      <c r="CY471" s="83"/>
      <c r="CZ471" s="83"/>
      <c r="DA471" s="83"/>
      <c r="DB471" s="83"/>
      <c r="DC471" s="83"/>
      <c r="DD471" s="83"/>
      <c r="DE471" s="83"/>
      <c r="DF471" s="115"/>
      <c r="DG471" s="115"/>
    </row>
    <row r="472" spans="1:111" ht="9" customHeight="1">
      <c r="A472" s="128"/>
      <c r="B472" s="527" t="s">
        <v>452</v>
      </c>
      <c r="C472" s="527"/>
      <c r="D472" s="527"/>
      <c r="E472" s="527"/>
      <c r="F472" s="527"/>
      <c r="G472" s="527"/>
      <c r="H472" s="527"/>
      <c r="I472" s="527"/>
      <c r="J472" s="527"/>
      <c r="K472" s="527"/>
      <c r="L472" s="527"/>
      <c r="M472" s="527"/>
      <c r="N472" s="186"/>
      <c r="O472" s="546"/>
      <c r="P472" s="547"/>
      <c r="Q472" s="547"/>
      <c r="R472" s="547"/>
      <c r="S472" s="547"/>
      <c r="T472" s="547"/>
      <c r="U472" s="547"/>
      <c r="V472" s="547"/>
      <c r="W472" s="547"/>
      <c r="X472" s="547"/>
      <c r="Y472" s="547"/>
      <c r="Z472" s="547"/>
      <c r="AA472" s="547"/>
      <c r="AB472" s="547"/>
      <c r="AC472" s="547"/>
      <c r="AD472" s="547"/>
      <c r="AE472" s="547"/>
      <c r="AF472" s="547"/>
      <c r="AG472" s="547"/>
      <c r="AH472" s="547"/>
      <c r="AI472" s="547"/>
      <c r="AJ472" s="547"/>
      <c r="AK472" s="547"/>
      <c r="AL472" s="547"/>
      <c r="AM472" s="547"/>
      <c r="AN472" s="547"/>
      <c r="AO472" s="547"/>
      <c r="AP472" s="547"/>
      <c r="AQ472" s="547"/>
      <c r="AR472" s="547"/>
      <c r="AS472" s="547"/>
      <c r="AT472" s="547"/>
      <c r="AU472" s="547"/>
      <c r="AV472" s="547"/>
      <c r="AW472" s="547"/>
      <c r="AX472" s="547"/>
      <c r="AY472" s="547"/>
      <c r="AZ472" s="547"/>
      <c r="BA472" s="548"/>
      <c r="BB472" s="128"/>
      <c r="BC472" s="115"/>
      <c r="BD472" s="115"/>
      <c r="BE472" s="115"/>
      <c r="BF472" s="115"/>
      <c r="BG472" s="83"/>
      <c r="BH472" s="83"/>
      <c r="BI472" s="83"/>
      <c r="BJ472" s="83"/>
      <c r="BK472" s="83"/>
      <c r="BL472" s="83"/>
      <c r="BM472" s="83"/>
      <c r="BN472" s="83"/>
      <c r="BO472" s="83"/>
      <c r="BP472" s="83"/>
      <c r="BQ472" s="83"/>
      <c r="BR472" s="83"/>
      <c r="BS472" s="83"/>
      <c r="BT472" s="83"/>
      <c r="BU472" s="83"/>
      <c r="BV472" s="83"/>
      <c r="BW472" s="83"/>
      <c r="BX472" s="83"/>
      <c r="BY472" s="83"/>
      <c r="BZ472" s="83"/>
      <c r="CA472" s="83"/>
      <c r="CB472" s="83"/>
      <c r="CC472" s="83"/>
      <c r="CD472" s="83"/>
      <c r="CE472" s="83"/>
      <c r="CF472" s="83"/>
      <c r="CG472" s="83"/>
      <c r="CH472" s="83"/>
      <c r="CI472" s="83"/>
      <c r="CJ472" s="83"/>
      <c r="CK472" s="83"/>
      <c r="CL472" s="83"/>
      <c r="CM472" s="83"/>
      <c r="CN472" s="83"/>
      <c r="CO472" s="83"/>
      <c r="CP472" s="83"/>
      <c r="CQ472" s="83"/>
      <c r="CR472" s="83"/>
      <c r="CS472" s="83"/>
      <c r="CT472" s="83"/>
      <c r="CU472" s="83"/>
      <c r="CV472" s="83"/>
      <c r="CW472" s="83"/>
      <c r="CX472" s="83"/>
      <c r="CY472" s="83"/>
      <c r="CZ472" s="83"/>
      <c r="DA472" s="83"/>
      <c r="DB472" s="83"/>
      <c r="DC472" s="83"/>
      <c r="DD472" s="83"/>
      <c r="DE472" s="83"/>
      <c r="DF472" s="115"/>
      <c r="DG472" s="115"/>
    </row>
    <row r="473" spans="1:111" ht="9" customHeight="1">
      <c r="A473" s="128"/>
      <c r="B473" s="527"/>
      <c r="C473" s="527"/>
      <c r="D473" s="527"/>
      <c r="E473" s="527"/>
      <c r="F473" s="527"/>
      <c r="G473" s="527"/>
      <c r="H473" s="527"/>
      <c r="I473" s="527"/>
      <c r="J473" s="527"/>
      <c r="K473" s="527"/>
      <c r="L473" s="527"/>
      <c r="M473" s="527"/>
      <c r="N473" s="186"/>
      <c r="O473" s="549"/>
      <c r="P473" s="550"/>
      <c r="Q473" s="550"/>
      <c r="R473" s="550"/>
      <c r="S473" s="550"/>
      <c r="T473" s="550"/>
      <c r="U473" s="550"/>
      <c r="V473" s="550"/>
      <c r="W473" s="550"/>
      <c r="X473" s="550"/>
      <c r="Y473" s="550"/>
      <c r="Z473" s="550"/>
      <c r="AA473" s="550"/>
      <c r="AB473" s="550"/>
      <c r="AC473" s="550"/>
      <c r="AD473" s="550"/>
      <c r="AE473" s="550"/>
      <c r="AF473" s="550"/>
      <c r="AG473" s="550"/>
      <c r="AH473" s="550"/>
      <c r="AI473" s="550"/>
      <c r="AJ473" s="550"/>
      <c r="AK473" s="550"/>
      <c r="AL473" s="550"/>
      <c r="AM473" s="550"/>
      <c r="AN473" s="550"/>
      <c r="AO473" s="550"/>
      <c r="AP473" s="550"/>
      <c r="AQ473" s="550"/>
      <c r="AR473" s="550"/>
      <c r="AS473" s="550"/>
      <c r="AT473" s="550"/>
      <c r="AU473" s="550"/>
      <c r="AV473" s="550"/>
      <c r="AW473" s="550"/>
      <c r="AX473" s="550"/>
      <c r="AY473" s="550"/>
      <c r="AZ473" s="550"/>
      <c r="BA473" s="551"/>
      <c r="BB473" s="128"/>
      <c r="BC473" s="115"/>
      <c r="BD473" s="115"/>
      <c r="BE473" s="115"/>
      <c r="BF473" s="115"/>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83"/>
      <c r="CN473" s="83"/>
      <c r="CO473" s="83"/>
      <c r="CP473" s="83"/>
      <c r="CQ473" s="83"/>
      <c r="CR473" s="83"/>
      <c r="CS473" s="83"/>
      <c r="CT473" s="83"/>
      <c r="CU473" s="83"/>
      <c r="CV473" s="83"/>
      <c r="CW473" s="83"/>
      <c r="CX473" s="83"/>
      <c r="CY473" s="83"/>
      <c r="CZ473" s="83"/>
      <c r="DA473" s="83"/>
      <c r="DB473" s="83"/>
      <c r="DC473" s="83"/>
      <c r="DD473" s="83"/>
      <c r="DE473" s="83"/>
      <c r="DF473" s="115"/>
      <c r="DG473" s="115"/>
    </row>
    <row r="474" spans="1:111" ht="9" customHeight="1">
      <c r="A474" s="128"/>
      <c r="B474" s="187"/>
      <c r="C474" s="187"/>
      <c r="D474" s="187"/>
      <c r="E474" s="187"/>
      <c r="F474" s="187"/>
      <c r="G474" s="187"/>
      <c r="H474" s="187"/>
      <c r="I474" s="188"/>
      <c r="J474" s="187"/>
      <c r="K474" s="187"/>
      <c r="L474" s="187"/>
      <c r="M474" s="187"/>
      <c r="N474" s="128"/>
      <c r="O474" s="549"/>
      <c r="P474" s="550"/>
      <c r="Q474" s="550"/>
      <c r="R474" s="550"/>
      <c r="S474" s="550"/>
      <c r="T474" s="550"/>
      <c r="U474" s="550"/>
      <c r="V474" s="550"/>
      <c r="W474" s="550"/>
      <c r="X474" s="550"/>
      <c r="Y474" s="550"/>
      <c r="Z474" s="550"/>
      <c r="AA474" s="550"/>
      <c r="AB474" s="550"/>
      <c r="AC474" s="550"/>
      <c r="AD474" s="550"/>
      <c r="AE474" s="550"/>
      <c r="AF474" s="550"/>
      <c r="AG474" s="550"/>
      <c r="AH474" s="550"/>
      <c r="AI474" s="550"/>
      <c r="AJ474" s="550"/>
      <c r="AK474" s="550"/>
      <c r="AL474" s="550"/>
      <c r="AM474" s="550"/>
      <c r="AN474" s="550"/>
      <c r="AO474" s="550"/>
      <c r="AP474" s="550"/>
      <c r="AQ474" s="550"/>
      <c r="AR474" s="550"/>
      <c r="AS474" s="550"/>
      <c r="AT474" s="550"/>
      <c r="AU474" s="550"/>
      <c r="AV474" s="550"/>
      <c r="AW474" s="550"/>
      <c r="AX474" s="550"/>
      <c r="AY474" s="550"/>
      <c r="AZ474" s="550"/>
      <c r="BA474" s="551"/>
      <c r="BB474" s="128"/>
      <c r="BC474" s="115"/>
      <c r="BD474" s="115"/>
      <c r="BE474" s="115"/>
      <c r="BF474" s="115"/>
      <c r="BG474" s="83"/>
      <c r="BH474" s="83"/>
      <c r="BI474" s="83"/>
      <c r="BJ474" s="83"/>
      <c r="BK474" s="83"/>
      <c r="BL474" s="83"/>
      <c r="BM474" s="83"/>
      <c r="BN474" s="83"/>
      <c r="BO474" s="83"/>
      <c r="BP474" s="83"/>
      <c r="BQ474" s="83"/>
      <c r="BR474" s="83"/>
      <c r="BS474" s="83"/>
      <c r="BT474" s="83"/>
      <c r="BU474" s="83"/>
      <c r="BV474" s="83"/>
      <c r="BW474" s="83"/>
      <c r="BX474" s="83"/>
      <c r="BY474" s="83"/>
      <c r="BZ474" s="83"/>
      <c r="CA474" s="83"/>
      <c r="CB474" s="83"/>
      <c r="CC474" s="83"/>
      <c r="CD474" s="83"/>
      <c r="CE474" s="83"/>
      <c r="CF474" s="83"/>
      <c r="CG474" s="83"/>
      <c r="CH474" s="83"/>
      <c r="CI474" s="83"/>
      <c r="CJ474" s="83"/>
      <c r="CK474" s="83"/>
      <c r="CL474" s="83"/>
      <c r="CM474" s="83"/>
      <c r="CN474" s="83"/>
      <c r="CO474" s="83"/>
      <c r="CP474" s="83"/>
      <c r="CQ474" s="83"/>
      <c r="CR474" s="83"/>
      <c r="CS474" s="83"/>
      <c r="CT474" s="83"/>
      <c r="CU474" s="83"/>
      <c r="CV474" s="83"/>
      <c r="CW474" s="83"/>
      <c r="CX474" s="83"/>
      <c r="CY474" s="83"/>
      <c r="CZ474" s="83"/>
      <c r="DA474" s="83"/>
      <c r="DB474" s="83"/>
      <c r="DC474" s="83"/>
      <c r="DD474" s="83"/>
      <c r="DE474" s="83"/>
      <c r="DF474" s="115"/>
      <c r="DG474" s="115"/>
    </row>
    <row r="475" spans="1:111" ht="9" customHeight="1">
      <c r="A475" s="128"/>
      <c r="B475" s="187"/>
      <c r="C475" s="187"/>
      <c r="D475" s="187"/>
      <c r="E475" s="187"/>
      <c r="F475" s="187"/>
      <c r="G475" s="187"/>
      <c r="H475" s="187"/>
      <c r="I475" s="188"/>
      <c r="J475" s="187"/>
      <c r="K475" s="187"/>
      <c r="L475" s="187"/>
      <c r="M475" s="187"/>
      <c r="N475" s="128"/>
      <c r="O475" s="552"/>
      <c r="P475" s="553"/>
      <c r="Q475" s="553"/>
      <c r="R475" s="553"/>
      <c r="S475" s="553"/>
      <c r="T475" s="553"/>
      <c r="U475" s="553"/>
      <c r="V475" s="553"/>
      <c r="W475" s="553"/>
      <c r="X475" s="553"/>
      <c r="Y475" s="553"/>
      <c r="Z475" s="553"/>
      <c r="AA475" s="553"/>
      <c r="AB475" s="553"/>
      <c r="AC475" s="553"/>
      <c r="AD475" s="553"/>
      <c r="AE475" s="553"/>
      <c r="AF475" s="553"/>
      <c r="AG475" s="553"/>
      <c r="AH475" s="553"/>
      <c r="AI475" s="553"/>
      <c r="AJ475" s="553"/>
      <c r="AK475" s="553"/>
      <c r="AL475" s="553"/>
      <c r="AM475" s="553"/>
      <c r="AN475" s="553"/>
      <c r="AO475" s="553"/>
      <c r="AP475" s="553"/>
      <c r="AQ475" s="553"/>
      <c r="AR475" s="553"/>
      <c r="AS475" s="553"/>
      <c r="AT475" s="553"/>
      <c r="AU475" s="553"/>
      <c r="AV475" s="553"/>
      <c r="AW475" s="553"/>
      <c r="AX475" s="553"/>
      <c r="AY475" s="553"/>
      <c r="AZ475" s="553"/>
      <c r="BA475" s="554"/>
      <c r="BB475" s="128"/>
      <c r="BC475" s="115"/>
      <c r="BD475" s="115"/>
      <c r="BE475" s="115"/>
      <c r="BF475" s="115"/>
      <c r="BG475" s="83"/>
      <c r="BH475" s="83"/>
      <c r="BI475" s="83"/>
      <c r="BJ475" s="83"/>
      <c r="BK475" s="83"/>
      <c r="BL475" s="83"/>
      <c r="BM475" s="83"/>
      <c r="BN475" s="83"/>
      <c r="BO475" s="83"/>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83"/>
      <c r="CN475" s="83"/>
      <c r="CO475" s="83"/>
      <c r="CP475" s="83"/>
      <c r="CQ475" s="83"/>
      <c r="CR475" s="83"/>
      <c r="CS475" s="83"/>
      <c r="CT475" s="83"/>
      <c r="CU475" s="83"/>
      <c r="CV475" s="83"/>
      <c r="CW475" s="83"/>
      <c r="CX475" s="83"/>
      <c r="CY475" s="83"/>
      <c r="CZ475" s="83"/>
      <c r="DA475" s="83"/>
      <c r="DB475" s="83"/>
      <c r="DC475" s="83"/>
      <c r="DD475" s="83"/>
      <c r="DE475" s="83"/>
      <c r="DF475" s="115"/>
      <c r="DG475" s="115"/>
    </row>
    <row r="476" spans="1:111" ht="4.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15"/>
      <c r="BD476" s="115"/>
      <c r="BE476" s="115"/>
      <c r="BF476" s="115"/>
      <c r="BG476" s="83"/>
      <c r="BH476" s="83"/>
      <c r="BI476" s="83"/>
      <c r="BJ476" s="83"/>
      <c r="BK476" s="83"/>
      <c r="BL476" s="83"/>
      <c r="BM476" s="83"/>
      <c r="BN476" s="83"/>
      <c r="BO476" s="83"/>
      <c r="BP476" s="83"/>
      <c r="BQ476" s="83"/>
      <c r="BR476" s="83"/>
      <c r="BS476" s="83"/>
      <c r="BT476" s="83"/>
      <c r="BU476" s="83"/>
      <c r="BV476" s="83"/>
      <c r="BW476" s="83"/>
      <c r="BX476" s="83"/>
      <c r="BY476" s="83"/>
      <c r="BZ476" s="83"/>
      <c r="CA476" s="83"/>
      <c r="CB476" s="83"/>
      <c r="CC476" s="83"/>
      <c r="CD476" s="83"/>
      <c r="CE476" s="83"/>
      <c r="CF476" s="83"/>
      <c r="CG476" s="83"/>
      <c r="CH476" s="83"/>
      <c r="CI476" s="83"/>
      <c r="CJ476" s="83"/>
      <c r="CK476" s="83"/>
      <c r="CL476" s="83"/>
      <c r="CM476" s="83"/>
      <c r="CN476" s="83"/>
      <c r="CO476" s="83"/>
      <c r="CP476" s="83"/>
      <c r="CQ476" s="83"/>
      <c r="CR476" s="83"/>
      <c r="CS476" s="83"/>
      <c r="CT476" s="83"/>
      <c r="CU476" s="83"/>
      <c r="CV476" s="83"/>
      <c r="CW476" s="83"/>
      <c r="CX476" s="83"/>
      <c r="CY476" s="83"/>
      <c r="CZ476" s="83"/>
      <c r="DA476" s="83"/>
      <c r="DB476" s="83"/>
      <c r="DC476" s="83"/>
      <c r="DD476" s="83"/>
      <c r="DE476" s="83"/>
      <c r="DF476" s="115"/>
      <c r="DG476" s="115"/>
    </row>
    <row r="477" spans="1:111" ht="9" customHeight="1">
      <c r="A477" s="128"/>
      <c r="B477" s="527" t="s">
        <v>453</v>
      </c>
      <c r="C477" s="527"/>
      <c r="D477" s="527"/>
      <c r="E477" s="527"/>
      <c r="F477" s="527"/>
      <c r="G477" s="527"/>
      <c r="H477" s="527"/>
      <c r="I477" s="527"/>
      <c r="J477" s="527"/>
      <c r="K477" s="527"/>
      <c r="L477" s="527"/>
      <c r="M477" s="527"/>
      <c r="N477" s="186"/>
      <c r="O477" s="546"/>
      <c r="P477" s="547"/>
      <c r="Q477" s="547"/>
      <c r="R477" s="547"/>
      <c r="S477" s="547"/>
      <c r="T477" s="547"/>
      <c r="U477" s="547"/>
      <c r="V477" s="547"/>
      <c r="W477" s="547"/>
      <c r="X477" s="547"/>
      <c r="Y477" s="547"/>
      <c r="Z477" s="547"/>
      <c r="AA477" s="547"/>
      <c r="AB477" s="547"/>
      <c r="AC477" s="547"/>
      <c r="AD477" s="547"/>
      <c r="AE477" s="547"/>
      <c r="AF477" s="547"/>
      <c r="AG477" s="547"/>
      <c r="AH477" s="547"/>
      <c r="AI477" s="547"/>
      <c r="AJ477" s="547"/>
      <c r="AK477" s="547"/>
      <c r="AL477" s="547"/>
      <c r="AM477" s="547"/>
      <c r="AN477" s="547"/>
      <c r="AO477" s="547"/>
      <c r="AP477" s="547"/>
      <c r="AQ477" s="547"/>
      <c r="AR477" s="547"/>
      <c r="AS477" s="547"/>
      <c r="AT477" s="547"/>
      <c r="AU477" s="547"/>
      <c r="AV477" s="547"/>
      <c r="AW477" s="547"/>
      <c r="AX477" s="547"/>
      <c r="AY477" s="547"/>
      <c r="AZ477" s="547"/>
      <c r="BA477" s="548"/>
      <c r="BB477" s="128"/>
      <c r="BC477" s="115"/>
      <c r="BD477" s="115"/>
      <c r="BE477" s="115"/>
      <c r="BF477" s="115"/>
      <c r="BG477" s="83"/>
      <c r="BH477" s="83"/>
      <c r="BI477" s="83"/>
      <c r="BJ477" s="83"/>
      <c r="BK477" s="83"/>
      <c r="BL477" s="83"/>
      <c r="BM477" s="83"/>
      <c r="BN477" s="83"/>
      <c r="BO477" s="83"/>
      <c r="BP477" s="83"/>
      <c r="BQ477" s="83"/>
      <c r="BR477" s="83"/>
      <c r="BS477" s="83"/>
      <c r="BT477" s="83"/>
      <c r="BU477" s="83"/>
      <c r="BV477" s="83"/>
      <c r="BW477" s="83"/>
      <c r="BX477" s="83"/>
      <c r="BY477" s="83"/>
      <c r="BZ477" s="83"/>
      <c r="CA477" s="83"/>
      <c r="CB477" s="83"/>
      <c r="CC477" s="83"/>
      <c r="CD477" s="83"/>
      <c r="CE477" s="83"/>
      <c r="CF477" s="83"/>
      <c r="CG477" s="83"/>
      <c r="CH477" s="83"/>
      <c r="CI477" s="83"/>
      <c r="CJ477" s="83"/>
      <c r="CK477" s="83"/>
      <c r="CL477" s="83"/>
      <c r="CM477" s="83"/>
      <c r="CN477" s="83"/>
      <c r="CO477" s="83"/>
      <c r="CP477" s="83"/>
      <c r="CQ477" s="83"/>
      <c r="CR477" s="83"/>
      <c r="CS477" s="83"/>
      <c r="CT477" s="83"/>
      <c r="CU477" s="83"/>
      <c r="CV477" s="83"/>
      <c r="CW477" s="83"/>
      <c r="CX477" s="83"/>
      <c r="CY477" s="83"/>
      <c r="CZ477" s="83"/>
      <c r="DA477" s="83"/>
      <c r="DB477" s="83"/>
      <c r="DC477" s="83"/>
      <c r="DD477" s="83"/>
      <c r="DE477" s="83"/>
      <c r="DF477" s="115"/>
      <c r="DG477" s="115"/>
    </row>
    <row r="478" spans="1:111" ht="9" customHeight="1">
      <c r="A478" s="128"/>
      <c r="B478" s="527"/>
      <c r="C478" s="527"/>
      <c r="D478" s="527"/>
      <c r="E478" s="527"/>
      <c r="F478" s="527"/>
      <c r="G478" s="527"/>
      <c r="H478" s="527"/>
      <c r="I478" s="527"/>
      <c r="J478" s="527"/>
      <c r="K478" s="527"/>
      <c r="L478" s="527"/>
      <c r="M478" s="527"/>
      <c r="N478" s="186"/>
      <c r="O478" s="549"/>
      <c r="P478" s="550"/>
      <c r="Q478" s="550"/>
      <c r="R478" s="550"/>
      <c r="S478" s="550"/>
      <c r="T478" s="550"/>
      <c r="U478" s="550"/>
      <c r="V478" s="550"/>
      <c r="W478" s="550"/>
      <c r="X478" s="550"/>
      <c r="Y478" s="550"/>
      <c r="Z478" s="550"/>
      <c r="AA478" s="550"/>
      <c r="AB478" s="550"/>
      <c r="AC478" s="550"/>
      <c r="AD478" s="550"/>
      <c r="AE478" s="550"/>
      <c r="AF478" s="550"/>
      <c r="AG478" s="550"/>
      <c r="AH478" s="550"/>
      <c r="AI478" s="550"/>
      <c r="AJ478" s="550"/>
      <c r="AK478" s="550"/>
      <c r="AL478" s="550"/>
      <c r="AM478" s="550"/>
      <c r="AN478" s="550"/>
      <c r="AO478" s="550"/>
      <c r="AP478" s="550"/>
      <c r="AQ478" s="550"/>
      <c r="AR478" s="550"/>
      <c r="AS478" s="550"/>
      <c r="AT478" s="550"/>
      <c r="AU478" s="550"/>
      <c r="AV478" s="550"/>
      <c r="AW478" s="550"/>
      <c r="AX478" s="550"/>
      <c r="AY478" s="550"/>
      <c r="AZ478" s="550"/>
      <c r="BA478" s="551"/>
      <c r="BB478" s="128"/>
      <c r="BC478" s="115"/>
      <c r="BD478" s="115"/>
      <c r="BE478" s="115"/>
      <c r="BF478" s="115"/>
      <c r="BG478" s="83"/>
      <c r="BH478" s="83"/>
      <c r="BI478" s="83"/>
      <c r="BJ478" s="83"/>
      <c r="BK478" s="83"/>
      <c r="BL478" s="83"/>
      <c r="BM478" s="83"/>
      <c r="BN478" s="83"/>
      <c r="BO478" s="83"/>
      <c r="BP478" s="83"/>
      <c r="BQ478" s="83"/>
      <c r="BR478" s="83"/>
      <c r="BS478" s="83"/>
      <c r="BT478" s="83"/>
      <c r="BU478" s="83"/>
      <c r="BV478" s="83"/>
      <c r="BW478" s="83"/>
      <c r="BX478" s="83"/>
      <c r="BY478" s="83"/>
      <c r="BZ478" s="83"/>
      <c r="CA478" s="83"/>
      <c r="CB478" s="83"/>
      <c r="CC478" s="83"/>
      <c r="CD478" s="83"/>
      <c r="CE478" s="83"/>
      <c r="CF478" s="83"/>
      <c r="CG478" s="83"/>
      <c r="CH478" s="83"/>
      <c r="CI478" s="83"/>
      <c r="CJ478" s="83"/>
      <c r="CK478" s="83"/>
      <c r="CL478" s="83"/>
      <c r="CM478" s="83"/>
      <c r="CN478" s="83"/>
      <c r="CO478" s="83"/>
      <c r="CP478" s="83"/>
      <c r="CQ478" s="83"/>
      <c r="CR478" s="83"/>
      <c r="CS478" s="83"/>
      <c r="CT478" s="83"/>
      <c r="CU478" s="83"/>
      <c r="CV478" s="83"/>
      <c r="CW478" s="83"/>
      <c r="CX478" s="83"/>
      <c r="CY478" s="83"/>
      <c r="CZ478" s="83"/>
      <c r="DA478" s="83"/>
      <c r="DB478" s="83"/>
      <c r="DC478" s="83"/>
      <c r="DD478" s="83"/>
      <c r="DE478" s="83"/>
      <c r="DF478" s="115"/>
      <c r="DG478" s="115"/>
    </row>
    <row r="479" spans="1:111" ht="9" customHeight="1">
      <c r="A479" s="128"/>
      <c r="B479" s="187"/>
      <c r="C479" s="187"/>
      <c r="D479" s="187"/>
      <c r="E479" s="187"/>
      <c r="F479" s="187"/>
      <c r="G479" s="187"/>
      <c r="H479" s="187"/>
      <c r="I479" s="188"/>
      <c r="J479" s="187"/>
      <c r="K479" s="187"/>
      <c r="L479" s="187"/>
      <c r="M479" s="187"/>
      <c r="N479" s="128"/>
      <c r="O479" s="549"/>
      <c r="P479" s="550"/>
      <c r="Q479" s="550"/>
      <c r="R479" s="550"/>
      <c r="S479" s="550"/>
      <c r="T479" s="550"/>
      <c r="U479" s="550"/>
      <c r="V479" s="550"/>
      <c r="W479" s="550"/>
      <c r="X479" s="550"/>
      <c r="Y479" s="550"/>
      <c r="Z479" s="550"/>
      <c r="AA479" s="550"/>
      <c r="AB479" s="550"/>
      <c r="AC479" s="550"/>
      <c r="AD479" s="550"/>
      <c r="AE479" s="550"/>
      <c r="AF479" s="550"/>
      <c r="AG479" s="550"/>
      <c r="AH479" s="550"/>
      <c r="AI479" s="550"/>
      <c r="AJ479" s="550"/>
      <c r="AK479" s="550"/>
      <c r="AL479" s="550"/>
      <c r="AM479" s="550"/>
      <c r="AN479" s="550"/>
      <c r="AO479" s="550"/>
      <c r="AP479" s="550"/>
      <c r="AQ479" s="550"/>
      <c r="AR479" s="550"/>
      <c r="AS479" s="550"/>
      <c r="AT479" s="550"/>
      <c r="AU479" s="550"/>
      <c r="AV479" s="550"/>
      <c r="AW479" s="550"/>
      <c r="AX479" s="550"/>
      <c r="AY479" s="550"/>
      <c r="AZ479" s="550"/>
      <c r="BA479" s="551"/>
      <c r="BB479" s="128"/>
      <c r="BC479" s="115"/>
      <c r="BD479" s="115"/>
      <c r="BE479" s="115"/>
      <c r="BF479" s="115"/>
      <c r="BG479" s="83"/>
      <c r="BH479" s="83"/>
      <c r="BI479" s="83"/>
      <c r="BJ479" s="83"/>
      <c r="BK479" s="83"/>
      <c r="BL479" s="83"/>
      <c r="BM479" s="83"/>
      <c r="BN479" s="83"/>
      <c r="BO479" s="83"/>
      <c r="BP479" s="83"/>
      <c r="BQ479" s="83"/>
      <c r="BR479" s="83"/>
      <c r="BS479" s="83"/>
      <c r="BT479" s="83"/>
      <c r="BU479" s="83"/>
      <c r="BV479" s="83"/>
      <c r="BW479" s="83"/>
      <c r="BX479" s="83"/>
      <c r="BY479" s="83"/>
      <c r="BZ479" s="83"/>
      <c r="CA479" s="83"/>
      <c r="CB479" s="83"/>
      <c r="CC479" s="83"/>
      <c r="CD479" s="83"/>
      <c r="CE479" s="83"/>
      <c r="CF479" s="83"/>
      <c r="CG479" s="83"/>
      <c r="CH479" s="83"/>
      <c r="CI479" s="83"/>
      <c r="CJ479" s="83"/>
      <c r="CK479" s="83"/>
      <c r="CL479" s="83"/>
      <c r="CM479" s="83"/>
      <c r="CN479" s="83"/>
      <c r="CO479" s="83"/>
      <c r="CP479" s="83"/>
      <c r="CQ479" s="83"/>
      <c r="CR479" s="83"/>
      <c r="CS479" s="83"/>
      <c r="CT479" s="83"/>
      <c r="CU479" s="83"/>
      <c r="CV479" s="83"/>
      <c r="CW479" s="83"/>
      <c r="CX479" s="83"/>
      <c r="CY479" s="83"/>
      <c r="CZ479" s="83"/>
      <c r="DA479" s="83"/>
      <c r="DB479" s="83"/>
      <c r="DC479" s="83"/>
      <c r="DD479" s="83"/>
      <c r="DE479" s="83"/>
      <c r="DF479" s="115"/>
      <c r="DG479" s="115"/>
    </row>
    <row r="480" spans="1:111" ht="9" customHeight="1">
      <c r="A480" s="128"/>
      <c r="B480" s="187"/>
      <c r="C480" s="187"/>
      <c r="D480" s="187"/>
      <c r="E480" s="187"/>
      <c r="F480" s="187"/>
      <c r="G480" s="187"/>
      <c r="H480" s="187"/>
      <c r="I480" s="188"/>
      <c r="J480" s="187"/>
      <c r="K480" s="187"/>
      <c r="L480" s="187"/>
      <c r="M480" s="187"/>
      <c r="N480" s="128"/>
      <c r="O480" s="552"/>
      <c r="P480" s="553"/>
      <c r="Q480" s="553"/>
      <c r="R480" s="553"/>
      <c r="S480" s="553"/>
      <c r="T480" s="553"/>
      <c r="U480" s="553"/>
      <c r="V480" s="553"/>
      <c r="W480" s="553"/>
      <c r="X480" s="553"/>
      <c r="Y480" s="553"/>
      <c r="Z480" s="553"/>
      <c r="AA480" s="553"/>
      <c r="AB480" s="553"/>
      <c r="AC480" s="553"/>
      <c r="AD480" s="553"/>
      <c r="AE480" s="553"/>
      <c r="AF480" s="553"/>
      <c r="AG480" s="553"/>
      <c r="AH480" s="553"/>
      <c r="AI480" s="553"/>
      <c r="AJ480" s="553"/>
      <c r="AK480" s="553"/>
      <c r="AL480" s="553"/>
      <c r="AM480" s="553"/>
      <c r="AN480" s="553"/>
      <c r="AO480" s="553"/>
      <c r="AP480" s="553"/>
      <c r="AQ480" s="553"/>
      <c r="AR480" s="553"/>
      <c r="AS480" s="553"/>
      <c r="AT480" s="553"/>
      <c r="AU480" s="553"/>
      <c r="AV480" s="553"/>
      <c r="AW480" s="553"/>
      <c r="AX480" s="553"/>
      <c r="AY480" s="553"/>
      <c r="AZ480" s="553"/>
      <c r="BA480" s="554"/>
      <c r="BB480" s="128"/>
      <c r="BC480" s="115"/>
      <c r="BD480" s="115"/>
      <c r="BE480" s="115"/>
      <c r="BF480" s="115"/>
      <c r="BG480" s="83"/>
      <c r="BH480" s="83"/>
      <c r="BI480" s="83"/>
      <c r="BJ480" s="83"/>
      <c r="BK480" s="83"/>
      <c r="BL480" s="83"/>
      <c r="BM480" s="83"/>
      <c r="BN480" s="83"/>
      <c r="BO480" s="83"/>
      <c r="BP480" s="83"/>
      <c r="BQ480" s="83"/>
      <c r="BR480" s="83"/>
      <c r="BS480" s="83"/>
      <c r="BT480" s="83"/>
      <c r="BU480" s="83"/>
      <c r="BV480" s="83"/>
      <c r="BW480" s="83"/>
      <c r="BX480" s="83"/>
      <c r="BY480" s="83"/>
      <c r="BZ480" s="83"/>
      <c r="CA480" s="83"/>
      <c r="CB480" s="83"/>
      <c r="CC480" s="83"/>
      <c r="CD480" s="83"/>
      <c r="CE480" s="83"/>
      <c r="CF480" s="83"/>
      <c r="CG480" s="83"/>
      <c r="CH480" s="83"/>
      <c r="CI480" s="83"/>
      <c r="CJ480" s="83"/>
      <c r="CK480" s="83"/>
      <c r="CL480" s="83"/>
      <c r="CM480" s="83"/>
      <c r="CN480" s="83"/>
      <c r="CO480" s="83"/>
      <c r="CP480" s="83"/>
      <c r="CQ480" s="83"/>
      <c r="CR480" s="83"/>
      <c r="CS480" s="83"/>
      <c r="CT480" s="83"/>
      <c r="CU480" s="83"/>
      <c r="CV480" s="83"/>
      <c r="CW480" s="83"/>
      <c r="CX480" s="83"/>
      <c r="CY480" s="83"/>
      <c r="CZ480" s="83"/>
      <c r="DA480" s="83"/>
      <c r="DB480" s="83"/>
      <c r="DC480" s="83"/>
      <c r="DD480" s="83"/>
      <c r="DE480" s="83"/>
      <c r="DF480" s="115"/>
      <c r="DG480" s="115"/>
    </row>
    <row r="481" spans="1:111" ht="4.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15"/>
      <c r="BD481" s="115"/>
      <c r="BE481" s="115"/>
      <c r="BF481" s="115"/>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c r="CC481" s="83"/>
      <c r="CD481" s="83"/>
      <c r="CE481" s="83"/>
      <c r="CF481" s="83"/>
      <c r="CG481" s="83"/>
      <c r="CH481" s="83"/>
      <c r="CI481" s="83"/>
      <c r="CJ481" s="83"/>
      <c r="CK481" s="83"/>
      <c r="CL481" s="83"/>
      <c r="CM481" s="83"/>
      <c r="CN481" s="83"/>
      <c r="CO481" s="83"/>
      <c r="CP481" s="83"/>
      <c r="CQ481" s="83"/>
      <c r="CR481" s="83"/>
      <c r="CS481" s="83"/>
      <c r="CT481" s="83"/>
      <c r="CU481" s="83"/>
      <c r="CV481" s="83"/>
      <c r="CW481" s="83"/>
      <c r="CX481" s="83"/>
      <c r="CY481" s="83"/>
      <c r="CZ481" s="83"/>
      <c r="DA481" s="83"/>
      <c r="DB481" s="83"/>
      <c r="DC481" s="83"/>
      <c r="DD481" s="83"/>
      <c r="DE481" s="83"/>
      <c r="DF481" s="115"/>
      <c r="DG481" s="115"/>
    </row>
    <row r="482" spans="1:111" ht="9" customHeight="1">
      <c r="A482" s="128"/>
      <c r="B482" s="527" t="s">
        <v>454</v>
      </c>
      <c r="C482" s="527"/>
      <c r="D482" s="527"/>
      <c r="E482" s="527"/>
      <c r="F482" s="527"/>
      <c r="G482" s="527"/>
      <c r="H482" s="527"/>
      <c r="I482" s="527"/>
      <c r="J482" s="527"/>
      <c r="K482" s="527"/>
      <c r="L482" s="527"/>
      <c r="M482" s="527"/>
      <c r="N482" s="186"/>
      <c r="O482" s="546"/>
      <c r="P482" s="547"/>
      <c r="Q482" s="547"/>
      <c r="R482" s="547"/>
      <c r="S482" s="547"/>
      <c r="T482" s="547"/>
      <c r="U482" s="547"/>
      <c r="V482" s="547"/>
      <c r="W482" s="547"/>
      <c r="X482" s="547"/>
      <c r="Y482" s="547"/>
      <c r="Z482" s="547"/>
      <c r="AA482" s="547"/>
      <c r="AB482" s="547"/>
      <c r="AC482" s="547"/>
      <c r="AD482" s="547"/>
      <c r="AE482" s="547"/>
      <c r="AF482" s="547"/>
      <c r="AG482" s="547"/>
      <c r="AH482" s="547"/>
      <c r="AI482" s="547"/>
      <c r="AJ482" s="547"/>
      <c r="AK482" s="547"/>
      <c r="AL482" s="547"/>
      <c r="AM482" s="547"/>
      <c r="AN482" s="547"/>
      <c r="AO482" s="547"/>
      <c r="AP482" s="547"/>
      <c r="AQ482" s="547"/>
      <c r="AR482" s="547"/>
      <c r="AS482" s="547"/>
      <c r="AT482" s="547"/>
      <c r="AU482" s="547"/>
      <c r="AV482" s="547"/>
      <c r="AW482" s="547"/>
      <c r="AX482" s="547"/>
      <c r="AY482" s="547"/>
      <c r="AZ482" s="547"/>
      <c r="BA482" s="548"/>
      <c r="BB482" s="128"/>
      <c r="BC482" s="115"/>
      <c r="BD482" s="115"/>
      <c r="BE482" s="115"/>
      <c r="BF482" s="115"/>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c r="CC482" s="83"/>
      <c r="CD482" s="83"/>
      <c r="CE482" s="83"/>
      <c r="CF482" s="83"/>
      <c r="CG482" s="83"/>
      <c r="CH482" s="83"/>
      <c r="CI482" s="83"/>
      <c r="CJ482" s="83"/>
      <c r="CK482" s="83"/>
      <c r="CL482" s="83"/>
      <c r="CM482" s="83"/>
      <c r="CN482" s="83"/>
      <c r="CO482" s="83"/>
      <c r="CP482" s="83"/>
      <c r="CQ482" s="83"/>
      <c r="CR482" s="83"/>
      <c r="CS482" s="83"/>
      <c r="CT482" s="83"/>
      <c r="CU482" s="83"/>
      <c r="CV482" s="83"/>
      <c r="CW482" s="83"/>
      <c r="CX482" s="83"/>
      <c r="CY482" s="83"/>
      <c r="CZ482" s="83"/>
      <c r="DA482" s="83"/>
      <c r="DB482" s="83"/>
      <c r="DC482" s="83"/>
      <c r="DD482" s="83"/>
      <c r="DE482" s="83"/>
      <c r="DF482" s="115"/>
      <c r="DG482" s="115"/>
    </row>
    <row r="483" spans="1:111" ht="9" customHeight="1">
      <c r="A483" s="128"/>
      <c r="B483" s="527"/>
      <c r="C483" s="527"/>
      <c r="D483" s="527"/>
      <c r="E483" s="527"/>
      <c r="F483" s="527"/>
      <c r="G483" s="527"/>
      <c r="H483" s="527"/>
      <c r="I483" s="527"/>
      <c r="J483" s="527"/>
      <c r="K483" s="527"/>
      <c r="L483" s="527"/>
      <c r="M483" s="527"/>
      <c r="N483" s="186"/>
      <c r="O483" s="549"/>
      <c r="P483" s="550"/>
      <c r="Q483" s="550"/>
      <c r="R483" s="550"/>
      <c r="S483" s="550"/>
      <c r="T483" s="550"/>
      <c r="U483" s="550"/>
      <c r="V483" s="550"/>
      <c r="W483" s="550"/>
      <c r="X483" s="550"/>
      <c r="Y483" s="550"/>
      <c r="Z483" s="550"/>
      <c r="AA483" s="550"/>
      <c r="AB483" s="550"/>
      <c r="AC483" s="550"/>
      <c r="AD483" s="550"/>
      <c r="AE483" s="550"/>
      <c r="AF483" s="550"/>
      <c r="AG483" s="550"/>
      <c r="AH483" s="550"/>
      <c r="AI483" s="550"/>
      <c r="AJ483" s="550"/>
      <c r="AK483" s="550"/>
      <c r="AL483" s="550"/>
      <c r="AM483" s="550"/>
      <c r="AN483" s="550"/>
      <c r="AO483" s="550"/>
      <c r="AP483" s="550"/>
      <c r="AQ483" s="550"/>
      <c r="AR483" s="550"/>
      <c r="AS483" s="550"/>
      <c r="AT483" s="550"/>
      <c r="AU483" s="550"/>
      <c r="AV483" s="550"/>
      <c r="AW483" s="550"/>
      <c r="AX483" s="550"/>
      <c r="AY483" s="550"/>
      <c r="AZ483" s="550"/>
      <c r="BA483" s="551"/>
      <c r="BB483" s="128"/>
      <c r="BC483" s="115"/>
      <c r="BD483" s="115"/>
      <c r="BE483" s="115"/>
      <c r="BF483" s="115"/>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c r="CC483" s="83"/>
      <c r="CD483" s="83"/>
      <c r="CE483" s="83"/>
      <c r="CF483" s="83"/>
      <c r="CG483" s="83"/>
      <c r="CH483" s="83"/>
      <c r="CI483" s="83"/>
      <c r="CJ483" s="83"/>
      <c r="CK483" s="83"/>
      <c r="CL483" s="83"/>
      <c r="CM483" s="83"/>
      <c r="CN483" s="83"/>
      <c r="CO483" s="83"/>
      <c r="CP483" s="83"/>
      <c r="CQ483" s="83"/>
      <c r="CR483" s="83"/>
      <c r="CS483" s="83"/>
      <c r="CT483" s="83"/>
      <c r="CU483" s="83"/>
      <c r="CV483" s="83"/>
      <c r="CW483" s="83"/>
      <c r="CX483" s="83"/>
      <c r="CY483" s="83"/>
      <c r="CZ483" s="83"/>
      <c r="DA483" s="83"/>
      <c r="DB483" s="83"/>
      <c r="DC483" s="83"/>
      <c r="DD483" s="83"/>
      <c r="DE483" s="83"/>
      <c r="DF483" s="115"/>
      <c r="DG483" s="115"/>
    </row>
    <row r="484" spans="1:111" ht="9" customHeight="1">
      <c r="A484" s="128"/>
      <c r="B484" s="187"/>
      <c r="C484" s="187"/>
      <c r="D484" s="187"/>
      <c r="E484" s="187"/>
      <c r="F484" s="187"/>
      <c r="G484" s="187"/>
      <c r="H484" s="187"/>
      <c r="I484" s="188"/>
      <c r="J484" s="187"/>
      <c r="K484" s="187"/>
      <c r="L484" s="187"/>
      <c r="M484" s="187"/>
      <c r="N484" s="128"/>
      <c r="O484" s="549"/>
      <c r="P484" s="550"/>
      <c r="Q484" s="550"/>
      <c r="R484" s="550"/>
      <c r="S484" s="550"/>
      <c r="T484" s="550"/>
      <c r="U484" s="550"/>
      <c r="V484" s="550"/>
      <c r="W484" s="550"/>
      <c r="X484" s="550"/>
      <c r="Y484" s="550"/>
      <c r="Z484" s="550"/>
      <c r="AA484" s="550"/>
      <c r="AB484" s="550"/>
      <c r="AC484" s="550"/>
      <c r="AD484" s="550"/>
      <c r="AE484" s="550"/>
      <c r="AF484" s="550"/>
      <c r="AG484" s="550"/>
      <c r="AH484" s="550"/>
      <c r="AI484" s="550"/>
      <c r="AJ484" s="550"/>
      <c r="AK484" s="550"/>
      <c r="AL484" s="550"/>
      <c r="AM484" s="550"/>
      <c r="AN484" s="550"/>
      <c r="AO484" s="550"/>
      <c r="AP484" s="550"/>
      <c r="AQ484" s="550"/>
      <c r="AR484" s="550"/>
      <c r="AS484" s="550"/>
      <c r="AT484" s="550"/>
      <c r="AU484" s="550"/>
      <c r="AV484" s="550"/>
      <c r="AW484" s="550"/>
      <c r="AX484" s="550"/>
      <c r="AY484" s="550"/>
      <c r="AZ484" s="550"/>
      <c r="BA484" s="551"/>
      <c r="BB484" s="128"/>
      <c r="BC484" s="115"/>
      <c r="BD484" s="115"/>
      <c r="BE484" s="115"/>
      <c r="BF484" s="115"/>
      <c r="BG484" s="83"/>
      <c r="BH484" s="83"/>
      <c r="BI484" s="83"/>
      <c r="BJ484" s="83"/>
      <c r="BK484" s="83"/>
      <c r="BL484" s="83"/>
      <c r="BM484" s="83"/>
      <c r="BN484" s="83"/>
      <c r="BO484" s="83"/>
      <c r="BP484" s="83"/>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115"/>
      <c r="DG484" s="115"/>
    </row>
    <row r="485" spans="1:111" ht="9" customHeight="1">
      <c r="A485" s="128"/>
      <c r="B485" s="187"/>
      <c r="C485" s="187"/>
      <c r="D485" s="187"/>
      <c r="E485" s="187"/>
      <c r="F485" s="187"/>
      <c r="G485" s="187"/>
      <c r="H485" s="187"/>
      <c r="I485" s="188"/>
      <c r="J485" s="187"/>
      <c r="K485" s="187"/>
      <c r="L485" s="187"/>
      <c r="M485" s="187"/>
      <c r="N485" s="128"/>
      <c r="O485" s="552"/>
      <c r="P485" s="553"/>
      <c r="Q485" s="553"/>
      <c r="R485" s="553"/>
      <c r="S485" s="553"/>
      <c r="T485" s="553"/>
      <c r="U485" s="553"/>
      <c r="V485" s="553"/>
      <c r="W485" s="553"/>
      <c r="X485" s="553"/>
      <c r="Y485" s="553"/>
      <c r="Z485" s="553"/>
      <c r="AA485" s="553"/>
      <c r="AB485" s="553"/>
      <c r="AC485" s="553"/>
      <c r="AD485" s="553"/>
      <c r="AE485" s="553"/>
      <c r="AF485" s="553"/>
      <c r="AG485" s="553"/>
      <c r="AH485" s="553"/>
      <c r="AI485" s="553"/>
      <c r="AJ485" s="553"/>
      <c r="AK485" s="553"/>
      <c r="AL485" s="553"/>
      <c r="AM485" s="553"/>
      <c r="AN485" s="553"/>
      <c r="AO485" s="553"/>
      <c r="AP485" s="553"/>
      <c r="AQ485" s="553"/>
      <c r="AR485" s="553"/>
      <c r="AS485" s="553"/>
      <c r="AT485" s="553"/>
      <c r="AU485" s="553"/>
      <c r="AV485" s="553"/>
      <c r="AW485" s="553"/>
      <c r="AX485" s="553"/>
      <c r="AY485" s="553"/>
      <c r="AZ485" s="553"/>
      <c r="BA485" s="554"/>
      <c r="BB485" s="128"/>
      <c r="BC485" s="115"/>
      <c r="BD485" s="115"/>
      <c r="BE485" s="115"/>
      <c r="BF485" s="115"/>
      <c r="BG485" s="83"/>
      <c r="BH485" s="83"/>
      <c r="BI485" s="83"/>
      <c r="BJ485" s="83"/>
      <c r="BK485" s="83"/>
      <c r="BL485" s="83"/>
      <c r="BM485" s="83"/>
      <c r="BN485" s="83"/>
      <c r="BO485" s="83"/>
      <c r="BP485" s="83"/>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115"/>
      <c r="DG485" s="115"/>
    </row>
    <row r="486" spans="1:111" ht="4.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15"/>
      <c r="BD486" s="115"/>
      <c r="BE486" s="115"/>
      <c r="BF486" s="115"/>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c r="CC486" s="83"/>
      <c r="CD486" s="83"/>
      <c r="CE486" s="83"/>
      <c r="CF486" s="83"/>
      <c r="CG486" s="83"/>
      <c r="CH486" s="83"/>
      <c r="CI486" s="83"/>
      <c r="CJ486" s="83"/>
      <c r="CK486" s="83"/>
      <c r="CL486" s="83"/>
      <c r="CM486" s="83"/>
      <c r="CN486" s="83"/>
      <c r="CO486" s="83"/>
      <c r="CP486" s="83"/>
      <c r="CQ486" s="83"/>
      <c r="CR486" s="83"/>
      <c r="CS486" s="83"/>
      <c r="CT486" s="83"/>
      <c r="CU486" s="83"/>
      <c r="CV486" s="83"/>
      <c r="CW486" s="83"/>
      <c r="CX486" s="83"/>
      <c r="CY486" s="83"/>
      <c r="CZ486" s="83"/>
      <c r="DA486" s="83"/>
      <c r="DB486" s="83"/>
      <c r="DC486" s="83"/>
      <c r="DD486" s="83"/>
      <c r="DE486" s="83"/>
      <c r="DF486" s="115"/>
      <c r="DG486" s="115"/>
    </row>
    <row r="487" spans="1:111" ht="9" customHeight="1">
      <c r="A487" s="128"/>
      <c r="B487" s="527" t="s">
        <v>455</v>
      </c>
      <c r="C487" s="527"/>
      <c r="D487" s="527"/>
      <c r="E487" s="527"/>
      <c r="F487" s="527"/>
      <c r="G487" s="527"/>
      <c r="H487" s="527"/>
      <c r="I487" s="527"/>
      <c r="J487" s="527"/>
      <c r="K487" s="527"/>
      <c r="L487" s="527"/>
      <c r="M487" s="527"/>
      <c r="N487" s="186"/>
      <c r="O487" s="528"/>
      <c r="P487" s="529"/>
      <c r="Q487" s="529"/>
      <c r="R487" s="529"/>
      <c r="S487" s="529"/>
      <c r="T487" s="529"/>
      <c r="U487" s="529"/>
      <c r="V487" s="529"/>
      <c r="W487" s="529"/>
      <c r="X487" s="529"/>
      <c r="Y487" s="529"/>
      <c r="Z487" s="530"/>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15"/>
      <c r="BD487" s="115"/>
      <c r="BE487" s="115"/>
      <c r="BF487" s="115"/>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83"/>
      <c r="CN487" s="83"/>
      <c r="CO487" s="83"/>
      <c r="CP487" s="83"/>
      <c r="CQ487" s="83"/>
      <c r="CR487" s="83"/>
      <c r="CS487" s="83"/>
      <c r="CT487" s="83"/>
      <c r="CU487" s="83"/>
      <c r="CV487" s="83"/>
      <c r="CW487" s="83"/>
      <c r="CX487" s="83"/>
      <c r="CY487" s="83"/>
      <c r="CZ487" s="83"/>
      <c r="DA487" s="83"/>
      <c r="DB487" s="83"/>
      <c r="DC487" s="83"/>
      <c r="DD487" s="83"/>
      <c r="DE487" s="83"/>
      <c r="DF487" s="115"/>
      <c r="DG487" s="115"/>
    </row>
    <row r="488" spans="1:111" ht="9" customHeight="1">
      <c r="A488" s="128"/>
      <c r="B488" s="527"/>
      <c r="C488" s="527"/>
      <c r="D488" s="527"/>
      <c r="E488" s="527"/>
      <c r="F488" s="527"/>
      <c r="G488" s="527"/>
      <c r="H488" s="527"/>
      <c r="I488" s="527"/>
      <c r="J488" s="527"/>
      <c r="K488" s="527"/>
      <c r="L488" s="527"/>
      <c r="M488" s="527"/>
      <c r="N488" s="186"/>
      <c r="O488" s="531"/>
      <c r="P488" s="532"/>
      <c r="Q488" s="532"/>
      <c r="R488" s="532"/>
      <c r="S488" s="532"/>
      <c r="T488" s="532"/>
      <c r="U488" s="532"/>
      <c r="V488" s="532"/>
      <c r="W488" s="532"/>
      <c r="X488" s="532"/>
      <c r="Y488" s="532"/>
      <c r="Z488" s="533"/>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15"/>
      <c r="BD488" s="115"/>
      <c r="BE488" s="115"/>
      <c r="BF488" s="115"/>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83"/>
      <c r="CN488" s="83"/>
      <c r="CO488" s="83"/>
      <c r="CP488" s="83"/>
      <c r="CQ488" s="83"/>
      <c r="CR488" s="83"/>
      <c r="CS488" s="83"/>
      <c r="CT488" s="83"/>
      <c r="CU488" s="83"/>
      <c r="CV488" s="83"/>
      <c r="CW488" s="83"/>
      <c r="CX488" s="83"/>
      <c r="CY488" s="83"/>
      <c r="CZ488" s="83"/>
      <c r="DA488" s="83"/>
      <c r="DB488" s="83"/>
      <c r="DC488" s="83"/>
      <c r="DD488" s="83"/>
      <c r="DE488" s="83"/>
      <c r="DF488" s="115"/>
      <c r="DG488" s="115"/>
    </row>
    <row r="489" spans="1:111" ht="4.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15"/>
      <c r="BD489" s="115"/>
      <c r="BE489" s="115"/>
      <c r="BF489" s="115"/>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83"/>
      <c r="CN489" s="83"/>
      <c r="CO489" s="83"/>
      <c r="CP489" s="83"/>
      <c r="CQ489" s="83"/>
      <c r="CR489" s="83"/>
      <c r="CS489" s="83"/>
      <c r="CT489" s="83"/>
      <c r="CU489" s="83"/>
      <c r="CV489" s="83"/>
      <c r="CW489" s="83"/>
      <c r="CX489" s="83"/>
      <c r="CY489" s="83"/>
      <c r="CZ489" s="83"/>
      <c r="DA489" s="83"/>
      <c r="DB489" s="83"/>
      <c r="DC489" s="83"/>
      <c r="DD489" s="83"/>
      <c r="DE489" s="83"/>
      <c r="DF489" s="115"/>
      <c r="DG489" s="115"/>
    </row>
    <row r="490" spans="1:111" ht="9" customHeight="1">
      <c r="A490" s="128"/>
      <c r="B490" s="527" t="s">
        <v>434</v>
      </c>
      <c r="C490" s="527"/>
      <c r="D490" s="527"/>
      <c r="E490" s="527"/>
      <c r="F490" s="527"/>
      <c r="G490" s="527"/>
      <c r="H490" s="527"/>
      <c r="I490" s="527"/>
      <c r="J490" s="527"/>
      <c r="K490" s="527"/>
      <c r="L490" s="527"/>
      <c r="M490" s="527"/>
      <c r="N490" s="186"/>
      <c r="O490" s="546"/>
      <c r="P490" s="547"/>
      <c r="Q490" s="547"/>
      <c r="R490" s="547"/>
      <c r="S490" s="547"/>
      <c r="T490" s="547"/>
      <c r="U490" s="547"/>
      <c r="V490" s="547"/>
      <c r="W490" s="547"/>
      <c r="X490" s="547"/>
      <c r="Y490" s="547"/>
      <c r="Z490" s="547"/>
      <c r="AA490" s="547"/>
      <c r="AB490" s="547"/>
      <c r="AC490" s="547"/>
      <c r="AD490" s="547"/>
      <c r="AE490" s="547"/>
      <c r="AF490" s="547"/>
      <c r="AG490" s="547"/>
      <c r="AH490" s="547"/>
      <c r="AI490" s="547"/>
      <c r="AJ490" s="547"/>
      <c r="AK490" s="547"/>
      <c r="AL490" s="547"/>
      <c r="AM490" s="547"/>
      <c r="AN490" s="547"/>
      <c r="AO490" s="547"/>
      <c r="AP490" s="547"/>
      <c r="AQ490" s="547"/>
      <c r="AR490" s="547"/>
      <c r="AS490" s="547"/>
      <c r="AT490" s="547"/>
      <c r="AU490" s="547"/>
      <c r="AV490" s="547"/>
      <c r="AW490" s="547"/>
      <c r="AX490" s="547"/>
      <c r="AY490" s="547"/>
      <c r="AZ490" s="547"/>
      <c r="BA490" s="548"/>
      <c r="BB490" s="128"/>
      <c r="BC490" s="115"/>
      <c r="BD490" s="115"/>
      <c r="BE490" s="115"/>
      <c r="BF490" s="115"/>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c r="CC490" s="83"/>
      <c r="CD490" s="83"/>
      <c r="CE490" s="83"/>
      <c r="CF490" s="83"/>
      <c r="CG490" s="83"/>
      <c r="CH490" s="83"/>
      <c r="CI490" s="83"/>
      <c r="CJ490" s="83"/>
      <c r="CK490" s="83"/>
      <c r="CL490" s="83"/>
      <c r="CM490" s="83"/>
      <c r="CN490" s="83"/>
      <c r="CO490" s="83"/>
      <c r="CP490" s="83"/>
      <c r="CQ490" s="83"/>
      <c r="CR490" s="83"/>
      <c r="CS490" s="83"/>
      <c r="CT490" s="83"/>
      <c r="CU490" s="83"/>
      <c r="CV490" s="83"/>
      <c r="CW490" s="83"/>
      <c r="CX490" s="83"/>
      <c r="CY490" s="83"/>
      <c r="CZ490" s="83"/>
      <c r="DA490" s="83"/>
      <c r="DB490" s="83"/>
      <c r="DC490" s="83"/>
      <c r="DD490" s="83"/>
      <c r="DE490" s="83"/>
      <c r="DF490" s="115"/>
      <c r="DG490" s="115"/>
    </row>
    <row r="491" spans="1:111" ht="9" customHeight="1">
      <c r="A491" s="128"/>
      <c r="B491" s="527"/>
      <c r="C491" s="527"/>
      <c r="D491" s="527"/>
      <c r="E491" s="527"/>
      <c r="F491" s="527"/>
      <c r="G491" s="527"/>
      <c r="H491" s="527"/>
      <c r="I491" s="527"/>
      <c r="J491" s="527"/>
      <c r="K491" s="527"/>
      <c r="L491" s="527"/>
      <c r="M491" s="527"/>
      <c r="N491" s="186"/>
      <c r="O491" s="549"/>
      <c r="P491" s="550"/>
      <c r="Q491" s="550"/>
      <c r="R491" s="550"/>
      <c r="S491" s="550"/>
      <c r="T491" s="550"/>
      <c r="U491" s="550"/>
      <c r="V491" s="550"/>
      <c r="W491" s="550"/>
      <c r="X491" s="550"/>
      <c r="Y491" s="550"/>
      <c r="Z491" s="550"/>
      <c r="AA491" s="550"/>
      <c r="AB491" s="550"/>
      <c r="AC491" s="550"/>
      <c r="AD491" s="550"/>
      <c r="AE491" s="550"/>
      <c r="AF491" s="550"/>
      <c r="AG491" s="550"/>
      <c r="AH491" s="550"/>
      <c r="AI491" s="550"/>
      <c r="AJ491" s="550"/>
      <c r="AK491" s="550"/>
      <c r="AL491" s="550"/>
      <c r="AM491" s="550"/>
      <c r="AN491" s="550"/>
      <c r="AO491" s="550"/>
      <c r="AP491" s="550"/>
      <c r="AQ491" s="550"/>
      <c r="AR491" s="550"/>
      <c r="AS491" s="550"/>
      <c r="AT491" s="550"/>
      <c r="AU491" s="550"/>
      <c r="AV491" s="550"/>
      <c r="AW491" s="550"/>
      <c r="AX491" s="550"/>
      <c r="AY491" s="550"/>
      <c r="AZ491" s="550"/>
      <c r="BA491" s="551"/>
      <c r="BB491" s="128"/>
      <c r="BC491" s="115"/>
      <c r="BD491" s="115"/>
      <c r="BE491" s="115"/>
      <c r="BF491" s="115"/>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83"/>
      <c r="CN491" s="83"/>
      <c r="CO491" s="83"/>
      <c r="CP491" s="83"/>
      <c r="CQ491" s="83"/>
      <c r="CR491" s="83"/>
      <c r="CS491" s="83"/>
      <c r="CT491" s="83"/>
      <c r="CU491" s="83"/>
      <c r="CV491" s="83"/>
      <c r="CW491" s="83"/>
      <c r="CX491" s="83"/>
      <c r="CY491" s="83"/>
      <c r="CZ491" s="83"/>
      <c r="DA491" s="83"/>
      <c r="DB491" s="83"/>
      <c r="DC491" s="83"/>
      <c r="DD491" s="83"/>
      <c r="DE491" s="83"/>
      <c r="DF491" s="115"/>
      <c r="DG491" s="115"/>
    </row>
    <row r="492" spans="1:111" ht="9" customHeight="1">
      <c r="A492" s="128"/>
      <c r="B492" s="187"/>
      <c r="C492" s="187"/>
      <c r="D492" s="187"/>
      <c r="E492" s="187"/>
      <c r="F492" s="187"/>
      <c r="G492" s="187"/>
      <c r="H492" s="187"/>
      <c r="I492" s="188"/>
      <c r="J492" s="187"/>
      <c r="K492" s="187"/>
      <c r="L492" s="187"/>
      <c r="M492" s="187"/>
      <c r="N492" s="128"/>
      <c r="O492" s="549"/>
      <c r="P492" s="550"/>
      <c r="Q492" s="550"/>
      <c r="R492" s="550"/>
      <c r="S492" s="550"/>
      <c r="T492" s="550"/>
      <c r="U492" s="550"/>
      <c r="V492" s="550"/>
      <c r="W492" s="550"/>
      <c r="X492" s="550"/>
      <c r="Y492" s="550"/>
      <c r="Z492" s="550"/>
      <c r="AA492" s="550"/>
      <c r="AB492" s="550"/>
      <c r="AC492" s="550"/>
      <c r="AD492" s="550"/>
      <c r="AE492" s="550"/>
      <c r="AF492" s="550"/>
      <c r="AG492" s="550"/>
      <c r="AH492" s="550"/>
      <c r="AI492" s="550"/>
      <c r="AJ492" s="550"/>
      <c r="AK492" s="550"/>
      <c r="AL492" s="550"/>
      <c r="AM492" s="550"/>
      <c r="AN492" s="550"/>
      <c r="AO492" s="550"/>
      <c r="AP492" s="550"/>
      <c r="AQ492" s="550"/>
      <c r="AR492" s="550"/>
      <c r="AS492" s="550"/>
      <c r="AT492" s="550"/>
      <c r="AU492" s="550"/>
      <c r="AV492" s="550"/>
      <c r="AW492" s="550"/>
      <c r="AX492" s="550"/>
      <c r="AY492" s="550"/>
      <c r="AZ492" s="550"/>
      <c r="BA492" s="551"/>
      <c r="BB492" s="128"/>
      <c r="BC492" s="115"/>
      <c r="BD492" s="115"/>
      <c r="BE492" s="115"/>
      <c r="BF492" s="115"/>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c r="CC492" s="83"/>
      <c r="CD492" s="83"/>
      <c r="CE492" s="83"/>
      <c r="CF492" s="83"/>
      <c r="CG492" s="83"/>
      <c r="CH492" s="83"/>
      <c r="CI492" s="83"/>
      <c r="CJ492" s="83"/>
      <c r="CK492" s="83"/>
      <c r="CL492" s="83"/>
      <c r="CM492" s="83"/>
      <c r="CN492" s="83"/>
      <c r="CO492" s="83"/>
      <c r="CP492" s="83"/>
      <c r="CQ492" s="83"/>
      <c r="CR492" s="83"/>
      <c r="CS492" s="83"/>
      <c r="CT492" s="83"/>
      <c r="CU492" s="83"/>
      <c r="CV492" s="83"/>
      <c r="CW492" s="83"/>
      <c r="CX492" s="83"/>
      <c r="CY492" s="83"/>
      <c r="CZ492" s="83"/>
      <c r="DA492" s="83"/>
      <c r="DB492" s="83"/>
      <c r="DC492" s="83"/>
      <c r="DD492" s="83"/>
      <c r="DE492" s="83"/>
      <c r="DF492" s="115"/>
      <c r="DG492" s="115"/>
    </row>
    <row r="493" spans="1:111" ht="9" customHeight="1">
      <c r="A493" s="128"/>
      <c r="B493" s="187"/>
      <c r="C493" s="187"/>
      <c r="D493" s="187"/>
      <c r="E493" s="187"/>
      <c r="F493" s="187"/>
      <c r="G493" s="187"/>
      <c r="H493" s="187"/>
      <c r="I493" s="188"/>
      <c r="J493" s="187"/>
      <c r="K493" s="187"/>
      <c r="L493" s="187"/>
      <c r="M493" s="187"/>
      <c r="N493" s="128"/>
      <c r="O493" s="552"/>
      <c r="P493" s="553"/>
      <c r="Q493" s="553"/>
      <c r="R493" s="553"/>
      <c r="S493" s="553"/>
      <c r="T493" s="553"/>
      <c r="U493" s="553"/>
      <c r="V493" s="553"/>
      <c r="W493" s="553"/>
      <c r="X493" s="553"/>
      <c r="Y493" s="553"/>
      <c r="Z493" s="553"/>
      <c r="AA493" s="553"/>
      <c r="AB493" s="553"/>
      <c r="AC493" s="553"/>
      <c r="AD493" s="553"/>
      <c r="AE493" s="553"/>
      <c r="AF493" s="553"/>
      <c r="AG493" s="553"/>
      <c r="AH493" s="553"/>
      <c r="AI493" s="553"/>
      <c r="AJ493" s="553"/>
      <c r="AK493" s="553"/>
      <c r="AL493" s="553"/>
      <c r="AM493" s="553"/>
      <c r="AN493" s="553"/>
      <c r="AO493" s="553"/>
      <c r="AP493" s="553"/>
      <c r="AQ493" s="553"/>
      <c r="AR493" s="553"/>
      <c r="AS493" s="553"/>
      <c r="AT493" s="553"/>
      <c r="AU493" s="553"/>
      <c r="AV493" s="553"/>
      <c r="AW493" s="553"/>
      <c r="AX493" s="553"/>
      <c r="AY493" s="553"/>
      <c r="AZ493" s="553"/>
      <c r="BA493" s="554"/>
      <c r="BB493" s="128"/>
      <c r="BC493" s="115"/>
      <c r="BD493" s="115"/>
      <c r="BE493" s="115"/>
      <c r="BF493" s="115"/>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c r="CC493" s="83"/>
      <c r="CD493" s="83"/>
      <c r="CE493" s="83"/>
      <c r="CF493" s="83"/>
      <c r="CG493" s="83"/>
      <c r="CH493" s="83"/>
      <c r="CI493" s="83"/>
      <c r="CJ493" s="83"/>
      <c r="CK493" s="83"/>
      <c r="CL493" s="83"/>
      <c r="CM493" s="83"/>
      <c r="CN493" s="83"/>
      <c r="CO493" s="83"/>
      <c r="CP493" s="83"/>
      <c r="CQ493" s="83"/>
      <c r="CR493" s="83"/>
      <c r="CS493" s="83"/>
      <c r="CT493" s="83"/>
      <c r="CU493" s="83"/>
      <c r="CV493" s="83"/>
      <c r="CW493" s="83"/>
      <c r="CX493" s="83"/>
      <c r="CY493" s="83"/>
      <c r="CZ493" s="83"/>
      <c r="DA493" s="83"/>
      <c r="DB493" s="83"/>
      <c r="DC493" s="83"/>
      <c r="DD493" s="83"/>
      <c r="DE493" s="83"/>
      <c r="DF493" s="115"/>
      <c r="DG493" s="115"/>
    </row>
    <row r="494" spans="1:111" ht="4.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15"/>
      <c r="BD494" s="115"/>
      <c r="BE494" s="115"/>
      <c r="BF494" s="115"/>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c r="CC494" s="83"/>
      <c r="CD494" s="83"/>
      <c r="CE494" s="83"/>
      <c r="CF494" s="83"/>
      <c r="CG494" s="83"/>
      <c r="CH494" s="83"/>
      <c r="CI494" s="83"/>
      <c r="CJ494" s="83"/>
      <c r="CK494" s="83"/>
      <c r="CL494" s="83"/>
      <c r="CM494" s="83"/>
      <c r="CN494" s="83"/>
      <c r="CO494" s="83"/>
      <c r="CP494" s="83"/>
      <c r="CQ494" s="83"/>
      <c r="CR494" s="83"/>
      <c r="CS494" s="83"/>
      <c r="CT494" s="83"/>
      <c r="CU494" s="83"/>
      <c r="CV494" s="83"/>
      <c r="CW494" s="83"/>
      <c r="CX494" s="83"/>
      <c r="CY494" s="83"/>
      <c r="CZ494" s="83"/>
      <c r="DA494" s="83"/>
      <c r="DB494" s="83"/>
      <c r="DC494" s="83"/>
      <c r="DD494" s="83"/>
      <c r="DE494" s="83"/>
      <c r="DF494" s="115"/>
      <c r="DG494" s="115"/>
    </row>
    <row r="495" spans="1:111" ht="9" customHeight="1">
      <c r="A495" s="128"/>
      <c r="B495" s="527" t="s">
        <v>456</v>
      </c>
      <c r="C495" s="527"/>
      <c r="D495" s="527"/>
      <c r="E495" s="527"/>
      <c r="F495" s="527"/>
      <c r="G495" s="527"/>
      <c r="H495" s="527"/>
      <c r="I495" s="527"/>
      <c r="J495" s="527"/>
      <c r="K495" s="527"/>
      <c r="L495" s="527"/>
      <c r="M495" s="527"/>
      <c r="N495" s="186"/>
      <c r="O495" s="546"/>
      <c r="P495" s="547"/>
      <c r="Q495" s="547"/>
      <c r="R495" s="547"/>
      <c r="S495" s="547"/>
      <c r="T495" s="547"/>
      <c r="U495" s="547"/>
      <c r="V495" s="547"/>
      <c r="W495" s="547"/>
      <c r="X495" s="547"/>
      <c r="Y495" s="547"/>
      <c r="Z495" s="547"/>
      <c r="AA495" s="547"/>
      <c r="AB495" s="547"/>
      <c r="AC495" s="547"/>
      <c r="AD495" s="547"/>
      <c r="AE495" s="547"/>
      <c r="AF495" s="547"/>
      <c r="AG495" s="547"/>
      <c r="AH495" s="547"/>
      <c r="AI495" s="547"/>
      <c r="AJ495" s="547"/>
      <c r="AK495" s="547"/>
      <c r="AL495" s="547"/>
      <c r="AM495" s="547"/>
      <c r="AN495" s="547"/>
      <c r="AO495" s="547"/>
      <c r="AP495" s="547"/>
      <c r="AQ495" s="547"/>
      <c r="AR495" s="547"/>
      <c r="AS495" s="547"/>
      <c r="AT495" s="547"/>
      <c r="AU495" s="547"/>
      <c r="AV495" s="547"/>
      <c r="AW495" s="547"/>
      <c r="AX495" s="547"/>
      <c r="AY495" s="547"/>
      <c r="AZ495" s="547"/>
      <c r="BA495" s="548"/>
      <c r="BB495" s="128"/>
      <c r="BC495" s="115"/>
      <c r="BD495" s="115"/>
      <c r="BE495" s="115"/>
      <c r="BF495" s="115"/>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c r="CC495" s="83"/>
      <c r="CD495" s="83"/>
      <c r="CE495" s="83"/>
      <c r="CF495" s="83"/>
      <c r="CG495" s="83"/>
      <c r="CH495" s="83"/>
      <c r="CI495" s="83"/>
      <c r="CJ495" s="83"/>
      <c r="CK495" s="83"/>
      <c r="CL495" s="83"/>
      <c r="CM495" s="83"/>
      <c r="CN495" s="83"/>
      <c r="CO495" s="83"/>
      <c r="CP495" s="83"/>
      <c r="CQ495" s="83"/>
      <c r="CR495" s="83"/>
      <c r="CS495" s="83"/>
      <c r="CT495" s="83"/>
      <c r="CU495" s="83"/>
      <c r="CV495" s="83"/>
      <c r="CW495" s="83"/>
      <c r="CX495" s="83"/>
      <c r="CY495" s="83"/>
      <c r="CZ495" s="83"/>
      <c r="DA495" s="83"/>
      <c r="DB495" s="83"/>
      <c r="DC495" s="83"/>
      <c r="DD495" s="83"/>
      <c r="DE495" s="83"/>
      <c r="DF495" s="115"/>
      <c r="DG495" s="115"/>
    </row>
    <row r="496" spans="1:111" ht="9" customHeight="1">
      <c r="A496" s="128"/>
      <c r="B496" s="527"/>
      <c r="C496" s="527"/>
      <c r="D496" s="527"/>
      <c r="E496" s="527"/>
      <c r="F496" s="527"/>
      <c r="G496" s="527"/>
      <c r="H496" s="527"/>
      <c r="I496" s="527"/>
      <c r="J496" s="527"/>
      <c r="K496" s="527"/>
      <c r="L496" s="527"/>
      <c r="M496" s="527"/>
      <c r="N496" s="186"/>
      <c r="O496" s="549"/>
      <c r="P496" s="550"/>
      <c r="Q496" s="550"/>
      <c r="R496" s="550"/>
      <c r="S496" s="550"/>
      <c r="T496" s="550"/>
      <c r="U496" s="550"/>
      <c r="V496" s="550"/>
      <c r="W496" s="550"/>
      <c r="X496" s="550"/>
      <c r="Y496" s="550"/>
      <c r="Z496" s="550"/>
      <c r="AA496" s="550"/>
      <c r="AB496" s="550"/>
      <c r="AC496" s="550"/>
      <c r="AD496" s="550"/>
      <c r="AE496" s="550"/>
      <c r="AF496" s="550"/>
      <c r="AG496" s="550"/>
      <c r="AH496" s="550"/>
      <c r="AI496" s="550"/>
      <c r="AJ496" s="550"/>
      <c r="AK496" s="550"/>
      <c r="AL496" s="550"/>
      <c r="AM496" s="550"/>
      <c r="AN496" s="550"/>
      <c r="AO496" s="550"/>
      <c r="AP496" s="550"/>
      <c r="AQ496" s="550"/>
      <c r="AR496" s="550"/>
      <c r="AS496" s="550"/>
      <c r="AT496" s="550"/>
      <c r="AU496" s="550"/>
      <c r="AV496" s="550"/>
      <c r="AW496" s="550"/>
      <c r="AX496" s="550"/>
      <c r="AY496" s="550"/>
      <c r="AZ496" s="550"/>
      <c r="BA496" s="551"/>
      <c r="BB496" s="128"/>
      <c r="BC496" s="115"/>
      <c r="BD496" s="115"/>
      <c r="BE496" s="115"/>
      <c r="BF496" s="115"/>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c r="CC496" s="83"/>
      <c r="CD496" s="83"/>
      <c r="CE496" s="83"/>
      <c r="CF496" s="83"/>
      <c r="CG496" s="83"/>
      <c r="CH496" s="83"/>
      <c r="CI496" s="83"/>
      <c r="CJ496" s="83"/>
      <c r="CK496" s="83"/>
      <c r="CL496" s="83"/>
      <c r="CM496" s="83"/>
      <c r="CN496" s="83"/>
      <c r="CO496" s="83"/>
      <c r="CP496" s="83"/>
      <c r="CQ496" s="83"/>
      <c r="CR496" s="83"/>
      <c r="CS496" s="83"/>
      <c r="CT496" s="83"/>
      <c r="CU496" s="83"/>
      <c r="CV496" s="83"/>
      <c r="CW496" s="83"/>
      <c r="CX496" s="83"/>
      <c r="CY496" s="83"/>
      <c r="CZ496" s="83"/>
      <c r="DA496" s="83"/>
      <c r="DB496" s="83"/>
      <c r="DC496" s="83"/>
      <c r="DD496" s="83"/>
      <c r="DE496" s="83"/>
      <c r="DF496" s="115"/>
      <c r="DG496" s="115"/>
    </row>
    <row r="497" spans="1:111" ht="9" customHeight="1">
      <c r="A497" s="128"/>
      <c r="B497" s="187"/>
      <c r="C497" s="187"/>
      <c r="D497" s="187"/>
      <c r="E497" s="187"/>
      <c r="F497" s="187"/>
      <c r="G497" s="187"/>
      <c r="H497" s="187"/>
      <c r="I497" s="188"/>
      <c r="J497" s="187"/>
      <c r="K497" s="187"/>
      <c r="L497" s="187"/>
      <c r="M497" s="187"/>
      <c r="N497" s="128"/>
      <c r="O497" s="549"/>
      <c r="P497" s="550"/>
      <c r="Q497" s="550"/>
      <c r="R497" s="550"/>
      <c r="S497" s="550"/>
      <c r="T497" s="550"/>
      <c r="U497" s="550"/>
      <c r="V497" s="550"/>
      <c r="W497" s="550"/>
      <c r="X497" s="550"/>
      <c r="Y497" s="550"/>
      <c r="Z497" s="550"/>
      <c r="AA497" s="550"/>
      <c r="AB497" s="550"/>
      <c r="AC497" s="550"/>
      <c r="AD497" s="550"/>
      <c r="AE497" s="550"/>
      <c r="AF497" s="550"/>
      <c r="AG497" s="550"/>
      <c r="AH497" s="550"/>
      <c r="AI497" s="550"/>
      <c r="AJ497" s="550"/>
      <c r="AK497" s="550"/>
      <c r="AL497" s="550"/>
      <c r="AM497" s="550"/>
      <c r="AN497" s="550"/>
      <c r="AO497" s="550"/>
      <c r="AP497" s="550"/>
      <c r="AQ497" s="550"/>
      <c r="AR497" s="550"/>
      <c r="AS497" s="550"/>
      <c r="AT497" s="550"/>
      <c r="AU497" s="550"/>
      <c r="AV497" s="550"/>
      <c r="AW497" s="550"/>
      <c r="AX497" s="550"/>
      <c r="AY497" s="550"/>
      <c r="AZ497" s="550"/>
      <c r="BA497" s="551"/>
      <c r="BB497" s="128"/>
      <c r="BC497" s="115"/>
      <c r="BD497" s="115"/>
      <c r="BE497" s="115"/>
      <c r="BF497" s="115"/>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c r="CC497" s="83"/>
      <c r="CD497" s="83"/>
      <c r="CE497" s="83"/>
      <c r="CF497" s="83"/>
      <c r="CG497" s="83"/>
      <c r="CH497" s="83"/>
      <c r="CI497" s="83"/>
      <c r="CJ497" s="83"/>
      <c r="CK497" s="83"/>
      <c r="CL497" s="83"/>
      <c r="CM497" s="83"/>
      <c r="CN497" s="83"/>
      <c r="CO497" s="83"/>
      <c r="CP497" s="83"/>
      <c r="CQ497" s="83"/>
      <c r="CR497" s="83"/>
      <c r="CS497" s="83"/>
      <c r="CT497" s="83"/>
      <c r="CU497" s="83"/>
      <c r="CV497" s="83"/>
      <c r="CW497" s="83"/>
      <c r="CX497" s="83"/>
      <c r="CY497" s="83"/>
      <c r="CZ497" s="83"/>
      <c r="DA497" s="83"/>
      <c r="DB497" s="83"/>
      <c r="DC497" s="83"/>
      <c r="DD497" s="83"/>
      <c r="DE497" s="83"/>
      <c r="DF497" s="115"/>
      <c r="DG497" s="115"/>
    </row>
    <row r="498" spans="1:111" ht="9" customHeight="1">
      <c r="A498" s="128"/>
      <c r="B498" s="187"/>
      <c r="C498" s="187"/>
      <c r="D498" s="187"/>
      <c r="E498" s="187"/>
      <c r="F498" s="187"/>
      <c r="G498" s="187"/>
      <c r="H498" s="187"/>
      <c r="I498" s="188"/>
      <c r="J498" s="187"/>
      <c r="K498" s="187"/>
      <c r="L498" s="187"/>
      <c r="M498" s="187"/>
      <c r="N498" s="128"/>
      <c r="O498" s="552"/>
      <c r="P498" s="553"/>
      <c r="Q498" s="553"/>
      <c r="R498" s="553"/>
      <c r="S498" s="553"/>
      <c r="T498" s="553"/>
      <c r="U498" s="553"/>
      <c r="V498" s="553"/>
      <c r="W498" s="553"/>
      <c r="X498" s="553"/>
      <c r="Y498" s="553"/>
      <c r="Z498" s="553"/>
      <c r="AA498" s="553"/>
      <c r="AB498" s="553"/>
      <c r="AC498" s="553"/>
      <c r="AD498" s="553"/>
      <c r="AE498" s="553"/>
      <c r="AF498" s="553"/>
      <c r="AG498" s="553"/>
      <c r="AH498" s="553"/>
      <c r="AI498" s="553"/>
      <c r="AJ498" s="553"/>
      <c r="AK498" s="553"/>
      <c r="AL498" s="553"/>
      <c r="AM498" s="553"/>
      <c r="AN498" s="553"/>
      <c r="AO498" s="553"/>
      <c r="AP498" s="553"/>
      <c r="AQ498" s="553"/>
      <c r="AR498" s="553"/>
      <c r="AS498" s="553"/>
      <c r="AT498" s="553"/>
      <c r="AU498" s="553"/>
      <c r="AV498" s="553"/>
      <c r="AW498" s="553"/>
      <c r="AX498" s="553"/>
      <c r="AY498" s="553"/>
      <c r="AZ498" s="553"/>
      <c r="BA498" s="554"/>
      <c r="BB498" s="128"/>
      <c r="BC498" s="115"/>
      <c r="BD498" s="115"/>
      <c r="BE498" s="115"/>
      <c r="BF498" s="115"/>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c r="CC498" s="83"/>
      <c r="CD498" s="83"/>
      <c r="CE498" s="83"/>
      <c r="CF498" s="83"/>
      <c r="CG498" s="83"/>
      <c r="CH498" s="83"/>
      <c r="CI498" s="83"/>
      <c r="CJ498" s="83"/>
      <c r="CK498" s="83"/>
      <c r="CL498" s="83"/>
      <c r="CM498" s="83"/>
      <c r="CN498" s="83"/>
      <c r="CO498" s="83"/>
      <c r="CP498" s="83"/>
      <c r="CQ498" s="83"/>
      <c r="CR498" s="83"/>
      <c r="CS498" s="83"/>
      <c r="CT498" s="83"/>
      <c r="CU498" s="83"/>
      <c r="CV498" s="83"/>
      <c r="CW498" s="83"/>
      <c r="CX498" s="83"/>
      <c r="CY498" s="83"/>
      <c r="CZ498" s="83"/>
      <c r="DA498" s="83"/>
      <c r="DB498" s="83"/>
      <c r="DC498" s="83"/>
      <c r="DD498" s="83"/>
      <c r="DE498" s="83"/>
      <c r="DF498" s="115"/>
      <c r="DG498" s="115"/>
    </row>
    <row r="499" spans="1:111" ht="4.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15"/>
      <c r="BD499" s="115"/>
      <c r="BE499" s="115"/>
      <c r="BF499" s="115"/>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c r="CC499" s="83"/>
      <c r="CD499" s="83"/>
      <c r="CE499" s="83"/>
      <c r="CF499" s="83"/>
      <c r="CG499" s="83"/>
      <c r="CH499" s="83"/>
      <c r="CI499" s="83"/>
      <c r="CJ499" s="83"/>
      <c r="CK499" s="83"/>
      <c r="CL499" s="83"/>
      <c r="CM499" s="83"/>
      <c r="CN499" s="83"/>
      <c r="CO499" s="83"/>
      <c r="CP499" s="83"/>
      <c r="CQ499" s="83"/>
      <c r="CR499" s="83"/>
      <c r="CS499" s="83"/>
      <c r="CT499" s="83"/>
      <c r="CU499" s="83"/>
      <c r="CV499" s="83"/>
      <c r="CW499" s="83"/>
      <c r="CX499" s="83"/>
      <c r="CY499" s="83"/>
      <c r="CZ499" s="83"/>
      <c r="DA499" s="83"/>
      <c r="DB499" s="83"/>
      <c r="DC499" s="83"/>
      <c r="DD499" s="83"/>
      <c r="DE499" s="83"/>
      <c r="DF499" s="115"/>
      <c r="DG499" s="115"/>
    </row>
    <row r="500" spans="1:111" ht="9" customHeight="1">
      <c r="A500" s="128"/>
      <c r="B500" s="527" t="s">
        <v>457</v>
      </c>
      <c r="C500" s="527"/>
      <c r="D500" s="527"/>
      <c r="E500" s="527"/>
      <c r="F500" s="527"/>
      <c r="G500" s="527"/>
      <c r="H500" s="527"/>
      <c r="I500" s="527"/>
      <c r="J500" s="527"/>
      <c r="K500" s="527"/>
      <c r="L500" s="527"/>
      <c r="M500" s="527"/>
      <c r="N500" s="186"/>
      <c r="O500" s="546"/>
      <c r="P500" s="547"/>
      <c r="Q500" s="547"/>
      <c r="R500" s="547"/>
      <c r="S500" s="547"/>
      <c r="T500" s="547"/>
      <c r="U500" s="547"/>
      <c r="V500" s="547"/>
      <c r="W500" s="547"/>
      <c r="X500" s="547"/>
      <c r="Y500" s="547"/>
      <c r="Z500" s="547"/>
      <c r="AA500" s="547"/>
      <c r="AB500" s="547"/>
      <c r="AC500" s="547"/>
      <c r="AD500" s="547"/>
      <c r="AE500" s="547"/>
      <c r="AF500" s="547"/>
      <c r="AG500" s="547"/>
      <c r="AH500" s="547"/>
      <c r="AI500" s="547"/>
      <c r="AJ500" s="547"/>
      <c r="AK500" s="547"/>
      <c r="AL500" s="547"/>
      <c r="AM500" s="547"/>
      <c r="AN500" s="547"/>
      <c r="AO500" s="547"/>
      <c r="AP500" s="547"/>
      <c r="AQ500" s="547"/>
      <c r="AR500" s="547"/>
      <c r="AS500" s="547"/>
      <c r="AT500" s="547"/>
      <c r="AU500" s="547"/>
      <c r="AV500" s="547"/>
      <c r="AW500" s="547"/>
      <c r="AX500" s="547"/>
      <c r="AY500" s="547"/>
      <c r="AZ500" s="547"/>
      <c r="BA500" s="548"/>
      <c r="BB500" s="128"/>
      <c r="BC500" s="115"/>
      <c r="BD500" s="115"/>
      <c r="BE500" s="115"/>
      <c r="BF500" s="115"/>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c r="CC500" s="83"/>
      <c r="CD500" s="83"/>
      <c r="CE500" s="83"/>
      <c r="CF500" s="83"/>
      <c r="CG500" s="83"/>
      <c r="CH500" s="83"/>
      <c r="CI500" s="83"/>
      <c r="CJ500" s="83"/>
      <c r="CK500" s="83"/>
      <c r="CL500" s="83"/>
      <c r="CM500" s="83"/>
      <c r="CN500" s="83"/>
      <c r="CO500" s="83"/>
      <c r="CP500" s="83"/>
      <c r="CQ500" s="83"/>
      <c r="CR500" s="83"/>
      <c r="CS500" s="83"/>
      <c r="CT500" s="83"/>
      <c r="CU500" s="83"/>
      <c r="CV500" s="83"/>
      <c r="CW500" s="83"/>
      <c r="CX500" s="83"/>
      <c r="CY500" s="83"/>
      <c r="CZ500" s="83"/>
      <c r="DA500" s="83"/>
      <c r="DB500" s="83"/>
      <c r="DC500" s="83"/>
      <c r="DD500" s="83"/>
      <c r="DE500" s="83"/>
      <c r="DF500" s="115"/>
      <c r="DG500" s="115"/>
    </row>
    <row r="501" spans="1:111" ht="9" customHeight="1">
      <c r="A501" s="128"/>
      <c r="B501" s="527"/>
      <c r="C501" s="527"/>
      <c r="D501" s="527"/>
      <c r="E501" s="527"/>
      <c r="F501" s="527"/>
      <c r="G501" s="527"/>
      <c r="H501" s="527"/>
      <c r="I501" s="527"/>
      <c r="J501" s="527"/>
      <c r="K501" s="527"/>
      <c r="L501" s="527"/>
      <c r="M501" s="527"/>
      <c r="N501" s="186"/>
      <c r="O501" s="549"/>
      <c r="P501" s="550"/>
      <c r="Q501" s="550"/>
      <c r="R501" s="550"/>
      <c r="S501" s="550"/>
      <c r="T501" s="550"/>
      <c r="U501" s="550"/>
      <c r="V501" s="550"/>
      <c r="W501" s="550"/>
      <c r="X501" s="550"/>
      <c r="Y501" s="550"/>
      <c r="Z501" s="550"/>
      <c r="AA501" s="550"/>
      <c r="AB501" s="550"/>
      <c r="AC501" s="550"/>
      <c r="AD501" s="550"/>
      <c r="AE501" s="550"/>
      <c r="AF501" s="550"/>
      <c r="AG501" s="550"/>
      <c r="AH501" s="550"/>
      <c r="AI501" s="550"/>
      <c r="AJ501" s="550"/>
      <c r="AK501" s="550"/>
      <c r="AL501" s="550"/>
      <c r="AM501" s="550"/>
      <c r="AN501" s="550"/>
      <c r="AO501" s="550"/>
      <c r="AP501" s="550"/>
      <c r="AQ501" s="550"/>
      <c r="AR501" s="550"/>
      <c r="AS501" s="550"/>
      <c r="AT501" s="550"/>
      <c r="AU501" s="550"/>
      <c r="AV501" s="550"/>
      <c r="AW501" s="550"/>
      <c r="AX501" s="550"/>
      <c r="AY501" s="550"/>
      <c r="AZ501" s="550"/>
      <c r="BA501" s="551"/>
      <c r="BB501" s="128"/>
      <c r="BC501" s="115"/>
      <c r="BD501" s="115"/>
      <c r="BE501" s="115"/>
      <c r="BF501" s="115"/>
      <c r="BG501" s="83"/>
      <c r="BH501" s="83"/>
      <c r="BI501" s="83"/>
      <c r="BJ501" s="83"/>
      <c r="BK501" s="83"/>
      <c r="BL501" s="83"/>
      <c r="BM501" s="83"/>
      <c r="BN501" s="83"/>
      <c r="BO501" s="83"/>
      <c r="BP501" s="83"/>
      <c r="BQ501" s="83"/>
      <c r="BR501" s="83"/>
      <c r="BS501" s="83"/>
      <c r="BT501" s="83"/>
      <c r="BU501" s="83"/>
      <c r="BV501" s="83"/>
      <c r="BW501" s="83"/>
      <c r="BX501" s="83"/>
      <c r="BY501" s="83"/>
      <c r="BZ501" s="83"/>
      <c r="CA501" s="83"/>
      <c r="CB501" s="83"/>
      <c r="CC501" s="83"/>
      <c r="CD501" s="83"/>
      <c r="CE501" s="83"/>
      <c r="CF501" s="83"/>
      <c r="CG501" s="83"/>
      <c r="CH501" s="83"/>
      <c r="CI501" s="83"/>
      <c r="CJ501" s="83"/>
      <c r="CK501" s="83"/>
      <c r="CL501" s="83"/>
      <c r="CM501" s="83"/>
      <c r="CN501" s="83"/>
      <c r="CO501" s="83"/>
      <c r="CP501" s="83"/>
      <c r="CQ501" s="83"/>
      <c r="CR501" s="83"/>
      <c r="CS501" s="83"/>
      <c r="CT501" s="83"/>
      <c r="CU501" s="83"/>
      <c r="CV501" s="83"/>
      <c r="CW501" s="83"/>
      <c r="CX501" s="83"/>
      <c r="CY501" s="83"/>
      <c r="CZ501" s="83"/>
      <c r="DA501" s="83"/>
      <c r="DB501" s="83"/>
      <c r="DC501" s="83"/>
      <c r="DD501" s="83"/>
      <c r="DE501" s="83"/>
      <c r="DF501" s="115"/>
      <c r="DG501" s="115"/>
    </row>
    <row r="502" spans="1:111" ht="9" customHeight="1">
      <c r="A502" s="128"/>
      <c r="B502" s="187"/>
      <c r="C502" s="187"/>
      <c r="D502" s="187"/>
      <c r="E502" s="187"/>
      <c r="F502" s="187"/>
      <c r="G502" s="187"/>
      <c r="H502" s="187"/>
      <c r="I502" s="188"/>
      <c r="J502" s="187"/>
      <c r="K502" s="187"/>
      <c r="L502" s="187"/>
      <c r="M502" s="187"/>
      <c r="N502" s="128"/>
      <c r="O502" s="549"/>
      <c r="P502" s="550"/>
      <c r="Q502" s="550"/>
      <c r="R502" s="550"/>
      <c r="S502" s="550"/>
      <c r="T502" s="550"/>
      <c r="U502" s="550"/>
      <c r="V502" s="550"/>
      <c r="W502" s="550"/>
      <c r="X502" s="550"/>
      <c r="Y502" s="550"/>
      <c r="Z502" s="550"/>
      <c r="AA502" s="550"/>
      <c r="AB502" s="550"/>
      <c r="AC502" s="550"/>
      <c r="AD502" s="550"/>
      <c r="AE502" s="550"/>
      <c r="AF502" s="550"/>
      <c r="AG502" s="550"/>
      <c r="AH502" s="550"/>
      <c r="AI502" s="550"/>
      <c r="AJ502" s="550"/>
      <c r="AK502" s="550"/>
      <c r="AL502" s="550"/>
      <c r="AM502" s="550"/>
      <c r="AN502" s="550"/>
      <c r="AO502" s="550"/>
      <c r="AP502" s="550"/>
      <c r="AQ502" s="550"/>
      <c r="AR502" s="550"/>
      <c r="AS502" s="550"/>
      <c r="AT502" s="550"/>
      <c r="AU502" s="550"/>
      <c r="AV502" s="550"/>
      <c r="AW502" s="550"/>
      <c r="AX502" s="550"/>
      <c r="AY502" s="550"/>
      <c r="AZ502" s="550"/>
      <c r="BA502" s="551"/>
      <c r="BB502" s="128"/>
      <c r="BC502" s="115"/>
      <c r="BD502" s="115"/>
      <c r="BE502" s="115"/>
      <c r="BF502" s="115"/>
      <c r="BG502" s="83"/>
      <c r="BH502" s="83"/>
      <c r="BI502" s="83"/>
      <c r="BJ502" s="83"/>
      <c r="BK502" s="83"/>
      <c r="BL502" s="83"/>
      <c r="BM502" s="83"/>
      <c r="BN502" s="83"/>
      <c r="BO502" s="83"/>
      <c r="BP502" s="83"/>
      <c r="BQ502" s="83"/>
      <c r="BR502" s="83"/>
      <c r="BS502" s="83"/>
      <c r="BT502" s="83"/>
      <c r="BU502" s="83"/>
      <c r="BV502" s="83"/>
      <c r="BW502" s="83"/>
      <c r="BX502" s="83"/>
      <c r="BY502" s="83"/>
      <c r="BZ502" s="83"/>
      <c r="CA502" s="83"/>
      <c r="CB502" s="83"/>
      <c r="CC502" s="83"/>
      <c r="CD502" s="83"/>
      <c r="CE502" s="83"/>
      <c r="CF502" s="83"/>
      <c r="CG502" s="83"/>
      <c r="CH502" s="83"/>
      <c r="CI502" s="83"/>
      <c r="CJ502" s="83"/>
      <c r="CK502" s="83"/>
      <c r="CL502" s="83"/>
      <c r="CM502" s="83"/>
      <c r="CN502" s="83"/>
      <c r="CO502" s="83"/>
      <c r="CP502" s="83"/>
      <c r="CQ502" s="83"/>
      <c r="CR502" s="83"/>
      <c r="CS502" s="83"/>
      <c r="CT502" s="83"/>
      <c r="CU502" s="83"/>
      <c r="CV502" s="83"/>
      <c r="CW502" s="83"/>
      <c r="CX502" s="83"/>
      <c r="CY502" s="83"/>
      <c r="CZ502" s="83"/>
      <c r="DA502" s="83"/>
      <c r="DB502" s="83"/>
      <c r="DC502" s="83"/>
      <c r="DD502" s="83"/>
      <c r="DE502" s="83"/>
      <c r="DF502" s="115"/>
      <c r="DG502" s="115"/>
    </row>
    <row r="503" spans="1:111" ht="9" customHeight="1">
      <c r="A503" s="128"/>
      <c r="B503" s="187"/>
      <c r="C503" s="187"/>
      <c r="D503" s="187"/>
      <c r="E503" s="187"/>
      <c r="F503" s="187"/>
      <c r="G503" s="187"/>
      <c r="H503" s="187"/>
      <c r="I503" s="188"/>
      <c r="J503" s="187"/>
      <c r="K503" s="187"/>
      <c r="L503" s="187"/>
      <c r="M503" s="187"/>
      <c r="N503" s="128"/>
      <c r="O503" s="552"/>
      <c r="P503" s="553"/>
      <c r="Q503" s="553"/>
      <c r="R503" s="553"/>
      <c r="S503" s="553"/>
      <c r="T503" s="553"/>
      <c r="U503" s="553"/>
      <c r="V503" s="553"/>
      <c r="W503" s="553"/>
      <c r="X503" s="553"/>
      <c r="Y503" s="553"/>
      <c r="Z503" s="553"/>
      <c r="AA503" s="553"/>
      <c r="AB503" s="553"/>
      <c r="AC503" s="553"/>
      <c r="AD503" s="553"/>
      <c r="AE503" s="553"/>
      <c r="AF503" s="553"/>
      <c r="AG503" s="553"/>
      <c r="AH503" s="553"/>
      <c r="AI503" s="553"/>
      <c r="AJ503" s="553"/>
      <c r="AK503" s="553"/>
      <c r="AL503" s="553"/>
      <c r="AM503" s="553"/>
      <c r="AN503" s="553"/>
      <c r="AO503" s="553"/>
      <c r="AP503" s="553"/>
      <c r="AQ503" s="553"/>
      <c r="AR503" s="553"/>
      <c r="AS503" s="553"/>
      <c r="AT503" s="553"/>
      <c r="AU503" s="553"/>
      <c r="AV503" s="553"/>
      <c r="AW503" s="553"/>
      <c r="AX503" s="553"/>
      <c r="AY503" s="553"/>
      <c r="AZ503" s="553"/>
      <c r="BA503" s="554"/>
      <c r="BB503" s="128"/>
      <c r="BC503" s="115"/>
      <c r="BD503" s="115"/>
      <c r="BE503" s="115"/>
      <c r="BF503" s="115"/>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c r="CC503" s="83"/>
      <c r="CD503" s="83"/>
      <c r="CE503" s="83"/>
      <c r="CF503" s="83"/>
      <c r="CG503" s="83"/>
      <c r="CH503" s="83"/>
      <c r="CI503" s="83"/>
      <c r="CJ503" s="83"/>
      <c r="CK503" s="83"/>
      <c r="CL503" s="83"/>
      <c r="CM503" s="83"/>
      <c r="CN503" s="83"/>
      <c r="CO503" s="83"/>
      <c r="CP503" s="83"/>
      <c r="CQ503" s="83"/>
      <c r="CR503" s="83"/>
      <c r="CS503" s="83"/>
      <c r="CT503" s="83"/>
      <c r="CU503" s="83"/>
      <c r="CV503" s="83"/>
      <c r="CW503" s="83"/>
      <c r="CX503" s="83"/>
      <c r="CY503" s="83"/>
      <c r="CZ503" s="83"/>
      <c r="DA503" s="83"/>
      <c r="DB503" s="83"/>
      <c r="DC503" s="83"/>
      <c r="DD503" s="83"/>
      <c r="DE503" s="83"/>
      <c r="DF503" s="115"/>
      <c r="DG503" s="115"/>
    </row>
    <row r="504" spans="1:111" ht="18"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15"/>
      <c r="BD504" s="115"/>
      <c r="BE504" s="115"/>
      <c r="BF504" s="115"/>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c r="CC504" s="83"/>
      <c r="CD504" s="83"/>
      <c r="CE504" s="83"/>
      <c r="CF504" s="83"/>
      <c r="CG504" s="83"/>
      <c r="CH504" s="83"/>
      <c r="CI504" s="83"/>
      <c r="CJ504" s="83"/>
      <c r="CK504" s="83"/>
      <c r="CL504" s="83"/>
      <c r="CM504" s="83"/>
      <c r="CN504" s="83"/>
      <c r="CO504" s="83"/>
      <c r="CP504" s="83"/>
      <c r="CQ504" s="83"/>
      <c r="CR504" s="83"/>
      <c r="CS504" s="83"/>
      <c r="CT504" s="83"/>
      <c r="CU504" s="83"/>
      <c r="CV504" s="83"/>
      <c r="CW504" s="83"/>
      <c r="CX504" s="83"/>
      <c r="CY504" s="83"/>
      <c r="CZ504" s="83"/>
      <c r="DA504" s="83"/>
      <c r="DB504" s="83"/>
      <c r="DC504" s="83"/>
      <c r="DD504" s="83"/>
      <c r="DE504" s="83"/>
      <c r="DF504" s="115"/>
      <c r="DG504" s="115"/>
    </row>
    <row r="505" spans="1:111" ht="9" customHeight="1">
      <c r="A505" s="128"/>
      <c r="B505" s="525" t="s">
        <v>463</v>
      </c>
      <c r="C505" s="525"/>
      <c r="D505" s="525"/>
      <c r="E505" s="525"/>
      <c r="F505" s="525"/>
      <c r="G505" s="525"/>
      <c r="H505" s="525"/>
      <c r="I505" s="525"/>
      <c r="J505" s="525"/>
      <c r="K505" s="525"/>
      <c r="L505" s="525"/>
      <c r="M505" s="525"/>
      <c r="N505" s="525"/>
      <c r="O505" s="525"/>
      <c r="P505" s="525"/>
      <c r="Q505" s="525"/>
      <c r="R505" s="525"/>
      <c r="S505" s="525"/>
      <c r="T505" s="525"/>
      <c r="U505" s="525"/>
      <c r="V505" s="525"/>
      <c r="W505" s="525"/>
      <c r="X505" s="525"/>
      <c r="Y505" s="525"/>
      <c r="Z505" s="525"/>
      <c r="AA505" s="525"/>
      <c r="AB505" s="525"/>
      <c r="AC505" s="525"/>
      <c r="AD505" s="525"/>
      <c r="AE505" s="525"/>
      <c r="AF505" s="525"/>
      <c r="AG505" s="525"/>
      <c r="AH505" s="525"/>
      <c r="AI505" s="525"/>
      <c r="AJ505" s="525"/>
      <c r="AK505" s="525"/>
      <c r="AL505" s="525"/>
      <c r="AM505" s="525"/>
      <c r="AN505" s="525"/>
      <c r="AO505" s="525"/>
      <c r="AP505" s="525"/>
      <c r="AQ505" s="525"/>
      <c r="AR505" s="525"/>
      <c r="AS505" s="525"/>
      <c r="AT505" s="525"/>
      <c r="AU505" s="525"/>
      <c r="AV505" s="525"/>
      <c r="AW505" s="525"/>
      <c r="AX505" s="525"/>
      <c r="AY505" s="525"/>
      <c r="AZ505" s="525"/>
      <c r="BA505" s="525"/>
      <c r="BB505" s="128"/>
      <c r="BC505" s="115"/>
      <c r="BD505" s="115"/>
      <c r="BE505" s="115"/>
      <c r="BF505" s="115"/>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c r="CC505" s="83"/>
      <c r="CD505" s="83"/>
      <c r="CE505" s="83"/>
      <c r="CF505" s="83"/>
      <c r="CG505" s="83"/>
      <c r="CH505" s="83"/>
      <c r="CI505" s="83"/>
      <c r="CJ505" s="83"/>
      <c r="CK505" s="83"/>
      <c r="CL505" s="83"/>
      <c r="CM505" s="83"/>
      <c r="CN505" s="83"/>
      <c r="CO505" s="83"/>
      <c r="CP505" s="83"/>
      <c r="CQ505" s="83"/>
      <c r="CR505" s="83"/>
      <c r="CS505" s="83"/>
      <c r="CT505" s="83"/>
      <c r="CU505" s="83"/>
      <c r="CV505" s="83"/>
      <c r="CW505" s="83"/>
      <c r="CX505" s="83"/>
      <c r="CY505" s="83"/>
      <c r="CZ505" s="83"/>
      <c r="DA505" s="83"/>
      <c r="DB505" s="83"/>
      <c r="DC505" s="83"/>
      <c r="DD505" s="83"/>
      <c r="DE505" s="83"/>
      <c r="DF505" s="115"/>
      <c r="DG505" s="115"/>
    </row>
    <row r="506" spans="1:111" ht="9" customHeight="1">
      <c r="A506" s="128"/>
      <c r="B506" s="526"/>
      <c r="C506" s="526"/>
      <c r="D506" s="526"/>
      <c r="E506" s="526"/>
      <c r="F506" s="526"/>
      <c r="G506" s="526"/>
      <c r="H506" s="526"/>
      <c r="I506" s="526"/>
      <c r="J506" s="526"/>
      <c r="K506" s="526"/>
      <c r="L506" s="526"/>
      <c r="M506" s="526"/>
      <c r="N506" s="526"/>
      <c r="O506" s="526"/>
      <c r="P506" s="526"/>
      <c r="Q506" s="526"/>
      <c r="R506" s="526"/>
      <c r="S506" s="526"/>
      <c r="T506" s="526"/>
      <c r="U506" s="526"/>
      <c r="V506" s="526"/>
      <c r="W506" s="526"/>
      <c r="X506" s="526"/>
      <c r="Y506" s="526"/>
      <c r="Z506" s="526"/>
      <c r="AA506" s="526"/>
      <c r="AB506" s="526"/>
      <c r="AC506" s="526"/>
      <c r="AD506" s="526"/>
      <c r="AE506" s="526"/>
      <c r="AF506" s="526"/>
      <c r="AG506" s="526"/>
      <c r="AH506" s="526"/>
      <c r="AI506" s="526"/>
      <c r="AJ506" s="526"/>
      <c r="AK506" s="526"/>
      <c r="AL506" s="526"/>
      <c r="AM506" s="526"/>
      <c r="AN506" s="526"/>
      <c r="AO506" s="526"/>
      <c r="AP506" s="526"/>
      <c r="AQ506" s="526"/>
      <c r="AR506" s="526"/>
      <c r="AS506" s="526"/>
      <c r="AT506" s="526"/>
      <c r="AU506" s="526"/>
      <c r="AV506" s="526"/>
      <c r="AW506" s="526"/>
      <c r="AX506" s="526"/>
      <c r="AY506" s="526"/>
      <c r="AZ506" s="526"/>
      <c r="BA506" s="526"/>
      <c r="BB506" s="128"/>
      <c r="BC506" s="115"/>
      <c r="BD506" s="115"/>
      <c r="BE506" s="115"/>
      <c r="BF506" s="115"/>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83"/>
      <c r="CN506" s="83"/>
      <c r="CO506" s="83"/>
      <c r="CP506" s="83"/>
      <c r="CQ506" s="83"/>
      <c r="CR506" s="83"/>
      <c r="CS506" s="83"/>
      <c r="CT506" s="83"/>
      <c r="CU506" s="83"/>
      <c r="CV506" s="83"/>
      <c r="CW506" s="83"/>
      <c r="CX506" s="83"/>
      <c r="CY506" s="83"/>
      <c r="CZ506" s="83"/>
      <c r="DA506" s="83"/>
      <c r="DB506" s="83"/>
      <c r="DC506" s="83"/>
      <c r="DD506" s="83"/>
      <c r="DE506" s="83"/>
      <c r="DF506" s="115"/>
      <c r="DG506" s="115"/>
    </row>
    <row r="507" spans="1:111" ht="4.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15"/>
      <c r="BD507" s="115"/>
      <c r="BE507" s="115"/>
      <c r="BF507" s="115"/>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c r="CC507" s="83"/>
      <c r="CD507" s="83"/>
      <c r="CE507" s="83"/>
      <c r="CF507" s="83"/>
      <c r="CG507" s="83"/>
      <c r="CH507" s="83"/>
      <c r="CI507" s="83"/>
      <c r="CJ507" s="83"/>
      <c r="CK507" s="83"/>
      <c r="CL507" s="83"/>
      <c r="CM507" s="83"/>
      <c r="CN507" s="83"/>
      <c r="CO507" s="83"/>
      <c r="CP507" s="83"/>
      <c r="CQ507" s="83"/>
      <c r="CR507" s="83"/>
      <c r="CS507" s="83"/>
      <c r="CT507" s="83"/>
      <c r="CU507" s="83"/>
      <c r="CV507" s="83"/>
      <c r="CW507" s="83"/>
      <c r="CX507" s="83"/>
      <c r="CY507" s="83"/>
      <c r="CZ507" s="83"/>
      <c r="DA507" s="83"/>
      <c r="DB507" s="83"/>
      <c r="DC507" s="83"/>
      <c r="DD507" s="83"/>
      <c r="DE507" s="83"/>
      <c r="DF507" s="115"/>
      <c r="DG507" s="115"/>
    </row>
    <row r="508" spans="1:111" ht="9" customHeight="1">
      <c r="A508" s="128"/>
      <c r="B508" s="527" t="s">
        <v>447</v>
      </c>
      <c r="C508" s="527"/>
      <c r="D508" s="527"/>
      <c r="E508" s="527"/>
      <c r="F508" s="527"/>
      <c r="G508" s="527"/>
      <c r="H508" s="527"/>
      <c r="I508" s="527"/>
      <c r="J508" s="527"/>
      <c r="K508" s="527"/>
      <c r="L508" s="527"/>
      <c r="M508" s="527"/>
      <c r="N508" s="186"/>
      <c r="O508" s="546"/>
      <c r="P508" s="547"/>
      <c r="Q508" s="547"/>
      <c r="R508" s="547"/>
      <c r="S508" s="547"/>
      <c r="T508" s="547"/>
      <c r="U508" s="547"/>
      <c r="V508" s="547"/>
      <c r="W508" s="547"/>
      <c r="X508" s="547"/>
      <c r="Y508" s="547"/>
      <c r="Z508" s="547"/>
      <c r="AA508" s="547"/>
      <c r="AB508" s="547"/>
      <c r="AC508" s="547"/>
      <c r="AD508" s="547"/>
      <c r="AE508" s="547"/>
      <c r="AF508" s="547"/>
      <c r="AG508" s="547"/>
      <c r="AH508" s="547"/>
      <c r="AI508" s="547"/>
      <c r="AJ508" s="547"/>
      <c r="AK508" s="547"/>
      <c r="AL508" s="547"/>
      <c r="AM508" s="547"/>
      <c r="AN508" s="547"/>
      <c r="AO508" s="547"/>
      <c r="AP508" s="547"/>
      <c r="AQ508" s="547"/>
      <c r="AR508" s="547"/>
      <c r="AS508" s="547"/>
      <c r="AT508" s="547"/>
      <c r="AU508" s="547"/>
      <c r="AV508" s="547"/>
      <c r="AW508" s="547"/>
      <c r="AX508" s="547"/>
      <c r="AY508" s="547"/>
      <c r="AZ508" s="547"/>
      <c r="BA508" s="548"/>
      <c r="BB508" s="128"/>
      <c r="BC508" s="115"/>
      <c r="BD508" s="115"/>
      <c r="BE508" s="115"/>
      <c r="BF508" s="115"/>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c r="CC508" s="83"/>
      <c r="CD508" s="83"/>
      <c r="CE508" s="83"/>
      <c r="CF508" s="83"/>
      <c r="CG508" s="83"/>
      <c r="CH508" s="83"/>
      <c r="CI508" s="83"/>
      <c r="CJ508" s="83"/>
      <c r="CK508" s="83"/>
      <c r="CL508" s="83"/>
      <c r="CM508" s="83"/>
      <c r="CN508" s="83"/>
      <c r="CO508" s="83"/>
      <c r="CP508" s="83"/>
      <c r="CQ508" s="83"/>
      <c r="CR508" s="83"/>
      <c r="CS508" s="83"/>
      <c r="CT508" s="83"/>
      <c r="CU508" s="83"/>
      <c r="CV508" s="83"/>
      <c r="CW508" s="83"/>
      <c r="CX508" s="83"/>
      <c r="CY508" s="83"/>
      <c r="CZ508" s="83"/>
      <c r="DA508" s="83"/>
      <c r="DB508" s="83"/>
      <c r="DC508" s="83"/>
      <c r="DD508" s="83"/>
      <c r="DE508" s="83"/>
      <c r="DF508" s="115"/>
      <c r="DG508" s="115"/>
    </row>
    <row r="509" spans="1:111" ht="9" customHeight="1">
      <c r="A509" s="128"/>
      <c r="B509" s="527"/>
      <c r="C509" s="527"/>
      <c r="D509" s="527"/>
      <c r="E509" s="527"/>
      <c r="F509" s="527"/>
      <c r="G509" s="527"/>
      <c r="H509" s="527"/>
      <c r="I509" s="527"/>
      <c r="J509" s="527"/>
      <c r="K509" s="527"/>
      <c r="L509" s="527"/>
      <c r="M509" s="527"/>
      <c r="N509" s="186"/>
      <c r="O509" s="549"/>
      <c r="P509" s="550"/>
      <c r="Q509" s="550"/>
      <c r="R509" s="550"/>
      <c r="S509" s="550"/>
      <c r="T509" s="550"/>
      <c r="U509" s="550"/>
      <c r="V509" s="550"/>
      <c r="W509" s="550"/>
      <c r="X509" s="550"/>
      <c r="Y509" s="550"/>
      <c r="Z509" s="550"/>
      <c r="AA509" s="550"/>
      <c r="AB509" s="550"/>
      <c r="AC509" s="550"/>
      <c r="AD509" s="550"/>
      <c r="AE509" s="550"/>
      <c r="AF509" s="550"/>
      <c r="AG509" s="550"/>
      <c r="AH509" s="550"/>
      <c r="AI509" s="550"/>
      <c r="AJ509" s="550"/>
      <c r="AK509" s="550"/>
      <c r="AL509" s="550"/>
      <c r="AM509" s="550"/>
      <c r="AN509" s="550"/>
      <c r="AO509" s="550"/>
      <c r="AP509" s="550"/>
      <c r="AQ509" s="550"/>
      <c r="AR509" s="550"/>
      <c r="AS509" s="550"/>
      <c r="AT509" s="550"/>
      <c r="AU509" s="550"/>
      <c r="AV509" s="550"/>
      <c r="AW509" s="550"/>
      <c r="AX509" s="550"/>
      <c r="AY509" s="550"/>
      <c r="AZ509" s="550"/>
      <c r="BA509" s="551"/>
      <c r="BB509" s="128"/>
      <c r="BC509" s="115"/>
      <c r="BD509" s="115"/>
      <c r="BE509" s="115"/>
      <c r="BF509" s="115"/>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c r="CC509" s="83"/>
      <c r="CD509" s="83"/>
      <c r="CE509" s="83"/>
      <c r="CF509" s="83"/>
      <c r="CG509" s="83"/>
      <c r="CH509" s="83"/>
      <c r="CI509" s="83"/>
      <c r="CJ509" s="83"/>
      <c r="CK509" s="83"/>
      <c r="CL509" s="83"/>
      <c r="CM509" s="83"/>
      <c r="CN509" s="83"/>
      <c r="CO509" s="83"/>
      <c r="CP509" s="83"/>
      <c r="CQ509" s="83"/>
      <c r="CR509" s="83"/>
      <c r="CS509" s="83"/>
      <c r="CT509" s="83"/>
      <c r="CU509" s="83"/>
      <c r="CV509" s="83"/>
      <c r="CW509" s="83"/>
      <c r="CX509" s="83"/>
      <c r="CY509" s="83"/>
      <c r="CZ509" s="83"/>
      <c r="DA509" s="83"/>
      <c r="DB509" s="83"/>
      <c r="DC509" s="83"/>
      <c r="DD509" s="83"/>
      <c r="DE509" s="83"/>
      <c r="DF509" s="115"/>
      <c r="DG509" s="115"/>
    </row>
    <row r="510" spans="1:111" ht="9" customHeight="1">
      <c r="A510" s="128"/>
      <c r="B510" s="187"/>
      <c r="C510" s="187"/>
      <c r="D510" s="187"/>
      <c r="E510" s="187"/>
      <c r="F510" s="187"/>
      <c r="G510" s="187"/>
      <c r="H510" s="187"/>
      <c r="I510" s="188"/>
      <c r="J510" s="187"/>
      <c r="K510" s="187"/>
      <c r="L510" s="187"/>
      <c r="M510" s="187"/>
      <c r="N510" s="128"/>
      <c r="O510" s="549"/>
      <c r="P510" s="550"/>
      <c r="Q510" s="550"/>
      <c r="R510" s="550"/>
      <c r="S510" s="550"/>
      <c r="T510" s="550"/>
      <c r="U510" s="550"/>
      <c r="V510" s="550"/>
      <c r="W510" s="550"/>
      <c r="X510" s="550"/>
      <c r="Y510" s="550"/>
      <c r="Z510" s="550"/>
      <c r="AA510" s="550"/>
      <c r="AB510" s="550"/>
      <c r="AC510" s="550"/>
      <c r="AD510" s="550"/>
      <c r="AE510" s="550"/>
      <c r="AF510" s="550"/>
      <c r="AG510" s="550"/>
      <c r="AH510" s="550"/>
      <c r="AI510" s="550"/>
      <c r="AJ510" s="550"/>
      <c r="AK510" s="550"/>
      <c r="AL510" s="550"/>
      <c r="AM510" s="550"/>
      <c r="AN510" s="550"/>
      <c r="AO510" s="550"/>
      <c r="AP510" s="550"/>
      <c r="AQ510" s="550"/>
      <c r="AR510" s="550"/>
      <c r="AS510" s="550"/>
      <c r="AT510" s="550"/>
      <c r="AU510" s="550"/>
      <c r="AV510" s="550"/>
      <c r="AW510" s="550"/>
      <c r="AX510" s="550"/>
      <c r="AY510" s="550"/>
      <c r="AZ510" s="550"/>
      <c r="BA510" s="551"/>
      <c r="BB510" s="128"/>
      <c r="BC510" s="115"/>
      <c r="BD510" s="115"/>
      <c r="BE510" s="115"/>
      <c r="BF510" s="115"/>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c r="CC510" s="83"/>
      <c r="CD510" s="83"/>
      <c r="CE510" s="83"/>
      <c r="CF510" s="83"/>
      <c r="CG510" s="83"/>
      <c r="CH510" s="83"/>
      <c r="CI510" s="83"/>
      <c r="CJ510" s="83"/>
      <c r="CK510" s="83"/>
      <c r="CL510" s="83"/>
      <c r="CM510" s="83"/>
      <c r="CN510" s="83"/>
      <c r="CO510" s="83"/>
      <c r="CP510" s="83"/>
      <c r="CQ510" s="83"/>
      <c r="CR510" s="83"/>
      <c r="CS510" s="83"/>
      <c r="CT510" s="83"/>
      <c r="CU510" s="83"/>
      <c r="CV510" s="83"/>
      <c r="CW510" s="83"/>
      <c r="CX510" s="83"/>
      <c r="CY510" s="83"/>
      <c r="CZ510" s="83"/>
      <c r="DA510" s="83"/>
      <c r="DB510" s="83"/>
      <c r="DC510" s="83"/>
      <c r="DD510" s="83"/>
      <c r="DE510" s="83"/>
      <c r="DF510" s="115"/>
      <c r="DG510" s="115"/>
    </row>
    <row r="511" spans="1:111" ht="9" customHeight="1">
      <c r="A511" s="128"/>
      <c r="B511" s="187"/>
      <c r="C511" s="187"/>
      <c r="D511" s="187"/>
      <c r="E511" s="187"/>
      <c r="F511" s="187"/>
      <c r="G511" s="187"/>
      <c r="H511" s="187"/>
      <c r="I511" s="188"/>
      <c r="J511" s="187"/>
      <c r="K511" s="187"/>
      <c r="L511" s="187"/>
      <c r="M511" s="187"/>
      <c r="N511" s="128"/>
      <c r="O511" s="552"/>
      <c r="P511" s="553"/>
      <c r="Q511" s="553"/>
      <c r="R511" s="553"/>
      <c r="S511" s="553"/>
      <c r="T511" s="553"/>
      <c r="U511" s="553"/>
      <c r="V511" s="553"/>
      <c r="W511" s="553"/>
      <c r="X511" s="553"/>
      <c r="Y511" s="553"/>
      <c r="Z511" s="553"/>
      <c r="AA511" s="553"/>
      <c r="AB511" s="553"/>
      <c r="AC511" s="553"/>
      <c r="AD511" s="553"/>
      <c r="AE511" s="553"/>
      <c r="AF511" s="553"/>
      <c r="AG511" s="553"/>
      <c r="AH511" s="553"/>
      <c r="AI511" s="553"/>
      <c r="AJ511" s="553"/>
      <c r="AK511" s="553"/>
      <c r="AL511" s="553"/>
      <c r="AM511" s="553"/>
      <c r="AN511" s="553"/>
      <c r="AO511" s="553"/>
      <c r="AP511" s="553"/>
      <c r="AQ511" s="553"/>
      <c r="AR511" s="553"/>
      <c r="AS511" s="553"/>
      <c r="AT511" s="553"/>
      <c r="AU511" s="553"/>
      <c r="AV511" s="553"/>
      <c r="AW511" s="553"/>
      <c r="AX511" s="553"/>
      <c r="AY511" s="553"/>
      <c r="AZ511" s="553"/>
      <c r="BA511" s="554"/>
      <c r="BB511" s="128"/>
      <c r="BC511" s="115"/>
      <c r="BD511" s="115"/>
      <c r="BE511" s="115"/>
      <c r="BF511" s="115"/>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c r="CC511" s="83"/>
      <c r="CD511" s="83"/>
      <c r="CE511" s="83"/>
      <c r="CF511" s="83"/>
      <c r="CG511" s="83"/>
      <c r="CH511" s="83"/>
      <c r="CI511" s="83"/>
      <c r="CJ511" s="83"/>
      <c r="CK511" s="83"/>
      <c r="CL511" s="83"/>
      <c r="CM511" s="83"/>
      <c r="CN511" s="83"/>
      <c r="CO511" s="83"/>
      <c r="CP511" s="83"/>
      <c r="CQ511" s="83"/>
      <c r="CR511" s="83"/>
      <c r="CS511" s="83"/>
      <c r="CT511" s="83"/>
      <c r="CU511" s="83"/>
      <c r="CV511" s="83"/>
      <c r="CW511" s="83"/>
      <c r="CX511" s="83"/>
      <c r="CY511" s="83"/>
      <c r="CZ511" s="83"/>
      <c r="DA511" s="83"/>
      <c r="DB511" s="83"/>
      <c r="DC511" s="83"/>
      <c r="DD511" s="83"/>
      <c r="DE511" s="83"/>
      <c r="DF511" s="115"/>
      <c r="DG511" s="115"/>
    </row>
    <row r="512" spans="1:111" ht="4.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15"/>
      <c r="BD512" s="115"/>
      <c r="BE512" s="115"/>
      <c r="BF512" s="115"/>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83"/>
      <c r="CN512" s="83"/>
      <c r="CO512" s="83"/>
      <c r="CP512" s="83"/>
      <c r="CQ512" s="83"/>
      <c r="CR512" s="83"/>
      <c r="CS512" s="83"/>
      <c r="CT512" s="83"/>
      <c r="CU512" s="83"/>
      <c r="CV512" s="83"/>
      <c r="CW512" s="83"/>
      <c r="CX512" s="83"/>
      <c r="CY512" s="83"/>
      <c r="CZ512" s="83"/>
      <c r="DA512" s="83"/>
      <c r="DB512" s="83"/>
      <c r="DC512" s="83"/>
      <c r="DD512" s="83"/>
      <c r="DE512" s="83"/>
      <c r="DF512" s="115"/>
      <c r="DG512" s="115"/>
    </row>
    <row r="513" spans="1:111" ht="9" customHeight="1">
      <c r="A513" s="128"/>
      <c r="B513" s="527" t="s">
        <v>448</v>
      </c>
      <c r="C513" s="527"/>
      <c r="D513" s="527"/>
      <c r="E513" s="527"/>
      <c r="F513" s="527"/>
      <c r="G513" s="527"/>
      <c r="H513" s="527"/>
      <c r="I513" s="527"/>
      <c r="J513" s="527"/>
      <c r="K513" s="527"/>
      <c r="L513" s="527"/>
      <c r="M513" s="527"/>
      <c r="N513" s="186"/>
      <c r="O513" s="528"/>
      <c r="P513" s="529"/>
      <c r="Q513" s="529"/>
      <c r="R513" s="529"/>
      <c r="S513" s="529"/>
      <c r="T513" s="529"/>
      <c r="U513" s="529"/>
      <c r="V513" s="529"/>
      <c r="W513" s="529"/>
      <c r="X513" s="529"/>
      <c r="Y513" s="529"/>
      <c r="Z513" s="530"/>
      <c r="AA513" s="128"/>
      <c r="AB513" s="128"/>
      <c r="AC513" s="527" t="s">
        <v>449</v>
      </c>
      <c r="AD513" s="527"/>
      <c r="AE513" s="527"/>
      <c r="AF513" s="527"/>
      <c r="AG513" s="527"/>
      <c r="AH513" s="527"/>
      <c r="AI513" s="527"/>
      <c r="AJ513" s="527"/>
      <c r="AK513" s="527"/>
      <c r="AL513" s="527"/>
      <c r="AM513" s="527"/>
      <c r="AN513" s="527"/>
      <c r="AO513" s="128"/>
      <c r="AP513" s="528"/>
      <c r="AQ513" s="529"/>
      <c r="AR513" s="529"/>
      <c r="AS513" s="529"/>
      <c r="AT513" s="529"/>
      <c r="AU513" s="529"/>
      <c r="AV513" s="529"/>
      <c r="AW513" s="529"/>
      <c r="AX513" s="529"/>
      <c r="AY513" s="529"/>
      <c r="AZ513" s="529"/>
      <c r="BA513" s="530"/>
      <c r="BB513" s="128"/>
      <c r="BC513" s="115"/>
      <c r="BD513" s="115"/>
      <c r="BE513" s="115"/>
      <c r="BF513" s="115"/>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c r="CC513" s="83"/>
      <c r="CD513" s="83"/>
      <c r="CE513" s="83"/>
      <c r="CF513" s="83"/>
      <c r="CG513" s="83"/>
      <c r="CH513" s="83"/>
      <c r="CI513" s="83"/>
      <c r="CJ513" s="83"/>
      <c r="CK513" s="83"/>
      <c r="CL513" s="83"/>
      <c r="CM513" s="83"/>
      <c r="CN513" s="83"/>
      <c r="CO513" s="83"/>
      <c r="CP513" s="83"/>
      <c r="CQ513" s="83"/>
      <c r="CR513" s="83"/>
      <c r="CS513" s="83"/>
      <c r="CT513" s="83"/>
      <c r="CU513" s="83"/>
      <c r="CV513" s="83"/>
      <c r="CW513" s="83"/>
      <c r="CX513" s="83"/>
      <c r="CY513" s="83"/>
      <c r="CZ513" s="83"/>
      <c r="DA513" s="83"/>
      <c r="DB513" s="83"/>
      <c r="DC513" s="83"/>
      <c r="DD513" s="83"/>
      <c r="DE513" s="83"/>
      <c r="DF513" s="115"/>
      <c r="DG513" s="115"/>
    </row>
    <row r="514" spans="1:111" ht="9" customHeight="1">
      <c r="A514" s="128"/>
      <c r="B514" s="527"/>
      <c r="C514" s="527"/>
      <c r="D514" s="527"/>
      <c r="E514" s="527"/>
      <c r="F514" s="527"/>
      <c r="G514" s="527"/>
      <c r="H514" s="527"/>
      <c r="I514" s="527"/>
      <c r="J514" s="527"/>
      <c r="K514" s="527"/>
      <c r="L514" s="527"/>
      <c r="M514" s="527"/>
      <c r="N514" s="186"/>
      <c r="O514" s="531"/>
      <c r="P514" s="532"/>
      <c r="Q514" s="532"/>
      <c r="R514" s="532"/>
      <c r="S514" s="532"/>
      <c r="T514" s="532"/>
      <c r="U514" s="532"/>
      <c r="V514" s="532"/>
      <c r="W514" s="532"/>
      <c r="X514" s="532"/>
      <c r="Y514" s="532"/>
      <c r="Z514" s="533"/>
      <c r="AA514" s="128"/>
      <c r="AB514" s="128"/>
      <c r="AC514" s="527"/>
      <c r="AD514" s="527"/>
      <c r="AE514" s="527"/>
      <c r="AF514" s="527"/>
      <c r="AG514" s="527"/>
      <c r="AH514" s="527"/>
      <c r="AI514" s="527"/>
      <c r="AJ514" s="527"/>
      <c r="AK514" s="527"/>
      <c r="AL514" s="527"/>
      <c r="AM514" s="527"/>
      <c r="AN514" s="527"/>
      <c r="AO514" s="128"/>
      <c r="AP514" s="531"/>
      <c r="AQ514" s="532"/>
      <c r="AR514" s="532"/>
      <c r="AS514" s="532"/>
      <c r="AT514" s="532"/>
      <c r="AU514" s="532"/>
      <c r="AV514" s="532"/>
      <c r="AW514" s="532"/>
      <c r="AX514" s="532"/>
      <c r="AY514" s="532"/>
      <c r="AZ514" s="532"/>
      <c r="BA514" s="533"/>
      <c r="BB514" s="128"/>
      <c r="BC514" s="115"/>
      <c r="BD514" s="115"/>
      <c r="BE514" s="115"/>
      <c r="BF514" s="115"/>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c r="CC514" s="83"/>
      <c r="CD514" s="83"/>
      <c r="CE514" s="83"/>
      <c r="CF514" s="83"/>
      <c r="CG514" s="83"/>
      <c r="CH514" s="83"/>
      <c r="CI514" s="83"/>
      <c r="CJ514" s="83"/>
      <c r="CK514" s="83"/>
      <c r="CL514" s="83"/>
      <c r="CM514" s="83"/>
      <c r="CN514" s="83"/>
      <c r="CO514" s="83"/>
      <c r="CP514" s="83"/>
      <c r="CQ514" s="83"/>
      <c r="CR514" s="83"/>
      <c r="CS514" s="83"/>
      <c r="CT514" s="83"/>
      <c r="CU514" s="83"/>
      <c r="CV514" s="83"/>
      <c r="CW514" s="83"/>
      <c r="CX514" s="83"/>
      <c r="CY514" s="83"/>
      <c r="CZ514" s="83"/>
      <c r="DA514" s="83"/>
      <c r="DB514" s="83"/>
      <c r="DC514" s="83"/>
      <c r="DD514" s="83"/>
      <c r="DE514" s="83"/>
      <c r="DF514" s="115"/>
      <c r="DG514" s="115"/>
    </row>
    <row r="515" spans="1:111" ht="4.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15"/>
      <c r="BD515" s="115"/>
      <c r="BE515" s="115"/>
      <c r="BF515" s="115"/>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c r="CC515" s="83"/>
      <c r="CD515" s="83"/>
      <c r="CE515" s="83"/>
      <c r="CF515" s="83"/>
      <c r="CG515" s="83"/>
      <c r="CH515" s="83"/>
      <c r="CI515" s="83"/>
      <c r="CJ515" s="83"/>
      <c r="CK515" s="83"/>
      <c r="CL515" s="83"/>
      <c r="CM515" s="83"/>
      <c r="CN515" s="83"/>
      <c r="CO515" s="83"/>
      <c r="CP515" s="83"/>
      <c r="CQ515" s="83"/>
      <c r="CR515" s="83"/>
      <c r="CS515" s="83"/>
      <c r="CT515" s="83"/>
      <c r="CU515" s="83"/>
      <c r="CV515" s="83"/>
      <c r="CW515" s="83"/>
      <c r="CX515" s="83"/>
      <c r="CY515" s="83"/>
      <c r="CZ515" s="83"/>
      <c r="DA515" s="83"/>
      <c r="DB515" s="83"/>
      <c r="DC515" s="83"/>
      <c r="DD515" s="83"/>
      <c r="DE515" s="83"/>
      <c r="DF515" s="115"/>
      <c r="DG515" s="115"/>
    </row>
    <row r="516" spans="1:111" ht="9" customHeight="1">
      <c r="A516" s="128"/>
      <c r="B516" s="527" t="s">
        <v>450</v>
      </c>
      <c r="C516" s="527"/>
      <c r="D516" s="527"/>
      <c r="E516" s="527"/>
      <c r="F516" s="527"/>
      <c r="G516" s="527"/>
      <c r="H516" s="527"/>
      <c r="I516" s="527"/>
      <c r="J516" s="527"/>
      <c r="K516" s="527"/>
      <c r="L516" s="527"/>
      <c r="M516" s="527"/>
      <c r="N516" s="186"/>
      <c r="O516" s="528"/>
      <c r="P516" s="529"/>
      <c r="Q516" s="529"/>
      <c r="R516" s="529"/>
      <c r="S516" s="529"/>
      <c r="T516" s="529"/>
      <c r="U516" s="529"/>
      <c r="V516" s="529"/>
      <c r="W516" s="529"/>
      <c r="X516" s="529"/>
      <c r="Y516" s="529"/>
      <c r="Z516" s="530"/>
      <c r="AA516" s="128"/>
      <c r="AB516" s="128"/>
      <c r="AC516" s="527" t="s">
        <v>451</v>
      </c>
      <c r="AD516" s="527"/>
      <c r="AE516" s="527"/>
      <c r="AF516" s="527"/>
      <c r="AG516" s="527"/>
      <c r="AH516" s="527"/>
      <c r="AI516" s="527"/>
      <c r="AJ516" s="527"/>
      <c r="AK516" s="527"/>
      <c r="AL516" s="527"/>
      <c r="AM516" s="527"/>
      <c r="AN516" s="527"/>
      <c r="AO516" s="128"/>
      <c r="AP516" s="528"/>
      <c r="AQ516" s="529"/>
      <c r="AR516" s="529"/>
      <c r="AS516" s="529"/>
      <c r="AT516" s="529"/>
      <c r="AU516" s="529"/>
      <c r="AV516" s="529"/>
      <c r="AW516" s="529"/>
      <c r="AX516" s="529"/>
      <c r="AY516" s="529"/>
      <c r="AZ516" s="529"/>
      <c r="BA516" s="530"/>
      <c r="BB516" s="128"/>
      <c r="BC516" s="115"/>
      <c r="BD516" s="115"/>
      <c r="BE516" s="115"/>
      <c r="BF516" s="115"/>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83"/>
      <c r="CN516" s="83"/>
      <c r="CO516" s="83"/>
      <c r="CP516" s="83"/>
      <c r="CQ516" s="83"/>
      <c r="CR516" s="83"/>
      <c r="CS516" s="83"/>
      <c r="CT516" s="83"/>
      <c r="CU516" s="83"/>
      <c r="CV516" s="83"/>
      <c r="CW516" s="83"/>
      <c r="CX516" s="83"/>
      <c r="CY516" s="83"/>
      <c r="CZ516" s="83"/>
      <c r="DA516" s="83"/>
      <c r="DB516" s="83"/>
      <c r="DC516" s="83"/>
      <c r="DD516" s="83"/>
      <c r="DE516" s="83"/>
      <c r="DF516" s="115"/>
      <c r="DG516" s="115"/>
    </row>
    <row r="517" spans="1:111" ht="9" customHeight="1">
      <c r="A517" s="128"/>
      <c r="B517" s="527"/>
      <c r="C517" s="527"/>
      <c r="D517" s="527"/>
      <c r="E517" s="527"/>
      <c r="F517" s="527"/>
      <c r="G517" s="527"/>
      <c r="H517" s="527"/>
      <c r="I517" s="527"/>
      <c r="J517" s="527"/>
      <c r="K517" s="527"/>
      <c r="L517" s="527"/>
      <c r="M517" s="527"/>
      <c r="N517" s="186"/>
      <c r="O517" s="531"/>
      <c r="P517" s="532"/>
      <c r="Q517" s="532"/>
      <c r="R517" s="532"/>
      <c r="S517" s="532"/>
      <c r="T517" s="532"/>
      <c r="U517" s="532"/>
      <c r="V517" s="532"/>
      <c r="W517" s="532"/>
      <c r="X517" s="532"/>
      <c r="Y517" s="532"/>
      <c r="Z517" s="533"/>
      <c r="AA517" s="128"/>
      <c r="AB517" s="128"/>
      <c r="AC517" s="527"/>
      <c r="AD517" s="527"/>
      <c r="AE517" s="527"/>
      <c r="AF517" s="527"/>
      <c r="AG517" s="527"/>
      <c r="AH517" s="527"/>
      <c r="AI517" s="527"/>
      <c r="AJ517" s="527"/>
      <c r="AK517" s="527"/>
      <c r="AL517" s="527"/>
      <c r="AM517" s="527"/>
      <c r="AN517" s="527"/>
      <c r="AO517" s="128"/>
      <c r="AP517" s="531"/>
      <c r="AQ517" s="532"/>
      <c r="AR517" s="532"/>
      <c r="AS517" s="532"/>
      <c r="AT517" s="532"/>
      <c r="AU517" s="532"/>
      <c r="AV517" s="532"/>
      <c r="AW517" s="532"/>
      <c r="AX517" s="532"/>
      <c r="AY517" s="532"/>
      <c r="AZ517" s="532"/>
      <c r="BA517" s="533"/>
      <c r="BB517" s="128"/>
      <c r="BC517" s="115"/>
      <c r="BD517" s="115"/>
      <c r="BE517" s="115"/>
      <c r="BF517" s="115"/>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c r="CC517" s="83"/>
      <c r="CD517" s="83"/>
      <c r="CE517" s="83"/>
      <c r="CF517" s="83"/>
      <c r="CG517" s="83"/>
      <c r="CH517" s="83"/>
      <c r="CI517" s="83"/>
      <c r="CJ517" s="83"/>
      <c r="CK517" s="83"/>
      <c r="CL517" s="83"/>
      <c r="CM517" s="83"/>
      <c r="CN517" s="83"/>
      <c r="CO517" s="83"/>
      <c r="CP517" s="83"/>
      <c r="CQ517" s="83"/>
      <c r="CR517" s="83"/>
      <c r="CS517" s="83"/>
      <c r="CT517" s="83"/>
      <c r="CU517" s="83"/>
      <c r="CV517" s="83"/>
      <c r="CW517" s="83"/>
      <c r="CX517" s="83"/>
      <c r="CY517" s="83"/>
      <c r="CZ517" s="83"/>
      <c r="DA517" s="83"/>
      <c r="DB517" s="83"/>
      <c r="DC517" s="83"/>
      <c r="DD517" s="83"/>
      <c r="DE517" s="83"/>
      <c r="DF517" s="115"/>
      <c r="DG517" s="115"/>
    </row>
    <row r="518" spans="1:111" ht="4.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15"/>
      <c r="BD518" s="115"/>
      <c r="BE518" s="115"/>
      <c r="BF518" s="115"/>
      <c r="BG518" s="83"/>
      <c r="BH518" s="83"/>
      <c r="BI518" s="83"/>
      <c r="BJ518" s="83"/>
      <c r="BK518" s="83"/>
      <c r="BL518" s="83"/>
      <c r="BM518" s="83"/>
      <c r="BN518" s="83"/>
      <c r="BO518" s="83"/>
      <c r="BP518" s="83"/>
      <c r="BQ518" s="83"/>
      <c r="BR518" s="83"/>
      <c r="BS518" s="83"/>
      <c r="BT518" s="83"/>
      <c r="BU518" s="83"/>
      <c r="BV518" s="83"/>
      <c r="BW518" s="83"/>
      <c r="BX518" s="83"/>
      <c r="BY518" s="83"/>
      <c r="BZ518" s="83"/>
      <c r="CA518" s="83"/>
      <c r="CB518" s="83"/>
      <c r="CC518" s="83"/>
      <c r="CD518" s="83"/>
      <c r="CE518" s="83"/>
      <c r="CF518" s="83"/>
      <c r="CG518" s="83"/>
      <c r="CH518" s="83"/>
      <c r="CI518" s="83"/>
      <c r="CJ518" s="83"/>
      <c r="CK518" s="83"/>
      <c r="CL518" s="83"/>
      <c r="CM518" s="83"/>
      <c r="CN518" s="83"/>
      <c r="CO518" s="83"/>
      <c r="CP518" s="83"/>
      <c r="CQ518" s="83"/>
      <c r="CR518" s="83"/>
      <c r="CS518" s="83"/>
      <c r="CT518" s="83"/>
      <c r="CU518" s="83"/>
      <c r="CV518" s="83"/>
      <c r="CW518" s="83"/>
      <c r="CX518" s="83"/>
      <c r="CY518" s="83"/>
      <c r="CZ518" s="83"/>
      <c r="DA518" s="83"/>
      <c r="DB518" s="83"/>
      <c r="DC518" s="83"/>
      <c r="DD518" s="83"/>
      <c r="DE518" s="83"/>
      <c r="DF518" s="115"/>
      <c r="DG518" s="115"/>
    </row>
    <row r="519" spans="1:111" ht="9" customHeight="1">
      <c r="A519" s="128"/>
      <c r="B519" s="527" t="s">
        <v>452</v>
      </c>
      <c r="C519" s="527"/>
      <c r="D519" s="527"/>
      <c r="E519" s="527"/>
      <c r="F519" s="527"/>
      <c r="G519" s="527"/>
      <c r="H519" s="527"/>
      <c r="I519" s="527"/>
      <c r="J519" s="527"/>
      <c r="K519" s="527"/>
      <c r="L519" s="527"/>
      <c r="M519" s="527"/>
      <c r="N519" s="186"/>
      <c r="O519" s="546"/>
      <c r="P519" s="547"/>
      <c r="Q519" s="547"/>
      <c r="R519" s="547"/>
      <c r="S519" s="547"/>
      <c r="T519" s="547"/>
      <c r="U519" s="547"/>
      <c r="V519" s="547"/>
      <c r="W519" s="547"/>
      <c r="X519" s="547"/>
      <c r="Y519" s="547"/>
      <c r="Z519" s="547"/>
      <c r="AA519" s="547"/>
      <c r="AB519" s="547"/>
      <c r="AC519" s="547"/>
      <c r="AD519" s="547"/>
      <c r="AE519" s="547"/>
      <c r="AF519" s="547"/>
      <c r="AG519" s="547"/>
      <c r="AH519" s="547"/>
      <c r="AI519" s="547"/>
      <c r="AJ519" s="547"/>
      <c r="AK519" s="547"/>
      <c r="AL519" s="547"/>
      <c r="AM519" s="547"/>
      <c r="AN519" s="547"/>
      <c r="AO519" s="547"/>
      <c r="AP519" s="547"/>
      <c r="AQ519" s="547"/>
      <c r="AR519" s="547"/>
      <c r="AS519" s="547"/>
      <c r="AT519" s="547"/>
      <c r="AU519" s="547"/>
      <c r="AV519" s="547"/>
      <c r="AW519" s="547"/>
      <c r="AX519" s="547"/>
      <c r="AY519" s="547"/>
      <c r="AZ519" s="547"/>
      <c r="BA519" s="548"/>
      <c r="BB519" s="128"/>
      <c r="BC519" s="115"/>
      <c r="BD519" s="115"/>
      <c r="BE519" s="115"/>
      <c r="BF519" s="115"/>
      <c r="BG519" s="83"/>
      <c r="BH519" s="83"/>
      <c r="BI519" s="83"/>
      <c r="BJ519" s="83"/>
      <c r="BK519" s="83"/>
      <c r="BL519" s="83"/>
      <c r="BM519" s="83"/>
      <c r="BN519" s="83"/>
      <c r="BO519" s="83"/>
      <c r="BP519" s="83"/>
      <c r="BQ519" s="83"/>
      <c r="BR519" s="83"/>
      <c r="BS519" s="83"/>
      <c r="BT519" s="83"/>
      <c r="BU519" s="83"/>
      <c r="BV519" s="83"/>
      <c r="BW519" s="83"/>
      <c r="BX519" s="83"/>
      <c r="BY519" s="83"/>
      <c r="BZ519" s="83"/>
      <c r="CA519" s="83"/>
      <c r="CB519" s="83"/>
      <c r="CC519" s="83"/>
      <c r="CD519" s="83"/>
      <c r="CE519" s="83"/>
      <c r="CF519" s="83"/>
      <c r="CG519" s="83"/>
      <c r="CH519" s="83"/>
      <c r="CI519" s="83"/>
      <c r="CJ519" s="83"/>
      <c r="CK519" s="83"/>
      <c r="CL519" s="83"/>
      <c r="CM519" s="83"/>
      <c r="CN519" s="83"/>
      <c r="CO519" s="83"/>
      <c r="CP519" s="83"/>
      <c r="CQ519" s="83"/>
      <c r="CR519" s="83"/>
      <c r="CS519" s="83"/>
      <c r="CT519" s="83"/>
      <c r="CU519" s="83"/>
      <c r="CV519" s="83"/>
      <c r="CW519" s="83"/>
      <c r="CX519" s="83"/>
      <c r="CY519" s="83"/>
      <c r="CZ519" s="83"/>
      <c r="DA519" s="83"/>
      <c r="DB519" s="83"/>
      <c r="DC519" s="83"/>
      <c r="DD519" s="83"/>
      <c r="DE519" s="83"/>
      <c r="DF519" s="115"/>
      <c r="DG519" s="115"/>
    </row>
    <row r="520" spans="1:111" ht="9" customHeight="1">
      <c r="A520" s="128"/>
      <c r="B520" s="527"/>
      <c r="C520" s="527"/>
      <c r="D520" s="527"/>
      <c r="E520" s="527"/>
      <c r="F520" s="527"/>
      <c r="G520" s="527"/>
      <c r="H520" s="527"/>
      <c r="I520" s="527"/>
      <c r="J520" s="527"/>
      <c r="K520" s="527"/>
      <c r="L520" s="527"/>
      <c r="M520" s="527"/>
      <c r="N520" s="186"/>
      <c r="O520" s="549"/>
      <c r="P520" s="550"/>
      <c r="Q520" s="550"/>
      <c r="R520" s="550"/>
      <c r="S520" s="550"/>
      <c r="T520" s="550"/>
      <c r="U520" s="550"/>
      <c r="V520" s="550"/>
      <c r="W520" s="550"/>
      <c r="X520" s="550"/>
      <c r="Y520" s="550"/>
      <c r="Z520" s="550"/>
      <c r="AA520" s="550"/>
      <c r="AB520" s="550"/>
      <c r="AC520" s="550"/>
      <c r="AD520" s="550"/>
      <c r="AE520" s="550"/>
      <c r="AF520" s="550"/>
      <c r="AG520" s="550"/>
      <c r="AH520" s="550"/>
      <c r="AI520" s="550"/>
      <c r="AJ520" s="550"/>
      <c r="AK520" s="550"/>
      <c r="AL520" s="550"/>
      <c r="AM520" s="550"/>
      <c r="AN520" s="550"/>
      <c r="AO520" s="550"/>
      <c r="AP520" s="550"/>
      <c r="AQ520" s="550"/>
      <c r="AR520" s="550"/>
      <c r="AS520" s="550"/>
      <c r="AT520" s="550"/>
      <c r="AU520" s="550"/>
      <c r="AV520" s="550"/>
      <c r="AW520" s="550"/>
      <c r="AX520" s="550"/>
      <c r="AY520" s="550"/>
      <c r="AZ520" s="550"/>
      <c r="BA520" s="551"/>
      <c r="BB520" s="128"/>
      <c r="BC520" s="115"/>
      <c r="BD520" s="115"/>
      <c r="BE520" s="115"/>
      <c r="BF520" s="115"/>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83"/>
      <c r="CN520" s="83"/>
      <c r="CO520" s="83"/>
      <c r="CP520" s="83"/>
      <c r="CQ520" s="83"/>
      <c r="CR520" s="83"/>
      <c r="CS520" s="83"/>
      <c r="CT520" s="83"/>
      <c r="CU520" s="83"/>
      <c r="CV520" s="83"/>
      <c r="CW520" s="83"/>
      <c r="CX520" s="83"/>
      <c r="CY520" s="83"/>
      <c r="CZ520" s="83"/>
      <c r="DA520" s="83"/>
      <c r="DB520" s="83"/>
      <c r="DC520" s="83"/>
      <c r="DD520" s="83"/>
      <c r="DE520" s="83"/>
      <c r="DF520" s="115"/>
      <c r="DG520" s="115"/>
    </row>
    <row r="521" spans="1:111" ht="9" customHeight="1">
      <c r="A521" s="128"/>
      <c r="B521" s="187"/>
      <c r="C521" s="187"/>
      <c r="D521" s="187"/>
      <c r="E521" s="187"/>
      <c r="F521" s="187"/>
      <c r="G521" s="187"/>
      <c r="H521" s="187"/>
      <c r="I521" s="188"/>
      <c r="J521" s="187"/>
      <c r="K521" s="187"/>
      <c r="L521" s="187"/>
      <c r="M521" s="187"/>
      <c r="N521" s="128"/>
      <c r="O521" s="549"/>
      <c r="P521" s="550"/>
      <c r="Q521" s="550"/>
      <c r="R521" s="550"/>
      <c r="S521" s="550"/>
      <c r="T521" s="550"/>
      <c r="U521" s="550"/>
      <c r="V521" s="550"/>
      <c r="W521" s="550"/>
      <c r="X521" s="550"/>
      <c r="Y521" s="550"/>
      <c r="Z521" s="550"/>
      <c r="AA521" s="550"/>
      <c r="AB521" s="550"/>
      <c r="AC521" s="550"/>
      <c r="AD521" s="550"/>
      <c r="AE521" s="550"/>
      <c r="AF521" s="550"/>
      <c r="AG521" s="550"/>
      <c r="AH521" s="550"/>
      <c r="AI521" s="550"/>
      <c r="AJ521" s="550"/>
      <c r="AK521" s="550"/>
      <c r="AL521" s="550"/>
      <c r="AM521" s="550"/>
      <c r="AN521" s="550"/>
      <c r="AO521" s="550"/>
      <c r="AP521" s="550"/>
      <c r="AQ521" s="550"/>
      <c r="AR521" s="550"/>
      <c r="AS521" s="550"/>
      <c r="AT521" s="550"/>
      <c r="AU521" s="550"/>
      <c r="AV521" s="550"/>
      <c r="AW521" s="550"/>
      <c r="AX521" s="550"/>
      <c r="AY521" s="550"/>
      <c r="AZ521" s="550"/>
      <c r="BA521" s="551"/>
      <c r="BB521" s="128"/>
      <c r="BC521" s="115"/>
      <c r="BD521" s="115"/>
      <c r="BE521" s="115"/>
      <c r="BF521" s="115"/>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c r="CC521" s="83"/>
      <c r="CD521" s="83"/>
      <c r="CE521" s="83"/>
      <c r="CF521" s="83"/>
      <c r="CG521" s="83"/>
      <c r="CH521" s="83"/>
      <c r="CI521" s="83"/>
      <c r="CJ521" s="83"/>
      <c r="CK521" s="83"/>
      <c r="CL521" s="83"/>
      <c r="CM521" s="83"/>
      <c r="CN521" s="83"/>
      <c r="CO521" s="83"/>
      <c r="CP521" s="83"/>
      <c r="CQ521" s="83"/>
      <c r="CR521" s="83"/>
      <c r="CS521" s="83"/>
      <c r="CT521" s="83"/>
      <c r="CU521" s="83"/>
      <c r="CV521" s="83"/>
      <c r="CW521" s="83"/>
      <c r="CX521" s="83"/>
      <c r="CY521" s="83"/>
      <c r="CZ521" s="83"/>
      <c r="DA521" s="83"/>
      <c r="DB521" s="83"/>
      <c r="DC521" s="83"/>
      <c r="DD521" s="83"/>
      <c r="DE521" s="83"/>
      <c r="DF521" s="115"/>
      <c r="DG521" s="115"/>
    </row>
    <row r="522" spans="1:111" ht="9" customHeight="1">
      <c r="A522" s="128"/>
      <c r="B522" s="187"/>
      <c r="C522" s="187"/>
      <c r="D522" s="187"/>
      <c r="E522" s="187"/>
      <c r="F522" s="187"/>
      <c r="G522" s="187"/>
      <c r="H522" s="187"/>
      <c r="I522" s="188"/>
      <c r="J522" s="187"/>
      <c r="K522" s="187"/>
      <c r="L522" s="187"/>
      <c r="M522" s="187"/>
      <c r="N522" s="128"/>
      <c r="O522" s="552"/>
      <c r="P522" s="553"/>
      <c r="Q522" s="553"/>
      <c r="R522" s="553"/>
      <c r="S522" s="553"/>
      <c r="T522" s="553"/>
      <c r="U522" s="553"/>
      <c r="V522" s="553"/>
      <c r="W522" s="553"/>
      <c r="X522" s="553"/>
      <c r="Y522" s="553"/>
      <c r="Z522" s="553"/>
      <c r="AA522" s="553"/>
      <c r="AB522" s="553"/>
      <c r="AC522" s="553"/>
      <c r="AD522" s="553"/>
      <c r="AE522" s="553"/>
      <c r="AF522" s="553"/>
      <c r="AG522" s="553"/>
      <c r="AH522" s="553"/>
      <c r="AI522" s="553"/>
      <c r="AJ522" s="553"/>
      <c r="AK522" s="553"/>
      <c r="AL522" s="553"/>
      <c r="AM522" s="553"/>
      <c r="AN522" s="553"/>
      <c r="AO522" s="553"/>
      <c r="AP522" s="553"/>
      <c r="AQ522" s="553"/>
      <c r="AR522" s="553"/>
      <c r="AS522" s="553"/>
      <c r="AT522" s="553"/>
      <c r="AU522" s="553"/>
      <c r="AV522" s="553"/>
      <c r="AW522" s="553"/>
      <c r="AX522" s="553"/>
      <c r="AY522" s="553"/>
      <c r="AZ522" s="553"/>
      <c r="BA522" s="554"/>
      <c r="BB522" s="128"/>
      <c r="BC522" s="115"/>
      <c r="BD522" s="115"/>
      <c r="BE522" s="115"/>
      <c r="BF522" s="115"/>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c r="CC522" s="83"/>
      <c r="CD522" s="83"/>
      <c r="CE522" s="83"/>
      <c r="CF522" s="83"/>
      <c r="CG522" s="83"/>
      <c r="CH522" s="83"/>
      <c r="CI522" s="83"/>
      <c r="CJ522" s="83"/>
      <c r="CK522" s="83"/>
      <c r="CL522" s="83"/>
      <c r="CM522" s="83"/>
      <c r="CN522" s="83"/>
      <c r="CO522" s="83"/>
      <c r="CP522" s="83"/>
      <c r="CQ522" s="83"/>
      <c r="CR522" s="83"/>
      <c r="CS522" s="83"/>
      <c r="CT522" s="83"/>
      <c r="CU522" s="83"/>
      <c r="CV522" s="83"/>
      <c r="CW522" s="83"/>
      <c r="CX522" s="83"/>
      <c r="CY522" s="83"/>
      <c r="CZ522" s="83"/>
      <c r="DA522" s="83"/>
      <c r="DB522" s="83"/>
      <c r="DC522" s="83"/>
      <c r="DD522" s="83"/>
      <c r="DE522" s="83"/>
      <c r="DF522" s="115"/>
      <c r="DG522" s="115"/>
    </row>
    <row r="523" spans="1:111" ht="4.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15"/>
      <c r="BD523" s="115"/>
      <c r="BE523" s="115"/>
      <c r="BF523" s="115"/>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c r="CC523" s="83"/>
      <c r="CD523" s="83"/>
      <c r="CE523" s="83"/>
      <c r="CF523" s="83"/>
      <c r="CG523" s="83"/>
      <c r="CH523" s="83"/>
      <c r="CI523" s="83"/>
      <c r="CJ523" s="83"/>
      <c r="CK523" s="83"/>
      <c r="CL523" s="83"/>
      <c r="CM523" s="83"/>
      <c r="CN523" s="83"/>
      <c r="CO523" s="83"/>
      <c r="CP523" s="83"/>
      <c r="CQ523" s="83"/>
      <c r="CR523" s="83"/>
      <c r="CS523" s="83"/>
      <c r="CT523" s="83"/>
      <c r="CU523" s="83"/>
      <c r="CV523" s="83"/>
      <c r="CW523" s="83"/>
      <c r="CX523" s="83"/>
      <c r="CY523" s="83"/>
      <c r="CZ523" s="83"/>
      <c r="DA523" s="83"/>
      <c r="DB523" s="83"/>
      <c r="DC523" s="83"/>
      <c r="DD523" s="83"/>
      <c r="DE523" s="83"/>
      <c r="DF523" s="115"/>
      <c r="DG523" s="115"/>
    </row>
    <row r="524" spans="1:111" ht="9" customHeight="1">
      <c r="A524" s="128"/>
      <c r="B524" s="527" t="s">
        <v>453</v>
      </c>
      <c r="C524" s="527"/>
      <c r="D524" s="527"/>
      <c r="E524" s="527"/>
      <c r="F524" s="527"/>
      <c r="G524" s="527"/>
      <c r="H524" s="527"/>
      <c r="I524" s="527"/>
      <c r="J524" s="527"/>
      <c r="K524" s="527"/>
      <c r="L524" s="527"/>
      <c r="M524" s="527"/>
      <c r="N524" s="186"/>
      <c r="O524" s="546"/>
      <c r="P524" s="547"/>
      <c r="Q524" s="547"/>
      <c r="R524" s="547"/>
      <c r="S524" s="547"/>
      <c r="T524" s="547"/>
      <c r="U524" s="547"/>
      <c r="V524" s="547"/>
      <c r="W524" s="547"/>
      <c r="X524" s="547"/>
      <c r="Y524" s="547"/>
      <c r="Z524" s="547"/>
      <c r="AA524" s="547"/>
      <c r="AB524" s="547"/>
      <c r="AC524" s="547"/>
      <c r="AD524" s="547"/>
      <c r="AE524" s="547"/>
      <c r="AF524" s="547"/>
      <c r="AG524" s="547"/>
      <c r="AH524" s="547"/>
      <c r="AI524" s="547"/>
      <c r="AJ524" s="547"/>
      <c r="AK524" s="547"/>
      <c r="AL524" s="547"/>
      <c r="AM524" s="547"/>
      <c r="AN524" s="547"/>
      <c r="AO524" s="547"/>
      <c r="AP524" s="547"/>
      <c r="AQ524" s="547"/>
      <c r="AR524" s="547"/>
      <c r="AS524" s="547"/>
      <c r="AT524" s="547"/>
      <c r="AU524" s="547"/>
      <c r="AV524" s="547"/>
      <c r="AW524" s="547"/>
      <c r="AX524" s="547"/>
      <c r="AY524" s="547"/>
      <c r="AZ524" s="547"/>
      <c r="BA524" s="548"/>
      <c r="BB524" s="128"/>
      <c r="BC524" s="115"/>
      <c r="BD524" s="115"/>
      <c r="BE524" s="115"/>
      <c r="BF524" s="115"/>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83"/>
      <c r="CN524" s="83"/>
      <c r="CO524" s="83"/>
      <c r="CP524" s="83"/>
      <c r="CQ524" s="83"/>
      <c r="CR524" s="83"/>
      <c r="CS524" s="83"/>
      <c r="CT524" s="83"/>
      <c r="CU524" s="83"/>
      <c r="CV524" s="83"/>
      <c r="CW524" s="83"/>
      <c r="CX524" s="83"/>
      <c r="CY524" s="83"/>
      <c r="CZ524" s="83"/>
      <c r="DA524" s="83"/>
      <c r="DB524" s="83"/>
      <c r="DC524" s="83"/>
      <c r="DD524" s="83"/>
      <c r="DE524" s="83"/>
      <c r="DF524" s="115"/>
      <c r="DG524" s="115"/>
    </row>
    <row r="525" spans="1:111" ht="9" customHeight="1">
      <c r="A525" s="128"/>
      <c r="B525" s="527"/>
      <c r="C525" s="527"/>
      <c r="D525" s="527"/>
      <c r="E525" s="527"/>
      <c r="F525" s="527"/>
      <c r="G525" s="527"/>
      <c r="H525" s="527"/>
      <c r="I525" s="527"/>
      <c r="J525" s="527"/>
      <c r="K525" s="527"/>
      <c r="L525" s="527"/>
      <c r="M525" s="527"/>
      <c r="N525" s="186"/>
      <c r="O525" s="549"/>
      <c r="P525" s="550"/>
      <c r="Q525" s="550"/>
      <c r="R525" s="550"/>
      <c r="S525" s="550"/>
      <c r="T525" s="550"/>
      <c r="U525" s="550"/>
      <c r="V525" s="550"/>
      <c r="W525" s="550"/>
      <c r="X525" s="550"/>
      <c r="Y525" s="550"/>
      <c r="Z525" s="550"/>
      <c r="AA525" s="550"/>
      <c r="AB525" s="550"/>
      <c r="AC525" s="550"/>
      <c r="AD525" s="550"/>
      <c r="AE525" s="550"/>
      <c r="AF525" s="550"/>
      <c r="AG525" s="550"/>
      <c r="AH525" s="550"/>
      <c r="AI525" s="550"/>
      <c r="AJ525" s="550"/>
      <c r="AK525" s="550"/>
      <c r="AL525" s="550"/>
      <c r="AM525" s="550"/>
      <c r="AN525" s="550"/>
      <c r="AO525" s="550"/>
      <c r="AP525" s="550"/>
      <c r="AQ525" s="550"/>
      <c r="AR525" s="550"/>
      <c r="AS525" s="550"/>
      <c r="AT525" s="550"/>
      <c r="AU525" s="550"/>
      <c r="AV525" s="550"/>
      <c r="AW525" s="550"/>
      <c r="AX525" s="550"/>
      <c r="AY525" s="550"/>
      <c r="AZ525" s="550"/>
      <c r="BA525" s="551"/>
      <c r="BB525" s="128"/>
      <c r="BC525" s="115"/>
      <c r="BD525" s="115"/>
      <c r="BE525" s="115"/>
      <c r="BF525" s="115"/>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c r="CC525" s="83"/>
      <c r="CD525" s="83"/>
      <c r="CE525" s="83"/>
      <c r="CF525" s="83"/>
      <c r="CG525" s="83"/>
      <c r="CH525" s="83"/>
      <c r="CI525" s="83"/>
      <c r="CJ525" s="83"/>
      <c r="CK525" s="83"/>
      <c r="CL525" s="83"/>
      <c r="CM525" s="83"/>
      <c r="CN525" s="83"/>
      <c r="CO525" s="83"/>
      <c r="CP525" s="83"/>
      <c r="CQ525" s="83"/>
      <c r="CR525" s="83"/>
      <c r="CS525" s="83"/>
      <c r="CT525" s="83"/>
      <c r="CU525" s="83"/>
      <c r="CV525" s="83"/>
      <c r="CW525" s="83"/>
      <c r="CX525" s="83"/>
      <c r="CY525" s="83"/>
      <c r="CZ525" s="83"/>
      <c r="DA525" s="83"/>
      <c r="DB525" s="83"/>
      <c r="DC525" s="83"/>
      <c r="DD525" s="83"/>
      <c r="DE525" s="83"/>
      <c r="DF525" s="115"/>
      <c r="DG525" s="115"/>
    </row>
    <row r="526" spans="1:111" ht="9" customHeight="1">
      <c r="A526" s="128"/>
      <c r="B526" s="187"/>
      <c r="C526" s="187"/>
      <c r="D526" s="187"/>
      <c r="E526" s="187"/>
      <c r="F526" s="187"/>
      <c r="G526" s="187"/>
      <c r="H526" s="187"/>
      <c r="I526" s="188"/>
      <c r="J526" s="187"/>
      <c r="K526" s="187"/>
      <c r="L526" s="187"/>
      <c r="M526" s="187"/>
      <c r="N526" s="128"/>
      <c r="O526" s="549"/>
      <c r="P526" s="550"/>
      <c r="Q526" s="550"/>
      <c r="R526" s="550"/>
      <c r="S526" s="550"/>
      <c r="T526" s="550"/>
      <c r="U526" s="550"/>
      <c r="V526" s="550"/>
      <c r="W526" s="550"/>
      <c r="X526" s="550"/>
      <c r="Y526" s="550"/>
      <c r="Z526" s="550"/>
      <c r="AA526" s="550"/>
      <c r="AB526" s="550"/>
      <c r="AC526" s="550"/>
      <c r="AD526" s="550"/>
      <c r="AE526" s="550"/>
      <c r="AF526" s="550"/>
      <c r="AG526" s="550"/>
      <c r="AH526" s="550"/>
      <c r="AI526" s="550"/>
      <c r="AJ526" s="550"/>
      <c r="AK526" s="550"/>
      <c r="AL526" s="550"/>
      <c r="AM526" s="550"/>
      <c r="AN526" s="550"/>
      <c r="AO526" s="550"/>
      <c r="AP526" s="550"/>
      <c r="AQ526" s="550"/>
      <c r="AR526" s="550"/>
      <c r="AS526" s="550"/>
      <c r="AT526" s="550"/>
      <c r="AU526" s="550"/>
      <c r="AV526" s="550"/>
      <c r="AW526" s="550"/>
      <c r="AX526" s="550"/>
      <c r="AY526" s="550"/>
      <c r="AZ526" s="550"/>
      <c r="BA526" s="551"/>
      <c r="BB526" s="128"/>
      <c r="BC526" s="115"/>
      <c r="BD526" s="115"/>
      <c r="BE526" s="115"/>
      <c r="BF526" s="115"/>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c r="CC526" s="83"/>
      <c r="CD526" s="83"/>
      <c r="CE526" s="83"/>
      <c r="CF526" s="83"/>
      <c r="CG526" s="83"/>
      <c r="CH526" s="83"/>
      <c r="CI526" s="83"/>
      <c r="CJ526" s="83"/>
      <c r="CK526" s="83"/>
      <c r="CL526" s="83"/>
      <c r="CM526" s="83"/>
      <c r="CN526" s="83"/>
      <c r="CO526" s="83"/>
      <c r="CP526" s="83"/>
      <c r="CQ526" s="83"/>
      <c r="CR526" s="83"/>
      <c r="CS526" s="83"/>
      <c r="CT526" s="83"/>
      <c r="CU526" s="83"/>
      <c r="CV526" s="83"/>
      <c r="CW526" s="83"/>
      <c r="CX526" s="83"/>
      <c r="CY526" s="83"/>
      <c r="CZ526" s="83"/>
      <c r="DA526" s="83"/>
      <c r="DB526" s="83"/>
      <c r="DC526" s="83"/>
      <c r="DD526" s="83"/>
      <c r="DE526" s="83"/>
      <c r="DF526" s="115"/>
      <c r="DG526" s="115"/>
    </row>
    <row r="527" spans="1:111" ht="9" customHeight="1">
      <c r="A527" s="128"/>
      <c r="B527" s="187"/>
      <c r="C527" s="187"/>
      <c r="D527" s="187"/>
      <c r="E527" s="187"/>
      <c r="F527" s="187"/>
      <c r="G527" s="187"/>
      <c r="H527" s="187"/>
      <c r="I527" s="188"/>
      <c r="J527" s="187"/>
      <c r="K527" s="187"/>
      <c r="L527" s="187"/>
      <c r="M527" s="187"/>
      <c r="N527" s="128"/>
      <c r="O527" s="552"/>
      <c r="P527" s="553"/>
      <c r="Q527" s="553"/>
      <c r="R527" s="553"/>
      <c r="S527" s="553"/>
      <c r="T527" s="553"/>
      <c r="U527" s="553"/>
      <c r="V527" s="553"/>
      <c r="W527" s="553"/>
      <c r="X527" s="553"/>
      <c r="Y527" s="553"/>
      <c r="Z527" s="553"/>
      <c r="AA527" s="553"/>
      <c r="AB527" s="553"/>
      <c r="AC527" s="553"/>
      <c r="AD527" s="553"/>
      <c r="AE527" s="553"/>
      <c r="AF527" s="553"/>
      <c r="AG527" s="553"/>
      <c r="AH527" s="553"/>
      <c r="AI527" s="553"/>
      <c r="AJ527" s="553"/>
      <c r="AK527" s="553"/>
      <c r="AL527" s="553"/>
      <c r="AM527" s="553"/>
      <c r="AN527" s="553"/>
      <c r="AO527" s="553"/>
      <c r="AP527" s="553"/>
      <c r="AQ527" s="553"/>
      <c r="AR527" s="553"/>
      <c r="AS527" s="553"/>
      <c r="AT527" s="553"/>
      <c r="AU527" s="553"/>
      <c r="AV527" s="553"/>
      <c r="AW527" s="553"/>
      <c r="AX527" s="553"/>
      <c r="AY527" s="553"/>
      <c r="AZ527" s="553"/>
      <c r="BA527" s="554"/>
      <c r="BB527" s="128"/>
      <c r="BC527" s="115"/>
      <c r="BD527" s="115"/>
      <c r="BE527" s="115"/>
      <c r="BF527" s="115"/>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83"/>
      <c r="CN527" s="83"/>
      <c r="CO527" s="83"/>
      <c r="CP527" s="83"/>
      <c r="CQ527" s="83"/>
      <c r="CR527" s="83"/>
      <c r="CS527" s="83"/>
      <c r="CT527" s="83"/>
      <c r="CU527" s="83"/>
      <c r="CV527" s="83"/>
      <c r="CW527" s="83"/>
      <c r="CX527" s="83"/>
      <c r="CY527" s="83"/>
      <c r="CZ527" s="83"/>
      <c r="DA527" s="83"/>
      <c r="DB527" s="83"/>
      <c r="DC527" s="83"/>
      <c r="DD527" s="83"/>
      <c r="DE527" s="83"/>
      <c r="DF527" s="115"/>
      <c r="DG527" s="115"/>
    </row>
    <row r="528" spans="1:111" ht="4.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15"/>
      <c r="BD528" s="115"/>
      <c r="BE528" s="115"/>
      <c r="BF528" s="115"/>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83"/>
      <c r="CN528" s="83"/>
      <c r="CO528" s="83"/>
      <c r="CP528" s="83"/>
      <c r="CQ528" s="83"/>
      <c r="CR528" s="83"/>
      <c r="CS528" s="83"/>
      <c r="CT528" s="83"/>
      <c r="CU528" s="83"/>
      <c r="CV528" s="83"/>
      <c r="CW528" s="83"/>
      <c r="CX528" s="83"/>
      <c r="CY528" s="83"/>
      <c r="CZ528" s="83"/>
      <c r="DA528" s="83"/>
      <c r="DB528" s="83"/>
      <c r="DC528" s="83"/>
      <c r="DD528" s="83"/>
      <c r="DE528" s="83"/>
      <c r="DF528" s="115"/>
      <c r="DG528" s="115"/>
    </row>
    <row r="529" spans="1:111" ht="9" customHeight="1">
      <c r="A529" s="128"/>
      <c r="B529" s="527" t="s">
        <v>454</v>
      </c>
      <c r="C529" s="527"/>
      <c r="D529" s="527"/>
      <c r="E529" s="527"/>
      <c r="F529" s="527"/>
      <c r="G529" s="527"/>
      <c r="H529" s="527"/>
      <c r="I529" s="527"/>
      <c r="J529" s="527"/>
      <c r="K529" s="527"/>
      <c r="L529" s="527"/>
      <c r="M529" s="527"/>
      <c r="N529" s="186"/>
      <c r="O529" s="546"/>
      <c r="P529" s="547"/>
      <c r="Q529" s="547"/>
      <c r="R529" s="547"/>
      <c r="S529" s="547"/>
      <c r="T529" s="547"/>
      <c r="U529" s="547"/>
      <c r="V529" s="547"/>
      <c r="W529" s="547"/>
      <c r="X529" s="547"/>
      <c r="Y529" s="547"/>
      <c r="Z529" s="547"/>
      <c r="AA529" s="547"/>
      <c r="AB529" s="547"/>
      <c r="AC529" s="547"/>
      <c r="AD529" s="547"/>
      <c r="AE529" s="547"/>
      <c r="AF529" s="547"/>
      <c r="AG529" s="547"/>
      <c r="AH529" s="547"/>
      <c r="AI529" s="547"/>
      <c r="AJ529" s="547"/>
      <c r="AK529" s="547"/>
      <c r="AL529" s="547"/>
      <c r="AM529" s="547"/>
      <c r="AN529" s="547"/>
      <c r="AO529" s="547"/>
      <c r="AP529" s="547"/>
      <c r="AQ529" s="547"/>
      <c r="AR529" s="547"/>
      <c r="AS529" s="547"/>
      <c r="AT529" s="547"/>
      <c r="AU529" s="547"/>
      <c r="AV529" s="547"/>
      <c r="AW529" s="547"/>
      <c r="AX529" s="547"/>
      <c r="AY529" s="547"/>
      <c r="AZ529" s="547"/>
      <c r="BA529" s="548"/>
      <c r="BB529" s="128"/>
      <c r="BC529" s="115"/>
      <c r="BD529" s="115"/>
      <c r="BE529" s="115"/>
      <c r="BF529" s="115"/>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c r="CC529" s="83"/>
      <c r="CD529" s="83"/>
      <c r="CE529" s="83"/>
      <c r="CF529" s="83"/>
      <c r="CG529" s="83"/>
      <c r="CH529" s="83"/>
      <c r="CI529" s="83"/>
      <c r="CJ529" s="83"/>
      <c r="CK529" s="83"/>
      <c r="CL529" s="83"/>
      <c r="CM529" s="83"/>
      <c r="CN529" s="83"/>
      <c r="CO529" s="83"/>
      <c r="CP529" s="83"/>
      <c r="CQ529" s="83"/>
      <c r="CR529" s="83"/>
      <c r="CS529" s="83"/>
      <c r="CT529" s="83"/>
      <c r="CU529" s="83"/>
      <c r="CV529" s="83"/>
      <c r="CW529" s="83"/>
      <c r="CX529" s="83"/>
      <c r="CY529" s="83"/>
      <c r="CZ529" s="83"/>
      <c r="DA529" s="83"/>
      <c r="DB529" s="83"/>
      <c r="DC529" s="83"/>
      <c r="DD529" s="83"/>
      <c r="DE529" s="83"/>
      <c r="DF529" s="115"/>
      <c r="DG529" s="115"/>
    </row>
    <row r="530" spans="1:111" ht="9" customHeight="1">
      <c r="A530" s="128"/>
      <c r="B530" s="527"/>
      <c r="C530" s="527"/>
      <c r="D530" s="527"/>
      <c r="E530" s="527"/>
      <c r="F530" s="527"/>
      <c r="G530" s="527"/>
      <c r="H530" s="527"/>
      <c r="I530" s="527"/>
      <c r="J530" s="527"/>
      <c r="K530" s="527"/>
      <c r="L530" s="527"/>
      <c r="M530" s="527"/>
      <c r="N530" s="186"/>
      <c r="O530" s="549"/>
      <c r="P530" s="550"/>
      <c r="Q530" s="550"/>
      <c r="R530" s="550"/>
      <c r="S530" s="550"/>
      <c r="T530" s="550"/>
      <c r="U530" s="550"/>
      <c r="V530" s="550"/>
      <c r="W530" s="550"/>
      <c r="X530" s="550"/>
      <c r="Y530" s="550"/>
      <c r="Z530" s="550"/>
      <c r="AA530" s="550"/>
      <c r="AB530" s="550"/>
      <c r="AC530" s="550"/>
      <c r="AD530" s="550"/>
      <c r="AE530" s="550"/>
      <c r="AF530" s="550"/>
      <c r="AG530" s="550"/>
      <c r="AH530" s="550"/>
      <c r="AI530" s="550"/>
      <c r="AJ530" s="550"/>
      <c r="AK530" s="550"/>
      <c r="AL530" s="550"/>
      <c r="AM530" s="550"/>
      <c r="AN530" s="550"/>
      <c r="AO530" s="550"/>
      <c r="AP530" s="550"/>
      <c r="AQ530" s="550"/>
      <c r="AR530" s="550"/>
      <c r="AS530" s="550"/>
      <c r="AT530" s="550"/>
      <c r="AU530" s="550"/>
      <c r="AV530" s="550"/>
      <c r="AW530" s="550"/>
      <c r="AX530" s="550"/>
      <c r="AY530" s="550"/>
      <c r="AZ530" s="550"/>
      <c r="BA530" s="551"/>
      <c r="BB530" s="128"/>
      <c r="BC530" s="115"/>
      <c r="BD530" s="115"/>
      <c r="BE530" s="115"/>
      <c r="BF530" s="115"/>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83"/>
      <c r="CN530" s="83"/>
      <c r="CO530" s="83"/>
      <c r="CP530" s="83"/>
      <c r="CQ530" s="83"/>
      <c r="CR530" s="83"/>
      <c r="CS530" s="83"/>
      <c r="CT530" s="83"/>
      <c r="CU530" s="83"/>
      <c r="CV530" s="83"/>
      <c r="CW530" s="83"/>
      <c r="CX530" s="83"/>
      <c r="CY530" s="83"/>
      <c r="CZ530" s="83"/>
      <c r="DA530" s="83"/>
      <c r="DB530" s="83"/>
      <c r="DC530" s="83"/>
      <c r="DD530" s="83"/>
      <c r="DE530" s="83"/>
      <c r="DF530" s="115"/>
      <c r="DG530" s="115"/>
    </row>
    <row r="531" spans="1:111" ht="9" customHeight="1">
      <c r="A531" s="128"/>
      <c r="B531" s="187"/>
      <c r="C531" s="187"/>
      <c r="D531" s="187"/>
      <c r="E531" s="187"/>
      <c r="F531" s="187"/>
      <c r="G531" s="187"/>
      <c r="H531" s="187"/>
      <c r="I531" s="188"/>
      <c r="J531" s="187"/>
      <c r="K531" s="187"/>
      <c r="L531" s="187"/>
      <c r="M531" s="187"/>
      <c r="N531" s="128"/>
      <c r="O531" s="549"/>
      <c r="P531" s="550"/>
      <c r="Q531" s="550"/>
      <c r="R531" s="550"/>
      <c r="S531" s="550"/>
      <c r="T531" s="550"/>
      <c r="U531" s="550"/>
      <c r="V531" s="550"/>
      <c r="W531" s="550"/>
      <c r="X531" s="550"/>
      <c r="Y531" s="550"/>
      <c r="Z531" s="550"/>
      <c r="AA531" s="550"/>
      <c r="AB531" s="550"/>
      <c r="AC531" s="550"/>
      <c r="AD531" s="550"/>
      <c r="AE531" s="550"/>
      <c r="AF531" s="550"/>
      <c r="AG531" s="550"/>
      <c r="AH531" s="550"/>
      <c r="AI531" s="550"/>
      <c r="AJ531" s="550"/>
      <c r="AK531" s="550"/>
      <c r="AL531" s="550"/>
      <c r="AM531" s="550"/>
      <c r="AN531" s="550"/>
      <c r="AO531" s="550"/>
      <c r="AP531" s="550"/>
      <c r="AQ531" s="550"/>
      <c r="AR531" s="550"/>
      <c r="AS531" s="550"/>
      <c r="AT531" s="550"/>
      <c r="AU531" s="550"/>
      <c r="AV531" s="550"/>
      <c r="AW531" s="550"/>
      <c r="AX531" s="550"/>
      <c r="AY531" s="550"/>
      <c r="AZ531" s="550"/>
      <c r="BA531" s="551"/>
      <c r="BB531" s="128"/>
      <c r="BC531" s="115"/>
      <c r="BD531" s="115"/>
      <c r="BE531" s="115"/>
      <c r="BF531" s="115"/>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c r="CC531" s="83"/>
      <c r="CD531" s="83"/>
      <c r="CE531" s="83"/>
      <c r="CF531" s="83"/>
      <c r="CG531" s="83"/>
      <c r="CH531" s="83"/>
      <c r="CI531" s="83"/>
      <c r="CJ531" s="83"/>
      <c r="CK531" s="83"/>
      <c r="CL531" s="83"/>
      <c r="CM531" s="83"/>
      <c r="CN531" s="83"/>
      <c r="CO531" s="83"/>
      <c r="CP531" s="83"/>
      <c r="CQ531" s="83"/>
      <c r="CR531" s="83"/>
      <c r="CS531" s="83"/>
      <c r="CT531" s="83"/>
      <c r="CU531" s="83"/>
      <c r="CV531" s="83"/>
      <c r="CW531" s="83"/>
      <c r="CX531" s="83"/>
      <c r="CY531" s="83"/>
      <c r="CZ531" s="83"/>
      <c r="DA531" s="83"/>
      <c r="DB531" s="83"/>
      <c r="DC531" s="83"/>
      <c r="DD531" s="83"/>
      <c r="DE531" s="83"/>
      <c r="DF531" s="115"/>
      <c r="DG531" s="115"/>
    </row>
    <row r="532" spans="1:111" ht="9" customHeight="1">
      <c r="A532" s="128"/>
      <c r="B532" s="187"/>
      <c r="C532" s="187"/>
      <c r="D532" s="187"/>
      <c r="E532" s="187"/>
      <c r="F532" s="187"/>
      <c r="G532" s="187"/>
      <c r="H532" s="187"/>
      <c r="I532" s="188"/>
      <c r="J532" s="187"/>
      <c r="K532" s="187"/>
      <c r="L532" s="187"/>
      <c r="M532" s="187"/>
      <c r="N532" s="128"/>
      <c r="O532" s="552"/>
      <c r="P532" s="553"/>
      <c r="Q532" s="553"/>
      <c r="R532" s="553"/>
      <c r="S532" s="553"/>
      <c r="T532" s="553"/>
      <c r="U532" s="553"/>
      <c r="V532" s="553"/>
      <c r="W532" s="553"/>
      <c r="X532" s="553"/>
      <c r="Y532" s="553"/>
      <c r="Z532" s="553"/>
      <c r="AA532" s="553"/>
      <c r="AB532" s="553"/>
      <c r="AC532" s="553"/>
      <c r="AD532" s="553"/>
      <c r="AE532" s="553"/>
      <c r="AF532" s="553"/>
      <c r="AG532" s="553"/>
      <c r="AH532" s="553"/>
      <c r="AI532" s="553"/>
      <c r="AJ532" s="553"/>
      <c r="AK532" s="553"/>
      <c r="AL532" s="553"/>
      <c r="AM532" s="553"/>
      <c r="AN532" s="553"/>
      <c r="AO532" s="553"/>
      <c r="AP532" s="553"/>
      <c r="AQ532" s="553"/>
      <c r="AR532" s="553"/>
      <c r="AS532" s="553"/>
      <c r="AT532" s="553"/>
      <c r="AU532" s="553"/>
      <c r="AV532" s="553"/>
      <c r="AW532" s="553"/>
      <c r="AX532" s="553"/>
      <c r="AY532" s="553"/>
      <c r="AZ532" s="553"/>
      <c r="BA532" s="554"/>
      <c r="BB532" s="128"/>
      <c r="BC532" s="115"/>
      <c r="BD532" s="115"/>
      <c r="BE532" s="115"/>
      <c r="BF532" s="115"/>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83"/>
      <c r="CN532" s="83"/>
      <c r="CO532" s="83"/>
      <c r="CP532" s="83"/>
      <c r="CQ532" s="83"/>
      <c r="CR532" s="83"/>
      <c r="CS532" s="83"/>
      <c r="CT532" s="83"/>
      <c r="CU532" s="83"/>
      <c r="CV532" s="83"/>
      <c r="CW532" s="83"/>
      <c r="CX532" s="83"/>
      <c r="CY532" s="83"/>
      <c r="CZ532" s="83"/>
      <c r="DA532" s="83"/>
      <c r="DB532" s="83"/>
      <c r="DC532" s="83"/>
      <c r="DD532" s="83"/>
      <c r="DE532" s="83"/>
      <c r="DF532" s="115"/>
      <c r="DG532" s="115"/>
    </row>
    <row r="533" spans="1:111" ht="4.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15"/>
      <c r="BD533" s="115"/>
      <c r="BE533" s="115"/>
      <c r="BF533" s="115"/>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c r="CC533" s="83"/>
      <c r="CD533" s="83"/>
      <c r="CE533" s="83"/>
      <c r="CF533" s="83"/>
      <c r="CG533" s="83"/>
      <c r="CH533" s="83"/>
      <c r="CI533" s="83"/>
      <c r="CJ533" s="83"/>
      <c r="CK533" s="83"/>
      <c r="CL533" s="83"/>
      <c r="CM533" s="83"/>
      <c r="CN533" s="83"/>
      <c r="CO533" s="83"/>
      <c r="CP533" s="83"/>
      <c r="CQ533" s="83"/>
      <c r="CR533" s="83"/>
      <c r="CS533" s="83"/>
      <c r="CT533" s="83"/>
      <c r="CU533" s="83"/>
      <c r="CV533" s="83"/>
      <c r="CW533" s="83"/>
      <c r="CX533" s="83"/>
      <c r="CY533" s="83"/>
      <c r="CZ533" s="83"/>
      <c r="DA533" s="83"/>
      <c r="DB533" s="83"/>
      <c r="DC533" s="83"/>
      <c r="DD533" s="83"/>
      <c r="DE533" s="83"/>
      <c r="DF533" s="115"/>
      <c r="DG533" s="115"/>
    </row>
    <row r="534" spans="1:111" ht="9" customHeight="1">
      <c r="A534" s="128"/>
      <c r="B534" s="527" t="s">
        <v>455</v>
      </c>
      <c r="C534" s="527"/>
      <c r="D534" s="527"/>
      <c r="E534" s="527"/>
      <c r="F534" s="527"/>
      <c r="G534" s="527"/>
      <c r="H534" s="527"/>
      <c r="I534" s="527"/>
      <c r="J534" s="527"/>
      <c r="K534" s="527"/>
      <c r="L534" s="527"/>
      <c r="M534" s="527"/>
      <c r="N534" s="186"/>
      <c r="O534" s="528"/>
      <c r="P534" s="529"/>
      <c r="Q534" s="529"/>
      <c r="R534" s="529"/>
      <c r="S534" s="529"/>
      <c r="T534" s="529"/>
      <c r="U534" s="529"/>
      <c r="V534" s="529"/>
      <c r="W534" s="529"/>
      <c r="X534" s="529"/>
      <c r="Y534" s="529"/>
      <c r="Z534" s="530"/>
      <c r="AA534" s="128"/>
      <c r="AB534" s="128"/>
      <c r="AC534" s="128"/>
      <c r="AD534" s="128"/>
      <c r="AE534" s="128"/>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15"/>
      <c r="BD534" s="115"/>
      <c r="BE534" s="115"/>
      <c r="BF534" s="115"/>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c r="CC534" s="83"/>
      <c r="CD534" s="83"/>
      <c r="CE534" s="83"/>
      <c r="CF534" s="83"/>
      <c r="CG534" s="83"/>
      <c r="CH534" s="83"/>
      <c r="CI534" s="83"/>
      <c r="CJ534" s="83"/>
      <c r="CK534" s="83"/>
      <c r="CL534" s="83"/>
      <c r="CM534" s="83"/>
      <c r="CN534" s="83"/>
      <c r="CO534" s="83"/>
      <c r="CP534" s="83"/>
      <c r="CQ534" s="83"/>
      <c r="CR534" s="83"/>
      <c r="CS534" s="83"/>
      <c r="CT534" s="83"/>
      <c r="CU534" s="83"/>
      <c r="CV534" s="83"/>
      <c r="CW534" s="83"/>
      <c r="CX534" s="83"/>
      <c r="CY534" s="83"/>
      <c r="CZ534" s="83"/>
      <c r="DA534" s="83"/>
      <c r="DB534" s="83"/>
      <c r="DC534" s="83"/>
      <c r="DD534" s="83"/>
      <c r="DE534" s="83"/>
      <c r="DF534" s="115"/>
      <c r="DG534" s="115"/>
    </row>
    <row r="535" spans="1:111" ht="9" customHeight="1">
      <c r="A535" s="128"/>
      <c r="B535" s="527"/>
      <c r="C535" s="527"/>
      <c r="D535" s="527"/>
      <c r="E535" s="527"/>
      <c r="F535" s="527"/>
      <c r="G535" s="527"/>
      <c r="H535" s="527"/>
      <c r="I535" s="527"/>
      <c r="J535" s="527"/>
      <c r="K535" s="527"/>
      <c r="L535" s="527"/>
      <c r="M535" s="527"/>
      <c r="N535" s="186"/>
      <c r="O535" s="531"/>
      <c r="P535" s="532"/>
      <c r="Q535" s="532"/>
      <c r="R535" s="532"/>
      <c r="S535" s="532"/>
      <c r="T535" s="532"/>
      <c r="U535" s="532"/>
      <c r="V535" s="532"/>
      <c r="W535" s="532"/>
      <c r="X535" s="532"/>
      <c r="Y535" s="532"/>
      <c r="Z535" s="533"/>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15"/>
      <c r="BD535" s="115"/>
      <c r="BE535" s="115"/>
      <c r="BF535" s="115"/>
      <c r="BG535" s="83"/>
      <c r="BH535" s="83"/>
      <c r="BI535" s="83"/>
      <c r="BJ535" s="83"/>
      <c r="BK535" s="83"/>
      <c r="BL535" s="83"/>
      <c r="BM535" s="83"/>
      <c r="BN535" s="83"/>
      <c r="BO535" s="83"/>
      <c r="BP535" s="83"/>
      <c r="BQ535" s="83"/>
      <c r="BR535" s="83"/>
      <c r="BS535" s="83"/>
      <c r="BT535" s="83"/>
      <c r="BU535" s="83"/>
      <c r="BV535" s="83"/>
      <c r="BW535" s="83"/>
      <c r="BX535" s="83"/>
      <c r="BY535" s="83"/>
      <c r="BZ535" s="83"/>
      <c r="CA535" s="83"/>
      <c r="CB535" s="83"/>
      <c r="CC535" s="83"/>
      <c r="CD535" s="83"/>
      <c r="CE535" s="83"/>
      <c r="CF535" s="83"/>
      <c r="CG535" s="83"/>
      <c r="CH535" s="83"/>
      <c r="CI535" s="83"/>
      <c r="CJ535" s="83"/>
      <c r="CK535" s="83"/>
      <c r="CL535" s="83"/>
      <c r="CM535" s="83"/>
      <c r="CN535" s="83"/>
      <c r="CO535" s="83"/>
      <c r="CP535" s="83"/>
      <c r="CQ535" s="83"/>
      <c r="CR535" s="83"/>
      <c r="CS535" s="83"/>
      <c r="CT535" s="83"/>
      <c r="CU535" s="83"/>
      <c r="CV535" s="83"/>
      <c r="CW535" s="83"/>
      <c r="CX535" s="83"/>
      <c r="CY535" s="83"/>
      <c r="CZ535" s="83"/>
      <c r="DA535" s="83"/>
      <c r="DB535" s="83"/>
      <c r="DC535" s="83"/>
      <c r="DD535" s="83"/>
      <c r="DE535" s="83"/>
      <c r="DF535" s="115"/>
      <c r="DG535" s="115"/>
    </row>
    <row r="536" spans="1:111" ht="4.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15"/>
      <c r="BD536" s="115"/>
      <c r="BE536" s="115"/>
      <c r="BF536" s="115"/>
      <c r="BG536" s="83"/>
      <c r="BH536" s="83"/>
      <c r="BI536" s="83"/>
      <c r="BJ536" s="83"/>
      <c r="BK536" s="83"/>
      <c r="BL536" s="83"/>
      <c r="BM536" s="83"/>
      <c r="BN536" s="83"/>
      <c r="BO536" s="83"/>
      <c r="BP536" s="83"/>
      <c r="BQ536" s="83"/>
      <c r="BR536" s="83"/>
      <c r="BS536" s="83"/>
      <c r="BT536" s="83"/>
      <c r="BU536" s="83"/>
      <c r="BV536" s="83"/>
      <c r="BW536" s="83"/>
      <c r="BX536" s="83"/>
      <c r="BY536" s="83"/>
      <c r="BZ536" s="83"/>
      <c r="CA536" s="83"/>
      <c r="CB536" s="83"/>
      <c r="CC536" s="83"/>
      <c r="CD536" s="83"/>
      <c r="CE536" s="83"/>
      <c r="CF536" s="83"/>
      <c r="CG536" s="83"/>
      <c r="CH536" s="83"/>
      <c r="CI536" s="83"/>
      <c r="CJ536" s="83"/>
      <c r="CK536" s="83"/>
      <c r="CL536" s="83"/>
      <c r="CM536" s="83"/>
      <c r="CN536" s="83"/>
      <c r="CO536" s="83"/>
      <c r="CP536" s="83"/>
      <c r="CQ536" s="83"/>
      <c r="CR536" s="83"/>
      <c r="CS536" s="83"/>
      <c r="CT536" s="83"/>
      <c r="CU536" s="83"/>
      <c r="CV536" s="83"/>
      <c r="CW536" s="83"/>
      <c r="CX536" s="83"/>
      <c r="CY536" s="83"/>
      <c r="CZ536" s="83"/>
      <c r="DA536" s="83"/>
      <c r="DB536" s="83"/>
      <c r="DC536" s="83"/>
      <c r="DD536" s="83"/>
      <c r="DE536" s="83"/>
      <c r="DF536" s="115"/>
      <c r="DG536" s="115"/>
    </row>
    <row r="537" spans="1:111" ht="9" customHeight="1">
      <c r="A537" s="128"/>
      <c r="B537" s="527" t="s">
        <v>434</v>
      </c>
      <c r="C537" s="527"/>
      <c r="D537" s="527"/>
      <c r="E537" s="527"/>
      <c r="F537" s="527"/>
      <c r="G537" s="527"/>
      <c r="H537" s="527"/>
      <c r="I537" s="527"/>
      <c r="J537" s="527"/>
      <c r="K537" s="527"/>
      <c r="L537" s="527"/>
      <c r="M537" s="527"/>
      <c r="N537" s="186"/>
      <c r="O537" s="546"/>
      <c r="P537" s="547"/>
      <c r="Q537" s="547"/>
      <c r="R537" s="547"/>
      <c r="S537" s="547"/>
      <c r="T537" s="547"/>
      <c r="U537" s="547"/>
      <c r="V537" s="547"/>
      <c r="W537" s="547"/>
      <c r="X537" s="547"/>
      <c r="Y537" s="547"/>
      <c r="Z537" s="547"/>
      <c r="AA537" s="547"/>
      <c r="AB537" s="547"/>
      <c r="AC537" s="547"/>
      <c r="AD537" s="547"/>
      <c r="AE537" s="547"/>
      <c r="AF537" s="547"/>
      <c r="AG537" s="547"/>
      <c r="AH537" s="547"/>
      <c r="AI537" s="547"/>
      <c r="AJ537" s="547"/>
      <c r="AK537" s="547"/>
      <c r="AL537" s="547"/>
      <c r="AM537" s="547"/>
      <c r="AN537" s="547"/>
      <c r="AO537" s="547"/>
      <c r="AP537" s="547"/>
      <c r="AQ537" s="547"/>
      <c r="AR537" s="547"/>
      <c r="AS537" s="547"/>
      <c r="AT537" s="547"/>
      <c r="AU537" s="547"/>
      <c r="AV537" s="547"/>
      <c r="AW537" s="547"/>
      <c r="AX537" s="547"/>
      <c r="AY537" s="547"/>
      <c r="AZ537" s="547"/>
      <c r="BA537" s="548"/>
      <c r="BB537" s="128"/>
      <c r="BC537" s="115"/>
      <c r="BD537" s="115"/>
      <c r="BE537" s="115"/>
      <c r="BF537" s="115"/>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c r="CC537" s="83"/>
      <c r="CD537" s="83"/>
      <c r="CE537" s="83"/>
      <c r="CF537" s="83"/>
      <c r="CG537" s="83"/>
      <c r="CH537" s="83"/>
      <c r="CI537" s="83"/>
      <c r="CJ537" s="83"/>
      <c r="CK537" s="83"/>
      <c r="CL537" s="83"/>
      <c r="CM537" s="83"/>
      <c r="CN537" s="83"/>
      <c r="CO537" s="83"/>
      <c r="CP537" s="83"/>
      <c r="CQ537" s="83"/>
      <c r="CR537" s="83"/>
      <c r="CS537" s="83"/>
      <c r="CT537" s="83"/>
      <c r="CU537" s="83"/>
      <c r="CV537" s="83"/>
      <c r="CW537" s="83"/>
      <c r="CX537" s="83"/>
      <c r="CY537" s="83"/>
      <c r="CZ537" s="83"/>
      <c r="DA537" s="83"/>
      <c r="DB537" s="83"/>
      <c r="DC537" s="83"/>
      <c r="DD537" s="83"/>
      <c r="DE537" s="83"/>
      <c r="DF537" s="115"/>
      <c r="DG537" s="115"/>
    </row>
    <row r="538" spans="1:111" ht="9" customHeight="1">
      <c r="A538" s="128"/>
      <c r="B538" s="527"/>
      <c r="C538" s="527"/>
      <c r="D538" s="527"/>
      <c r="E538" s="527"/>
      <c r="F538" s="527"/>
      <c r="G538" s="527"/>
      <c r="H538" s="527"/>
      <c r="I538" s="527"/>
      <c r="J538" s="527"/>
      <c r="K538" s="527"/>
      <c r="L538" s="527"/>
      <c r="M538" s="527"/>
      <c r="N538" s="186"/>
      <c r="O538" s="549"/>
      <c r="P538" s="550"/>
      <c r="Q538" s="550"/>
      <c r="R538" s="550"/>
      <c r="S538" s="550"/>
      <c r="T538" s="550"/>
      <c r="U538" s="550"/>
      <c r="V538" s="550"/>
      <c r="W538" s="550"/>
      <c r="X538" s="550"/>
      <c r="Y538" s="550"/>
      <c r="Z538" s="550"/>
      <c r="AA538" s="550"/>
      <c r="AB538" s="550"/>
      <c r="AC538" s="550"/>
      <c r="AD538" s="550"/>
      <c r="AE538" s="550"/>
      <c r="AF538" s="550"/>
      <c r="AG538" s="550"/>
      <c r="AH538" s="550"/>
      <c r="AI538" s="550"/>
      <c r="AJ538" s="550"/>
      <c r="AK538" s="550"/>
      <c r="AL538" s="550"/>
      <c r="AM538" s="550"/>
      <c r="AN538" s="550"/>
      <c r="AO538" s="550"/>
      <c r="AP538" s="550"/>
      <c r="AQ538" s="550"/>
      <c r="AR538" s="550"/>
      <c r="AS538" s="550"/>
      <c r="AT538" s="550"/>
      <c r="AU538" s="550"/>
      <c r="AV538" s="550"/>
      <c r="AW538" s="550"/>
      <c r="AX538" s="550"/>
      <c r="AY538" s="550"/>
      <c r="AZ538" s="550"/>
      <c r="BA538" s="551"/>
      <c r="BB538" s="128"/>
      <c r="BC538" s="115"/>
      <c r="BD538" s="115"/>
      <c r="BE538" s="115"/>
      <c r="BF538" s="115"/>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c r="CC538" s="83"/>
      <c r="CD538" s="83"/>
      <c r="CE538" s="83"/>
      <c r="CF538" s="83"/>
      <c r="CG538" s="83"/>
      <c r="CH538" s="83"/>
      <c r="CI538" s="83"/>
      <c r="CJ538" s="83"/>
      <c r="CK538" s="83"/>
      <c r="CL538" s="83"/>
      <c r="CM538" s="83"/>
      <c r="CN538" s="83"/>
      <c r="CO538" s="83"/>
      <c r="CP538" s="83"/>
      <c r="CQ538" s="83"/>
      <c r="CR538" s="83"/>
      <c r="CS538" s="83"/>
      <c r="CT538" s="83"/>
      <c r="CU538" s="83"/>
      <c r="CV538" s="83"/>
      <c r="CW538" s="83"/>
      <c r="CX538" s="83"/>
      <c r="CY538" s="83"/>
      <c r="CZ538" s="83"/>
      <c r="DA538" s="83"/>
      <c r="DB538" s="83"/>
      <c r="DC538" s="83"/>
      <c r="DD538" s="83"/>
      <c r="DE538" s="83"/>
      <c r="DF538" s="115"/>
      <c r="DG538" s="115"/>
    </row>
    <row r="539" spans="1:111" ht="9" customHeight="1">
      <c r="A539" s="128"/>
      <c r="B539" s="187"/>
      <c r="C539" s="187"/>
      <c r="D539" s="187"/>
      <c r="E539" s="187"/>
      <c r="F539" s="187"/>
      <c r="G539" s="187"/>
      <c r="H539" s="187"/>
      <c r="I539" s="188"/>
      <c r="J539" s="187"/>
      <c r="K539" s="187"/>
      <c r="L539" s="187"/>
      <c r="M539" s="187"/>
      <c r="N539" s="128"/>
      <c r="O539" s="549"/>
      <c r="P539" s="550"/>
      <c r="Q539" s="550"/>
      <c r="R539" s="550"/>
      <c r="S539" s="550"/>
      <c r="T539" s="550"/>
      <c r="U539" s="550"/>
      <c r="V539" s="550"/>
      <c r="W539" s="550"/>
      <c r="X539" s="550"/>
      <c r="Y539" s="550"/>
      <c r="Z539" s="550"/>
      <c r="AA539" s="550"/>
      <c r="AB539" s="550"/>
      <c r="AC539" s="550"/>
      <c r="AD539" s="550"/>
      <c r="AE539" s="550"/>
      <c r="AF539" s="550"/>
      <c r="AG539" s="550"/>
      <c r="AH539" s="550"/>
      <c r="AI539" s="550"/>
      <c r="AJ539" s="550"/>
      <c r="AK539" s="550"/>
      <c r="AL539" s="550"/>
      <c r="AM539" s="550"/>
      <c r="AN539" s="550"/>
      <c r="AO539" s="550"/>
      <c r="AP539" s="550"/>
      <c r="AQ539" s="550"/>
      <c r="AR539" s="550"/>
      <c r="AS539" s="550"/>
      <c r="AT539" s="550"/>
      <c r="AU539" s="550"/>
      <c r="AV539" s="550"/>
      <c r="AW539" s="550"/>
      <c r="AX539" s="550"/>
      <c r="AY539" s="550"/>
      <c r="AZ539" s="550"/>
      <c r="BA539" s="551"/>
      <c r="BB539" s="128"/>
      <c r="BC539" s="115"/>
      <c r="BD539" s="115"/>
      <c r="BE539" s="115"/>
      <c r="BF539" s="115"/>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c r="CC539" s="83"/>
      <c r="CD539" s="83"/>
      <c r="CE539" s="83"/>
      <c r="CF539" s="83"/>
      <c r="CG539" s="83"/>
      <c r="CH539" s="83"/>
      <c r="CI539" s="83"/>
      <c r="CJ539" s="83"/>
      <c r="CK539" s="83"/>
      <c r="CL539" s="83"/>
      <c r="CM539" s="83"/>
      <c r="CN539" s="83"/>
      <c r="CO539" s="83"/>
      <c r="CP539" s="83"/>
      <c r="CQ539" s="83"/>
      <c r="CR539" s="83"/>
      <c r="CS539" s="83"/>
      <c r="CT539" s="83"/>
      <c r="CU539" s="83"/>
      <c r="CV539" s="83"/>
      <c r="CW539" s="83"/>
      <c r="CX539" s="83"/>
      <c r="CY539" s="83"/>
      <c r="CZ539" s="83"/>
      <c r="DA539" s="83"/>
      <c r="DB539" s="83"/>
      <c r="DC539" s="83"/>
      <c r="DD539" s="83"/>
      <c r="DE539" s="83"/>
      <c r="DF539" s="115"/>
      <c r="DG539" s="115"/>
    </row>
    <row r="540" spans="1:111" ht="9" customHeight="1">
      <c r="A540" s="128"/>
      <c r="B540" s="187"/>
      <c r="C540" s="187"/>
      <c r="D540" s="187"/>
      <c r="E540" s="187"/>
      <c r="F540" s="187"/>
      <c r="G540" s="187"/>
      <c r="H540" s="187"/>
      <c r="I540" s="188"/>
      <c r="J540" s="187"/>
      <c r="K540" s="187"/>
      <c r="L540" s="187"/>
      <c r="M540" s="187"/>
      <c r="N540" s="128"/>
      <c r="O540" s="552"/>
      <c r="P540" s="553"/>
      <c r="Q540" s="553"/>
      <c r="R540" s="553"/>
      <c r="S540" s="553"/>
      <c r="T540" s="553"/>
      <c r="U540" s="553"/>
      <c r="V540" s="553"/>
      <c r="W540" s="553"/>
      <c r="X540" s="553"/>
      <c r="Y540" s="553"/>
      <c r="Z540" s="553"/>
      <c r="AA540" s="553"/>
      <c r="AB540" s="553"/>
      <c r="AC540" s="553"/>
      <c r="AD540" s="553"/>
      <c r="AE540" s="553"/>
      <c r="AF540" s="553"/>
      <c r="AG540" s="553"/>
      <c r="AH540" s="553"/>
      <c r="AI540" s="553"/>
      <c r="AJ540" s="553"/>
      <c r="AK540" s="553"/>
      <c r="AL540" s="553"/>
      <c r="AM540" s="553"/>
      <c r="AN540" s="553"/>
      <c r="AO540" s="553"/>
      <c r="AP540" s="553"/>
      <c r="AQ540" s="553"/>
      <c r="AR540" s="553"/>
      <c r="AS540" s="553"/>
      <c r="AT540" s="553"/>
      <c r="AU540" s="553"/>
      <c r="AV540" s="553"/>
      <c r="AW540" s="553"/>
      <c r="AX540" s="553"/>
      <c r="AY540" s="553"/>
      <c r="AZ540" s="553"/>
      <c r="BA540" s="554"/>
      <c r="BB540" s="128"/>
      <c r="BC540" s="115"/>
      <c r="BD540" s="115"/>
      <c r="BE540" s="115"/>
      <c r="BF540" s="115"/>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83"/>
      <c r="CN540" s="83"/>
      <c r="CO540" s="83"/>
      <c r="CP540" s="83"/>
      <c r="CQ540" s="83"/>
      <c r="CR540" s="83"/>
      <c r="CS540" s="83"/>
      <c r="CT540" s="83"/>
      <c r="CU540" s="83"/>
      <c r="CV540" s="83"/>
      <c r="CW540" s="83"/>
      <c r="CX540" s="83"/>
      <c r="CY540" s="83"/>
      <c r="CZ540" s="83"/>
      <c r="DA540" s="83"/>
      <c r="DB540" s="83"/>
      <c r="DC540" s="83"/>
      <c r="DD540" s="83"/>
      <c r="DE540" s="83"/>
      <c r="DF540" s="115"/>
      <c r="DG540" s="115"/>
    </row>
    <row r="541" spans="1:111" ht="4.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15"/>
      <c r="BD541" s="115"/>
      <c r="BE541" s="115"/>
      <c r="BF541" s="115"/>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c r="CC541" s="83"/>
      <c r="CD541" s="83"/>
      <c r="CE541" s="83"/>
      <c r="CF541" s="83"/>
      <c r="CG541" s="83"/>
      <c r="CH541" s="83"/>
      <c r="CI541" s="83"/>
      <c r="CJ541" s="83"/>
      <c r="CK541" s="83"/>
      <c r="CL541" s="83"/>
      <c r="CM541" s="83"/>
      <c r="CN541" s="83"/>
      <c r="CO541" s="83"/>
      <c r="CP541" s="83"/>
      <c r="CQ541" s="83"/>
      <c r="CR541" s="83"/>
      <c r="CS541" s="83"/>
      <c r="CT541" s="83"/>
      <c r="CU541" s="83"/>
      <c r="CV541" s="83"/>
      <c r="CW541" s="83"/>
      <c r="CX541" s="83"/>
      <c r="CY541" s="83"/>
      <c r="CZ541" s="83"/>
      <c r="DA541" s="83"/>
      <c r="DB541" s="83"/>
      <c r="DC541" s="83"/>
      <c r="DD541" s="83"/>
      <c r="DE541" s="83"/>
      <c r="DF541" s="115"/>
      <c r="DG541" s="115"/>
    </row>
    <row r="542" spans="1:111" ht="9" customHeight="1">
      <c r="A542" s="128"/>
      <c r="B542" s="527" t="s">
        <v>456</v>
      </c>
      <c r="C542" s="527"/>
      <c r="D542" s="527"/>
      <c r="E542" s="527"/>
      <c r="F542" s="527"/>
      <c r="G542" s="527"/>
      <c r="H542" s="527"/>
      <c r="I542" s="527"/>
      <c r="J542" s="527"/>
      <c r="K542" s="527"/>
      <c r="L542" s="527"/>
      <c r="M542" s="527"/>
      <c r="N542" s="186"/>
      <c r="O542" s="546"/>
      <c r="P542" s="547"/>
      <c r="Q542" s="547"/>
      <c r="R542" s="547"/>
      <c r="S542" s="547"/>
      <c r="T542" s="547"/>
      <c r="U542" s="547"/>
      <c r="V542" s="547"/>
      <c r="W542" s="547"/>
      <c r="X542" s="547"/>
      <c r="Y542" s="547"/>
      <c r="Z542" s="547"/>
      <c r="AA542" s="547"/>
      <c r="AB542" s="547"/>
      <c r="AC542" s="547"/>
      <c r="AD542" s="547"/>
      <c r="AE542" s="547"/>
      <c r="AF542" s="547"/>
      <c r="AG542" s="547"/>
      <c r="AH542" s="547"/>
      <c r="AI542" s="547"/>
      <c r="AJ542" s="547"/>
      <c r="AK542" s="547"/>
      <c r="AL542" s="547"/>
      <c r="AM542" s="547"/>
      <c r="AN542" s="547"/>
      <c r="AO542" s="547"/>
      <c r="AP542" s="547"/>
      <c r="AQ542" s="547"/>
      <c r="AR542" s="547"/>
      <c r="AS542" s="547"/>
      <c r="AT542" s="547"/>
      <c r="AU542" s="547"/>
      <c r="AV542" s="547"/>
      <c r="AW542" s="547"/>
      <c r="AX542" s="547"/>
      <c r="AY542" s="547"/>
      <c r="AZ542" s="547"/>
      <c r="BA542" s="548"/>
      <c r="BB542" s="128"/>
      <c r="BC542" s="115"/>
      <c r="BD542" s="115"/>
      <c r="BE542" s="115"/>
      <c r="BF542" s="115"/>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c r="CC542" s="83"/>
      <c r="CD542" s="83"/>
      <c r="CE542" s="83"/>
      <c r="CF542" s="83"/>
      <c r="CG542" s="83"/>
      <c r="CH542" s="83"/>
      <c r="CI542" s="83"/>
      <c r="CJ542" s="83"/>
      <c r="CK542" s="83"/>
      <c r="CL542" s="83"/>
      <c r="CM542" s="83"/>
      <c r="CN542" s="83"/>
      <c r="CO542" s="83"/>
      <c r="CP542" s="83"/>
      <c r="CQ542" s="83"/>
      <c r="CR542" s="83"/>
      <c r="CS542" s="83"/>
      <c r="CT542" s="83"/>
      <c r="CU542" s="83"/>
      <c r="CV542" s="83"/>
      <c r="CW542" s="83"/>
      <c r="CX542" s="83"/>
      <c r="CY542" s="83"/>
      <c r="CZ542" s="83"/>
      <c r="DA542" s="83"/>
      <c r="DB542" s="83"/>
      <c r="DC542" s="83"/>
      <c r="DD542" s="83"/>
      <c r="DE542" s="83"/>
      <c r="DF542" s="115"/>
      <c r="DG542" s="115"/>
    </row>
    <row r="543" spans="1:111" ht="9" customHeight="1">
      <c r="A543" s="128"/>
      <c r="B543" s="527"/>
      <c r="C543" s="527"/>
      <c r="D543" s="527"/>
      <c r="E543" s="527"/>
      <c r="F543" s="527"/>
      <c r="G543" s="527"/>
      <c r="H543" s="527"/>
      <c r="I543" s="527"/>
      <c r="J543" s="527"/>
      <c r="K543" s="527"/>
      <c r="L543" s="527"/>
      <c r="M543" s="527"/>
      <c r="N543" s="186"/>
      <c r="O543" s="549"/>
      <c r="P543" s="550"/>
      <c r="Q543" s="550"/>
      <c r="R543" s="550"/>
      <c r="S543" s="550"/>
      <c r="T543" s="550"/>
      <c r="U543" s="550"/>
      <c r="V543" s="550"/>
      <c r="W543" s="550"/>
      <c r="X543" s="550"/>
      <c r="Y543" s="550"/>
      <c r="Z543" s="550"/>
      <c r="AA543" s="550"/>
      <c r="AB543" s="550"/>
      <c r="AC543" s="550"/>
      <c r="AD543" s="550"/>
      <c r="AE543" s="550"/>
      <c r="AF543" s="550"/>
      <c r="AG543" s="550"/>
      <c r="AH543" s="550"/>
      <c r="AI543" s="550"/>
      <c r="AJ543" s="550"/>
      <c r="AK543" s="550"/>
      <c r="AL543" s="550"/>
      <c r="AM543" s="550"/>
      <c r="AN543" s="550"/>
      <c r="AO543" s="550"/>
      <c r="AP543" s="550"/>
      <c r="AQ543" s="550"/>
      <c r="AR543" s="550"/>
      <c r="AS543" s="550"/>
      <c r="AT543" s="550"/>
      <c r="AU543" s="550"/>
      <c r="AV543" s="550"/>
      <c r="AW543" s="550"/>
      <c r="AX543" s="550"/>
      <c r="AY543" s="550"/>
      <c r="AZ543" s="550"/>
      <c r="BA543" s="551"/>
      <c r="BB543" s="128"/>
      <c r="BC543" s="115"/>
      <c r="BD543" s="115"/>
      <c r="BE543" s="115"/>
      <c r="BF543" s="115"/>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c r="CC543" s="83"/>
      <c r="CD543" s="83"/>
      <c r="CE543" s="83"/>
      <c r="CF543" s="83"/>
      <c r="CG543" s="83"/>
      <c r="CH543" s="83"/>
      <c r="CI543" s="83"/>
      <c r="CJ543" s="83"/>
      <c r="CK543" s="83"/>
      <c r="CL543" s="83"/>
      <c r="CM543" s="83"/>
      <c r="CN543" s="83"/>
      <c r="CO543" s="83"/>
      <c r="CP543" s="83"/>
      <c r="CQ543" s="83"/>
      <c r="CR543" s="83"/>
      <c r="CS543" s="83"/>
      <c r="CT543" s="83"/>
      <c r="CU543" s="83"/>
      <c r="CV543" s="83"/>
      <c r="CW543" s="83"/>
      <c r="CX543" s="83"/>
      <c r="CY543" s="83"/>
      <c r="CZ543" s="83"/>
      <c r="DA543" s="83"/>
      <c r="DB543" s="83"/>
      <c r="DC543" s="83"/>
      <c r="DD543" s="83"/>
      <c r="DE543" s="83"/>
      <c r="DF543" s="115"/>
      <c r="DG543" s="115"/>
    </row>
    <row r="544" spans="1:111" ht="9" customHeight="1">
      <c r="A544" s="128"/>
      <c r="B544" s="187"/>
      <c r="C544" s="187"/>
      <c r="D544" s="187"/>
      <c r="E544" s="187"/>
      <c r="F544" s="187"/>
      <c r="G544" s="187"/>
      <c r="H544" s="187"/>
      <c r="I544" s="188"/>
      <c r="J544" s="187"/>
      <c r="K544" s="187"/>
      <c r="L544" s="187"/>
      <c r="M544" s="187"/>
      <c r="N544" s="128"/>
      <c r="O544" s="549"/>
      <c r="P544" s="550"/>
      <c r="Q544" s="550"/>
      <c r="R544" s="550"/>
      <c r="S544" s="550"/>
      <c r="T544" s="550"/>
      <c r="U544" s="550"/>
      <c r="V544" s="550"/>
      <c r="W544" s="550"/>
      <c r="X544" s="550"/>
      <c r="Y544" s="550"/>
      <c r="Z544" s="550"/>
      <c r="AA544" s="550"/>
      <c r="AB544" s="550"/>
      <c r="AC544" s="550"/>
      <c r="AD544" s="550"/>
      <c r="AE544" s="550"/>
      <c r="AF544" s="550"/>
      <c r="AG544" s="550"/>
      <c r="AH544" s="550"/>
      <c r="AI544" s="550"/>
      <c r="AJ544" s="550"/>
      <c r="AK544" s="550"/>
      <c r="AL544" s="550"/>
      <c r="AM544" s="550"/>
      <c r="AN544" s="550"/>
      <c r="AO544" s="550"/>
      <c r="AP544" s="550"/>
      <c r="AQ544" s="550"/>
      <c r="AR544" s="550"/>
      <c r="AS544" s="550"/>
      <c r="AT544" s="550"/>
      <c r="AU544" s="550"/>
      <c r="AV544" s="550"/>
      <c r="AW544" s="550"/>
      <c r="AX544" s="550"/>
      <c r="AY544" s="550"/>
      <c r="AZ544" s="550"/>
      <c r="BA544" s="551"/>
      <c r="BB544" s="128"/>
      <c r="BC544" s="115"/>
      <c r="BD544" s="115"/>
      <c r="BE544" s="115"/>
      <c r="BF544" s="115"/>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83"/>
      <c r="CN544" s="83"/>
      <c r="CO544" s="83"/>
      <c r="CP544" s="83"/>
      <c r="CQ544" s="83"/>
      <c r="CR544" s="83"/>
      <c r="CS544" s="83"/>
      <c r="CT544" s="83"/>
      <c r="CU544" s="83"/>
      <c r="CV544" s="83"/>
      <c r="CW544" s="83"/>
      <c r="CX544" s="83"/>
      <c r="CY544" s="83"/>
      <c r="CZ544" s="83"/>
      <c r="DA544" s="83"/>
      <c r="DB544" s="83"/>
      <c r="DC544" s="83"/>
      <c r="DD544" s="83"/>
      <c r="DE544" s="83"/>
      <c r="DF544" s="115"/>
      <c r="DG544" s="115"/>
    </row>
    <row r="545" spans="1:111" ht="9" customHeight="1">
      <c r="A545" s="128"/>
      <c r="B545" s="187"/>
      <c r="C545" s="187"/>
      <c r="D545" s="187"/>
      <c r="E545" s="187"/>
      <c r="F545" s="187"/>
      <c r="G545" s="187"/>
      <c r="H545" s="187"/>
      <c r="I545" s="188"/>
      <c r="J545" s="187"/>
      <c r="K545" s="187"/>
      <c r="L545" s="187"/>
      <c r="M545" s="187"/>
      <c r="N545" s="128"/>
      <c r="O545" s="552"/>
      <c r="P545" s="553"/>
      <c r="Q545" s="553"/>
      <c r="R545" s="553"/>
      <c r="S545" s="553"/>
      <c r="T545" s="553"/>
      <c r="U545" s="553"/>
      <c r="V545" s="553"/>
      <c r="W545" s="553"/>
      <c r="X545" s="553"/>
      <c r="Y545" s="553"/>
      <c r="Z545" s="553"/>
      <c r="AA545" s="553"/>
      <c r="AB545" s="553"/>
      <c r="AC545" s="553"/>
      <c r="AD545" s="553"/>
      <c r="AE545" s="553"/>
      <c r="AF545" s="553"/>
      <c r="AG545" s="553"/>
      <c r="AH545" s="553"/>
      <c r="AI545" s="553"/>
      <c r="AJ545" s="553"/>
      <c r="AK545" s="553"/>
      <c r="AL545" s="553"/>
      <c r="AM545" s="553"/>
      <c r="AN545" s="553"/>
      <c r="AO545" s="553"/>
      <c r="AP545" s="553"/>
      <c r="AQ545" s="553"/>
      <c r="AR545" s="553"/>
      <c r="AS545" s="553"/>
      <c r="AT545" s="553"/>
      <c r="AU545" s="553"/>
      <c r="AV545" s="553"/>
      <c r="AW545" s="553"/>
      <c r="AX545" s="553"/>
      <c r="AY545" s="553"/>
      <c r="AZ545" s="553"/>
      <c r="BA545" s="554"/>
      <c r="BB545" s="128"/>
      <c r="BC545" s="115"/>
      <c r="BD545" s="115"/>
      <c r="BE545" s="115"/>
      <c r="BF545" s="115"/>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c r="CC545" s="83"/>
      <c r="CD545" s="83"/>
      <c r="CE545" s="83"/>
      <c r="CF545" s="83"/>
      <c r="CG545" s="83"/>
      <c r="CH545" s="83"/>
      <c r="CI545" s="83"/>
      <c r="CJ545" s="83"/>
      <c r="CK545" s="83"/>
      <c r="CL545" s="83"/>
      <c r="CM545" s="83"/>
      <c r="CN545" s="83"/>
      <c r="CO545" s="83"/>
      <c r="CP545" s="83"/>
      <c r="CQ545" s="83"/>
      <c r="CR545" s="83"/>
      <c r="CS545" s="83"/>
      <c r="CT545" s="83"/>
      <c r="CU545" s="83"/>
      <c r="CV545" s="83"/>
      <c r="CW545" s="83"/>
      <c r="CX545" s="83"/>
      <c r="CY545" s="83"/>
      <c r="CZ545" s="83"/>
      <c r="DA545" s="83"/>
      <c r="DB545" s="83"/>
      <c r="DC545" s="83"/>
      <c r="DD545" s="83"/>
      <c r="DE545" s="83"/>
      <c r="DF545" s="115"/>
      <c r="DG545" s="115"/>
    </row>
    <row r="546" spans="1:111" ht="4.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15"/>
      <c r="BD546" s="115"/>
      <c r="BE546" s="115"/>
      <c r="BF546" s="115"/>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c r="CC546" s="83"/>
      <c r="CD546" s="83"/>
      <c r="CE546" s="83"/>
      <c r="CF546" s="83"/>
      <c r="CG546" s="83"/>
      <c r="CH546" s="83"/>
      <c r="CI546" s="83"/>
      <c r="CJ546" s="83"/>
      <c r="CK546" s="83"/>
      <c r="CL546" s="83"/>
      <c r="CM546" s="83"/>
      <c r="CN546" s="83"/>
      <c r="CO546" s="83"/>
      <c r="CP546" s="83"/>
      <c r="CQ546" s="83"/>
      <c r="CR546" s="83"/>
      <c r="CS546" s="83"/>
      <c r="CT546" s="83"/>
      <c r="CU546" s="83"/>
      <c r="CV546" s="83"/>
      <c r="CW546" s="83"/>
      <c r="CX546" s="83"/>
      <c r="CY546" s="83"/>
      <c r="CZ546" s="83"/>
      <c r="DA546" s="83"/>
      <c r="DB546" s="83"/>
      <c r="DC546" s="83"/>
      <c r="DD546" s="83"/>
      <c r="DE546" s="83"/>
      <c r="DF546" s="115"/>
      <c r="DG546" s="115"/>
    </row>
    <row r="547" spans="1:111" ht="9" customHeight="1">
      <c r="A547" s="128"/>
      <c r="B547" s="527" t="s">
        <v>457</v>
      </c>
      <c r="C547" s="527"/>
      <c r="D547" s="527"/>
      <c r="E547" s="527"/>
      <c r="F547" s="527"/>
      <c r="G547" s="527"/>
      <c r="H547" s="527"/>
      <c r="I547" s="527"/>
      <c r="J547" s="527"/>
      <c r="K547" s="527"/>
      <c r="L547" s="527"/>
      <c r="M547" s="527"/>
      <c r="N547" s="186"/>
      <c r="O547" s="546"/>
      <c r="P547" s="547"/>
      <c r="Q547" s="547"/>
      <c r="R547" s="547"/>
      <c r="S547" s="547"/>
      <c r="T547" s="547"/>
      <c r="U547" s="547"/>
      <c r="V547" s="547"/>
      <c r="W547" s="547"/>
      <c r="X547" s="547"/>
      <c r="Y547" s="547"/>
      <c r="Z547" s="547"/>
      <c r="AA547" s="547"/>
      <c r="AB547" s="547"/>
      <c r="AC547" s="547"/>
      <c r="AD547" s="547"/>
      <c r="AE547" s="547"/>
      <c r="AF547" s="547"/>
      <c r="AG547" s="547"/>
      <c r="AH547" s="547"/>
      <c r="AI547" s="547"/>
      <c r="AJ547" s="547"/>
      <c r="AK547" s="547"/>
      <c r="AL547" s="547"/>
      <c r="AM547" s="547"/>
      <c r="AN547" s="547"/>
      <c r="AO547" s="547"/>
      <c r="AP547" s="547"/>
      <c r="AQ547" s="547"/>
      <c r="AR547" s="547"/>
      <c r="AS547" s="547"/>
      <c r="AT547" s="547"/>
      <c r="AU547" s="547"/>
      <c r="AV547" s="547"/>
      <c r="AW547" s="547"/>
      <c r="AX547" s="547"/>
      <c r="AY547" s="547"/>
      <c r="AZ547" s="547"/>
      <c r="BA547" s="548"/>
      <c r="BB547" s="128"/>
      <c r="BC547" s="115"/>
      <c r="BD547" s="115"/>
      <c r="BE547" s="115"/>
      <c r="BF547" s="115"/>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c r="CC547" s="83"/>
      <c r="CD547" s="83"/>
      <c r="CE547" s="83"/>
      <c r="CF547" s="83"/>
      <c r="CG547" s="83"/>
      <c r="CH547" s="83"/>
      <c r="CI547" s="83"/>
      <c r="CJ547" s="83"/>
      <c r="CK547" s="83"/>
      <c r="CL547" s="83"/>
      <c r="CM547" s="83"/>
      <c r="CN547" s="83"/>
      <c r="CO547" s="83"/>
      <c r="CP547" s="83"/>
      <c r="CQ547" s="83"/>
      <c r="CR547" s="83"/>
      <c r="CS547" s="83"/>
      <c r="CT547" s="83"/>
      <c r="CU547" s="83"/>
      <c r="CV547" s="83"/>
      <c r="CW547" s="83"/>
      <c r="CX547" s="83"/>
      <c r="CY547" s="83"/>
      <c r="CZ547" s="83"/>
      <c r="DA547" s="83"/>
      <c r="DB547" s="83"/>
      <c r="DC547" s="83"/>
      <c r="DD547" s="83"/>
      <c r="DE547" s="83"/>
      <c r="DF547" s="115"/>
      <c r="DG547" s="115"/>
    </row>
    <row r="548" spans="1:111" ht="9" customHeight="1">
      <c r="A548" s="128"/>
      <c r="B548" s="527"/>
      <c r="C548" s="527"/>
      <c r="D548" s="527"/>
      <c r="E548" s="527"/>
      <c r="F548" s="527"/>
      <c r="G548" s="527"/>
      <c r="H548" s="527"/>
      <c r="I548" s="527"/>
      <c r="J548" s="527"/>
      <c r="K548" s="527"/>
      <c r="L548" s="527"/>
      <c r="M548" s="527"/>
      <c r="N548" s="186"/>
      <c r="O548" s="549"/>
      <c r="P548" s="550"/>
      <c r="Q548" s="550"/>
      <c r="R548" s="550"/>
      <c r="S548" s="550"/>
      <c r="T548" s="550"/>
      <c r="U548" s="550"/>
      <c r="V548" s="550"/>
      <c r="W548" s="550"/>
      <c r="X548" s="550"/>
      <c r="Y548" s="550"/>
      <c r="Z548" s="550"/>
      <c r="AA548" s="550"/>
      <c r="AB548" s="550"/>
      <c r="AC548" s="550"/>
      <c r="AD548" s="550"/>
      <c r="AE548" s="550"/>
      <c r="AF548" s="550"/>
      <c r="AG548" s="550"/>
      <c r="AH548" s="550"/>
      <c r="AI548" s="550"/>
      <c r="AJ548" s="550"/>
      <c r="AK548" s="550"/>
      <c r="AL548" s="550"/>
      <c r="AM548" s="550"/>
      <c r="AN548" s="550"/>
      <c r="AO548" s="550"/>
      <c r="AP548" s="550"/>
      <c r="AQ548" s="550"/>
      <c r="AR548" s="550"/>
      <c r="AS548" s="550"/>
      <c r="AT548" s="550"/>
      <c r="AU548" s="550"/>
      <c r="AV548" s="550"/>
      <c r="AW548" s="550"/>
      <c r="AX548" s="550"/>
      <c r="AY548" s="550"/>
      <c r="AZ548" s="550"/>
      <c r="BA548" s="551"/>
      <c r="BB548" s="128"/>
      <c r="BC548" s="115"/>
      <c r="BD548" s="115"/>
      <c r="BE548" s="115"/>
      <c r="BF548" s="115"/>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83"/>
      <c r="CN548" s="83"/>
      <c r="CO548" s="83"/>
      <c r="CP548" s="83"/>
      <c r="CQ548" s="83"/>
      <c r="CR548" s="83"/>
      <c r="CS548" s="83"/>
      <c r="CT548" s="83"/>
      <c r="CU548" s="83"/>
      <c r="CV548" s="83"/>
      <c r="CW548" s="83"/>
      <c r="CX548" s="83"/>
      <c r="CY548" s="83"/>
      <c r="CZ548" s="83"/>
      <c r="DA548" s="83"/>
      <c r="DB548" s="83"/>
      <c r="DC548" s="83"/>
      <c r="DD548" s="83"/>
      <c r="DE548" s="83"/>
      <c r="DF548" s="115"/>
      <c r="DG548" s="115"/>
    </row>
    <row r="549" spans="1:111" ht="9" customHeight="1">
      <c r="A549" s="128"/>
      <c r="B549" s="187"/>
      <c r="C549" s="187"/>
      <c r="D549" s="187"/>
      <c r="E549" s="187"/>
      <c r="F549" s="187"/>
      <c r="G549" s="187"/>
      <c r="H549" s="187"/>
      <c r="I549" s="188"/>
      <c r="J549" s="187"/>
      <c r="K549" s="187"/>
      <c r="L549" s="187"/>
      <c r="M549" s="187"/>
      <c r="N549" s="128"/>
      <c r="O549" s="549"/>
      <c r="P549" s="550"/>
      <c r="Q549" s="550"/>
      <c r="R549" s="550"/>
      <c r="S549" s="550"/>
      <c r="T549" s="550"/>
      <c r="U549" s="550"/>
      <c r="V549" s="550"/>
      <c r="W549" s="550"/>
      <c r="X549" s="550"/>
      <c r="Y549" s="550"/>
      <c r="Z549" s="550"/>
      <c r="AA549" s="550"/>
      <c r="AB549" s="550"/>
      <c r="AC549" s="550"/>
      <c r="AD549" s="550"/>
      <c r="AE549" s="550"/>
      <c r="AF549" s="550"/>
      <c r="AG549" s="550"/>
      <c r="AH549" s="550"/>
      <c r="AI549" s="550"/>
      <c r="AJ549" s="550"/>
      <c r="AK549" s="550"/>
      <c r="AL549" s="550"/>
      <c r="AM549" s="550"/>
      <c r="AN549" s="550"/>
      <c r="AO549" s="550"/>
      <c r="AP549" s="550"/>
      <c r="AQ549" s="550"/>
      <c r="AR549" s="550"/>
      <c r="AS549" s="550"/>
      <c r="AT549" s="550"/>
      <c r="AU549" s="550"/>
      <c r="AV549" s="550"/>
      <c r="AW549" s="550"/>
      <c r="AX549" s="550"/>
      <c r="AY549" s="550"/>
      <c r="AZ549" s="550"/>
      <c r="BA549" s="551"/>
      <c r="BB549" s="128"/>
      <c r="BC549" s="115"/>
      <c r="BD549" s="115"/>
      <c r="BE549" s="115"/>
      <c r="BF549" s="115"/>
      <c r="BG549" s="83"/>
      <c r="BH549" s="83"/>
      <c r="BI549" s="83"/>
      <c r="BJ549" s="83"/>
      <c r="BK549" s="83"/>
      <c r="BL549" s="83"/>
      <c r="BM549" s="83"/>
      <c r="BN549" s="83"/>
      <c r="BO549" s="83"/>
      <c r="BP549" s="83"/>
      <c r="BQ549" s="83"/>
      <c r="BR549" s="83"/>
      <c r="BS549" s="83"/>
      <c r="BT549" s="83"/>
      <c r="BU549" s="83"/>
      <c r="BV549" s="83"/>
      <c r="BW549" s="83"/>
      <c r="BX549" s="83"/>
      <c r="BY549" s="83"/>
      <c r="BZ549" s="83"/>
      <c r="CA549" s="83"/>
      <c r="CB549" s="83"/>
      <c r="CC549" s="83"/>
      <c r="CD549" s="83"/>
      <c r="CE549" s="83"/>
      <c r="CF549" s="83"/>
      <c r="CG549" s="83"/>
      <c r="CH549" s="83"/>
      <c r="CI549" s="83"/>
      <c r="CJ549" s="83"/>
      <c r="CK549" s="83"/>
      <c r="CL549" s="83"/>
      <c r="CM549" s="83"/>
      <c r="CN549" s="83"/>
      <c r="CO549" s="83"/>
      <c r="CP549" s="83"/>
      <c r="CQ549" s="83"/>
      <c r="CR549" s="83"/>
      <c r="CS549" s="83"/>
      <c r="CT549" s="83"/>
      <c r="CU549" s="83"/>
      <c r="CV549" s="83"/>
      <c r="CW549" s="83"/>
      <c r="CX549" s="83"/>
      <c r="CY549" s="83"/>
      <c r="CZ549" s="83"/>
      <c r="DA549" s="83"/>
      <c r="DB549" s="83"/>
      <c r="DC549" s="83"/>
      <c r="DD549" s="83"/>
      <c r="DE549" s="83"/>
      <c r="DF549" s="115"/>
      <c r="DG549" s="115"/>
    </row>
    <row r="550" spans="1:111" ht="9" customHeight="1">
      <c r="A550" s="128"/>
      <c r="B550" s="187"/>
      <c r="C550" s="187"/>
      <c r="D550" s="187"/>
      <c r="E550" s="187"/>
      <c r="F550" s="187"/>
      <c r="G550" s="187"/>
      <c r="H550" s="187"/>
      <c r="I550" s="188"/>
      <c r="J550" s="187"/>
      <c r="K550" s="187"/>
      <c r="L550" s="187"/>
      <c r="M550" s="187"/>
      <c r="N550" s="128"/>
      <c r="O550" s="552"/>
      <c r="P550" s="553"/>
      <c r="Q550" s="553"/>
      <c r="R550" s="553"/>
      <c r="S550" s="553"/>
      <c r="T550" s="553"/>
      <c r="U550" s="553"/>
      <c r="V550" s="553"/>
      <c r="W550" s="553"/>
      <c r="X550" s="553"/>
      <c r="Y550" s="553"/>
      <c r="Z550" s="553"/>
      <c r="AA550" s="553"/>
      <c r="AB550" s="553"/>
      <c r="AC550" s="553"/>
      <c r="AD550" s="553"/>
      <c r="AE550" s="553"/>
      <c r="AF550" s="553"/>
      <c r="AG550" s="553"/>
      <c r="AH550" s="553"/>
      <c r="AI550" s="553"/>
      <c r="AJ550" s="553"/>
      <c r="AK550" s="553"/>
      <c r="AL550" s="553"/>
      <c r="AM550" s="553"/>
      <c r="AN550" s="553"/>
      <c r="AO550" s="553"/>
      <c r="AP550" s="553"/>
      <c r="AQ550" s="553"/>
      <c r="AR550" s="553"/>
      <c r="AS550" s="553"/>
      <c r="AT550" s="553"/>
      <c r="AU550" s="553"/>
      <c r="AV550" s="553"/>
      <c r="AW550" s="553"/>
      <c r="AX550" s="553"/>
      <c r="AY550" s="553"/>
      <c r="AZ550" s="553"/>
      <c r="BA550" s="554"/>
      <c r="BB550" s="128"/>
      <c r="BC550" s="115"/>
      <c r="BD550" s="115"/>
      <c r="BE550" s="115"/>
      <c r="BF550" s="115"/>
      <c r="BG550" s="83"/>
      <c r="BH550" s="83"/>
      <c r="BI550" s="83"/>
      <c r="BJ550" s="83"/>
      <c r="BK550" s="83"/>
      <c r="BL550" s="83"/>
      <c r="BM550" s="83"/>
      <c r="BN550" s="83"/>
      <c r="BO550" s="83"/>
      <c r="BP550" s="83"/>
      <c r="BQ550" s="83"/>
      <c r="BR550" s="83"/>
      <c r="BS550" s="83"/>
      <c r="BT550" s="83"/>
      <c r="BU550" s="83"/>
      <c r="BV550" s="83"/>
      <c r="BW550" s="83"/>
      <c r="BX550" s="83"/>
      <c r="BY550" s="83"/>
      <c r="BZ550" s="83"/>
      <c r="CA550" s="83"/>
      <c r="CB550" s="83"/>
      <c r="CC550" s="83"/>
      <c r="CD550" s="83"/>
      <c r="CE550" s="83"/>
      <c r="CF550" s="83"/>
      <c r="CG550" s="83"/>
      <c r="CH550" s="83"/>
      <c r="CI550" s="83"/>
      <c r="CJ550" s="83"/>
      <c r="CK550" s="83"/>
      <c r="CL550" s="83"/>
      <c r="CM550" s="83"/>
      <c r="CN550" s="83"/>
      <c r="CO550" s="83"/>
      <c r="CP550" s="83"/>
      <c r="CQ550" s="83"/>
      <c r="CR550" s="83"/>
      <c r="CS550" s="83"/>
      <c r="CT550" s="83"/>
      <c r="CU550" s="83"/>
      <c r="CV550" s="83"/>
      <c r="CW550" s="83"/>
      <c r="CX550" s="83"/>
      <c r="CY550" s="83"/>
      <c r="CZ550" s="83"/>
      <c r="DA550" s="83"/>
      <c r="DB550" s="83"/>
      <c r="DC550" s="83"/>
      <c r="DD550" s="83"/>
      <c r="DE550" s="83"/>
      <c r="DF550" s="115"/>
      <c r="DG550" s="115"/>
    </row>
    <row r="551" spans="1:111" ht="18"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15"/>
      <c r="BD551" s="115"/>
      <c r="BE551" s="115"/>
      <c r="BF551" s="115"/>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c r="CC551" s="83"/>
      <c r="CD551" s="83"/>
      <c r="CE551" s="83"/>
      <c r="CF551" s="83"/>
      <c r="CG551" s="83"/>
      <c r="CH551" s="83"/>
      <c r="CI551" s="83"/>
      <c r="CJ551" s="83"/>
      <c r="CK551" s="83"/>
      <c r="CL551" s="83"/>
      <c r="CM551" s="83"/>
      <c r="CN551" s="83"/>
      <c r="CO551" s="83"/>
      <c r="CP551" s="83"/>
      <c r="CQ551" s="83"/>
      <c r="CR551" s="83"/>
      <c r="CS551" s="83"/>
      <c r="CT551" s="83"/>
      <c r="CU551" s="83"/>
      <c r="CV551" s="83"/>
      <c r="CW551" s="83"/>
      <c r="CX551" s="83"/>
      <c r="CY551" s="83"/>
      <c r="CZ551" s="83"/>
      <c r="DA551" s="83"/>
      <c r="DB551" s="83"/>
      <c r="DC551" s="83"/>
      <c r="DD551" s="83"/>
      <c r="DE551" s="83"/>
      <c r="DF551" s="115"/>
      <c r="DG551" s="115"/>
    </row>
    <row r="552" spans="1:111" ht="9" customHeight="1">
      <c r="A552" s="128"/>
      <c r="B552" s="525" t="s">
        <v>462</v>
      </c>
      <c r="C552" s="525"/>
      <c r="D552" s="525"/>
      <c r="E552" s="525"/>
      <c r="F552" s="525"/>
      <c r="G552" s="525"/>
      <c r="H552" s="525"/>
      <c r="I552" s="525"/>
      <c r="J552" s="525"/>
      <c r="K552" s="525"/>
      <c r="L552" s="525"/>
      <c r="M552" s="525"/>
      <c r="N552" s="525"/>
      <c r="O552" s="525"/>
      <c r="P552" s="525"/>
      <c r="Q552" s="525"/>
      <c r="R552" s="525"/>
      <c r="S552" s="525"/>
      <c r="T552" s="525"/>
      <c r="U552" s="525"/>
      <c r="V552" s="525"/>
      <c r="W552" s="525"/>
      <c r="X552" s="525"/>
      <c r="Y552" s="525"/>
      <c r="Z552" s="525"/>
      <c r="AA552" s="525"/>
      <c r="AB552" s="525"/>
      <c r="AC552" s="525"/>
      <c r="AD552" s="525"/>
      <c r="AE552" s="525"/>
      <c r="AF552" s="525"/>
      <c r="AG552" s="525"/>
      <c r="AH552" s="525"/>
      <c r="AI552" s="525"/>
      <c r="AJ552" s="525"/>
      <c r="AK552" s="525"/>
      <c r="AL552" s="525"/>
      <c r="AM552" s="525"/>
      <c r="AN552" s="525"/>
      <c r="AO552" s="525"/>
      <c r="AP552" s="525"/>
      <c r="AQ552" s="525"/>
      <c r="AR552" s="525"/>
      <c r="AS552" s="525"/>
      <c r="AT552" s="525"/>
      <c r="AU552" s="525"/>
      <c r="AV552" s="525"/>
      <c r="AW552" s="525"/>
      <c r="AX552" s="525"/>
      <c r="AY552" s="525"/>
      <c r="AZ552" s="525"/>
      <c r="BA552" s="525"/>
      <c r="BB552" s="128"/>
      <c r="BC552" s="115"/>
      <c r="BD552" s="115"/>
      <c r="BE552" s="115"/>
      <c r="BF552" s="115"/>
      <c r="BG552" s="83"/>
      <c r="BH552" s="83"/>
      <c r="BI552" s="83"/>
      <c r="BJ552" s="83"/>
      <c r="BK552" s="83"/>
      <c r="BL552" s="83"/>
      <c r="BM552" s="83"/>
      <c r="BN552" s="83"/>
      <c r="BO552" s="83"/>
      <c r="BP552" s="83"/>
      <c r="BQ552" s="83"/>
      <c r="BR552" s="83"/>
      <c r="BS552" s="83"/>
      <c r="BT552" s="83"/>
      <c r="BU552" s="83"/>
      <c r="BV552" s="83"/>
      <c r="BW552" s="83"/>
      <c r="BX552" s="83"/>
      <c r="BY552" s="83"/>
      <c r="BZ552" s="83"/>
      <c r="CA552" s="83"/>
      <c r="CB552" s="83"/>
      <c r="CC552" s="83"/>
      <c r="CD552" s="83"/>
      <c r="CE552" s="83"/>
      <c r="CF552" s="83"/>
      <c r="CG552" s="83"/>
      <c r="CH552" s="83"/>
      <c r="CI552" s="83"/>
      <c r="CJ552" s="83"/>
      <c r="CK552" s="83"/>
      <c r="CL552" s="83"/>
      <c r="CM552" s="83"/>
      <c r="CN552" s="83"/>
      <c r="CO552" s="83"/>
      <c r="CP552" s="83"/>
      <c r="CQ552" s="83"/>
      <c r="CR552" s="83"/>
      <c r="CS552" s="83"/>
      <c r="CT552" s="83"/>
      <c r="CU552" s="83"/>
      <c r="CV552" s="83"/>
      <c r="CW552" s="83"/>
      <c r="CX552" s="83"/>
      <c r="CY552" s="83"/>
      <c r="CZ552" s="83"/>
      <c r="DA552" s="83"/>
      <c r="DB552" s="83"/>
      <c r="DC552" s="83"/>
      <c r="DD552" s="83"/>
      <c r="DE552" s="83"/>
      <c r="DF552" s="115"/>
      <c r="DG552" s="115"/>
    </row>
    <row r="553" spans="1:111" ht="9" customHeight="1">
      <c r="A553" s="128"/>
      <c r="B553" s="526"/>
      <c r="C553" s="526"/>
      <c r="D553" s="526"/>
      <c r="E553" s="526"/>
      <c r="F553" s="526"/>
      <c r="G553" s="526"/>
      <c r="H553" s="526"/>
      <c r="I553" s="526"/>
      <c r="J553" s="526"/>
      <c r="K553" s="526"/>
      <c r="L553" s="526"/>
      <c r="M553" s="526"/>
      <c r="N553" s="526"/>
      <c r="O553" s="526"/>
      <c r="P553" s="526"/>
      <c r="Q553" s="526"/>
      <c r="R553" s="526"/>
      <c r="S553" s="526"/>
      <c r="T553" s="526"/>
      <c r="U553" s="526"/>
      <c r="V553" s="526"/>
      <c r="W553" s="526"/>
      <c r="X553" s="526"/>
      <c r="Y553" s="526"/>
      <c r="Z553" s="526"/>
      <c r="AA553" s="526"/>
      <c r="AB553" s="526"/>
      <c r="AC553" s="526"/>
      <c r="AD553" s="526"/>
      <c r="AE553" s="526"/>
      <c r="AF553" s="526"/>
      <c r="AG553" s="526"/>
      <c r="AH553" s="526"/>
      <c r="AI553" s="526"/>
      <c r="AJ553" s="526"/>
      <c r="AK553" s="526"/>
      <c r="AL553" s="526"/>
      <c r="AM553" s="526"/>
      <c r="AN553" s="526"/>
      <c r="AO553" s="526"/>
      <c r="AP553" s="526"/>
      <c r="AQ553" s="526"/>
      <c r="AR553" s="526"/>
      <c r="AS553" s="526"/>
      <c r="AT553" s="526"/>
      <c r="AU553" s="526"/>
      <c r="AV553" s="526"/>
      <c r="AW553" s="526"/>
      <c r="AX553" s="526"/>
      <c r="AY553" s="526"/>
      <c r="AZ553" s="526"/>
      <c r="BA553" s="526"/>
      <c r="BB553" s="128"/>
      <c r="BC553" s="115"/>
      <c r="BD553" s="115"/>
      <c r="BE553" s="115"/>
      <c r="BF553" s="115"/>
      <c r="BG553" s="83"/>
      <c r="BH553" s="83"/>
      <c r="BI553" s="83"/>
      <c r="BJ553" s="83"/>
      <c r="BK553" s="83"/>
      <c r="BL553" s="83"/>
      <c r="BM553" s="83"/>
      <c r="BN553" s="83"/>
      <c r="BO553" s="83"/>
      <c r="BP553" s="83"/>
      <c r="BQ553" s="83"/>
      <c r="BR553" s="83"/>
      <c r="BS553" s="83"/>
      <c r="BT553" s="83"/>
      <c r="BU553" s="83"/>
      <c r="BV553" s="83"/>
      <c r="BW553" s="83"/>
      <c r="BX553" s="83"/>
      <c r="BY553" s="83"/>
      <c r="BZ553" s="83"/>
      <c r="CA553" s="83"/>
      <c r="CB553" s="83"/>
      <c r="CC553" s="83"/>
      <c r="CD553" s="83"/>
      <c r="CE553" s="83"/>
      <c r="CF553" s="83"/>
      <c r="CG553" s="83"/>
      <c r="CH553" s="83"/>
      <c r="CI553" s="83"/>
      <c r="CJ553" s="83"/>
      <c r="CK553" s="83"/>
      <c r="CL553" s="83"/>
      <c r="CM553" s="83"/>
      <c r="CN553" s="83"/>
      <c r="CO553" s="83"/>
      <c r="CP553" s="83"/>
      <c r="CQ553" s="83"/>
      <c r="CR553" s="83"/>
      <c r="CS553" s="83"/>
      <c r="CT553" s="83"/>
      <c r="CU553" s="83"/>
      <c r="CV553" s="83"/>
      <c r="CW553" s="83"/>
      <c r="CX553" s="83"/>
      <c r="CY553" s="83"/>
      <c r="CZ553" s="83"/>
      <c r="DA553" s="83"/>
      <c r="DB553" s="83"/>
      <c r="DC553" s="83"/>
      <c r="DD553" s="83"/>
      <c r="DE553" s="83"/>
      <c r="DF553" s="115"/>
      <c r="DG553" s="115"/>
    </row>
    <row r="554" spans="1:111" ht="4.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15"/>
      <c r="BD554" s="115"/>
      <c r="BE554" s="115"/>
      <c r="BF554" s="115"/>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c r="CC554" s="83"/>
      <c r="CD554" s="83"/>
      <c r="CE554" s="83"/>
      <c r="CF554" s="83"/>
      <c r="CG554" s="83"/>
      <c r="CH554" s="83"/>
      <c r="CI554" s="83"/>
      <c r="CJ554" s="83"/>
      <c r="CK554" s="83"/>
      <c r="CL554" s="83"/>
      <c r="CM554" s="83"/>
      <c r="CN554" s="83"/>
      <c r="CO554" s="83"/>
      <c r="CP554" s="83"/>
      <c r="CQ554" s="83"/>
      <c r="CR554" s="83"/>
      <c r="CS554" s="83"/>
      <c r="CT554" s="83"/>
      <c r="CU554" s="83"/>
      <c r="CV554" s="83"/>
      <c r="CW554" s="83"/>
      <c r="CX554" s="83"/>
      <c r="CY554" s="83"/>
      <c r="CZ554" s="83"/>
      <c r="DA554" s="83"/>
      <c r="DB554" s="83"/>
      <c r="DC554" s="83"/>
      <c r="DD554" s="83"/>
      <c r="DE554" s="83"/>
      <c r="DF554" s="115"/>
      <c r="DG554" s="115"/>
    </row>
    <row r="555" spans="1:111" ht="9" customHeight="1">
      <c r="A555" s="128"/>
      <c r="B555" s="527" t="s">
        <v>447</v>
      </c>
      <c r="C555" s="527"/>
      <c r="D555" s="527"/>
      <c r="E555" s="527"/>
      <c r="F555" s="527"/>
      <c r="G555" s="527"/>
      <c r="H555" s="527"/>
      <c r="I555" s="527"/>
      <c r="J555" s="527"/>
      <c r="K555" s="527"/>
      <c r="L555" s="527"/>
      <c r="M555" s="527"/>
      <c r="N555" s="186"/>
      <c r="O555" s="546"/>
      <c r="P555" s="547"/>
      <c r="Q555" s="547"/>
      <c r="R555" s="547"/>
      <c r="S555" s="547"/>
      <c r="T555" s="547"/>
      <c r="U555" s="547"/>
      <c r="V555" s="547"/>
      <c r="W555" s="547"/>
      <c r="X555" s="547"/>
      <c r="Y555" s="547"/>
      <c r="Z555" s="547"/>
      <c r="AA555" s="547"/>
      <c r="AB555" s="547"/>
      <c r="AC555" s="547"/>
      <c r="AD555" s="547"/>
      <c r="AE555" s="547"/>
      <c r="AF555" s="547"/>
      <c r="AG555" s="547"/>
      <c r="AH555" s="547"/>
      <c r="AI555" s="547"/>
      <c r="AJ555" s="547"/>
      <c r="AK555" s="547"/>
      <c r="AL555" s="547"/>
      <c r="AM555" s="547"/>
      <c r="AN555" s="547"/>
      <c r="AO555" s="547"/>
      <c r="AP555" s="547"/>
      <c r="AQ555" s="547"/>
      <c r="AR555" s="547"/>
      <c r="AS555" s="547"/>
      <c r="AT555" s="547"/>
      <c r="AU555" s="547"/>
      <c r="AV555" s="547"/>
      <c r="AW555" s="547"/>
      <c r="AX555" s="547"/>
      <c r="AY555" s="547"/>
      <c r="AZ555" s="547"/>
      <c r="BA555" s="548"/>
      <c r="BB555" s="128"/>
      <c r="BC555" s="115"/>
      <c r="BD555" s="115"/>
      <c r="BE555" s="115"/>
      <c r="BF555" s="115"/>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c r="CC555" s="83"/>
      <c r="CD555" s="83"/>
      <c r="CE555" s="83"/>
      <c r="CF555" s="83"/>
      <c r="CG555" s="83"/>
      <c r="CH555" s="83"/>
      <c r="CI555" s="83"/>
      <c r="CJ555" s="83"/>
      <c r="CK555" s="83"/>
      <c r="CL555" s="83"/>
      <c r="CM555" s="83"/>
      <c r="CN555" s="83"/>
      <c r="CO555" s="83"/>
      <c r="CP555" s="83"/>
      <c r="CQ555" s="83"/>
      <c r="CR555" s="83"/>
      <c r="CS555" s="83"/>
      <c r="CT555" s="83"/>
      <c r="CU555" s="83"/>
      <c r="CV555" s="83"/>
      <c r="CW555" s="83"/>
      <c r="CX555" s="83"/>
      <c r="CY555" s="83"/>
      <c r="CZ555" s="83"/>
      <c r="DA555" s="83"/>
      <c r="DB555" s="83"/>
      <c r="DC555" s="83"/>
      <c r="DD555" s="83"/>
      <c r="DE555" s="83"/>
      <c r="DF555" s="115"/>
      <c r="DG555" s="115"/>
    </row>
    <row r="556" spans="1:111" ht="9" customHeight="1">
      <c r="A556" s="128"/>
      <c r="B556" s="527"/>
      <c r="C556" s="527"/>
      <c r="D556" s="527"/>
      <c r="E556" s="527"/>
      <c r="F556" s="527"/>
      <c r="G556" s="527"/>
      <c r="H556" s="527"/>
      <c r="I556" s="527"/>
      <c r="J556" s="527"/>
      <c r="K556" s="527"/>
      <c r="L556" s="527"/>
      <c r="M556" s="527"/>
      <c r="N556" s="186"/>
      <c r="O556" s="549"/>
      <c r="P556" s="550"/>
      <c r="Q556" s="550"/>
      <c r="R556" s="550"/>
      <c r="S556" s="550"/>
      <c r="T556" s="550"/>
      <c r="U556" s="550"/>
      <c r="V556" s="550"/>
      <c r="W556" s="550"/>
      <c r="X556" s="550"/>
      <c r="Y556" s="550"/>
      <c r="Z556" s="550"/>
      <c r="AA556" s="550"/>
      <c r="AB556" s="550"/>
      <c r="AC556" s="550"/>
      <c r="AD556" s="550"/>
      <c r="AE556" s="550"/>
      <c r="AF556" s="550"/>
      <c r="AG556" s="550"/>
      <c r="AH556" s="550"/>
      <c r="AI556" s="550"/>
      <c r="AJ556" s="550"/>
      <c r="AK556" s="550"/>
      <c r="AL556" s="550"/>
      <c r="AM556" s="550"/>
      <c r="AN556" s="550"/>
      <c r="AO556" s="550"/>
      <c r="AP556" s="550"/>
      <c r="AQ556" s="550"/>
      <c r="AR556" s="550"/>
      <c r="AS556" s="550"/>
      <c r="AT556" s="550"/>
      <c r="AU556" s="550"/>
      <c r="AV556" s="550"/>
      <c r="AW556" s="550"/>
      <c r="AX556" s="550"/>
      <c r="AY556" s="550"/>
      <c r="AZ556" s="550"/>
      <c r="BA556" s="551"/>
      <c r="BB556" s="128"/>
      <c r="BC556" s="115"/>
      <c r="BD556" s="115"/>
      <c r="BE556" s="115"/>
      <c r="BF556" s="115"/>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83"/>
      <c r="CN556" s="83"/>
      <c r="CO556" s="83"/>
      <c r="CP556" s="83"/>
      <c r="CQ556" s="83"/>
      <c r="CR556" s="83"/>
      <c r="CS556" s="83"/>
      <c r="CT556" s="83"/>
      <c r="CU556" s="83"/>
      <c r="CV556" s="83"/>
      <c r="CW556" s="83"/>
      <c r="CX556" s="83"/>
      <c r="CY556" s="83"/>
      <c r="CZ556" s="83"/>
      <c r="DA556" s="83"/>
      <c r="DB556" s="83"/>
      <c r="DC556" s="83"/>
      <c r="DD556" s="83"/>
      <c r="DE556" s="83"/>
      <c r="DF556" s="115"/>
      <c r="DG556" s="115"/>
    </row>
    <row r="557" spans="1:111" ht="9" customHeight="1">
      <c r="A557" s="128"/>
      <c r="B557" s="187"/>
      <c r="C557" s="187"/>
      <c r="D557" s="187"/>
      <c r="E557" s="187"/>
      <c r="F557" s="187"/>
      <c r="G557" s="187"/>
      <c r="H557" s="187"/>
      <c r="I557" s="188"/>
      <c r="J557" s="187"/>
      <c r="K557" s="187"/>
      <c r="L557" s="187"/>
      <c r="M557" s="187"/>
      <c r="N557" s="128"/>
      <c r="O557" s="549"/>
      <c r="P557" s="550"/>
      <c r="Q557" s="550"/>
      <c r="R557" s="550"/>
      <c r="S557" s="550"/>
      <c r="T557" s="550"/>
      <c r="U557" s="550"/>
      <c r="V557" s="550"/>
      <c r="W557" s="550"/>
      <c r="X557" s="550"/>
      <c r="Y557" s="550"/>
      <c r="Z557" s="550"/>
      <c r="AA557" s="550"/>
      <c r="AB557" s="550"/>
      <c r="AC557" s="550"/>
      <c r="AD557" s="550"/>
      <c r="AE557" s="550"/>
      <c r="AF557" s="550"/>
      <c r="AG557" s="550"/>
      <c r="AH557" s="550"/>
      <c r="AI557" s="550"/>
      <c r="AJ557" s="550"/>
      <c r="AK557" s="550"/>
      <c r="AL557" s="550"/>
      <c r="AM557" s="550"/>
      <c r="AN557" s="550"/>
      <c r="AO557" s="550"/>
      <c r="AP557" s="550"/>
      <c r="AQ557" s="550"/>
      <c r="AR557" s="550"/>
      <c r="AS557" s="550"/>
      <c r="AT557" s="550"/>
      <c r="AU557" s="550"/>
      <c r="AV557" s="550"/>
      <c r="AW557" s="550"/>
      <c r="AX557" s="550"/>
      <c r="AY557" s="550"/>
      <c r="AZ557" s="550"/>
      <c r="BA557" s="551"/>
      <c r="BB557" s="128"/>
      <c r="BC557" s="115"/>
      <c r="BD557" s="115"/>
      <c r="BE557" s="115"/>
      <c r="BF557" s="115"/>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c r="CC557" s="83"/>
      <c r="CD557" s="83"/>
      <c r="CE557" s="83"/>
      <c r="CF557" s="83"/>
      <c r="CG557" s="83"/>
      <c r="CH557" s="83"/>
      <c r="CI557" s="83"/>
      <c r="CJ557" s="83"/>
      <c r="CK557" s="83"/>
      <c r="CL557" s="83"/>
      <c r="CM557" s="83"/>
      <c r="CN557" s="83"/>
      <c r="CO557" s="83"/>
      <c r="CP557" s="83"/>
      <c r="CQ557" s="83"/>
      <c r="CR557" s="83"/>
      <c r="CS557" s="83"/>
      <c r="CT557" s="83"/>
      <c r="CU557" s="83"/>
      <c r="CV557" s="83"/>
      <c r="CW557" s="83"/>
      <c r="CX557" s="83"/>
      <c r="CY557" s="83"/>
      <c r="CZ557" s="83"/>
      <c r="DA557" s="83"/>
      <c r="DB557" s="83"/>
      <c r="DC557" s="83"/>
      <c r="DD557" s="83"/>
      <c r="DE557" s="83"/>
      <c r="DF557" s="115"/>
      <c r="DG557" s="115"/>
    </row>
    <row r="558" spans="1:111" ht="9" customHeight="1">
      <c r="A558" s="128"/>
      <c r="B558" s="187"/>
      <c r="C558" s="187"/>
      <c r="D558" s="187"/>
      <c r="E558" s="187"/>
      <c r="F558" s="187"/>
      <c r="G558" s="187"/>
      <c r="H558" s="187"/>
      <c r="I558" s="188"/>
      <c r="J558" s="187"/>
      <c r="K558" s="187"/>
      <c r="L558" s="187"/>
      <c r="M558" s="187"/>
      <c r="N558" s="128"/>
      <c r="O558" s="552"/>
      <c r="P558" s="553"/>
      <c r="Q558" s="553"/>
      <c r="R558" s="553"/>
      <c r="S558" s="553"/>
      <c r="T558" s="553"/>
      <c r="U558" s="553"/>
      <c r="V558" s="553"/>
      <c r="W558" s="553"/>
      <c r="X558" s="553"/>
      <c r="Y558" s="553"/>
      <c r="Z558" s="553"/>
      <c r="AA558" s="553"/>
      <c r="AB558" s="553"/>
      <c r="AC558" s="553"/>
      <c r="AD558" s="553"/>
      <c r="AE558" s="553"/>
      <c r="AF558" s="553"/>
      <c r="AG558" s="553"/>
      <c r="AH558" s="553"/>
      <c r="AI558" s="553"/>
      <c r="AJ558" s="553"/>
      <c r="AK558" s="553"/>
      <c r="AL558" s="553"/>
      <c r="AM558" s="553"/>
      <c r="AN558" s="553"/>
      <c r="AO558" s="553"/>
      <c r="AP558" s="553"/>
      <c r="AQ558" s="553"/>
      <c r="AR558" s="553"/>
      <c r="AS558" s="553"/>
      <c r="AT558" s="553"/>
      <c r="AU558" s="553"/>
      <c r="AV558" s="553"/>
      <c r="AW558" s="553"/>
      <c r="AX558" s="553"/>
      <c r="AY558" s="553"/>
      <c r="AZ558" s="553"/>
      <c r="BA558" s="554"/>
      <c r="BB558" s="128"/>
      <c r="BC558" s="115"/>
      <c r="BD558" s="115"/>
      <c r="BE558" s="115"/>
      <c r="BF558" s="115"/>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83"/>
      <c r="CN558" s="83"/>
      <c r="CO558" s="83"/>
      <c r="CP558" s="83"/>
      <c r="CQ558" s="83"/>
      <c r="CR558" s="83"/>
      <c r="CS558" s="83"/>
      <c r="CT558" s="83"/>
      <c r="CU558" s="83"/>
      <c r="CV558" s="83"/>
      <c r="CW558" s="83"/>
      <c r="CX558" s="83"/>
      <c r="CY558" s="83"/>
      <c r="CZ558" s="83"/>
      <c r="DA558" s="83"/>
      <c r="DB558" s="83"/>
      <c r="DC558" s="83"/>
      <c r="DD558" s="83"/>
      <c r="DE558" s="83"/>
      <c r="DF558" s="115"/>
      <c r="DG558" s="115"/>
    </row>
    <row r="559" spans="1:111" ht="4.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15"/>
      <c r="BD559" s="115"/>
      <c r="BE559" s="115"/>
      <c r="BF559" s="115"/>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c r="CC559" s="83"/>
      <c r="CD559" s="83"/>
      <c r="CE559" s="83"/>
      <c r="CF559" s="83"/>
      <c r="CG559" s="83"/>
      <c r="CH559" s="83"/>
      <c r="CI559" s="83"/>
      <c r="CJ559" s="83"/>
      <c r="CK559" s="83"/>
      <c r="CL559" s="83"/>
      <c r="CM559" s="83"/>
      <c r="CN559" s="83"/>
      <c r="CO559" s="83"/>
      <c r="CP559" s="83"/>
      <c r="CQ559" s="83"/>
      <c r="CR559" s="83"/>
      <c r="CS559" s="83"/>
      <c r="CT559" s="83"/>
      <c r="CU559" s="83"/>
      <c r="CV559" s="83"/>
      <c r="CW559" s="83"/>
      <c r="CX559" s="83"/>
      <c r="CY559" s="83"/>
      <c r="CZ559" s="83"/>
      <c r="DA559" s="83"/>
      <c r="DB559" s="83"/>
      <c r="DC559" s="83"/>
      <c r="DD559" s="83"/>
      <c r="DE559" s="83"/>
      <c r="DF559" s="115"/>
      <c r="DG559" s="115"/>
    </row>
    <row r="560" spans="1:111" ht="9" customHeight="1">
      <c r="A560" s="128"/>
      <c r="B560" s="527" t="s">
        <v>448</v>
      </c>
      <c r="C560" s="527"/>
      <c r="D560" s="527"/>
      <c r="E560" s="527"/>
      <c r="F560" s="527"/>
      <c r="G560" s="527"/>
      <c r="H560" s="527"/>
      <c r="I560" s="527"/>
      <c r="J560" s="527"/>
      <c r="K560" s="527"/>
      <c r="L560" s="527"/>
      <c r="M560" s="527"/>
      <c r="N560" s="186"/>
      <c r="O560" s="528"/>
      <c r="P560" s="529"/>
      <c r="Q560" s="529"/>
      <c r="R560" s="529"/>
      <c r="S560" s="529"/>
      <c r="T560" s="529"/>
      <c r="U560" s="529"/>
      <c r="V560" s="529"/>
      <c r="W560" s="529"/>
      <c r="X560" s="529"/>
      <c r="Y560" s="529"/>
      <c r="Z560" s="530"/>
      <c r="AA560" s="128"/>
      <c r="AB560" s="128"/>
      <c r="AC560" s="527" t="s">
        <v>449</v>
      </c>
      <c r="AD560" s="527"/>
      <c r="AE560" s="527"/>
      <c r="AF560" s="527"/>
      <c r="AG560" s="527"/>
      <c r="AH560" s="527"/>
      <c r="AI560" s="527"/>
      <c r="AJ560" s="527"/>
      <c r="AK560" s="527"/>
      <c r="AL560" s="527"/>
      <c r="AM560" s="527"/>
      <c r="AN560" s="527"/>
      <c r="AO560" s="128"/>
      <c r="AP560" s="528"/>
      <c r="AQ560" s="529"/>
      <c r="AR560" s="529"/>
      <c r="AS560" s="529"/>
      <c r="AT560" s="529"/>
      <c r="AU560" s="529"/>
      <c r="AV560" s="529"/>
      <c r="AW560" s="529"/>
      <c r="AX560" s="529"/>
      <c r="AY560" s="529"/>
      <c r="AZ560" s="529"/>
      <c r="BA560" s="530"/>
      <c r="BB560" s="128"/>
      <c r="BC560" s="115"/>
      <c r="BD560" s="115"/>
      <c r="BE560" s="115"/>
      <c r="BF560" s="115"/>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c r="CC560" s="83"/>
      <c r="CD560" s="83"/>
      <c r="CE560" s="83"/>
      <c r="CF560" s="83"/>
      <c r="CG560" s="83"/>
      <c r="CH560" s="83"/>
      <c r="CI560" s="83"/>
      <c r="CJ560" s="83"/>
      <c r="CK560" s="83"/>
      <c r="CL560" s="83"/>
      <c r="CM560" s="83"/>
      <c r="CN560" s="83"/>
      <c r="CO560" s="83"/>
      <c r="CP560" s="83"/>
      <c r="CQ560" s="83"/>
      <c r="CR560" s="83"/>
      <c r="CS560" s="83"/>
      <c r="CT560" s="83"/>
      <c r="CU560" s="83"/>
      <c r="CV560" s="83"/>
      <c r="CW560" s="83"/>
      <c r="CX560" s="83"/>
      <c r="CY560" s="83"/>
      <c r="CZ560" s="83"/>
      <c r="DA560" s="83"/>
      <c r="DB560" s="83"/>
      <c r="DC560" s="83"/>
      <c r="DD560" s="83"/>
      <c r="DE560" s="83"/>
      <c r="DF560" s="115"/>
      <c r="DG560" s="115"/>
    </row>
    <row r="561" spans="1:111" ht="9" customHeight="1">
      <c r="A561" s="128"/>
      <c r="B561" s="527"/>
      <c r="C561" s="527"/>
      <c r="D561" s="527"/>
      <c r="E561" s="527"/>
      <c r="F561" s="527"/>
      <c r="G561" s="527"/>
      <c r="H561" s="527"/>
      <c r="I561" s="527"/>
      <c r="J561" s="527"/>
      <c r="K561" s="527"/>
      <c r="L561" s="527"/>
      <c r="M561" s="527"/>
      <c r="N561" s="186"/>
      <c r="O561" s="531"/>
      <c r="P561" s="532"/>
      <c r="Q561" s="532"/>
      <c r="R561" s="532"/>
      <c r="S561" s="532"/>
      <c r="T561" s="532"/>
      <c r="U561" s="532"/>
      <c r="V561" s="532"/>
      <c r="W561" s="532"/>
      <c r="X561" s="532"/>
      <c r="Y561" s="532"/>
      <c r="Z561" s="533"/>
      <c r="AA561" s="128"/>
      <c r="AB561" s="128"/>
      <c r="AC561" s="527"/>
      <c r="AD561" s="527"/>
      <c r="AE561" s="527"/>
      <c r="AF561" s="527"/>
      <c r="AG561" s="527"/>
      <c r="AH561" s="527"/>
      <c r="AI561" s="527"/>
      <c r="AJ561" s="527"/>
      <c r="AK561" s="527"/>
      <c r="AL561" s="527"/>
      <c r="AM561" s="527"/>
      <c r="AN561" s="527"/>
      <c r="AO561" s="128"/>
      <c r="AP561" s="531"/>
      <c r="AQ561" s="532"/>
      <c r="AR561" s="532"/>
      <c r="AS561" s="532"/>
      <c r="AT561" s="532"/>
      <c r="AU561" s="532"/>
      <c r="AV561" s="532"/>
      <c r="AW561" s="532"/>
      <c r="AX561" s="532"/>
      <c r="AY561" s="532"/>
      <c r="AZ561" s="532"/>
      <c r="BA561" s="533"/>
      <c r="BB561" s="128"/>
      <c r="BC561" s="115"/>
      <c r="BD561" s="115"/>
      <c r="BE561" s="115"/>
      <c r="BF561" s="115"/>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c r="CC561" s="83"/>
      <c r="CD561" s="83"/>
      <c r="CE561" s="83"/>
      <c r="CF561" s="83"/>
      <c r="CG561" s="83"/>
      <c r="CH561" s="83"/>
      <c r="CI561" s="83"/>
      <c r="CJ561" s="83"/>
      <c r="CK561" s="83"/>
      <c r="CL561" s="83"/>
      <c r="CM561" s="83"/>
      <c r="CN561" s="83"/>
      <c r="CO561" s="83"/>
      <c r="CP561" s="83"/>
      <c r="CQ561" s="83"/>
      <c r="CR561" s="83"/>
      <c r="CS561" s="83"/>
      <c r="CT561" s="83"/>
      <c r="CU561" s="83"/>
      <c r="CV561" s="83"/>
      <c r="CW561" s="83"/>
      <c r="CX561" s="83"/>
      <c r="CY561" s="83"/>
      <c r="CZ561" s="83"/>
      <c r="DA561" s="83"/>
      <c r="DB561" s="83"/>
      <c r="DC561" s="83"/>
      <c r="DD561" s="83"/>
      <c r="DE561" s="83"/>
      <c r="DF561" s="115"/>
      <c r="DG561" s="115"/>
    </row>
    <row r="562" spans="1:111" ht="4.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8"/>
      <c r="AM562" s="128"/>
      <c r="AN562" s="128"/>
      <c r="AO562" s="128"/>
      <c r="AP562" s="128"/>
      <c r="AQ562" s="128"/>
      <c r="AR562" s="128"/>
      <c r="AS562" s="128"/>
      <c r="AT562" s="128"/>
      <c r="AU562" s="128"/>
      <c r="AV562" s="128"/>
      <c r="AW562" s="128"/>
      <c r="AX562" s="128"/>
      <c r="AY562" s="128"/>
      <c r="AZ562" s="128"/>
      <c r="BA562" s="128"/>
      <c r="BB562" s="128"/>
      <c r="BC562" s="115"/>
      <c r="BD562" s="115"/>
      <c r="BE562" s="115"/>
      <c r="BF562" s="115"/>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c r="CC562" s="83"/>
      <c r="CD562" s="83"/>
      <c r="CE562" s="83"/>
      <c r="CF562" s="83"/>
      <c r="CG562" s="83"/>
      <c r="CH562" s="83"/>
      <c r="CI562" s="83"/>
      <c r="CJ562" s="83"/>
      <c r="CK562" s="83"/>
      <c r="CL562" s="83"/>
      <c r="CM562" s="83"/>
      <c r="CN562" s="83"/>
      <c r="CO562" s="83"/>
      <c r="CP562" s="83"/>
      <c r="CQ562" s="83"/>
      <c r="CR562" s="83"/>
      <c r="CS562" s="83"/>
      <c r="CT562" s="83"/>
      <c r="CU562" s="83"/>
      <c r="CV562" s="83"/>
      <c r="CW562" s="83"/>
      <c r="CX562" s="83"/>
      <c r="CY562" s="83"/>
      <c r="CZ562" s="83"/>
      <c r="DA562" s="83"/>
      <c r="DB562" s="83"/>
      <c r="DC562" s="83"/>
      <c r="DD562" s="83"/>
      <c r="DE562" s="83"/>
      <c r="DF562" s="115"/>
      <c r="DG562" s="115"/>
    </row>
    <row r="563" spans="1:111" ht="9" customHeight="1">
      <c r="A563" s="128"/>
      <c r="B563" s="527" t="s">
        <v>450</v>
      </c>
      <c r="C563" s="527"/>
      <c r="D563" s="527"/>
      <c r="E563" s="527"/>
      <c r="F563" s="527"/>
      <c r="G563" s="527"/>
      <c r="H563" s="527"/>
      <c r="I563" s="527"/>
      <c r="J563" s="527"/>
      <c r="K563" s="527"/>
      <c r="L563" s="527"/>
      <c r="M563" s="527"/>
      <c r="N563" s="186"/>
      <c r="O563" s="528"/>
      <c r="P563" s="529"/>
      <c r="Q563" s="529"/>
      <c r="R563" s="529"/>
      <c r="S563" s="529"/>
      <c r="T563" s="529"/>
      <c r="U563" s="529"/>
      <c r="V563" s="529"/>
      <c r="W563" s="529"/>
      <c r="X563" s="529"/>
      <c r="Y563" s="529"/>
      <c r="Z563" s="530"/>
      <c r="AA563" s="128"/>
      <c r="AB563" s="128"/>
      <c r="AC563" s="527" t="s">
        <v>451</v>
      </c>
      <c r="AD563" s="527"/>
      <c r="AE563" s="527"/>
      <c r="AF563" s="527"/>
      <c r="AG563" s="527"/>
      <c r="AH563" s="527"/>
      <c r="AI563" s="527"/>
      <c r="AJ563" s="527"/>
      <c r="AK563" s="527"/>
      <c r="AL563" s="527"/>
      <c r="AM563" s="527"/>
      <c r="AN563" s="527"/>
      <c r="AO563" s="128"/>
      <c r="AP563" s="528"/>
      <c r="AQ563" s="529"/>
      <c r="AR563" s="529"/>
      <c r="AS563" s="529"/>
      <c r="AT563" s="529"/>
      <c r="AU563" s="529"/>
      <c r="AV563" s="529"/>
      <c r="AW563" s="529"/>
      <c r="AX563" s="529"/>
      <c r="AY563" s="529"/>
      <c r="AZ563" s="529"/>
      <c r="BA563" s="530"/>
      <c r="BB563" s="128"/>
      <c r="BC563" s="115"/>
      <c r="BD563" s="115"/>
      <c r="BE563" s="115"/>
      <c r="BF563" s="115"/>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83"/>
      <c r="CN563" s="83"/>
      <c r="CO563" s="83"/>
      <c r="CP563" s="83"/>
      <c r="CQ563" s="83"/>
      <c r="CR563" s="83"/>
      <c r="CS563" s="83"/>
      <c r="CT563" s="83"/>
      <c r="CU563" s="83"/>
      <c r="CV563" s="83"/>
      <c r="CW563" s="83"/>
      <c r="CX563" s="83"/>
      <c r="CY563" s="83"/>
      <c r="CZ563" s="83"/>
      <c r="DA563" s="83"/>
      <c r="DB563" s="83"/>
      <c r="DC563" s="83"/>
      <c r="DD563" s="83"/>
      <c r="DE563" s="83"/>
      <c r="DF563" s="115"/>
      <c r="DG563" s="115"/>
    </row>
    <row r="564" spans="1:111" ht="9" customHeight="1">
      <c r="A564" s="128"/>
      <c r="B564" s="527"/>
      <c r="C564" s="527"/>
      <c r="D564" s="527"/>
      <c r="E564" s="527"/>
      <c r="F564" s="527"/>
      <c r="G564" s="527"/>
      <c r="H564" s="527"/>
      <c r="I564" s="527"/>
      <c r="J564" s="527"/>
      <c r="K564" s="527"/>
      <c r="L564" s="527"/>
      <c r="M564" s="527"/>
      <c r="N564" s="186"/>
      <c r="O564" s="531"/>
      <c r="P564" s="532"/>
      <c r="Q564" s="532"/>
      <c r="R564" s="532"/>
      <c r="S564" s="532"/>
      <c r="T564" s="532"/>
      <c r="U564" s="532"/>
      <c r="V564" s="532"/>
      <c r="W564" s="532"/>
      <c r="X564" s="532"/>
      <c r="Y564" s="532"/>
      <c r="Z564" s="533"/>
      <c r="AA564" s="128"/>
      <c r="AB564" s="128"/>
      <c r="AC564" s="527"/>
      <c r="AD564" s="527"/>
      <c r="AE564" s="527"/>
      <c r="AF564" s="527"/>
      <c r="AG564" s="527"/>
      <c r="AH564" s="527"/>
      <c r="AI564" s="527"/>
      <c r="AJ564" s="527"/>
      <c r="AK564" s="527"/>
      <c r="AL564" s="527"/>
      <c r="AM564" s="527"/>
      <c r="AN564" s="527"/>
      <c r="AO564" s="128"/>
      <c r="AP564" s="531"/>
      <c r="AQ564" s="532"/>
      <c r="AR564" s="532"/>
      <c r="AS564" s="532"/>
      <c r="AT564" s="532"/>
      <c r="AU564" s="532"/>
      <c r="AV564" s="532"/>
      <c r="AW564" s="532"/>
      <c r="AX564" s="532"/>
      <c r="AY564" s="532"/>
      <c r="AZ564" s="532"/>
      <c r="BA564" s="533"/>
      <c r="BB564" s="128"/>
      <c r="BC564" s="115"/>
      <c r="BD564" s="115"/>
      <c r="BE564" s="115"/>
      <c r="BF564" s="115"/>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c r="CC564" s="83"/>
      <c r="CD564" s="83"/>
      <c r="CE564" s="83"/>
      <c r="CF564" s="83"/>
      <c r="CG564" s="83"/>
      <c r="CH564" s="83"/>
      <c r="CI564" s="83"/>
      <c r="CJ564" s="83"/>
      <c r="CK564" s="83"/>
      <c r="CL564" s="83"/>
      <c r="CM564" s="83"/>
      <c r="CN564" s="83"/>
      <c r="CO564" s="83"/>
      <c r="CP564" s="83"/>
      <c r="CQ564" s="83"/>
      <c r="CR564" s="83"/>
      <c r="CS564" s="83"/>
      <c r="CT564" s="83"/>
      <c r="CU564" s="83"/>
      <c r="CV564" s="83"/>
      <c r="CW564" s="83"/>
      <c r="CX564" s="83"/>
      <c r="CY564" s="83"/>
      <c r="CZ564" s="83"/>
      <c r="DA564" s="83"/>
      <c r="DB564" s="83"/>
      <c r="DC564" s="83"/>
      <c r="DD564" s="83"/>
      <c r="DE564" s="83"/>
      <c r="DF564" s="115"/>
      <c r="DG564" s="115"/>
    </row>
    <row r="565" spans="1:111" ht="4.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15"/>
      <c r="BD565" s="115"/>
      <c r="BE565" s="115"/>
      <c r="BF565" s="115"/>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c r="CC565" s="83"/>
      <c r="CD565" s="83"/>
      <c r="CE565" s="83"/>
      <c r="CF565" s="83"/>
      <c r="CG565" s="83"/>
      <c r="CH565" s="83"/>
      <c r="CI565" s="83"/>
      <c r="CJ565" s="83"/>
      <c r="CK565" s="83"/>
      <c r="CL565" s="83"/>
      <c r="CM565" s="83"/>
      <c r="CN565" s="83"/>
      <c r="CO565" s="83"/>
      <c r="CP565" s="83"/>
      <c r="CQ565" s="83"/>
      <c r="CR565" s="83"/>
      <c r="CS565" s="83"/>
      <c r="CT565" s="83"/>
      <c r="CU565" s="83"/>
      <c r="CV565" s="83"/>
      <c r="CW565" s="83"/>
      <c r="CX565" s="83"/>
      <c r="CY565" s="83"/>
      <c r="CZ565" s="83"/>
      <c r="DA565" s="83"/>
      <c r="DB565" s="83"/>
      <c r="DC565" s="83"/>
      <c r="DD565" s="83"/>
      <c r="DE565" s="83"/>
      <c r="DF565" s="115"/>
      <c r="DG565" s="115"/>
    </row>
    <row r="566" spans="1:111" ht="9" customHeight="1">
      <c r="A566" s="128"/>
      <c r="B566" s="527" t="s">
        <v>452</v>
      </c>
      <c r="C566" s="527"/>
      <c r="D566" s="527"/>
      <c r="E566" s="527"/>
      <c r="F566" s="527"/>
      <c r="G566" s="527"/>
      <c r="H566" s="527"/>
      <c r="I566" s="527"/>
      <c r="J566" s="527"/>
      <c r="K566" s="527"/>
      <c r="L566" s="527"/>
      <c r="M566" s="527"/>
      <c r="N566" s="186"/>
      <c r="O566" s="546"/>
      <c r="P566" s="547"/>
      <c r="Q566" s="547"/>
      <c r="R566" s="547"/>
      <c r="S566" s="547"/>
      <c r="T566" s="547"/>
      <c r="U566" s="547"/>
      <c r="V566" s="547"/>
      <c r="W566" s="547"/>
      <c r="X566" s="547"/>
      <c r="Y566" s="547"/>
      <c r="Z566" s="547"/>
      <c r="AA566" s="547"/>
      <c r="AB566" s="547"/>
      <c r="AC566" s="547"/>
      <c r="AD566" s="547"/>
      <c r="AE566" s="547"/>
      <c r="AF566" s="547"/>
      <c r="AG566" s="547"/>
      <c r="AH566" s="547"/>
      <c r="AI566" s="547"/>
      <c r="AJ566" s="547"/>
      <c r="AK566" s="547"/>
      <c r="AL566" s="547"/>
      <c r="AM566" s="547"/>
      <c r="AN566" s="547"/>
      <c r="AO566" s="547"/>
      <c r="AP566" s="547"/>
      <c r="AQ566" s="547"/>
      <c r="AR566" s="547"/>
      <c r="AS566" s="547"/>
      <c r="AT566" s="547"/>
      <c r="AU566" s="547"/>
      <c r="AV566" s="547"/>
      <c r="AW566" s="547"/>
      <c r="AX566" s="547"/>
      <c r="AY566" s="547"/>
      <c r="AZ566" s="547"/>
      <c r="BA566" s="548"/>
      <c r="BB566" s="128"/>
      <c r="BC566" s="115"/>
      <c r="BD566" s="115"/>
      <c r="BE566" s="115"/>
      <c r="BF566" s="115"/>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c r="CC566" s="83"/>
      <c r="CD566" s="83"/>
      <c r="CE566" s="83"/>
      <c r="CF566" s="83"/>
      <c r="CG566" s="83"/>
      <c r="CH566" s="83"/>
      <c r="CI566" s="83"/>
      <c r="CJ566" s="83"/>
      <c r="CK566" s="83"/>
      <c r="CL566" s="83"/>
      <c r="CM566" s="83"/>
      <c r="CN566" s="83"/>
      <c r="CO566" s="83"/>
      <c r="CP566" s="83"/>
      <c r="CQ566" s="83"/>
      <c r="CR566" s="83"/>
      <c r="CS566" s="83"/>
      <c r="CT566" s="83"/>
      <c r="CU566" s="83"/>
      <c r="CV566" s="83"/>
      <c r="CW566" s="83"/>
      <c r="CX566" s="83"/>
      <c r="CY566" s="83"/>
      <c r="CZ566" s="83"/>
      <c r="DA566" s="83"/>
      <c r="DB566" s="83"/>
      <c r="DC566" s="83"/>
      <c r="DD566" s="83"/>
      <c r="DE566" s="83"/>
      <c r="DF566" s="115"/>
      <c r="DG566" s="115"/>
    </row>
    <row r="567" spans="1:111" ht="9" customHeight="1">
      <c r="A567" s="128"/>
      <c r="B567" s="527"/>
      <c r="C567" s="527"/>
      <c r="D567" s="527"/>
      <c r="E567" s="527"/>
      <c r="F567" s="527"/>
      <c r="G567" s="527"/>
      <c r="H567" s="527"/>
      <c r="I567" s="527"/>
      <c r="J567" s="527"/>
      <c r="K567" s="527"/>
      <c r="L567" s="527"/>
      <c r="M567" s="527"/>
      <c r="N567" s="186"/>
      <c r="O567" s="549"/>
      <c r="P567" s="550"/>
      <c r="Q567" s="550"/>
      <c r="R567" s="550"/>
      <c r="S567" s="550"/>
      <c r="T567" s="550"/>
      <c r="U567" s="550"/>
      <c r="V567" s="550"/>
      <c r="W567" s="550"/>
      <c r="X567" s="550"/>
      <c r="Y567" s="550"/>
      <c r="Z567" s="550"/>
      <c r="AA567" s="550"/>
      <c r="AB567" s="550"/>
      <c r="AC567" s="550"/>
      <c r="AD567" s="550"/>
      <c r="AE567" s="550"/>
      <c r="AF567" s="550"/>
      <c r="AG567" s="550"/>
      <c r="AH567" s="550"/>
      <c r="AI567" s="550"/>
      <c r="AJ567" s="550"/>
      <c r="AK567" s="550"/>
      <c r="AL567" s="550"/>
      <c r="AM567" s="550"/>
      <c r="AN567" s="550"/>
      <c r="AO567" s="550"/>
      <c r="AP567" s="550"/>
      <c r="AQ567" s="550"/>
      <c r="AR567" s="550"/>
      <c r="AS567" s="550"/>
      <c r="AT567" s="550"/>
      <c r="AU567" s="550"/>
      <c r="AV567" s="550"/>
      <c r="AW567" s="550"/>
      <c r="AX567" s="550"/>
      <c r="AY567" s="550"/>
      <c r="AZ567" s="550"/>
      <c r="BA567" s="551"/>
      <c r="BB567" s="128"/>
      <c r="BC567" s="115"/>
      <c r="BD567" s="115"/>
      <c r="BE567" s="115"/>
      <c r="BF567" s="115"/>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c r="CC567" s="83"/>
      <c r="CD567" s="83"/>
      <c r="CE567" s="83"/>
      <c r="CF567" s="83"/>
      <c r="CG567" s="83"/>
      <c r="CH567" s="83"/>
      <c r="CI567" s="83"/>
      <c r="CJ567" s="83"/>
      <c r="CK567" s="83"/>
      <c r="CL567" s="83"/>
      <c r="CM567" s="83"/>
      <c r="CN567" s="83"/>
      <c r="CO567" s="83"/>
      <c r="CP567" s="83"/>
      <c r="CQ567" s="83"/>
      <c r="CR567" s="83"/>
      <c r="CS567" s="83"/>
      <c r="CT567" s="83"/>
      <c r="CU567" s="83"/>
      <c r="CV567" s="83"/>
      <c r="CW567" s="83"/>
      <c r="CX567" s="83"/>
      <c r="CY567" s="83"/>
      <c r="CZ567" s="83"/>
      <c r="DA567" s="83"/>
      <c r="DB567" s="83"/>
      <c r="DC567" s="83"/>
      <c r="DD567" s="83"/>
      <c r="DE567" s="83"/>
      <c r="DF567" s="115"/>
      <c r="DG567" s="115"/>
    </row>
    <row r="568" spans="1:111" ht="9" customHeight="1">
      <c r="A568" s="128"/>
      <c r="B568" s="187"/>
      <c r="C568" s="187"/>
      <c r="D568" s="187"/>
      <c r="E568" s="187"/>
      <c r="F568" s="187"/>
      <c r="G568" s="187"/>
      <c r="H568" s="187"/>
      <c r="I568" s="188"/>
      <c r="J568" s="187"/>
      <c r="K568" s="187"/>
      <c r="L568" s="187"/>
      <c r="M568" s="187"/>
      <c r="N568" s="128"/>
      <c r="O568" s="549"/>
      <c r="P568" s="550"/>
      <c r="Q568" s="550"/>
      <c r="R568" s="550"/>
      <c r="S568" s="550"/>
      <c r="T568" s="550"/>
      <c r="U568" s="550"/>
      <c r="V568" s="550"/>
      <c r="W568" s="550"/>
      <c r="X568" s="550"/>
      <c r="Y568" s="550"/>
      <c r="Z568" s="550"/>
      <c r="AA568" s="550"/>
      <c r="AB568" s="550"/>
      <c r="AC568" s="550"/>
      <c r="AD568" s="550"/>
      <c r="AE568" s="550"/>
      <c r="AF568" s="550"/>
      <c r="AG568" s="550"/>
      <c r="AH568" s="550"/>
      <c r="AI568" s="550"/>
      <c r="AJ568" s="550"/>
      <c r="AK568" s="550"/>
      <c r="AL568" s="550"/>
      <c r="AM568" s="550"/>
      <c r="AN568" s="550"/>
      <c r="AO568" s="550"/>
      <c r="AP568" s="550"/>
      <c r="AQ568" s="550"/>
      <c r="AR568" s="550"/>
      <c r="AS568" s="550"/>
      <c r="AT568" s="550"/>
      <c r="AU568" s="550"/>
      <c r="AV568" s="550"/>
      <c r="AW568" s="550"/>
      <c r="AX568" s="550"/>
      <c r="AY568" s="550"/>
      <c r="AZ568" s="550"/>
      <c r="BA568" s="551"/>
      <c r="BB568" s="128"/>
      <c r="BC568" s="115"/>
      <c r="BD568" s="115"/>
      <c r="BE568" s="115"/>
      <c r="BF568" s="115"/>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c r="CC568" s="83"/>
      <c r="CD568" s="83"/>
      <c r="CE568" s="83"/>
      <c r="CF568" s="83"/>
      <c r="CG568" s="83"/>
      <c r="CH568" s="83"/>
      <c r="CI568" s="83"/>
      <c r="CJ568" s="83"/>
      <c r="CK568" s="83"/>
      <c r="CL568" s="83"/>
      <c r="CM568" s="83"/>
      <c r="CN568" s="83"/>
      <c r="CO568" s="83"/>
      <c r="CP568" s="83"/>
      <c r="CQ568" s="83"/>
      <c r="CR568" s="83"/>
      <c r="CS568" s="83"/>
      <c r="CT568" s="83"/>
      <c r="CU568" s="83"/>
      <c r="CV568" s="83"/>
      <c r="CW568" s="83"/>
      <c r="CX568" s="83"/>
      <c r="CY568" s="83"/>
      <c r="CZ568" s="83"/>
      <c r="DA568" s="83"/>
      <c r="DB568" s="83"/>
      <c r="DC568" s="83"/>
      <c r="DD568" s="83"/>
      <c r="DE568" s="83"/>
      <c r="DF568" s="115"/>
      <c r="DG568" s="115"/>
    </row>
    <row r="569" spans="1:111" ht="9" customHeight="1">
      <c r="A569" s="128"/>
      <c r="B569" s="187"/>
      <c r="C569" s="187"/>
      <c r="D569" s="187"/>
      <c r="E569" s="187"/>
      <c r="F569" s="187"/>
      <c r="G569" s="187"/>
      <c r="H569" s="187"/>
      <c r="I569" s="188"/>
      <c r="J569" s="187"/>
      <c r="K569" s="187"/>
      <c r="L569" s="187"/>
      <c r="M569" s="187"/>
      <c r="N569" s="128"/>
      <c r="O569" s="552"/>
      <c r="P569" s="553"/>
      <c r="Q569" s="553"/>
      <c r="R569" s="553"/>
      <c r="S569" s="553"/>
      <c r="T569" s="553"/>
      <c r="U569" s="553"/>
      <c r="V569" s="553"/>
      <c r="W569" s="553"/>
      <c r="X569" s="553"/>
      <c r="Y569" s="553"/>
      <c r="Z569" s="553"/>
      <c r="AA569" s="553"/>
      <c r="AB569" s="553"/>
      <c r="AC569" s="553"/>
      <c r="AD569" s="553"/>
      <c r="AE569" s="553"/>
      <c r="AF569" s="553"/>
      <c r="AG569" s="553"/>
      <c r="AH569" s="553"/>
      <c r="AI569" s="553"/>
      <c r="AJ569" s="553"/>
      <c r="AK569" s="553"/>
      <c r="AL569" s="553"/>
      <c r="AM569" s="553"/>
      <c r="AN569" s="553"/>
      <c r="AO569" s="553"/>
      <c r="AP569" s="553"/>
      <c r="AQ569" s="553"/>
      <c r="AR569" s="553"/>
      <c r="AS569" s="553"/>
      <c r="AT569" s="553"/>
      <c r="AU569" s="553"/>
      <c r="AV569" s="553"/>
      <c r="AW569" s="553"/>
      <c r="AX569" s="553"/>
      <c r="AY569" s="553"/>
      <c r="AZ569" s="553"/>
      <c r="BA569" s="554"/>
      <c r="BB569" s="128"/>
      <c r="BC569" s="115"/>
      <c r="BD569" s="115"/>
      <c r="BE569" s="115"/>
      <c r="BF569" s="115"/>
      <c r="BG569" s="83"/>
      <c r="BH569" s="83"/>
      <c r="BI569" s="83"/>
      <c r="BJ569" s="83"/>
      <c r="BK569" s="83"/>
      <c r="BL569" s="83"/>
      <c r="BM569" s="83"/>
      <c r="BN569" s="83"/>
      <c r="BO569" s="83"/>
      <c r="BP569" s="83"/>
      <c r="BQ569" s="83"/>
      <c r="BR569" s="83"/>
      <c r="BS569" s="83"/>
      <c r="BT569" s="83"/>
      <c r="BU569" s="83"/>
      <c r="BV569" s="83"/>
      <c r="BW569" s="83"/>
      <c r="BX569" s="83"/>
      <c r="BY569" s="83"/>
      <c r="BZ569" s="83"/>
      <c r="CA569" s="83"/>
      <c r="CB569" s="83"/>
      <c r="CC569" s="83"/>
      <c r="CD569" s="83"/>
      <c r="CE569" s="83"/>
      <c r="CF569" s="83"/>
      <c r="CG569" s="83"/>
      <c r="CH569" s="83"/>
      <c r="CI569" s="83"/>
      <c r="CJ569" s="83"/>
      <c r="CK569" s="83"/>
      <c r="CL569" s="83"/>
      <c r="CM569" s="83"/>
      <c r="CN569" s="83"/>
      <c r="CO569" s="83"/>
      <c r="CP569" s="83"/>
      <c r="CQ569" s="83"/>
      <c r="CR569" s="83"/>
      <c r="CS569" s="83"/>
      <c r="CT569" s="83"/>
      <c r="CU569" s="83"/>
      <c r="CV569" s="83"/>
      <c r="CW569" s="83"/>
      <c r="CX569" s="83"/>
      <c r="CY569" s="83"/>
      <c r="CZ569" s="83"/>
      <c r="DA569" s="83"/>
      <c r="DB569" s="83"/>
      <c r="DC569" s="83"/>
      <c r="DD569" s="83"/>
      <c r="DE569" s="83"/>
      <c r="DF569" s="115"/>
      <c r="DG569" s="115"/>
    </row>
    <row r="570" spans="1:111" ht="4.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15"/>
      <c r="BD570" s="115"/>
      <c r="BE570" s="115"/>
      <c r="BF570" s="115"/>
      <c r="BG570" s="83"/>
      <c r="BH570" s="83"/>
      <c r="BI570" s="83"/>
      <c r="BJ570" s="83"/>
      <c r="BK570" s="83"/>
      <c r="BL570" s="83"/>
      <c r="BM570" s="83"/>
      <c r="BN570" s="83"/>
      <c r="BO570" s="83"/>
      <c r="BP570" s="83"/>
      <c r="BQ570" s="83"/>
      <c r="BR570" s="83"/>
      <c r="BS570" s="83"/>
      <c r="BT570" s="83"/>
      <c r="BU570" s="83"/>
      <c r="BV570" s="83"/>
      <c r="BW570" s="83"/>
      <c r="BX570" s="83"/>
      <c r="BY570" s="83"/>
      <c r="BZ570" s="83"/>
      <c r="CA570" s="83"/>
      <c r="CB570" s="83"/>
      <c r="CC570" s="83"/>
      <c r="CD570" s="83"/>
      <c r="CE570" s="83"/>
      <c r="CF570" s="83"/>
      <c r="CG570" s="83"/>
      <c r="CH570" s="83"/>
      <c r="CI570" s="83"/>
      <c r="CJ570" s="83"/>
      <c r="CK570" s="83"/>
      <c r="CL570" s="83"/>
      <c r="CM570" s="83"/>
      <c r="CN570" s="83"/>
      <c r="CO570" s="83"/>
      <c r="CP570" s="83"/>
      <c r="CQ570" s="83"/>
      <c r="CR570" s="83"/>
      <c r="CS570" s="83"/>
      <c r="CT570" s="83"/>
      <c r="CU570" s="83"/>
      <c r="CV570" s="83"/>
      <c r="CW570" s="83"/>
      <c r="CX570" s="83"/>
      <c r="CY570" s="83"/>
      <c r="CZ570" s="83"/>
      <c r="DA570" s="83"/>
      <c r="DB570" s="83"/>
      <c r="DC570" s="83"/>
      <c r="DD570" s="83"/>
      <c r="DE570" s="83"/>
      <c r="DF570" s="115"/>
      <c r="DG570" s="115"/>
    </row>
    <row r="571" spans="1:111" ht="9" customHeight="1">
      <c r="A571" s="128"/>
      <c r="B571" s="527" t="s">
        <v>453</v>
      </c>
      <c r="C571" s="527"/>
      <c r="D571" s="527"/>
      <c r="E571" s="527"/>
      <c r="F571" s="527"/>
      <c r="G571" s="527"/>
      <c r="H571" s="527"/>
      <c r="I571" s="527"/>
      <c r="J571" s="527"/>
      <c r="K571" s="527"/>
      <c r="L571" s="527"/>
      <c r="M571" s="527"/>
      <c r="N571" s="186"/>
      <c r="O571" s="546"/>
      <c r="P571" s="547"/>
      <c r="Q571" s="547"/>
      <c r="R571" s="547"/>
      <c r="S571" s="547"/>
      <c r="T571" s="547"/>
      <c r="U571" s="547"/>
      <c r="V571" s="547"/>
      <c r="W571" s="547"/>
      <c r="X571" s="547"/>
      <c r="Y571" s="547"/>
      <c r="Z571" s="547"/>
      <c r="AA571" s="547"/>
      <c r="AB571" s="547"/>
      <c r="AC571" s="547"/>
      <c r="AD571" s="547"/>
      <c r="AE571" s="547"/>
      <c r="AF571" s="547"/>
      <c r="AG571" s="547"/>
      <c r="AH571" s="547"/>
      <c r="AI571" s="547"/>
      <c r="AJ571" s="547"/>
      <c r="AK571" s="547"/>
      <c r="AL571" s="547"/>
      <c r="AM571" s="547"/>
      <c r="AN571" s="547"/>
      <c r="AO571" s="547"/>
      <c r="AP571" s="547"/>
      <c r="AQ571" s="547"/>
      <c r="AR571" s="547"/>
      <c r="AS571" s="547"/>
      <c r="AT571" s="547"/>
      <c r="AU571" s="547"/>
      <c r="AV571" s="547"/>
      <c r="AW571" s="547"/>
      <c r="AX571" s="547"/>
      <c r="AY571" s="547"/>
      <c r="AZ571" s="547"/>
      <c r="BA571" s="548"/>
      <c r="BB571" s="128"/>
      <c r="BC571" s="115"/>
      <c r="BD571" s="115"/>
      <c r="BE571" s="115"/>
      <c r="BF571" s="115"/>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c r="CC571" s="83"/>
      <c r="CD571" s="83"/>
      <c r="CE571" s="83"/>
      <c r="CF571" s="83"/>
      <c r="CG571" s="83"/>
      <c r="CH571" s="83"/>
      <c r="CI571" s="83"/>
      <c r="CJ571" s="83"/>
      <c r="CK571" s="83"/>
      <c r="CL571" s="83"/>
      <c r="CM571" s="83"/>
      <c r="CN571" s="83"/>
      <c r="CO571" s="83"/>
      <c r="CP571" s="83"/>
      <c r="CQ571" s="83"/>
      <c r="CR571" s="83"/>
      <c r="CS571" s="83"/>
      <c r="CT571" s="83"/>
      <c r="CU571" s="83"/>
      <c r="CV571" s="83"/>
      <c r="CW571" s="83"/>
      <c r="CX571" s="83"/>
      <c r="CY571" s="83"/>
      <c r="CZ571" s="83"/>
      <c r="DA571" s="83"/>
      <c r="DB571" s="83"/>
      <c r="DC571" s="83"/>
      <c r="DD571" s="83"/>
      <c r="DE571" s="83"/>
      <c r="DF571" s="115"/>
      <c r="DG571" s="115"/>
    </row>
    <row r="572" spans="1:111" ht="9" customHeight="1">
      <c r="A572" s="128"/>
      <c r="B572" s="527"/>
      <c r="C572" s="527"/>
      <c r="D572" s="527"/>
      <c r="E572" s="527"/>
      <c r="F572" s="527"/>
      <c r="G572" s="527"/>
      <c r="H572" s="527"/>
      <c r="I572" s="527"/>
      <c r="J572" s="527"/>
      <c r="K572" s="527"/>
      <c r="L572" s="527"/>
      <c r="M572" s="527"/>
      <c r="N572" s="186"/>
      <c r="O572" s="549"/>
      <c r="P572" s="550"/>
      <c r="Q572" s="550"/>
      <c r="R572" s="550"/>
      <c r="S572" s="550"/>
      <c r="T572" s="550"/>
      <c r="U572" s="550"/>
      <c r="V572" s="550"/>
      <c r="W572" s="550"/>
      <c r="X572" s="550"/>
      <c r="Y572" s="550"/>
      <c r="Z572" s="550"/>
      <c r="AA572" s="550"/>
      <c r="AB572" s="550"/>
      <c r="AC572" s="550"/>
      <c r="AD572" s="550"/>
      <c r="AE572" s="550"/>
      <c r="AF572" s="550"/>
      <c r="AG572" s="550"/>
      <c r="AH572" s="550"/>
      <c r="AI572" s="550"/>
      <c r="AJ572" s="550"/>
      <c r="AK572" s="550"/>
      <c r="AL572" s="550"/>
      <c r="AM572" s="550"/>
      <c r="AN572" s="550"/>
      <c r="AO572" s="550"/>
      <c r="AP572" s="550"/>
      <c r="AQ572" s="550"/>
      <c r="AR572" s="550"/>
      <c r="AS572" s="550"/>
      <c r="AT572" s="550"/>
      <c r="AU572" s="550"/>
      <c r="AV572" s="550"/>
      <c r="AW572" s="550"/>
      <c r="AX572" s="550"/>
      <c r="AY572" s="550"/>
      <c r="AZ572" s="550"/>
      <c r="BA572" s="551"/>
      <c r="BB572" s="128"/>
      <c r="BC572" s="115"/>
      <c r="BD572" s="115"/>
      <c r="BE572" s="115"/>
      <c r="BF572" s="115"/>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c r="CC572" s="83"/>
      <c r="CD572" s="83"/>
      <c r="CE572" s="83"/>
      <c r="CF572" s="83"/>
      <c r="CG572" s="83"/>
      <c r="CH572" s="83"/>
      <c r="CI572" s="83"/>
      <c r="CJ572" s="83"/>
      <c r="CK572" s="83"/>
      <c r="CL572" s="83"/>
      <c r="CM572" s="83"/>
      <c r="CN572" s="83"/>
      <c r="CO572" s="83"/>
      <c r="CP572" s="83"/>
      <c r="CQ572" s="83"/>
      <c r="CR572" s="83"/>
      <c r="CS572" s="83"/>
      <c r="CT572" s="83"/>
      <c r="CU572" s="83"/>
      <c r="CV572" s="83"/>
      <c r="CW572" s="83"/>
      <c r="CX572" s="83"/>
      <c r="CY572" s="83"/>
      <c r="CZ572" s="83"/>
      <c r="DA572" s="83"/>
      <c r="DB572" s="83"/>
      <c r="DC572" s="83"/>
      <c r="DD572" s="83"/>
      <c r="DE572" s="83"/>
      <c r="DF572" s="115"/>
      <c r="DG572" s="115"/>
    </row>
    <row r="573" spans="1:111" ht="9" customHeight="1">
      <c r="A573" s="128"/>
      <c r="B573" s="187"/>
      <c r="C573" s="187"/>
      <c r="D573" s="187"/>
      <c r="E573" s="187"/>
      <c r="F573" s="187"/>
      <c r="G573" s="187"/>
      <c r="H573" s="187"/>
      <c r="I573" s="188"/>
      <c r="J573" s="187"/>
      <c r="K573" s="187"/>
      <c r="L573" s="187"/>
      <c r="M573" s="187"/>
      <c r="N573" s="128"/>
      <c r="O573" s="549"/>
      <c r="P573" s="550"/>
      <c r="Q573" s="550"/>
      <c r="R573" s="550"/>
      <c r="S573" s="550"/>
      <c r="T573" s="550"/>
      <c r="U573" s="550"/>
      <c r="V573" s="550"/>
      <c r="W573" s="550"/>
      <c r="X573" s="550"/>
      <c r="Y573" s="550"/>
      <c r="Z573" s="550"/>
      <c r="AA573" s="550"/>
      <c r="AB573" s="550"/>
      <c r="AC573" s="550"/>
      <c r="AD573" s="550"/>
      <c r="AE573" s="550"/>
      <c r="AF573" s="550"/>
      <c r="AG573" s="550"/>
      <c r="AH573" s="550"/>
      <c r="AI573" s="550"/>
      <c r="AJ573" s="550"/>
      <c r="AK573" s="550"/>
      <c r="AL573" s="550"/>
      <c r="AM573" s="550"/>
      <c r="AN573" s="550"/>
      <c r="AO573" s="550"/>
      <c r="AP573" s="550"/>
      <c r="AQ573" s="550"/>
      <c r="AR573" s="550"/>
      <c r="AS573" s="550"/>
      <c r="AT573" s="550"/>
      <c r="AU573" s="550"/>
      <c r="AV573" s="550"/>
      <c r="AW573" s="550"/>
      <c r="AX573" s="550"/>
      <c r="AY573" s="550"/>
      <c r="AZ573" s="550"/>
      <c r="BA573" s="551"/>
      <c r="BB573" s="128"/>
      <c r="BC573" s="115"/>
      <c r="BD573" s="115"/>
      <c r="BE573" s="115"/>
      <c r="BF573" s="115"/>
      <c r="BG573" s="83"/>
      <c r="BH573" s="83"/>
      <c r="BI573" s="83"/>
      <c r="BJ573" s="83"/>
      <c r="BK573" s="83"/>
      <c r="BL573" s="83"/>
      <c r="BM573" s="83"/>
      <c r="BN573" s="83"/>
      <c r="BO573" s="83"/>
      <c r="BP573" s="83"/>
      <c r="BQ573" s="83"/>
      <c r="BR573" s="83"/>
      <c r="BS573" s="83"/>
      <c r="BT573" s="83"/>
      <c r="BU573" s="83"/>
      <c r="BV573" s="83"/>
      <c r="BW573" s="83"/>
      <c r="BX573" s="83"/>
      <c r="BY573" s="83"/>
      <c r="BZ573" s="83"/>
      <c r="CA573" s="83"/>
      <c r="CB573" s="83"/>
      <c r="CC573" s="83"/>
      <c r="CD573" s="83"/>
      <c r="CE573" s="83"/>
      <c r="CF573" s="83"/>
      <c r="CG573" s="83"/>
      <c r="CH573" s="83"/>
      <c r="CI573" s="83"/>
      <c r="CJ573" s="83"/>
      <c r="CK573" s="83"/>
      <c r="CL573" s="83"/>
      <c r="CM573" s="83"/>
      <c r="CN573" s="83"/>
      <c r="CO573" s="83"/>
      <c r="CP573" s="83"/>
      <c r="CQ573" s="83"/>
      <c r="CR573" s="83"/>
      <c r="CS573" s="83"/>
      <c r="CT573" s="83"/>
      <c r="CU573" s="83"/>
      <c r="CV573" s="83"/>
      <c r="CW573" s="83"/>
      <c r="CX573" s="83"/>
      <c r="CY573" s="83"/>
      <c r="CZ573" s="83"/>
      <c r="DA573" s="83"/>
      <c r="DB573" s="83"/>
      <c r="DC573" s="83"/>
      <c r="DD573" s="83"/>
      <c r="DE573" s="83"/>
      <c r="DF573" s="115"/>
      <c r="DG573" s="115"/>
    </row>
    <row r="574" spans="1:111" ht="9" customHeight="1">
      <c r="A574" s="128"/>
      <c r="B574" s="187"/>
      <c r="C574" s="187"/>
      <c r="D574" s="187"/>
      <c r="E574" s="187"/>
      <c r="F574" s="187"/>
      <c r="G574" s="187"/>
      <c r="H574" s="187"/>
      <c r="I574" s="188"/>
      <c r="J574" s="187"/>
      <c r="K574" s="187"/>
      <c r="L574" s="187"/>
      <c r="M574" s="187"/>
      <c r="N574" s="128"/>
      <c r="O574" s="552"/>
      <c r="P574" s="553"/>
      <c r="Q574" s="553"/>
      <c r="R574" s="553"/>
      <c r="S574" s="553"/>
      <c r="T574" s="553"/>
      <c r="U574" s="553"/>
      <c r="V574" s="553"/>
      <c r="W574" s="553"/>
      <c r="X574" s="553"/>
      <c r="Y574" s="553"/>
      <c r="Z574" s="553"/>
      <c r="AA574" s="553"/>
      <c r="AB574" s="553"/>
      <c r="AC574" s="553"/>
      <c r="AD574" s="553"/>
      <c r="AE574" s="553"/>
      <c r="AF574" s="553"/>
      <c r="AG574" s="553"/>
      <c r="AH574" s="553"/>
      <c r="AI574" s="553"/>
      <c r="AJ574" s="553"/>
      <c r="AK574" s="553"/>
      <c r="AL574" s="553"/>
      <c r="AM574" s="553"/>
      <c r="AN574" s="553"/>
      <c r="AO574" s="553"/>
      <c r="AP574" s="553"/>
      <c r="AQ574" s="553"/>
      <c r="AR574" s="553"/>
      <c r="AS574" s="553"/>
      <c r="AT574" s="553"/>
      <c r="AU574" s="553"/>
      <c r="AV574" s="553"/>
      <c r="AW574" s="553"/>
      <c r="AX574" s="553"/>
      <c r="AY574" s="553"/>
      <c r="AZ574" s="553"/>
      <c r="BA574" s="554"/>
      <c r="BB574" s="128"/>
      <c r="BC574" s="115"/>
      <c r="BD574" s="115"/>
      <c r="BE574" s="115"/>
      <c r="BF574" s="115"/>
      <c r="BG574" s="83"/>
      <c r="BH574" s="83"/>
      <c r="BI574" s="83"/>
      <c r="BJ574" s="83"/>
      <c r="BK574" s="83"/>
      <c r="BL574" s="83"/>
      <c r="BM574" s="83"/>
      <c r="BN574" s="83"/>
      <c r="BO574" s="83"/>
      <c r="BP574" s="83"/>
      <c r="BQ574" s="83"/>
      <c r="BR574" s="83"/>
      <c r="BS574" s="83"/>
      <c r="BT574" s="83"/>
      <c r="BU574" s="83"/>
      <c r="BV574" s="83"/>
      <c r="BW574" s="83"/>
      <c r="BX574" s="83"/>
      <c r="BY574" s="83"/>
      <c r="BZ574" s="83"/>
      <c r="CA574" s="83"/>
      <c r="CB574" s="83"/>
      <c r="CC574" s="83"/>
      <c r="CD574" s="83"/>
      <c r="CE574" s="83"/>
      <c r="CF574" s="83"/>
      <c r="CG574" s="83"/>
      <c r="CH574" s="83"/>
      <c r="CI574" s="83"/>
      <c r="CJ574" s="83"/>
      <c r="CK574" s="83"/>
      <c r="CL574" s="83"/>
      <c r="CM574" s="83"/>
      <c r="CN574" s="83"/>
      <c r="CO574" s="83"/>
      <c r="CP574" s="83"/>
      <c r="CQ574" s="83"/>
      <c r="CR574" s="83"/>
      <c r="CS574" s="83"/>
      <c r="CT574" s="83"/>
      <c r="CU574" s="83"/>
      <c r="CV574" s="83"/>
      <c r="CW574" s="83"/>
      <c r="CX574" s="83"/>
      <c r="CY574" s="83"/>
      <c r="CZ574" s="83"/>
      <c r="DA574" s="83"/>
      <c r="DB574" s="83"/>
      <c r="DC574" s="83"/>
      <c r="DD574" s="83"/>
      <c r="DE574" s="83"/>
      <c r="DF574" s="115"/>
      <c r="DG574" s="115"/>
    </row>
    <row r="575" spans="1:111" ht="4.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15"/>
      <c r="BD575" s="115"/>
      <c r="BE575" s="115"/>
      <c r="BF575" s="115"/>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c r="CC575" s="83"/>
      <c r="CD575" s="83"/>
      <c r="CE575" s="83"/>
      <c r="CF575" s="83"/>
      <c r="CG575" s="83"/>
      <c r="CH575" s="83"/>
      <c r="CI575" s="83"/>
      <c r="CJ575" s="83"/>
      <c r="CK575" s="83"/>
      <c r="CL575" s="83"/>
      <c r="CM575" s="83"/>
      <c r="CN575" s="83"/>
      <c r="CO575" s="83"/>
      <c r="CP575" s="83"/>
      <c r="CQ575" s="83"/>
      <c r="CR575" s="83"/>
      <c r="CS575" s="83"/>
      <c r="CT575" s="83"/>
      <c r="CU575" s="83"/>
      <c r="CV575" s="83"/>
      <c r="CW575" s="83"/>
      <c r="CX575" s="83"/>
      <c r="CY575" s="83"/>
      <c r="CZ575" s="83"/>
      <c r="DA575" s="83"/>
      <c r="DB575" s="83"/>
      <c r="DC575" s="83"/>
      <c r="DD575" s="83"/>
      <c r="DE575" s="83"/>
      <c r="DF575" s="115"/>
      <c r="DG575" s="115"/>
    </row>
    <row r="576" spans="1:111" ht="9" customHeight="1">
      <c r="A576" s="128"/>
      <c r="B576" s="527" t="s">
        <v>454</v>
      </c>
      <c r="C576" s="527"/>
      <c r="D576" s="527"/>
      <c r="E576" s="527"/>
      <c r="F576" s="527"/>
      <c r="G576" s="527"/>
      <c r="H576" s="527"/>
      <c r="I576" s="527"/>
      <c r="J576" s="527"/>
      <c r="K576" s="527"/>
      <c r="L576" s="527"/>
      <c r="M576" s="527"/>
      <c r="N576" s="186"/>
      <c r="O576" s="546"/>
      <c r="P576" s="547"/>
      <c r="Q576" s="547"/>
      <c r="R576" s="547"/>
      <c r="S576" s="547"/>
      <c r="T576" s="547"/>
      <c r="U576" s="547"/>
      <c r="V576" s="547"/>
      <c r="W576" s="547"/>
      <c r="X576" s="547"/>
      <c r="Y576" s="547"/>
      <c r="Z576" s="547"/>
      <c r="AA576" s="547"/>
      <c r="AB576" s="547"/>
      <c r="AC576" s="547"/>
      <c r="AD576" s="547"/>
      <c r="AE576" s="547"/>
      <c r="AF576" s="547"/>
      <c r="AG576" s="547"/>
      <c r="AH576" s="547"/>
      <c r="AI576" s="547"/>
      <c r="AJ576" s="547"/>
      <c r="AK576" s="547"/>
      <c r="AL576" s="547"/>
      <c r="AM576" s="547"/>
      <c r="AN576" s="547"/>
      <c r="AO576" s="547"/>
      <c r="AP576" s="547"/>
      <c r="AQ576" s="547"/>
      <c r="AR576" s="547"/>
      <c r="AS576" s="547"/>
      <c r="AT576" s="547"/>
      <c r="AU576" s="547"/>
      <c r="AV576" s="547"/>
      <c r="AW576" s="547"/>
      <c r="AX576" s="547"/>
      <c r="AY576" s="547"/>
      <c r="AZ576" s="547"/>
      <c r="BA576" s="548"/>
      <c r="BB576" s="128"/>
      <c r="BC576" s="115"/>
      <c r="BD576" s="115"/>
      <c r="BE576" s="115"/>
      <c r="BF576" s="115"/>
      <c r="BG576" s="83"/>
      <c r="BH576" s="83"/>
      <c r="BI576" s="83"/>
      <c r="BJ576" s="83"/>
      <c r="BK576" s="83"/>
      <c r="BL576" s="83"/>
      <c r="BM576" s="83"/>
      <c r="BN576" s="83"/>
      <c r="BO576" s="83"/>
      <c r="BP576" s="83"/>
      <c r="BQ576" s="83"/>
      <c r="BR576" s="83"/>
      <c r="BS576" s="83"/>
      <c r="BT576" s="83"/>
      <c r="BU576" s="83"/>
      <c r="BV576" s="83"/>
      <c r="BW576" s="83"/>
      <c r="BX576" s="83"/>
      <c r="BY576" s="83"/>
      <c r="BZ576" s="83"/>
      <c r="CA576" s="83"/>
      <c r="CB576" s="83"/>
      <c r="CC576" s="83"/>
      <c r="CD576" s="83"/>
      <c r="CE576" s="83"/>
      <c r="CF576" s="83"/>
      <c r="CG576" s="83"/>
      <c r="CH576" s="83"/>
      <c r="CI576" s="83"/>
      <c r="CJ576" s="83"/>
      <c r="CK576" s="83"/>
      <c r="CL576" s="83"/>
      <c r="CM576" s="83"/>
      <c r="CN576" s="83"/>
      <c r="CO576" s="83"/>
      <c r="CP576" s="83"/>
      <c r="CQ576" s="83"/>
      <c r="CR576" s="83"/>
      <c r="CS576" s="83"/>
      <c r="CT576" s="83"/>
      <c r="CU576" s="83"/>
      <c r="CV576" s="83"/>
      <c r="CW576" s="83"/>
      <c r="CX576" s="83"/>
      <c r="CY576" s="83"/>
      <c r="CZ576" s="83"/>
      <c r="DA576" s="83"/>
      <c r="DB576" s="83"/>
      <c r="DC576" s="83"/>
      <c r="DD576" s="83"/>
      <c r="DE576" s="83"/>
      <c r="DF576" s="115"/>
      <c r="DG576" s="115"/>
    </row>
    <row r="577" spans="1:111" ht="9" customHeight="1">
      <c r="A577" s="128"/>
      <c r="B577" s="527"/>
      <c r="C577" s="527"/>
      <c r="D577" s="527"/>
      <c r="E577" s="527"/>
      <c r="F577" s="527"/>
      <c r="G577" s="527"/>
      <c r="H577" s="527"/>
      <c r="I577" s="527"/>
      <c r="J577" s="527"/>
      <c r="K577" s="527"/>
      <c r="L577" s="527"/>
      <c r="M577" s="527"/>
      <c r="N577" s="186"/>
      <c r="O577" s="549"/>
      <c r="P577" s="550"/>
      <c r="Q577" s="550"/>
      <c r="R577" s="550"/>
      <c r="S577" s="550"/>
      <c r="T577" s="550"/>
      <c r="U577" s="550"/>
      <c r="V577" s="550"/>
      <c r="W577" s="550"/>
      <c r="X577" s="550"/>
      <c r="Y577" s="550"/>
      <c r="Z577" s="550"/>
      <c r="AA577" s="550"/>
      <c r="AB577" s="550"/>
      <c r="AC577" s="550"/>
      <c r="AD577" s="550"/>
      <c r="AE577" s="550"/>
      <c r="AF577" s="550"/>
      <c r="AG577" s="550"/>
      <c r="AH577" s="550"/>
      <c r="AI577" s="550"/>
      <c r="AJ577" s="550"/>
      <c r="AK577" s="550"/>
      <c r="AL577" s="550"/>
      <c r="AM577" s="550"/>
      <c r="AN577" s="550"/>
      <c r="AO577" s="550"/>
      <c r="AP577" s="550"/>
      <c r="AQ577" s="550"/>
      <c r="AR577" s="550"/>
      <c r="AS577" s="550"/>
      <c r="AT577" s="550"/>
      <c r="AU577" s="550"/>
      <c r="AV577" s="550"/>
      <c r="AW577" s="550"/>
      <c r="AX577" s="550"/>
      <c r="AY577" s="550"/>
      <c r="AZ577" s="550"/>
      <c r="BA577" s="551"/>
      <c r="BB577" s="128"/>
      <c r="BC577" s="115"/>
      <c r="BD577" s="115"/>
      <c r="BE577" s="115"/>
      <c r="BF577" s="115"/>
      <c r="BG577" s="83"/>
      <c r="BH577" s="83"/>
      <c r="BI577" s="83"/>
      <c r="BJ577" s="83"/>
      <c r="BK577" s="83"/>
      <c r="BL577" s="83"/>
      <c r="BM577" s="83"/>
      <c r="BN577" s="83"/>
      <c r="BO577" s="83"/>
      <c r="BP577" s="83"/>
      <c r="BQ577" s="83"/>
      <c r="BR577" s="83"/>
      <c r="BS577" s="83"/>
      <c r="BT577" s="83"/>
      <c r="BU577" s="83"/>
      <c r="BV577" s="83"/>
      <c r="BW577" s="83"/>
      <c r="BX577" s="83"/>
      <c r="BY577" s="83"/>
      <c r="BZ577" s="83"/>
      <c r="CA577" s="83"/>
      <c r="CB577" s="83"/>
      <c r="CC577" s="83"/>
      <c r="CD577" s="83"/>
      <c r="CE577" s="83"/>
      <c r="CF577" s="83"/>
      <c r="CG577" s="83"/>
      <c r="CH577" s="83"/>
      <c r="CI577" s="83"/>
      <c r="CJ577" s="83"/>
      <c r="CK577" s="83"/>
      <c r="CL577" s="83"/>
      <c r="CM577" s="83"/>
      <c r="CN577" s="83"/>
      <c r="CO577" s="83"/>
      <c r="CP577" s="83"/>
      <c r="CQ577" s="83"/>
      <c r="CR577" s="83"/>
      <c r="CS577" s="83"/>
      <c r="CT577" s="83"/>
      <c r="CU577" s="83"/>
      <c r="CV577" s="83"/>
      <c r="CW577" s="83"/>
      <c r="CX577" s="83"/>
      <c r="CY577" s="83"/>
      <c r="CZ577" s="83"/>
      <c r="DA577" s="83"/>
      <c r="DB577" s="83"/>
      <c r="DC577" s="83"/>
      <c r="DD577" s="83"/>
      <c r="DE577" s="83"/>
      <c r="DF577" s="115"/>
      <c r="DG577" s="115"/>
    </row>
    <row r="578" spans="1:111" ht="9" customHeight="1">
      <c r="A578" s="128"/>
      <c r="B578" s="187"/>
      <c r="C578" s="187"/>
      <c r="D578" s="187"/>
      <c r="E578" s="187"/>
      <c r="F578" s="187"/>
      <c r="G578" s="187"/>
      <c r="H578" s="187"/>
      <c r="I578" s="188"/>
      <c r="J578" s="187"/>
      <c r="K578" s="187"/>
      <c r="L578" s="187"/>
      <c r="M578" s="187"/>
      <c r="N578" s="128"/>
      <c r="O578" s="549"/>
      <c r="P578" s="550"/>
      <c r="Q578" s="550"/>
      <c r="R578" s="550"/>
      <c r="S578" s="550"/>
      <c r="T578" s="550"/>
      <c r="U578" s="550"/>
      <c r="V578" s="550"/>
      <c r="W578" s="550"/>
      <c r="X578" s="550"/>
      <c r="Y578" s="550"/>
      <c r="Z578" s="550"/>
      <c r="AA578" s="550"/>
      <c r="AB578" s="550"/>
      <c r="AC578" s="550"/>
      <c r="AD578" s="550"/>
      <c r="AE578" s="550"/>
      <c r="AF578" s="550"/>
      <c r="AG578" s="550"/>
      <c r="AH578" s="550"/>
      <c r="AI578" s="550"/>
      <c r="AJ578" s="550"/>
      <c r="AK578" s="550"/>
      <c r="AL578" s="550"/>
      <c r="AM578" s="550"/>
      <c r="AN578" s="550"/>
      <c r="AO578" s="550"/>
      <c r="AP578" s="550"/>
      <c r="AQ578" s="550"/>
      <c r="AR578" s="550"/>
      <c r="AS578" s="550"/>
      <c r="AT578" s="550"/>
      <c r="AU578" s="550"/>
      <c r="AV578" s="550"/>
      <c r="AW578" s="550"/>
      <c r="AX578" s="550"/>
      <c r="AY578" s="550"/>
      <c r="AZ578" s="550"/>
      <c r="BA578" s="551"/>
      <c r="BB578" s="128"/>
      <c r="BC578" s="115"/>
      <c r="BD578" s="115"/>
      <c r="BE578" s="115"/>
      <c r="BF578" s="115"/>
      <c r="BG578" s="83"/>
      <c r="BH578" s="83"/>
      <c r="BI578" s="83"/>
      <c r="BJ578" s="83"/>
      <c r="BK578" s="83"/>
      <c r="BL578" s="83"/>
      <c r="BM578" s="83"/>
      <c r="BN578" s="83"/>
      <c r="BO578" s="83"/>
      <c r="BP578" s="83"/>
      <c r="BQ578" s="83"/>
      <c r="BR578" s="83"/>
      <c r="BS578" s="83"/>
      <c r="BT578" s="83"/>
      <c r="BU578" s="83"/>
      <c r="BV578" s="83"/>
      <c r="BW578" s="83"/>
      <c r="BX578" s="83"/>
      <c r="BY578" s="83"/>
      <c r="BZ578" s="83"/>
      <c r="CA578" s="83"/>
      <c r="CB578" s="83"/>
      <c r="CC578" s="83"/>
      <c r="CD578" s="83"/>
      <c r="CE578" s="83"/>
      <c r="CF578" s="83"/>
      <c r="CG578" s="83"/>
      <c r="CH578" s="83"/>
      <c r="CI578" s="83"/>
      <c r="CJ578" s="83"/>
      <c r="CK578" s="83"/>
      <c r="CL578" s="83"/>
      <c r="CM578" s="83"/>
      <c r="CN578" s="83"/>
      <c r="CO578" s="83"/>
      <c r="CP578" s="83"/>
      <c r="CQ578" s="83"/>
      <c r="CR578" s="83"/>
      <c r="CS578" s="83"/>
      <c r="CT578" s="83"/>
      <c r="CU578" s="83"/>
      <c r="CV578" s="83"/>
      <c r="CW578" s="83"/>
      <c r="CX578" s="83"/>
      <c r="CY578" s="83"/>
      <c r="CZ578" s="83"/>
      <c r="DA578" s="83"/>
      <c r="DB578" s="83"/>
      <c r="DC578" s="83"/>
      <c r="DD578" s="83"/>
      <c r="DE578" s="83"/>
      <c r="DF578" s="115"/>
      <c r="DG578" s="115"/>
    </row>
    <row r="579" spans="1:111" ht="9" customHeight="1">
      <c r="A579" s="128"/>
      <c r="B579" s="187"/>
      <c r="C579" s="187"/>
      <c r="D579" s="187"/>
      <c r="E579" s="187"/>
      <c r="F579" s="187"/>
      <c r="G579" s="187"/>
      <c r="H579" s="187"/>
      <c r="I579" s="188"/>
      <c r="J579" s="187"/>
      <c r="K579" s="187"/>
      <c r="L579" s="187"/>
      <c r="M579" s="187"/>
      <c r="N579" s="128"/>
      <c r="O579" s="552"/>
      <c r="P579" s="553"/>
      <c r="Q579" s="553"/>
      <c r="R579" s="553"/>
      <c r="S579" s="553"/>
      <c r="T579" s="553"/>
      <c r="U579" s="553"/>
      <c r="V579" s="553"/>
      <c r="W579" s="553"/>
      <c r="X579" s="553"/>
      <c r="Y579" s="553"/>
      <c r="Z579" s="553"/>
      <c r="AA579" s="553"/>
      <c r="AB579" s="553"/>
      <c r="AC579" s="553"/>
      <c r="AD579" s="553"/>
      <c r="AE579" s="553"/>
      <c r="AF579" s="553"/>
      <c r="AG579" s="553"/>
      <c r="AH579" s="553"/>
      <c r="AI579" s="553"/>
      <c r="AJ579" s="553"/>
      <c r="AK579" s="553"/>
      <c r="AL579" s="553"/>
      <c r="AM579" s="553"/>
      <c r="AN579" s="553"/>
      <c r="AO579" s="553"/>
      <c r="AP579" s="553"/>
      <c r="AQ579" s="553"/>
      <c r="AR579" s="553"/>
      <c r="AS579" s="553"/>
      <c r="AT579" s="553"/>
      <c r="AU579" s="553"/>
      <c r="AV579" s="553"/>
      <c r="AW579" s="553"/>
      <c r="AX579" s="553"/>
      <c r="AY579" s="553"/>
      <c r="AZ579" s="553"/>
      <c r="BA579" s="554"/>
      <c r="BB579" s="128"/>
      <c r="BC579" s="115"/>
      <c r="BD579" s="115"/>
      <c r="BE579" s="115"/>
      <c r="BF579" s="115"/>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c r="CC579" s="83"/>
      <c r="CD579" s="83"/>
      <c r="CE579" s="83"/>
      <c r="CF579" s="83"/>
      <c r="CG579" s="83"/>
      <c r="CH579" s="83"/>
      <c r="CI579" s="83"/>
      <c r="CJ579" s="83"/>
      <c r="CK579" s="83"/>
      <c r="CL579" s="83"/>
      <c r="CM579" s="83"/>
      <c r="CN579" s="83"/>
      <c r="CO579" s="83"/>
      <c r="CP579" s="83"/>
      <c r="CQ579" s="83"/>
      <c r="CR579" s="83"/>
      <c r="CS579" s="83"/>
      <c r="CT579" s="83"/>
      <c r="CU579" s="83"/>
      <c r="CV579" s="83"/>
      <c r="CW579" s="83"/>
      <c r="CX579" s="83"/>
      <c r="CY579" s="83"/>
      <c r="CZ579" s="83"/>
      <c r="DA579" s="83"/>
      <c r="DB579" s="83"/>
      <c r="DC579" s="83"/>
      <c r="DD579" s="83"/>
      <c r="DE579" s="83"/>
      <c r="DF579" s="115"/>
      <c r="DG579" s="115"/>
    </row>
    <row r="580" spans="1:111" ht="4.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8"/>
      <c r="AL580" s="128"/>
      <c r="AM580" s="128"/>
      <c r="AN580" s="128"/>
      <c r="AO580" s="128"/>
      <c r="AP580" s="128"/>
      <c r="AQ580" s="128"/>
      <c r="AR580" s="128"/>
      <c r="AS580" s="128"/>
      <c r="AT580" s="128"/>
      <c r="AU580" s="128"/>
      <c r="AV580" s="128"/>
      <c r="AW580" s="128"/>
      <c r="AX580" s="128"/>
      <c r="AY580" s="128"/>
      <c r="AZ580" s="128"/>
      <c r="BA580" s="128"/>
      <c r="BB580" s="128"/>
      <c r="BC580" s="115"/>
      <c r="BD580" s="115"/>
      <c r="BE580" s="115"/>
      <c r="BF580" s="115"/>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c r="CC580" s="83"/>
      <c r="CD580" s="83"/>
      <c r="CE580" s="83"/>
      <c r="CF580" s="83"/>
      <c r="CG580" s="83"/>
      <c r="CH580" s="83"/>
      <c r="CI580" s="83"/>
      <c r="CJ580" s="83"/>
      <c r="CK580" s="83"/>
      <c r="CL580" s="83"/>
      <c r="CM580" s="83"/>
      <c r="CN580" s="83"/>
      <c r="CO580" s="83"/>
      <c r="CP580" s="83"/>
      <c r="CQ580" s="83"/>
      <c r="CR580" s="83"/>
      <c r="CS580" s="83"/>
      <c r="CT580" s="83"/>
      <c r="CU580" s="83"/>
      <c r="CV580" s="83"/>
      <c r="CW580" s="83"/>
      <c r="CX580" s="83"/>
      <c r="CY580" s="83"/>
      <c r="CZ580" s="83"/>
      <c r="DA580" s="83"/>
      <c r="DB580" s="83"/>
      <c r="DC580" s="83"/>
      <c r="DD580" s="83"/>
      <c r="DE580" s="83"/>
      <c r="DF580" s="115"/>
      <c r="DG580" s="115"/>
    </row>
    <row r="581" spans="1:111" ht="9" customHeight="1">
      <c r="A581" s="128"/>
      <c r="B581" s="527" t="s">
        <v>455</v>
      </c>
      <c r="C581" s="527"/>
      <c r="D581" s="527"/>
      <c r="E581" s="527"/>
      <c r="F581" s="527"/>
      <c r="G581" s="527"/>
      <c r="H581" s="527"/>
      <c r="I581" s="527"/>
      <c r="J581" s="527"/>
      <c r="K581" s="527"/>
      <c r="L581" s="527"/>
      <c r="M581" s="527"/>
      <c r="N581" s="186"/>
      <c r="O581" s="528"/>
      <c r="P581" s="529"/>
      <c r="Q581" s="529"/>
      <c r="R581" s="529"/>
      <c r="S581" s="529"/>
      <c r="T581" s="529"/>
      <c r="U581" s="529"/>
      <c r="V581" s="529"/>
      <c r="W581" s="529"/>
      <c r="X581" s="529"/>
      <c r="Y581" s="529"/>
      <c r="Z581" s="530"/>
      <c r="AA581" s="128"/>
      <c r="AB581" s="128"/>
      <c r="AC581" s="128"/>
      <c r="AD581" s="128"/>
      <c r="AE581" s="128"/>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15"/>
      <c r="BD581" s="115"/>
      <c r="BE581" s="115"/>
      <c r="BF581" s="115"/>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83"/>
      <c r="CN581" s="83"/>
      <c r="CO581" s="83"/>
      <c r="CP581" s="83"/>
      <c r="CQ581" s="83"/>
      <c r="CR581" s="83"/>
      <c r="CS581" s="83"/>
      <c r="CT581" s="83"/>
      <c r="CU581" s="83"/>
      <c r="CV581" s="83"/>
      <c r="CW581" s="83"/>
      <c r="CX581" s="83"/>
      <c r="CY581" s="83"/>
      <c r="CZ581" s="83"/>
      <c r="DA581" s="83"/>
      <c r="DB581" s="83"/>
      <c r="DC581" s="83"/>
      <c r="DD581" s="83"/>
      <c r="DE581" s="83"/>
      <c r="DF581" s="115"/>
      <c r="DG581" s="115"/>
    </row>
    <row r="582" spans="1:111" ht="9" customHeight="1">
      <c r="A582" s="128"/>
      <c r="B582" s="527"/>
      <c r="C582" s="527"/>
      <c r="D582" s="527"/>
      <c r="E582" s="527"/>
      <c r="F582" s="527"/>
      <c r="G582" s="527"/>
      <c r="H582" s="527"/>
      <c r="I582" s="527"/>
      <c r="J582" s="527"/>
      <c r="K582" s="527"/>
      <c r="L582" s="527"/>
      <c r="M582" s="527"/>
      <c r="N582" s="186"/>
      <c r="O582" s="531"/>
      <c r="P582" s="532"/>
      <c r="Q582" s="532"/>
      <c r="R582" s="532"/>
      <c r="S582" s="532"/>
      <c r="T582" s="532"/>
      <c r="U582" s="532"/>
      <c r="V582" s="532"/>
      <c r="W582" s="532"/>
      <c r="X582" s="532"/>
      <c r="Y582" s="532"/>
      <c r="Z582" s="533"/>
      <c r="AA582" s="128"/>
      <c r="AB582" s="128"/>
      <c r="AC582" s="128"/>
      <c r="AD582" s="128"/>
      <c r="AE582" s="128"/>
      <c r="AF582" s="128"/>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15"/>
      <c r="BD582" s="115"/>
      <c r="BE582" s="115"/>
      <c r="BF582" s="115"/>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c r="CC582" s="83"/>
      <c r="CD582" s="83"/>
      <c r="CE582" s="83"/>
      <c r="CF582" s="83"/>
      <c r="CG582" s="83"/>
      <c r="CH582" s="83"/>
      <c r="CI582" s="83"/>
      <c r="CJ582" s="83"/>
      <c r="CK582" s="83"/>
      <c r="CL582" s="83"/>
      <c r="CM582" s="83"/>
      <c r="CN582" s="83"/>
      <c r="CO582" s="83"/>
      <c r="CP582" s="83"/>
      <c r="CQ582" s="83"/>
      <c r="CR582" s="83"/>
      <c r="CS582" s="83"/>
      <c r="CT582" s="83"/>
      <c r="CU582" s="83"/>
      <c r="CV582" s="83"/>
      <c r="CW582" s="83"/>
      <c r="CX582" s="83"/>
      <c r="CY582" s="83"/>
      <c r="CZ582" s="83"/>
      <c r="DA582" s="83"/>
      <c r="DB582" s="83"/>
      <c r="DC582" s="83"/>
      <c r="DD582" s="83"/>
      <c r="DE582" s="83"/>
      <c r="DF582" s="115"/>
      <c r="DG582" s="115"/>
    </row>
    <row r="583" spans="1:111" ht="4.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15"/>
      <c r="BD583" s="115"/>
      <c r="BE583" s="115"/>
      <c r="BF583" s="115"/>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c r="CC583" s="83"/>
      <c r="CD583" s="83"/>
      <c r="CE583" s="83"/>
      <c r="CF583" s="83"/>
      <c r="CG583" s="83"/>
      <c r="CH583" s="83"/>
      <c r="CI583" s="83"/>
      <c r="CJ583" s="83"/>
      <c r="CK583" s="83"/>
      <c r="CL583" s="83"/>
      <c r="CM583" s="83"/>
      <c r="CN583" s="83"/>
      <c r="CO583" s="83"/>
      <c r="CP583" s="83"/>
      <c r="CQ583" s="83"/>
      <c r="CR583" s="83"/>
      <c r="CS583" s="83"/>
      <c r="CT583" s="83"/>
      <c r="CU583" s="83"/>
      <c r="CV583" s="83"/>
      <c r="CW583" s="83"/>
      <c r="CX583" s="83"/>
      <c r="CY583" s="83"/>
      <c r="CZ583" s="83"/>
      <c r="DA583" s="83"/>
      <c r="DB583" s="83"/>
      <c r="DC583" s="83"/>
      <c r="DD583" s="83"/>
      <c r="DE583" s="83"/>
      <c r="DF583" s="115"/>
      <c r="DG583" s="115"/>
    </row>
    <row r="584" spans="1:111" ht="9" customHeight="1">
      <c r="A584" s="128"/>
      <c r="B584" s="527" t="s">
        <v>434</v>
      </c>
      <c r="C584" s="527"/>
      <c r="D584" s="527"/>
      <c r="E584" s="527"/>
      <c r="F584" s="527"/>
      <c r="G584" s="527"/>
      <c r="H584" s="527"/>
      <c r="I584" s="527"/>
      <c r="J584" s="527"/>
      <c r="K584" s="527"/>
      <c r="L584" s="527"/>
      <c r="M584" s="527"/>
      <c r="N584" s="186"/>
      <c r="O584" s="546"/>
      <c r="P584" s="547"/>
      <c r="Q584" s="547"/>
      <c r="R584" s="547"/>
      <c r="S584" s="547"/>
      <c r="T584" s="547"/>
      <c r="U584" s="547"/>
      <c r="V584" s="547"/>
      <c r="W584" s="547"/>
      <c r="X584" s="547"/>
      <c r="Y584" s="547"/>
      <c r="Z584" s="547"/>
      <c r="AA584" s="547"/>
      <c r="AB584" s="547"/>
      <c r="AC584" s="547"/>
      <c r="AD584" s="547"/>
      <c r="AE584" s="547"/>
      <c r="AF584" s="547"/>
      <c r="AG584" s="547"/>
      <c r="AH584" s="547"/>
      <c r="AI584" s="547"/>
      <c r="AJ584" s="547"/>
      <c r="AK584" s="547"/>
      <c r="AL584" s="547"/>
      <c r="AM584" s="547"/>
      <c r="AN584" s="547"/>
      <c r="AO584" s="547"/>
      <c r="AP584" s="547"/>
      <c r="AQ584" s="547"/>
      <c r="AR584" s="547"/>
      <c r="AS584" s="547"/>
      <c r="AT584" s="547"/>
      <c r="AU584" s="547"/>
      <c r="AV584" s="547"/>
      <c r="AW584" s="547"/>
      <c r="AX584" s="547"/>
      <c r="AY584" s="547"/>
      <c r="AZ584" s="547"/>
      <c r="BA584" s="548"/>
      <c r="BB584" s="128"/>
      <c r="BC584" s="115"/>
      <c r="BD584" s="115"/>
      <c r="BE584" s="115"/>
      <c r="BF584" s="115"/>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c r="CC584" s="83"/>
      <c r="CD584" s="83"/>
      <c r="CE584" s="83"/>
      <c r="CF584" s="83"/>
      <c r="CG584" s="83"/>
      <c r="CH584" s="83"/>
      <c r="CI584" s="83"/>
      <c r="CJ584" s="83"/>
      <c r="CK584" s="83"/>
      <c r="CL584" s="83"/>
      <c r="CM584" s="83"/>
      <c r="CN584" s="83"/>
      <c r="CO584" s="83"/>
      <c r="CP584" s="83"/>
      <c r="CQ584" s="83"/>
      <c r="CR584" s="83"/>
      <c r="CS584" s="83"/>
      <c r="CT584" s="83"/>
      <c r="CU584" s="83"/>
      <c r="CV584" s="83"/>
      <c r="CW584" s="83"/>
      <c r="CX584" s="83"/>
      <c r="CY584" s="83"/>
      <c r="CZ584" s="83"/>
      <c r="DA584" s="83"/>
      <c r="DB584" s="83"/>
      <c r="DC584" s="83"/>
      <c r="DD584" s="83"/>
      <c r="DE584" s="83"/>
      <c r="DF584" s="115"/>
      <c r="DG584" s="115"/>
    </row>
    <row r="585" spans="1:111" ht="9" customHeight="1">
      <c r="A585" s="128"/>
      <c r="B585" s="527"/>
      <c r="C585" s="527"/>
      <c r="D585" s="527"/>
      <c r="E585" s="527"/>
      <c r="F585" s="527"/>
      <c r="G585" s="527"/>
      <c r="H585" s="527"/>
      <c r="I585" s="527"/>
      <c r="J585" s="527"/>
      <c r="K585" s="527"/>
      <c r="L585" s="527"/>
      <c r="M585" s="527"/>
      <c r="N585" s="186"/>
      <c r="O585" s="549"/>
      <c r="P585" s="550"/>
      <c r="Q585" s="550"/>
      <c r="R585" s="550"/>
      <c r="S585" s="550"/>
      <c r="T585" s="550"/>
      <c r="U585" s="550"/>
      <c r="V585" s="550"/>
      <c r="W585" s="550"/>
      <c r="X585" s="550"/>
      <c r="Y585" s="550"/>
      <c r="Z585" s="550"/>
      <c r="AA585" s="550"/>
      <c r="AB585" s="550"/>
      <c r="AC585" s="550"/>
      <c r="AD585" s="550"/>
      <c r="AE585" s="550"/>
      <c r="AF585" s="550"/>
      <c r="AG585" s="550"/>
      <c r="AH585" s="550"/>
      <c r="AI585" s="550"/>
      <c r="AJ585" s="550"/>
      <c r="AK585" s="550"/>
      <c r="AL585" s="550"/>
      <c r="AM585" s="550"/>
      <c r="AN585" s="550"/>
      <c r="AO585" s="550"/>
      <c r="AP585" s="550"/>
      <c r="AQ585" s="550"/>
      <c r="AR585" s="550"/>
      <c r="AS585" s="550"/>
      <c r="AT585" s="550"/>
      <c r="AU585" s="550"/>
      <c r="AV585" s="550"/>
      <c r="AW585" s="550"/>
      <c r="AX585" s="550"/>
      <c r="AY585" s="550"/>
      <c r="AZ585" s="550"/>
      <c r="BA585" s="551"/>
      <c r="BB585" s="128"/>
      <c r="BC585" s="115"/>
      <c r="BD585" s="115"/>
      <c r="BE585" s="115"/>
      <c r="BF585" s="115"/>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83"/>
      <c r="CN585" s="83"/>
      <c r="CO585" s="83"/>
      <c r="CP585" s="83"/>
      <c r="CQ585" s="83"/>
      <c r="CR585" s="83"/>
      <c r="CS585" s="83"/>
      <c r="CT585" s="83"/>
      <c r="CU585" s="83"/>
      <c r="CV585" s="83"/>
      <c r="CW585" s="83"/>
      <c r="CX585" s="83"/>
      <c r="CY585" s="83"/>
      <c r="CZ585" s="83"/>
      <c r="DA585" s="83"/>
      <c r="DB585" s="83"/>
      <c r="DC585" s="83"/>
      <c r="DD585" s="83"/>
      <c r="DE585" s="83"/>
      <c r="DF585" s="115"/>
      <c r="DG585" s="115"/>
    </row>
    <row r="586" spans="1:111" ht="9" customHeight="1">
      <c r="A586" s="128"/>
      <c r="B586" s="187"/>
      <c r="C586" s="187"/>
      <c r="D586" s="187"/>
      <c r="E586" s="187"/>
      <c r="F586" s="187"/>
      <c r="G586" s="187"/>
      <c r="H586" s="187"/>
      <c r="I586" s="188"/>
      <c r="J586" s="187"/>
      <c r="K586" s="187"/>
      <c r="L586" s="187"/>
      <c r="M586" s="187"/>
      <c r="N586" s="128"/>
      <c r="O586" s="549"/>
      <c r="P586" s="550"/>
      <c r="Q586" s="550"/>
      <c r="R586" s="550"/>
      <c r="S586" s="550"/>
      <c r="T586" s="550"/>
      <c r="U586" s="550"/>
      <c r="V586" s="550"/>
      <c r="W586" s="550"/>
      <c r="X586" s="550"/>
      <c r="Y586" s="550"/>
      <c r="Z586" s="550"/>
      <c r="AA586" s="550"/>
      <c r="AB586" s="550"/>
      <c r="AC586" s="550"/>
      <c r="AD586" s="550"/>
      <c r="AE586" s="550"/>
      <c r="AF586" s="550"/>
      <c r="AG586" s="550"/>
      <c r="AH586" s="550"/>
      <c r="AI586" s="550"/>
      <c r="AJ586" s="550"/>
      <c r="AK586" s="550"/>
      <c r="AL586" s="550"/>
      <c r="AM586" s="550"/>
      <c r="AN586" s="550"/>
      <c r="AO586" s="550"/>
      <c r="AP586" s="550"/>
      <c r="AQ586" s="550"/>
      <c r="AR586" s="550"/>
      <c r="AS586" s="550"/>
      <c r="AT586" s="550"/>
      <c r="AU586" s="550"/>
      <c r="AV586" s="550"/>
      <c r="AW586" s="550"/>
      <c r="AX586" s="550"/>
      <c r="AY586" s="550"/>
      <c r="AZ586" s="550"/>
      <c r="BA586" s="551"/>
      <c r="BB586" s="128"/>
      <c r="BC586" s="115"/>
      <c r="BD586" s="115"/>
      <c r="BE586" s="115"/>
      <c r="BF586" s="115"/>
      <c r="BG586" s="83"/>
      <c r="BH586" s="83"/>
      <c r="BI586" s="83"/>
      <c r="BJ586" s="83"/>
      <c r="BK586" s="83"/>
      <c r="BL586" s="83"/>
      <c r="BM586" s="83"/>
      <c r="BN586" s="83"/>
      <c r="BO586" s="83"/>
      <c r="BP586" s="83"/>
      <c r="BQ586" s="83"/>
      <c r="BR586" s="83"/>
      <c r="BS586" s="83"/>
      <c r="BT586" s="83"/>
      <c r="BU586" s="83"/>
      <c r="BV586" s="83"/>
      <c r="BW586" s="83"/>
      <c r="BX586" s="83"/>
      <c r="BY586" s="83"/>
      <c r="BZ586" s="83"/>
      <c r="CA586" s="83"/>
      <c r="CB586" s="83"/>
      <c r="CC586" s="83"/>
      <c r="CD586" s="83"/>
      <c r="CE586" s="83"/>
      <c r="CF586" s="83"/>
      <c r="CG586" s="83"/>
      <c r="CH586" s="83"/>
      <c r="CI586" s="83"/>
      <c r="CJ586" s="83"/>
      <c r="CK586" s="83"/>
      <c r="CL586" s="83"/>
      <c r="CM586" s="83"/>
      <c r="CN586" s="83"/>
      <c r="CO586" s="83"/>
      <c r="CP586" s="83"/>
      <c r="CQ586" s="83"/>
      <c r="CR586" s="83"/>
      <c r="CS586" s="83"/>
      <c r="CT586" s="83"/>
      <c r="CU586" s="83"/>
      <c r="CV586" s="83"/>
      <c r="CW586" s="83"/>
      <c r="CX586" s="83"/>
      <c r="CY586" s="83"/>
      <c r="CZ586" s="83"/>
      <c r="DA586" s="83"/>
      <c r="DB586" s="83"/>
      <c r="DC586" s="83"/>
      <c r="DD586" s="83"/>
      <c r="DE586" s="83"/>
      <c r="DF586" s="115"/>
      <c r="DG586" s="115"/>
    </row>
    <row r="587" spans="1:111" ht="9" customHeight="1">
      <c r="A587" s="128"/>
      <c r="B587" s="187"/>
      <c r="C587" s="187"/>
      <c r="D587" s="187"/>
      <c r="E587" s="187"/>
      <c r="F587" s="187"/>
      <c r="G587" s="187"/>
      <c r="H587" s="187"/>
      <c r="I587" s="188"/>
      <c r="J587" s="187"/>
      <c r="K587" s="187"/>
      <c r="L587" s="187"/>
      <c r="M587" s="187"/>
      <c r="N587" s="128"/>
      <c r="O587" s="552"/>
      <c r="P587" s="553"/>
      <c r="Q587" s="553"/>
      <c r="R587" s="553"/>
      <c r="S587" s="553"/>
      <c r="T587" s="553"/>
      <c r="U587" s="553"/>
      <c r="V587" s="553"/>
      <c r="W587" s="553"/>
      <c r="X587" s="553"/>
      <c r="Y587" s="553"/>
      <c r="Z587" s="553"/>
      <c r="AA587" s="553"/>
      <c r="AB587" s="553"/>
      <c r="AC587" s="553"/>
      <c r="AD587" s="553"/>
      <c r="AE587" s="553"/>
      <c r="AF587" s="553"/>
      <c r="AG587" s="553"/>
      <c r="AH587" s="553"/>
      <c r="AI587" s="553"/>
      <c r="AJ587" s="553"/>
      <c r="AK587" s="553"/>
      <c r="AL587" s="553"/>
      <c r="AM587" s="553"/>
      <c r="AN587" s="553"/>
      <c r="AO587" s="553"/>
      <c r="AP587" s="553"/>
      <c r="AQ587" s="553"/>
      <c r="AR587" s="553"/>
      <c r="AS587" s="553"/>
      <c r="AT587" s="553"/>
      <c r="AU587" s="553"/>
      <c r="AV587" s="553"/>
      <c r="AW587" s="553"/>
      <c r="AX587" s="553"/>
      <c r="AY587" s="553"/>
      <c r="AZ587" s="553"/>
      <c r="BA587" s="554"/>
      <c r="BB587" s="128"/>
      <c r="BC587" s="115"/>
      <c r="BD587" s="115"/>
      <c r="BE587" s="115"/>
      <c r="BF587" s="115"/>
      <c r="BG587" s="83"/>
      <c r="BH587" s="83"/>
      <c r="BI587" s="83"/>
      <c r="BJ587" s="83"/>
      <c r="BK587" s="83"/>
      <c r="BL587" s="83"/>
      <c r="BM587" s="83"/>
      <c r="BN587" s="83"/>
      <c r="BO587" s="83"/>
      <c r="BP587" s="83"/>
      <c r="BQ587" s="83"/>
      <c r="BR587" s="83"/>
      <c r="BS587" s="83"/>
      <c r="BT587" s="83"/>
      <c r="BU587" s="83"/>
      <c r="BV587" s="83"/>
      <c r="BW587" s="83"/>
      <c r="BX587" s="83"/>
      <c r="BY587" s="83"/>
      <c r="BZ587" s="83"/>
      <c r="CA587" s="83"/>
      <c r="CB587" s="83"/>
      <c r="CC587" s="83"/>
      <c r="CD587" s="83"/>
      <c r="CE587" s="83"/>
      <c r="CF587" s="83"/>
      <c r="CG587" s="83"/>
      <c r="CH587" s="83"/>
      <c r="CI587" s="83"/>
      <c r="CJ587" s="83"/>
      <c r="CK587" s="83"/>
      <c r="CL587" s="83"/>
      <c r="CM587" s="83"/>
      <c r="CN587" s="83"/>
      <c r="CO587" s="83"/>
      <c r="CP587" s="83"/>
      <c r="CQ587" s="83"/>
      <c r="CR587" s="83"/>
      <c r="CS587" s="83"/>
      <c r="CT587" s="83"/>
      <c r="CU587" s="83"/>
      <c r="CV587" s="83"/>
      <c r="CW587" s="83"/>
      <c r="CX587" s="83"/>
      <c r="CY587" s="83"/>
      <c r="CZ587" s="83"/>
      <c r="DA587" s="83"/>
      <c r="DB587" s="83"/>
      <c r="DC587" s="83"/>
      <c r="DD587" s="83"/>
      <c r="DE587" s="83"/>
      <c r="DF587" s="115"/>
      <c r="DG587" s="115"/>
    </row>
    <row r="588" spans="1:111" ht="4.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15"/>
      <c r="BD588" s="115"/>
      <c r="BE588" s="115"/>
      <c r="BF588" s="115"/>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c r="CC588" s="83"/>
      <c r="CD588" s="83"/>
      <c r="CE588" s="83"/>
      <c r="CF588" s="83"/>
      <c r="CG588" s="83"/>
      <c r="CH588" s="83"/>
      <c r="CI588" s="83"/>
      <c r="CJ588" s="83"/>
      <c r="CK588" s="83"/>
      <c r="CL588" s="83"/>
      <c r="CM588" s="83"/>
      <c r="CN588" s="83"/>
      <c r="CO588" s="83"/>
      <c r="CP588" s="83"/>
      <c r="CQ588" s="83"/>
      <c r="CR588" s="83"/>
      <c r="CS588" s="83"/>
      <c r="CT588" s="83"/>
      <c r="CU588" s="83"/>
      <c r="CV588" s="83"/>
      <c r="CW588" s="83"/>
      <c r="CX588" s="83"/>
      <c r="CY588" s="83"/>
      <c r="CZ588" s="83"/>
      <c r="DA588" s="83"/>
      <c r="DB588" s="83"/>
      <c r="DC588" s="83"/>
      <c r="DD588" s="83"/>
      <c r="DE588" s="83"/>
      <c r="DF588" s="115"/>
      <c r="DG588" s="115"/>
    </row>
    <row r="589" spans="1:111" ht="9" customHeight="1">
      <c r="A589" s="128"/>
      <c r="B589" s="527" t="s">
        <v>456</v>
      </c>
      <c r="C589" s="527"/>
      <c r="D589" s="527"/>
      <c r="E589" s="527"/>
      <c r="F589" s="527"/>
      <c r="G589" s="527"/>
      <c r="H589" s="527"/>
      <c r="I589" s="527"/>
      <c r="J589" s="527"/>
      <c r="K589" s="527"/>
      <c r="L589" s="527"/>
      <c r="M589" s="527"/>
      <c r="N589" s="186"/>
      <c r="O589" s="546"/>
      <c r="P589" s="547"/>
      <c r="Q589" s="547"/>
      <c r="R589" s="547"/>
      <c r="S589" s="547"/>
      <c r="T589" s="547"/>
      <c r="U589" s="547"/>
      <c r="V589" s="547"/>
      <c r="W589" s="547"/>
      <c r="X589" s="547"/>
      <c r="Y589" s="547"/>
      <c r="Z589" s="547"/>
      <c r="AA589" s="547"/>
      <c r="AB589" s="547"/>
      <c r="AC589" s="547"/>
      <c r="AD589" s="547"/>
      <c r="AE589" s="547"/>
      <c r="AF589" s="547"/>
      <c r="AG589" s="547"/>
      <c r="AH589" s="547"/>
      <c r="AI589" s="547"/>
      <c r="AJ589" s="547"/>
      <c r="AK589" s="547"/>
      <c r="AL589" s="547"/>
      <c r="AM589" s="547"/>
      <c r="AN589" s="547"/>
      <c r="AO589" s="547"/>
      <c r="AP589" s="547"/>
      <c r="AQ589" s="547"/>
      <c r="AR589" s="547"/>
      <c r="AS589" s="547"/>
      <c r="AT589" s="547"/>
      <c r="AU589" s="547"/>
      <c r="AV589" s="547"/>
      <c r="AW589" s="547"/>
      <c r="AX589" s="547"/>
      <c r="AY589" s="547"/>
      <c r="AZ589" s="547"/>
      <c r="BA589" s="548"/>
      <c r="BB589" s="128"/>
      <c r="BC589" s="115"/>
      <c r="BD589" s="115"/>
      <c r="BE589" s="115"/>
      <c r="BF589" s="115"/>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83"/>
      <c r="CN589" s="83"/>
      <c r="CO589" s="83"/>
      <c r="CP589" s="83"/>
      <c r="CQ589" s="83"/>
      <c r="CR589" s="83"/>
      <c r="CS589" s="83"/>
      <c r="CT589" s="83"/>
      <c r="CU589" s="83"/>
      <c r="CV589" s="83"/>
      <c r="CW589" s="83"/>
      <c r="CX589" s="83"/>
      <c r="CY589" s="83"/>
      <c r="CZ589" s="83"/>
      <c r="DA589" s="83"/>
      <c r="DB589" s="83"/>
      <c r="DC589" s="83"/>
      <c r="DD589" s="83"/>
      <c r="DE589" s="83"/>
      <c r="DF589" s="115"/>
      <c r="DG589" s="115"/>
    </row>
    <row r="590" spans="1:111" ht="9" customHeight="1">
      <c r="A590" s="128"/>
      <c r="B590" s="527"/>
      <c r="C590" s="527"/>
      <c r="D590" s="527"/>
      <c r="E590" s="527"/>
      <c r="F590" s="527"/>
      <c r="G590" s="527"/>
      <c r="H590" s="527"/>
      <c r="I590" s="527"/>
      <c r="J590" s="527"/>
      <c r="K590" s="527"/>
      <c r="L590" s="527"/>
      <c r="M590" s="527"/>
      <c r="N590" s="186"/>
      <c r="O590" s="549"/>
      <c r="P590" s="550"/>
      <c r="Q590" s="550"/>
      <c r="R590" s="550"/>
      <c r="S590" s="550"/>
      <c r="T590" s="550"/>
      <c r="U590" s="550"/>
      <c r="V590" s="550"/>
      <c r="W590" s="550"/>
      <c r="X590" s="550"/>
      <c r="Y590" s="550"/>
      <c r="Z590" s="550"/>
      <c r="AA590" s="550"/>
      <c r="AB590" s="550"/>
      <c r="AC590" s="550"/>
      <c r="AD590" s="550"/>
      <c r="AE590" s="550"/>
      <c r="AF590" s="550"/>
      <c r="AG590" s="550"/>
      <c r="AH590" s="550"/>
      <c r="AI590" s="550"/>
      <c r="AJ590" s="550"/>
      <c r="AK590" s="550"/>
      <c r="AL590" s="550"/>
      <c r="AM590" s="550"/>
      <c r="AN590" s="550"/>
      <c r="AO590" s="550"/>
      <c r="AP590" s="550"/>
      <c r="AQ590" s="550"/>
      <c r="AR590" s="550"/>
      <c r="AS590" s="550"/>
      <c r="AT590" s="550"/>
      <c r="AU590" s="550"/>
      <c r="AV590" s="550"/>
      <c r="AW590" s="550"/>
      <c r="AX590" s="550"/>
      <c r="AY590" s="550"/>
      <c r="AZ590" s="550"/>
      <c r="BA590" s="551"/>
      <c r="BB590" s="128"/>
      <c r="BC590" s="115"/>
      <c r="BD590" s="115"/>
      <c r="BE590" s="115"/>
      <c r="BF590" s="115"/>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c r="CC590" s="83"/>
      <c r="CD590" s="83"/>
      <c r="CE590" s="83"/>
      <c r="CF590" s="83"/>
      <c r="CG590" s="83"/>
      <c r="CH590" s="83"/>
      <c r="CI590" s="83"/>
      <c r="CJ590" s="83"/>
      <c r="CK590" s="83"/>
      <c r="CL590" s="83"/>
      <c r="CM590" s="83"/>
      <c r="CN590" s="83"/>
      <c r="CO590" s="83"/>
      <c r="CP590" s="83"/>
      <c r="CQ590" s="83"/>
      <c r="CR590" s="83"/>
      <c r="CS590" s="83"/>
      <c r="CT590" s="83"/>
      <c r="CU590" s="83"/>
      <c r="CV590" s="83"/>
      <c r="CW590" s="83"/>
      <c r="CX590" s="83"/>
      <c r="CY590" s="83"/>
      <c r="CZ590" s="83"/>
      <c r="DA590" s="83"/>
      <c r="DB590" s="83"/>
      <c r="DC590" s="83"/>
      <c r="DD590" s="83"/>
      <c r="DE590" s="83"/>
      <c r="DF590" s="115"/>
      <c r="DG590" s="115"/>
    </row>
    <row r="591" spans="1:111" ht="9" customHeight="1">
      <c r="A591" s="128"/>
      <c r="B591" s="187"/>
      <c r="C591" s="187"/>
      <c r="D591" s="187"/>
      <c r="E591" s="187"/>
      <c r="F591" s="187"/>
      <c r="G591" s="187"/>
      <c r="H591" s="187"/>
      <c r="I591" s="188"/>
      <c r="J591" s="187"/>
      <c r="K591" s="187"/>
      <c r="L591" s="187"/>
      <c r="M591" s="187"/>
      <c r="N591" s="128"/>
      <c r="O591" s="549"/>
      <c r="P591" s="550"/>
      <c r="Q591" s="550"/>
      <c r="R591" s="550"/>
      <c r="S591" s="550"/>
      <c r="T591" s="550"/>
      <c r="U591" s="550"/>
      <c r="V591" s="550"/>
      <c r="W591" s="550"/>
      <c r="X591" s="550"/>
      <c r="Y591" s="550"/>
      <c r="Z591" s="550"/>
      <c r="AA591" s="550"/>
      <c r="AB591" s="550"/>
      <c r="AC591" s="550"/>
      <c r="AD591" s="550"/>
      <c r="AE591" s="550"/>
      <c r="AF591" s="550"/>
      <c r="AG591" s="550"/>
      <c r="AH591" s="550"/>
      <c r="AI591" s="550"/>
      <c r="AJ591" s="550"/>
      <c r="AK591" s="550"/>
      <c r="AL591" s="550"/>
      <c r="AM591" s="550"/>
      <c r="AN591" s="550"/>
      <c r="AO591" s="550"/>
      <c r="AP591" s="550"/>
      <c r="AQ591" s="550"/>
      <c r="AR591" s="550"/>
      <c r="AS591" s="550"/>
      <c r="AT591" s="550"/>
      <c r="AU591" s="550"/>
      <c r="AV591" s="550"/>
      <c r="AW591" s="550"/>
      <c r="AX591" s="550"/>
      <c r="AY591" s="550"/>
      <c r="AZ591" s="550"/>
      <c r="BA591" s="551"/>
      <c r="BB591" s="128"/>
      <c r="BC591" s="115"/>
      <c r="BD591" s="115"/>
      <c r="BE591" s="115"/>
      <c r="BF591" s="115"/>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c r="CC591" s="83"/>
      <c r="CD591" s="83"/>
      <c r="CE591" s="83"/>
      <c r="CF591" s="83"/>
      <c r="CG591" s="83"/>
      <c r="CH591" s="83"/>
      <c r="CI591" s="83"/>
      <c r="CJ591" s="83"/>
      <c r="CK591" s="83"/>
      <c r="CL591" s="83"/>
      <c r="CM591" s="83"/>
      <c r="CN591" s="83"/>
      <c r="CO591" s="83"/>
      <c r="CP591" s="83"/>
      <c r="CQ591" s="83"/>
      <c r="CR591" s="83"/>
      <c r="CS591" s="83"/>
      <c r="CT591" s="83"/>
      <c r="CU591" s="83"/>
      <c r="CV591" s="83"/>
      <c r="CW591" s="83"/>
      <c r="CX591" s="83"/>
      <c r="CY591" s="83"/>
      <c r="CZ591" s="83"/>
      <c r="DA591" s="83"/>
      <c r="DB591" s="83"/>
      <c r="DC591" s="83"/>
      <c r="DD591" s="83"/>
      <c r="DE591" s="83"/>
      <c r="DF591" s="115"/>
      <c r="DG591" s="115"/>
    </row>
    <row r="592" spans="1:111" ht="9" customHeight="1">
      <c r="A592" s="128"/>
      <c r="B592" s="187"/>
      <c r="C592" s="187"/>
      <c r="D592" s="187"/>
      <c r="E592" s="187"/>
      <c r="F592" s="187"/>
      <c r="G592" s="187"/>
      <c r="H592" s="187"/>
      <c r="I592" s="188"/>
      <c r="J592" s="187"/>
      <c r="K592" s="187"/>
      <c r="L592" s="187"/>
      <c r="M592" s="187"/>
      <c r="N592" s="128"/>
      <c r="O592" s="552"/>
      <c r="P592" s="553"/>
      <c r="Q592" s="553"/>
      <c r="R592" s="553"/>
      <c r="S592" s="553"/>
      <c r="T592" s="553"/>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553"/>
      <c r="AY592" s="553"/>
      <c r="AZ592" s="553"/>
      <c r="BA592" s="554"/>
      <c r="BB592" s="128"/>
      <c r="BC592" s="115"/>
      <c r="BD592" s="115"/>
      <c r="BE592" s="115"/>
      <c r="BF592" s="115"/>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c r="CC592" s="83"/>
      <c r="CD592" s="83"/>
      <c r="CE592" s="83"/>
      <c r="CF592" s="83"/>
      <c r="CG592" s="83"/>
      <c r="CH592" s="83"/>
      <c r="CI592" s="83"/>
      <c r="CJ592" s="83"/>
      <c r="CK592" s="83"/>
      <c r="CL592" s="83"/>
      <c r="CM592" s="83"/>
      <c r="CN592" s="83"/>
      <c r="CO592" s="83"/>
      <c r="CP592" s="83"/>
      <c r="CQ592" s="83"/>
      <c r="CR592" s="83"/>
      <c r="CS592" s="83"/>
      <c r="CT592" s="83"/>
      <c r="CU592" s="83"/>
      <c r="CV592" s="83"/>
      <c r="CW592" s="83"/>
      <c r="CX592" s="83"/>
      <c r="CY592" s="83"/>
      <c r="CZ592" s="83"/>
      <c r="DA592" s="83"/>
      <c r="DB592" s="83"/>
      <c r="DC592" s="83"/>
      <c r="DD592" s="83"/>
      <c r="DE592" s="83"/>
      <c r="DF592" s="115"/>
      <c r="DG592" s="115"/>
    </row>
    <row r="593" spans="1:111" ht="4.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15"/>
      <c r="BD593" s="115"/>
      <c r="BE593" s="115"/>
      <c r="BF593" s="115"/>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83"/>
      <c r="CN593" s="83"/>
      <c r="CO593" s="83"/>
      <c r="CP593" s="83"/>
      <c r="CQ593" s="83"/>
      <c r="CR593" s="83"/>
      <c r="CS593" s="83"/>
      <c r="CT593" s="83"/>
      <c r="CU593" s="83"/>
      <c r="CV593" s="83"/>
      <c r="CW593" s="83"/>
      <c r="CX593" s="83"/>
      <c r="CY593" s="83"/>
      <c r="CZ593" s="83"/>
      <c r="DA593" s="83"/>
      <c r="DB593" s="83"/>
      <c r="DC593" s="83"/>
      <c r="DD593" s="83"/>
      <c r="DE593" s="83"/>
      <c r="DF593" s="115"/>
      <c r="DG593" s="115"/>
    </row>
    <row r="594" spans="1:111" ht="9" customHeight="1">
      <c r="A594" s="128"/>
      <c r="B594" s="527" t="s">
        <v>457</v>
      </c>
      <c r="C594" s="527"/>
      <c r="D594" s="527"/>
      <c r="E594" s="527"/>
      <c r="F594" s="527"/>
      <c r="G594" s="527"/>
      <c r="H594" s="527"/>
      <c r="I594" s="527"/>
      <c r="J594" s="527"/>
      <c r="K594" s="527"/>
      <c r="L594" s="527"/>
      <c r="M594" s="527"/>
      <c r="N594" s="186"/>
      <c r="O594" s="546"/>
      <c r="P594" s="547"/>
      <c r="Q594" s="547"/>
      <c r="R594" s="547"/>
      <c r="S594" s="547"/>
      <c r="T594" s="547"/>
      <c r="U594" s="547"/>
      <c r="V594" s="547"/>
      <c r="W594" s="547"/>
      <c r="X594" s="547"/>
      <c r="Y594" s="547"/>
      <c r="Z594" s="547"/>
      <c r="AA594" s="547"/>
      <c r="AB594" s="547"/>
      <c r="AC594" s="547"/>
      <c r="AD594" s="547"/>
      <c r="AE594" s="547"/>
      <c r="AF594" s="547"/>
      <c r="AG594" s="547"/>
      <c r="AH594" s="547"/>
      <c r="AI594" s="547"/>
      <c r="AJ594" s="547"/>
      <c r="AK594" s="547"/>
      <c r="AL594" s="547"/>
      <c r="AM594" s="547"/>
      <c r="AN594" s="547"/>
      <c r="AO594" s="547"/>
      <c r="AP594" s="547"/>
      <c r="AQ594" s="547"/>
      <c r="AR594" s="547"/>
      <c r="AS594" s="547"/>
      <c r="AT594" s="547"/>
      <c r="AU594" s="547"/>
      <c r="AV594" s="547"/>
      <c r="AW594" s="547"/>
      <c r="AX594" s="547"/>
      <c r="AY594" s="547"/>
      <c r="AZ594" s="547"/>
      <c r="BA594" s="548"/>
      <c r="BB594" s="128"/>
      <c r="BC594" s="115"/>
      <c r="BD594" s="115"/>
      <c r="BE594" s="115"/>
      <c r="BF594" s="115"/>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c r="CC594" s="83"/>
      <c r="CD594" s="83"/>
      <c r="CE594" s="83"/>
      <c r="CF594" s="83"/>
      <c r="CG594" s="83"/>
      <c r="CH594" s="83"/>
      <c r="CI594" s="83"/>
      <c r="CJ594" s="83"/>
      <c r="CK594" s="83"/>
      <c r="CL594" s="83"/>
      <c r="CM594" s="83"/>
      <c r="CN594" s="83"/>
      <c r="CO594" s="83"/>
      <c r="CP594" s="83"/>
      <c r="CQ594" s="83"/>
      <c r="CR594" s="83"/>
      <c r="CS594" s="83"/>
      <c r="CT594" s="83"/>
      <c r="CU594" s="83"/>
      <c r="CV594" s="83"/>
      <c r="CW594" s="83"/>
      <c r="CX594" s="83"/>
      <c r="CY594" s="83"/>
      <c r="CZ594" s="83"/>
      <c r="DA594" s="83"/>
      <c r="DB594" s="83"/>
      <c r="DC594" s="83"/>
      <c r="DD594" s="83"/>
      <c r="DE594" s="83"/>
      <c r="DF594" s="115"/>
      <c r="DG594" s="115"/>
    </row>
    <row r="595" spans="1:111" ht="9" customHeight="1">
      <c r="A595" s="128"/>
      <c r="B595" s="527"/>
      <c r="C595" s="527"/>
      <c r="D595" s="527"/>
      <c r="E595" s="527"/>
      <c r="F595" s="527"/>
      <c r="G595" s="527"/>
      <c r="H595" s="527"/>
      <c r="I595" s="527"/>
      <c r="J595" s="527"/>
      <c r="K595" s="527"/>
      <c r="L595" s="527"/>
      <c r="M595" s="527"/>
      <c r="N595" s="186"/>
      <c r="O595" s="549"/>
      <c r="P595" s="550"/>
      <c r="Q595" s="550"/>
      <c r="R595" s="550"/>
      <c r="S595" s="550"/>
      <c r="T595" s="550"/>
      <c r="U595" s="550"/>
      <c r="V595" s="550"/>
      <c r="W595" s="550"/>
      <c r="X595" s="550"/>
      <c r="Y595" s="550"/>
      <c r="Z595" s="550"/>
      <c r="AA595" s="550"/>
      <c r="AB595" s="550"/>
      <c r="AC595" s="550"/>
      <c r="AD595" s="550"/>
      <c r="AE595" s="550"/>
      <c r="AF595" s="550"/>
      <c r="AG595" s="550"/>
      <c r="AH595" s="550"/>
      <c r="AI595" s="550"/>
      <c r="AJ595" s="550"/>
      <c r="AK595" s="550"/>
      <c r="AL595" s="550"/>
      <c r="AM595" s="550"/>
      <c r="AN595" s="550"/>
      <c r="AO595" s="550"/>
      <c r="AP595" s="550"/>
      <c r="AQ595" s="550"/>
      <c r="AR595" s="550"/>
      <c r="AS595" s="550"/>
      <c r="AT595" s="550"/>
      <c r="AU595" s="550"/>
      <c r="AV595" s="550"/>
      <c r="AW595" s="550"/>
      <c r="AX595" s="550"/>
      <c r="AY595" s="550"/>
      <c r="AZ595" s="550"/>
      <c r="BA595" s="551"/>
      <c r="BB595" s="128"/>
      <c r="BC595" s="115"/>
      <c r="BD595" s="115"/>
      <c r="BE595" s="115"/>
      <c r="BF595" s="115"/>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c r="CC595" s="83"/>
      <c r="CD595" s="83"/>
      <c r="CE595" s="83"/>
      <c r="CF595" s="83"/>
      <c r="CG595" s="83"/>
      <c r="CH595" s="83"/>
      <c r="CI595" s="83"/>
      <c r="CJ595" s="83"/>
      <c r="CK595" s="83"/>
      <c r="CL595" s="83"/>
      <c r="CM595" s="83"/>
      <c r="CN595" s="83"/>
      <c r="CO595" s="83"/>
      <c r="CP595" s="83"/>
      <c r="CQ595" s="83"/>
      <c r="CR595" s="83"/>
      <c r="CS595" s="83"/>
      <c r="CT595" s="83"/>
      <c r="CU595" s="83"/>
      <c r="CV595" s="83"/>
      <c r="CW595" s="83"/>
      <c r="CX595" s="83"/>
      <c r="CY595" s="83"/>
      <c r="CZ595" s="83"/>
      <c r="DA595" s="83"/>
      <c r="DB595" s="83"/>
      <c r="DC595" s="83"/>
      <c r="DD595" s="83"/>
      <c r="DE595" s="83"/>
      <c r="DF595" s="115"/>
      <c r="DG595" s="115"/>
    </row>
    <row r="596" spans="1:111" ht="9" customHeight="1">
      <c r="A596" s="128"/>
      <c r="B596" s="187"/>
      <c r="C596" s="187"/>
      <c r="D596" s="187"/>
      <c r="E596" s="187"/>
      <c r="F596" s="187"/>
      <c r="G596" s="187"/>
      <c r="H596" s="187"/>
      <c r="I596" s="188"/>
      <c r="J596" s="187"/>
      <c r="K596" s="187"/>
      <c r="L596" s="187"/>
      <c r="M596" s="187"/>
      <c r="N596" s="128"/>
      <c r="O596" s="549"/>
      <c r="P596" s="550"/>
      <c r="Q596" s="550"/>
      <c r="R596" s="550"/>
      <c r="S596" s="550"/>
      <c r="T596" s="550"/>
      <c r="U596" s="550"/>
      <c r="V596" s="550"/>
      <c r="W596" s="550"/>
      <c r="X596" s="550"/>
      <c r="Y596" s="550"/>
      <c r="Z596" s="550"/>
      <c r="AA596" s="550"/>
      <c r="AB596" s="550"/>
      <c r="AC596" s="550"/>
      <c r="AD596" s="550"/>
      <c r="AE596" s="550"/>
      <c r="AF596" s="550"/>
      <c r="AG596" s="550"/>
      <c r="AH596" s="550"/>
      <c r="AI596" s="550"/>
      <c r="AJ596" s="550"/>
      <c r="AK596" s="550"/>
      <c r="AL596" s="550"/>
      <c r="AM596" s="550"/>
      <c r="AN596" s="550"/>
      <c r="AO596" s="550"/>
      <c r="AP596" s="550"/>
      <c r="AQ596" s="550"/>
      <c r="AR596" s="550"/>
      <c r="AS596" s="550"/>
      <c r="AT596" s="550"/>
      <c r="AU596" s="550"/>
      <c r="AV596" s="550"/>
      <c r="AW596" s="550"/>
      <c r="AX596" s="550"/>
      <c r="AY596" s="550"/>
      <c r="AZ596" s="550"/>
      <c r="BA596" s="551"/>
      <c r="BB596" s="128"/>
      <c r="BC596" s="115"/>
      <c r="BD596" s="115"/>
      <c r="BE596" s="115"/>
      <c r="BF596" s="115"/>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83"/>
      <c r="CN596" s="83"/>
      <c r="CO596" s="83"/>
      <c r="CP596" s="83"/>
      <c r="CQ596" s="83"/>
      <c r="CR596" s="83"/>
      <c r="CS596" s="83"/>
      <c r="CT596" s="83"/>
      <c r="CU596" s="83"/>
      <c r="CV596" s="83"/>
      <c r="CW596" s="83"/>
      <c r="CX596" s="83"/>
      <c r="CY596" s="83"/>
      <c r="CZ596" s="83"/>
      <c r="DA596" s="83"/>
      <c r="DB596" s="83"/>
      <c r="DC596" s="83"/>
      <c r="DD596" s="83"/>
      <c r="DE596" s="83"/>
      <c r="DF596" s="115"/>
      <c r="DG596" s="115"/>
    </row>
    <row r="597" spans="1:111" ht="9" customHeight="1">
      <c r="A597" s="128"/>
      <c r="B597" s="187"/>
      <c r="C597" s="187"/>
      <c r="D597" s="187"/>
      <c r="E597" s="187"/>
      <c r="F597" s="187"/>
      <c r="G597" s="187"/>
      <c r="H597" s="187"/>
      <c r="I597" s="188"/>
      <c r="J597" s="187"/>
      <c r="K597" s="187"/>
      <c r="L597" s="187"/>
      <c r="M597" s="187"/>
      <c r="N597" s="128"/>
      <c r="O597" s="552"/>
      <c r="P597" s="553"/>
      <c r="Q597" s="553"/>
      <c r="R597" s="553"/>
      <c r="S597" s="553"/>
      <c r="T597" s="553"/>
      <c r="U597" s="553"/>
      <c r="V597" s="553"/>
      <c r="W597" s="553"/>
      <c r="X597" s="553"/>
      <c r="Y597" s="553"/>
      <c r="Z597" s="553"/>
      <c r="AA597" s="553"/>
      <c r="AB597" s="553"/>
      <c r="AC597" s="553"/>
      <c r="AD597" s="553"/>
      <c r="AE597" s="553"/>
      <c r="AF597" s="553"/>
      <c r="AG597" s="553"/>
      <c r="AH597" s="553"/>
      <c r="AI597" s="553"/>
      <c r="AJ597" s="553"/>
      <c r="AK597" s="553"/>
      <c r="AL597" s="553"/>
      <c r="AM597" s="553"/>
      <c r="AN597" s="553"/>
      <c r="AO597" s="553"/>
      <c r="AP597" s="553"/>
      <c r="AQ597" s="553"/>
      <c r="AR597" s="553"/>
      <c r="AS597" s="553"/>
      <c r="AT597" s="553"/>
      <c r="AU597" s="553"/>
      <c r="AV597" s="553"/>
      <c r="AW597" s="553"/>
      <c r="AX597" s="553"/>
      <c r="AY597" s="553"/>
      <c r="AZ597" s="553"/>
      <c r="BA597" s="554"/>
      <c r="BB597" s="128"/>
      <c r="BC597" s="115"/>
      <c r="BD597" s="115"/>
      <c r="BE597" s="115"/>
      <c r="BF597" s="115"/>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83"/>
      <c r="CN597" s="83"/>
      <c r="CO597" s="83"/>
      <c r="CP597" s="83"/>
      <c r="CQ597" s="83"/>
      <c r="CR597" s="83"/>
      <c r="CS597" s="83"/>
      <c r="CT597" s="83"/>
      <c r="CU597" s="83"/>
      <c r="CV597" s="83"/>
      <c r="CW597" s="83"/>
      <c r="CX597" s="83"/>
      <c r="CY597" s="83"/>
      <c r="CZ597" s="83"/>
      <c r="DA597" s="83"/>
      <c r="DB597" s="83"/>
      <c r="DC597" s="83"/>
      <c r="DD597" s="83"/>
      <c r="DE597" s="83"/>
      <c r="DF597" s="115"/>
      <c r="DG597" s="115"/>
    </row>
    <row r="598" spans="1:111" ht="9"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15"/>
      <c r="BD598" s="115"/>
      <c r="BE598" s="115"/>
      <c r="BF598" s="115"/>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c r="CC598" s="83"/>
      <c r="CD598" s="83"/>
      <c r="CE598" s="83"/>
      <c r="CF598" s="83"/>
      <c r="CG598" s="83"/>
      <c r="CH598" s="83"/>
      <c r="CI598" s="83"/>
      <c r="CJ598" s="83"/>
      <c r="CK598" s="83"/>
      <c r="CL598" s="83"/>
      <c r="CM598" s="83"/>
      <c r="CN598" s="83"/>
      <c r="CO598" s="83"/>
      <c r="CP598" s="83"/>
      <c r="CQ598" s="83"/>
      <c r="CR598" s="83"/>
      <c r="CS598" s="83"/>
      <c r="CT598" s="83"/>
      <c r="CU598" s="83"/>
      <c r="CV598" s="83"/>
      <c r="CW598" s="83"/>
      <c r="CX598" s="83"/>
      <c r="CY598" s="83"/>
      <c r="CZ598" s="83"/>
      <c r="DA598" s="83"/>
      <c r="DB598" s="83"/>
      <c r="DC598" s="83"/>
      <c r="DD598" s="83"/>
      <c r="DE598" s="83"/>
      <c r="DF598" s="115"/>
      <c r="DG598" s="115"/>
    </row>
    <row r="599" spans="1:111" ht="9" hidden="1"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row>
    <row r="600" spans="1:111" ht="9" hidden="1"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row>
    <row r="601" spans="1:111" ht="9" hidden="1"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row>
    <row r="602" spans="1:111" ht="9" hidden="1"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row>
    <row r="603" spans="1:111" ht="9" hidden="1"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row>
    <row r="604" spans="1:111" ht="9" hidden="1"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row>
    <row r="605" spans="1:111" ht="9" hidden="1"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row>
    <row r="606" spans="1:111" ht="9" hidden="1"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8"/>
      <c r="AM606" s="128"/>
      <c r="AN606" s="128"/>
      <c r="AO606" s="128"/>
      <c r="AP606" s="128"/>
      <c r="AQ606" s="128"/>
      <c r="AR606" s="128"/>
      <c r="AS606" s="128"/>
      <c r="AT606" s="128"/>
      <c r="AU606" s="128"/>
      <c r="AV606" s="128"/>
      <c r="AW606" s="128"/>
      <c r="AX606" s="128"/>
      <c r="AY606" s="128"/>
      <c r="AZ606" s="128"/>
      <c r="BA606" s="128"/>
      <c r="BB606" s="128"/>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row>
    <row r="607" spans="1:111" ht="9" hidden="1"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row>
    <row r="608" spans="1:111" ht="9" hidden="1"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row>
    <row r="609" spans="1:111" ht="9" hidden="1"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row>
    <row r="610" spans="1:111" ht="9" hidden="1"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row>
    <row r="611" spans="1:111" ht="9" hidden="1"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row>
    <row r="612" spans="1:111" ht="9" hidden="1"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row>
    <row r="613" spans="1:111" ht="9" hidden="1"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row>
    <row r="614" spans="1:111" ht="9" hidden="1"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row>
    <row r="615" spans="1:111" ht="9" hidden="1"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row>
    <row r="616" spans="1:111" ht="9" hidden="1"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row>
    <row r="617" spans="1:111" ht="9" hidden="1"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row>
    <row r="618" spans="1:111" ht="9" hidden="1"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row>
    <row r="619" spans="1:111" ht="9" hidden="1"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8"/>
      <c r="AM619" s="128"/>
      <c r="AN619" s="128"/>
      <c r="AO619" s="128"/>
      <c r="AP619" s="128"/>
      <c r="AQ619" s="128"/>
      <c r="AR619" s="128"/>
      <c r="AS619" s="128"/>
      <c r="AT619" s="128"/>
      <c r="AU619" s="128"/>
      <c r="AV619" s="128"/>
      <c r="AW619" s="128"/>
      <c r="AX619" s="128"/>
      <c r="AY619" s="128"/>
      <c r="AZ619" s="128"/>
      <c r="BA619" s="128"/>
      <c r="BB619" s="128"/>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row>
    <row r="620" spans="1:111" ht="9" hidden="1"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row>
    <row r="621" spans="1:111" ht="9" hidden="1"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row>
    <row r="622" spans="1:111" ht="9" hidden="1"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row>
    <row r="623" spans="1:111" ht="9" hidden="1"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row>
    <row r="624" spans="1:111" ht="9" hidden="1"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8"/>
      <c r="AX624" s="128"/>
      <c r="AY624" s="128"/>
      <c r="AZ624" s="128"/>
      <c r="BA624" s="128"/>
      <c r="BB624" s="128"/>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row>
    <row r="625" spans="1:111" ht="9" hidden="1"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row>
    <row r="626" spans="1:111" ht="9" hidden="1"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row>
    <row r="627" spans="1:111" ht="9" hidden="1"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row>
    <row r="628" spans="1:111" ht="9" hidden="1"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row>
    <row r="629" spans="1:111" ht="9" hidden="1"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row>
    <row r="630" spans="1:111" ht="9" hidden="1"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row>
    <row r="631" spans="1:111" ht="9" hidden="1"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row>
    <row r="632" spans="1:111" ht="9" hidden="1"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row>
    <row r="633" spans="1:111" ht="9" hidden="1"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row>
    <row r="634" spans="1:111" ht="9" hidden="1"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row>
    <row r="635" spans="1:111" ht="9" hidden="1"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row>
    <row r="636" spans="1:111" ht="9" hidden="1"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row>
    <row r="637" spans="1:111" ht="9" hidden="1"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row>
    <row r="638" spans="1:111" ht="9" hidden="1"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8"/>
      <c r="AM638" s="128"/>
      <c r="AN638" s="128"/>
      <c r="AO638" s="128"/>
      <c r="AP638" s="128"/>
      <c r="AQ638" s="128"/>
      <c r="AR638" s="128"/>
      <c r="AS638" s="128"/>
      <c r="AT638" s="128"/>
      <c r="AU638" s="128"/>
      <c r="AV638" s="128"/>
      <c r="AW638" s="128"/>
      <c r="AX638" s="128"/>
      <c r="AY638" s="128"/>
      <c r="AZ638" s="128"/>
      <c r="BA638" s="128"/>
      <c r="BB638" s="128"/>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row>
    <row r="639" spans="1:111" ht="9" hidden="1"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8"/>
      <c r="AN639" s="128"/>
      <c r="AO639" s="128"/>
      <c r="AP639" s="128"/>
      <c r="AQ639" s="128"/>
      <c r="AR639" s="128"/>
      <c r="AS639" s="128"/>
      <c r="AT639" s="128"/>
      <c r="AU639" s="128"/>
      <c r="AV639" s="128"/>
      <c r="AW639" s="128"/>
      <c r="AX639" s="128"/>
      <c r="AY639" s="128"/>
      <c r="AZ639" s="128"/>
      <c r="BA639" s="128"/>
      <c r="BB639" s="128"/>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row>
    <row r="640" spans="1:111" ht="9" hidden="1"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8"/>
      <c r="AN640" s="128"/>
      <c r="AO640" s="128"/>
      <c r="AP640" s="128"/>
      <c r="AQ640" s="128"/>
      <c r="AR640" s="128"/>
      <c r="AS640" s="128"/>
      <c r="AT640" s="128"/>
      <c r="AU640" s="128"/>
      <c r="AV640" s="128"/>
      <c r="AW640" s="128"/>
      <c r="AX640" s="128"/>
      <c r="AY640" s="128"/>
      <c r="AZ640" s="128"/>
      <c r="BA640" s="128"/>
      <c r="BB640" s="128"/>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row>
    <row r="641" spans="1:111" ht="9" hidden="1"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8"/>
      <c r="AL641" s="128"/>
      <c r="AM641" s="128"/>
      <c r="AN641" s="128"/>
      <c r="AO641" s="128"/>
      <c r="AP641" s="128"/>
      <c r="AQ641" s="128"/>
      <c r="AR641" s="128"/>
      <c r="AS641" s="128"/>
      <c r="AT641" s="128"/>
      <c r="AU641" s="128"/>
      <c r="AV641" s="128"/>
      <c r="AW641" s="128"/>
      <c r="AX641" s="128"/>
      <c r="AY641" s="128"/>
      <c r="AZ641" s="128"/>
      <c r="BA641" s="128"/>
      <c r="BB641" s="128"/>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row>
    <row r="642" spans="1:111" ht="9" hidden="1"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8"/>
      <c r="AX642" s="128"/>
      <c r="AY642" s="128"/>
      <c r="AZ642" s="128"/>
      <c r="BA642" s="128"/>
      <c r="BB642" s="128"/>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row>
    <row r="643" spans="1:111" ht="9" hidden="1"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8"/>
      <c r="AY643" s="128"/>
      <c r="AZ643" s="128"/>
      <c r="BA643" s="128"/>
      <c r="BB643" s="128"/>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row>
    <row r="644" spans="1:111" ht="9" hidden="1"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8"/>
      <c r="AY644" s="128"/>
      <c r="AZ644" s="128"/>
      <c r="BA644" s="128"/>
      <c r="BB644" s="128"/>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row>
    <row r="645" spans="1:111" ht="9" hidden="1"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8"/>
      <c r="AY645" s="128"/>
      <c r="AZ645" s="128"/>
      <c r="BA645" s="128"/>
      <c r="BB645" s="128"/>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row>
    <row r="646" spans="1:111" ht="9" hidden="1"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28"/>
      <c r="AM646" s="128"/>
      <c r="AN646" s="128"/>
      <c r="AO646" s="128"/>
      <c r="AP646" s="128"/>
      <c r="AQ646" s="128"/>
      <c r="AR646" s="128"/>
      <c r="AS646" s="128"/>
      <c r="AT646" s="128"/>
      <c r="AU646" s="128"/>
      <c r="AV646" s="128"/>
      <c r="AW646" s="128"/>
      <c r="AX646" s="128"/>
      <c r="AY646" s="128"/>
      <c r="AZ646" s="128"/>
      <c r="BA646" s="128"/>
      <c r="BB646" s="128"/>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row>
    <row r="647" spans="1:111" ht="9" hidden="1"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8"/>
      <c r="AL647" s="128"/>
      <c r="AM647" s="128"/>
      <c r="AN647" s="128"/>
      <c r="AO647" s="128"/>
      <c r="AP647" s="128"/>
      <c r="AQ647" s="128"/>
      <c r="AR647" s="128"/>
      <c r="AS647" s="128"/>
      <c r="AT647" s="128"/>
      <c r="AU647" s="128"/>
      <c r="AV647" s="128"/>
      <c r="AW647" s="128"/>
      <c r="AX647" s="128"/>
      <c r="AY647" s="128"/>
      <c r="AZ647" s="128"/>
      <c r="BA647" s="128"/>
      <c r="BB647" s="128"/>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row>
    <row r="648" spans="1:111" ht="9" hidden="1"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8"/>
      <c r="AR648" s="128"/>
      <c r="AS648" s="128"/>
      <c r="AT648" s="128"/>
      <c r="AU648" s="128"/>
      <c r="AV648" s="128"/>
      <c r="AW648" s="128"/>
      <c r="AX648" s="128"/>
      <c r="AY648" s="128"/>
      <c r="AZ648" s="128"/>
      <c r="BA648" s="128"/>
      <c r="BB648" s="128"/>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row>
    <row r="649" spans="1:111" ht="9" hidden="1"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8"/>
      <c r="AN649" s="128"/>
      <c r="AO649" s="128"/>
      <c r="AP649" s="128"/>
      <c r="AQ649" s="128"/>
      <c r="AR649" s="128"/>
      <c r="AS649" s="128"/>
      <c r="AT649" s="128"/>
      <c r="AU649" s="128"/>
      <c r="AV649" s="128"/>
      <c r="AW649" s="128"/>
      <c r="AX649" s="128"/>
      <c r="AY649" s="128"/>
      <c r="AZ649" s="128"/>
      <c r="BA649" s="128"/>
      <c r="BB649" s="128"/>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row>
    <row r="650" spans="1:111" ht="9" hidden="1"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8"/>
      <c r="AM650" s="128"/>
      <c r="AN650" s="128"/>
      <c r="AO650" s="128"/>
      <c r="AP650" s="128"/>
      <c r="AQ650" s="128"/>
      <c r="AR650" s="128"/>
      <c r="AS650" s="128"/>
      <c r="AT650" s="128"/>
      <c r="AU650" s="128"/>
      <c r="AV650" s="128"/>
      <c r="AW650" s="128"/>
      <c r="AX650" s="128"/>
      <c r="AY650" s="128"/>
      <c r="AZ650" s="128"/>
      <c r="BA650" s="128"/>
      <c r="BB650" s="128"/>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row>
    <row r="651" spans="1:111" ht="9" hidden="1"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8"/>
      <c r="AM651" s="128"/>
      <c r="AN651" s="128"/>
      <c r="AO651" s="128"/>
      <c r="AP651" s="128"/>
      <c r="AQ651" s="128"/>
      <c r="AR651" s="128"/>
      <c r="AS651" s="128"/>
      <c r="AT651" s="128"/>
      <c r="AU651" s="128"/>
      <c r="AV651" s="128"/>
      <c r="AW651" s="128"/>
      <c r="AX651" s="128"/>
      <c r="AY651" s="128"/>
      <c r="AZ651" s="128"/>
      <c r="BA651" s="128"/>
      <c r="BB651" s="128"/>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row>
    <row r="652" spans="1:111" ht="9" hidden="1"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8"/>
      <c r="AM652" s="128"/>
      <c r="AN652" s="128"/>
      <c r="AO652" s="128"/>
      <c r="AP652" s="128"/>
      <c r="AQ652" s="128"/>
      <c r="AR652" s="128"/>
      <c r="AS652" s="128"/>
      <c r="AT652" s="128"/>
      <c r="AU652" s="128"/>
      <c r="AV652" s="128"/>
      <c r="AW652" s="128"/>
      <c r="AX652" s="128"/>
      <c r="AY652" s="128"/>
      <c r="AZ652" s="128"/>
      <c r="BA652" s="128"/>
      <c r="BB652" s="128"/>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row>
    <row r="653" spans="1:111" ht="9" hidden="1"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8"/>
      <c r="AL653" s="128"/>
      <c r="AM653" s="128"/>
      <c r="AN653" s="128"/>
      <c r="AO653" s="128"/>
      <c r="AP653" s="128"/>
      <c r="AQ653" s="128"/>
      <c r="AR653" s="128"/>
      <c r="AS653" s="128"/>
      <c r="AT653" s="128"/>
      <c r="AU653" s="128"/>
      <c r="AV653" s="128"/>
      <c r="AW653" s="128"/>
      <c r="AX653" s="128"/>
      <c r="AY653" s="128"/>
      <c r="AZ653" s="128"/>
      <c r="BA653" s="128"/>
      <c r="BB653" s="128"/>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row>
    <row r="654" spans="1:111" ht="9" hidden="1"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8"/>
      <c r="AL654" s="128"/>
      <c r="AM654" s="128"/>
      <c r="AN654" s="128"/>
      <c r="AO654" s="128"/>
      <c r="AP654" s="128"/>
      <c r="AQ654" s="128"/>
      <c r="AR654" s="128"/>
      <c r="AS654" s="128"/>
      <c r="AT654" s="128"/>
      <c r="AU654" s="128"/>
      <c r="AV654" s="128"/>
      <c r="AW654" s="128"/>
      <c r="AX654" s="128"/>
      <c r="AY654" s="128"/>
      <c r="AZ654" s="128"/>
      <c r="BA654" s="128"/>
      <c r="BB654" s="128"/>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row>
    <row r="655" spans="1:111" ht="9" hidden="1"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8"/>
      <c r="AL655" s="128"/>
      <c r="AM655" s="128"/>
      <c r="AN655" s="128"/>
      <c r="AO655" s="128"/>
      <c r="AP655" s="128"/>
      <c r="AQ655" s="128"/>
      <c r="AR655" s="128"/>
      <c r="AS655" s="128"/>
      <c r="AT655" s="128"/>
      <c r="AU655" s="128"/>
      <c r="AV655" s="128"/>
      <c r="AW655" s="128"/>
      <c r="AX655" s="128"/>
      <c r="AY655" s="128"/>
      <c r="AZ655" s="128"/>
      <c r="BA655" s="128"/>
      <c r="BB655" s="128"/>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row>
    <row r="656" spans="1:111" ht="9" hidden="1"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8"/>
      <c r="AL656" s="128"/>
      <c r="AM656" s="128"/>
      <c r="AN656" s="128"/>
      <c r="AO656" s="128"/>
      <c r="AP656" s="128"/>
      <c r="AQ656" s="128"/>
      <c r="AR656" s="128"/>
      <c r="AS656" s="128"/>
      <c r="AT656" s="128"/>
      <c r="AU656" s="128"/>
      <c r="AV656" s="128"/>
      <c r="AW656" s="128"/>
      <c r="AX656" s="128"/>
      <c r="AY656" s="128"/>
      <c r="AZ656" s="128"/>
      <c r="BA656" s="128"/>
      <c r="BB656" s="128"/>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row>
    <row r="657" spans="1:111" ht="9" hidden="1"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8"/>
      <c r="AM657" s="128"/>
      <c r="AN657" s="128"/>
      <c r="AO657" s="128"/>
      <c r="AP657" s="128"/>
      <c r="AQ657" s="128"/>
      <c r="AR657" s="128"/>
      <c r="AS657" s="128"/>
      <c r="AT657" s="128"/>
      <c r="AU657" s="128"/>
      <c r="AV657" s="128"/>
      <c r="AW657" s="128"/>
      <c r="AX657" s="128"/>
      <c r="AY657" s="128"/>
      <c r="AZ657" s="128"/>
      <c r="BA657" s="128"/>
      <c r="BB657" s="128"/>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row>
    <row r="658" spans="1:111" ht="9" hidden="1"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8"/>
      <c r="AL658" s="128"/>
      <c r="AM658" s="128"/>
      <c r="AN658" s="128"/>
      <c r="AO658" s="128"/>
      <c r="AP658" s="128"/>
      <c r="AQ658" s="128"/>
      <c r="AR658" s="128"/>
      <c r="AS658" s="128"/>
      <c r="AT658" s="128"/>
      <c r="AU658" s="128"/>
      <c r="AV658" s="128"/>
      <c r="AW658" s="128"/>
      <c r="AX658" s="128"/>
      <c r="AY658" s="128"/>
      <c r="AZ658" s="128"/>
      <c r="BA658" s="128"/>
      <c r="BB658" s="128"/>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row>
    <row r="659" spans="1:111" ht="9" hidden="1"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8"/>
      <c r="AM659" s="128"/>
      <c r="AN659" s="128"/>
      <c r="AO659" s="128"/>
      <c r="AP659" s="128"/>
      <c r="AQ659" s="128"/>
      <c r="AR659" s="128"/>
      <c r="AS659" s="128"/>
      <c r="AT659" s="128"/>
      <c r="AU659" s="128"/>
      <c r="AV659" s="128"/>
      <c r="AW659" s="128"/>
      <c r="AX659" s="128"/>
      <c r="AY659" s="128"/>
      <c r="AZ659" s="128"/>
      <c r="BA659" s="128"/>
      <c r="BB659" s="128"/>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row>
    <row r="660" spans="1:111" ht="9" hidden="1"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8"/>
      <c r="AL660" s="128"/>
      <c r="AM660" s="128"/>
      <c r="AN660" s="128"/>
      <c r="AO660" s="128"/>
      <c r="AP660" s="128"/>
      <c r="AQ660" s="128"/>
      <c r="AR660" s="128"/>
      <c r="AS660" s="128"/>
      <c r="AT660" s="128"/>
      <c r="AU660" s="128"/>
      <c r="AV660" s="128"/>
      <c r="AW660" s="128"/>
      <c r="AX660" s="128"/>
      <c r="AY660" s="128"/>
      <c r="AZ660" s="128"/>
      <c r="BA660" s="128"/>
      <c r="BB660" s="128"/>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row>
    <row r="661" spans="1:111" ht="9" hidden="1"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c r="AB661" s="128"/>
      <c r="AC661" s="128"/>
      <c r="AD661" s="128"/>
      <c r="AE661" s="128"/>
      <c r="AF661" s="128"/>
      <c r="AG661" s="128"/>
      <c r="AH661" s="128"/>
      <c r="AI661" s="128"/>
      <c r="AJ661" s="128"/>
      <c r="AK661" s="128"/>
      <c r="AL661" s="128"/>
      <c r="AM661" s="128"/>
      <c r="AN661" s="128"/>
      <c r="AO661" s="128"/>
      <c r="AP661" s="128"/>
      <c r="AQ661" s="128"/>
      <c r="AR661" s="128"/>
      <c r="AS661" s="128"/>
      <c r="AT661" s="128"/>
      <c r="AU661" s="128"/>
      <c r="AV661" s="128"/>
      <c r="AW661" s="128"/>
      <c r="AX661" s="128"/>
      <c r="AY661" s="128"/>
      <c r="AZ661" s="128"/>
      <c r="BA661" s="128"/>
      <c r="BB661" s="128"/>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row>
    <row r="662" spans="1:111" ht="9" hidden="1"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8"/>
      <c r="AM662" s="128"/>
      <c r="AN662" s="128"/>
      <c r="AO662" s="128"/>
      <c r="AP662" s="128"/>
      <c r="AQ662" s="128"/>
      <c r="AR662" s="128"/>
      <c r="AS662" s="128"/>
      <c r="AT662" s="128"/>
      <c r="AU662" s="128"/>
      <c r="AV662" s="128"/>
      <c r="AW662" s="128"/>
      <c r="AX662" s="128"/>
      <c r="AY662" s="128"/>
      <c r="AZ662" s="128"/>
      <c r="BA662" s="128"/>
      <c r="BB662" s="128"/>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row>
    <row r="663" spans="1:111" ht="9" hidden="1"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c r="AO663" s="128"/>
      <c r="AP663" s="128"/>
      <c r="AQ663" s="128"/>
      <c r="AR663" s="128"/>
      <c r="AS663" s="128"/>
      <c r="AT663" s="128"/>
      <c r="AU663" s="128"/>
      <c r="AV663" s="128"/>
      <c r="AW663" s="128"/>
      <c r="AX663" s="128"/>
      <c r="AY663" s="128"/>
      <c r="AZ663" s="128"/>
      <c r="BA663" s="128"/>
      <c r="BB663" s="128"/>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row>
    <row r="664" spans="1:111" ht="9" hidden="1"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8"/>
      <c r="AL664" s="128"/>
      <c r="AM664" s="128"/>
      <c r="AN664" s="128"/>
      <c r="AO664" s="128"/>
      <c r="AP664" s="128"/>
      <c r="AQ664" s="128"/>
      <c r="AR664" s="128"/>
      <c r="AS664" s="128"/>
      <c r="AT664" s="128"/>
      <c r="AU664" s="128"/>
      <c r="AV664" s="128"/>
      <c r="AW664" s="128"/>
      <c r="AX664" s="128"/>
      <c r="AY664" s="128"/>
      <c r="AZ664" s="128"/>
      <c r="BA664" s="128"/>
      <c r="BB664" s="128"/>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row>
    <row r="665" spans="1:111" ht="9" hidden="1"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8"/>
      <c r="AL665" s="128"/>
      <c r="AM665" s="128"/>
      <c r="AN665" s="128"/>
      <c r="AO665" s="128"/>
      <c r="AP665" s="128"/>
      <c r="AQ665" s="128"/>
      <c r="AR665" s="128"/>
      <c r="AS665" s="128"/>
      <c r="AT665" s="128"/>
      <c r="AU665" s="128"/>
      <c r="AV665" s="128"/>
      <c r="AW665" s="128"/>
      <c r="AX665" s="128"/>
      <c r="AY665" s="128"/>
      <c r="AZ665" s="128"/>
      <c r="BA665" s="128"/>
      <c r="BB665" s="128"/>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row>
    <row r="666" spans="1:111" ht="9" hidden="1"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8"/>
      <c r="AN666" s="128"/>
      <c r="AO666" s="128"/>
      <c r="AP666" s="128"/>
      <c r="AQ666" s="128"/>
      <c r="AR666" s="128"/>
      <c r="AS666" s="128"/>
      <c r="AT666" s="128"/>
      <c r="AU666" s="128"/>
      <c r="AV666" s="128"/>
      <c r="AW666" s="128"/>
      <c r="AX666" s="128"/>
      <c r="AY666" s="128"/>
      <c r="AZ666" s="128"/>
      <c r="BA666" s="128"/>
      <c r="BB666" s="128"/>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row>
    <row r="667" spans="1:111" ht="9" hidden="1"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8"/>
      <c r="AN667" s="128"/>
      <c r="AO667" s="128"/>
      <c r="AP667" s="128"/>
      <c r="AQ667" s="128"/>
      <c r="AR667" s="128"/>
      <c r="AS667" s="128"/>
      <c r="AT667" s="128"/>
      <c r="AU667" s="128"/>
      <c r="AV667" s="128"/>
      <c r="AW667" s="128"/>
      <c r="AX667" s="128"/>
      <c r="AY667" s="128"/>
      <c r="AZ667" s="128"/>
      <c r="BA667" s="128"/>
      <c r="BB667" s="128"/>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row>
    <row r="668" spans="1:111" ht="9" hidden="1"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8"/>
      <c r="AL668" s="128"/>
      <c r="AM668" s="128"/>
      <c r="AN668" s="128"/>
      <c r="AO668" s="128"/>
      <c r="AP668" s="128"/>
      <c r="AQ668" s="128"/>
      <c r="AR668" s="128"/>
      <c r="AS668" s="128"/>
      <c r="AT668" s="128"/>
      <c r="AU668" s="128"/>
      <c r="AV668" s="128"/>
      <c r="AW668" s="128"/>
      <c r="AX668" s="128"/>
      <c r="AY668" s="128"/>
      <c r="AZ668" s="128"/>
      <c r="BA668" s="128"/>
      <c r="BB668" s="128"/>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row>
    <row r="669" spans="1:111" ht="9" hidden="1"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8"/>
      <c r="AN669" s="128"/>
      <c r="AO669" s="128"/>
      <c r="AP669" s="128"/>
      <c r="AQ669" s="128"/>
      <c r="AR669" s="128"/>
      <c r="AS669" s="128"/>
      <c r="AT669" s="128"/>
      <c r="AU669" s="128"/>
      <c r="AV669" s="128"/>
      <c r="AW669" s="128"/>
      <c r="AX669" s="128"/>
      <c r="AY669" s="128"/>
      <c r="AZ669" s="128"/>
      <c r="BA669" s="128"/>
      <c r="BB669" s="128"/>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row>
    <row r="670" spans="1:111" ht="9" hidden="1"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8"/>
      <c r="AL670" s="128"/>
      <c r="AM670" s="128"/>
      <c r="AN670" s="128"/>
      <c r="AO670" s="128"/>
      <c r="AP670" s="128"/>
      <c r="AQ670" s="128"/>
      <c r="AR670" s="128"/>
      <c r="AS670" s="128"/>
      <c r="AT670" s="128"/>
      <c r="AU670" s="128"/>
      <c r="AV670" s="128"/>
      <c r="AW670" s="128"/>
      <c r="AX670" s="128"/>
      <c r="AY670" s="128"/>
      <c r="AZ670" s="128"/>
      <c r="BA670" s="128"/>
      <c r="BB670" s="128"/>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row>
    <row r="671" spans="1:111" ht="9" hidden="1"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8"/>
      <c r="AL671" s="128"/>
      <c r="AM671" s="128"/>
      <c r="AN671" s="128"/>
      <c r="AO671" s="128"/>
      <c r="AP671" s="128"/>
      <c r="AQ671" s="128"/>
      <c r="AR671" s="128"/>
      <c r="AS671" s="128"/>
      <c r="AT671" s="128"/>
      <c r="AU671" s="128"/>
      <c r="AV671" s="128"/>
      <c r="AW671" s="128"/>
      <c r="AX671" s="128"/>
      <c r="AY671" s="128"/>
      <c r="AZ671" s="128"/>
      <c r="BA671" s="128"/>
      <c r="BB671" s="128"/>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row>
    <row r="672" spans="1:111" ht="9" hidden="1"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8"/>
      <c r="AL672" s="128"/>
      <c r="AM672" s="128"/>
      <c r="AN672" s="128"/>
      <c r="AO672" s="128"/>
      <c r="AP672" s="128"/>
      <c r="AQ672" s="128"/>
      <c r="AR672" s="128"/>
      <c r="AS672" s="128"/>
      <c r="AT672" s="128"/>
      <c r="AU672" s="128"/>
      <c r="AV672" s="128"/>
      <c r="AW672" s="128"/>
      <c r="AX672" s="128"/>
      <c r="AY672" s="128"/>
      <c r="AZ672" s="128"/>
      <c r="BA672" s="128"/>
      <c r="BB672" s="128"/>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row>
    <row r="673" spans="1:111" ht="9" hidden="1"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8"/>
      <c r="AL673" s="128"/>
      <c r="AM673" s="128"/>
      <c r="AN673" s="128"/>
      <c r="AO673" s="128"/>
      <c r="AP673" s="128"/>
      <c r="AQ673" s="128"/>
      <c r="AR673" s="128"/>
      <c r="AS673" s="128"/>
      <c r="AT673" s="128"/>
      <c r="AU673" s="128"/>
      <c r="AV673" s="128"/>
      <c r="AW673" s="128"/>
      <c r="AX673" s="128"/>
      <c r="AY673" s="128"/>
      <c r="AZ673" s="128"/>
      <c r="BA673" s="128"/>
      <c r="BB673" s="128"/>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row>
    <row r="674" spans="1:111" ht="9" hidden="1"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8"/>
      <c r="AL674" s="128"/>
      <c r="AM674" s="128"/>
      <c r="AN674" s="128"/>
      <c r="AO674" s="128"/>
      <c r="AP674" s="128"/>
      <c r="AQ674" s="128"/>
      <c r="AR674" s="128"/>
      <c r="AS674" s="128"/>
      <c r="AT674" s="128"/>
      <c r="AU674" s="128"/>
      <c r="AV674" s="128"/>
      <c r="AW674" s="128"/>
      <c r="AX674" s="128"/>
      <c r="AY674" s="128"/>
      <c r="AZ674" s="128"/>
      <c r="BA674" s="128"/>
      <c r="BB674" s="128"/>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row>
    <row r="675" spans="1:111" ht="9" hidden="1"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8"/>
      <c r="AL675" s="128"/>
      <c r="AM675" s="128"/>
      <c r="AN675" s="128"/>
      <c r="AO675" s="128"/>
      <c r="AP675" s="128"/>
      <c r="AQ675" s="128"/>
      <c r="AR675" s="128"/>
      <c r="AS675" s="128"/>
      <c r="AT675" s="128"/>
      <c r="AU675" s="128"/>
      <c r="AV675" s="128"/>
      <c r="AW675" s="128"/>
      <c r="AX675" s="128"/>
      <c r="AY675" s="128"/>
      <c r="AZ675" s="128"/>
      <c r="BA675" s="128"/>
      <c r="BB675" s="128"/>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row>
    <row r="676" spans="1:111" ht="9" hidden="1"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8"/>
      <c r="AL676" s="128"/>
      <c r="AM676" s="128"/>
      <c r="AN676" s="128"/>
      <c r="AO676" s="128"/>
      <c r="AP676" s="128"/>
      <c r="AQ676" s="128"/>
      <c r="AR676" s="128"/>
      <c r="AS676" s="128"/>
      <c r="AT676" s="128"/>
      <c r="AU676" s="128"/>
      <c r="AV676" s="128"/>
      <c r="AW676" s="128"/>
      <c r="AX676" s="128"/>
      <c r="AY676" s="128"/>
      <c r="AZ676" s="128"/>
      <c r="BA676" s="128"/>
      <c r="BB676" s="128"/>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row>
    <row r="677" spans="1:111" ht="9" hidden="1"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8"/>
      <c r="AL677" s="128"/>
      <c r="AM677" s="128"/>
      <c r="AN677" s="128"/>
      <c r="AO677" s="128"/>
      <c r="AP677" s="128"/>
      <c r="AQ677" s="128"/>
      <c r="AR677" s="128"/>
      <c r="AS677" s="128"/>
      <c r="AT677" s="128"/>
      <c r="AU677" s="128"/>
      <c r="AV677" s="128"/>
      <c r="AW677" s="128"/>
      <c r="AX677" s="128"/>
      <c r="AY677" s="128"/>
      <c r="AZ677" s="128"/>
      <c r="BA677" s="128"/>
      <c r="BB677" s="128"/>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row>
    <row r="678" spans="1:111" ht="9" hidden="1"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c r="AO678" s="128"/>
      <c r="AP678" s="128"/>
      <c r="AQ678" s="128"/>
      <c r="AR678" s="128"/>
      <c r="AS678" s="128"/>
      <c r="AT678" s="128"/>
      <c r="AU678" s="128"/>
      <c r="AV678" s="128"/>
      <c r="AW678" s="128"/>
      <c r="AX678" s="128"/>
      <c r="AY678" s="128"/>
      <c r="AZ678" s="128"/>
      <c r="BA678" s="128"/>
      <c r="BB678" s="128"/>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row>
    <row r="679" spans="1:111" ht="9" hidden="1"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8"/>
      <c r="AY679" s="128"/>
      <c r="AZ679" s="128"/>
      <c r="BA679" s="128"/>
      <c r="BB679" s="128"/>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row>
    <row r="680" spans="1:111" ht="9" hidden="1"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c r="AO680" s="128"/>
      <c r="AP680" s="128"/>
      <c r="AQ680" s="128"/>
      <c r="AR680" s="128"/>
      <c r="AS680" s="128"/>
      <c r="AT680" s="128"/>
      <c r="AU680" s="128"/>
      <c r="AV680" s="128"/>
      <c r="AW680" s="128"/>
      <c r="AX680" s="128"/>
      <c r="AY680" s="128"/>
      <c r="AZ680" s="128"/>
      <c r="BA680" s="128"/>
      <c r="BB680" s="128"/>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row>
    <row r="681" spans="1:111" ht="9" hidden="1"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8"/>
      <c r="AN681" s="128"/>
      <c r="AO681" s="128"/>
      <c r="AP681" s="128"/>
      <c r="AQ681" s="128"/>
      <c r="AR681" s="128"/>
      <c r="AS681" s="128"/>
      <c r="AT681" s="128"/>
      <c r="AU681" s="128"/>
      <c r="AV681" s="128"/>
      <c r="AW681" s="128"/>
      <c r="AX681" s="128"/>
      <c r="AY681" s="128"/>
      <c r="AZ681" s="128"/>
      <c r="BA681" s="128"/>
      <c r="BB681" s="128"/>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row>
    <row r="682" spans="1:111" ht="9" hidden="1"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8"/>
      <c r="AN682" s="128"/>
      <c r="AO682" s="128"/>
      <c r="AP682" s="128"/>
      <c r="AQ682" s="128"/>
      <c r="AR682" s="128"/>
      <c r="AS682" s="128"/>
      <c r="AT682" s="128"/>
      <c r="AU682" s="128"/>
      <c r="AV682" s="128"/>
      <c r="AW682" s="128"/>
      <c r="AX682" s="128"/>
      <c r="AY682" s="128"/>
      <c r="AZ682" s="128"/>
      <c r="BA682" s="128"/>
      <c r="BB682" s="128"/>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row>
    <row r="683" spans="1:111" ht="9" hidden="1"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8"/>
      <c r="AN683" s="128"/>
      <c r="AO683" s="128"/>
      <c r="AP683" s="128"/>
      <c r="AQ683" s="128"/>
      <c r="AR683" s="128"/>
      <c r="AS683" s="128"/>
      <c r="AT683" s="128"/>
      <c r="AU683" s="128"/>
      <c r="AV683" s="128"/>
      <c r="AW683" s="128"/>
      <c r="AX683" s="128"/>
      <c r="AY683" s="128"/>
      <c r="AZ683" s="128"/>
      <c r="BA683" s="128"/>
      <c r="BB683" s="128"/>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row>
    <row r="684" spans="1:111" ht="9" hidden="1"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8"/>
      <c r="AL684" s="128"/>
      <c r="AM684" s="128"/>
      <c r="AN684" s="128"/>
      <c r="AO684" s="128"/>
      <c r="AP684" s="128"/>
      <c r="AQ684" s="128"/>
      <c r="AR684" s="128"/>
      <c r="AS684" s="128"/>
      <c r="AT684" s="128"/>
      <c r="AU684" s="128"/>
      <c r="AV684" s="128"/>
      <c r="AW684" s="128"/>
      <c r="AX684" s="128"/>
      <c r="AY684" s="128"/>
      <c r="AZ684" s="128"/>
      <c r="BA684" s="128"/>
      <c r="BB684" s="128"/>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row>
    <row r="685" spans="1:111" ht="9" hidden="1"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8"/>
      <c r="AN685" s="128"/>
      <c r="AO685" s="128"/>
      <c r="AP685" s="128"/>
      <c r="AQ685" s="128"/>
      <c r="AR685" s="128"/>
      <c r="AS685" s="128"/>
      <c r="AT685" s="128"/>
      <c r="AU685" s="128"/>
      <c r="AV685" s="128"/>
      <c r="AW685" s="128"/>
      <c r="AX685" s="128"/>
      <c r="AY685" s="128"/>
      <c r="AZ685" s="128"/>
      <c r="BA685" s="128"/>
      <c r="BB685" s="128"/>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row>
    <row r="686" spans="1:111" ht="9" hidden="1"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8"/>
      <c r="AN686" s="128"/>
      <c r="AO686" s="128"/>
      <c r="AP686" s="128"/>
      <c r="AQ686" s="128"/>
      <c r="AR686" s="128"/>
      <c r="AS686" s="128"/>
      <c r="AT686" s="128"/>
      <c r="AU686" s="128"/>
      <c r="AV686" s="128"/>
      <c r="AW686" s="128"/>
      <c r="AX686" s="128"/>
      <c r="AY686" s="128"/>
      <c r="AZ686" s="128"/>
      <c r="BA686" s="128"/>
      <c r="BB686" s="128"/>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row>
    <row r="687" spans="1:111" ht="9" hidden="1"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8"/>
      <c r="AL687" s="128"/>
      <c r="AM687" s="128"/>
      <c r="AN687" s="128"/>
      <c r="AO687" s="128"/>
      <c r="AP687" s="128"/>
      <c r="AQ687" s="128"/>
      <c r="AR687" s="128"/>
      <c r="AS687" s="128"/>
      <c r="AT687" s="128"/>
      <c r="AU687" s="128"/>
      <c r="AV687" s="128"/>
      <c r="AW687" s="128"/>
      <c r="AX687" s="128"/>
      <c r="AY687" s="128"/>
      <c r="AZ687" s="128"/>
      <c r="BA687" s="128"/>
      <c r="BB687" s="128"/>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row>
    <row r="688" spans="1:111" ht="9" hidden="1"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8"/>
      <c r="AL688" s="128"/>
      <c r="AM688" s="128"/>
      <c r="AN688" s="128"/>
      <c r="AO688" s="128"/>
      <c r="AP688" s="128"/>
      <c r="AQ688" s="128"/>
      <c r="AR688" s="128"/>
      <c r="AS688" s="128"/>
      <c r="AT688" s="128"/>
      <c r="AU688" s="128"/>
      <c r="AV688" s="128"/>
      <c r="AW688" s="128"/>
      <c r="AX688" s="128"/>
      <c r="AY688" s="128"/>
      <c r="AZ688" s="128"/>
      <c r="BA688" s="128"/>
      <c r="BB688" s="128"/>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row>
    <row r="689" spans="1:111" ht="9" hidden="1"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8"/>
      <c r="AL689" s="128"/>
      <c r="AM689" s="128"/>
      <c r="AN689" s="128"/>
      <c r="AO689" s="128"/>
      <c r="AP689" s="128"/>
      <c r="AQ689" s="128"/>
      <c r="AR689" s="128"/>
      <c r="AS689" s="128"/>
      <c r="AT689" s="128"/>
      <c r="AU689" s="128"/>
      <c r="AV689" s="128"/>
      <c r="AW689" s="128"/>
      <c r="AX689" s="128"/>
      <c r="AY689" s="128"/>
      <c r="AZ689" s="128"/>
      <c r="BA689" s="128"/>
      <c r="BB689" s="128"/>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row>
    <row r="690" spans="1:111" ht="9" hidden="1"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8"/>
      <c r="AL690" s="128"/>
      <c r="AM690" s="128"/>
      <c r="AN690" s="128"/>
      <c r="AO690" s="128"/>
      <c r="AP690" s="128"/>
      <c r="AQ690" s="128"/>
      <c r="AR690" s="128"/>
      <c r="AS690" s="128"/>
      <c r="AT690" s="128"/>
      <c r="AU690" s="128"/>
      <c r="AV690" s="128"/>
      <c r="AW690" s="128"/>
      <c r="AX690" s="128"/>
      <c r="AY690" s="128"/>
      <c r="AZ690" s="128"/>
      <c r="BA690" s="128"/>
      <c r="BB690" s="128"/>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row>
    <row r="691" spans="1:111" ht="9" hidden="1"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8"/>
      <c r="AL691" s="128"/>
      <c r="AM691" s="128"/>
      <c r="AN691" s="128"/>
      <c r="AO691" s="128"/>
      <c r="AP691" s="128"/>
      <c r="AQ691" s="128"/>
      <c r="AR691" s="128"/>
      <c r="AS691" s="128"/>
      <c r="AT691" s="128"/>
      <c r="AU691" s="128"/>
      <c r="AV691" s="128"/>
      <c r="AW691" s="128"/>
      <c r="AX691" s="128"/>
      <c r="AY691" s="128"/>
      <c r="AZ691" s="128"/>
      <c r="BA691" s="128"/>
      <c r="BB691" s="128"/>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row>
    <row r="692" spans="1:111" ht="9" hidden="1"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8"/>
      <c r="AL692" s="128"/>
      <c r="AM692" s="128"/>
      <c r="AN692" s="128"/>
      <c r="AO692" s="128"/>
      <c r="AP692" s="128"/>
      <c r="AQ692" s="128"/>
      <c r="AR692" s="128"/>
      <c r="AS692" s="128"/>
      <c r="AT692" s="128"/>
      <c r="AU692" s="128"/>
      <c r="AV692" s="128"/>
      <c r="AW692" s="128"/>
      <c r="AX692" s="128"/>
      <c r="AY692" s="128"/>
      <c r="AZ692" s="128"/>
      <c r="BA692" s="128"/>
      <c r="BB692" s="128"/>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row>
    <row r="693" spans="1:111" ht="9" hidden="1"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8"/>
      <c r="AL693" s="128"/>
      <c r="AM693" s="128"/>
      <c r="AN693" s="128"/>
      <c r="AO693" s="128"/>
      <c r="AP693" s="128"/>
      <c r="AQ693" s="128"/>
      <c r="AR693" s="128"/>
      <c r="AS693" s="128"/>
      <c r="AT693" s="128"/>
      <c r="AU693" s="128"/>
      <c r="AV693" s="128"/>
      <c r="AW693" s="128"/>
      <c r="AX693" s="128"/>
      <c r="AY693" s="128"/>
      <c r="AZ693" s="128"/>
      <c r="BA693" s="128"/>
      <c r="BB693" s="128"/>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row>
    <row r="694" spans="1:111" ht="9" hidden="1"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c r="AH694" s="128"/>
      <c r="AI694" s="128"/>
      <c r="AJ694" s="128"/>
      <c r="AK694" s="128"/>
      <c r="AL694" s="128"/>
      <c r="AM694" s="128"/>
      <c r="AN694" s="128"/>
      <c r="AO694" s="128"/>
      <c r="AP694" s="128"/>
      <c r="AQ694" s="128"/>
      <c r="AR694" s="128"/>
      <c r="AS694" s="128"/>
      <c r="AT694" s="128"/>
      <c r="AU694" s="128"/>
      <c r="AV694" s="128"/>
      <c r="AW694" s="128"/>
      <c r="AX694" s="128"/>
      <c r="AY694" s="128"/>
      <c r="AZ694" s="128"/>
      <c r="BA694" s="128"/>
      <c r="BB694" s="128"/>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row>
    <row r="695" spans="1:111" ht="9" hidden="1"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8"/>
      <c r="AN695" s="128"/>
      <c r="AO695" s="128"/>
      <c r="AP695" s="128"/>
      <c r="AQ695" s="128"/>
      <c r="AR695" s="128"/>
      <c r="AS695" s="128"/>
      <c r="AT695" s="128"/>
      <c r="AU695" s="128"/>
      <c r="AV695" s="128"/>
      <c r="AW695" s="128"/>
      <c r="AX695" s="128"/>
      <c r="AY695" s="128"/>
      <c r="AZ695" s="128"/>
      <c r="BA695" s="128"/>
      <c r="BB695" s="128"/>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row>
    <row r="696" spans="1:111" ht="9" hidden="1"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8"/>
      <c r="AL696" s="128"/>
      <c r="AM696" s="128"/>
      <c r="AN696" s="128"/>
      <c r="AO696" s="128"/>
      <c r="AP696" s="128"/>
      <c r="AQ696" s="128"/>
      <c r="AR696" s="128"/>
      <c r="AS696" s="128"/>
      <c r="AT696" s="128"/>
      <c r="AU696" s="128"/>
      <c r="AV696" s="128"/>
      <c r="AW696" s="128"/>
      <c r="AX696" s="128"/>
      <c r="AY696" s="128"/>
      <c r="AZ696" s="128"/>
      <c r="BA696" s="128"/>
      <c r="BB696" s="128"/>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row>
    <row r="697" spans="1:111" ht="9" hidden="1"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8"/>
      <c r="AY697" s="128"/>
      <c r="AZ697" s="128"/>
      <c r="BA697" s="128"/>
      <c r="BB697" s="128"/>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row>
    <row r="698" spans="1:111" ht="9" hidden="1"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8"/>
      <c r="AY698" s="128"/>
      <c r="AZ698" s="128"/>
      <c r="BA698" s="128"/>
      <c r="BB698" s="128"/>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row>
    <row r="699" spans="1:111" ht="9" hidden="1"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28"/>
      <c r="AM699" s="128"/>
      <c r="AN699" s="128"/>
      <c r="AO699" s="128"/>
      <c r="AP699" s="128"/>
      <c r="AQ699" s="128"/>
      <c r="AR699" s="128"/>
      <c r="AS699" s="128"/>
      <c r="AT699" s="128"/>
      <c r="AU699" s="128"/>
      <c r="AV699" s="128"/>
      <c r="AW699" s="128"/>
      <c r="AX699" s="128"/>
      <c r="AY699" s="128"/>
      <c r="AZ699" s="128"/>
      <c r="BA699" s="128"/>
      <c r="BB699" s="128"/>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row>
    <row r="700" spans="1:111" ht="9" hidden="1"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8"/>
      <c r="AL700" s="128"/>
      <c r="AM700" s="128"/>
      <c r="AN700" s="128"/>
      <c r="AO700" s="128"/>
      <c r="AP700" s="128"/>
      <c r="AQ700" s="128"/>
      <c r="AR700" s="128"/>
      <c r="AS700" s="128"/>
      <c r="AT700" s="128"/>
      <c r="AU700" s="128"/>
      <c r="AV700" s="128"/>
      <c r="AW700" s="128"/>
      <c r="AX700" s="128"/>
      <c r="AY700" s="128"/>
      <c r="AZ700" s="128"/>
      <c r="BA700" s="128"/>
      <c r="BB700" s="128"/>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row>
    <row r="701" spans="1:111" ht="9" hidden="1"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c r="AO701" s="128"/>
      <c r="AP701" s="128"/>
      <c r="AQ701" s="128"/>
      <c r="AR701" s="128"/>
      <c r="AS701" s="128"/>
      <c r="AT701" s="128"/>
      <c r="AU701" s="128"/>
      <c r="AV701" s="128"/>
      <c r="AW701" s="128"/>
      <c r="AX701" s="128"/>
      <c r="AY701" s="128"/>
      <c r="AZ701" s="128"/>
      <c r="BA701" s="128"/>
      <c r="BB701" s="128"/>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row>
    <row r="702" spans="1:111" ht="9" hidden="1"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c r="AO702" s="128"/>
      <c r="AP702" s="128"/>
      <c r="AQ702" s="128"/>
      <c r="AR702" s="128"/>
      <c r="AS702" s="128"/>
      <c r="AT702" s="128"/>
      <c r="AU702" s="128"/>
      <c r="AV702" s="128"/>
      <c r="AW702" s="128"/>
      <c r="AX702" s="128"/>
      <c r="AY702" s="128"/>
      <c r="AZ702" s="128"/>
      <c r="BA702" s="128"/>
      <c r="BB702" s="128"/>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row>
    <row r="703" spans="1:111" ht="9" hidden="1"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c r="AO703" s="128"/>
      <c r="AP703" s="128"/>
      <c r="AQ703" s="128"/>
      <c r="AR703" s="128"/>
      <c r="AS703" s="128"/>
      <c r="AT703" s="128"/>
      <c r="AU703" s="128"/>
      <c r="AV703" s="128"/>
      <c r="AW703" s="128"/>
      <c r="AX703" s="128"/>
      <c r="AY703" s="128"/>
      <c r="AZ703" s="128"/>
      <c r="BA703" s="128"/>
      <c r="BB703" s="128"/>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row>
    <row r="704" spans="1:111" ht="9" hidden="1"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c r="AO704" s="128"/>
      <c r="AP704" s="128"/>
      <c r="AQ704" s="128"/>
      <c r="AR704" s="128"/>
      <c r="AS704" s="128"/>
      <c r="AT704" s="128"/>
      <c r="AU704" s="128"/>
      <c r="AV704" s="128"/>
      <c r="AW704" s="128"/>
      <c r="AX704" s="128"/>
      <c r="AY704" s="128"/>
      <c r="AZ704" s="128"/>
      <c r="BA704" s="128"/>
      <c r="BB704" s="128"/>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row>
    <row r="705" spans="1:111" ht="9" hidden="1"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c r="AQ705" s="128"/>
      <c r="AR705" s="128"/>
      <c r="AS705" s="128"/>
      <c r="AT705" s="128"/>
      <c r="AU705" s="128"/>
      <c r="AV705" s="128"/>
      <c r="AW705" s="128"/>
      <c r="AX705" s="128"/>
      <c r="AY705" s="128"/>
      <c r="AZ705" s="128"/>
      <c r="BA705" s="128"/>
      <c r="BB705" s="128"/>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row>
    <row r="706" spans="1:111" ht="9" hidden="1"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c r="AO706" s="128"/>
      <c r="AP706" s="128"/>
      <c r="AQ706" s="128"/>
      <c r="AR706" s="128"/>
      <c r="AS706" s="128"/>
      <c r="AT706" s="128"/>
      <c r="AU706" s="128"/>
      <c r="AV706" s="128"/>
      <c r="AW706" s="128"/>
      <c r="AX706" s="128"/>
      <c r="AY706" s="128"/>
      <c r="AZ706" s="128"/>
      <c r="BA706" s="128"/>
      <c r="BB706" s="128"/>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row>
    <row r="707" spans="1:111" ht="9" hidden="1"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c r="AO707" s="128"/>
      <c r="AP707" s="128"/>
      <c r="AQ707" s="128"/>
      <c r="AR707" s="128"/>
      <c r="AS707" s="128"/>
      <c r="AT707" s="128"/>
      <c r="AU707" s="128"/>
      <c r="AV707" s="128"/>
      <c r="AW707" s="128"/>
      <c r="AX707" s="128"/>
      <c r="AY707" s="128"/>
      <c r="AZ707" s="128"/>
      <c r="BA707" s="128"/>
      <c r="BB707" s="128"/>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row>
    <row r="708" spans="1:111" ht="9" hidden="1"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c r="AO708" s="128"/>
      <c r="AP708" s="128"/>
      <c r="AQ708" s="128"/>
      <c r="AR708" s="128"/>
      <c r="AS708" s="128"/>
      <c r="AT708" s="128"/>
      <c r="AU708" s="128"/>
      <c r="AV708" s="128"/>
      <c r="AW708" s="128"/>
      <c r="AX708" s="128"/>
      <c r="AY708" s="128"/>
      <c r="AZ708" s="128"/>
      <c r="BA708" s="128"/>
      <c r="BB708" s="128"/>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row>
    <row r="709" spans="1:111" ht="9" hidden="1"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c r="AO709" s="128"/>
      <c r="AP709" s="128"/>
      <c r="AQ709" s="128"/>
      <c r="AR709" s="128"/>
      <c r="AS709" s="128"/>
      <c r="AT709" s="128"/>
      <c r="AU709" s="128"/>
      <c r="AV709" s="128"/>
      <c r="AW709" s="128"/>
      <c r="AX709" s="128"/>
      <c r="AY709" s="128"/>
      <c r="AZ709" s="128"/>
      <c r="BA709" s="128"/>
      <c r="BB709" s="128"/>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row>
    <row r="710" spans="1:111" ht="9" hidden="1"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c r="AO710" s="128"/>
      <c r="AP710" s="128"/>
      <c r="AQ710" s="128"/>
      <c r="AR710" s="128"/>
      <c r="AS710" s="128"/>
      <c r="AT710" s="128"/>
      <c r="AU710" s="128"/>
      <c r="AV710" s="128"/>
      <c r="AW710" s="128"/>
      <c r="AX710" s="128"/>
      <c r="AY710" s="128"/>
      <c r="AZ710" s="128"/>
      <c r="BA710" s="128"/>
      <c r="BB710" s="128"/>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c r="BY710" s="115"/>
      <c r="BZ710" s="115"/>
      <c r="CA710" s="115"/>
      <c r="CB710" s="115"/>
      <c r="CC710" s="115"/>
      <c r="CD710" s="115"/>
      <c r="CE710" s="115"/>
      <c r="CF710" s="115"/>
      <c r="CG710" s="115"/>
      <c r="CH710" s="115"/>
      <c r="CI710" s="115"/>
      <c r="CJ710" s="115"/>
      <c r="CK710" s="115"/>
      <c r="CL710" s="115"/>
      <c r="CM710" s="115"/>
      <c r="CN710" s="115"/>
      <c r="CO710" s="115"/>
      <c r="CP710" s="115"/>
      <c r="CQ710" s="115"/>
      <c r="CR710" s="115"/>
      <c r="CS710" s="115"/>
      <c r="CT710" s="115"/>
      <c r="CU710" s="115"/>
      <c r="CV710" s="115"/>
      <c r="CW710" s="115"/>
      <c r="CX710" s="115"/>
      <c r="CY710" s="115"/>
      <c r="CZ710" s="115"/>
      <c r="DA710" s="115"/>
      <c r="DB710" s="115"/>
      <c r="DC710" s="115"/>
      <c r="DD710" s="115"/>
      <c r="DE710" s="115"/>
      <c r="DF710" s="115"/>
      <c r="DG710" s="115"/>
    </row>
    <row r="711" spans="1:111" ht="9" hidden="1"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c r="AO711" s="128"/>
      <c r="AP711" s="128"/>
      <c r="AQ711" s="128"/>
      <c r="AR711" s="128"/>
      <c r="AS711" s="128"/>
      <c r="AT711" s="128"/>
      <c r="AU711" s="128"/>
      <c r="AV711" s="128"/>
      <c r="AW711" s="128"/>
      <c r="AX711" s="128"/>
      <c r="AY711" s="128"/>
      <c r="AZ711" s="128"/>
      <c r="BA711" s="128"/>
      <c r="BB711" s="128"/>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c r="BY711" s="115"/>
      <c r="BZ711" s="115"/>
      <c r="CA711" s="115"/>
      <c r="CB711" s="115"/>
      <c r="CC711" s="115"/>
      <c r="CD711" s="115"/>
      <c r="CE711" s="115"/>
      <c r="CF711" s="115"/>
      <c r="CG711" s="115"/>
      <c r="CH711" s="115"/>
      <c r="CI711" s="115"/>
      <c r="CJ711" s="115"/>
      <c r="CK711" s="115"/>
      <c r="CL711" s="115"/>
      <c r="CM711" s="115"/>
      <c r="CN711" s="115"/>
      <c r="CO711" s="115"/>
      <c r="CP711" s="115"/>
      <c r="CQ711" s="115"/>
      <c r="CR711" s="115"/>
      <c r="CS711" s="115"/>
      <c r="CT711" s="115"/>
      <c r="CU711" s="115"/>
      <c r="CV711" s="115"/>
      <c r="CW711" s="115"/>
      <c r="CX711" s="115"/>
      <c r="CY711" s="115"/>
      <c r="CZ711" s="115"/>
      <c r="DA711" s="115"/>
      <c r="DB711" s="115"/>
      <c r="DC711" s="115"/>
      <c r="DD711" s="115"/>
      <c r="DE711" s="115"/>
      <c r="DF711" s="115"/>
      <c r="DG711" s="115"/>
    </row>
    <row r="712" spans="1:111" ht="9" hidden="1"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c r="AO712" s="128"/>
      <c r="AP712" s="128"/>
      <c r="AQ712" s="128"/>
      <c r="AR712" s="128"/>
      <c r="AS712" s="128"/>
      <c r="AT712" s="128"/>
      <c r="AU712" s="128"/>
      <c r="AV712" s="128"/>
      <c r="AW712" s="128"/>
      <c r="AX712" s="128"/>
      <c r="AY712" s="128"/>
      <c r="AZ712" s="128"/>
      <c r="BA712" s="128"/>
      <c r="BB712" s="128"/>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c r="BY712" s="115"/>
      <c r="BZ712" s="115"/>
      <c r="CA712" s="115"/>
      <c r="CB712" s="115"/>
      <c r="CC712" s="115"/>
      <c r="CD712" s="115"/>
      <c r="CE712" s="115"/>
      <c r="CF712" s="115"/>
      <c r="CG712" s="115"/>
      <c r="CH712" s="115"/>
      <c r="CI712" s="115"/>
      <c r="CJ712" s="115"/>
      <c r="CK712" s="115"/>
      <c r="CL712" s="115"/>
      <c r="CM712" s="115"/>
      <c r="CN712" s="115"/>
      <c r="CO712" s="115"/>
      <c r="CP712" s="115"/>
      <c r="CQ712" s="115"/>
      <c r="CR712" s="115"/>
      <c r="CS712" s="115"/>
      <c r="CT712" s="115"/>
      <c r="CU712" s="115"/>
      <c r="CV712" s="115"/>
      <c r="CW712" s="115"/>
      <c r="CX712" s="115"/>
      <c r="CY712" s="115"/>
      <c r="CZ712" s="115"/>
      <c r="DA712" s="115"/>
      <c r="DB712" s="115"/>
      <c r="DC712" s="115"/>
      <c r="DD712" s="115"/>
      <c r="DE712" s="115"/>
      <c r="DF712" s="115"/>
      <c r="DG712" s="115"/>
    </row>
    <row r="713" spans="1:111" hidden="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c r="AO713" s="128"/>
      <c r="AP713" s="128"/>
      <c r="AQ713" s="128"/>
      <c r="AR713" s="128"/>
      <c r="AS713" s="128"/>
      <c r="AT713" s="128"/>
      <c r="AU713" s="128"/>
      <c r="AV713" s="128"/>
      <c r="AW713" s="128"/>
      <c r="AX713" s="128"/>
      <c r="AY713" s="128"/>
      <c r="AZ713" s="128"/>
      <c r="BA713" s="128"/>
      <c r="BB713" s="128"/>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c r="BY713" s="115"/>
      <c r="BZ713" s="115"/>
      <c r="CA713" s="115"/>
      <c r="CB713" s="115"/>
      <c r="CC713" s="115"/>
      <c r="CD713" s="115"/>
      <c r="CE713" s="115"/>
      <c r="CF713" s="115"/>
      <c r="CG713" s="115"/>
      <c r="CH713" s="115"/>
      <c r="CI713" s="115"/>
      <c r="CJ713" s="115"/>
      <c r="CK713" s="115"/>
      <c r="CL713" s="115"/>
      <c r="CM713" s="115"/>
      <c r="CN713" s="115"/>
      <c r="CO713" s="115"/>
      <c r="CP713" s="115"/>
      <c r="CQ713" s="115"/>
      <c r="CR713" s="115"/>
      <c r="CS713" s="115"/>
      <c r="CT713" s="115"/>
      <c r="CU713" s="115"/>
      <c r="CV713" s="115"/>
      <c r="CW713" s="115"/>
      <c r="CX713" s="115"/>
      <c r="CY713" s="115"/>
      <c r="CZ713" s="115"/>
      <c r="DA713" s="115"/>
      <c r="DB713" s="115"/>
      <c r="DC713" s="115"/>
      <c r="DD713" s="115"/>
      <c r="DE713" s="115"/>
      <c r="DF713" s="115"/>
      <c r="DG713" s="115"/>
    </row>
    <row r="714" spans="1:111" hidden="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c r="AO714" s="128"/>
      <c r="AP714" s="128"/>
      <c r="AQ714" s="128"/>
      <c r="AR714" s="128"/>
      <c r="AS714" s="128"/>
      <c r="AT714" s="128"/>
      <c r="AU714" s="128"/>
      <c r="AV714" s="128"/>
      <c r="AW714" s="128"/>
      <c r="AX714" s="128"/>
      <c r="AY714" s="128"/>
      <c r="AZ714" s="128"/>
      <c r="BA714" s="128"/>
      <c r="BB714" s="128"/>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c r="BY714" s="115"/>
      <c r="BZ714" s="115"/>
      <c r="CA714" s="115"/>
      <c r="CB714" s="115"/>
      <c r="CC714" s="115"/>
      <c r="CD714" s="115"/>
      <c r="CE714" s="115"/>
      <c r="CF714" s="115"/>
      <c r="CG714" s="115"/>
      <c r="CH714" s="115"/>
      <c r="CI714" s="115"/>
      <c r="CJ714" s="115"/>
      <c r="CK714" s="115"/>
      <c r="CL714" s="115"/>
      <c r="CM714" s="115"/>
      <c r="CN714" s="115"/>
      <c r="CO714" s="115"/>
      <c r="CP714" s="115"/>
      <c r="CQ714" s="115"/>
      <c r="CR714" s="115"/>
      <c r="CS714" s="115"/>
      <c r="CT714" s="115"/>
      <c r="CU714" s="115"/>
      <c r="CV714" s="115"/>
      <c r="CW714" s="115"/>
      <c r="CX714" s="115"/>
      <c r="CY714" s="115"/>
      <c r="CZ714" s="115"/>
      <c r="DA714" s="115"/>
      <c r="DB714" s="115"/>
      <c r="DC714" s="115"/>
      <c r="DD714" s="115"/>
      <c r="DE714" s="115"/>
      <c r="DF714" s="115"/>
      <c r="DG714" s="115"/>
    </row>
    <row r="715" spans="1:111" hidden="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c r="AO715" s="128"/>
      <c r="AP715" s="128"/>
      <c r="AQ715" s="128"/>
      <c r="AR715" s="128"/>
      <c r="AS715" s="128"/>
      <c r="AT715" s="128"/>
      <c r="AU715" s="128"/>
      <c r="AV715" s="128"/>
      <c r="AW715" s="128"/>
      <c r="AX715" s="128"/>
      <c r="AY715" s="128"/>
      <c r="AZ715" s="128"/>
      <c r="BA715" s="128"/>
      <c r="BB715" s="128"/>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c r="BY715" s="115"/>
      <c r="BZ715" s="115"/>
      <c r="CA715" s="115"/>
      <c r="CB715" s="115"/>
      <c r="CC715" s="115"/>
      <c r="CD715" s="115"/>
      <c r="CE715" s="115"/>
      <c r="CF715" s="115"/>
      <c r="CG715" s="115"/>
      <c r="CH715" s="115"/>
      <c r="CI715" s="115"/>
      <c r="CJ715" s="115"/>
      <c r="CK715" s="115"/>
      <c r="CL715" s="115"/>
      <c r="CM715" s="115"/>
      <c r="CN715" s="115"/>
      <c r="CO715" s="115"/>
      <c r="CP715" s="115"/>
      <c r="CQ715" s="115"/>
      <c r="CR715" s="115"/>
      <c r="CS715" s="115"/>
      <c r="CT715" s="115"/>
      <c r="CU715" s="115"/>
      <c r="CV715" s="115"/>
      <c r="CW715" s="115"/>
      <c r="CX715" s="115"/>
      <c r="CY715" s="115"/>
      <c r="CZ715" s="115"/>
      <c r="DA715" s="115"/>
      <c r="DB715" s="115"/>
      <c r="DC715" s="115"/>
      <c r="DD715" s="115"/>
      <c r="DE715" s="115"/>
      <c r="DF715" s="115"/>
      <c r="DG715" s="115"/>
    </row>
    <row r="716" spans="1:111" hidden="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c r="AO716" s="128"/>
      <c r="AP716" s="128"/>
      <c r="AQ716" s="128"/>
      <c r="AR716" s="128"/>
      <c r="AS716" s="128"/>
      <c r="AT716" s="128"/>
      <c r="AU716" s="128"/>
      <c r="AV716" s="128"/>
      <c r="AW716" s="128"/>
      <c r="AX716" s="128"/>
      <c r="AY716" s="128"/>
      <c r="AZ716" s="128"/>
      <c r="BA716" s="128"/>
      <c r="BB716" s="128"/>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c r="BY716" s="115"/>
      <c r="BZ716" s="115"/>
      <c r="CA716" s="115"/>
      <c r="CB716" s="115"/>
      <c r="CC716" s="115"/>
      <c r="CD716" s="115"/>
      <c r="CE716" s="115"/>
      <c r="CF716" s="115"/>
      <c r="CG716" s="115"/>
      <c r="CH716" s="115"/>
      <c r="CI716" s="115"/>
      <c r="CJ716" s="115"/>
      <c r="CK716" s="115"/>
      <c r="CL716" s="115"/>
      <c r="CM716" s="115"/>
      <c r="CN716" s="115"/>
      <c r="CO716" s="115"/>
      <c r="CP716" s="115"/>
      <c r="CQ716" s="115"/>
      <c r="CR716" s="115"/>
      <c r="CS716" s="115"/>
      <c r="CT716" s="115"/>
      <c r="CU716" s="115"/>
      <c r="CV716" s="115"/>
      <c r="CW716" s="115"/>
      <c r="CX716" s="115"/>
      <c r="CY716" s="115"/>
      <c r="CZ716" s="115"/>
      <c r="DA716" s="115"/>
      <c r="DB716" s="115"/>
      <c r="DC716" s="115"/>
      <c r="DD716" s="115"/>
      <c r="DE716" s="115"/>
      <c r="DF716" s="115"/>
      <c r="DG716" s="115"/>
    </row>
    <row r="717" spans="1:111" hidden="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c r="AO717" s="128"/>
      <c r="AP717" s="128"/>
      <c r="AQ717" s="128"/>
      <c r="AR717" s="128"/>
      <c r="AS717" s="128"/>
      <c r="AT717" s="128"/>
      <c r="AU717" s="128"/>
      <c r="AV717" s="128"/>
      <c r="AW717" s="128"/>
      <c r="AX717" s="128"/>
      <c r="AY717" s="128"/>
      <c r="AZ717" s="128"/>
      <c r="BA717" s="128"/>
      <c r="BB717" s="128"/>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c r="BY717" s="115"/>
      <c r="BZ717" s="115"/>
      <c r="CA717" s="115"/>
      <c r="CB717" s="115"/>
      <c r="CC717" s="115"/>
      <c r="CD717" s="115"/>
      <c r="CE717" s="115"/>
      <c r="CF717" s="115"/>
      <c r="CG717" s="115"/>
      <c r="CH717" s="115"/>
      <c r="CI717" s="115"/>
      <c r="CJ717" s="115"/>
      <c r="CK717" s="115"/>
      <c r="CL717" s="115"/>
      <c r="CM717" s="115"/>
      <c r="CN717" s="115"/>
      <c r="CO717" s="115"/>
      <c r="CP717" s="115"/>
      <c r="CQ717" s="115"/>
      <c r="CR717" s="115"/>
      <c r="CS717" s="115"/>
      <c r="CT717" s="115"/>
      <c r="CU717" s="115"/>
      <c r="CV717" s="115"/>
      <c r="CW717" s="115"/>
      <c r="CX717" s="115"/>
      <c r="CY717" s="115"/>
      <c r="CZ717" s="115"/>
      <c r="DA717" s="115"/>
      <c r="DB717" s="115"/>
      <c r="DC717" s="115"/>
      <c r="DD717" s="115"/>
      <c r="DE717" s="115"/>
      <c r="DF717" s="115"/>
      <c r="DG717" s="115"/>
    </row>
    <row r="718" spans="1:111" hidden="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c r="AO718" s="128"/>
      <c r="AP718" s="128"/>
      <c r="AQ718" s="128"/>
      <c r="AR718" s="128"/>
      <c r="AS718" s="128"/>
      <c r="AT718" s="128"/>
      <c r="AU718" s="128"/>
      <c r="AV718" s="128"/>
      <c r="AW718" s="128"/>
      <c r="AX718" s="128"/>
      <c r="AY718" s="128"/>
      <c r="AZ718" s="128"/>
      <c r="BA718" s="128"/>
      <c r="BB718" s="128"/>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c r="BY718" s="115"/>
      <c r="BZ718" s="115"/>
      <c r="CA718" s="115"/>
      <c r="CB718" s="115"/>
      <c r="CC718" s="115"/>
      <c r="CD718" s="115"/>
      <c r="CE718" s="115"/>
      <c r="CF718" s="115"/>
      <c r="CG718" s="115"/>
      <c r="CH718" s="115"/>
      <c r="CI718" s="115"/>
      <c r="CJ718" s="115"/>
      <c r="CK718" s="115"/>
      <c r="CL718" s="115"/>
      <c r="CM718" s="115"/>
      <c r="CN718" s="115"/>
      <c r="CO718" s="115"/>
      <c r="CP718" s="115"/>
      <c r="CQ718" s="115"/>
      <c r="CR718" s="115"/>
      <c r="CS718" s="115"/>
      <c r="CT718" s="115"/>
      <c r="CU718" s="115"/>
      <c r="CV718" s="115"/>
      <c r="CW718" s="115"/>
      <c r="CX718" s="115"/>
      <c r="CY718" s="115"/>
      <c r="CZ718" s="115"/>
      <c r="DA718" s="115"/>
      <c r="DB718" s="115"/>
      <c r="DC718" s="115"/>
      <c r="DD718" s="115"/>
      <c r="DE718" s="115"/>
      <c r="DF718" s="115"/>
      <c r="DG718" s="115"/>
    </row>
    <row r="719" spans="1:111" hidden="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c r="AQ719" s="128"/>
      <c r="AR719" s="128"/>
      <c r="AS719" s="128"/>
      <c r="AT719" s="128"/>
      <c r="AU719" s="128"/>
      <c r="AV719" s="128"/>
      <c r="AW719" s="128"/>
      <c r="AX719" s="128"/>
      <c r="AY719" s="128"/>
      <c r="AZ719" s="128"/>
      <c r="BA719" s="128"/>
      <c r="BB719" s="128"/>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c r="BY719" s="115"/>
      <c r="BZ719" s="115"/>
      <c r="CA719" s="115"/>
      <c r="CB719" s="115"/>
      <c r="CC719" s="115"/>
      <c r="CD719" s="115"/>
      <c r="CE719" s="115"/>
      <c r="CF719" s="115"/>
      <c r="CG719" s="115"/>
      <c r="CH719" s="115"/>
      <c r="CI719" s="115"/>
      <c r="CJ719" s="115"/>
      <c r="CK719" s="115"/>
      <c r="CL719" s="115"/>
      <c r="CM719" s="115"/>
      <c r="CN719" s="115"/>
      <c r="CO719" s="115"/>
      <c r="CP719" s="115"/>
      <c r="CQ719" s="115"/>
      <c r="CR719" s="115"/>
      <c r="CS719" s="115"/>
      <c r="CT719" s="115"/>
      <c r="CU719" s="115"/>
      <c r="CV719" s="115"/>
      <c r="CW719" s="115"/>
      <c r="CX719" s="115"/>
      <c r="CY719" s="115"/>
      <c r="CZ719" s="115"/>
      <c r="DA719" s="115"/>
      <c r="DB719" s="115"/>
      <c r="DC719" s="115"/>
      <c r="DD719" s="115"/>
      <c r="DE719" s="115"/>
      <c r="DF719" s="115"/>
      <c r="DG719" s="115"/>
    </row>
    <row r="720" spans="1:111" hidden="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c r="AO720" s="128"/>
      <c r="AP720" s="128"/>
      <c r="AQ720" s="128"/>
      <c r="AR720" s="128"/>
      <c r="AS720" s="128"/>
      <c r="AT720" s="128"/>
      <c r="AU720" s="128"/>
      <c r="AV720" s="128"/>
      <c r="AW720" s="128"/>
      <c r="AX720" s="128"/>
      <c r="AY720" s="128"/>
      <c r="AZ720" s="128"/>
      <c r="BA720" s="128"/>
      <c r="BB720" s="128"/>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c r="BY720" s="115"/>
      <c r="BZ720" s="115"/>
      <c r="CA720" s="115"/>
      <c r="CB720" s="115"/>
      <c r="CC720" s="115"/>
      <c r="CD720" s="115"/>
      <c r="CE720" s="115"/>
      <c r="CF720" s="115"/>
      <c r="CG720" s="115"/>
      <c r="CH720" s="115"/>
      <c r="CI720" s="115"/>
      <c r="CJ720" s="115"/>
      <c r="CK720" s="115"/>
      <c r="CL720" s="115"/>
      <c r="CM720" s="115"/>
      <c r="CN720" s="115"/>
      <c r="CO720" s="115"/>
      <c r="CP720" s="115"/>
      <c r="CQ720" s="115"/>
      <c r="CR720" s="115"/>
      <c r="CS720" s="115"/>
      <c r="CT720" s="115"/>
      <c r="CU720" s="115"/>
      <c r="CV720" s="115"/>
      <c r="CW720" s="115"/>
      <c r="CX720" s="115"/>
      <c r="CY720" s="115"/>
      <c r="CZ720" s="115"/>
      <c r="DA720" s="115"/>
      <c r="DB720" s="115"/>
      <c r="DC720" s="115"/>
      <c r="DD720" s="115"/>
      <c r="DE720" s="115"/>
      <c r="DF720" s="115"/>
      <c r="DG720" s="115"/>
    </row>
    <row r="721" hidden="1"/>
  </sheetData>
  <sheetProtection algorithmName="SHA-512" hashValue="0Wnn32wWMb4vVKoG8IjYHkqA6165KKDj6UEXoCKwvbNR759wc2GMSYb+gUmLJ6WBN0I5++WKr/VRtFoR5iBe4g==" saltValue="DWMaSuElmw7ARMVYE7aBlQ==" spinCount="100000" sheet="1" objects="1" scenarios="1"/>
  <mergeCells count="319">
    <mergeCell ref="B584:M585"/>
    <mergeCell ref="O584:BA587"/>
    <mergeCell ref="B589:M590"/>
    <mergeCell ref="O589:BA592"/>
    <mergeCell ref="B594:M595"/>
    <mergeCell ref="O594:BA597"/>
    <mergeCell ref="B571:M572"/>
    <mergeCell ref="O571:BA574"/>
    <mergeCell ref="B576:M577"/>
    <mergeCell ref="O576:BA579"/>
    <mergeCell ref="B581:M582"/>
    <mergeCell ref="O581:Z582"/>
    <mergeCell ref="B563:M564"/>
    <mergeCell ref="O563:Z564"/>
    <mergeCell ref="AC563:AN564"/>
    <mergeCell ref="AP563:BA564"/>
    <mergeCell ref="B566:M567"/>
    <mergeCell ref="O566:BA569"/>
    <mergeCell ref="B552:BA553"/>
    <mergeCell ref="B555:M556"/>
    <mergeCell ref="O555:BA558"/>
    <mergeCell ref="B560:M561"/>
    <mergeCell ref="O560:Z561"/>
    <mergeCell ref="AC560:AN561"/>
    <mergeCell ref="AP560:BA561"/>
    <mergeCell ref="B537:M538"/>
    <mergeCell ref="O537:BA540"/>
    <mergeCell ref="B542:M543"/>
    <mergeCell ref="O542:BA545"/>
    <mergeCell ref="B547:M548"/>
    <mergeCell ref="O547:BA550"/>
    <mergeCell ref="B524:M525"/>
    <mergeCell ref="O524:BA527"/>
    <mergeCell ref="B529:M530"/>
    <mergeCell ref="O529:BA532"/>
    <mergeCell ref="B534:M535"/>
    <mergeCell ref="O534:Z535"/>
    <mergeCell ref="B516:M517"/>
    <mergeCell ref="O516:Z517"/>
    <mergeCell ref="AC516:AN517"/>
    <mergeCell ref="AP516:BA517"/>
    <mergeCell ref="B519:M520"/>
    <mergeCell ref="O519:BA522"/>
    <mergeCell ref="B505:BA506"/>
    <mergeCell ref="B508:M509"/>
    <mergeCell ref="O508:BA511"/>
    <mergeCell ref="B513:M514"/>
    <mergeCell ref="O513:Z514"/>
    <mergeCell ref="AC513:AN514"/>
    <mergeCell ref="AP513:BA514"/>
    <mergeCell ref="B490:M491"/>
    <mergeCell ref="O490:BA493"/>
    <mergeCell ref="B495:M496"/>
    <mergeCell ref="O495:BA498"/>
    <mergeCell ref="B500:M501"/>
    <mergeCell ref="O500:BA503"/>
    <mergeCell ref="B477:M478"/>
    <mergeCell ref="O477:BA480"/>
    <mergeCell ref="B482:M483"/>
    <mergeCell ref="O482:BA485"/>
    <mergeCell ref="B487:M488"/>
    <mergeCell ref="O487:Z488"/>
    <mergeCell ref="B469:M470"/>
    <mergeCell ref="O469:Z470"/>
    <mergeCell ref="AC469:AN470"/>
    <mergeCell ref="AP469:BA470"/>
    <mergeCell ref="B472:M473"/>
    <mergeCell ref="O472:BA475"/>
    <mergeCell ref="B453:M454"/>
    <mergeCell ref="O453:BA456"/>
    <mergeCell ref="B458:BA459"/>
    <mergeCell ref="B461:M462"/>
    <mergeCell ref="O461:BA464"/>
    <mergeCell ref="B466:M467"/>
    <mergeCell ref="O466:Z467"/>
    <mergeCell ref="AC466:AN467"/>
    <mergeCell ref="AP466:BA467"/>
    <mergeCell ref="B440:M441"/>
    <mergeCell ref="O440:Z441"/>
    <mergeCell ref="B443:M444"/>
    <mergeCell ref="O443:BA446"/>
    <mergeCell ref="B448:M449"/>
    <mergeCell ref="O448:BA451"/>
    <mergeCell ref="B425:M426"/>
    <mergeCell ref="O425:BA428"/>
    <mergeCell ref="B430:M431"/>
    <mergeCell ref="O430:BA433"/>
    <mergeCell ref="B435:M436"/>
    <mergeCell ref="O435:BA438"/>
    <mergeCell ref="B419:M420"/>
    <mergeCell ref="O419:Z420"/>
    <mergeCell ref="AC419:AN420"/>
    <mergeCell ref="AP419:BA420"/>
    <mergeCell ref="B422:M423"/>
    <mergeCell ref="O422:Z423"/>
    <mergeCell ref="AC422:AN423"/>
    <mergeCell ref="AP422:BA423"/>
    <mergeCell ref="B406:M407"/>
    <mergeCell ref="O406:BA409"/>
    <mergeCell ref="BG359:DE362"/>
    <mergeCell ref="B411:BA412"/>
    <mergeCell ref="B414:M415"/>
    <mergeCell ref="O414:BA417"/>
    <mergeCell ref="B393:M394"/>
    <mergeCell ref="O393:Z394"/>
    <mergeCell ref="B396:M397"/>
    <mergeCell ref="O396:BA399"/>
    <mergeCell ref="B401:M402"/>
    <mergeCell ref="O401:BA404"/>
    <mergeCell ref="B378:M379"/>
    <mergeCell ref="O378:BA381"/>
    <mergeCell ref="B383:M384"/>
    <mergeCell ref="O383:BA386"/>
    <mergeCell ref="B388:M389"/>
    <mergeCell ref="O388:BA391"/>
    <mergeCell ref="AC372:AN373"/>
    <mergeCell ref="AP372:BA373"/>
    <mergeCell ref="B375:M376"/>
    <mergeCell ref="O375:Z376"/>
    <mergeCell ref="AC375:AN376"/>
    <mergeCell ref="AP375:BA376"/>
    <mergeCell ref="B372:M373"/>
    <mergeCell ref="O372:Z373"/>
    <mergeCell ref="BG46:DE49"/>
    <mergeCell ref="BG56:DE58"/>
    <mergeCell ref="B364:BA365"/>
    <mergeCell ref="B310:BA312"/>
    <mergeCell ref="B354:M355"/>
    <mergeCell ref="O354:BA357"/>
    <mergeCell ref="B359:M360"/>
    <mergeCell ref="O359:BA362"/>
    <mergeCell ref="B367:M368"/>
    <mergeCell ref="O367:BA370"/>
    <mergeCell ref="B346:M347"/>
    <mergeCell ref="O346:Z347"/>
    <mergeCell ref="B349:M350"/>
    <mergeCell ref="O349:BA352"/>
    <mergeCell ref="B331:M332"/>
    <mergeCell ref="O331:BA334"/>
    <mergeCell ref="B336:M337"/>
    <mergeCell ref="O336:BA339"/>
    <mergeCell ref="B341:M342"/>
    <mergeCell ref="O341:BA344"/>
    <mergeCell ref="B325:M326"/>
    <mergeCell ref="O325:Z326"/>
    <mergeCell ref="AC325:AN326"/>
    <mergeCell ref="AP325:BA326"/>
    <mergeCell ref="B328:M329"/>
    <mergeCell ref="O328:Z329"/>
    <mergeCell ref="AC328:AN329"/>
    <mergeCell ref="AP328:BA329"/>
    <mergeCell ref="B306:M307"/>
    <mergeCell ref="O306:Z307"/>
    <mergeCell ref="B314:BA315"/>
    <mergeCell ref="B317:BA318"/>
    <mergeCell ref="B320:M321"/>
    <mergeCell ref="O320:BA323"/>
    <mergeCell ref="B293:M294"/>
    <mergeCell ref="O293:Z294"/>
    <mergeCell ref="B296:M297"/>
    <mergeCell ref="O296:BA299"/>
    <mergeCell ref="B301:M302"/>
    <mergeCell ref="O301:BA304"/>
    <mergeCell ref="B278:M279"/>
    <mergeCell ref="O278:BA281"/>
    <mergeCell ref="B283:M284"/>
    <mergeCell ref="O283:BA286"/>
    <mergeCell ref="B288:M289"/>
    <mergeCell ref="O288:BA291"/>
    <mergeCell ref="B270:M271"/>
    <mergeCell ref="O270:Z271"/>
    <mergeCell ref="AC270:AN271"/>
    <mergeCell ref="AP270:BA271"/>
    <mergeCell ref="B273:M274"/>
    <mergeCell ref="O273:BA276"/>
    <mergeCell ref="B256:M257"/>
    <mergeCell ref="O256:Z257"/>
    <mergeCell ref="B259:BA260"/>
    <mergeCell ref="B262:M263"/>
    <mergeCell ref="O262:BA265"/>
    <mergeCell ref="B267:M268"/>
    <mergeCell ref="O267:Z268"/>
    <mergeCell ref="AC267:AN268"/>
    <mergeCell ref="AP267:BA268"/>
    <mergeCell ref="B243:M244"/>
    <mergeCell ref="O243:Z244"/>
    <mergeCell ref="B246:M247"/>
    <mergeCell ref="O246:BA249"/>
    <mergeCell ref="B251:M252"/>
    <mergeCell ref="O251:BA254"/>
    <mergeCell ref="B228:M229"/>
    <mergeCell ref="O228:BA231"/>
    <mergeCell ref="B233:M234"/>
    <mergeCell ref="O233:BA236"/>
    <mergeCell ref="B238:M239"/>
    <mergeCell ref="O238:BA241"/>
    <mergeCell ref="B220:M221"/>
    <mergeCell ref="O220:Z221"/>
    <mergeCell ref="AC220:AN221"/>
    <mergeCell ref="AP220:BA221"/>
    <mergeCell ref="B223:M224"/>
    <mergeCell ref="O223:BA226"/>
    <mergeCell ref="B206:M207"/>
    <mergeCell ref="O206:Z207"/>
    <mergeCell ref="B209:BA210"/>
    <mergeCell ref="B212:M213"/>
    <mergeCell ref="O212:BA215"/>
    <mergeCell ref="B217:M218"/>
    <mergeCell ref="O217:Z218"/>
    <mergeCell ref="AC217:AN218"/>
    <mergeCell ref="AP217:BA218"/>
    <mergeCell ref="B193:M194"/>
    <mergeCell ref="O193:Z194"/>
    <mergeCell ref="B196:M197"/>
    <mergeCell ref="O196:BA199"/>
    <mergeCell ref="B201:M202"/>
    <mergeCell ref="O201:BA204"/>
    <mergeCell ref="B178:M179"/>
    <mergeCell ref="O178:BA181"/>
    <mergeCell ref="B183:M184"/>
    <mergeCell ref="O183:BA186"/>
    <mergeCell ref="B188:M189"/>
    <mergeCell ref="O188:BA191"/>
    <mergeCell ref="B170:M171"/>
    <mergeCell ref="O170:Z171"/>
    <mergeCell ref="AC170:AN171"/>
    <mergeCell ref="AP170:BA171"/>
    <mergeCell ref="B173:M174"/>
    <mergeCell ref="O173:BA176"/>
    <mergeCell ref="B156:M157"/>
    <mergeCell ref="O156:Z157"/>
    <mergeCell ref="B159:BA160"/>
    <mergeCell ref="B162:M163"/>
    <mergeCell ref="O162:BA165"/>
    <mergeCell ref="B167:M168"/>
    <mergeCell ref="O167:Z168"/>
    <mergeCell ref="AC167:AN168"/>
    <mergeCell ref="AP167:BA168"/>
    <mergeCell ref="B143:M144"/>
    <mergeCell ref="O143:Z144"/>
    <mergeCell ref="B146:M147"/>
    <mergeCell ref="O146:BA149"/>
    <mergeCell ref="B151:M152"/>
    <mergeCell ref="O151:BA154"/>
    <mergeCell ref="B128:M129"/>
    <mergeCell ref="O128:BA131"/>
    <mergeCell ref="B133:M134"/>
    <mergeCell ref="O133:BA136"/>
    <mergeCell ref="B138:M139"/>
    <mergeCell ref="O138:BA141"/>
    <mergeCell ref="B120:M121"/>
    <mergeCell ref="O120:Z121"/>
    <mergeCell ref="AC120:AN121"/>
    <mergeCell ref="AP120:BA121"/>
    <mergeCell ref="B123:M124"/>
    <mergeCell ref="O123:BA126"/>
    <mergeCell ref="B106:M107"/>
    <mergeCell ref="O106:Z107"/>
    <mergeCell ref="B109:BA110"/>
    <mergeCell ref="B112:M113"/>
    <mergeCell ref="O112:BA115"/>
    <mergeCell ref="B117:M118"/>
    <mergeCell ref="O117:Z118"/>
    <mergeCell ref="AC117:AN118"/>
    <mergeCell ref="AP117:BA118"/>
    <mergeCell ref="B93:M94"/>
    <mergeCell ref="O93:Z94"/>
    <mergeCell ref="B96:M97"/>
    <mergeCell ref="O96:BA99"/>
    <mergeCell ref="B101:M102"/>
    <mergeCell ref="O101:BA104"/>
    <mergeCell ref="B78:M79"/>
    <mergeCell ref="O78:BA81"/>
    <mergeCell ref="B83:M84"/>
    <mergeCell ref="O83:BA86"/>
    <mergeCell ref="B88:M89"/>
    <mergeCell ref="O88:BA91"/>
    <mergeCell ref="B70:M71"/>
    <mergeCell ref="O70:Z71"/>
    <mergeCell ref="AC70:AN71"/>
    <mergeCell ref="AP70:BA71"/>
    <mergeCell ref="B73:M74"/>
    <mergeCell ref="O73:BA76"/>
    <mergeCell ref="B56:M57"/>
    <mergeCell ref="O56:Z57"/>
    <mergeCell ref="B59:BA60"/>
    <mergeCell ref="B62:M63"/>
    <mergeCell ref="O62:BA65"/>
    <mergeCell ref="B67:M68"/>
    <mergeCell ref="O67:Z68"/>
    <mergeCell ref="AC67:AN68"/>
    <mergeCell ref="AP67:BA68"/>
    <mergeCell ref="B43:M44"/>
    <mergeCell ref="O43:Z44"/>
    <mergeCell ref="B46:M47"/>
    <mergeCell ref="O46:BA49"/>
    <mergeCell ref="B51:M52"/>
    <mergeCell ref="O51:BA54"/>
    <mergeCell ref="B28:M29"/>
    <mergeCell ref="O28:BA31"/>
    <mergeCell ref="B33:M34"/>
    <mergeCell ref="O33:BA36"/>
    <mergeCell ref="B38:M39"/>
    <mergeCell ref="O38:BA41"/>
    <mergeCell ref="B2:BA4"/>
    <mergeCell ref="B6:BA7"/>
    <mergeCell ref="B9:BA10"/>
    <mergeCell ref="B12:M13"/>
    <mergeCell ref="AP17:BA18"/>
    <mergeCell ref="O20:Z21"/>
    <mergeCell ref="AC20:AN21"/>
    <mergeCell ref="AP20:BA21"/>
    <mergeCell ref="B23:M24"/>
    <mergeCell ref="O23:BA26"/>
    <mergeCell ref="B17:M18"/>
    <mergeCell ref="O12:BA15"/>
    <mergeCell ref="B20:M21"/>
    <mergeCell ref="O17:Z18"/>
    <mergeCell ref="AC17:AN18"/>
  </mergeCells>
  <dataValidations count="3">
    <dataValidation allowBlank="1" showInputMessage="1" showErrorMessage="1" prompt="Material didático; Material de expediente; kits etc." sqref="B296:M297 B96:M97 B146:M147 B196:M197 B246:M247 B46:M47" xr:uid="{DD0CEDF0-B7D8-48FA-BC14-4134DC7D811C}"/>
    <dataValidation allowBlank="1" showInputMessage="1" showErrorMessage="1" prompt="Apenas no caso de contratação de Pessoa Física para ministrar o evento. Caso contrário, informar &quot;Não se Aplica&quot;." sqref="B306:M307 B106:M107 B156:M157 B206:M207 B256:M257 B56:M57" xr:uid="{BA9AA7FF-EEB8-454B-B6CF-6B4DAC4F4D8D}"/>
    <dataValidation allowBlank="1" showInputMessage="1" showErrorMessage="1" prompt="É necessário enviar o &quot;protótipo&quot; ou &quot;boneco&quot; do material informativo, que deverá, no caso de aprovação do projeto pelo Conselho, ser submetivo à apreciação da SE/CFDD antes da impressão. _x000a_Numerar os protótipos e enviar por email para senacon.cfdd@mj.gov." sqref="B359:M360 B406:M407 B453:M454 B500:M501 B547:M548 B594:M595" xr:uid="{3AE80CBD-1B70-46A9-B869-A3A5242A76BB}"/>
  </dataValidations>
  <hyperlinks>
    <hyperlink ref="B2:BA4" location="MENU!A1" display="ANEXO II - PLANO DE TRABALHO - FORMULÁRIO ORÇAMENTÁRIO" xr:uid="{B92B4FAF-002B-47A5-947A-ADC80F600AA4}"/>
    <hyperlink ref="B310:BA312" location="MENU!A1" display="ANEXO II - PLANO DE TRABALHO - FORMULÁRIO ORÇAMENTÁRIO" xr:uid="{07234295-F5F4-4933-9A50-956C87911595}"/>
  </hyperlinks>
  <pageMargins left="0.511811024" right="0.511811024" top="0.78740157499999996" bottom="0.78740157499999996" header="0.31496062000000002" footer="0.31496062000000002"/>
  <pageSetup paperSize="9" orientation="portrait" verticalDpi="0" r:id="rId1"/>
  <rowBreaks count="11" manualBreakCount="11">
    <brk id="58" max="53" man="1"/>
    <brk id="108" max="53" man="1"/>
    <brk id="158" max="53" man="1"/>
    <brk id="208" max="53" man="1"/>
    <brk id="258" max="53" man="1"/>
    <brk id="308" max="53" man="1"/>
    <brk id="363" max="53" man="1"/>
    <brk id="410" max="53" man="1"/>
    <brk id="457" max="53" man="1"/>
    <brk id="504" max="53" man="1"/>
    <brk id="551" max="53" man="1"/>
  </rowBreaks>
  <ignoredErrors>
    <ignoredError sqref="AP2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0FC9-E98E-4429-A88E-9219D1BE3F4E}">
  <sheetPr>
    <tabColor rgb="FFC00000"/>
  </sheetPr>
  <dimension ref="A1:CI458"/>
  <sheetViews>
    <sheetView showGridLines="0" showRowColHeaders="0" zoomScaleNormal="100" zoomScaleSheetLayoutView="100" workbookViewId="0">
      <pane ySplit="10" topLeftCell="A26" activePane="bottomLeft" state="frozen"/>
      <selection pane="bottomLeft" activeCell="AU87" sqref="AU87:BE88"/>
    </sheetView>
  </sheetViews>
  <sheetFormatPr defaultColWidth="9.140625" defaultRowHeight="12.75" zeroHeight="1"/>
  <cols>
    <col min="1" max="1" width="1.7109375" customWidth="1"/>
    <col min="2" max="3" width="1.7109375" style="77" customWidth="1"/>
    <col min="4" max="4" width="0.85546875" style="77" customWidth="1"/>
    <col min="5" max="45" width="1.7109375" style="77" customWidth="1"/>
    <col min="46" max="46" width="0.85546875" style="77" customWidth="1"/>
    <col min="47" max="57" width="1.7109375" style="77" customWidth="1"/>
    <col min="58" max="58" width="1.7109375" customWidth="1"/>
    <col min="59" max="59" width="1.7109375" style="74" hidden="1" customWidth="1"/>
    <col min="60" max="60" width="2.7109375" style="74" hidden="1" customWidth="1"/>
    <col min="61" max="61" width="1.7109375" style="74" hidden="1" customWidth="1"/>
    <col min="62" max="66" width="10.7109375" style="74" hidden="1" customWidth="1"/>
    <col min="67" max="69" width="1.7109375" style="74" hidden="1" customWidth="1"/>
    <col min="70" max="78" width="3.7109375" style="74" hidden="1" customWidth="1"/>
    <col min="79" max="79" width="1.7109375" style="74" hidden="1" customWidth="1"/>
    <col min="80" max="84" width="3.7109375" style="74" hidden="1" customWidth="1"/>
    <col min="85" max="87" width="1.7109375" style="74" hidden="1" customWidth="1"/>
    <col min="88" max="156" width="1.7109375" style="74" customWidth="1"/>
    <col min="157" max="16384" width="9.140625" style="74"/>
  </cols>
  <sheetData>
    <row r="1" spans="1:78" ht="9" customHeight="1" thickBo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row>
    <row r="2" spans="1:78" ht="9" customHeight="1">
      <c r="A2" s="101"/>
      <c r="B2" s="555" t="s">
        <v>284</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6"/>
      <c r="BF2" s="101"/>
    </row>
    <row r="3" spans="1:78" ht="9" customHeight="1">
      <c r="A3" s="101"/>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8"/>
      <c r="BF3" s="101"/>
    </row>
    <row r="4" spans="1:78" ht="9" customHeight="1">
      <c r="A4" s="101"/>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60"/>
      <c r="BF4" s="101"/>
    </row>
    <row r="5" spans="1:78" ht="4.5"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1"/>
    </row>
    <row r="6" spans="1:78" ht="4.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row>
    <row r="7" spans="1:78" ht="9" customHeight="1">
      <c r="A7" s="101"/>
      <c r="B7" s="102"/>
      <c r="C7" s="22"/>
      <c r="D7" s="22"/>
      <c r="E7" s="22"/>
      <c r="F7" s="22"/>
      <c r="G7" s="22"/>
      <c r="H7" s="22"/>
      <c r="I7" s="22"/>
      <c r="J7" s="22"/>
      <c r="K7" s="22"/>
      <c r="L7" s="22"/>
      <c r="M7" s="22"/>
      <c r="N7" s="22"/>
      <c r="O7" s="22"/>
      <c r="P7" s="579" t="s">
        <v>326</v>
      </c>
      <c r="Q7" s="579"/>
      <c r="R7" s="579"/>
      <c r="S7" s="579"/>
      <c r="T7" s="579"/>
      <c r="U7" s="579"/>
      <c r="V7" s="579"/>
      <c r="W7" s="579"/>
      <c r="X7" s="579"/>
      <c r="Y7" s="579"/>
      <c r="Z7" s="579"/>
      <c r="AA7" s="579"/>
      <c r="AB7" s="579"/>
      <c r="AC7" s="579"/>
      <c r="AD7" s="579"/>
      <c r="AE7" s="579"/>
      <c r="AF7" s="579"/>
      <c r="AG7" s="570" t="str">
        <f>IF(SUM($BH$15:$BH$91)=22,"Projeto pronto para ser enviado!!","O projeto NÃO está pronto para ser enviado!!")</f>
        <v>O projeto NÃO está pronto para ser enviado!!</v>
      </c>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2"/>
      <c r="BF7" s="101"/>
    </row>
    <row r="8" spans="1:78" ht="9" customHeight="1">
      <c r="A8" s="101"/>
      <c r="B8" s="102"/>
      <c r="C8" s="22"/>
      <c r="D8" s="22"/>
      <c r="E8" s="22"/>
      <c r="F8" s="22"/>
      <c r="G8" s="22"/>
      <c r="H8" s="22"/>
      <c r="I8" s="22"/>
      <c r="J8" s="22"/>
      <c r="K8" s="22"/>
      <c r="L8" s="22"/>
      <c r="M8" s="22"/>
      <c r="N8" s="22"/>
      <c r="O8" s="22"/>
      <c r="P8" s="579"/>
      <c r="Q8" s="579"/>
      <c r="R8" s="579"/>
      <c r="S8" s="579"/>
      <c r="T8" s="579"/>
      <c r="U8" s="579"/>
      <c r="V8" s="579"/>
      <c r="W8" s="579"/>
      <c r="X8" s="579"/>
      <c r="Y8" s="579"/>
      <c r="Z8" s="579"/>
      <c r="AA8" s="579"/>
      <c r="AB8" s="579"/>
      <c r="AC8" s="579"/>
      <c r="AD8" s="579"/>
      <c r="AE8" s="579"/>
      <c r="AF8" s="579"/>
      <c r="AG8" s="573"/>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5"/>
      <c r="BF8" s="101"/>
    </row>
    <row r="9" spans="1:78" ht="9" customHeight="1">
      <c r="A9" s="101"/>
      <c r="B9" s="101"/>
      <c r="C9" s="22"/>
      <c r="D9" s="22"/>
      <c r="E9" s="22"/>
      <c r="F9" s="22"/>
      <c r="G9" s="22"/>
      <c r="H9" s="22"/>
      <c r="I9" s="22"/>
      <c r="J9" s="22"/>
      <c r="K9" s="22"/>
      <c r="L9" s="22"/>
      <c r="M9" s="22"/>
      <c r="N9" s="22"/>
      <c r="O9" s="22"/>
      <c r="P9" s="579"/>
      <c r="Q9" s="579"/>
      <c r="R9" s="579"/>
      <c r="S9" s="579"/>
      <c r="T9" s="579"/>
      <c r="U9" s="579"/>
      <c r="V9" s="579"/>
      <c r="W9" s="579"/>
      <c r="X9" s="579"/>
      <c r="Y9" s="579"/>
      <c r="Z9" s="579"/>
      <c r="AA9" s="579"/>
      <c r="AB9" s="579"/>
      <c r="AC9" s="579"/>
      <c r="AD9" s="579"/>
      <c r="AE9" s="579"/>
      <c r="AF9" s="579"/>
      <c r="AG9" s="576"/>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8"/>
      <c r="BF9" s="101"/>
    </row>
    <row r="10" spans="1:78" ht="4.5" customHeight="1">
      <c r="A10" s="10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1"/>
    </row>
    <row r="11" spans="1:78" ht="9" customHeight="1">
      <c r="A11" s="101"/>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1"/>
      <c r="BU11" s="111">
        <f>IF($BU$12=2,2,IF($BU$12=0,0,1))</f>
        <v>2</v>
      </c>
    </row>
    <row r="12" spans="1:78" ht="8.1" customHeight="1">
      <c r="A12" s="101"/>
      <c r="B12" s="569" t="s">
        <v>293</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139"/>
      <c r="AC12" s="139"/>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1"/>
      <c r="BJ12" s="108" t="s">
        <v>285</v>
      </c>
      <c r="BK12" s="108" t="s">
        <v>290</v>
      </c>
      <c r="BL12" s="108" t="s">
        <v>286</v>
      </c>
      <c r="BM12" s="108" t="s">
        <v>288</v>
      </c>
      <c r="BN12" s="79"/>
      <c r="BO12" s="79"/>
      <c r="BP12" s="79"/>
      <c r="BQ12" s="80"/>
      <c r="BR12" s="111">
        <f>IF('(I) Plano de Trabalho'!U623="","",'(I) Plano de Trabalho'!$U$623)</f>
        <v>5</v>
      </c>
      <c r="BS12" s="79"/>
      <c r="BT12" s="79"/>
      <c r="BU12" s="112">
        <f>IF(SUM($BU$15:$BU$44)=0,0,IF(AND($BR$12=1,SUM(BU15:BU19)=2),2,IF(AND($BR$12=2,SUM(BU15:BU25)=4),2,IF(AND($BR$12=3,SUM(BU15:BU31)=6),2,IF(AND($BR$12=4,SUM(BU15:BU38)=8),2,IF(AND($BR$12=5,SUM(BU15:BU44)=10),2,1))))))</f>
        <v>2</v>
      </c>
      <c r="BV12" s="79"/>
      <c r="BW12" s="79"/>
    </row>
    <row r="13" spans="1:78" ht="8.1" customHeight="1">
      <c r="A13" s="101"/>
      <c r="B13" s="569"/>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139"/>
      <c r="AC13" s="139"/>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1"/>
      <c r="BN13" s="79"/>
      <c r="BO13" s="79"/>
      <c r="BP13" s="79"/>
      <c r="BQ13" s="80"/>
      <c r="BR13" s="79"/>
      <c r="BS13" s="79"/>
      <c r="BT13" s="79"/>
      <c r="BU13" s="79"/>
      <c r="BV13" s="79"/>
      <c r="BW13" s="79"/>
    </row>
    <row r="14" spans="1:78" ht="4.5" customHeight="1">
      <c r="A14" s="101"/>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03"/>
      <c r="AU14" s="103"/>
      <c r="AV14" s="103"/>
      <c r="AW14" s="103"/>
      <c r="AX14" s="103"/>
      <c r="AY14" s="103"/>
      <c r="AZ14" s="103"/>
      <c r="BA14" s="103"/>
      <c r="BB14" s="103"/>
      <c r="BC14" s="103"/>
      <c r="BD14" s="103"/>
      <c r="BE14" s="103"/>
      <c r="BF14" s="101"/>
      <c r="BH14" s="110"/>
      <c r="BJ14" s="105"/>
      <c r="BK14" s="105"/>
      <c r="BL14" s="105"/>
      <c r="BM14" s="105"/>
      <c r="BN14" s="107"/>
      <c r="BO14" s="107"/>
      <c r="BP14" s="107"/>
      <c r="BQ14" s="80"/>
      <c r="BR14" s="111">
        <v>13</v>
      </c>
      <c r="BS14" s="111">
        <f>IF($BR$12&gt;=1,IF('(I) Plano de Trabalho'!$U$629&gt;=3,13,""))</f>
        <v>13</v>
      </c>
      <c r="BT14" s="112">
        <f>IF(OR(BT16=1,BT15=1),"",IF(BS14&lt;&gt;"",1,""))</f>
        <v>1</v>
      </c>
      <c r="BU14" s="109">
        <f>IF(BT14="","",IF(SUM(BV14:BZ14)=6,2,IF(SUM(BV14:BZ14)=0,0,1)))</f>
        <v>2</v>
      </c>
      <c r="BV14"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4"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14" s="106">
        <f>IF(AND('(I) Plano de Trabalho'!$I$679&lt;&gt;"",'(I) Plano de Trabalho'!$P$682&lt;&gt;"",'(I) Plano de Trabalho'!$AF$682&lt;&gt;"",'(I) Plano de Trabalho'!$P$685&lt;&gt;"",'(I) Plano de Trabalho'!$AS$685&lt;&gt;""),2,IF(AND('(I) Plano de Trabalho'!$I$679="",'(I) Plano de Trabalho'!$P$682="",'(I) Plano de Trabalho'!$AF$682="",'(I) Plano de Trabalho'!$P$685="",'(I) Plano de Trabalho'!$AS$685=""),0,1))</f>
        <v>2</v>
      </c>
      <c r="BY14" s="106" t="s">
        <v>41</v>
      </c>
      <c r="BZ14" s="106" t="s">
        <v>41</v>
      </c>
    </row>
    <row r="15" spans="1:78" ht="8.1" customHeight="1">
      <c r="A15" s="101"/>
      <c r="B15" s="561" t="s">
        <v>287</v>
      </c>
      <c r="C15" s="561"/>
      <c r="D15" s="133"/>
      <c r="E15" s="567" t="s">
        <v>369</v>
      </c>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103"/>
      <c r="AU15" s="563" t="str">
        <f>BM15</f>
        <v>OK</v>
      </c>
      <c r="AV15" s="563"/>
      <c r="AW15" s="563"/>
      <c r="AX15" s="563"/>
      <c r="AY15" s="563"/>
      <c r="AZ15" s="563"/>
      <c r="BA15" s="563"/>
      <c r="BB15" s="563"/>
      <c r="BC15" s="563"/>
      <c r="BD15" s="563"/>
      <c r="BE15" s="564"/>
      <c r="BF15" s="101"/>
      <c r="BH15" s="108">
        <f>IF(AU15="ok",1,0)</f>
        <v>1</v>
      </c>
      <c r="BJ15" s="106" t="str">
        <f>IF(AND('(I) Plano de Trabalho'!$O$12&lt;&gt;"",'(I) Plano de Trabalho'!$O$17&lt;&gt;"",'(I) Plano de Trabalho'!$AP$17&lt;&gt;"",'(I) Plano de Trabalho'!$O$23&lt;&gt;"",'(I) Plano de Trabalho'!$O$28&lt;&gt;"",'(I) Plano de Trabalho'!$AH$28&lt;&gt;"",'(I) Plano de Trabalho'!$AP$28&lt;&gt;"",'(I) Plano de Trabalho'!$O$31&lt;&gt;"",'(I) Plano de Trabalho'!$O$34&lt;&gt;""),"OK","")</f>
        <v>OK</v>
      </c>
      <c r="BK15" s="106" t="str">
        <f>IF(AND('(I) Plano de Trabalho'!$O$12="",'(I) Plano de Trabalho'!$O$17="",'(I) Plano de Trabalho'!$AP$17="",'(I) Plano de Trabalho'!$O$23="",'(I) Plano de Trabalho'!$O$28="",'(I) Plano de Trabalho'!$AH$28="",'(I) Plano de Trabalho'!$AP$28="",'(I) Plano de Trabalho'!$O$31="",'(I) Plano de Trabalho'!$O$34=""),"Não Preenchido","")</f>
        <v/>
      </c>
      <c r="BL15" s="106" t="str">
        <f>IF(AND(BJ15="",BK15=""),"Incompleto","")</f>
        <v/>
      </c>
      <c r="BM15" s="109" t="str">
        <f>IF(BJ15="OK","OK",IF(BK15="Não Preenchido","Não Preenchido",IF(BL15="Incompleto","Incompleto","")))</f>
        <v>OK</v>
      </c>
      <c r="BN15" s="79"/>
      <c r="BO15" s="79"/>
      <c r="BP15" s="79"/>
      <c r="BQ15" s="80"/>
      <c r="BR15" s="111">
        <v>11</v>
      </c>
      <c r="BS15" s="111">
        <f>IF($BR$12&gt;=1,IF('(I) Plano de Trabalho'!$U$629&gt;=1,11,""))</f>
        <v>11</v>
      </c>
      <c r="BT15" s="112" t="str">
        <f>IF(OR(BT19=1,BT18=1,BT17=1,BT16=1),"",IF(BS15&lt;&gt;"",1,""))</f>
        <v/>
      </c>
      <c r="BU15" s="109" t="str">
        <f>IF(BT15="","",IF(SUM(BV15:BZ15)=2,2,IF(SUM(BV15:BZ15)=0,0,1)))</f>
        <v/>
      </c>
      <c r="BV15"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5" s="106" t="s">
        <v>41</v>
      </c>
      <c r="BX15" s="106" t="s">
        <v>41</v>
      </c>
      <c r="BY15" s="106" t="s">
        <v>41</v>
      </c>
      <c r="BZ15" s="106" t="s">
        <v>41</v>
      </c>
    </row>
    <row r="16" spans="1:78" ht="8.1" customHeight="1">
      <c r="A16" s="101"/>
      <c r="B16" s="562"/>
      <c r="C16" s="562"/>
      <c r="D16" s="134"/>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103"/>
      <c r="AU16" s="565"/>
      <c r="AV16" s="565"/>
      <c r="AW16" s="565"/>
      <c r="AX16" s="565"/>
      <c r="AY16" s="565"/>
      <c r="AZ16" s="565"/>
      <c r="BA16" s="565"/>
      <c r="BB16" s="565"/>
      <c r="BC16" s="565"/>
      <c r="BD16" s="565"/>
      <c r="BE16" s="566"/>
      <c r="BF16" s="101"/>
      <c r="BH16" s="110"/>
      <c r="BJ16" s="105"/>
      <c r="BK16" s="105"/>
      <c r="BL16" s="105"/>
      <c r="BM16" s="105"/>
      <c r="BN16" s="79"/>
      <c r="BO16" s="79"/>
      <c r="BP16" s="79"/>
      <c r="BQ16" s="80"/>
      <c r="BR16" s="111">
        <v>12</v>
      </c>
      <c r="BS16" s="111">
        <f>IF($BR$12&gt;=1,IF('(I) Plano de Trabalho'!$U$629&gt;=2,12,""))</f>
        <v>12</v>
      </c>
      <c r="BT16" s="112" t="str">
        <f>IF(OR(BT19=1,BT18=1,BT17=1),"",IF(BS16&lt;&gt;"",1,""))</f>
        <v/>
      </c>
      <c r="BU16" s="109" t="str">
        <f>IF(BT16="","",IF(SUM(BV16:BZ16)=4,2,IF(SUM(BV16:BZ16)=0,0,1)))</f>
        <v/>
      </c>
      <c r="BV16"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6"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16" s="106" t="s">
        <v>41</v>
      </c>
      <c r="BY16" s="106" t="s">
        <v>41</v>
      </c>
      <c r="BZ16" s="106" t="s">
        <v>41</v>
      </c>
    </row>
    <row r="17" spans="1:78" ht="4.5" customHeight="1">
      <c r="A17" s="101"/>
      <c r="B17" s="135"/>
      <c r="C17" s="135"/>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03"/>
      <c r="AU17" s="103"/>
      <c r="AV17" s="103"/>
      <c r="AW17" s="103"/>
      <c r="AX17" s="103"/>
      <c r="AY17" s="103"/>
      <c r="AZ17" s="103"/>
      <c r="BA17" s="103"/>
      <c r="BB17" s="103"/>
      <c r="BC17" s="103"/>
      <c r="BD17" s="103"/>
      <c r="BE17" s="103"/>
      <c r="BF17" s="101"/>
      <c r="BH17" s="110"/>
      <c r="BJ17" s="105"/>
      <c r="BK17" s="105"/>
      <c r="BL17" s="105"/>
      <c r="BM17" s="105"/>
      <c r="BN17" s="107"/>
      <c r="BO17" s="107"/>
      <c r="BP17" s="107"/>
      <c r="BQ17" s="80"/>
      <c r="BR17" s="111">
        <v>13</v>
      </c>
      <c r="BS17" s="111">
        <f>IF($BR$12&gt;=1,IF('(I) Plano de Trabalho'!$U$629&gt;=3,13,""))</f>
        <v>13</v>
      </c>
      <c r="BT17" s="112" t="str">
        <f>IF(OR(BT19=1,BT18=1),"",IF(BS17&lt;&gt;"",1,""))</f>
        <v/>
      </c>
      <c r="BU17" s="109" t="str">
        <f>IF(BT17="","",IF(SUM(BV17:BZ17)=6,2,IF(SUM(BV17:BZ17)=0,0,1)))</f>
        <v/>
      </c>
      <c r="BV17"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7"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17" s="106">
        <f>IF(AND('(I) Plano de Trabalho'!$I$679&lt;&gt;"",'(I) Plano de Trabalho'!$P$682&lt;&gt;"",'(I) Plano de Trabalho'!$AF$682&lt;&gt;"",'(I) Plano de Trabalho'!$P$685&lt;&gt;"",'(I) Plano de Trabalho'!$AS$685&lt;&gt;""),2,IF(AND('(I) Plano de Trabalho'!$I$679="",'(I) Plano de Trabalho'!$P$682="",'(I) Plano de Trabalho'!$AF$682="",'(I) Plano de Trabalho'!$P$685="",'(I) Plano de Trabalho'!$AS$685=""),0,1))</f>
        <v>2</v>
      </c>
      <c r="BY17" s="106" t="s">
        <v>41</v>
      </c>
      <c r="BZ17" s="106" t="s">
        <v>41</v>
      </c>
    </row>
    <row r="18" spans="1:78" ht="8.1" customHeight="1">
      <c r="A18" s="101"/>
      <c r="B18" s="561" t="s">
        <v>289</v>
      </c>
      <c r="C18" s="561"/>
      <c r="D18" s="133"/>
      <c r="E18" s="567" t="s">
        <v>367</v>
      </c>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103"/>
      <c r="AU18" s="580" t="str">
        <f>IF('(I) Plano de Trabalho'!$AP$17&lt;&gt;"Federal","Não se Aplica",'Verificação de Pendências'!$BM$18)</f>
        <v>OK</v>
      </c>
      <c r="AV18" s="580"/>
      <c r="AW18" s="580"/>
      <c r="AX18" s="580"/>
      <c r="AY18" s="580"/>
      <c r="AZ18" s="580"/>
      <c r="BA18" s="580"/>
      <c r="BB18" s="580"/>
      <c r="BC18" s="580"/>
      <c r="BD18" s="580"/>
      <c r="BE18" s="581"/>
      <c r="BF18" s="101"/>
      <c r="BH18" s="108">
        <f>IF(OR((AU18="ok"),(AU18="Não se Aplica")),1,0)</f>
        <v>1</v>
      </c>
      <c r="BJ18" s="106" t="str">
        <f>IF(AND(('(I) Plano de Trabalho'!$O$20&lt;&gt;""),('(I) Plano de Trabalho'!$AP$20&lt;&gt;"")),"OK","")</f>
        <v>OK</v>
      </c>
      <c r="BK18" s="106" t="str">
        <f>IF(AND(('(I) Plano de Trabalho'!$O$20=""),('(I) Plano de Trabalho'!$AP$20="")),"Não Preenchido","")</f>
        <v/>
      </c>
      <c r="BL18" s="106" t="str">
        <f>IF(AND(BJ18="",BK18=""),"Incompleto","")</f>
        <v/>
      </c>
      <c r="BM18" s="109" t="str">
        <f>IF(BJ18="OK","OK",IF(BK18="Não Preenchido","Não Preenchido",IF(BL18="Incompleto","Incompleto","")))</f>
        <v>OK</v>
      </c>
      <c r="BN18" s="79"/>
      <c r="BO18" s="79"/>
      <c r="BP18" s="79"/>
      <c r="BQ18" s="80"/>
      <c r="BR18" s="111">
        <v>14</v>
      </c>
      <c r="BS18" s="111">
        <f>IF($BR$12&gt;=1,IF('(I) Plano de Trabalho'!$U$629&gt;=4,14,""))</f>
        <v>14</v>
      </c>
      <c r="BT18" s="112" t="str">
        <f>IF(BT19=1,"",IF(BS18&lt;&gt;"",1,""))</f>
        <v/>
      </c>
      <c r="BU18" s="109" t="str">
        <f>IF(BT18="","",IF(SUM(BV18:BZ18)=8,2,IF(SUM(BV18:BZ18)=0,0,1)))</f>
        <v/>
      </c>
      <c r="BV18"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8"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18" s="106">
        <f>IF(AND('(I) Plano de Trabalho'!$I$679&lt;&gt;"",'(I) Plano de Trabalho'!$P$682&lt;&gt;"",'(I) Plano de Trabalho'!$AF$682&lt;&gt;"",'(I) Plano de Trabalho'!$P$685&lt;&gt;"",'(I) Plano de Trabalho'!$AS$685&lt;&gt;""),2,IF(AND('(I) Plano de Trabalho'!$I$679="",'(I) Plano de Trabalho'!$P$682="",'(I) Plano de Trabalho'!$AF$682="",'(I) Plano de Trabalho'!$P$685="",'(I) Plano de Trabalho'!$AS$685=""),0,1))</f>
        <v>2</v>
      </c>
      <c r="BY18" s="106">
        <f>IF(AND('(I) Plano de Trabalho'!$I$702&lt;&gt;"",'(I) Plano de Trabalho'!$P$705&lt;&gt;"",'(I) Plano de Trabalho'!$AF$705&lt;&gt;"",'(I) Plano de Trabalho'!$P$708&lt;&gt;"",'(I) Plano de Trabalho'!$AS$708&lt;&gt;""),2,IF(AND('(I) Plano de Trabalho'!$I$702="",'(I) Plano de Trabalho'!$P$705="",'(I) Plano de Trabalho'!$AF$705="",'(I) Plano de Trabalho'!$P$708="",'(I) Plano de Trabalho'!$AS$708=""),0,1))</f>
        <v>2</v>
      </c>
      <c r="BZ18" s="106" t="s">
        <v>41</v>
      </c>
    </row>
    <row r="19" spans="1:78" ht="8.1" customHeight="1">
      <c r="A19" s="101"/>
      <c r="B19" s="562"/>
      <c r="C19" s="562"/>
      <c r="D19" s="134"/>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103"/>
      <c r="AU19" s="582"/>
      <c r="AV19" s="582"/>
      <c r="AW19" s="582"/>
      <c r="AX19" s="582"/>
      <c r="AY19" s="582"/>
      <c r="AZ19" s="582"/>
      <c r="BA19" s="582"/>
      <c r="BB19" s="582"/>
      <c r="BC19" s="582"/>
      <c r="BD19" s="582"/>
      <c r="BE19" s="583"/>
      <c r="BF19" s="101"/>
      <c r="BH19" s="110"/>
      <c r="BJ19" s="105"/>
      <c r="BK19" s="105"/>
      <c r="BL19" s="105"/>
      <c r="BM19" s="105"/>
      <c r="BN19" s="79"/>
      <c r="BO19" s="79"/>
      <c r="BP19" s="79"/>
      <c r="BQ19" s="80"/>
      <c r="BR19" s="111">
        <v>15</v>
      </c>
      <c r="BS19" s="111">
        <f>IF($BR$12&gt;=1,IF('(I) Plano de Trabalho'!$U$629&gt;=5,15,""))</f>
        <v>15</v>
      </c>
      <c r="BT19" s="112">
        <f>IF(BS19&lt;&gt;"",1,"")</f>
        <v>1</v>
      </c>
      <c r="BU19" s="109">
        <f>IF(BT19="","",IF(SUM(BV19:BZ19)=10,2,IF(SUM(BV19:BZ19)=0,0,1)))</f>
        <v>2</v>
      </c>
      <c r="BV19"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19"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19" s="106">
        <f>IF(AND('(I) Plano de Trabalho'!$I$679&lt;&gt;"",'(I) Plano de Trabalho'!$P$682&lt;&gt;"",'(I) Plano de Trabalho'!$AF$682&lt;&gt;"",'(I) Plano de Trabalho'!$P$685&lt;&gt;"",'(I) Plano de Trabalho'!$AS$685&lt;&gt;""),2,IF(AND('(I) Plano de Trabalho'!$I$679="",'(I) Plano de Trabalho'!$P$682="",'(I) Plano de Trabalho'!$AF$682="",'(I) Plano de Trabalho'!$P$685="",'(I) Plano de Trabalho'!$AS$685=""),0,1))</f>
        <v>2</v>
      </c>
      <c r="BY19" s="106">
        <f>IF(AND('(I) Plano de Trabalho'!$I$702&lt;&gt;"",'(I) Plano de Trabalho'!$P$705&lt;&gt;"",'(I) Plano de Trabalho'!$AF$705&lt;&gt;"",'(I) Plano de Trabalho'!$P$708&lt;&gt;"",'(I) Plano de Trabalho'!$AS$708&lt;&gt;""),2,IF(AND('(I) Plano de Trabalho'!$I$702="",'(I) Plano de Trabalho'!$P$705="",'(I) Plano de Trabalho'!$AF$705="",'(I) Plano de Trabalho'!$P$708="",'(I) Plano de Trabalho'!$AS$708=""),0,1))</f>
        <v>2</v>
      </c>
      <c r="BZ19" s="106">
        <f>IF(AND('(I) Plano de Trabalho'!$I$725&lt;&gt;"",'(I) Plano de Trabalho'!$P$728&lt;&gt;"",'(I) Plano de Trabalho'!$AF$728&lt;&gt;"",'(I) Plano de Trabalho'!$P$731&lt;&gt;"",'(I) Plano de Trabalho'!$AS$731&lt;&gt;""),2,IF(AND('(I) Plano de Trabalho'!$I$725="",'(I) Plano de Trabalho'!$P$728="",'(I) Plano de Trabalho'!$AF$728="",'(I) Plano de Trabalho'!$P$731="",'(I) Plano de Trabalho'!$AS$731=""),0,1))</f>
        <v>2</v>
      </c>
    </row>
    <row r="20" spans="1:78" ht="4.5" customHeight="1">
      <c r="A20" s="101"/>
      <c r="B20" s="135"/>
      <c r="C20" s="135"/>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03"/>
      <c r="AU20" s="103"/>
      <c r="AV20" s="103"/>
      <c r="AW20" s="103"/>
      <c r="AX20" s="103"/>
      <c r="AY20" s="103"/>
      <c r="AZ20" s="103"/>
      <c r="BA20" s="103"/>
      <c r="BB20" s="103"/>
      <c r="BC20" s="103"/>
      <c r="BD20" s="103"/>
      <c r="BE20" s="103"/>
      <c r="BF20" s="101"/>
      <c r="BH20" s="110"/>
      <c r="BJ20" s="105"/>
      <c r="BK20" s="105"/>
      <c r="BL20" s="105"/>
      <c r="BM20" s="105"/>
      <c r="BN20" s="107"/>
      <c r="BO20" s="107"/>
      <c r="BP20" s="107"/>
      <c r="BQ20" s="80"/>
      <c r="BR20" s="107"/>
      <c r="BS20" s="107"/>
      <c r="BT20" s="107"/>
      <c r="BU20" s="107"/>
      <c r="BV20" s="107"/>
      <c r="BW20" s="107"/>
    </row>
    <row r="21" spans="1:78" ht="8.1" customHeight="1">
      <c r="A21" s="101"/>
      <c r="B21" s="561" t="s">
        <v>289</v>
      </c>
      <c r="C21" s="561"/>
      <c r="D21" s="133"/>
      <c r="E21" s="567" t="s">
        <v>291</v>
      </c>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103"/>
      <c r="AU21" s="584" t="str">
        <f>BM21</f>
        <v>OK</v>
      </c>
      <c r="AV21" s="584"/>
      <c r="AW21" s="584"/>
      <c r="AX21" s="584"/>
      <c r="AY21" s="584"/>
      <c r="AZ21" s="584"/>
      <c r="BA21" s="584"/>
      <c r="BB21" s="584"/>
      <c r="BC21" s="584"/>
      <c r="BD21" s="584"/>
      <c r="BE21" s="585"/>
      <c r="BF21" s="101"/>
      <c r="BH21" s="108">
        <f>IF(AU21="ok",1,0)</f>
        <v>1</v>
      </c>
      <c r="BJ21" s="106" t="str">
        <f>IF(OR(('(I) Plano de Trabalho'!$W$37&lt;&gt;""),('(I) Plano de Trabalho'!$AG$37&lt;&gt;"")),"OK","")</f>
        <v>OK</v>
      </c>
      <c r="BK21" s="106" t="str">
        <f>IF(AND(('(I) Plano de Trabalho'!$W$37=""),('(I) Plano de Trabalho'!$AG$37="")),"Não Preenchido","")</f>
        <v/>
      </c>
      <c r="BL21" s="106" t="s">
        <v>41</v>
      </c>
      <c r="BM21" s="109" t="str">
        <f>IF(BJ21="OK","OK",IF(BK21="Não Preenchido","Não Preenchido"))</f>
        <v>OK</v>
      </c>
      <c r="BN21" s="79"/>
      <c r="BO21" s="79"/>
      <c r="BP21" s="79"/>
      <c r="BQ21" s="80"/>
      <c r="BR21" s="111">
        <v>21</v>
      </c>
      <c r="BS21" s="111">
        <f>IF($BR$12&gt;=1,IF('(I) Plano de Trabalho'!$U$752&gt;=1,21,""))</f>
        <v>21</v>
      </c>
      <c r="BT21" s="112" t="str">
        <f>IF(OR(BT25=1,BT24=1,BT23=1,BT22=1),"",IF(BS21&lt;&gt;"",1,""))</f>
        <v/>
      </c>
      <c r="BU21" s="109" t="str">
        <f>IF(BT21="","",IF(SUM(BV21:BZ21)=2,2,IF(SUM(BV21:BZ21)=0,0,1)))</f>
        <v/>
      </c>
      <c r="BV21" s="106">
        <f>IF(AND('(I) Plano de Trabalho'!$I$755&lt;&gt;"",'(I) Plano de Trabalho'!$P$758&lt;&gt;"",'(I) Plano de Trabalho'!$AF$758&lt;&gt;"",'(I) Plano de Trabalho'!$P$761&lt;&gt;"",'(I) Plano de Trabalho'!$AS$761&lt;&gt;""),2,IF(AND('(I) Plano de Trabalho'!$I$755="",'(I) Plano de Trabalho'!$P$758="",'(I) Plano de Trabalho'!$AF$758="",'(I) Plano de Trabalho'!$P$761="",'(I) Plano de Trabalho'!$AS$761=""),0,1))</f>
        <v>2</v>
      </c>
      <c r="BW21" s="106" t="s">
        <v>41</v>
      </c>
      <c r="BX21" s="106" t="s">
        <v>41</v>
      </c>
      <c r="BY21" s="106" t="s">
        <v>41</v>
      </c>
      <c r="BZ21" s="106" t="s">
        <v>41</v>
      </c>
    </row>
    <row r="22" spans="1:78" ht="8.1" customHeight="1">
      <c r="A22" s="101"/>
      <c r="B22" s="562"/>
      <c r="C22" s="562"/>
      <c r="D22" s="134"/>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103"/>
      <c r="AU22" s="586"/>
      <c r="AV22" s="586"/>
      <c r="AW22" s="586"/>
      <c r="AX22" s="586"/>
      <c r="AY22" s="586"/>
      <c r="AZ22" s="586"/>
      <c r="BA22" s="586"/>
      <c r="BB22" s="586"/>
      <c r="BC22" s="586"/>
      <c r="BD22" s="586"/>
      <c r="BE22" s="587"/>
      <c r="BF22" s="101"/>
      <c r="BH22" s="110"/>
      <c r="BJ22" s="105"/>
      <c r="BK22" s="105"/>
      <c r="BL22" s="105"/>
      <c r="BM22" s="105"/>
      <c r="BN22" s="79"/>
      <c r="BO22" s="79"/>
      <c r="BP22" s="79"/>
      <c r="BQ22" s="80"/>
      <c r="BR22" s="111">
        <v>22</v>
      </c>
      <c r="BS22" s="111">
        <f>IF($BR$12&gt;=1,IF('(I) Plano de Trabalho'!$U$752&gt;=2,22,""))</f>
        <v>22</v>
      </c>
      <c r="BT22" s="112">
        <f>IF(OR(BT25=1,BT24=1,BT23=1),"",IF(BS22&lt;&gt;"",1,""))</f>
        <v>1</v>
      </c>
      <c r="BU22" s="109">
        <f>IF(BT22="","",IF(SUM(BV22:BZ22)=4,2,IF(SUM(BV22:BZ22)=0,0,1)))</f>
        <v>2</v>
      </c>
      <c r="BV22" s="106">
        <f>IF(AND('(I) Plano de Trabalho'!$I$755&lt;&gt;"",'(I) Plano de Trabalho'!$P$758&lt;&gt;"",'(I) Plano de Trabalho'!$AF$758&lt;&gt;"",'(I) Plano de Trabalho'!$P$761&lt;&gt;"",'(I) Plano de Trabalho'!$AS$761&lt;&gt;""),2,IF(AND('(I) Plano de Trabalho'!$I$755="",'(I) Plano de Trabalho'!$P$758="",'(I) Plano de Trabalho'!$AF$758="",'(I) Plano de Trabalho'!$P$761="",'(I) Plano de Trabalho'!$AS$761=""),0,1))</f>
        <v>2</v>
      </c>
      <c r="BW22" s="106">
        <f>IF(AND('(I) Plano de Trabalho'!$I$778&lt;&gt;"",'(I) Plano de Trabalho'!$P$781&lt;&gt;"",'(I) Plano de Trabalho'!$AF$781&lt;&gt;"",'(I) Plano de Trabalho'!$P$784&lt;&gt;"",'(I) Plano de Trabalho'!$AS$784&lt;&gt;""),2,IF(AND('(I) Plano de Trabalho'!$I$778="",'(I) Plano de Trabalho'!$P$781="",'(I) Plano de Trabalho'!$AF$781="",'(I) Plano de Trabalho'!$P$784="",'(I) Plano de Trabalho'!$AS$784=""),0,1))</f>
        <v>2</v>
      </c>
      <c r="BX22" s="106" t="s">
        <v>41</v>
      </c>
      <c r="BY22" s="106" t="s">
        <v>41</v>
      </c>
      <c r="BZ22" s="106" t="s">
        <v>41</v>
      </c>
    </row>
    <row r="23" spans="1:78" ht="4.5" customHeight="1">
      <c r="A23" s="101"/>
      <c r="B23" s="135"/>
      <c r="C23" s="135"/>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03"/>
      <c r="AU23" s="104"/>
      <c r="AV23" s="104"/>
      <c r="AW23" s="104"/>
      <c r="AX23" s="104"/>
      <c r="AY23" s="104"/>
      <c r="AZ23" s="104"/>
      <c r="BA23" s="104"/>
      <c r="BB23" s="104"/>
      <c r="BC23" s="104"/>
      <c r="BD23" s="104"/>
      <c r="BE23" s="104"/>
      <c r="BF23" s="101"/>
      <c r="BH23" s="110"/>
      <c r="BJ23" s="105"/>
      <c r="BK23" s="105"/>
      <c r="BL23" s="105"/>
      <c r="BM23" s="105"/>
      <c r="BN23" s="107"/>
      <c r="BO23" s="107"/>
      <c r="BP23" s="107"/>
      <c r="BQ23" s="80"/>
      <c r="BR23" s="111">
        <v>23</v>
      </c>
      <c r="BS23" s="111" t="str">
        <f>IF($BR$12&gt;=1,IF('(I) Plano de Trabalho'!$U$752&gt;=3,23,""))</f>
        <v/>
      </c>
      <c r="BT23" s="112" t="str">
        <f>IF(OR(BT25=1,BT24=1),"",IF(BS23&lt;&gt;"",1,""))</f>
        <v/>
      </c>
      <c r="BU23" s="109" t="str">
        <f>IF(BT23="","",IF(SUM(BV23:BZ23)=6,2,IF(SUM(BV23:BZ23)=0,0,1)))</f>
        <v/>
      </c>
      <c r="BV23" s="106">
        <f>IF(AND('(I) Plano de Trabalho'!$I$755&lt;&gt;"",'(I) Plano de Trabalho'!$P$758&lt;&gt;"",'(I) Plano de Trabalho'!$AF$758&lt;&gt;"",'(I) Plano de Trabalho'!$P$761&lt;&gt;"",'(I) Plano de Trabalho'!$AS$761&lt;&gt;""),2,IF(AND('(I) Plano de Trabalho'!$I$755="",'(I) Plano de Trabalho'!$P$758="",'(I) Plano de Trabalho'!$AF$758="",'(I) Plano de Trabalho'!$P$761="",'(I) Plano de Trabalho'!$AS$761=""),0,1))</f>
        <v>2</v>
      </c>
      <c r="BW23" s="106">
        <f>IF(AND('(I) Plano de Trabalho'!$I$778&lt;&gt;"",'(I) Plano de Trabalho'!$P$781&lt;&gt;"",'(I) Plano de Trabalho'!$AF$781&lt;&gt;"",'(I) Plano de Trabalho'!$P$784&lt;&gt;"",'(I) Plano de Trabalho'!$AS$784&lt;&gt;""),2,IF(AND('(I) Plano de Trabalho'!$I$778="",'(I) Plano de Trabalho'!$P$781="",'(I) Plano de Trabalho'!$AF$781="",'(I) Plano de Trabalho'!$P$784="",'(I) Plano de Trabalho'!$AS$784=""),0,1))</f>
        <v>2</v>
      </c>
      <c r="BX23" s="106">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3" s="106" t="s">
        <v>41</v>
      </c>
      <c r="BZ23" s="106" t="s">
        <v>41</v>
      </c>
    </row>
    <row r="24" spans="1:78" ht="8.1" customHeight="1">
      <c r="A24" s="101"/>
      <c r="B24" s="561" t="s">
        <v>292</v>
      </c>
      <c r="C24" s="561"/>
      <c r="D24" s="133"/>
      <c r="E24" s="567" t="s">
        <v>370</v>
      </c>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103"/>
      <c r="AU24" s="584" t="str">
        <f>BM24</f>
        <v>OK</v>
      </c>
      <c r="AV24" s="584"/>
      <c r="AW24" s="584"/>
      <c r="AX24" s="584"/>
      <c r="AY24" s="584"/>
      <c r="AZ24" s="584"/>
      <c r="BA24" s="584"/>
      <c r="BB24" s="584"/>
      <c r="BC24" s="584"/>
      <c r="BD24" s="584"/>
      <c r="BE24" s="585"/>
      <c r="BF24" s="101"/>
      <c r="BH24" s="108">
        <f>IF(AU24="ok",1,0)</f>
        <v>1</v>
      </c>
      <c r="BJ24" s="106" t="str">
        <f>IF(AND('(I) Plano de Trabalho'!$O$52&lt;&gt;"",'(I) Plano de Trabalho'!$O$55&lt;&gt;"",'(I) Plano de Trabalho'!$O$58&lt;&gt;"",'(I) Plano de Trabalho'!$AO$58&lt;&gt;"",'(I) Plano de Trabalho'!$O$61&lt;&gt;"",'(I) Plano de Trabalho'!$AO$61&lt;&gt;"",'(I) Plano de Trabalho'!$O$64&lt;&gt;"",'(I) Plano de Trabalho'!$O$67&lt;&gt;""),"OK","")</f>
        <v>OK</v>
      </c>
      <c r="BK24" s="106" t="str">
        <f>IF(AND('(I) Plano de Trabalho'!$O$52="",'(I) Plano de Trabalho'!$O$55="",'(I) Plano de Trabalho'!$O$58="",'(I) Plano de Trabalho'!$AO$58="",'(I) Plano de Trabalho'!$O$61="",'(I) Plano de Trabalho'!$AO$61="",'(I) Plano de Trabalho'!$O$64="",'(I) Plano de Trabalho'!$O$67=""),"Não Preenchido","")</f>
        <v/>
      </c>
      <c r="BL24" s="106" t="str">
        <f>IF(AND(BJ24="",BK24=""),"Incompleto","")</f>
        <v/>
      </c>
      <c r="BM24" s="109" t="str">
        <f>IF(BJ24="OK","OK",IF(BK24="Não Preenchido","Não Preenchido",IF(BL24="Incompleto","Incompleto","")))</f>
        <v>OK</v>
      </c>
      <c r="BN24" s="79"/>
      <c r="BO24" s="79"/>
      <c r="BP24" s="79"/>
      <c r="BQ24" s="80"/>
      <c r="BR24" s="111">
        <v>24</v>
      </c>
      <c r="BS24" s="111" t="str">
        <f>IF($BR$12&gt;=1,IF('(I) Plano de Trabalho'!$U$752&gt;=4,24,""))</f>
        <v/>
      </c>
      <c r="BT24" s="112" t="str">
        <f>IF(BT25=1,"",IF(BS24&lt;&gt;"",1,""))</f>
        <v/>
      </c>
      <c r="BU24" s="109" t="str">
        <f>IF(BT24="","",IF(SUM(BV24:BZ24)=8,2,IF(SUM(BV24:BZ24)=0,0,1)))</f>
        <v/>
      </c>
      <c r="BV24" s="106">
        <f>IF(AND('(I) Plano de Trabalho'!$I$755&lt;&gt;"",'(I) Plano de Trabalho'!$P$758&lt;&gt;"",'(I) Plano de Trabalho'!$AF$758&lt;&gt;"",'(I) Plano de Trabalho'!$P$761&lt;&gt;"",'(I) Plano de Trabalho'!$AS$761&lt;&gt;""),2,IF(AND('(I) Plano de Trabalho'!$I$755="",'(I) Plano de Trabalho'!$P$758="",'(I) Plano de Trabalho'!$AF$758="",'(I) Plano de Trabalho'!$P$761="",'(I) Plano de Trabalho'!$AS$761=""),0,1))</f>
        <v>2</v>
      </c>
      <c r="BW24" s="106">
        <f>IF(AND('(I) Plano de Trabalho'!$I$778&lt;&gt;"",'(I) Plano de Trabalho'!$P$781&lt;&gt;"",'(I) Plano de Trabalho'!$AF$781&lt;&gt;"",'(I) Plano de Trabalho'!$P$784&lt;&gt;"",'(I) Plano de Trabalho'!$AS$784&lt;&gt;""),2,IF(AND('(I) Plano de Trabalho'!$I$778="",'(I) Plano de Trabalho'!$P$781="",'(I) Plano de Trabalho'!$AF$781="",'(I) Plano de Trabalho'!$P$784="",'(I) Plano de Trabalho'!$AS$784=""),0,1))</f>
        <v>2</v>
      </c>
      <c r="BX24" s="106">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4" s="106">
        <f>IF(AND('(I) Plano de Trabalho'!$I$825&lt;&gt;"",'(I) Plano de Trabalho'!$P$828&lt;&gt;"",'(I) Plano de Trabalho'!$AF$828&lt;&gt;"",'(I) Plano de Trabalho'!$P$831&lt;&gt;"",'(I) Plano de Trabalho'!$AS$831&lt;&gt;""),2,IF(AND('(I) Plano de Trabalho'!$I$825="",'(I) Plano de Trabalho'!$P$828="",'(I) Plano de Trabalho'!$AF$828="",'(I) Plano de Trabalho'!$P$831="",'(I) Plano de Trabalho'!$AS$831=""),0,1))</f>
        <v>0</v>
      </c>
      <c r="BZ24" s="106" t="s">
        <v>41</v>
      </c>
    </row>
    <row r="25" spans="1:78" ht="8.1" customHeight="1">
      <c r="A25" s="101"/>
      <c r="B25" s="562"/>
      <c r="C25" s="562"/>
      <c r="D25" s="134"/>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103"/>
      <c r="AU25" s="586"/>
      <c r="AV25" s="586"/>
      <c r="AW25" s="586"/>
      <c r="AX25" s="586"/>
      <c r="AY25" s="586"/>
      <c r="AZ25" s="586"/>
      <c r="BA25" s="586"/>
      <c r="BB25" s="586"/>
      <c r="BC25" s="586"/>
      <c r="BD25" s="586"/>
      <c r="BE25" s="587"/>
      <c r="BF25" s="101"/>
      <c r="BH25" s="110"/>
      <c r="BJ25" s="105"/>
      <c r="BK25" s="105"/>
      <c r="BL25" s="105"/>
      <c r="BM25" s="105"/>
      <c r="BN25" s="79"/>
      <c r="BO25" s="79"/>
      <c r="BP25" s="79"/>
      <c r="BQ25" s="80"/>
      <c r="BR25" s="111">
        <v>25</v>
      </c>
      <c r="BS25" s="111" t="str">
        <f>IF($BR$12&gt;=1,IF('(I) Plano de Trabalho'!$U$752&gt;=5,25,""))</f>
        <v/>
      </c>
      <c r="BT25" s="112" t="str">
        <f>IF(BS25&lt;&gt;"",1,"")</f>
        <v/>
      </c>
      <c r="BU25" s="109" t="str">
        <f>IF(BT25="","",IF(SUM(BV25:BZ25)=10,2,IF(SUM(BV25:BZ25)=0,0,1)))</f>
        <v/>
      </c>
      <c r="BV25" s="106">
        <f>IF(AND('(I) Plano de Trabalho'!$I$755&lt;&gt;"",'(I) Plano de Trabalho'!$P$758&lt;&gt;"",'(I) Plano de Trabalho'!$AF$758&lt;&gt;"",'(I) Plano de Trabalho'!$P$761&lt;&gt;"",'(I) Plano de Trabalho'!$AS$761&lt;&gt;""),2,IF(AND('(I) Plano de Trabalho'!$I$755="",'(I) Plano de Trabalho'!$P$758="",'(I) Plano de Trabalho'!$AF$758="",'(I) Plano de Trabalho'!$P$761="",'(I) Plano de Trabalho'!$AS$761=""),0,1))</f>
        <v>2</v>
      </c>
      <c r="BW25" s="106">
        <f>IF(AND('(I) Plano de Trabalho'!$I$778&lt;&gt;"",'(I) Plano de Trabalho'!$P$781&lt;&gt;"",'(I) Plano de Trabalho'!$AF$781&lt;&gt;"",'(I) Plano de Trabalho'!$P$784&lt;&gt;"",'(I) Plano de Trabalho'!$AS$784&lt;&gt;""),2,IF(AND('(I) Plano de Trabalho'!$I$778="",'(I) Plano de Trabalho'!$P$781="",'(I) Plano de Trabalho'!$AF$781="",'(I) Plano de Trabalho'!$P$784="",'(I) Plano de Trabalho'!$AS$784=""),0,1))</f>
        <v>2</v>
      </c>
      <c r="BX25" s="106">
        <f>IF(AND('(I) Plano de Trabalho'!$I$801&lt;&gt;"",'(I) Plano de Trabalho'!$P$804&lt;&gt;"",'(I) Plano de Trabalho'!$AF$804&lt;&gt;"",'(I) Plano de Trabalho'!$P$807&lt;&gt;"",'(I) Plano de Trabalho'!$AS$807&lt;&gt;""),2,IF(AND('(I) Plano de Trabalho'!$I$801="",'(I) Plano de Trabalho'!$P$804="",'(I) Plano de Trabalho'!$AF$804="",'(I) Plano de Trabalho'!$P$807="",'(I) Plano de Trabalho'!$AS$807=""),0,1))</f>
        <v>0</v>
      </c>
      <c r="BY25" s="106">
        <f>IF(AND('(I) Plano de Trabalho'!$I$825&lt;&gt;"",'(I) Plano de Trabalho'!$P$828&lt;&gt;"",'(I) Plano de Trabalho'!$AF$828&lt;&gt;"",'(I) Plano de Trabalho'!$P$831&lt;&gt;"",'(I) Plano de Trabalho'!$AS$831&lt;&gt;""),2,IF(AND('(I) Plano de Trabalho'!$I$825="",'(I) Plano de Trabalho'!$P$828="",'(I) Plano de Trabalho'!$AF$828="",'(I) Plano de Trabalho'!$P$831="",'(I) Plano de Trabalho'!$AS$831=""),0,1))</f>
        <v>0</v>
      </c>
      <c r="BZ25" s="106">
        <f>IF(AND('(I) Plano de Trabalho'!$I$848&lt;&gt;"",'(I) Plano de Trabalho'!$P$851&lt;&gt;"",'(I) Plano de Trabalho'!$AF$851&lt;&gt;"",'(I) Plano de Trabalho'!$P$854&lt;&gt;"",'(I) Plano de Trabalho'!$AS$854&lt;&gt;""),2,IF(AND('(I) Plano de Trabalho'!$I$848="",'(I) Plano de Trabalho'!$P$851="",'(I) Plano de Trabalho'!$AF$851="",'(I) Plano de Trabalho'!$P$854="",'(I) Plano de Trabalho'!$AS$854=""),0,1))</f>
        <v>0</v>
      </c>
    </row>
    <row r="26" spans="1:78" ht="4.5" customHeight="1">
      <c r="A26" s="101"/>
      <c r="B26" s="135"/>
      <c r="C26" s="135"/>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03"/>
      <c r="AU26" s="104"/>
      <c r="AV26" s="104"/>
      <c r="AW26" s="104"/>
      <c r="AX26" s="104"/>
      <c r="AY26" s="104"/>
      <c r="AZ26" s="104"/>
      <c r="BA26" s="104"/>
      <c r="BB26" s="104"/>
      <c r="BC26" s="104"/>
      <c r="BD26" s="104"/>
      <c r="BE26" s="104"/>
      <c r="BF26" s="101"/>
      <c r="BH26" s="110"/>
      <c r="BJ26" s="105"/>
      <c r="BK26" s="105"/>
      <c r="BL26" s="105"/>
      <c r="BM26" s="105"/>
      <c r="BN26" s="107"/>
      <c r="BO26" s="107"/>
      <c r="BP26" s="107"/>
      <c r="BQ26" s="80"/>
      <c r="BR26" s="113"/>
      <c r="BS26" s="113"/>
      <c r="BT26" s="113"/>
      <c r="BU26" s="113"/>
      <c r="BV26" s="113"/>
      <c r="BW26" s="78"/>
      <c r="BX26" s="78"/>
      <c r="BY26" s="78"/>
      <c r="BZ26" s="78"/>
    </row>
    <row r="27" spans="1:78" ht="8.1" customHeight="1">
      <c r="A27" s="101"/>
      <c r="B27" s="561" t="s">
        <v>294</v>
      </c>
      <c r="C27" s="561"/>
      <c r="D27" s="133"/>
      <c r="E27" s="567" t="s">
        <v>371</v>
      </c>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103"/>
      <c r="AU27" s="584" t="str">
        <f>BM27</f>
        <v>OK</v>
      </c>
      <c r="AV27" s="584"/>
      <c r="AW27" s="584"/>
      <c r="AX27" s="584"/>
      <c r="AY27" s="584"/>
      <c r="AZ27" s="584"/>
      <c r="BA27" s="584"/>
      <c r="BB27" s="584"/>
      <c r="BC27" s="584"/>
      <c r="BD27" s="584"/>
      <c r="BE27" s="585"/>
      <c r="BF27" s="101"/>
      <c r="BH27" s="108">
        <f>IF(AU27="ok",1,0)</f>
        <v>1</v>
      </c>
      <c r="BJ27" s="106" t="str">
        <f>IF(AND('(I) Plano de Trabalho'!$O$73&lt;&gt;"",'(I) Plano de Trabalho'!$O$76&lt;&gt;"",'(I) Plano de Trabalho'!$O$79&lt;&gt;"",'(I) Plano de Trabalho'!$AO$79&lt;&gt;"",'(I) Plano de Trabalho'!$O$82&lt;&gt;"",'(I) Plano de Trabalho'!$AO$82&lt;&gt;"",'(I) Plano de Trabalho'!$O$85&lt;&gt;"",'(I) Plano de Trabalho'!$O$88&lt;&gt;""),"OK","")</f>
        <v>OK</v>
      </c>
      <c r="BK27" s="106" t="str">
        <f>IF(AND('(I) Plano de Trabalho'!$O$73="",'(I) Plano de Trabalho'!$O$76="",'(I) Plano de Trabalho'!$O$79="",'(I) Plano de Trabalho'!$AO$79="",'(I) Plano de Trabalho'!$O$82="",'(I) Plano de Trabalho'!$AO$82="",'(I) Plano de Trabalho'!$O$85="",'(I) Plano de Trabalho'!$O$88=""),"Não Preenchido","")</f>
        <v/>
      </c>
      <c r="BL27" s="106" t="str">
        <f>IF(AND(BJ27="",BK27=""),"Incompleto","")</f>
        <v/>
      </c>
      <c r="BM27" s="109" t="str">
        <f>IF(BJ27="OK","OK",IF(BK27="Não Preenchido","Não Preenchido",IF(BL27="Incompleto","Incompleto","")))</f>
        <v>OK</v>
      </c>
      <c r="BN27" s="79"/>
      <c r="BO27" s="79"/>
      <c r="BP27" s="79"/>
      <c r="BQ27" s="80"/>
      <c r="BR27" s="111">
        <v>31</v>
      </c>
      <c r="BS27" s="111">
        <f>IF($BR$12&gt;=1,IF('(I) Plano de Trabalho'!$U$874&gt;=1,31,""))</f>
        <v>31</v>
      </c>
      <c r="BT27" s="112">
        <f>IF(OR(BT31=1,BT30=1,BT29=1,BT28=1),"",IF(BS27&lt;&gt;"",1,""))</f>
        <v>1</v>
      </c>
      <c r="BU27" s="109">
        <f>IF(BT27="","",IF(SUM(BV27:BZ27)=2,2,IF(SUM(BV27:BZ27)=0,0,1)))</f>
        <v>2</v>
      </c>
      <c r="BV27" s="106">
        <f>IF(AND('(I) Plano de Trabalho'!$I$877&lt;&gt;"",'(I) Plano de Trabalho'!$P$880&lt;&gt;"",'(I) Plano de Trabalho'!$AF$880&lt;&gt;"",'(I) Plano de Trabalho'!$P$883&lt;&gt;"",'(I) Plano de Trabalho'!$AS$883&lt;&gt;""),2,IF(AND('(I) Plano de Trabalho'!$I$877="",'(I) Plano de Trabalho'!$P$880="",'(I) Plano de Trabalho'!$AF$880="",'(I) Plano de Trabalho'!$P$883="",'(I) Plano de Trabalho'!$AS$883=""),0,1))</f>
        <v>2</v>
      </c>
      <c r="BW27" s="106" t="s">
        <v>41</v>
      </c>
      <c r="BX27" s="106" t="s">
        <v>41</v>
      </c>
      <c r="BY27" s="106" t="s">
        <v>41</v>
      </c>
      <c r="BZ27" s="106" t="s">
        <v>41</v>
      </c>
    </row>
    <row r="28" spans="1:78" ht="8.1" customHeight="1">
      <c r="A28" s="101"/>
      <c r="B28" s="562"/>
      <c r="C28" s="562"/>
      <c r="D28" s="134"/>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103"/>
      <c r="AU28" s="586"/>
      <c r="AV28" s="586"/>
      <c r="AW28" s="586"/>
      <c r="AX28" s="586"/>
      <c r="AY28" s="586"/>
      <c r="AZ28" s="586"/>
      <c r="BA28" s="586"/>
      <c r="BB28" s="586"/>
      <c r="BC28" s="586"/>
      <c r="BD28" s="586"/>
      <c r="BE28" s="587"/>
      <c r="BF28" s="101"/>
      <c r="BH28" s="110"/>
      <c r="BJ28" s="105"/>
      <c r="BK28" s="105"/>
      <c r="BL28" s="105"/>
      <c r="BM28" s="105"/>
      <c r="BN28" s="79"/>
      <c r="BO28" s="79"/>
      <c r="BP28" s="79"/>
      <c r="BQ28" s="80"/>
      <c r="BR28" s="111">
        <v>32</v>
      </c>
      <c r="BS28" s="111" t="str">
        <f>IF($BR$12&gt;=1,IF('(I) Plano de Trabalho'!$U$874&gt;=2,32,""))</f>
        <v/>
      </c>
      <c r="BT28" s="112" t="str">
        <f>IF(OR(BT31=1,BT30=1,BT29=1),"",IF(BS28&lt;&gt;"",1,""))</f>
        <v/>
      </c>
      <c r="BU28" s="109" t="str">
        <f>IF(BT28="","",IF(SUM(BV28:BZ28)=4,2,IF(SUM(BV28:BZ28)=0,0,1)))</f>
        <v/>
      </c>
      <c r="BV28" s="106">
        <f>IF(AND('(I) Plano de Trabalho'!$I$877&lt;&gt;"",'(I) Plano de Trabalho'!$P$880&lt;&gt;"",'(I) Plano de Trabalho'!$AF$880&lt;&gt;"",'(I) Plano de Trabalho'!$P$883&lt;&gt;"",'(I) Plano de Trabalho'!$AS$883&lt;&gt;""),2,IF(AND('(I) Plano de Trabalho'!$I$877="",'(I) Plano de Trabalho'!$P$880="",'(I) Plano de Trabalho'!$AF$880="",'(I) Plano de Trabalho'!$P$883="",'(I) Plano de Trabalho'!$AS$883=""),0,1))</f>
        <v>2</v>
      </c>
      <c r="BW28" s="106">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28" s="106" t="s">
        <v>41</v>
      </c>
      <c r="BY28" s="106" t="s">
        <v>41</v>
      </c>
      <c r="BZ28" s="106" t="s">
        <v>41</v>
      </c>
    </row>
    <row r="29" spans="1:78" ht="4.5" customHeight="1">
      <c r="A29" s="101"/>
      <c r="B29" s="135"/>
      <c r="C29" s="135"/>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03"/>
      <c r="AU29" s="104"/>
      <c r="AV29" s="104"/>
      <c r="AW29" s="104"/>
      <c r="AX29" s="104"/>
      <c r="AY29" s="104"/>
      <c r="AZ29" s="104"/>
      <c r="BA29" s="104"/>
      <c r="BB29" s="104"/>
      <c r="BC29" s="104"/>
      <c r="BD29" s="104"/>
      <c r="BE29" s="104"/>
      <c r="BF29" s="101"/>
      <c r="BH29" s="110"/>
      <c r="BJ29" s="105"/>
      <c r="BK29" s="105"/>
      <c r="BL29" s="105"/>
      <c r="BM29" s="105"/>
      <c r="BN29" s="107"/>
      <c r="BO29" s="107"/>
      <c r="BP29" s="107"/>
      <c r="BQ29" s="80"/>
      <c r="BR29" s="111">
        <v>33</v>
      </c>
      <c r="BS29" s="111" t="str">
        <f>IF($BR$12&gt;=1,IF('(I) Plano de Trabalho'!$U$874&gt;=3,33,""))</f>
        <v/>
      </c>
      <c r="BT29" s="112" t="str">
        <f>IF(OR(BT31=1,BT30=1),"",IF(BS29&lt;&gt;"",1,""))</f>
        <v/>
      </c>
      <c r="BU29" s="109" t="str">
        <f>IF(BT29="","",IF(SUM(BV29:BZ29)=6,2,IF(SUM(BV29:BZ29)=0,0,1)))</f>
        <v/>
      </c>
      <c r="BV29" s="106">
        <f>IF(AND('(I) Plano de Trabalho'!$I$877&lt;&gt;"",'(I) Plano de Trabalho'!$P$880&lt;&gt;"",'(I) Plano de Trabalho'!$AF$880&lt;&gt;"",'(I) Plano de Trabalho'!$P$883&lt;&gt;"",'(I) Plano de Trabalho'!$AS$883&lt;&gt;""),2,IF(AND('(I) Plano de Trabalho'!$I$877="",'(I) Plano de Trabalho'!$P$880="",'(I) Plano de Trabalho'!$AF$880="",'(I) Plano de Trabalho'!$P$883="",'(I) Plano de Trabalho'!$AS$883=""),0,1))</f>
        <v>2</v>
      </c>
      <c r="BW29" s="106">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29" s="106">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29" s="106" t="s">
        <v>41</v>
      </c>
      <c r="BZ29" s="106" t="s">
        <v>41</v>
      </c>
    </row>
    <row r="30" spans="1:78" ht="8.1" customHeight="1">
      <c r="A30" s="101"/>
      <c r="B30" s="561" t="s">
        <v>296</v>
      </c>
      <c r="C30" s="561"/>
      <c r="D30" s="133"/>
      <c r="E30" s="567" t="s">
        <v>368</v>
      </c>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103"/>
      <c r="AU30" s="584" t="str">
        <f>BM30</f>
        <v>OK</v>
      </c>
      <c r="AV30" s="584"/>
      <c r="AW30" s="584"/>
      <c r="AX30" s="584"/>
      <c r="AY30" s="584"/>
      <c r="AZ30" s="584"/>
      <c r="BA30" s="584"/>
      <c r="BB30" s="584"/>
      <c r="BC30" s="584"/>
      <c r="BD30" s="584"/>
      <c r="BE30" s="585"/>
      <c r="BF30" s="101"/>
      <c r="BH30" s="108">
        <f>IF(AU30="ok",1,0)</f>
        <v>1</v>
      </c>
      <c r="BJ30" s="106" t="str">
        <f>IF('(I) Plano de Trabalho'!$O$102&lt;&gt;"","OK","")</f>
        <v>OK</v>
      </c>
      <c r="BK30" s="106" t="str">
        <f>IF('(I) Plano de Trabalho'!$O$102="","Não Preenchido","")</f>
        <v/>
      </c>
      <c r="BL30" s="106" t="s">
        <v>41</v>
      </c>
      <c r="BM30" s="109" t="str">
        <f>IF(BJ30="OK","OK",IF(BK30="Não Preenchido","Não Preenchido"))</f>
        <v>OK</v>
      </c>
      <c r="BN30" s="79"/>
      <c r="BO30" s="79"/>
      <c r="BP30" s="79"/>
      <c r="BQ30" s="80"/>
      <c r="BR30" s="111">
        <v>34</v>
      </c>
      <c r="BS30" s="111" t="str">
        <f>IF($BR$12&gt;=1,IF('(I) Plano de Trabalho'!$U$874&gt;=4,34,""))</f>
        <v/>
      </c>
      <c r="BT30" s="112" t="str">
        <f>IF(BT31=1,"",IF(BS30&lt;&gt;"",1,""))</f>
        <v/>
      </c>
      <c r="BU30" s="109" t="str">
        <f>IF(BT30="","",IF(SUM(BV30:BZ30)=8,2,IF(SUM(BV30:BZ30)=0,0,1)))</f>
        <v/>
      </c>
      <c r="BV30" s="106">
        <f>IF(AND('(I) Plano de Trabalho'!$I$877&lt;&gt;"",'(I) Plano de Trabalho'!$P$880&lt;&gt;"",'(I) Plano de Trabalho'!$AF$880&lt;&gt;"",'(I) Plano de Trabalho'!$P$883&lt;&gt;"",'(I) Plano de Trabalho'!$AS$883&lt;&gt;""),2,IF(AND('(I) Plano de Trabalho'!$I$877="",'(I) Plano de Trabalho'!$P$880="",'(I) Plano de Trabalho'!$AF$880="",'(I) Plano de Trabalho'!$P$883="",'(I) Plano de Trabalho'!$AS$883=""),0,1))</f>
        <v>2</v>
      </c>
      <c r="BW30" s="106">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30" s="106">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30" s="106">
        <f>IF(AND('(I) Plano de Trabalho'!$I$947&lt;&gt;"",'(I) Plano de Trabalho'!$P$950&lt;&gt;"",'(I) Plano de Trabalho'!$AF$950&lt;&gt;"",'(I) Plano de Trabalho'!$P$953&lt;&gt;"",'(I) Plano de Trabalho'!$AS$953&lt;&gt;""),2,IF(AND('(I) Plano de Trabalho'!$I$947="",'(I) Plano de Trabalho'!$P$950="",'(I) Plano de Trabalho'!$AF$950="",'(I) Plano de Trabalho'!$P$953="",'(I) Plano de Trabalho'!$AS$953=""),0,1))</f>
        <v>0</v>
      </c>
      <c r="BZ30" s="106" t="s">
        <v>41</v>
      </c>
    </row>
    <row r="31" spans="1:78" ht="8.1" customHeight="1">
      <c r="A31" s="101"/>
      <c r="B31" s="562"/>
      <c r="C31" s="562"/>
      <c r="D31" s="134"/>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103"/>
      <c r="AU31" s="586"/>
      <c r="AV31" s="586"/>
      <c r="AW31" s="586"/>
      <c r="AX31" s="586"/>
      <c r="AY31" s="586"/>
      <c r="AZ31" s="586"/>
      <c r="BA31" s="586"/>
      <c r="BB31" s="586"/>
      <c r="BC31" s="586"/>
      <c r="BD31" s="586"/>
      <c r="BE31" s="587"/>
      <c r="BF31" s="101"/>
      <c r="BH31" s="110"/>
      <c r="BJ31" s="105"/>
      <c r="BK31" s="105"/>
      <c r="BL31" s="105"/>
      <c r="BM31" s="105"/>
      <c r="BN31" s="79"/>
      <c r="BO31" s="79"/>
      <c r="BP31" s="79"/>
      <c r="BQ31" s="80"/>
      <c r="BR31" s="111">
        <v>35</v>
      </c>
      <c r="BS31" s="111" t="str">
        <f>IF($BR$12&gt;=1,IF('(I) Plano de Trabalho'!$U$874&gt;=5,35,""))</f>
        <v/>
      </c>
      <c r="BT31" s="112" t="str">
        <f>IF(BS31&lt;&gt;"",1,"")</f>
        <v/>
      </c>
      <c r="BU31" s="109" t="str">
        <f>IF(BT31="","",IF(SUM(BV31:BZ31)=10,2,IF(SUM(BV31:BZ31)=0,0,1)))</f>
        <v/>
      </c>
      <c r="BV31" s="106">
        <f>IF(AND('(I) Plano de Trabalho'!$I$877&lt;&gt;"",'(I) Plano de Trabalho'!$P$880&lt;&gt;"",'(I) Plano de Trabalho'!$AF$880&lt;&gt;"",'(I) Plano de Trabalho'!$P$883&lt;&gt;"",'(I) Plano de Trabalho'!$AS$883&lt;&gt;""),2,IF(AND('(I) Plano de Trabalho'!$I$877="",'(I) Plano de Trabalho'!$P$880="",'(I) Plano de Trabalho'!$AF$880="",'(I) Plano de Trabalho'!$P$883="",'(I) Plano de Trabalho'!$AS$883=""),0,1))</f>
        <v>2</v>
      </c>
      <c r="BW31" s="106">
        <f>IF(AND('(I) Plano de Trabalho'!$I$901&lt;&gt;"",'(I) Plano de Trabalho'!$P$904&lt;&gt;"",'(I) Plano de Trabalho'!$AF$904&lt;&gt;"",'(I) Plano de Trabalho'!$P$907&lt;&gt;"",'(I) Plano de Trabalho'!$AS$907&lt;&gt;""),2,IF(AND('(I) Plano de Trabalho'!$I$901="",'(I) Plano de Trabalho'!$P$904="",'(I) Plano de Trabalho'!$AF$904="",'(I) Plano de Trabalho'!$P$907="",'(I) Plano de Trabalho'!$AS$907=""),0,1))</f>
        <v>0</v>
      </c>
      <c r="BX31" s="106">
        <f>IF(AND('(I) Plano de Trabalho'!$I$924&lt;&gt;"",'(I) Plano de Trabalho'!$P$927&lt;&gt;"",'(I) Plano de Trabalho'!$AF$927&lt;&gt;"",'(I) Plano de Trabalho'!$P$930&lt;&gt;"",'(I) Plano de Trabalho'!$AS$930&lt;&gt;""),2,IF(AND('(I) Plano de Trabalho'!$I$924="",'(I) Plano de Trabalho'!$P$927="",'(I) Plano de Trabalho'!$AF$927="",'(I) Plano de Trabalho'!$P$930="",'(I) Plano de Trabalho'!$AS$930=""),0,1))</f>
        <v>0</v>
      </c>
      <c r="BY31" s="106">
        <f>IF(AND('(I) Plano de Trabalho'!$I$947&lt;&gt;"",'(I) Plano de Trabalho'!$P$950&lt;&gt;"",'(I) Plano de Trabalho'!$AF$950&lt;&gt;"",'(I) Plano de Trabalho'!$P$953&lt;&gt;"",'(I) Plano de Trabalho'!$AS$953&lt;&gt;""),2,IF(AND('(I) Plano de Trabalho'!$I$947="",'(I) Plano de Trabalho'!$P$950="",'(I) Plano de Trabalho'!$AF$950="",'(I) Plano de Trabalho'!$P$953="",'(I) Plano de Trabalho'!$AS$953=""),0,1))</f>
        <v>0</v>
      </c>
      <c r="BZ31" s="106">
        <f>IF(AND('(I) Plano de Trabalho'!$I$971&lt;&gt;"",'(I) Plano de Trabalho'!$P$974&lt;&gt;"",'(I) Plano de Trabalho'!$AF$974&lt;&gt;"",'(I) Plano de Trabalho'!$P$977&lt;&gt;"",'(I) Plano de Trabalho'!$AS$977&lt;&gt;""),2,IF(AND('(I) Plano de Trabalho'!$I$971="",'(I) Plano de Trabalho'!$P$974="",'(I) Plano de Trabalho'!$AF$974="",'(I) Plano de Trabalho'!$P$977="",'(I) Plano de Trabalho'!$AS$977=""),0,1))</f>
        <v>0</v>
      </c>
    </row>
    <row r="32" spans="1:78" ht="12" customHeight="1">
      <c r="A32" s="101"/>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4"/>
      <c r="AV32" s="104"/>
      <c r="AW32" s="104"/>
      <c r="AX32" s="104"/>
      <c r="AY32" s="104"/>
      <c r="AZ32" s="104"/>
      <c r="BA32" s="104"/>
      <c r="BB32" s="104"/>
      <c r="BC32" s="104"/>
      <c r="BD32" s="104"/>
      <c r="BE32" s="104"/>
      <c r="BF32" s="101"/>
      <c r="BH32" s="110"/>
      <c r="BN32" s="80"/>
      <c r="BO32" s="80"/>
      <c r="BP32" s="80"/>
      <c r="BQ32" s="80"/>
      <c r="BR32" s="113"/>
      <c r="BS32" s="113"/>
      <c r="BT32" s="113"/>
      <c r="BU32" s="113"/>
      <c r="BV32" s="113"/>
      <c r="BW32" s="78"/>
      <c r="BX32" s="78"/>
      <c r="BY32" s="78"/>
      <c r="BZ32" s="78"/>
    </row>
    <row r="33" spans="1:78" ht="9" customHeight="1">
      <c r="A33" s="101"/>
      <c r="B33" s="569" t="s">
        <v>415</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139"/>
      <c r="AC33" s="139"/>
      <c r="AD33" s="103"/>
      <c r="AE33" s="103"/>
      <c r="AF33" s="103"/>
      <c r="AG33" s="103"/>
      <c r="AH33" s="103"/>
      <c r="AI33" s="103"/>
      <c r="AJ33" s="103"/>
      <c r="AK33" s="103"/>
      <c r="AL33" s="103"/>
      <c r="AM33" s="103"/>
      <c r="AN33" s="103"/>
      <c r="AO33" s="103"/>
      <c r="AP33" s="103"/>
      <c r="AQ33" s="103"/>
      <c r="AR33" s="103"/>
      <c r="AS33" s="103"/>
      <c r="AT33" s="103"/>
      <c r="AU33" s="104"/>
      <c r="AV33" s="104"/>
      <c r="AW33" s="104"/>
      <c r="AX33" s="104"/>
      <c r="AY33" s="104"/>
      <c r="AZ33" s="104"/>
      <c r="BA33" s="104"/>
      <c r="BB33" s="104"/>
      <c r="BC33" s="104"/>
      <c r="BD33" s="104"/>
      <c r="BE33" s="104"/>
      <c r="BF33" s="101"/>
      <c r="BH33" s="110"/>
      <c r="BN33" s="80"/>
      <c r="BO33" s="80"/>
      <c r="BP33" s="80"/>
      <c r="BQ33" s="80"/>
    </row>
    <row r="34" spans="1:78" ht="9" customHeight="1">
      <c r="A34" s="101"/>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139"/>
      <c r="AC34" s="139"/>
      <c r="AD34" s="103"/>
      <c r="AE34" s="103"/>
      <c r="AF34" s="103"/>
      <c r="AG34" s="103"/>
      <c r="AH34" s="103"/>
      <c r="AI34" s="103"/>
      <c r="AJ34" s="103"/>
      <c r="AK34" s="103"/>
      <c r="AL34" s="103"/>
      <c r="AM34" s="103"/>
      <c r="AN34" s="103"/>
      <c r="AO34" s="103"/>
      <c r="AP34" s="103"/>
      <c r="AQ34" s="103"/>
      <c r="AR34" s="103"/>
      <c r="AS34" s="103"/>
      <c r="AT34" s="103"/>
      <c r="AU34" s="104"/>
      <c r="AV34" s="104"/>
      <c r="AW34" s="104"/>
      <c r="AX34" s="104"/>
      <c r="AY34" s="104"/>
      <c r="AZ34" s="104"/>
      <c r="BA34" s="104"/>
      <c r="BB34" s="104"/>
      <c r="BC34" s="104"/>
      <c r="BD34" s="104"/>
      <c r="BE34" s="104"/>
      <c r="BF34" s="101"/>
      <c r="BH34" s="110"/>
      <c r="BN34" s="80"/>
      <c r="BO34" s="80"/>
      <c r="BP34" s="80"/>
      <c r="BQ34" s="80"/>
      <c r="BR34" s="111">
        <v>41</v>
      </c>
      <c r="BS34" s="111">
        <f>IF($BR$12&gt;=1,IF('(I) Plano de Trabalho'!$U$997&gt;=1,41,""))</f>
        <v>41</v>
      </c>
      <c r="BT34" s="112" t="str">
        <f>IF(OR(BT38=1,BT37=1,BT36=1,BT35=1),"",IF(BS34&lt;&gt;"",1,""))</f>
        <v/>
      </c>
      <c r="BU34" s="109" t="str">
        <f>IF(BT34="","",IF(SUM(BV34:BZ34)=2,2,IF(SUM(BV34:BZ34)=0,0,1)))</f>
        <v/>
      </c>
      <c r="BV34" s="106">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2</v>
      </c>
      <c r="BW34" s="106" t="s">
        <v>41</v>
      </c>
      <c r="BX34" s="106" t="s">
        <v>41</v>
      </c>
      <c r="BY34" s="106" t="s">
        <v>41</v>
      </c>
      <c r="BZ34" s="106" t="s">
        <v>41</v>
      </c>
    </row>
    <row r="35" spans="1:78" ht="4.5" customHeight="1">
      <c r="A35" s="10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03"/>
      <c r="AU35" s="103"/>
      <c r="AV35" s="103"/>
      <c r="AW35" s="103"/>
      <c r="AX35" s="103"/>
      <c r="AY35" s="103"/>
      <c r="AZ35" s="103"/>
      <c r="BA35" s="103"/>
      <c r="BB35" s="103"/>
      <c r="BC35" s="103"/>
      <c r="BD35" s="103"/>
      <c r="BE35" s="103"/>
      <c r="BF35" s="101"/>
      <c r="BH35" s="110"/>
      <c r="BJ35" s="105"/>
      <c r="BK35" s="105"/>
      <c r="BL35" s="105"/>
      <c r="BM35" s="105"/>
      <c r="BN35" s="107"/>
      <c r="BO35" s="107"/>
      <c r="BP35" s="107"/>
      <c r="BQ35" s="80"/>
      <c r="BR35" s="111">
        <v>42</v>
      </c>
      <c r="BS35" s="111">
        <f>IF($BR$12&gt;=1,IF('(I) Plano de Trabalho'!$U$997&gt;=2,42,""))</f>
        <v>42</v>
      </c>
      <c r="BT35" s="112" t="str">
        <f>IF(OR(BT38=1,BT37=1,BT36=1),"",IF(BS35&lt;&gt;"",1,""))</f>
        <v/>
      </c>
      <c r="BU35" s="109" t="str">
        <f>IF(BT35="","",IF(SUM(BV35:BZ35)=4,2,IF(SUM(BV35:BZ35)=0,0,1)))</f>
        <v/>
      </c>
      <c r="BV35" s="106">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2</v>
      </c>
      <c r="BW35" s="106">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2</v>
      </c>
      <c r="BX35" s="106" t="s">
        <v>41</v>
      </c>
      <c r="BY35" s="106" t="s">
        <v>41</v>
      </c>
      <c r="BZ35" s="106" t="s">
        <v>41</v>
      </c>
    </row>
    <row r="36" spans="1:78" ht="8.1" customHeight="1">
      <c r="A36" s="101"/>
      <c r="B36" s="588" t="s">
        <v>295</v>
      </c>
      <c r="C36" s="588"/>
      <c r="D36" s="133"/>
      <c r="E36" s="567" t="s">
        <v>375</v>
      </c>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103"/>
      <c r="AU36" s="584" t="str">
        <f>BM36</f>
        <v>OK</v>
      </c>
      <c r="AV36" s="584"/>
      <c r="AW36" s="584"/>
      <c r="AX36" s="584"/>
      <c r="AY36" s="584"/>
      <c r="AZ36" s="584"/>
      <c r="BA36" s="584"/>
      <c r="BB36" s="584"/>
      <c r="BC36" s="584"/>
      <c r="BD36" s="584"/>
      <c r="BE36" s="585"/>
      <c r="BF36" s="101"/>
      <c r="BH36" s="108">
        <f>IF(AU36="ok",1,0)</f>
        <v>1</v>
      </c>
      <c r="BJ36" s="106" t="str">
        <f>IF(AND('(I) Plano de Trabalho'!$O$189&lt;&gt;"",'(I) Plano de Trabalho'!$O$194&lt;&gt;"",OR('(I) Plano de Trabalho'!$O$201&lt;&gt;"",'(I) Plano de Trabalho'!$Y$201&lt;&gt;"",'(I) Plano de Trabalho'!$AI$201&lt;&gt;"",'(I) Plano de Trabalho'!$AS$201&lt;&gt;""),'(I) Plano de Trabalho'!$O$205&lt;&gt;"",'(I) Plano de Trabalho'!$O$208&lt;&gt;"",'(I) Plano de Trabalho'!$O$212&lt;&gt;""),"OK","")</f>
        <v>OK</v>
      </c>
      <c r="BK36" s="106" t="str">
        <f>IF(AND('(I) Plano de Trabalho'!$O$189="",'(I) Plano de Trabalho'!$O$194="",AND('(I) Plano de Trabalho'!$O$201="",'(I) Plano de Trabalho'!$Y$201="",'(I) Plano de Trabalho'!$AI$201="",'(I) Plano de Trabalho'!$AS$201=""),'(I) Plano de Trabalho'!$O$205="",'(I) Plano de Trabalho'!$O$208="",'(I) Plano de Trabalho'!$O$212=""),"Não Preenchido","")</f>
        <v/>
      </c>
      <c r="BL36" s="106" t="str">
        <f>IF(AND(BJ36="",BK36=""),"Incompleto","")</f>
        <v/>
      </c>
      <c r="BM36" s="109" t="str">
        <f>IF(BJ36="OK","OK",IF(BK36="Não Preenchido","Não Preenchido",IF(BL36="Incompleto","Incompleto","")))</f>
        <v>OK</v>
      </c>
      <c r="BN36" s="79"/>
      <c r="BO36" s="79"/>
      <c r="BP36" s="79"/>
      <c r="BQ36" s="80"/>
      <c r="BR36" s="111">
        <v>43</v>
      </c>
      <c r="BS36" s="111">
        <f>IF($BR$12&gt;=1,IF('(I) Plano de Trabalho'!$U$997&gt;=3,43,""))</f>
        <v>43</v>
      </c>
      <c r="BT36" s="112">
        <f>IF(OR(BT38=1,BT37=1),"",IF(BS36&lt;&gt;"",1,""))</f>
        <v>1</v>
      </c>
      <c r="BU36" s="109">
        <f>IF(BT36="","",IF(SUM(BV36:BZ36)=6,2,IF(SUM(BV36:BZ36)=0,0,1)))</f>
        <v>2</v>
      </c>
      <c r="BV36" s="106">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2</v>
      </c>
      <c r="BW36" s="106">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2</v>
      </c>
      <c r="BX36" s="106">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2</v>
      </c>
      <c r="BY36" s="106" t="s">
        <v>41</v>
      </c>
      <c r="BZ36" s="106" t="s">
        <v>41</v>
      </c>
    </row>
    <row r="37" spans="1:78" ht="8.1" customHeight="1">
      <c r="A37" s="101"/>
      <c r="B37" s="589"/>
      <c r="C37" s="589"/>
      <c r="D37" s="134"/>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103"/>
      <c r="AU37" s="586"/>
      <c r="AV37" s="586"/>
      <c r="AW37" s="586"/>
      <c r="AX37" s="586"/>
      <c r="AY37" s="586"/>
      <c r="AZ37" s="586"/>
      <c r="BA37" s="586"/>
      <c r="BB37" s="586"/>
      <c r="BC37" s="586"/>
      <c r="BD37" s="586"/>
      <c r="BE37" s="587"/>
      <c r="BF37" s="101"/>
      <c r="BH37" s="110"/>
      <c r="BJ37" s="105"/>
      <c r="BK37" s="105"/>
      <c r="BL37" s="105"/>
      <c r="BM37" s="105"/>
      <c r="BN37" s="79"/>
      <c r="BO37" s="79"/>
      <c r="BP37" s="79"/>
      <c r="BQ37" s="80"/>
      <c r="BR37" s="111">
        <v>44</v>
      </c>
      <c r="BS37" s="111" t="str">
        <f>IF($BR$12&gt;=1,IF('(I) Plano de Trabalho'!$U$997&gt;=4,44,""))</f>
        <v/>
      </c>
      <c r="BT37" s="112" t="str">
        <f>IF(BT38=1,"",IF(BS37&lt;&gt;"",1,""))</f>
        <v/>
      </c>
      <c r="BU37" s="109" t="str">
        <f>IF(BT37="","",IF(SUM(BV37:BZ37)=8,2,IF(SUM(BV37:BZ37)=0,0,1)))</f>
        <v/>
      </c>
      <c r="BV37" s="106">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2</v>
      </c>
      <c r="BW37" s="106">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2</v>
      </c>
      <c r="BX37" s="106">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2</v>
      </c>
      <c r="BY37" s="106">
        <f>IF(AND('(I) Plano de Trabalho'!$I$1070&lt;&gt;"",'(I) Plano de Trabalho'!$P$1073&lt;&gt;"",'(I) Plano de Trabalho'!$AF$1073&lt;&gt;"",'(I) Plano de Trabalho'!$P$1076&lt;&gt;"",'(I) Plano de Trabalho'!$AS$1076&lt;&gt;""),2,IF(AND('(I) Plano de Trabalho'!$I$1070="",'(I) Plano de Trabalho'!$P$1073="",'(I) Plano de Trabalho'!$AF$1073="",'(I) Plano de Trabalho'!$P$1076="",'(I) Plano de Trabalho'!$AS$1076=""),0,1))</f>
        <v>0</v>
      </c>
      <c r="BZ37" s="106" t="s">
        <v>41</v>
      </c>
    </row>
    <row r="38" spans="1:78" ht="4.5" customHeight="1">
      <c r="A38" s="101"/>
      <c r="B38" s="185"/>
      <c r="C38" s="185"/>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03"/>
      <c r="AU38" s="104"/>
      <c r="AV38" s="104"/>
      <c r="AW38" s="104"/>
      <c r="AX38" s="104"/>
      <c r="AY38" s="104"/>
      <c r="AZ38" s="104"/>
      <c r="BA38" s="104"/>
      <c r="BB38" s="104"/>
      <c r="BC38" s="104"/>
      <c r="BD38" s="104"/>
      <c r="BE38" s="104"/>
      <c r="BF38" s="101"/>
      <c r="BH38" s="110"/>
      <c r="BN38" s="80"/>
      <c r="BO38" s="80"/>
      <c r="BP38" s="80"/>
      <c r="BQ38" s="80"/>
      <c r="BR38" s="111">
        <v>45</v>
      </c>
      <c r="BS38" s="111" t="str">
        <f>IF($BR$12&gt;=1,IF('(I) Plano de Trabalho'!$U$997&gt;=5,45,""))</f>
        <v/>
      </c>
      <c r="BT38" s="112" t="str">
        <f>IF(BS38&lt;&gt;"",1,"")</f>
        <v/>
      </c>
      <c r="BU38" s="109" t="str">
        <f>IF(BT38="","",IF(SUM(BV38:BZ38)=10,2,IF(SUM(BV38:BZ38)=0,0,1)))</f>
        <v/>
      </c>
      <c r="BV38" s="106">
        <f>IF(AND('(I) Plano de Trabalho'!$I$1000&lt;&gt;"",'(I) Plano de Trabalho'!$P$1003&lt;&gt;"",'(I) Plano de Trabalho'!$AF$1003&lt;&gt;"",'(I) Plano de Trabalho'!$P$1006&lt;&gt;"",'(I) Plano de Trabalho'!$AS$1006&lt;&gt;""),2,IF(AND('(I) Plano de Trabalho'!$I$1000="",'(I) Plano de Trabalho'!$P$1003="",'(I) Plano de Trabalho'!$AF$1003="",'(I) Plano de Trabalho'!$P$1006="",'(I) Plano de Trabalho'!$AS$1006=""),0,1))</f>
        <v>2</v>
      </c>
      <c r="BW38" s="106">
        <f>IF(AND('(I) Plano de Trabalho'!$I$1023&lt;&gt;"",'(I) Plano de Trabalho'!$P$1026&lt;&gt;"",'(I) Plano de Trabalho'!$AF$1026&lt;&gt;"",'(I) Plano de Trabalho'!$P$1029&lt;&gt;"",'(I) Plano de Trabalho'!$AS$1029&lt;&gt;""),2,IF(AND('(I) Plano de Trabalho'!$I$1023="",'(I) Plano de Trabalho'!$P$1026="",'(I) Plano de Trabalho'!$AF$1026="",'(I) Plano de Trabalho'!$P$1029="",'(I) Plano de Trabalho'!$AS$1029=""),0,1))</f>
        <v>2</v>
      </c>
      <c r="BX38" s="106">
        <f>IF(AND('(I) Plano de Trabalho'!$I$1047&lt;&gt;"",'(I) Plano de Trabalho'!$P$1050&lt;&gt;"",'(I) Plano de Trabalho'!$AF$1050&lt;&gt;"",'(I) Plano de Trabalho'!$P$1053&lt;&gt;"",'(I) Plano de Trabalho'!$AS$1053&lt;&gt;""),2,IF(AND('(I) Plano de Trabalho'!$I$1047="",'(I) Plano de Trabalho'!$P$1050="",'(I) Plano de Trabalho'!$AF$1050="",'(I) Plano de Trabalho'!$P$1053="",'(I) Plano de Trabalho'!$AS$1053=""),0,1))</f>
        <v>2</v>
      </c>
      <c r="BY38" s="106">
        <f>IF(AND('(I) Plano de Trabalho'!$I$1070&lt;&gt;"",'(I) Plano de Trabalho'!$P$1073&lt;&gt;"",'(I) Plano de Trabalho'!$AF$1073&lt;&gt;"",'(I) Plano de Trabalho'!$P$1076&lt;&gt;"",'(I) Plano de Trabalho'!$AS$1076&lt;&gt;""),2,IF(AND('(I) Plano de Trabalho'!$I$1070="",'(I) Plano de Trabalho'!$P$1073="",'(I) Plano de Trabalho'!$AF$1073="",'(I) Plano de Trabalho'!$P$1076="",'(I) Plano de Trabalho'!$AS$1076=""),0,1))</f>
        <v>0</v>
      </c>
      <c r="BZ38" s="106">
        <f>IF(AND('(I) Plano de Trabalho'!$I$1093&lt;&gt;"",'(I) Plano de Trabalho'!$P$1096&lt;&gt;"",'(I) Plano de Trabalho'!$AF$1096&lt;&gt;"",'(I) Plano de Trabalho'!$P$1099&lt;&gt;"",'(I) Plano de Trabalho'!$AS$1099&lt;&gt;""),2,IF(AND('(I) Plano de Trabalho'!$I$1093="",'(I) Plano de Trabalho'!$P$1096="",'(I) Plano de Trabalho'!$AF$1096="",'(I) Plano de Trabalho'!$P$1099="",'(I) Plano de Trabalho'!$AS$1099=""),0,1))</f>
        <v>0</v>
      </c>
    </row>
    <row r="39" spans="1:78" ht="8.1" customHeight="1">
      <c r="A39" s="101"/>
      <c r="B39" s="588" t="s">
        <v>295</v>
      </c>
      <c r="C39" s="588"/>
      <c r="D39" s="133"/>
      <c r="E39" s="567" t="s">
        <v>376</v>
      </c>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103"/>
      <c r="AU39" s="580" t="str">
        <f>IF(OR('(I) Plano de Trabalho'!$O$201&lt;&gt;"",'(I) Plano de Trabalho'!$AS$201&lt;&gt;""),"Não se Aplica",'Verificação de Pendências'!$BM$39)</f>
        <v>Não se Aplica</v>
      </c>
      <c r="AV39" s="580"/>
      <c r="AW39" s="580"/>
      <c r="AX39" s="580"/>
      <c r="AY39" s="580"/>
      <c r="AZ39" s="580"/>
      <c r="BA39" s="580"/>
      <c r="BB39" s="580"/>
      <c r="BC39" s="580"/>
      <c r="BD39" s="580"/>
      <c r="BE39" s="581"/>
      <c r="BF39" s="101"/>
      <c r="BH39" s="108">
        <f>IF(OR((AU39="ok"),(AU39="Não se Aplica")),1,0)</f>
        <v>1</v>
      </c>
      <c r="BJ39" s="106" t="str">
        <f>IF('(I) Plano de Trabalho'!$O$215&lt;&gt;"","OK","")</f>
        <v/>
      </c>
      <c r="BK39" s="106" t="str">
        <f>IF('(I) Plano de Trabalho'!$O$215="","Não Preenchido","")</f>
        <v>Não Preenchido</v>
      </c>
      <c r="BL39" s="106" t="s">
        <v>41</v>
      </c>
      <c r="BM39" s="109" t="str">
        <f>IF(BJ39="OK","OK",IF(BK39="Não Preenchido","Não Preenchido"))</f>
        <v>Não Preenchido</v>
      </c>
      <c r="BN39" s="79"/>
      <c r="BO39" s="79"/>
      <c r="BP39" s="79"/>
      <c r="BQ39" s="80"/>
      <c r="BR39" s="114"/>
      <c r="BS39" s="114"/>
      <c r="BT39" s="114"/>
      <c r="BU39" s="114"/>
      <c r="BV39" s="114"/>
      <c r="BW39" s="78"/>
      <c r="BX39" s="78"/>
      <c r="BY39" s="78"/>
      <c r="BZ39" s="78"/>
    </row>
    <row r="40" spans="1:78" ht="8.1" customHeight="1">
      <c r="A40" s="101"/>
      <c r="B40" s="589"/>
      <c r="C40" s="589"/>
      <c r="D40" s="134"/>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103"/>
      <c r="AU40" s="582"/>
      <c r="AV40" s="582"/>
      <c r="AW40" s="582"/>
      <c r="AX40" s="582"/>
      <c r="AY40" s="582"/>
      <c r="AZ40" s="582"/>
      <c r="BA40" s="582"/>
      <c r="BB40" s="582"/>
      <c r="BC40" s="582"/>
      <c r="BD40" s="582"/>
      <c r="BE40" s="583"/>
      <c r="BF40" s="101"/>
      <c r="BH40" s="110"/>
      <c r="BJ40" s="105"/>
      <c r="BK40" s="105"/>
      <c r="BL40" s="105"/>
      <c r="BM40" s="105"/>
      <c r="BN40" s="79"/>
      <c r="BO40" s="79"/>
      <c r="BP40" s="79"/>
      <c r="BQ40" s="80"/>
      <c r="BR40" s="111">
        <v>51</v>
      </c>
      <c r="BS40" s="111">
        <f>IF($BR$12&gt;=1,IF('(I) Plano de Trabalho'!$U$1120&gt;=1,51,""))</f>
        <v>51</v>
      </c>
      <c r="BT40" s="112" t="str">
        <f>IF(OR(BT44=1,BT43=1,BT42=1,BT41=1),"",IF(BS40&lt;&gt;"",1,""))</f>
        <v/>
      </c>
      <c r="BU40" s="109" t="str">
        <f>IF(BT40="","",IF(SUM(BV40:BZ40)=2,2,IF(SUM(BV40:BZ40)=0,0,1)))</f>
        <v/>
      </c>
      <c r="BV40" s="106">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2</v>
      </c>
      <c r="BW40" s="106" t="s">
        <v>41</v>
      </c>
      <c r="BX40" s="106" t="s">
        <v>41</v>
      </c>
      <c r="BY40" s="106" t="s">
        <v>41</v>
      </c>
      <c r="BZ40" s="106" t="s">
        <v>41</v>
      </c>
    </row>
    <row r="41" spans="1:78" ht="4.5" customHeight="1">
      <c r="A41" s="101"/>
      <c r="B41" s="185"/>
      <c r="C41" s="185"/>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03"/>
      <c r="AU41" s="104"/>
      <c r="AV41" s="104"/>
      <c r="AW41" s="104"/>
      <c r="AX41" s="104"/>
      <c r="AY41" s="104"/>
      <c r="AZ41" s="104"/>
      <c r="BA41" s="104"/>
      <c r="BB41" s="104"/>
      <c r="BC41" s="104"/>
      <c r="BD41" s="104"/>
      <c r="BE41" s="104"/>
      <c r="BF41" s="101"/>
      <c r="BH41" s="110"/>
      <c r="BN41" s="80"/>
      <c r="BO41" s="80"/>
      <c r="BP41" s="80"/>
      <c r="BQ41" s="80"/>
      <c r="BR41" s="111">
        <v>52</v>
      </c>
      <c r="BS41" s="111">
        <f>IF($BR$12&gt;=1,IF('(I) Plano de Trabalho'!$U$1120&gt;=2,52,""))</f>
        <v>52</v>
      </c>
      <c r="BT41" s="112">
        <f>IF(OR(BT44=1,BT43=1,BT42=1),"",IF(BS41&lt;&gt;"",1,""))</f>
        <v>1</v>
      </c>
      <c r="BU41" s="109">
        <f>IF(BT41="","",IF(SUM(BV41:BZ41)=4,2,IF(SUM(BV41:BZ41)=0,0,1)))</f>
        <v>2</v>
      </c>
      <c r="BV41" s="106">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2</v>
      </c>
      <c r="BW41" s="106">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2</v>
      </c>
      <c r="BX41" s="106" t="s">
        <v>41</v>
      </c>
      <c r="BY41" s="106" t="s">
        <v>41</v>
      </c>
      <c r="BZ41" s="106" t="s">
        <v>41</v>
      </c>
    </row>
    <row r="42" spans="1:78" ht="8.1" customHeight="1">
      <c r="A42" s="101"/>
      <c r="B42" s="588" t="s">
        <v>295</v>
      </c>
      <c r="C42" s="588"/>
      <c r="D42" s="133"/>
      <c r="E42" s="567" t="s">
        <v>372</v>
      </c>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103"/>
      <c r="AU42" s="584" t="str">
        <f>BM42</f>
        <v>OK</v>
      </c>
      <c r="AV42" s="584"/>
      <c r="AW42" s="584"/>
      <c r="AX42" s="584"/>
      <c r="AY42" s="584"/>
      <c r="AZ42" s="584"/>
      <c r="BA42" s="584"/>
      <c r="BB42" s="584"/>
      <c r="BC42" s="584"/>
      <c r="BD42" s="584"/>
      <c r="BE42" s="585"/>
      <c r="BF42" s="101"/>
      <c r="BH42" s="108">
        <f>IF(AU42="ok",1,0)</f>
        <v>1</v>
      </c>
      <c r="BJ42" s="106" t="str">
        <f>IF('(I) Plano de Trabalho'!$O$269&lt;&gt;"","OK","")</f>
        <v>OK</v>
      </c>
      <c r="BK42" s="106" t="str">
        <f>IF('(I) Plano de Trabalho'!$O$269="","Não Preenchido","")</f>
        <v/>
      </c>
      <c r="BL42" s="106" t="s">
        <v>41</v>
      </c>
      <c r="BM42" s="109" t="str">
        <f>IF(BJ42="OK","OK",IF(BK42="Não Preenchido","Não Preenchido"))</f>
        <v>OK</v>
      </c>
      <c r="BN42" s="79"/>
      <c r="BO42" s="79"/>
      <c r="BP42" s="79"/>
      <c r="BQ42" s="80"/>
      <c r="BR42" s="111">
        <v>53</v>
      </c>
      <c r="BS42" s="111" t="str">
        <f>IF($BR$12&gt;=1,IF('(I) Plano de Trabalho'!$U$1120&gt;=3,53,""))</f>
        <v/>
      </c>
      <c r="BT42" s="112" t="str">
        <f>IF(OR(BT44=1,BT43=1),"",IF(BS42&lt;&gt;"",1,""))</f>
        <v/>
      </c>
      <c r="BU42" s="109" t="str">
        <f>IF(BT42="","",IF(SUM(BV42:BZ42)=6,2,IF(SUM(BV42:BZ42)=0,0,1)))</f>
        <v/>
      </c>
      <c r="BV42" s="106">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2</v>
      </c>
      <c r="BW42" s="106">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2</v>
      </c>
      <c r="BX42" s="106">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2" s="106" t="s">
        <v>41</v>
      </c>
      <c r="BZ42" s="106" t="s">
        <v>41</v>
      </c>
    </row>
    <row r="43" spans="1:78" ht="8.1" customHeight="1">
      <c r="A43" s="101"/>
      <c r="B43" s="589"/>
      <c r="C43" s="589"/>
      <c r="D43" s="134"/>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103"/>
      <c r="AU43" s="586"/>
      <c r="AV43" s="586"/>
      <c r="AW43" s="586"/>
      <c r="AX43" s="586"/>
      <c r="AY43" s="586"/>
      <c r="AZ43" s="586"/>
      <c r="BA43" s="586"/>
      <c r="BB43" s="586"/>
      <c r="BC43" s="586"/>
      <c r="BD43" s="586"/>
      <c r="BE43" s="587"/>
      <c r="BF43" s="101"/>
      <c r="BH43" s="110"/>
      <c r="BJ43" s="105"/>
      <c r="BK43" s="105"/>
      <c r="BL43" s="105"/>
      <c r="BM43" s="105"/>
      <c r="BN43" s="79"/>
      <c r="BO43" s="79"/>
      <c r="BP43" s="79"/>
      <c r="BQ43" s="80"/>
      <c r="BR43" s="111">
        <v>54</v>
      </c>
      <c r="BS43" s="111" t="str">
        <f>IF($BR$12&gt;=1,IF('(I) Plano de Trabalho'!$U$1120&gt;=4,54,""))</f>
        <v/>
      </c>
      <c r="BT43" s="112" t="str">
        <f>IF(BT44=1,"",IF(BS43&lt;&gt;"",1,""))</f>
        <v/>
      </c>
      <c r="BU43" s="109" t="str">
        <f>IF(BT43="","",IF(SUM(BV43:BZ43)=8,2,IF(SUM(BV43:BZ43)=0,0,1)))</f>
        <v/>
      </c>
      <c r="BV43" s="106">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2</v>
      </c>
      <c r="BW43" s="106">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2</v>
      </c>
      <c r="BX43" s="106">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3" s="106">
        <f>IF(AND('(I) Plano de Trabalho'!$I$1193&lt;&gt;"",'(I) Plano de Trabalho'!$P$1196&lt;&gt;"",'(I) Plano de Trabalho'!$AF$1196&lt;&gt;"",'(I) Plano de Trabalho'!$P$1199&lt;&gt;"",'(I) Plano de Trabalho'!$AS$1199&lt;&gt;""),2,IF(AND('(I) Plano de Trabalho'!$I$1193="",'(I) Plano de Trabalho'!$P$1196="",'(I) Plano de Trabalho'!$AF$1196="",'(I) Plano de Trabalho'!$P$1199="",'(I) Plano de Trabalho'!$AS$1199=""),0,1))</f>
        <v>0</v>
      </c>
      <c r="BZ43" s="106" t="s">
        <v>41</v>
      </c>
    </row>
    <row r="44" spans="1:78" ht="4.5" customHeight="1">
      <c r="A44" s="101"/>
      <c r="B44" s="185"/>
      <c r="C44" s="185"/>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03"/>
      <c r="AU44" s="104"/>
      <c r="AV44" s="104"/>
      <c r="AW44" s="104"/>
      <c r="AX44" s="104"/>
      <c r="AY44" s="104"/>
      <c r="AZ44" s="104"/>
      <c r="BA44" s="104"/>
      <c r="BB44" s="104"/>
      <c r="BC44" s="104"/>
      <c r="BD44" s="104"/>
      <c r="BE44" s="104"/>
      <c r="BF44" s="101"/>
      <c r="BH44" s="110"/>
      <c r="BN44" s="80"/>
      <c r="BO44" s="80"/>
      <c r="BP44" s="80"/>
      <c r="BQ44" s="80"/>
      <c r="BR44" s="111">
        <v>55</v>
      </c>
      <c r="BS44" s="111" t="str">
        <f>IF($BR$12&gt;=1,IF('(I) Plano de Trabalho'!$U$1120&gt;=5,55,""))</f>
        <v/>
      </c>
      <c r="BT44" s="112" t="str">
        <f>IF(BS44&lt;&gt;"",1,"")</f>
        <v/>
      </c>
      <c r="BU44" s="109" t="str">
        <f>IF(BT44="","",IF(SUM(BV44:BZ44)=10,2,IF(SUM(BV44:BZ44)=0,0,1)))</f>
        <v/>
      </c>
      <c r="BV44" s="106">
        <f>IF(AND('(I) Plano de Trabalho'!$I$1123&lt;&gt;"",'(I) Plano de Trabalho'!$P$1126&lt;&gt;"",'(I) Plano de Trabalho'!$AF$1126&lt;&gt;"",'(I) Plano de Trabalho'!$P$1129&lt;&gt;"",'(I) Plano de Trabalho'!$AS$1129&lt;&gt;""),2,IF(AND('(I) Plano de Trabalho'!$I$1123="",'(I) Plano de Trabalho'!$P$1126="",'(I) Plano de Trabalho'!$AF$1126="",'(I) Plano de Trabalho'!$P$1129="",'(I) Plano de Trabalho'!$AS$1129=""),0,1))</f>
        <v>2</v>
      </c>
      <c r="BW44" s="106">
        <f>IF(AND('(I) Plano de Trabalho'!$I$1146&lt;&gt;"",'(I) Plano de Trabalho'!$P$1149&lt;&gt;"",'(I) Plano de Trabalho'!$AF$1149&lt;&gt;"",'(I) Plano de Trabalho'!$P$1152&lt;&gt;"",'(I) Plano de Trabalho'!$AS$1152&lt;&gt;""),2,IF(AND('(I) Plano de Trabalho'!$I$1146="",'(I) Plano de Trabalho'!$P$1149="",'(I) Plano de Trabalho'!$AF$1149="",'(I) Plano de Trabalho'!$P$1152="",'(I) Plano de Trabalho'!$AS$1152=""),0,1))</f>
        <v>2</v>
      </c>
      <c r="BX44" s="106">
        <f>IF(AND('(I) Plano de Trabalho'!$I$1169&lt;&gt;"",'(I) Plano de Trabalho'!$P$1172&lt;&gt;"",'(I) Plano de Trabalho'!$AF$1172&lt;&gt;"",'(I) Plano de Trabalho'!$P$1175&lt;&gt;"",'(I) Plano de Trabalho'!$AS$1175&lt;&gt;""),2,IF(AND('(I) Plano de Trabalho'!$I$1169="",'(I) Plano de Trabalho'!$P$1172="",'(I) Plano de Trabalho'!$AF$1172="",'(I) Plano de Trabalho'!$P$1175="",'(I) Plano de Trabalho'!$AS$1175=""),0,1))</f>
        <v>0</v>
      </c>
      <c r="BY44" s="106">
        <f>IF(AND('(I) Plano de Trabalho'!$I$1193&lt;&gt;"",'(I) Plano de Trabalho'!$P$1196&lt;&gt;"",'(I) Plano de Trabalho'!$AF$1196&lt;&gt;"",'(I) Plano de Trabalho'!$P$1199&lt;&gt;"",'(I) Plano de Trabalho'!$AS$1199&lt;&gt;""),2,IF(AND('(I) Plano de Trabalho'!$I$1193="",'(I) Plano de Trabalho'!$P$1196="",'(I) Plano de Trabalho'!$AF$1196="",'(I) Plano de Trabalho'!$P$1199="",'(I) Plano de Trabalho'!$AS$1199=""),0,1))</f>
        <v>0</v>
      </c>
      <c r="BZ44" s="106">
        <f>IF(AND('(I) Plano de Trabalho'!$I$1216&lt;&gt;"",'(I) Plano de Trabalho'!$P$1219&lt;&gt;"",'(I) Plano de Trabalho'!$AF$1219&lt;&gt;"",'(I) Plano de Trabalho'!$P$1222&lt;&gt;"",'(I) Plano de Trabalho'!$AS$1222&lt;&gt;""),2,IF(AND('(I) Plano de Trabalho'!$I$1216="",'(I) Plano de Trabalho'!$P$1219="",'(I) Plano de Trabalho'!$AF$1219="",'(I) Plano de Trabalho'!$P$1222="",'(I) Plano de Trabalho'!$AS$1222=""),0,1))</f>
        <v>0</v>
      </c>
    </row>
    <row r="45" spans="1:78" ht="8.1" customHeight="1">
      <c r="A45" s="101"/>
      <c r="B45" s="588" t="s">
        <v>295</v>
      </c>
      <c r="C45" s="588"/>
      <c r="D45" s="133"/>
      <c r="E45" s="567" t="s">
        <v>373</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103"/>
      <c r="AU45" s="584" t="str">
        <f>BM45</f>
        <v>OK</v>
      </c>
      <c r="AV45" s="584"/>
      <c r="AW45" s="584"/>
      <c r="AX45" s="584"/>
      <c r="AY45" s="584"/>
      <c r="AZ45" s="584"/>
      <c r="BA45" s="584"/>
      <c r="BB45" s="584"/>
      <c r="BC45" s="584"/>
      <c r="BD45" s="584"/>
      <c r="BE45" s="585"/>
      <c r="BF45" s="101"/>
      <c r="BH45" s="108">
        <f>IF(AU45="ok",1,0)</f>
        <v>1</v>
      </c>
      <c r="BJ45" s="106" t="str">
        <f>IF(OR('(I) Plano de Trabalho'!$B$272&lt;&gt;"",'(I) Plano de Trabalho'!$B$282&lt;&gt;"",'(I) Plano de Trabalho'!$B$297&lt;&gt;"",'(I) Plano de Trabalho'!$B$306&lt;&gt;"",'(I) Plano de Trabalho'!$B$316&lt;&gt;"",'(I) Plano de Trabalho'!$B$322&lt;&gt;"",'(I) Plano de Trabalho'!$B$327&lt;&gt;"",'(I) Plano de Trabalho'!$B$335&lt;&gt;"",'(I) Plano de Trabalho'!$B$345&lt;&gt;""),"OK","")</f>
        <v>OK</v>
      </c>
      <c r="BK45" s="106" t="str">
        <f>IF(AND('(I) Plano de Trabalho'!$B$272="",'(I) Plano de Trabalho'!$B$282="",'(I) Plano de Trabalho'!$B$297="",'(I) Plano de Trabalho'!$B$306="",'(I) Plano de Trabalho'!$B$316="",'(I) Plano de Trabalho'!$B$322="",'(I) Plano de Trabalho'!$B$327="",'(I) Plano de Trabalho'!$B$335="",'(I) Plano de Trabalho'!$B$345=""),"Não Preenchido","")</f>
        <v/>
      </c>
      <c r="BL45" s="106" t="s">
        <v>41</v>
      </c>
      <c r="BM45" s="109" t="str">
        <f>IF(BJ45="OK","OK",IF(BK45="Não Preenchido","Não Preenchido"))</f>
        <v>OK</v>
      </c>
      <c r="BN45" s="79"/>
      <c r="BO45" s="79"/>
      <c r="BP45" s="79"/>
      <c r="BQ45" s="80"/>
      <c r="BR45" s="79"/>
      <c r="BS45" s="79"/>
      <c r="BT45" s="79"/>
      <c r="BU45" s="79"/>
      <c r="BV45" s="79"/>
      <c r="BW45" s="79"/>
    </row>
    <row r="46" spans="1:78" ht="8.1" customHeight="1">
      <c r="A46" s="101"/>
      <c r="B46" s="589"/>
      <c r="C46" s="589"/>
      <c r="D46" s="134"/>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103"/>
      <c r="AU46" s="586"/>
      <c r="AV46" s="586"/>
      <c r="AW46" s="586"/>
      <c r="AX46" s="586"/>
      <c r="AY46" s="586"/>
      <c r="AZ46" s="586"/>
      <c r="BA46" s="586"/>
      <c r="BB46" s="586"/>
      <c r="BC46" s="586"/>
      <c r="BD46" s="586"/>
      <c r="BE46" s="587"/>
      <c r="BF46" s="101"/>
      <c r="BH46" s="110"/>
      <c r="BJ46" s="105"/>
      <c r="BK46" s="105"/>
      <c r="BL46" s="105"/>
      <c r="BM46" s="105"/>
      <c r="BN46" s="79"/>
      <c r="BO46" s="79"/>
      <c r="BP46" s="79"/>
      <c r="BQ46" s="80"/>
      <c r="BR46" s="79"/>
      <c r="BS46" s="79"/>
      <c r="BT46" s="79"/>
      <c r="BV46" s="79"/>
      <c r="BW46" s="79"/>
    </row>
    <row r="47" spans="1:78" ht="4.5" customHeight="1">
      <c r="A47" s="101"/>
      <c r="B47" s="185"/>
      <c r="C47" s="185"/>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03"/>
      <c r="AU47" s="104"/>
      <c r="AV47" s="104"/>
      <c r="AW47" s="104"/>
      <c r="AX47" s="104"/>
      <c r="AY47" s="104"/>
      <c r="AZ47" s="104"/>
      <c r="BA47" s="104"/>
      <c r="BB47" s="104"/>
      <c r="BC47" s="104"/>
      <c r="BD47" s="104"/>
      <c r="BE47" s="104"/>
      <c r="BF47" s="101"/>
      <c r="BH47" s="110"/>
      <c r="BN47" s="80"/>
      <c r="BO47" s="80"/>
      <c r="BP47" s="80"/>
      <c r="BQ47" s="80"/>
      <c r="BR47" s="80"/>
      <c r="BS47" s="80"/>
      <c r="BT47" s="80"/>
      <c r="BU47" s="80"/>
      <c r="BV47" s="80"/>
      <c r="BW47" s="80"/>
    </row>
    <row r="48" spans="1:78" ht="8.1" customHeight="1">
      <c r="A48" s="101"/>
      <c r="B48" s="588" t="s">
        <v>297</v>
      </c>
      <c r="C48" s="588"/>
      <c r="D48" s="133"/>
      <c r="E48" s="567" t="s">
        <v>374</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103"/>
      <c r="AU48" s="584" t="str">
        <f>BM48</f>
        <v>OK</v>
      </c>
      <c r="AV48" s="584"/>
      <c r="AW48" s="584"/>
      <c r="AX48" s="584"/>
      <c r="AY48" s="584"/>
      <c r="AZ48" s="584"/>
      <c r="BA48" s="584"/>
      <c r="BB48" s="584"/>
      <c r="BC48" s="584"/>
      <c r="BD48" s="584"/>
      <c r="BE48" s="585"/>
      <c r="BF48" s="101"/>
      <c r="BH48" s="108">
        <f>IF(AU48="ok",1,0)</f>
        <v>1</v>
      </c>
      <c r="BJ48" s="106" t="str">
        <f>IF(AND('(I) Plano de Trabalho'!$O$360&lt;&gt;"",'(I) Plano de Trabalho'!$O$388&lt;&gt;"",'(I) Plano de Trabalho'!$O$442&lt;&gt;"",'(I) Plano de Trabalho'!$O$526&lt;&gt;"",'(I) Plano de Trabalho'!$O$535&lt;&gt;"",'(I) Plano de Trabalho'!$O$544&lt;&gt;"",'(I) Plano de Trabalho'!$O$553&lt;&gt;"",'(I) Plano de Trabalho'!$O$562&lt;&gt;"",'(I) Plano de Trabalho'!$O$578&lt;&gt;"",'(I) Plano de Trabalho'!$O$587&lt;&gt;""),"OK","")</f>
        <v>OK</v>
      </c>
      <c r="BK48" s="106" t="str">
        <f>IF(AND('(I) Plano de Trabalho'!$O$360="",'(I) Plano de Trabalho'!$O$388="",'(I) Plano de Trabalho'!$O$442="",'(I) Plano de Trabalho'!$O$526="",'(I) Plano de Trabalho'!$O$535="",'(I) Plano de Trabalho'!$O$544="",'(I) Plano de Trabalho'!$O$553="",'(I) Plano de Trabalho'!$O$562="",'(I) Plano de Trabalho'!$O$578="",'(I) Plano de Trabalho'!$O$587=""),"Não Preenchido","")</f>
        <v/>
      </c>
      <c r="BL48" s="106" t="str">
        <f>IF(AND(BJ48="",BK48=""),"Incompleto","")</f>
        <v/>
      </c>
      <c r="BM48" s="109" t="str">
        <f>IF(BJ48="OK","OK",IF(BK48="Não Preenchido","Não Preenchido",IF(BL48="Incompleto","Incompleto","")))</f>
        <v>OK</v>
      </c>
      <c r="BN48" s="79"/>
      <c r="BO48" s="79"/>
      <c r="BP48" s="79"/>
      <c r="BQ48" s="80"/>
      <c r="BR48" s="79"/>
      <c r="BS48" s="79"/>
      <c r="BT48" s="79"/>
      <c r="BU48" s="79"/>
      <c r="BV48" s="79"/>
      <c r="BW48" s="79"/>
    </row>
    <row r="49" spans="1:78" ht="8.1" customHeight="1">
      <c r="A49" s="101"/>
      <c r="B49" s="589"/>
      <c r="C49" s="589"/>
      <c r="D49" s="134"/>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103"/>
      <c r="AU49" s="586"/>
      <c r="AV49" s="586"/>
      <c r="AW49" s="586"/>
      <c r="AX49" s="586"/>
      <c r="AY49" s="586"/>
      <c r="AZ49" s="586"/>
      <c r="BA49" s="586"/>
      <c r="BB49" s="586"/>
      <c r="BC49" s="586"/>
      <c r="BD49" s="586"/>
      <c r="BE49" s="587"/>
      <c r="BF49" s="101"/>
      <c r="BH49" s="110"/>
      <c r="BJ49" s="105"/>
      <c r="BK49" s="105"/>
      <c r="BL49" s="105"/>
      <c r="BM49" s="105"/>
      <c r="BN49" s="79"/>
      <c r="BO49" s="79"/>
      <c r="BP49" s="79"/>
      <c r="BQ49" s="80"/>
      <c r="BR49" s="79"/>
      <c r="BS49" s="79"/>
      <c r="BT49" s="79"/>
      <c r="BU49" s="79"/>
      <c r="BV49" s="79"/>
      <c r="BW49" s="79"/>
    </row>
    <row r="50" spans="1:78" ht="12" customHeight="1">
      <c r="A50" s="101"/>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4"/>
      <c r="AV50" s="104"/>
      <c r="AW50" s="104"/>
      <c r="AX50" s="104"/>
      <c r="AY50" s="104"/>
      <c r="AZ50" s="104"/>
      <c r="BA50" s="104"/>
      <c r="BB50" s="104"/>
      <c r="BC50" s="104"/>
      <c r="BD50" s="104"/>
      <c r="BE50" s="104"/>
      <c r="BF50" s="101"/>
      <c r="BH50" s="110"/>
      <c r="BN50" s="80"/>
      <c r="BO50" s="80"/>
      <c r="BP50" s="80"/>
      <c r="BQ50" s="80"/>
      <c r="BR50" s="80"/>
      <c r="BS50" s="80"/>
      <c r="BT50" s="80"/>
      <c r="BU50" s="111">
        <f>IF($BU$51=2,2,IF($BU$51=0,0,1))</f>
        <v>2</v>
      </c>
      <c r="BV50" s="80"/>
      <c r="BW50" s="80"/>
    </row>
    <row r="51" spans="1:78" ht="9" customHeight="1">
      <c r="A51" s="101"/>
      <c r="B51" s="569" t="s">
        <v>416</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139"/>
      <c r="AC51" s="139"/>
      <c r="AD51" s="103"/>
      <c r="AE51" s="103"/>
      <c r="AF51" s="103"/>
      <c r="AG51" s="103"/>
      <c r="AH51" s="103"/>
      <c r="AI51" s="103"/>
      <c r="AJ51" s="103"/>
      <c r="AK51" s="103"/>
      <c r="AL51" s="103"/>
      <c r="AM51" s="103"/>
      <c r="AN51" s="103"/>
      <c r="AO51" s="103"/>
      <c r="AP51" s="103"/>
      <c r="AQ51" s="103"/>
      <c r="AR51" s="103"/>
      <c r="AS51" s="103"/>
      <c r="AT51" s="103"/>
      <c r="AU51" s="104"/>
      <c r="AV51" s="104"/>
      <c r="AW51" s="104"/>
      <c r="AX51" s="104"/>
      <c r="AY51" s="104"/>
      <c r="AZ51" s="104"/>
      <c r="BA51" s="104"/>
      <c r="BB51" s="104"/>
      <c r="BC51" s="104"/>
      <c r="BD51" s="104"/>
      <c r="BE51" s="104"/>
      <c r="BF51" s="101"/>
      <c r="BH51" s="110"/>
      <c r="BN51" s="80"/>
      <c r="BO51" s="80"/>
      <c r="BP51" s="80"/>
      <c r="BQ51" s="80"/>
      <c r="BR51" s="80"/>
      <c r="BS51" s="80"/>
      <c r="BT51" s="80"/>
      <c r="BU51" s="112">
        <f>IF(SUM($BU$54:$BU$82)=0,0,IF(AND($BR$12=1,SUM(BU54:BU58)=2),2,IF(AND($BR$12=2,SUM(BU54:BU64)=4),2,IF(AND($BR$12=3,SUM(BU54:BU70)=6),2,IF(AND($BR$12=4,SUM(BU54:BU76)=8),2,IF(AND($BR$12=5,SUM(BU54:BU82)=10),2,1))))))</f>
        <v>2</v>
      </c>
      <c r="BV51" s="80"/>
      <c r="BW51" s="80"/>
    </row>
    <row r="52" spans="1:78" ht="9" customHeight="1">
      <c r="A52" s="101"/>
      <c r="B52" s="569"/>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139"/>
      <c r="AC52" s="139"/>
      <c r="AD52" s="103"/>
      <c r="AE52" s="103"/>
      <c r="AF52" s="103"/>
      <c r="AG52" s="103"/>
      <c r="AH52" s="103"/>
      <c r="AI52" s="103"/>
      <c r="AJ52" s="103"/>
      <c r="AK52" s="103"/>
      <c r="AL52" s="103"/>
      <c r="AM52" s="103"/>
      <c r="AN52" s="103"/>
      <c r="AO52" s="103"/>
      <c r="AP52" s="103"/>
      <c r="AQ52" s="103"/>
      <c r="AR52" s="103"/>
      <c r="AS52" s="103"/>
      <c r="AT52" s="103"/>
      <c r="AU52" s="104"/>
      <c r="AV52" s="104"/>
      <c r="AW52" s="104"/>
      <c r="AX52" s="104"/>
      <c r="AY52" s="104"/>
      <c r="AZ52" s="104"/>
      <c r="BA52" s="104"/>
      <c r="BB52" s="104"/>
      <c r="BC52" s="104"/>
      <c r="BD52" s="104"/>
      <c r="BE52" s="104"/>
      <c r="BF52" s="101"/>
      <c r="BH52" s="110"/>
      <c r="BN52" s="80"/>
      <c r="BO52" s="80"/>
      <c r="BP52" s="80"/>
      <c r="BQ52" s="80"/>
      <c r="BR52" s="80"/>
      <c r="BS52" s="80"/>
      <c r="BT52" s="80"/>
      <c r="BU52" s="80"/>
      <c r="BV52" s="80"/>
      <c r="BW52" s="80"/>
    </row>
    <row r="53" spans="1:78" ht="4.5" customHeight="1">
      <c r="A53" s="10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03"/>
      <c r="AU53" s="103"/>
      <c r="AV53" s="103"/>
      <c r="AW53" s="103"/>
      <c r="AX53" s="103"/>
      <c r="AY53" s="103"/>
      <c r="AZ53" s="103"/>
      <c r="BA53" s="103"/>
      <c r="BB53" s="103"/>
      <c r="BC53" s="103"/>
      <c r="BD53" s="103"/>
      <c r="BE53" s="103"/>
      <c r="BF53" s="101"/>
      <c r="BH53" s="110"/>
      <c r="BJ53" s="105"/>
      <c r="BK53" s="105"/>
      <c r="BL53" s="105"/>
      <c r="BM53" s="105"/>
      <c r="BN53" s="107"/>
      <c r="BO53" s="107"/>
      <c r="BP53" s="107"/>
      <c r="BQ53" s="80"/>
      <c r="BR53" s="111">
        <v>13</v>
      </c>
      <c r="BS53" s="111">
        <f>IF($BR$12&gt;=1,IF('(I) Plano de Trabalho'!$U$629&gt;=3,13,""))</f>
        <v>13</v>
      </c>
      <c r="BT53" s="112">
        <f>IF(OR(BT55=1,BT54=1),"",IF(BS53&lt;&gt;"",1,""))</f>
        <v>1</v>
      </c>
      <c r="BU53" s="109">
        <f>IF(BT53="","",IF(SUM(BV53:BZ53)=6,2,IF(SUM(BV53:BZ53)=0,0,1)))</f>
        <v>2</v>
      </c>
      <c r="BV53" s="106">
        <f>IF(AND('(I) Plano de Trabalho'!$I$632&lt;&gt;"",'(I) Plano de Trabalho'!$P$635&lt;&gt;"",'(I) Plano de Trabalho'!$AF$635&lt;&gt;"",'(I) Plano de Trabalho'!$P$638&lt;&gt;"",'(I) Plano de Trabalho'!$AS$638&lt;&gt;""),2,IF(AND('(I) Plano de Trabalho'!$I$632="",'(I) Plano de Trabalho'!$P$635="",'(I) Plano de Trabalho'!$AF$635="",'(I) Plano de Trabalho'!$P$638="",'(I) Plano de Trabalho'!$AS$638=""),0,1))</f>
        <v>2</v>
      </c>
      <c r="BW53" s="106">
        <f>IF(AND('(I) Plano de Trabalho'!$I$655&lt;&gt;"",'(I) Plano de Trabalho'!$P$658&lt;&gt;"",'(I) Plano de Trabalho'!$AF$658&lt;&gt;"",'(I) Plano de Trabalho'!$P$661&lt;&gt;"",'(I) Plano de Trabalho'!$AS$661&lt;&gt;""),2,IF(AND('(I) Plano de Trabalho'!$I$655="",'(I) Plano de Trabalho'!$P$658="",'(I) Plano de Trabalho'!$AF$658="",'(I) Plano de Trabalho'!$P$661="",'(I) Plano de Trabalho'!$AS$661=""),0,1))</f>
        <v>2</v>
      </c>
      <c r="BX53" s="106">
        <f>IF(AND('(I) Plano de Trabalho'!$I$679&lt;&gt;"",'(I) Plano de Trabalho'!$P$682&lt;&gt;"",'(I) Plano de Trabalho'!$AF$682&lt;&gt;"",'(I) Plano de Trabalho'!$P$685&lt;&gt;"",'(I) Plano de Trabalho'!$AS$685&lt;&gt;""),2,IF(AND('(I) Plano de Trabalho'!$I$679="",'(I) Plano de Trabalho'!$P$682="",'(I) Plano de Trabalho'!$AF$682="",'(I) Plano de Trabalho'!$P$685="",'(I) Plano de Trabalho'!$AS$685=""),0,1))</f>
        <v>2</v>
      </c>
      <c r="BY53" s="106" t="s">
        <v>41</v>
      </c>
      <c r="BZ53" s="106" t="s">
        <v>41</v>
      </c>
    </row>
    <row r="54" spans="1:78" ht="8.1" customHeight="1">
      <c r="A54" s="101"/>
      <c r="B54" s="588" t="s">
        <v>414</v>
      </c>
      <c r="C54" s="588"/>
      <c r="D54" s="133"/>
      <c r="E54" s="567" t="s">
        <v>390</v>
      </c>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103"/>
      <c r="AU54" s="584" t="str">
        <f>BM54</f>
        <v>OK</v>
      </c>
      <c r="AV54" s="584"/>
      <c r="AW54" s="584"/>
      <c r="AX54" s="584"/>
      <c r="AY54" s="584"/>
      <c r="AZ54" s="584"/>
      <c r="BA54" s="584"/>
      <c r="BB54" s="584"/>
      <c r="BC54" s="584"/>
      <c r="BD54" s="584"/>
      <c r="BE54" s="585"/>
      <c r="BF54" s="101"/>
      <c r="BH54" s="108">
        <f>IF(AU54="ok",1,0)</f>
        <v>1</v>
      </c>
      <c r="BJ54" s="106" t="str">
        <f>IF('(I) Plano de Trabalho'!$U$623&lt;&gt;"","OK","")</f>
        <v>OK</v>
      </c>
      <c r="BK54" s="106" t="str">
        <f>IF('(I) Plano de Trabalho'!$U$623="","Não Preenchido","")</f>
        <v/>
      </c>
      <c r="BL54" s="106" t="s">
        <v>41</v>
      </c>
      <c r="BM54" s="109" t="str">
        <f>IF(BJ54="OK","OK",IF(BK54="Não Preenchido","Não Preenchido"))</f>
        <v>OK</v>
      </c>
      <c r="BN54" s="79"/>
      <c r="BO54" s="79"/>
      <c r="BP54" s="79"/>
      <c r="BQ54" s="80"/>
      <c r="BR54" s="111">
        <v>11</v>
      </c>
      <c r="BS54" s="111">
        <f>IF($BR$12&gt;=1,IF('(I) Plano de Trabalho'!$U$629&gt;=1,11,""))</f>
        <v>11</v>
      </c>
      <c r="BT54" s="112" t="str">
        <f>IF(OR(BT58=1,BT57=1,BT56=1,BT55=1),"",IF(BS54&lt;&gt;"",1,""))</f>
        <v/>
      </c>
      <c r="BU54" s="109" t="str">
        <f>IF(BT54="","",IF(SUM(BV54:BZ54)=2,2,IF(SUM(BV54:BZ54)=0,0,1)))</f>
        <v/>
      </c>
      <c r="BV54" s="106">
        <f>IF(AND('(II) Cronograma'!$O$79&lt;&gt;"",'(II) Cronograma'!$AL$79&lt;&gt;""),2,IF(OR('(II) Cronograma'!$O$79&lt;&gt;"",'(II) Cronograma'!$AL$79&lt;&gt;""),1,0))</f>
        <v>2</v>
      </c>
      <c r="BW54" s="106" t="s">
        <v>41</v>
      </c>
      <c r="BX54" s="106" t="s">
        <v>41</v>
      </c>
      <c r="BY54" s="106" t="s">
        <v>41</v>
      </c>
      <c r="BZ54" s="106" t="s">
        <v>41</v>
      </c>
    </row>
    <row r="55" spans="1:78" ht="8.1" customHeight="1">
      <c r="A55" s="101"/>
      <c r="B55" s="589"/>
      <c r="C55" s="589"/>
      <c r="D55" s="134"/>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103"/>
      <c r="AU55" s="586"/>
      <c r="AV55" s="586"/>
      <c r="AW55" s="586"/>
      <c r="AX55" s="586"/>
      <c r="AY55" s="586"/>
      <c r="AZ55" s="586"/>
      <c r="BA55" s="586"/>
      <c r="BB55" s="586"/>
      <c r="BC55" s="586"/>
      <c r="BD55" s="586"/>
      <c r="BE55" s="587"/>
      <c r="BF55" s="101"/>
      <c r="BH55" s="110"/>
      <c r="BJ55" s="105"/>
      <c r="BK55" s="105"/>
      <c r="BL55" s="105"/>
      <c r="BM55" s="105"/>
      <c r="BN55" s="79"/>
      <c r="BO55" s="79"/>
      <c r="BP55" s="79"/>
      <c r="BQ55" s="80"/>
      <c r="BR55" s="111">
        <v>12</v>
      </c>
      <c r="BS55" s="111">
        <f>IF($BR$12&gt;=1,IF('(I) Plano de Trabalho'!$U$629&gt;=2,12,""))</f>
        <v>12</v>
      </c>
      <c r="BT55" s="112" t="str">
        <f>IF(OR(BT58=1,BT57=1,BT56=1),"",IF(BS55&lt;&gt;"",1,""))</f>
        <v/>
      </c>
      <c r="BU55" s="109" t="str">
        <f>IF(BT55="","",IF(SUM(BV55:BZ55)=4,2,IF(SUM(BV55:BZ55)=0,0,1)))</f>
        <v/>
      </c>
      <c r="BV55" s="106">
        <f>IF(AND('(II) Cronograma'!$O$79&lt;&gt;"",'(II) Cronograma'!$AL$79&lt;&gt;""),2,IF(OR('(II) Cronograma'!$O$79&lt;&gt;"",'(II) Cronograma'!$AL$79&lt;&gt;""),1,0))</f>
        <v>2</v>
      </c>
      <c r="BW55" s="106">
        <f>IF(AND('(II) Cronograma'!$O$91&lt;&gt;"",'(II) Cronograma'!$AL$91&lt;&gt;""),2,IF(OR('(II) Cronograma'!$O$91&lt;&gt;"",'(II) Cronograma'!$AL$91&lt;&gt;""),1,0))</f>
        <v>2</v>
      </c>
      <c r="BX55" s="106" t="s">
        <v>41</v>
      </c>
      <c r="BY55" s="106" t="s">
        <v>41</v>
      </c>
      <c r="BZ55" s="106" t="s">
        <v>41</v>
      </c>
    </row>
    <row r="56" spans="1:78" ht="4.5" customHeight="1">
      <c r="A56" s="101"/>
      <c r="B56" s="183"/>
      <c r="C56" s="18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4"/>
      <c r="AV56" s="104"/>
      <c r="AW56" s="104"/>
      <c r="AX56" s="104"/>
      <c r="AY56" s="104"/>
      <c r="AZ56" s="104"/>
      <c r="BA56" s="104"/>
      <c r="BB56" s="104"/>
      <c r="BC56" s="104"/>
      <c r="BD56" s="104"/>
      <c r="BE56" s="104"/>
      <c r="BF56" s="101"/>
      <c r="BH56" s="110"/>
      <c r="BN56" s="80"/>
      <c r="BO56" s="80"/>
      <c r="BP56" s="80"/>
      <c r="BQ56" s="80"/>
      <c r="BR56" s="111">
        <v>13</v>
      </c>
      <c r="BS56" s="111">
        <f>IF($BR$12&gt;=1,IF('(I) Plano de Trabalho'!$U$629&gt;=3,13,""))</f>
        <v>13</v>
      </c>
      <c r="BT56" s="112" t="str">
        <f>IF(OR(BT58=1,BT57=1),"",IF(BS56&lt;&gt;"",1,""))</f>
        <v/>
      </c>
      <c r="BU56" s="109" t="str">
        <f>IF(BT56="","",IF(SUM(BV56:BZ56)=6,2,IF(SUM(BV56:BZ56)=0,0,1)))</f>
        <v/>
      </c>
      <c r="BV56" s="106">
        <f>IF(AND('(II) Cronograma'!$O$79&lt;&gt;"",'(II) Cronograma'!$AL$79&lt;&gt;""),2,IF(OR('(II) Cronograma'!$O$79&lt;&gt;"",'(II) Cronograma'!$AL$79&lt;&gt;""),1,0))</f>
        <v>2</v>
      </c>
      <c r="BW56" s="106">
        <f>IF(AND('(II) Cronograma'!$O$91&lt;&gt;"",'(II) Cronograma'!$AL$91&lt;&gt;""),2,IF(OR('(II) Cronograma'!$O$91&lt;&gt;"",'(II) Cronograma'!$AL$91&lt;&gt;""),1,0))</f>
        <v>2</v>
      </c>
      <c r="BX56" s="106">
        <f>IF(AND('(II) Cronograma'!$O$103&lt;&gt;"",'(II) Cronograma'!$AL$103&lt;&gt;""),2,IF(OR('(II) Cronograma'!$O$103&lt;&gt;"",'(II) Cronograma'!$AL$103&lt;&gt;""),1,0))</f>
        <v>2</v>
      </c>
      <c r="BY56" s="106" t="s">
        <v>41</v>
      </c>
      <c r="BZ56" s="106" t="s">
        <v>41</v>
      </c>
    </row>
    <row r="57" spans="1:78" ht="8.1" customHeight="1">
      <c r="A57" s="101"/>
      <c r="B57" s="588" t="s">
        <v>414</v>
      </c>
      <c r="C57" s="588"/>
      <c r="D57" s="133"/>
      <c r="E57" s="567" t="s">
        <v>391</v>
      </c>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103"/>
      <c r="AU57" s="584" t="str">
        <f>IF($BR$12="","Não Preenchido",BM57)</f>
        <v>OK</v>
      </c>
      <c r="AV57" s="584"/>
      <c r="AW57" s="584"/>
      <c r="AX57" s="584"/>
      <c r="AY57" s="584"/>
      <c r="AZ57" s="584"/>
      <c r="BA57" s="584"/>
      <c r="BB57" s="584"/>
      <c r="BC57" s="584"/>
      <c r="BD57" s="584"/>
      <c r="BE57" s="585"/>
      <c r="BF57" s="101"/>
      <c r="BH57" s="108">
        <f>IF(AU57="ok",1,0)</f>
        <v>1</v>
      </c>
      <c r="BJ57" s="106" t="s">
        <v>41</v>
      </c>
      <c r="BK57" s="106" t="s">
        <v>41</v>
      </c>
      <c r="BL57" s="106" t="s">
        <v>41</v>
      </c>
      <c r="BM57" s="109" t="str">
        <f>IF($BR$12=1,$BJ$58,IF($BR$12=2,$BK$58,IF($BR$12=3,$BL$58,IF($BR$12=4,$BM$58,IF($BR$12=5,$BN$58)))))</f>
        <v>OK</v>
      </c>
      <c r="BN57" s="79"/>
      <c r="BO57" s="79"/>
      <c r="BP57" s="79"/>
      <c r="BQ57" s="80"/>
      <c r="BR57" s="111">
        <v>14</v>
      </c>
      <c r="BS57" s="111">
        <f>IF($BR$12&gt;=1,IF('(I) Plano de Trabalho'!$U$629&gt;=4,14,""))</f>
        <v>14</v>
      </c>
      <c r="BT57" s="112" t="str">
        <f>IF(BT58=1,"",IF(BS57&lt;&gt;"",1,""))</f>
        <v/>
      </c>
      <c r="BU57" s="109" t="str">
        <f>IF(BT57="","",IF(SUM(BV57:BZ57)=8,2,IF(SUM(BV57:BZ57)=0,0,1)))</f>
        <v/>
      </c>
      <c r="BV57" s="106">
        <f>IF(AND('(II) Cronograma'!$O$79&lt;&gt;"",'(II) Cronograma'!$AL$79&lt;&gt;""),2,IF(OR('(II) Cronograma'!$O$79&lt;&gt;"",'(II) Cronograma'!$AL$79&lt;&gt;""),1,0))</f>
        <v>2</v>
      </c>
      <c r="BW57" s="106">
        <f>IF(AND('(II) Cronograma'!$O$91&lt;&gt;"",'(II) Cronograma'!$AL$91&lt;&gt;""),2,IF(OR('(II) Cronograma'!$O$91&lt;&gt;"",'(II) Cronograma'!$AL$91&lt;&gt;""),1,0))</f>
        <v>2</v>
      </c>
      <c r="BX57" s="106">
        <f>IF(AND('(II) Cronograma'!$O$103&lt;&gt;"",'(II) Cronograma'!$AL$103&lt;&gt;""),2,IF(OR('(II) Cronograma'!$O$103&lt;&gt;"",'(II) Cronograma'!$AL$103&lt;&gt;""),1,0))</f>
        <v>2</v>
      </c>
      <c r="BY57" s="106">
        <f>IF(AND('(II) Cronograma'!$O$115&lt;&gt;"",'(II) Cronograma'!$AL$115&lt;&gt;""),2,IF(OR('(II) Cronograma'!$O$115&lt;&gt;"",'(II) Cronograma'!$AL$115&lt;&gt;""),1,0))</f>
        <v>2</v>
      </c>
      <c r="BZ57" s="106" t="s">
        <v>41</v>
      </c>
    </row>
    <row r="58" spans="1:78" ht="8.1" customHeight="1">
      <c r="A58" s="101"/>
      <c r="B58" s="589"/>
      <c r="C58" s="589"/>
      <c r="D58" s="134"/>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c r="AT58" s="103"/>
      <c r="AU58" s="586"/>
      <c r="AV58" s="586"/>
      <c r="AW58" s="586"/>
      <c r="AX58" s="586"/>
      <c r="AY58" s="586"/>
      <c r="AZ58" s="586"/>
      <c r="BA58" s="586"/>
      <c r="BB58" s="586"/>
      <c r="BC58" s="586"/>
      <c r="BD58" s="586"/>
      <c r="BE58" s="587"/>
      <c r="BF58" s="101"/>
      <c r="BH58" s="110"/>
      <c r="BJ58" s="112" t="str">
        <f>IF($BR$12&lt;&gt;1,"-",IF('(I) Plano de Trabalho'!$I$626&lt;&gt;"","OK","Não Preenchido"))</f>
        <v>-</v>
      </c>
      <c r="BK58" s="112" t="str">
        <f>IF($BR$12&lt;&gt;2,"-",IF(AND('(I) Plano de Trabalho'!$I$626&lt;&gt;"",'(I) Plano de Trabalho'!$I$749&lt;&gt;""),"OK",IF(AND('(I) Plano de Trabalho'!$I$626="",'(I) Plano de Trabalho'!$I$749=""),"Não Preenchido","Incompleto")))</f>
        <v>-</v>
      </c>
      <c r="BL58" s="112" t="str">
        <f>IF($BR$12&lt;&gt;3,"-",IF(AND('(I) Plano de Trabalho'!$I$626&lt;&gt;"",'(I) Plano de Trabalho'!$I$749&lt;&gt;"",'(I) Plano de Trabalho'!$I$871&lt;&gt;""),"OK",IF(AND('(I) Plano de Trabalho'!$I$626="",'(I) Plano de Trabalho'!$I$749="",'(I) Plano de Trabalho'!$I$871=""),"Não Preenchido","Incompleto")))</f>
        <v>-</v>
      </c>
      <c r="BM58" s="112" t="str">
        <f>IF($BR$12&lt;&gt;4,"-",IF(AND('(I) Plano de Trabalho'!$I$626&lt;&gt;"",'(I) Plano de Trabalho'!$I$749&lt;&gt;"",'(I) Plano de Trabalho'!$I$871&lt;&gt;"",'(I) Plano de Trabalho'!$I$994&lt;&gt;""),"OK",IF(AND('(I) Plano de Trabalho'!$I$626="",'(I) Plano de Trabalho'!$I$749="",'(I) Plano de Trabalho'!$I$871="",'(I) Plano de Trabalho'!$I$994=""),"Não Preenchido","Incompleto")))</f>
        <v>-</v>
      </c>
      <c r="BN58" s="112" t="str">
        <f>IF($BR$12&lt;&gt;5,"-",IF(AND('(I) Plano de Trabalho'!$I$626&lt;&gt;"",'(I) Plano de Trabalho'!$I$749&lt;&gt;"",'(I) Plano de Trabalho'!$I$871&lt;&gt;"",'(I) Plano de Trabalho'!$I$994&lt;&gt;"",'(I) Plano de Trabalho'!$I$1117&lt;&gt;""),"OK",IF(AND('(I) Plano de Trabalho'!$I$626="",'(I) Plano de Trabalho'!$I$749="",'(I) Plano de Trabalho'!$I$871="",'(I) Plano de Trabalho'!$I$994="",'(I) Plano de Trabalho'!$I$1117=""),"Não Preenchido","Incompleto")))</f>
        <v>OK</v>
      </c>
      <c r="BO58" s="79"/>
      <c r="BP58" s="79"/>
      <c r="BQ58" s="80"/>
      <c r="BR58" s="111">
        <v>15</v>
      </c>
      <c r="BS58" s="111">
        <f>IF($BR$12&gt;=1,IF('(I) Plano de Trabalho'!$U$629&gt;=5,15,""))</f>
        <v>15</v>
      </c>
      <c r="BT58" s="112">
        <f>IF(BS58&lt;&gt;"",1,"")</f>
        <v>1</v>
      </c>
      <c r="BU58" s="109">
        <f>IF(BT58="","",IF(SUM(BV58:BZ58)=10,2,IF(SUM(BV58:BZ58)=0,0,1)))</f>
        <v>2</v>
      </c>
      <c r="BV58" s="106">
        <f>IF(AND('(II) Cronograma'!$O$79&lt;&gt;"",'(II) Cronograma'!$AL$79&lt;&gt;""),2,IF(OR('(II) Cronograma'!$O$79&lt;&gt;"",'(II) Cronograma'!$AL$79&lt;&gt;""),1,0))</f>
        <v>2</v>
      </c>
      <c r="BW58" s="106">
        <f>IF(AND('(II) Cronograma'!$O$91&lt;&gt;"",'(II) Cronograma'!$AL$91&lt;&gt;""),2,IF(OR('(II) Cronograma'!$O$91&lt;&gt;"",'(II) Cronograma'!$AL$91&lt;&gt;""),1,0))</f>
        <v>2</v>
      </c>
      <c r="BX58" s="106">
        <f>IF(AND('(II) Cronograma'!$O$103&lt;&gt;"",'(II) Cronograma'!$AL$103&lt;&gt;""),2,IF(OR('(II) Cronograma'!$O$103&lt;&gt;"",'(II) Cronograma'!$AL$103&lt;&gt;""),1,0))</f>
        <v>2</v>
      </c>
      <c r="BY58" s="106">
        <f>IF(AND('(II) Cronograma'!$O$115&lt;&gt;"",'(II) Cronograma'!$AL$115&lt;&gt;""),2,IF(OR('(II) Cronograma'!$O$115&lt;&gt;"",'(II) Cronograma'!$AL$115&lt;&gt;""),1,0))</f>
        <v>2</v>
      </c>
      <c r="BZ58" s="106">
        <f>IF(AND('(II) Cronograma'!$O$127&lt;&gt;"",'(II) Cronograma'!$AL$127&lt;&gt;""),2,IF(OR('(II) Cronograma'!$O$127&lt;&gt;"",'(II) Cronograma'!$AL$127&lt;&gt;""),1,0))</f>
        <v>2</v>
      </c>
    </row>
    <row r="59" spans="1:78" ht="4.5" customHeight="1">
      <c r="A59" s="101"/>
      <c r="B59" s="183"/>
      <c r="C59" s="18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4"/>
      <c r="AV59" s="104"/>
      <c r="AW59" s="104"/>
      <c r="AX59" s="104"/>
      <c r="AY59" s="104"/>
      <c r="AZ59" s="104"/>
      <c r="BA59" s="104"/>
      <c r="BB59" s="104"/>
      <c r="BC59" s="104"/>
      <c r="BD59" s="104"/>
      <c r="BE59" s="104"/>
      <c r="BF59" s="101"/>
      <c r="BH59" s="110"/>
      <c r="BR59" s="107"/>
      <c r="BS59" s="107"/>
      <c r="BT59" s="107"/>
      <c r="BU59" s="107"/>
      <c r="BV59" s="107"/>
      <c r="BW59" s="107"/>
    </row>
    <row r="60" spans="1:78" ht="8.1" customHeight="1">
      <c r="A60" s="101"/>
      <c r="B60" s="588" t="s">
        <v>414</v>
      </c>
      <c r="C60" s="588"/>
      <c r="D60" s="133"/>
      <c r="E60" s="567" t="s">
        <v>392</v>
      </c>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103"/>
      <c r="AU60" s="584" t="str">
        <f>BM60</f>
        <v>OK</v>
      </c>
      <c r="AV60" s="584"/>
      <c r="AW60" s="584"/>
      <c r="AX60" s="584"/>
      <c r="AY60" s="584"/>
      <c r="AZ60" s="584"/>
      <c r="BA60" s="584"/>
      <c r="BB60" s="584"/>
      <c r="BC60" s="584"/>
      <c r="BD60" s="584"/>
      <c r="BE60" s="585"/>
      <c r="BF60" s="101"/>
      <c r="BH60" s="108">
        <f>IF(AU60="ok",1,0)</f>
        <v>1</v>
      </c>
      <c r="BJ60" s="106" t="s">
        <v>41</v>
      </c>
      <c r="BK60" s="106" t="s">
        <v>41</v>
      </c>
      <c r="BL60" s="106" t="s">
        <v>41</v>
      </c>
      <c r="BM60" s="109" t="str">
        <f>IF($BU$11=2,"OK",IF($BU$11=0,"Não Preenchido","Incompleto"))</f>
        <v>OK</v>
      </c>
      <c r="BN60" s="105"/>
      <c r="BO60" s="105"/>
      <c r="BP60" s="105"/>
      <c r="BR60" s="111">
        <v>21</v>
      </c>
      <c r="BS60" s="111">
        <f>IF($BR$12&gt;=1,IF('(I) Plano de Trabalho'!$U$752&gt;=1,21,""))</f>
        <v>21</v>
      </c>
      <c r="BT60" s="112" t="str">
        <f>IF(OR(BT64=1,BT63=1,BT62=1,BT61=1),"",IF(BS60&lt;&gt;"",1,""))</f>
        <v/>
      </c>
      <c r="BU60" s="109" t="str">
        <f>IF(BT60="","",IF(SUM(BV60:BZ60)=2,2,IF(SUM(BV60:BZ60)=0,0,1)))</f>
        <v/>
      </c>
      <c r="BV60" s="106">
        <f>IF(AND('(II) Cronograma'!$O$142&lt;&gt;"",'(II) Cronograma'!$AL$142&lt;&gt;""),2,IF(OR('(II) Cronograma'!$O$142&lt;&gt;"",'(II) Cronograma'!$AL$142&lt;&gt;""),1,0))</f>
        <v>2</v>
      </c>
      <c r="BW60" s="106" t="s">
        <v>41</v>
      </c>
      <c r="BX60" s="106" t="s">
        <v>41</v>
      </c>
      <c r="BY60" s="106" t="s">
        <v>41</v>
      </c>
      <c r="BZ60" s="106" t="s">
        <v>41</v>
      </c>
    </row>
    <row r="61" spans="1:78" ht="8.1" customHeight="1">
      <c r="A61" s="101"/>
      <c r="B61" s="589"/>
      <c r="C61" s="589"/>
      <c r="D61" s="134"/>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103"/>
      <c r="AU61" s="586"/>
      <c r="AV61" s="586"/>
      <c r="AW61" s="586"/>
      <c r="AX61" s="586"/>
      <c r="AY61" s="586"/>
      <c r="AZ61" s="586"/>
      <c r="BA61" s="586"/>
      <c r="BB61" s="586"/>
      <c r="BC61" s="586"/>
      <c r="BD61" s="586"/>
      <c r="BE61" s="587"/>
      <c r="BF61" s="101"/>
      <c r="BH61" s="110"/>
      <c r="BO61" s="105"/>
      <c r="BP61" s="105"/>
      <c r="BR61" s="111">
        <v>22</v>
      </c>
      <c r="BS61" s="111">
        <f>IF($BR$12&gt;=1,IF('(I) Plano de Trabalho'!$U$752&gt;=2,22,""))</f>
        <v>22</v>
      </c>
      <c r="BT61" s="112">
        <f>IF(OR(BT64=1,BT63=1,BT62=1),"",IF(BS61&lt;&gt;"",1,""))</f>
        <v>1</v>
      </c>
      <c r="BU61" s="109">
        <f>IF(BT61="","",IF(SUM(BV61:BZ61)=4,2,IF(SUM(BV61:BZ61)=0,0,1)))</f>
        <v>2</v>
      </c>
      <c r="BV61" s="106">
        <f>IF(AND('(II) Cronograma'!$O$142&lt;&gt;"",'(II) Cronograma'!$AL$142&lt;&gt;""),2,IF(OR('(II) Cronograma'!$O$142&lt;&gt;"",'(II) Cronograma'!$AL$142&lt;&gt;""),1,0))</f>
        <v>2</v>
      </c>
      <c r="BW61" s="106">
        <f>IF(AND('(II) Cronograma'!$O$154&lt;&gt;"",'(II) Cronograma'!$AL$154&lt;&gt;""),2,IF(OR('(II) Cronograma'!$O$154&lt;&gt;"",'(II) Cronograma'!$AL$154&lt;&gt;""),1,0))</f>
        <v>2</v>
      </c>
      <c r="BX61" s="106" t="s">
        <v>41</v>
      </c>
      <c r="BY61" s="106" t="s">
        <v>41</v>
      </c>
      <c r="BZ61" s="106" t="s">
        <v>41</v>
      </c>
    </row>
    <row r="62" spans="1:78" ht="4.5" customHeight="1">
      <c r="A62" s="101"/>
      <c r="B62" s="183"/>
      <c r="C62" s="18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4"/>
      <c r="AV62" s="104"/>
      <c r="AW62" s="104"/>
      <c r="AX62" s="104"/>
      <c r="AY62" s="104"/>
      <c r="AZ62" s="104"/>
      <c r="BA62" s="104"/>
      <c r="BB62" s="104"/>
      <c r="BC62" s="104"/>
      <c r="BD62" s="104"/>
      <c r="BE62" s="104"/>
      <c r="BF62" s="101"/>
      <c r="BR62" s="111">
        <v>23</v>
      </c>
      <c r="BS62" s="111" t="str">
        <f>IF($BR$12&gt;=1,IF('(I) Plano de Trabalho'!$U$752&gt;=3,23,""))</f>
        <v/>
      </c>
      <c r="BT62" s="112" t="str">
        <f>IF(OR(BT64=1,BT63=1),"",IF(BS62&lt;&gt;"",1,""))</f>
        <v/>
      </c>
      <c r="BU62" s="109" t="str">
        <f>IF(BT62="","",IF(SUM(BV62:BZ62)=6,2,IF(SUM(BV62:BZ62)=0,0,1)))</f>
        <v/>
      </c>
      <c r="BV62" s="106">
        <f>IF(AND('(II) Cronograma'!$O$142&lt;&gt;"",'(II) Cronograma'!$AL$142&lt;&gt;""),2,IF(OR('(II) Cronograma'!$O$142&lt;&gt;"",'(II) Cronograma'!$AL$142&lt;&gt;""),1,0))</f>
        <v>2</v>
      </c>
      <c r="BW62" s="106">
        <f>IF(AND('(II) Cronograma'!$O$154&lt;&gt;"",'(II) Cronograma'!$AL$154&lt;&gt;""),2,IF(OR('(II) Cronograma'!$O$154&lt;&gt;"",'(II) Cronograma'!$AL$154&lt;&gt;""),1,0))</f>
        <v>2</v>
      </c>
      <c r="BX62" s="106">
        <f>IF(AND('(II) Cronograma'!$O$166&lt;&gt;"",'(II) Cronograma'!$AL$166&lt;&gt;""),2,IF(OR('(II) Cronograma'!$O$166&lt;&gt;"",'(II) Cronograma'!$AL$166&lt;&gt;""),1,0))</f>
        <v>0</v>
      </c>
      <c r="BY62" s="106" t="s">
        <v>41</v>
      </c>
      <c r="BZ62" s="106" t="s">
        <v>41</v>
      </c>
    </row>
    <row r="63" spans="1:78" ht="8.1" customHeight="1">
      <c r="A63" s="101"/>
      <c r="B63" s="588" t="s">
        <v>414</v>
      </c>
      <c r="C63" s="588"/>
      <c r="D63" s="133"/>
      <c r="E63" s="567" t="s">
        <v>298</v>
      </c>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103"/>
      <c r="AU63" s="584" t="str">
        <f>IF((SUM('(I) Plano de Trabalho'!AS626,'(I) Plano de Trabalho'!AS749,'(I) Plano de Trabalho'!AS871,'(I) Plano de Trabalho'!AS994,'(I) Plano de Trabalho'!AS1117))&lt;&gt;'(I) Plano de Trabalho'!$O$218,"Inconsistência","OK")</f>
        <v>OK</v>
      </c>
      <c r="AV63" s="584"/>
      <c r="AW63" s="584"/>
      <c r="AX63" s="584"/>
      <c r="AY63" s="584"/>
      <c r="AZ63" s="584"/>
      <c r="BA63" s="584"/>
      <c r="BB63" s="584"/>
      <c r="BC63" s="584"/>
      <c r="BD63" s="584"/>
      <c r="BE63" s="585"/>
      <c r="BF63" s="101"/>
      <c r="BH63" s="108">
        <f>IF(AU63="ok",1,0)</f>
        <v>1</v>
      </c>
      <c r="BJ63" s="105"/>
      <c r="BK63" s="105"/>
      <c r="BL63" s="105"/>
      <c r="BM63" s="105"/>
      <c r="BN63" s="105"/>
      <c r="BO63" s="105"/>
      <c r="BP63" s="105"/>
      <c r="BR63" s="111">
        <v>24</v>
      </c>
      <c r="BS63" s="111" t="str">
        <f>IF($BR$12&gt;=1,IF('(I) Plano de Trabalho'!$U$752&gt;=4,24,""))</f>
        <v/>
      </c>
      <c r="BT63" s="112" t="str">
        <f>IF(BT64=1,"",IF(BS63&lt;&gt;"",1,""))</f>
        <v/>
      </c>
      <c r="BU63" s="109" t="str">
        <f>IF(BT63="","",IF(SUM(BV63:BZ63)=8,2,IF(SUM(BV63:BZ63)=0,0,1)))</f>
        <v/>
      </c>
      <c r="BV63" s="106">
        <f>IF(AND('(II) Cronograma'!$O$142&lt;&gt;"",'(II) Cronograma'!$AL$142&lt;&gt;""),2,IF(OR('(II) Cronograma'!$O$142&lt;&gt;"",'(II) Cronograma'!$AL$142&lt;&gt;""),1,0))</f>
        <v>2</v>
      </c>
      <c r="BW63" s="106">
        <f>IF(AND('(II) Cronograma'!$O$154&lt;&gt;"",'(II) Cronograma'!$AL$154&lt;&gt;""),2,IF(OR('(II) Cronograma'!$O$154&lt;&gt;"",'(II) Cronograma'!$AL$154&lt;&gt;""),1,0))</f>
        <v>2</v>
      </c>
      <c r="BX63" s="106">
        <f>IF(AND('(II) Cronograma'!$O$166&lt;&gt;"",'(II) Cronograma'!$AL$166&lt;&gt;""),2,IF(OR('(II) Cronograma'!$O$166&lt;&gt;"",'(II) Cronograma'!$AL$166&lt;&gt;""),1,0))</f>
        <v>0</v>
      </c>
      <c r="BY63" s="106">
        <f>IF(AND('(II) Cronograma'!$O$178&lt;&gt;"",'(II) Cronograma'!$AL$178&lt;&gt;""),2,IF(OR('(II) Cronograma'!$O$178&lt;&gt;"",'(II) Cronograma'!$AL$178&lt;&gt;""),1,0))</f>
        <v>0</v>
      </c>
      <c r="BZ63" s="106" t="s">
        <v>41</v>
      </c>
    </row>
    <row r="64" spans="1:78" ht="8.1" customHeight="1">
      <c r="A64" s="101"/>
      <c r="B64" s="589"/>
      <c r="C64" s="589"/>
      <c r="D64" s="134"/>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103"/>
      <c r="AU64" s="586"/>
      <c r="AV64" s="586"/>
      <c r="AW64" s="586"/>
      <c r="AX64" s="586"/>
      <c r="AY64" s="586"/>
      <c r="AZ64" s="586"/>
      <c r="BA64" s="586"/>
      <c r="BB64" s="586"/>
      <c r="BC64" s="586"/>
      <c r="BD64" s="586"/>
      <c r="BE64" s="587"/>
      <c r="BF64" s="101"/>
      <c r="BJ64" s="105"/>
      <c r="BK64" s="105"/>
      <c r="BL64" s="105"/>
      <c r="BM64" s="105"/>
      <c r="BN64" s="105"/>
      <c r="BO64" s="105"/>
      <c r="BP64" s="105"/>
      <c r="BR64" s="111">
        <v>25</v>
      </c>
      <c r="BS64" s="111" t="str">
        <f>IF($BR$12&gt;=1,IF('(I) Plano de Trabalho'!$U$752&gt;=5,25,""))</f>
        <v/>
      </c>
      <c r="BT64" s="112" t="str">
        <f>IF(BS64&lt;&gt;"",1,"")</f>
        <v/>
      </c>
      <c r="BU64" s="109" t="str">
        <f>IF(BT64="","",IF(SUM(BV64:BZ64)=10,2,IF(SUM(BV64:BZ64)=0,0,1)))</f>
        <v/>
      </c>
      <c r="BV64" s="106">
        <f>IF(AND('(II) Cronograma'!$O$142&lt;&gt;"",'(II) Cronograma'!$AL$142&lt;&gt;""),2,IF(OR('(II) Cronograma'!$O$142&lt;&gt;"",'(II) Cronograma'!$AL$142&lt;&gt;""),1,0))</f>
        <v>2</v>
      </c>
      <c r="BW64" s="106">
        <f>IF(AND('(II) Cronograma'!$O$154&lt;&gt;"",'(II) Cronograma'!$AL$154&lt;&gt;""),2,IF(OR('(II) Cronograma'!$O$154&lt;&gt;"",'(II) Cronograma'!$AL$154&lt;&gt;""),1,0))</f>
        <v>2</v>
      </c>
      <c r="BX64" s="106">
        <f>IF(AND('(II) Cronograma'!$O$166&lt;&gt;"",'(II) Cronograma'!$AL$166&lt;&gt;""),2,IF(OR('(II) Cronograma'!$O$166&lt;&gt;"",'(II) Cronograma'!$AL$166&lt;&gt;""),1,0))</f>
        <v>0</v>
      </c>
      <c r="BY64" s="106">
        <f>IF(AND('(II) Cronograma'!$O$178&lt;&gt;"",'(II) Cronograma'!$AL$178&lt;&gt;""),2,IF(OR('(II) Cronograma'!$O$178&lt;&gt;"",'(II) Cronograma'!$AL$178&lt;&gt;""),1,0))</f>
        <v>0</v>
      </c>
      <c r="BZ64" s="106">
        <f>IF(AND('(II) Cronograma'!$O$190&lt;&gt;"",'(II) Cronograma'!$AL$190&lt;&gt;""),2,IF(OR('(II) Cronograma'!$O$190&lt;&gt;"",'(II) Cronograma'!$AL$190&lt;&gt;""),1,0))</f>
        <v>0</v>
      </c>
    </row>
    <row r="65" spans="1:84" ht="4.5" customHeight="1">
      <c r="A65" s="101"/>
      <c r="B65" s="184"/>
      <c r="C65" s="184"/>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4"/>
      <c r="AV65" s="104"/>
      <c r="AW65" s="104"/>
      <c r="AX65" s="104"/>
      <c r="AY65" s="104"/>
      <c r="AZ65" s="104"/>
      <c r="BA65" s="104"/>
      <c r="BB65" s="104"/>
      <c r="BC65" s="104"/>
      <c r="BD65" s="104"/>
      <c r="BE65" s="104"/>
      <c r="BF65" s="101"/>
      <c r="BR65" s="113"/>
      <c r="BS65" s="113"/>
      <c r="BT65" s="113"/>
      <c r="BU65" s="113"/>
      <c r="BV65" s="113"/>
      <c r="BW65" s="78"/>
      <c r="BX65" s="78"/>
      <c r="BY65" s="78"/>
      <c r="BZ65" s="78"/>
    </row>
    <row r="66" spans="1:84" ht="7.5" customHeight="1">
      <c r="A66" s="101"/>
      <c r="B66" s="588" t="s">
        <v>414</v>
      </c>
      <c r="C66" s="588"/>
      <c r="D66" s="133"/>
      <c r="E66" s="567" t="s">
        <v>393</v>
      </c>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103"/>
      <c r="AU66" s="584" t="str">
        <f>BM66</f>
        <v>OK</v>
      </c>
      <c r="AV66" s="584"/>
      <c r="AW66" s="584"/>
      <c r="AX66" s="584"/>
      <c r="AY66" s="584"/>
      <c r="AZ66" s="584"/>
      <c r="BA66" s="584"/>
      <c r="BB66" s="584"/>
      <c r="BC66" s="584"/>
      <c r="BD66" s="584"/>
      <c r="BE66" s="585"/>
      <c r="BF66" s="101"/>
      <c r="BH66" s="108">
        <f>IF(AU66="ok",1,0)</f>
        <v>1</v>
      </c>
      <c r="BJ66" s="106" t="s">
        <v>41</v>
      </c>
      <c r="BK66" s="106" t="s">
        <v>41</v>
      </c>
      <c r="BL66" s="106" t="s">
        <v>41</v>
      </c>
      <c r="BM66" s="109" t="str">
        <f>IF($BU$50=2,"OK",IF($BU$50=0,"Não Preenchido","Incompleto"))</f>
        <v>OK</v>
      </c>
      <c r="BR66" s="111">
        <v>31</v>
      </c>
      <c r="BS66" s="111">
        <f>IF($BR$12&gt;=1,IF('(I) Plano de Trabalho'!$U$874&gt;=1,31,""))</f>
        <v>31</v>
      </c>
      <c r="BT66" s="112">
        <f>IF(OR(BT70=1,BT69=1,BT68=1,BT67=1),"",IF(BS66&lt;&gt;"",1,""))</f>
        <v>1</v>
      </c>
      <c r="BU66" s="109">
        <f>IF(BT66="","",IF(SUM(BV66:BZ66)=2,2,IF(SUM(BV66:BZ66)=0,0,1)))</f>
        <v>2</v>
      </c>
      <c r="BV66" s="106">
        <f>IF(AND('(II) Cronograma'!$O$205&lt;&gt;"",'(II) Cronograma'!$AL$205&lt;&gt;""),2,IF(OR('(II) Cronograma'!$O$205&lt;&gt;"",'(II) Cronograma'!$AL$205&lt;&gt;""),1,0))</f>
        <v>2</v>
      </c>
      <c r="BW66" s="106" t="s">
        <v>41</v>
      </c>
      <c r="BX66" s="106" t="s">
        <v>41</v>
      </c>
      <c r="BY66" s="106" t="s">
        <v>41</v>
      </c>
      <c r="BZ66" s="106" t="s">
        <v>41</v>
      </c>
    </row>
    <row r="67" spans="1:84" ht="7.5" customHeight="1">
      <c r="A67" s="101"/>
      <c r="B67" s="589"/>
      <c r="C67" s="589"/>
      <c r="D67" s="134"/>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103"/>
      <c r="AU67" s="586"/>
      <c r="AV67" s="586"/>
      <c r="AW67" s="586"/>
      <c r="AX67" s="586"/>
      <c r="AY67" s="586"/>
      <c r="AZ67" s="586"/>
      <c r="BA67" s="586"/>
      <c r="BB67" s="586"/>
      <c r="BC67" s="586"/>
      <c r="BD67" s="586"/>
      <c r="BE67" s="587"/>
      <c r="BF67" s="101"/>
      <c r="BR67" s="111">
        <v>32</v>
      </c>
      <c r="BS67" s="111" t="str">
        <f>IF($BR$12&gt;=1,IF('(I) Plano de Trabalho'!$U$874&gt;=2,32,""))</f>
        <v/>
      </c>
      <c r="BT67" s="112" t="str">
        <f>IF(OR(BT70=1,BT69=1,BT68=1),"",IF(BS67&lt;&gt;"",1,""))</f>
        <v/>
      </c>
      <c r="BU67" s="109" t="str">
        <f>IF(BT67="","",IF(SUM(BV67:BZ67)=4,2,IF(SUM(BV67:BZ67)=0,0,1)))</f>
        <v/>
      </c>
      <c r="BV67" s="106">
        <f>IF(AND('(II) Cronograma'!$O$205&lt;&gt;"",'(II) Cronograma'!$AL$205&lt;&gt;""),2,IF(OR('(II) Cronograma'!$O$205&lt;&gt;"",'(II) Cronograma'!$AL$205&lt;&gt;""),1,0))</f>
        <v>2</v>
      </c>
      <c r="BW67" s="106">
        <f>IF(AND('(II) Cronograma'!$O$217&lt;&gt;"",'(II) Cronograma'!$AL$217&lt;&gt;""),2,IF(OR('(II) Cronograma'!$O$217&lt;&gt;"",'(II) Cronograma'!$AL$217&lt;&gt;""),1,0))</f>
        <v>2</v>
      </c>
      <c r="BX67" s="106" t="s">
        <v>41</v>
      </c>
      <c r="BY67" s="106" t="s">
        <v>41</v>
      </c>
      <c r="BZ67" s="106" t="s">
        <v>41</v>
      </c>
    </row>
    <row r="68" spans="1:84" ht="12" customHeight="1">
      <c r="A68" s="101"/>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03"/>
      <c r="AU68" s="103"/>
      <c r="AV68" s="103"/>
      <c r="AW68" s="103"/>
      <c r="AX68" s="103"/>
      <c r="AY68" s="103"/>
      <c r="AZ68" s="103"/>
      <c r="BA68" s="103"/>
      <c r="BB68" s="103"/>
      <c r="BC68" s="103"/>
      <c r="BD68" s="103"/>
      <c r="BE68" s="103"/>
      <c r="BF68" s="101"/>
      <c r="BH68" s="110"/>
      <c r="BJ68" s="105"/>
      <c r="BK68" s="105"/>
      <c r="BL68" s="105"/>
      <c r="BM68" s="105"/>
      <c r="BN68" s="107"/>
      <c r="BO68" s="107"/>
      <c r="BP68" s="107"/>
      <c r="BQ68" s="80"/>
      <c r="BR68" s="111">
        <v>33</v>
      </c>
      <c r="BS68" s="111" t="str">
        <f>IF($BR$12&gt;=1,IF('(I) Plano de Trabalho'!$U$874&gt;=3,33,""))</f>
        <v/>
      </c>
      <c r="BT68" s="112" t="str">
        <f>IF(OR(BT70=1,BT69=1),"",IF(BS68&lt;&gt;"",1,""))</f>
        <v/>
      </c>
      <c r="BU68" s="109" t="str">
        <f>IF(BT68="","",IF(SUM(BV68:BZ68)=6,2,IF(SUM(BV68:BZ68)=0,0,1)))</f>
        <v/>
      </c>
      <c r="BV68" s="106">
        <f>IF(AND('(II) Cronograma'!$O$205&lt;&gt;"",'(II) Cronograma'!$AL$205&lt;&gt;""),2,IF(OR('(II) Cronograma'!$O$205&lt;&gt;"",'(II) Cronograma'!$AL$205&lt;&gt;""),1,0))</f>
        <v>2</v>
      </c>
      <c r="BW68" s="106">
        <f>IF(AND('(II) Cronograma'!$O$217&lt;&gt;"",'(II) Cronograma'!$AL$217&lt;&gt;""),2,IF(OR('(II) Cronograma'!$O$217&lt;&gt;"",'(II) Cronograma'!$AL$217&lt;&gt;""),1,0))</f>
        <v>2</v>
      </c>
      <c r="BX68" s="106">
        <f>IF(AND('(II) Cronograma'!$O$229&lt;&gt;"",'(II) Cronograma'!$AL$229&lt;&gt;""),2,IF(OR('(II) Cronograma'!$O$229&lt;&gt;"",'(II) Cronograma'!$AL$229&lt;&gt;""),1,0))</f>
        <v>0</v>
      </c>
      <c r="BY68" s="106" t="s">
        <v>41</v>
      </c>
      <c r="BZ68" s="106" t="s">
        <v>41</v>
      </c>
    </row>
    <row r="69" spans="1:84" ht="9" customHeight="1">
      <c r="A69" s="101"/>
      <c r="B69" s="569" t="s">
        <v>417</v>
      </c>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BF69" s="101"/>
      <c r="BR69" s="111">
        <v>34</v>
      </c>
      <c r="BS69" s="111" t="str">
        <f>IF($BR$12&gt;=1,IF('(I) Plano de Trabalho'!$U$874&gt;=4,34,""))</f>
        <v/>
      </c>
      <c r="BT69" s="112" t="str">
        <f>IF(BT70=1,"",IF(BS69&lt;&gt;"",1,""))</f>
        <v/>
      </c>
      <c r="BU69" s="109" t="str">
        <f>IF(BT69="","",IF(SUM(BV69:BZ69)=8,2,IF(SUM(BV69:BZ69)=0,0,1)))</f>
        <v/>
      </c>
      <c r="BV69" s="106">
        <f>IF(AND('(II) Cronograma'!$O$205&lt;&gt;"",'(II) Cronograma'!$AL$205&lt;&gt;""),2,IF(OR('(II) Cronograma'!$O$205&lt;&gt;"",'(II) Cronograma'!$AL$205&lt;&gt;""),1,0))</f>
        <v>2</v>
      </c>
      <c r="BW69" s="106">
        <f>IF(AND('(II) Cronograma'!$O$217&lt;&gt;"",'(II) Cronograma'!$AL$217&lt;&gt;""),2,IF(OR('(II) Cronograma'!$O$217&lt;&gt;"",'(II) Cronograma'!$AL$217&lt;&gt;""),1,0))</f>
        <v>2</v>
      </c>
      <c r="BX69" s="106">
        <f>IF(AND('(II) Cronograma'!$O$229&lt;&gt;"",'(II) Cronograma'!$AL$229&lt;&gt;""),2,IF(OR('(II) Cronograma'!$O$229&lt;&gt;"",'(II) Cronograma'!$AL$229&lt;&gt;""),1,0))</f>
        <v>0</v>
      </c>
      <c r="BY69" s="106">
        <f>IF(AND('(II) Cronograma'!$O$241&lt;&gt;"",'(II) Cronograma'!$AL$241&lt;&gt;""),2,IF(OR('(II) Cronograma'!$O$241&lt;&gt;"",'(II) Cronograma'!$AL$241&lt;&gt;""),1,0))</f>
        <v>0</v>
      </c>
      <c r="BZ69" s="106" t="s">
        <v>41</v>
      </c>
      <c r="CB69" s="80"/>
      <c r="CC69" s="80"/>
      <c r="CD69" s="80"/>
      <c r="CE69" s="80"/>
      <c r="CF69" s="80"/>
    </row>
    <row r="70" spans="1:84" ht="9" customHeight="1">
      <c r="A70" s="101"/>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BF70" s="101"/>
      <c r="BR70" s="111">
        <v>35</v>
      </c>
      <c r="BS70" s="111" t="str">
        <f>IF($BR$12&gt;=1,IF('(I) Plano de Trabalho'!$U$874&gt;=5,35,""))</f>
        <v/>
      </c>
      <c r="BT70" s="112" t="str">
        <f>IF(BS70&lt;&gt;"",1,"")</f>
        <v/>
      </c>
      <c r="BU70" s="109" t="str">
        <f>IF(BT70="","",IF(SUM(BV70:BZ70)=10,2,IF(SUM(BV70:BZ70)=0,0,1)))</f>
        <v/>
      </c>
      <c r="BV70" s="106">
        <f>IF(AND('(II) Cronograma'!$O$205&lt;&gt;"",'(II) Cronograma'!$AL$205&lt;&gt;""),2,IF(OR('(II) Cronograma'!$O$205&lt;&gt;"",'(II) Cronograma'!$AL$205&lt;&gt;""),1,0))</f>
        <v>2</v>
      </c>
      <c r="BW70" s="106">
        <f>IF(AND('(II) Cronograma'!$O$217&lt;&gt;"",'(II) Cronograma'!$AL$217&lt;&gt;""),2,IF(OR('(II) Cronograma'!$O$217&lt;&gt;"",'(II) Cronograma'!$AL$217&lt;&gt;""),1,0))</f>
        <v>2</v>
      </c>
      <c r="BX70" s="106">
        <f>IF(AND('(II) Cronograma'!$O$229&lt;&gt;"",'(II) Cronograma'!$AL$229&lt;&gt;""),2,IF(OR('(II) Cronograma'!$O$229&lt;&gt;"",'(II) Cronograma'!$AL$229&lt;&gt;""),1,0))</f>
        <v>0</v>
      </c>
      <c r="BY70" s="106">
        <f>IF(AND('(II) Cronograma'!$O$241&lt;&gt;"",'(II) Cronograma'!$AL$241&lt;&gt;""),2,IF(OR('(II) Cronograma'!$O$241&lt;&gt;"",'(II) Cronograma'!$AL$241&lt;&gt;""),1,0))</f>
        <v>0</v>
      </c>
      <c r="BZ70" s="106">
        <f>IF(AND('(II) Cronograma'!$O$253&lt;&gt;"",'(II) Cronograma'!$AL$253&lt;&gt;""),2,IF(OR('(II) Cronograma'!$O$253&lt;&gt;"",'(II) Cronograma'!$AL$253&lt;&gt;""),1,0))</f>
        <v>0</v>
      </c>
      <c r="CB70" s="80"/>
      <c r="CC70" s="80"/>
      <c r="CD70" s="80"/>
      <c r="CE70" s="80"/>
      <c r="CF70" s="80"/>
    </row>
    <row r="71" spans="1:84" ht="4.5" customHeight="1">
      <c r="A71" s="101"/>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4"/>
      <c r="AV71" s="104"/>
      <c r="AW71" s="104"/>
      <c r="AX71" s="104"/>
      <c r="AY71" s="104"/>
      <c r="AZ71" s="104"/>
      <c r="BA71" s="104"/>
      <c r="BB71" s="104"/>
      <c r="BC71" s="104"/>
      <c r="BD71" s="104"/>
      <c r="BE71" s="104"/>
      <c r="BF71" s="101"/>
      <c r="BR71" s="113"/>
      <c r="BS71" s="113"/>
      <c r="BT71" s="113"/>
      <c r="BU71" s="113"/>
      <c r="BV71" s="113"/>
      <c r="BW71" s="78"/>
      <c r="BX71" s="78"/>
      <c r="BY71" s="78"/>
      <c r="BZ71" s="78"/>
      <c r="CB71" s="80"/>
      <c r="CC71" s="80"/>
      <c r="CD71" s="80"/>
      <c r="CE71" s="80"/>
      <c r="CF71" s="173"/>
    </row>
    <row r="72" spans="1:84" ht="7.5" customHeight="1">
      <c r="A72" s="101"/>
      <c r="B72" s="588" t="s">
        <v>418</v>
      </c>
      <c r="C72" s="588"/>
      <c r="D72" s="133"/>
      <c r="E72" s="567" t="s">
        <v>403</v>
      </c>
      <c r="F72" s="567"/>
      <c r="G72" s="567"/>
      <c r="H72" s="567"/>
      <c r="I72" s="567"/>
      <c r="J72" s="567"/>
      <c r="K72" s="567"/>
      <c r="L72" s="567"/>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103"/>
      <c r="AU72" s="584" t="str">
        <f>BJ72</f>
        <v>OK</v>
      </c>
      <c r="AV72" s="584"/>
      <c r="AW72" s="584"/>
      <c r="AX72" s="584"/>
      <c r="AY72" s="584"/>
      <c r="AZ72" s="584"/>
      <c r="BA72" s="584"/>
      <c r="BB72" s="584"/>
      <c r="BC72" s="584"/>
      <c r="BD72" s="584"/>
      <c r="BE72" s="585"/>
      <c r="BF72" s="101"/>
      <c r="BH72" s="108">
        <f>IF(AU72="ok",1,0)</f>
        <v>1</v>
      </c>
      <c r="BJ72" s="109" t="str">
        <f>IF(AND('(III) Formulário Orçamentário'!N19&lt;&gt;"",'(III) Formulário Orçamentário'!N22&lt;&gt;""),"OK",IF(OR('(III) Formulário Orçamentário'!N19&lt;&gt;"",'(III) Formulário Orçamentário'!N22&lt;&gt;""),"Incompleto","Não Preenchido"))</f>
        <v>OK</v>
      </c>
      <c r="BR72" s="111">
        <v>41</v>
      </c>
      <c r="BS72" s="111">
        <f>IF($BR$12&gt;=1,IF('(I) Plano de Trabalho'!$U$997&gt;=1,41,""))</f>
        <v>41</v>
      </c>
      <c r="BT72" s="112" t="str">
        <f>IF(OR(BT76=1,BT75=1,BT74=1,BT73=1),"",IF(BS72&lt;&gt;"",1,""))</f>
        <v/>
      </c>
      <c r="BU72" s="109" t="str">
        <f>IF(BT72="","",IF(SUM(BV72:BZ72)=2,2,IF(SUM(BV72:BZ72)=0,0,1)))</f>
        <v/>
      </c>
      <c r="BV72" s="106">
        <f>IF(AND('(II) Cronograma'!$O$268&lt;&gt;"",'(II) Cronograma'!$AL$268&lt;&gt;""),2,IF(OR('(II) Cronograma'!$O$268&lt;&gt;"",'(II) Cronograma'!$AL$268&lt;&gt;""),1,0))</f>
        <v>2</v>
      </c>
      <c r="BW72" s="106" t="s">
        <v>41</v>
      </c>
      <c r="BX72" s="106" t="s">
        <v>41</v>
      </c>
      <c r="BY72" s="106" t="s">
        <v>41</v>
      </c>
      <c r="BZ72" s="106" t="s">
        <v>41</v>
      </c>
      <c r="CB72" s="80"/>
      <c r="CC72" s="80"/>
      <c r="CD72" s="80"/>
      <c r="CE72" s="80"/>
      <c r="CF72" s="80"/>
    </row>
    <row r="73" spans="1:84" ht="7.5" customHeight="1">
      <c r="A73" s="101"/>
      <c r="B73" s="589"/>
      <c r="C73" s="589"/>
      <c r="D73" s="134"/>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68"/>
      <c r="AL73" s="568"/>
      <c r="AM73" s="568"/>
      <c r="AN73" s="568"/>
      <c r="AO73" s="568"/>
      <c r="AP73" s="568"/>
      <c r="AQ73" s="568"/>
      <c r="AR73" s="568"/>
      <c r="AS73" s="568"/>
      <c r="AT73" s="103"/>
      <c r="AU73" s="586"/>
      <c r="AV73" s="586"/>
      <c r="AW73" s="586"/>
      <c r="AX73" s="586"/>
      <c r="AY73" s="586"/>
      <c r="AZ73" s="586"/>
      <c r="BA73" s="586"/>
      <c r="BB73" s="586"/>
      <c r="BC73" s="586"/>
      <c r="BD73" s="586"/>
      <c r="BE73" s="587"/>
      <c r="BF73" s="101"/>
      <c r="BR73" s="111">
        <v>42</v>
      </c>
      <c r="BS73" s="111">
        <f>IF($BR$12&gt;=1,IF('(I) Plano de Trabalho'!$U$997&gt;=2,42,""))</f>
        <v>42</v>
      </c>
      <c r="BT73" s="112" t="str">
        <f>IF(OR(BT76=1,BT75=1,BT74=1),"",IF(BS73&lt;&gt;"",1,""))</f>
        <v/>
      </c>
      <c r="BU73" s="109" t="str">
        <f>IF(BT73="","",IF(SUM(BV73:BZ73)=4,2,IF(SUM(BV73:BZ73)=0,0,1)))</f>
        <v/>
      </c>
      <c r="BV73" s="106">
        <f>IF(AND('(II) Cronograma'!$O$268&lt;&gt;"",'(II) Cronograma'!$AL$268&lt;&gt;""),2,IF(OR('(II) Cronograma'!$O$268&lt;&gt;"",'(II) Cronograma'!$AL$268&lt;&gt;""),1,0))</f>
        <v>2</v>
      </c>
      <c r="BW73" s="106">
        <f>IF(AND('(II) Cronograma'!$O$280&lt;&gt;"",'(II) Cronograma'!$AL$280&lt;&gt;""),2,IF(OR('(II) Cronograma'!$O$280&lt;&gt;"",'(II) Cronograma'!$AL$280&lt;&gt;""),1,0))</f>
        <v>2</v>
      </c>
      <c r="BX73" s="106" t="s">
        <v>41</v>
      </c>
      <c r="BY73" s="106" t="s">
        <v>41</v>
      </c>
      <c r="BZ73" s="106" t="s">
        <v>41</v>
      </c>
      <c r="CB73" s="173"/>
      <c r="CC73" s="174"/>
      <c r="CD73" s="174"/>
      <c r="CE73" s="174"/>
      <c r="CF73" s="174"/>
    </row>
    <row r="74" spans="1:84" ht="4.5" customHeight="1">
      <c r="A74" s="101"/>
      <c r="B74" s="182"/>
      <c r="C74" s="18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03"/>
      <c r="AU74" s="103"/>
      <c r="AV74" s="103"/>
      <c r="AW74" s="103"/>
      <c r="AX74" s="103"/>
      <c r="AY74" s="103"/>
      <c r="AZ74" s="103"/>
      <c r="BA74" s="103"/>
      <c r="BB74" s="103"/>
      <c r="BC74" s="103"/>
      <c r="BD74" s="103"/>
      <c r="BE74" s="103"/>
      <c r="BF74" s="101"/>
      <c r="BH74" s="110"/>
      <c r="BJ74" s="105"/>
      <c r="BK74" s="105"/>
      <c r="BL74" s="105"/>
      <c r="BM74" s="105"/>
      <c r="BN74" s="107"/>
      <c r="BO74" s="107"/>
      <c r="BP74" s="107"/>
      <c r="BQ74" s="80"/>
      <c r="BR74" s="111">
        <v>43</v>
      </c>
      <c r="BS74" s="111">
        <f>IF($BR$12&gt;=1,IF('(I) Plano de Trabalho'!$U$997&gt;=3,43,""))</f>
        <v>43</v>
      </c>
      <c r="BT74" s="112">
        <f>IF(OR(BT76=1,BT75=1),"",IF(BS74&lt;&gt;"",1,""))</f>
        <v>1</v>
      </c>
      <c r="BU74" s="109">
        <f>IF(BT74="","",IF(SUM(BV74:BZ74)=6,2,IF(SUM(BV74:BZ74)=0,0,1)))</f>
        <v>2</v>
      </c>
      <c r="BV74" s="106">
        <f>IF(AND('(II) Cronograma'!$O$268&lt;&gt;"",'(II) Cronograma'!$AL$268&lt;&gt;""),2,IF(OR('(II) Cronograma'!$O$268&lt;&gt;"",'(II) Cronograma'!$AL$268&lt;&gt;""),1,0))</f>
        <v>2</v>
      </c>
      <c r="BW74" s="106">
        <f>IF(AND('(II) Cronograma'!$O$280&lt;&gt;"",'(II) Cronograma'!$AL$280&lt;&gt;""),2,IF(OR('(II) Cronograma'!$O$280&lt;&gt;"",'(II) Cronograma'!$AL$280&lt;&gt;""),1,0))</f>
        <v>2</v>
      </c>
      <c r="BX74" s="106">
        <f>IF(AND('(II) Cronograma'!$O$292&lt;&gt;"",'(II) Cronograma'!$AL$292&lt;&gt;""),2,IF(OR('(II) Cronograma'!$O$292&lt;&gt;"",'(II) Cronograma'!$AL$292&lt;&gt;""),1,0))</f>
        <v>2</v>
      </c>
      <c r="BY74" s="106" t="s">
        <v>41</v>
      </c>
      <c r="BZ74" s="106" t="s">
        <v>41</v>
      </c>
      <c r="CB74" s="80"/>
      <c r="CC74" s="80"/>
      <c r="CD74" s="80"/>
      <c r="CE74" s="80"/>
      <c r="CF74" s="80"/>
    </row>
    <row r="75" spans="1:84" ht="7.5" customHeight="1">
      <c r="A75" s="101"/>
      <c r="B75" s="588" t="s">
        <v>418</v>
      </c>
      <c r="C75" s="588"/>
      <c r="D75" s="133"/>
      <c r="E75" s="567" t="s">
        <v>408</v>
      </c>
      <c r="F75" s="567"/>
      <c r="G75" s="567"/>
      <c r="H75" s="567"/>
      <c r="I75" s="567"/>
      <c r="J75" s="567"/>
      <c r="K75" s="567"/>
      <c r="L75" s="567"/>
      <c r="M75" s="567"/>
      <c r="N75" s="567"/>
      <c r="O75" s="567"/>
      <c r="P75" s="567"/>
      <c r="Q75" s="567"/>
      <c r="R75" s="567"/>
      <c r="S75" s="567"/>
      <c r="T75" s="567"/>
      <c r="U75" s="567"/>
      <c r="V75" s="567"/>
      <c r="W75" s="567"/>
      <c r="X75" s="567"/>
      <c r="Y75" s="567"/>
      <c r="Z75" s="567"/>
      <c r="AA75" s="567"/>
      <c r="AB75" s="567"/>
      <c r="AC75" s="567"/>
      <c r="AD75" s="567"/>
      <c r="AE75" s="567"/>
      <c r="AF75" s="567"/>
      <c r="AG75" s="567"/>
      <c r="AH75" s="567"/>
      <c r="AI75" s="567"/>
      <c r="AJ75" s="567"/>
      <c r="AK75" s="567"/>
      <c r="AL75" s="567"/>
      <c r="AM75" s="567"/>
      <c r="AN75" s="567"/>
      <c r="AO75" s="567"/>
      <c r="AP75" s="567"/>
      <c r="AQ75" s="567"/>
      <c r="AR75" s="567"/>
      <c r="AS75" s="567"/>
      <c r="AT75" s="103"/>
      <c r="AU75" s="584" t="str">
        <f>IF('(I) Plano de Trabalho'!$O$218="","Não Preenchido",BJ75)</f>
        <v>OK</v>
      </c>
      <c r="AV75" s="584"/>
      <c r="AW75" s="584"/>
      <c r="AX75" s="584"/>
      <c r="AY75" s="584"/>
      <c r="AZ75" s="584"/>
      <c r="BA75" s="584"/>
      <c r="BB75" s="584"/>
      <c r="BC75" s="584"/>
      <c r="BD75" s="584"/>
      <c r="BE75" s="585"/>
      <c r="BF75" s="101"/>
      <c r="BH75" s="108">
        <f>IF(AU75="ok",1,0)</f>
        <v>1</v>
      </c>
      <c r="BJ75" s="109" t="str">
        <f>IF(OR($AU$72="Não Preenchido",$AU$72="Incompleto"),"Inconsistência",IF(('(III) Formulário Orçamentário'!$N$19+'(III) Formulário Orçamentário'!$N$22)=('(III) Formulário Orçamentário'!$N$15),"OK","Inconsistência"))</f>
        <v>OK</v>
      </c>
      <c r="BR75" s="111">
        <v>44</v>
      </c>
      <c r="BS75" s="111" t="str">
        <f>IF($BR$12&gt;=1,IF('(I) Plano de Trabalho'!$U$997&gt;=4,44,""))</f>
        <v/>
      </c>
      <c r="BT75" s="112" t="str">
        <f>IF(BT76=1,"",IF(BS75&lt;&gt;"",1,""))</f>
        <v/>
      </c>
      <c r="BU75" s="109" t="str">
        <f>IF(BT75="","",IF(SUM(BV75:BZ75)=8,2,IF(SUM(BV75:BZ75)=0,0,1)))</f>
        <v/>
      </c>
      <c r="BV75" s="106">
        <f>IF(AND('(II) Cronograma'!$O$268&lt;&gt;"",'(II) Cronograma'!$AL$268&lt;&gt;""),2,IF(OR('(II) Cronograma'!$O$268&lt;&gt;"",'(II) Cronograma'!$AL$268&lt;&gt;""),1,0))</f>
        <v>2</v>
      </c>
      <c r="BW75" s="106">
        <f>IF(AND('(II) Cronograma'!$O$280&lt;&gt;"",'(II) Cronograma'!$AL$280&lt;&gt;""),2,IF(OR('(II) Cronograma'!$O$280&lt;&gt;"",'(II) Cronograma'!$AL$280&lt;&gt;""),1,0))</f>
        <v>2</v>
      </c>
      <c r="BX75" s="106">
        <f>IF(AND('(II) Cronograma'!$O$292&lt;&gt;"",'(II) Cronograma'!$AL$292&lt;&gt;""),2,IF(OR('(II) Cronograma'!$O$292&lt;&gt;"",'(II) Cronograma'!$AL$292&lt;&gt;""),1,0))</f>
        <v>2</v>
      </c>
      <c r="BY75" s="106">
        <f>IF(AND('(II) Cronograma'!$O$304&lt;&gt;"",'(II) Cronograma'!$AL$304&lt;&gt;""),2,IF(OR('(II) Cronograma'!$O$304&lt;&gt;"",'(II) Cronograma'!$AL$304&lt;&gt;""),1,0))</f>
        <v>0</v>
      </c>
      <c r="BZ75" s="106" t="s">
        <v>41</v>
      </c>
      <c r="CB75" s="173"/>
      <c r="CC75" s="174"/>
      <c r="CD75" s="174"/>
      <c r="CE75" s="174"/>
      <c r="CF75" s="174"/>
    </row>
    <row r="76" spans="1:84" ht="7.5" customHeight="1">
      <c r="A76" s="101"/>
      <c r="B76" s="589"/>
      <c r="C76" s="589"/>
      <c r="D76" s="134"/>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103"/>
      <c r="AU76" s="586"/>
      <c r="AV76" s="586"/>
      <c r="AW76" s="586"/>
      <c r="AX76" s="586"/>
      <c r="AY76" s="586"/>
      <c r="AZ76" s="586"/>
      <c r="BA76" s="586"/>
      <c r="BB76" s="586"/>
      <c r="BC76" s="586"/>
      <c r="BD76" s="586"/>
      <c r="BE76" s="587"/>
      <c r="BF76" s="101"/>
      <c r="BR76" s="111">
        <v>45</v>
      </c>
      <c r="BS76" s="111" t="str">
        <f>IF($BR$12&gt;=1,IF('(I) Plano de Trabalho'!$U$997&gt;=5,45,""))</f>
        <v/>
      </c>
      <c r="BT76" s="112" t="str">
        <f>IF(BS76&lt;&gt;"",1,"")</f>
        <v/>
      </c>
      <c r="BU76" s="109" t="str">
        <f>IF(BT76="","",IF(SUM(BV76:BZ76)=10,2,IF(SUM(BV76:BZ76)=0,0,1)))</f>
        <v/>
      </c>
      <c r="BV76" s="106">
        <f>IF(AND('(II) Cronograma'!$O$268&lt;&gt;"",'(II) Cronograma'!$AL$268&lt;&gt;""),2,IF(OR('(II) Cronograma'!$O$268&lt;&gt;"",'(II) Cronograma'!$AL$268&lt;&gt;""),1,0))</f>
        <v>2</v>
      </c>
      <c r="BW76" s="106">
        <f>IF(AND('(II) Cronograma'!$O$280&lt;&gt;"",'(II) Cronograma'!$AL$280&lt;&gt;""),2,IF(OR('(II) Cronograma'!$O$280&lt;&gt;"",'(II) Cronograma'!$AL$280&lt;&gt;""),1,0))</f>
        <v>2</v>
      </c>
      <c r="BX76" s="106">
        <f>IF(AND('(II) Cronograma'!$O$292&lt;&gt;"",'(II) Cronograma'!$AL$292&lt;&gt;""),2,IF(OR('(II) Cronograma'!$O$292&lt;&gt;"",'(II) Cronograma'!$AL$292&lt;&gt;""),1,0))</f>
        <v>2</v>
      </c>
      <c r="BY76" s="106">
        <f>IF(AND('(II) Cronograma'!$O$304&lt;&gt;"",'(II) Cronograma'!$AL$304&lt;&gt;""),2,IF(OR('(II) Cronograma'!$O$304&lt;&gt;"",'(II) Cronograma'!$AL$304&lt;&gt;""),1,0))</f>
        <v>0</v>
      </c>
      <c r="BZ76" s="106">
        <f>IF(AND('(II) Cronograma'!$O$316&lt;&gt;"",'(II) Cronograma'!$AL$316&lt;&gt;""),2,IF(OR('(II) Cronograma'!$O$316&lt;&gt;"",'(II) Cronograma'!$AL$316&lt;&gt;""),1,0))</f>
        <v>0</v>
      </c>
      <c r="CB76" s="173"/>
      <c r="CC76" s="174"/>
      <c r="CD76" s="174"/>
      <c r="CE76" s="174"/>
      <c r="CF76" s="174"/>
    </row>
    <row r="77" spans="1:84" ht="4.5" customHeight="1">
      <c r="A77" s="101"/>
      <c r="B77" s="183"/>
      <c r="C77" s="18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4"/>
      <c r="AV77" s="104"/>
      <c r="AW77" s="104"/>
      <c r="AX77" s="104"/>
      <c r="AY77" s="104"/>
      <c r="AZ77" s="104"/>
      <c r="BA77" s="104"/>
      <c r="BB77" s="104"/>
      <c r="BC77" s="104"/>
      <c r="BD77" s="104"/>
      <c r="BE77" s="104"/>
      <c r="BF77" s="101"/>
      <c r="CB77" s="173"/>
      <c r="CC77" s="174"/>
      <c r="CD77" s="174"/>
      <c r="CE77" s="174"/>
      <c r="CF77" s="174"/>
    </row>
    <row r="78" spans="1:84" ht="7.5" customHeight="1">
      <c r="A78" s="101"/>
      <c r="B78" s="588" t="s">
        <v>419</v>
      </c>
      <c r="C78" s="588"/>
      <c r="D78" s="133"/>
      <c r="E78" s="567" t="s">
        <v>404</v>
      </c>
      <c r="F78" s="567"/>
      <c r="G78" s="567"/>
      <c r="H78" s="567"/>
      <c r="I78" s="567"/>
      <c r="J78" s="567"/>
      <c r="K78" s="567"/>
      <c r="L78" s="567"/>
      <c r="M78" s="567"/>
      <c r="N78" s="567"/>
      <c r="O78" s="567"/>
      <c r="P78" s="567"/>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103"/>
      <c r="AU78" s="584" t="str">
        <f>BJ78</f>
        <v>OK</v>
      </c>
      <c r="AV78" s="584"/>
      <c r="AW78" s="584"/>
      <c r="AX78" s="584"/>
      <c r="AY78" s="584"/>
      <c r="AZ78" s="584"/>
      <c r="BA78" s="584"/>
      <c r="BB78" s="584"/>
      <c r="BC78" s="584"/>
      <c r="BD78" s="584"/>
      <c r="BE78" s="585"/>
      <c r="BF78" s="101"/>
      <c r="BH78" s="108">
        <f>IF(AU78="ok",1,0)</f>
        <v>1</v>
      </c>
      <c r="BJ78" s="109" t="str">
        <f>IF('(III) Formulário Orçamentário'!$AV$115=0,"Não Preenchido",IF('(III) Formulário Orçamentário'!$AV$115='(III) Formulário Orçamentário'!$N$15,"OK","Inconsistência"))</f>
        <v>OK</v>
      </c>
      <c r="BR78" s="111">
        <v>51</v>
      </c>
      <c r="BS78" s="111">
        <f>IF($BR$12&gt;=1,IF('(I) Plano de Trabalho'!$U$1120&gt;=1,51,""))</f>
        <v>51</v>
      </c>
      <c r="BT78" s="112" t="str">
        <f>IF(OR(BT82=1,BT81=1,BT80=1,BT79=1),"",IF(BS78&lt;&gt;"",1,""))</f>
        <v/>
      </c>
      <c r="BU78" s="109" t="str">
        <f>IF(BT78="","",IF(SUM(BV78:BZ78)=2,2,IF(SUM(BV78:BZ78)=0,0,1)))</f>
        <v/>
      </c>
      <c r="BV78" s="106">
        <f>IF(AND('(II) Cronograma'!$O$331&lt;&gt;"",'(II) Cronograma'!$AL$331&lt;&gt;""),2,IF(OR('(II) Cronograma'!$O$331&lt;&gt;"",'(II) Cronograma'!$AL$331&lt;&gt;""),1,0))</f>
        <v>2</v>
      </c>
      <c r="BW78" s="106" t="s">
        <v>41</v>
      </c>
      <c r="BX78" s="106" t="s">
        <v>41</v>
      </c>
      <c r="BY78" s="106" t="s">
        <v>41</v>
      </c>
      <c r="BZ78" s="106" t="s">
        <v>41</v>
      </c>
      <c r="CB78" s="173"/>
      <c r="CC78" s="174"/>
      <c r="CD78" s="174"/>
      <c r="CE78" s="174"/>
      <c r="CF78" s="174"/>
    </row>
    <row r="79" spans="1:84" ht="7.5" customHeight="1">
      <c r="A79" s="101"/>
      <c r="B79" s="589"/>
      <c r="C79" s="589"/>
      <c r="D79" s="134"/>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103"/>
      <c r="AU79" s="586"/>
      <c r="AV79" s="586"/>
      <c r="AW79" s="586"/>
      <c r="AX79" s="586"/>
      <c r="AY79" s="586"/>
      <c r="AZ79" s="586"/>
      <c r="BA79" s="586"/>
      <c r="BB79" s="586"/>
      <c r="BC79" s="586"/>
      <c r="BD79" s="586"/>
      <c r="BE79" s="587"/>
      <c r="BF79" s="101"/>
      <c r="BR79" s="111">
        <v>52</v>
      </c>
      <c r="BS79" s="111">
        <f>IF($BR$12&gt;=1,IF('(I) Plano de Trabalho'!$U$1120&gt;=2,52,""))</f>
        <v>52</v>
      </c>
      <c r="BT79" s="112">
        <f>IF(OR(BT82=1,BT81=1,BT80=1),"",IF(BS79&lt;&gt;"",1,""))</f>
        <v>1</v>
      </c>
      <c r="BU79" s="109">
        <f>IF(BT79="","",IF(SUM(BV79:BZ79)=4,2,IF(SUM(BV79:BZ79)=0,0,1)))</f>
        <v>2</v>
      </c>
      <c r="BV79" s="106">
        <f>IF(AND('(II) Cronograma'!$O$331&lt;&gt;"",'(II) Cronograma'!$AL$331&lt;&gt;""),2,IF(OR('(II) Cronograma'!$O$331&lt;&gt;"",'(II) Cronograma'!$AL$331&lt;&gt;""),1,0))</f>
        <v>2</v>
      </c>
      <c r="BW79" s="106">
        <f>IF(AND('(II) Cronograma'!$O$343&lt;&gt;"",'(II) Cronograma'!$AL$343&lt;&gt;""),2,IF(OR('(II) Cronograma'!$O$343&lt;&gt;"",'(II) Cronograma'!$AL$343&lt;&gt;""),1,0))</f>
        <v>2</v>
      </c>
      <c r="BX79" s="106" t="s">
        <v>41</v>
      </c>
      <c r="BY79" s="106" t="s">
        <v>41</v>
      </c>
      <c r="BZ79" s="106" t="s">
        <v>41</v>
      </c>
      <c r="CB79" s="80"/>
      <c r="CC79" s="175"/>
      <c r="CD79" s="175"/>
      <c r="CE79" s="175"/>
      <c r="CF79" s="175"/>
    </row>
    <row r="80" spans="1:84" ht="4.5" customHeight="1">
      <c r="A80" s="101"/>
      <c r="B80" s="183"/>
      <c r="C80" s="18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4"/>
      <c r="AV80" s="104"/>
      <c r="AW80" s="104"/>
      <c r="AX80" s="104"/>
      <c r="AY80" s="104"/>
      <c r="AZ80" s="104"/>
      <c r="BA80" s="104"/>
      <c r="BB80" s="104"/>
      <c r="BC80" s="104"/>
      <c r="BD80" s="104"/>
      <c r="BE80" s="104"/>
      <c r="BF80" s="101"/>
      <c r="BR80" s="111">
        <v>53</v>
      </c>
      <c r="BS80" s="111" t="str">
        <f>IF($BR$12&gt;=1,IF('(I) Plano de Trabalho'!$U$1120&gt;=3,53,""))</f>
        <v/>
      </c>
      <c r="BT80" s="112" t="str">
        <f>IF(OR(BT82=1,BT81=1),"",IF(BS80&lt;&gt;"",1,""))</f>
        <v/>
      </c>
      <c r="BU80" s="109" t="str">
        <f>IF(BT80="","",IF(SUM(BV80:BZ80)=6,2,IF(SUM(BV80:BZ80)=0,0,1)))</f>
        <v/>
      </c>
      <c r="BV80" s="106">
        <f>IF(AND('(II) Cronograma'!$O$331&lt;&gt;"",'(II) Cronograma'!$AL$331&lt;&gt;""),2,IF(OR('(II) Cronograma'!$O$331&lt;&gt;"",'(II) Cronograma'!$AL$331&lt;&gt;""),1,0))</f>
        <v>2</v>
      </c>
      <c r="BW80" s="106">
        <f>IF(AND('(II) Cronograma'!$O$343&lt;&gt;"",'(II) Cronograma'!$AL$343&lt;&gt;""),2,IF(OR('(II) Cronograma'!$O$343&lt;&gt;"",'(II) Cronograma'!$AL$343&lt;&gt;""),1,0))</f>
        <v>2</v>
      </c>
      <c r="BX80" s="106">
        <f>IF(AND('(II) Cronograma'!$O$355&lt;&gt;"",'(II) Cronograma'!$AL$355&lt;&gt;""),2,IF(OR('(II) Cronograma'!$O$355&lt;&gt;"",'(II) Cronograma'!$AL$355&lt;&gt;""),1,0))</f>
        <v>0</v>
      </c>
      <c r="BY80" s="106" t="s">
        <v>41</v>
      </c>
      <c r="BZ80" s="106" t="s">
        <v>41</v>
      </c>
      <c r="CB80" s="173"/>
      <c r="CC80" s="174"/>
      <c r="CD80" s="174"/>
      <c r="CE80" s="174"/>
      <c r="CF80" s="174"/>
    </row>
    <row r="81" spans="1:84" ht="8.1" customHeight="1">
      <c r="A81" s="101"/>
      <c r="B81" s="588" t="s">
        <v>420</v>
      </c>
      <c r="C81" s="588"/>
      <c r="D81" s="133"/>
      <c r="E81" s="567" t="s">
        <v>405</v>
      </c>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7"/>
      <c r="AN81" s="567"/>
      <c r="AO81" s="567"/>
      <c r="AP81" s="567"/>
      <c r="AQ81" s="567"/>
      <c r="AR81" s="567"/>
      <c r="AS81" s="567"/>
      <c r="AT81" s="103"/>
      <c r="AU81" s="584" t="str">
        <f>BJ81</f>
        <v>OK</v>
      </c>
      <c r="AV81" s="584"/>
      <c r="AW81" s="584"/>
      <c r="AX81" s="584"/>
      <c r="AY81" s="584"/>
      <c r="AZ81" s="584"/>
      <c r="BA81" s="584"/>
      <c r="BB81" s="584"/>
      <c r="BC81" s="584"/>
      <c r="BD81" s="584"/>
      <c r="BE81" s="585"/>
      <c r="BF81" s="101"/>
      <c r="BH81" s="108">
        <f>IF(AU81="ok",1,0)</f>
        <v>1</v>
      </c>
      <c r="BJ81" s="109" t="str">
        <f>IF(SUM('(III) Formulário Orçamentário'!$AB$115:$AU$115)=0,"Não Preenchido",IF(SUM('(III) Formulário Orçamentário'!$AB$115:$AU$115)='(III) Formulário Orçamentário'!$N$15,"OK","Inconsistência"))</f>
        <v>OK</v>
      </c>
      <c r="BR81" s="111">
        <v>54</v>
      </c>
      <c r="BS81" s="111" t="str">
        <f>IF($BR$12&gt;=1,IF('(I) Plano de Trabalho'!$U$1120&gt;=4,54,""))</f>
        <v/>
      </c>
      <c r="BT81" s="112" t="str">
        <f>IF(BT82=1,"",IF(BS81&lt;&gt;"",1,""))</f>
        <v/>
      </c>
      <c r="BU81" s="109" t="str">
        <f>IF(BT81="","",IF(SUM(BV81:BZ81)=8,2,IF(SUM(BV81:BZ81)=0,0,1)))</f>
        <v/>
      </c>
      <c r="BV81" s="106">
        <f>IF(AND('(II) Cronograma'!$O$331&lt;&gt;"",'(II) Cronograma'!$AL$331&lt;&gt;""),2,IF(OR('(II) Cronograma'!$O$331&lt;&gt;"",'(II) Cronograma'!$AL$331&lt;&gt;""),1,0))</f>
        <v>2</v>
      </c>
      <c r="BW81" s="106">
        <f>IF(AND('(II) Cronograma'!$O$343&lt;&gt;"",'(II) Cronograma'!$AL$343&lt;&gt;""),2,IF(OR('(II) Cronograma'!$O$343&lt;&gt;"",'(II) Cronograma'!$AL$343&lt;&gt;""),1,0))</f>
        <v>2</v>
      </c>
      <c r="BX81" s="106">
        <f>IF(AND('(II) Cronograma'!$O$355&lt;&gt;"",'(II) Cronograma'!$AL$355&lt;&gt;""),2,IF(OR('(II) Cronograma'!$O$355&lt;&gt;"",'(II) Cronograma'!$AL$355&lt;&gt;""),1,0))</f>
        <v>0</v>
      </c>
      <c r="BY81" s="106">
        <f>IF(AND('(II) Cronograma'!$O$367&lt;&gt;"",'(II) Cronograma'!$AL$367&lt;&gt;""),2,IF(OR('(II) Cronograma'!$O$367&lt;&gt;"",'(II) Cronograma'!$AL$367&lt;&gt;""),1,0))</f>
        <v>0</v>
      </c>
      <c r="BZ81" s="106" t="s">
        <v>41</v>
      </c>
      <c r="CB81" s="173"/>
      <c r="CC81" s="174"/>
      <c r="CD81" s="174"/>
      <c r="CE81" s="174"/>
      <c r="CF81" s="174"/>
    </row>
    <row r="82" spans="1:84" ht="8.1" customHeight="1">
      <c r="A82" s="101"/>
      <c r="B82" s="589"/>
      <c r="C82" s="589"/>
      <c r="D82" s="134"/>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68"/>
      <c r="AL82" s="568"/>
      <c r="AM82" s="568"/>
      <c r="AN82" s="568"/>
      <c r="AO82" s="568"/>
      <c r="AP82" s="568"/>
      <c r="AQ82" s="568"/>
      <c r="AR82" s="568"/>
      <c r="AS82" s="568"/>
      <c r="AT82" s="103"/>
      <c r="AU82" s="586"/>
      <c r="AV82" s="586"/>
      <c r="AW82" s="586"/>
      <c r="AX82" s="586"/>
      <c r="AY82" s="586"/>
      <c r="AZ82" s="586"/>
      <c r="BA82" s="586"/>
      <c r="BB82" s="586"/>
      <c r="BC82" s="586"/>
      <c r="BD82" s="586"/>
      <c r="BE82" s="587"/>
      <c r="BF82" s="101"/>
      <c r="BR82" s="111">
        <v>55</v>
      </c>
      <c r="BS82" s="111" t="str">
        <f>IF($BR$12&gt;=1,IF('(I) Plano de Trabalho'!$U$1120&gt;=5,55,""))</f>
        <v/>
      </c>
      <c r="BT82" s="112" t="str">
        <f>IF(BS82&lt;&gt;"",1,"")</f>
        <v/>
      </c>
      <c r="BU82" s="109" t="str">
        <f>IF(BT82="","",IF(SUM(BV82:BZ82)=10,2,IF(SUM(BV82:BZ82)=0,0,1)))</f>
        <v/>
      </c>
      <c r="BV82" s="106">
        <f>IF(AND('(II) Cronograma'!$O$331&lt;&gt;"",'(II) Cronograma'!$AL$331&lt;&gt;""),2,IF(OR('(II) Cronograma'!$O$331&lt;&gt;"",'(II) Cronograma'!$AL$331&lt;&gt;""),1,0))</f>
        <v>2</v>
      </c>
      <c r="BW82" s="106">
        <f>IF(AND('(II) Cronograma'!$O$343&lt;&gt;"",'(II) Cronograma'!$AL$343&lt;&gt;""),2,IF(OR('(II) Cronograma'!$O$343&lt;&gt;"",'(II) Cronograma'!$AL$343&lt;&gt;""),1,0))</f>
        <v>2</v>
      </c>
      <c r="BX82" s="106">
        <f>IF(AND('(II) Cronograma'!$O$355&lt;&gt;"",'(II) Cronograma'!$AL$355&lt;&gt;""),2,IF(OR('(II) Cronograma'!$O$355&lt;&gt;"",'(II) Cronograma'!$AL$355&lt;&gt;""),1,0))</f>
        <v>0</v>
      </c>
      <c r="BY82" s="106">
        <f>IF(AND('(II) Cronograma'!$O$367&lt;&gt;"",'(II) Cronograma'!$AL$367&lt;&gt;""),2,IF(OR('(II) Cronograma'!$O$367&lt;&gt;"",'(II) Cronograma'!$AL$367&lt;&gt;""),1,0))</f>
        <v>0</v>
      </c>
      <c r="BZ82" s="106">
        <f>IF(AND('(II) Cronograma'!$O$379&lt;&gt;"",'(II) Cronograma'!$AL$379&lt;&gt;""),2,IF(OR('(II) Cronograma'!$O$379&lt;&gt;"",'(II) Cronograma'!$AL$379&lt;&gt;""),1,0))</f>
        <v>0</v>
      </c>
      <c r="CB82" s="173"/>
      <c r="CC82" s="174"/>
      <c r="CD82" s="174"/>
      <c r="CE82" s="174"/>
      <c r="CF82" s="174"/>
    </row>
    <row r="83" spans="1:84" ht="4.5" customHeight="1">
      <c r="A83" s="101"/>
      <c r="B83" s="184"/>
      <c r="C83" s="184"/>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4"/>
      <c r="AV83" s="104"/>
      <c r="AW83" s="104"/>
      <c r="AX83" s="104"/>
      <c r="AY83" s="104"/>
      <c r="AZ83" s="104"/>
      <c r="BA83" s="104"/>
      <c r="BB83" s="104"/>
      <c r="BC83" s="104"/>
      <c r="BD83" s="104"/>
      <c r="BE83" s="104"/>
      <c r="BF83" s="101"/>
      <c r="CB83" s="173"/>
      <c r="CC83" s="174"/>
      <c r="CD83" s="174"/>
      <c r="CE83" s="174"/>
      <c r="CF83" s="174"/>
    </row>
    <row r="84" spans="1:84" ht="7.5" customHeight="1">
      <c r="A84" s="101"/>
      <c r="B84" s="588" t="s">
        <v>421</v>
      </c>
      <c r="C84" s="588"/>
      <c r="D84" s="133"/>
      <c r="E84" s="567" t="s">
        <v>407</v>
      </c>
      <c r="F84" s="567"/>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567"/>
      <c r="AM84" s="567"/>
      <c r="AN84" s="567"/>
      <c r="AO84" s="567"/>
      <c r="AP84" s="567"/>
      <c r="AQ84" s="567"/>
      <c r="AR84" s="567"/>
      <c r="AS84" s="567"/>
      <c r="AT84" s="103"/>
      <c r="AU84" s="584" t="str">
        <f>BJ84</f>
        <v>Não Preenchido</v>
      </c>
      <c r="AV84" s="584"/>
      <c r="AW84" s="584"/>
      <c r="AX84" s="584"/>
      <c r="AY84" s="584"/>
      <c r="AZ84" s="584"/>
      <c r="BA84" s="584"/>
      <c r="BB84" s="584"/>
      <c r="BC84" s="584"/>
      <c r="BD84" s="584"/>
      <c r="BE84" s="585"/>
      <c r="BF84" s="101"/>
      <c r="BH84" s="108">
        <f>IF(AU84="ok",1,0)</f>
        <v>0</v>
      </c>
      <c r="BJ84" s="109" t="str">
        <f>IF(SUM('(III) Formulário Orçamentário'!$AB$147:$AU$147)=0,"Não Preenchido",IF(SUM('(III) Formulário Orçamentário'!$AB$147:$AU$147)&lt;&gt;'(III) Formulário Orçamentário'!$N$12,"Inconsistência","OK"))</f>
        <v>Não Preenchido</v>
      </c>
      <c r="CB84" s="173"/>
      <c r="CC84" s="174"/>
      <c r="CD84" s="174"/>
      <c r="CE84" s="174"/>
      <c r="CF84" s="174"/>
    </row>
    <row r="85" spans="1:84" ht="7.5" customHeight="1">
      <c r="A85" s="101"/>
      <c r="B85" s="589"/>
      <c r="C85" s="589"/>
      <c r="D85" s="134"/>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8"/>
      <c r="AN85" s="568"/>
      <c r="AO85" s="568"/>
      <c r="AP85" s="568"/>
      <c r="AQ85" s="568"/>
      <c r="AR85" s="568"/>
      <c r="AS85" s="568"/>
      <c r="AT85" s="103"/>
      <c r="AU85" s="586"/>
      <c r="AV85" s="586"/>
      <c r="AW85" s="586"/>
      <c r="AX85" s="586"/>
      <c r="AY85" s="586"/>
      <c r="AZ85" s="586"/>
      <c r="BA85" s="586"/>
      <c r="BB85" s="586"/>
      <c r="BC85" s="586"/>
      <c r="BD85" s="586"/>
      <c r="BE85" s="587"/>
      <c r="BF85" s="101"/>
      <c r="CB85" s="80"/>
      <c r="CC85" s="80"/>
      <c r="CD85" s="80"/>
      <c r="CE85" s="80"/>
      <c r="CF85" s="80"/>
    </row>
    <row r="86" spans="1:84" ht="4.5" customHeight="1">
      <c r="A86" s="101"/>
      <c r="B86" s="184"/>
      <c r="C86" s="184"/>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32"/>
      <c r="AU86" s="132"/>
      <c r="AV86" s="132"/>
      <c r="AW86" s="132"/>
      <c r="AX86" s="132"/>
      <c r="AY86" s="132"/>
      <c r="AZ86" s="132"/>
      <c r="BA86" s="132"/>
      <c r="BB86" s="132"/>
      <c r="BC86" s="132"/>
      <c r="BD86" s="132"/>
      <c r="BE86" s="132"/>
      <c r="BF86" s="101"/>
      <c r="BH86" s="110"/>
      <c r="BJ86" s="105"/>
      <c r="BK86" s="105"/>
      <c r="BL86" s="105"/>
      <c r="BM86" s="105"/>
      <c r="BN86" s="107"/>
      <c r="BO86" s="107"/>
      <c r="BP86" s="107"/>
      <c r="BQ86" s="80"/>
      <c r="BR86" s="173"/>
      <c r="BS86" s="173"/>
      <c r="BT86" s="174"/>
      <c r="BU86" s="174"/>
      <c r="BV86" s="174"/>
      <c r="BW86" s="174"/>
      <c r="BX86" s="174"/>
      <c r="BY86" s="174"/>
      <c r="BZ86" s="174"/>
    </row>
    <row r="87" spans="1:84" ht="8.1" customHeight="1">
      <c r="A87" s="101"/>
      <c r="B87" s="588" t="s">
        <v>422</v>
      </c>
      <c r="C87" s="588"/>
      <c r="D87" s="133"/>
      <c r="E87" s="567" t="s">
        <v>423</v>
      </c>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7"/>
      <c r="AM87" s="567"/>
      <c r="AN87" s="567"/>
      <c r="AO87" s="567"/>
      <c r="AP87" s="567"/>
      <c r="AQ87" s="567"/>
      <c r="AR87" s="567"/>
      <c r="AS87" s="567"/>
      <c r="AT87" s="132"/>
      <c r="AU87" s="580" t="str">
        <f>BJ87</f>
        <v>Incompleto</v>
      </c>
      <c r="AV87" s="580"/>
      <c r="AW87" s="580"/>
      <c r="AX87" s="580"/>
      <c r="AY87" s="580"/>
      <c r="AZ87" s="580"/>
      <c r="BA87" s="580"/>
      <c r="BB87" s="580"/>
      <c r="BC87" s="580"/>
      <c r="BD87" s="580"/>
      <c r="BE87" s="581"/>
      <c r="BF87" s="101"/>
      <c r="BH87" s="108">
        <f>IF(OR((AU87="ok"),(AU87="Não se Aplica")),1,0)</f>
        <v>0</v>
      </c>
      <c r="BJ87" s="109" t="str">
        <f>IF('(IV) Termo de Referência'!$BB$29=0,"Não se Aplica",IF('(IV) Termo de Referência'!$BB$29&lt;=7,"OK","Incompleto"))</f>
        <v>Incompleto</v>
      </c>
      <c r="BK87" s="105"/>
      <c r="BL87" s="105"/>
      <c r="BR87" s="80"/>
      <c r="BS87" s="80"/>
      <c r="BT87" s="80"/>
      <c r="BU87" s="80"/>
      <c r="BV87" s="80"/>
      <c r="BW87" s="80"/>
      <c r="BX87" s="80"/>
      <c r="BY87" s="80"/>
      <c r="BZ87" s="80"/>
    </row>
    <row r="88" spans="1:84" ht="8.1" customHeight="1">
      <c r="A88" s="101"/>
      <c r="B88" s="589"/>
      <c r="C88" s="589"/>
      <c r="D88" s="134"/>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68"/>
      <c r="AL88" s="568"/>
      <c r="AM88" s="568"/>
      <c r="AN88" s="568"/>
      <c r="AO88" s="568"/>
      <c r="AP88" s="568"/>
      <c r="AQ88" s="568"/>
      <c r="AR88" s="568"/>
      <c r="AS88" s="568"/>
      <c r="AT88" s="132"/>
      <c r="AU88" s="582"/>
      <c r="AV88" s="582"/>
      <c r="AW88" s="582"/>
      <c r="AX88" s="582"/>
      <c r="AY88" s="582"/>
      <c r="AZ88" s="582"/>
      <c r="BA88" s="582"/>
      <c r="BB88" s="582"/>
      <c r="BC88" s="582"/>
      <c r="BD88" s="582"/>
      <c r="BE88" s="583"/>
      <c r="BF88" s="101"/>
      <c r="BJ88" s="80"/>
      <c r="BK88" s="80"/>
      <c r="BR88" s="80"/>
      <c r="BS88" s="80"/>
      <c r="BT88" s="80"/>
      <c r="BU88" s="80"/>
      <c r="BV88" s="80"/>
      <c r="BW88" s="80"/>
      <c r="BX88" s="80"/>
      <c r="BY88" s="80"/>
      <c r="BZ88" s="80"/>
    </row>
    <row r="89" spans="1:84" ht="4.5" customHeight="1">
      <c r="A89" s="101"/>
      <c r="B89" s="165"/>
      <c r="C89" s="165"/>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62"/>
      <c r="AV89" s="162"/>
      <c r="AW89" s="162"/>
      <c r="AX89" s="162"/>
      <c r="AY89" s="162"/>
      <c r="AZ89" s="162"/>
      <c r="BA89" s="162"/>
      <c r="BB89" s="162"/>
      <c r="BC89" s="162"/>
      <c r="BD89" s="162"/>
      <c r="BE89" s="162"/>
      <c r="BF89" s="101"/>
      <c r="BJ89" s="80"/>
      <c r="BK89" s="80"/>
      <c r="BR89" s="80"/>
      <c r="BS89" s="80"/>
      <c r="BT89" s="80"/>
      <c r="BU89" s="80"/>
      <c r="BV89" s="80"/>
      <c r="BW89" s="80"/>
      <c r="BX89" s="80"/>
      <c r="BY89" s="80"/>
      <c r="BZ89" s="80"/>
    </row>
    <row r="90" spans="1:84" ht="9" customHeight="1">
      <c r="A90" s="101"/>
      <c r="B90" s="163"/>
      <c r="C90" s="163"/>
      <c r="D90" s="132"/>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32"/>
      <c r="AU90" s="167"/>
      <c r="AV90" s="167"/>
      <c r="AW90" s="167"/>
      <c r="AX90" s="167"/>
      <c r="AY90" s="167"/>
      <c r="AZ90" s="167"/>
      <c r="BA90" s="167"/>
      <c r="BB90" s="167"/>
      <c r="BC90" s="167"/>
      <c r="BD90" s="167"/>
      <c r="BE90" s="167"/>
      <c r="BF90" s="101"/>
      <c r="BJ90" s="174"/>
      <c r="BK90" s="174"/>
      <c r="BR90" s="80"/>
      <c r="BS90" s="80"/>
      <c r="BT90" s="80"/>
      <c r="BU90" s="80"/>
      <c r="BV90" s="80"/>
      <c r="BW90" s="80"/>
      <c r="BX90" s="80"/>
      <c r="BY90" s="80"/>
      <c r="BZ90" s="80"/>
    </row>
    <row r="91" spans="1:84" ht="8.1" hidden="1" customHeight="1">
      <c r="A91" s="101"/>
      <c r="B91" s="163"/>
      <c r="C91" s="163"/>
      <c r="D91" s="132"/>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32"/>
      <c r="AU91" s="167"/>
      <c r="AV91" s="167"/>
      <c r="AW91" s="167"/>
      <c r="AX91" s="167"/>
      <c r="AY91" s="167"/>
      <c r="AZ91" s="167"/>
      <c r="BA91" s="167"/>
      <c r="BB91" s="167"/>
      <c r="BC91" s="167"/>
      <c r="BD91" s="167"/>
      <c r="BE91" s="167"/>
      <c r="BF91" s="101"/>
      <c r="BR91" s="80"/>
      <c r="BS91" s="80"/>
      <c r="BT91" s="80"/>
      <c r="BU91" s="80"/>
      <c r="BV91" s="80"/>
      <c r="BW91" s="80"/>
      <c r="BX91" s="80"/>
      <c r="BY91" s="80"/>
      <c r="BZ91" s="80"/>
    </row>
    <row r="92" spans="1:84" ht="9" hidden="1" customHeight="1">
      <c r="A92" s="101"/>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4"/>
      <c r="AV92" s="104"/>
      <c r="AW92" s="104"/>
      <c r="AX92" s="104"/>
      <c r="AY92" s="104"/>
      <c r="AZ92" s="104"/>
      <c r="BA92" s="104"/>
      <c r="BB92" s="104"/>
      <c r="BC92" s="104"/>
      <c r="BD92" s="104"/>
      <c r="BE92" s="104"/>
      <c r="BF92" s="101"/>
      <c r="BR92" s="80"/>
      <c r="BS92" s="80"/>
      <c r="BT92" s="80"/>
      <c r="BU92" s="80"/>
      <c r="BV92" s="80"/>
      <c r="BW92" s="80"/>
      <c r="BX92" s="80"/>
      <c r="BY92" s="80"/>
      <c r="BZ92" s="80"/>
    </row>
    <row r="93" spans="1:84" ht="9" hidden="1" customHeight="1">
      <c r="A93" s="10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32"/>
      <c r="AG93" s="132"/>
      <c r="AH93" s="132"/>
      <c r="AI93" s="132"/>
      <c r="AJ93" s="132"/>
      <c r="AK93" s="132"/>
      <c r="AL93" s="132"/>
      <c r="AM93" s="132"/>
      <c r="AN93" s="132"/>
      <c r="AO93" s="132"/>
      <c r="AP93" s="132"/>
      <c r="AQ93" s="132"/>
      <c r="AR93" s="132"/>
      <c r="AS93" s="132"/>
      <c r="AT93" s="132"/>
      <c r="AU93" s="162"/>
      <c r="AV93" s="162"/>
      <c r="AW93" s="162"/>
      <c r="AX93" s="162"/>
      <c r="AY93" s="162"/>
      <c r="AZ93" s="162"/>
      <c r="BA93" s="162"/>
      <c r="BB93" s="162"/>
      <c r="BC93" s="162"/>
      <c r="BD93" s="162"/>
      <c r="BE93" s="162"/>
      <c r="BF93" s="101"/>
      <c r="BR93" s="80"/>
      <c r="BS93" s="80"/>
      <c r="BT93" s="80"/>
      <c r="BU93" s="80"/>
      <c r="BV93" s="80"/>
      <c r="BW93" s="80"/>
      <c r="BX93" s="80"/>
      <c r="BY93" s="80"/>
      <c r="BZ93" s="80"/>
    </row>
    <row r="94" spans="1:84" ht="9" hidden="1" customHeight="1">
      <c r="A94" s="10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32"/>
      <c r="AG94" s="132"/>
      <c r="AH94" s="132"/>
      <c r="AI94" s="132"/>
      <c r="AJ94" s="132"/>
      <c r="AK94" s="132"/>
      <c r="AL94" s="132"/>
      <c r="AM94" s="132"/>
      <c r="AN94" s="132"/>
      <c r="AO94" s="132"/>
      <c r="AP94" s="132"/>
      <c r="AQ94" s="132"/>
      <c r="AR94" s="132"/>
      <c r="AS94" s="132"/>
      <c r="AT94" s="132"/>
      <c r="AU94" s="162"/>
      <c r="AV94" s="162"/>
      <c r="AW94" s="162"/>
      <c r="AX94" s="162"/>
      <c r="AY94" s="162"/>
      <c r="AZ94" s="162"/>
      <c r="BA94" s="162"/>
      <c r="BB94" s="162"/>
      <c r="BC94" s="162"/>
      <c r="BD94" s="162"/>
      <c r="BE94" s="162"/>
      <c r="BF94" s="101"/>
      <c r="BR94" s="80"/>
      <c r="BS94" s="80"/>
      <c r="BT94" s="80"/>
      <c r="BU94" s="80"/>
      <c r="BV94" s="80"/>
      <c r="BW94" s="80"/>
      <c r="BX94" s="80"/>
      <c r="BY94" s="80"/>
      <c r="BZ94" s="80"/>
    </row>
    <row r="95" spans="1:84" ht="4.5" hidden="1" customHeight="1">
      <c r="A95" s="101"/>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01"/>
      <c r="BH95" s="110"/>
      <c r="BJ95" s="105"/>
      <c r="BK95" s="105"/>
      <c r="BL95" s="105"/>
      <c r="BM95" s="105"/>
      <c r="BN95" s="107"/>
      <c r="BO95" s="107"/>
      <c r="BP95" s="107"/>
      <c r="BQ95" s="80"/>
      <c r="BR95" s="173"/>
      <c r="BS95" s="173"/>
      <c r="BT95" s="174"/>
      <c r="BU95" s="174"/>
      <c r="BV95" s="174"/>
      <c r="BW95" s="174"/>
      <c r="BX95" s="174"/>
      <c r="BY95" s="174"/>
      <c r="BZ95" s="174"/>
    </row>
    <row r="96" spans="1:84" ht="8.1" hidden="1" customHeight="1">
      <c r="A96" s="101"/>
      <c r="B96" s="163"/>
      <c r="C96" s="163"/>
      <c r="D96" s="132"/>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32"/>
      <c r="AU96" s="28"/>
      <c r="AV96" s="28"/>
      <c r="AW96" s="28"/>
      <c r="AX96" s="28"/>
      <c r="AY96" s="28"/>
      <c r="AZ96" s="28"/>
      <c r="BA96" s="28"/>
      <c r="BB96" s="28"/>
      <c r="BC96" s="28"/>
      <c r="BD96" s="28"/>
      <c r="BE96" s="28"/>
      <c r="BF96" s="101"/>
      <c r="BR96" s="80"/>
      <c r="BS96" s="80"/>
      <c r="BT96" s="80"/>
      <c r="BU96" s="80"/>
      <c r="BV96" s="80"/>
      <c r="BW96" s="80"/>
      <c r="BX96" s="80"/>
      <c r="BY96" s="80"/>
      <c r="BZ96" s="80"/>
    </row>
    <row r="97" spans="1:58" ht="8.1" hidden="1" customHeight="1">
      <c r="A97" s="101"/>
      <c r="B97" s="163"/>
      <c r="C97" s="163"/>
      <c r="D97" s="132"/>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32"/>
      <c r="AU97" s="28"/>
      <c r="AV97" s="28"/>
      <c r="AW97" s="28"/>
      <c r="AX97" s="28"/>
      <c r="AY97" s="28"/>
      <c r="AZ97" s="28"/>
      <c r="BA97" s="28"/>
      <c r="BB97" s="28"/>
      <c r="BC97" s="28"/>
      <c r="BD97" s="28"/>
      <c r="BE97" s="28"/>
      <c r="BF97" s="101"/>
    </row>
    <row r="98" spans="1:58" ht="4.5" hidden="1" customHeight="1">
      <c r="A98" s="101"/>
      <c r="B98" s="165"/>
      <c r="C98" s="165"/>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62"/>
      <c r="AV98" s="162"/>
      <c r="AW98" s="162"/>
      <c r="AX98" s="162"/>
      <c r="AY98" s="162"/>
      <c r="AZ98" s="162"/>
      <c r="BA98" s="162"/>
      <c r="BB98" s="162"/>
      <c r="BC98" s="162"/>
      <c r="BD98" s="162"/>
      <c r="BE98" s="162"/>
      <c r="BF98" s="101"/>
    </row>
    <row r="99" spans="1:58" ht="8.1" hidden="1" customHeight="1">
      <c r="A99" s="101"/>
      <c r="B99" s="163"/>
      <c r="C99" s="163"/>
      <c r="D99" s="132"/>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32"/>
      <c r="AU99" s="28"/>
      <c r="AV99" s="28"/>
      <c r="AW99" s="28"/>
      <c r="AX99" s="28"/>
      <c r="AY99" s="28"/>
      <c r="AZ99" s="28"/>
      <c r="BA99" s="28"/>
      <c r="BB99" s="28"/>
      <c r="BC99" s="28"/>
      <c r="BD99" s="28"/>
      <c r="BE99" s="28"/>
      <c r="BF99" s="101"/>
    </row>
    <row r="100" spans="1:58" ht="8.1" hidden="1" customHeight="1">
      <c r="A100" s="101"/>
      <c r="B100" s="163"/>
      <c r="C100" s="163"/>
      <c r="D100" s="132"/>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32"/>
      <c r="AU100" s="28"/>
      <c r="AV100" s="28"/>
      <c r="AW100" s="28"/>
      <c r="AX100" s="28"/>
      <c r="AY100" s="28"/>
      <c r="AZ100" s="28"/>
      <c r="BA100" s="28"/>
      <c r="BB100" s="28"/>
      <c r="BC100" s="28"/>
      <c r="BD100" s="28"/>
      <c r="BE100" s="28"/>
      <c r="BF100" s="101"/>
    </row>
    <row r="101" spans="1:58" ht="9" hidden="1" customHeight="1">
      <c r="A101" s="101"/>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1"/>
    </row>
    <row r="102" spans="1:58" ht="9" hidden="1" customHeight="1">
      <c r="A102" s="101"/>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1"/>
    </row>
    <row r="103" spans="1:58" ht="9" hidden="1" customHeight="1">
      <c r="A103" s="101"/>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1"/>
    </row>
    <row r="104" spans="1:58" ht="9" hidden="1" customHeight="1">
      <c r="A104" s="101"/>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1"/>
    </row>
    <row r="105" spans="1:58" ht="9" hidden="1" customHeight="1">
      <c r="A105" s="101"/>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1"/>
    </row>
    <row r="106" spans="1:58" ht="9" hidden="1" customHeight="1">
      <c r="A106" s="101"/>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1"/>
    </row>
    <row r="107" spans="1:58" ht="9" hidden="1" customHeight="1">
      <c r="A107" s="101"/>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1"/>
    </row>
    <row r="108" spans="1:58" ht="9" hidden="1" customHeight="1">
      <c r="A108" s="101"/>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1"/>
    </row>
    <row r="109" spans="1:58" ht="9" hidden="1" customHeight="1">
      <c r="A109" s="101"/>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1"/>
    </row>
    <row r="110" spans="1:58" ht="9" hidden="1" customHeight="1">
      <c r="A110" s="101"/>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1"/>
    </row>
    <row r="111" spans="1:58" ht="9" hidden="1" customHeight="1">
      <c r="A111" s="101"/>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1"/>
    </row>
    <row r="112" spans="1:58" ht="9" hidden="1" customHeight="1">
      <c r="A112" s="101"/>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1"/>
    </row>
    <row r="113" spans="1:58" ht="9" hidden="1" customHeight="1">
      <c r="A113" s="101"/>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c r="BE113" s="103"/>
      <c r="BF113" s="101"/>
    </row>
    <row r="114" spans="1:58" ht="9" hidden="1" customHeight="1">
      <c r="A114" s="101"/>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1"/>
    </row>
    <row r="115" spans="1:58" ht="9" hidden="1" customHeight="1"/>
    <row r="116" spans="1:58" ht="9" hidden="1" customHeight="1"/>
    <row r="117" spans="1:58" ht="9" hidden="1" customHeight="1"/>
    <row r="118" spans="1:58" ht="9" hidden="1" customHeight="1"/>
    <row r="119" spans="1:58" ht="9" hidden="1" customHeight="1"/>
    <row r="120" spans="1:58" ht="9" hidden="1" customHeight="1"/>
    <row r="121" spans="1:58" ht="9" hidden="1" customHeight="1"/>
    <row r="122" spans="1:58" ht="9" hidden="1" customHeight="1"/>
    <row r="123" spans="1:58" ht="9" hidden="1" customHeight="1"/>
    <row r="124" spans="1:58" ht="9" hidden="1" customHeight="1"/>
    <row r="125" spans="1:58" ht="9" hidden="1" customHeight="1"/>
    <row r="126" spans="1:58" ht="9" hidden="1" customHeight="1"/>
    <row r="127" spans="1:58" ht="9" hidden="1" customHeight="1"/>
    <row r="128" spans="1:58" ht="9" hidden="1" customHeight="1"/>
    <row r="129" ht="9" hidden="1" customHeight="1"/>
    <row r="130" ht="9" hidden="1" customHeight="1"/>
    <row r="131" ht="9" hidden="1" customHeight="1"/>
    <row r="132" ht="9" hidden="1" customHeight="1"/>
    <row r="133" ht="9" hidden="1" customHeight="1"/>
    <row r="134" ht="9" hidden="1" customHeight="1"/>
    <row r="135" ht="9" hidden="1" customHeight="1"/>
    <row r="136" ht="9" hidden="1" customHeight="1"/>
    <row r="137" ht="9" hidden="1" customHeight="1"/>
    <row r="138" ht="9" hidden="1" customHeight="1"/>
    <row r="139" ht="9" hidden="1" customHeight="1"/>
    <row r="140" ht="9" hidden="1" customHeight="1"/>
    <row r="141" ht="9" hidden="1" customHeight="1"/>
    <row r="142" ht="9" hidden="1" customHeight="1"/>
    <row r="143" ht="9" hidden="1" customHeight="1"/>
    <row r="144" ht="9" hidden="1" customHeight="1"/>
    <row r="145" ht="9" hidden="1" customHeight="1"/>
    <row r="146" ht="9" hidden="1" customHeight="1"/>
    <row r="147" ht="9" hidden="1" customHeight="1"/>
    <row r="148" ht="9" hidden="1" customHeight="1"/>
    <row r="149" ht="9" hidden="1" customHeight="1"/>
    <row r="150" ht="9" hidden="1" customHeight="1"/>
    <row r="151" ht="9" hidden="1" customHeight="1"/>
    <row r="152" ht="9" hidden="1" customHeight="1"/>
    <row r="153" ht="9" hidden="1" customHeight="1"/>
    <row r="154" ht="9" hidden="1" customHeight="1"/>
    <row r="155" ht="9" hidden="1" customHeight="1"/>
    <row r="156" ht="9" hidden="1" customHeight="1"/>
    <row r="157" ht="9" hidden="1" customHeight="1"/>
    <row r="158" ht="9" hidden="1" customHeight="1"/>
    <row r="159" ht="9" hidden="1" customHeight="1"/>
    <row r="160" ht="9" hidden="1" customHeight="1"/>
    <row r="161" ht="9" hidden="1" customHeight="1"/>
    <row r="162" ht="9" hidden="1" customHeight="1"/>
    <row r="163" ht="9" hidden="1" customHeight="1"/>
    <row r="164" ht="9" hidden="1" customHeight="1"/>
    <row r="165" ht="9" hidden="1" customHeight="1"/>
    <row r="166" ht="9" hidden="1" customHeight="1"/>
    <row r="167" ht="9" hidden="1" customHeight="1"/>
    <row r="168" ht="9" hidden="1" customHeight="1"/>
    <row r="169" ht="9" hidden="1" customHeight="1"/>
    <row r="170" ht="9" hidden="1" customHeight="1"/>
    <row r="171" ht="9" hidden="1" customHeight="1"/>
    <row r="172" ht="9" hidden="1" customHeight="1"/>
    <row r="173" ht="9" hidden="1" customHeight="1"/>
    <row r="174" ht="9" hidden="1" customHeight="1"/>
    <row r="175" ht="9" hidden="1" customHeight="1"/>
    <row r="176" ht="9" hidden="1" customHeight="1"/>
    <row r="177" ht="9" hidden="1" customHeight="1"/>
    <row r="178" ht="9" hidden="1" customHeight="1"/>
    <row r="179" ht="9" hidden="1" customHeight="1"/>
    <row r="180" ht="9" hidden="1" customHeight="1"/>
    <row r="181" ht="9" hidden="1" customHeight="1"/>
    <row r="182" ht="9" hidden="1" customHeight="1"/>
    <row r="183" ht="9" hidden="1" customHeight="1"/>
    <row r="184" ht="9" hidden="1" customHeight="1"/>
    <row r="185" ht="9" hidden="1" customHeight="1"/>
    <row r="186" ht="9" hidden="1" customHeight="1"/>
    <row r="187" ht="9" hidden="1" customHeight="1"/>
    <row r="188" ht="9" hidden="1" customHeight="1"/>
    <row r="189" ht="9" hidden="1" customHeight="1"/>
    <row r="190" ht="9" hidden="1" customHeight="1"/>
    <row r="191" ht="9" hidden="1" customHeight="1"/>
    <row r="192" ht="9" hidden="1" customHeight="1"/>
    <row r="193" ht="9" hidden="1" customHeight="1"/>
    <row r="194" ht="9" hidden="1" customHeight="1"/>
    <row r="195" ht="9" hidden="1" customHeight="1"/>
    <row r="196" ht="9" hidden="1" customHeight="1"/>
    <row r="197" ht="9" hidden="1" customHeight="1"/>
    <row r="198" ht="9" hidden="1" customHeight="1"/>
    <row r="199" ht="9" hidden="1" customHeight="1"/>
    <row r="200" ht="9" hidden="1" customHeight="1"/>
    <row r="201" ht="9" hidden="1" customHeight="1"/>
    <row r="202" ht="9" hidden="1" customHeight="1"/>
    <row r="203" ht="9" hidden="1" customHeight="1"/>
    <row r="204" ht="9" hidden="1" customHeight="1"/>
    <row r="205" ht="9" hidden="1" customHeight="1"/>
    <row r="206" ht="9" hidden="1" customHeight="1"/>
    <row r="207" ht="9" hidden="1" customHeight="1"/>
    <row r="208" ht="9" hidden="1" customHeight="1"/>
    <row r="209" ht="9" hidden="1" customHeight="1"/>
    <row r="210" ht="9" hidden="1" customHeight="1"/>
    <row r="211" ht="9" hidden="1" customHeight="1"/>
    <row r="212" ht="9" hidden="1" customHeight="1"/>
    <row r="213" ht="9" hidden="1" customHeight="1"/>
    <row r="214" ht="9" hidden="1" customHeight="1"/>
    <row r="215" ht="9" hidden="1" customHeight="1"/>
    <row r="216" ht="9" hidden="1" customHeight="1"/>
    <row r="217" ht="9" hidden="1" customHeight="1"/>
    <row r="218" ht="9" hidden="1" customHeight="1"/>
    <row r="219" ht="9" hidden="1" customHeight="1"/>
    <row r="220" ht="9" hidden="1" customHeight="1"/>
    <row r="221" ht="9" hidden="1" customHeight="1"/>
    <row r="222" ht="9" hidden="1" customHeight="1"/>
    <row r="223" ht="9" hidden="1" customHeight="1"/>
    <row r="224" ht="9" hidden="1" customHeight="1"/>
    <row r="225" ht="9" hidden="1" customHeight="1"/>
    <row r="226" ht="9" hidden="1" customHeight="1"/>
    <row r="227" ht="9" hidden="1" customHeight="1"/>
    <row r="228" ht="9" hidden="1" customHeight="1"/>
    <row r="229" ht="9" hidden="1" customHeight="1"/>
    <row r="230" ht="9" hidden="1" customHeight="1"/>
    <row r="231" ht="9" hidden="1" customHeight="1"/>
    <row r="232" ht="9" hidden="1" customHeight="1"/>
    <row r="233" ht="9" hidden="1" customHeight="1"/>
    <row r="234" ht="9" hidden="1" customHeight="1"/>
    <row r="235" ht="9" hidden="1" customHeight="1"/>
    <row r="236" ht="9" hidden="1" customHeight="1"/>
    <row r="237" ht="9" hidden="1" customHeight="1"/>
    <row r="238" ht="9" hidden="1" customHeight="1"/>
    <row r="239" ht="9" hidden="1" customHeight="1"/>
    <row r="240" ht="9" hidden="1" customHeight="1"/>
    <row r="241" ht="9" hidden="1" customHeight="1"/>
    <row r="242" ht="9" hidden="1" customHeight="1"/>
    <row r="243" ht="9" hidden="1" customHeight="1"/>
    <row r="244" ht="9" hidden="1" customHeight="1"/>
    <row r="245" ht="9" hidden="1" customHeight="1"/>
    <row r="246" ht="9" hidden="1" customHeight="1"/>
    <row r="247" ht="9" hidden="1" customHeight="1"/>
    <row r="248" ht="9" hidden="1" customHeight="1"/>
    <row r="249" ht="9" hidden="1" customHeight="1"/>
    <row r="250" ht="9" hidden="1" customHeight="1"/>
    <row r="251" ht="9" hidden="1" customHeight="1"/>
    <row r="252" ht="9" hidden="1" customHeight="1"/>
    <row r="253" ht="9" hidden="1" customHeight="1"/>
    <row r="254" ht="9" hidden="1" customHeight="1"/>
    <row r="255" ht="9" hidden="1" customHeight="1"/>
    <row r="256" ht="9" hidden="1" customHeight="1"/>
    <row r="257" ht="9" hidden="1" customHeight="1"/>
    <row r="258" ht="9" hidden="1" customHeight="1"/>
    <row r="259" ht="9" hidden="1" customHeight="1"/>
    <row r="260" ht="9" hidden="1" customHeight="1"/>
    <row r="261" ht="9" hidden="1" customHeight="1"/>
    <row r="262" ht="9" hidden="1" customHeight="1"/>
    <row r="263" ht="9" hidden="1" customHeight="1"/>
    <row r="264" ht="9" hidden="1" customHeight="1"/>
    <row r="265" ht="9" hidden="1" customHeight="1"/>
    <row r="266" ht="9" hidden="1" customHeight="1"/>
    <row r="267" ht="9" hidden="1" customHeight="1"/>
    <row r="268" ht="9" hidden="1" customHeight="1"/>
    <row r="269" ht="9" hidden="1" customHeight="1"/>
    <row r="270" ht="9" hidden="1" customHeight="1"/>
    <row r="271" ht="9" hidden="1" customHeight="1"/>
    <row r="272" ht="9" hidden="1" customHeight="1"/>
    <row r="273" ht="9" hidden="1" customHeight="1"/>
    <row r="274" ht="9" hidden="1" customHeight="1"/>
    <row r="275" ht="9" hidden="1" customHeight="1"/>
    <row r="276" ht="9" hidden="1" customHeight="1"/>
    <row r="277" ht="9" hidden="1" customHeight="1"/>
    <row r="278" ht="9" hidden="1" customHeight="1"/>
    <row r="279" ht="9" hidden="1" customHeight="1"/>
    <row r="280" ht="9" hidden="1" customHeight="1"/>
    <row r="281" ht="9" hidden="1" customHeight="1"/>
    <row r="282" ht="9" hidden="1" customHeight="1"/>
    <row r="283" ht="9" hidden="1" customHeight="1"/>
    <row r="284" ht="9" hidden="1" customHeight="1"/>
    <row r="285" ht="9" hidden="1" customHeight="1"/>
    <row r="286" ht="9" hidden="1" customHeight="1"/>
    <row r="287" ht="9" hidden="1" customHeight="1"/>
    <row r="288" ht="9" hidden="1" customHeight="1"/>
    <row r="289" ht="9" hidden="1" customHeight="1"/>
    <row r="290" ht="9" hidden="1" customHeight="1"/>
    <row r="291" ht="9" hidden="1" customHeight="1"/>
    <row r="292" ht="9" hidden="1" customHeight="1"/>
    <row r="293" ht="9" hidden="1" customHeight="1"/>
    <row r="294" ht="9" hidden="1" customHeight="1"/>
    <row r="295" ht="9" hidden="1" customHeight="1"/>
    <row r="296" ht="9" hidden="1" customHeight="1"/>
    <row r="297" ht="9" hidden="1" customHeight="1"/>
    <row r="298" ht="9" hidden="1" customHeight="1"/>
    <row r="299" ht="9" hidden="1" customHeight="1"/>
    <row r="300" ht="9" hidden="1" customHeight="1"/>
    <row r="301" ht="9" hidden="1" customHeight="1"/>
    <row r="302" ht="9" hidden="1" customHeight="1"/>
    <row r="303" ht="9" hidden="1" customHeight="1"/>
    <row r="304" ht="9" hidden="1" customHeight="1"/>
    <row r="305" ht="9" hidden="1" customHeight="1"/>
    <row r="306" ht="9" hidden="1" customHeight="1"/>
    <row r="307" ht="9" hidden="1" customHeight="1"/>
    <row r="308" ht="9" hidden="1" customHeight="1"/>
    <row r="309" ht="9" hidden="1" customHeight="1"/>
    <row r="310" ht="9" hidden="1" customHeight="1"/>
    <row r="311" ht="9" hidden="1" customHeight="1"/>
    <row r="312" ht="9" hidden="1" customHeight="1"/>
    <row r="313" ht="9" hidden="1" customHeight="1"/>
    <row r="314" ht="9" hidden="1" customHeight="1"/>
    <row r="315" ht="9" hidden="1" customHeight="1"/>
    <row r="316" ht="9" hidden="1" customHeight="1"/>
    <row r="317" ht="9" hidden="1" customHeight="1"/>
    <row r="318" ht="9" hidden="1" customHeight="1"/>
    <row r="319" ht="9" hidden="1" customHeight="1"/>
    <row r="320" ht="9" hidden="1" customHeight="1"/>
    <row r="321" ht="9" hidden="1" customHeight="1"/>
    <row r="322" ht="9" hidden="1" customHeight="1"/>
    <row r="323" ht="9" hidden="1" customHeight="1"/>
    <row r="324" ht="9" hidden="1" customHeight="1"/>
    <row r="325" ht="9" hidden="1" customHeight="1"/>
    <row r="326" ht="9" hidden="1" customHeight="1"/>
    <row r="327" ht="9" hidden="1" customHeight="1"/>
    <row r="328" ht="9" hidden="1" customHeight="1"/>
    <row r="329" ht="9" hidden="1" customHeight="1"/>
    <row r="330" ht="9" hidden="1" customHeight="1"/>
    <row r="331" ht="9" hidden="1" customHeight="1"/>
    <row r="332" ht="9" hidden="1" customHeight="1"/>
    <row r="333" ht="9" hidden="1" customHeight="1"/>
    <row r="334" ht="9" hidden="1" customHeight="1"/>
    <row r="335" ht="9" hidden="1" customHeight="1"/>
    <row r="336" ht="9" hidden="1" customHeight="1"/>
    <row r="337" ht="9" hidden="1" customHeight="1"/>
    <row r="338" ht="9" hidden="1" customHeight="1"/>
    <row r="339" ht="9" hidden="1" customHeight="1"/>
    <row r="340" ht="9" hidden="1" customHeight="1"/>
    <row r="341" ht="9" hidden="1" customHeight="1"/>
    <row r="342" ht="9" hidden="1" customHeight="1"/>
    <row r="343" ht="9" hidden="1" customHeight="1"/>
    <row r="344" ht="9" hidden="1" customHeight="1"/>
    <row r="345" ht="9" hidden="1" customHeight="1"/>
    <row r="346" ht="9" hidden="1" customHeight="1"/>
    <row r="347" ht="9" hidden="1" customHeight="1"/>
    <row r="348" ht="9" hidden="1" customHeight="1"/>
    <row r="349" ht="9" hidden="1" customHeight="1"/>
    <row r="350" ht="9" hidden="1" customHeight="1"/>
    <row r="351" ht="9" hidden="1" customHeight="1"/>
    <row r="352" ht="9" hidden="1" customHeight="1"/>
    <row r="353" ht="9" hidden="1" customHeight="1"/>
    <row r="354" ht="9" hidden="1" customHeight="1"/>
    <row r="355" ht="9" hidden="1" customHeight="1"/>
    <row r="356" ht="9" hidden="1" customHeight="1"/>
    <row r="357" ht="9" hidden="1" customHeight="1"/>
    <row r="358" ht="9" hidden="1" customHeight="1"/>
    <row r="359" ht="9" hidden="1" customHeight="1"/>
    <row r="360" ht="9" hidden="1" customHeight="1"/>
    <row r="361" ht="9" hidden="1" customHeight="1"/>
    <row r="362" ht="9" hidden="1" customHeight="1"/>
    <row r="363" ht="9" hidden="1" customHeight="1"/>
    <row r="364" ht="9" hidden="1" customHeight="1"/>
    <row r="365" ht="9" hidden="1" customHeight="1"/>
    <row r="366" ht="9" hidden="1" customHeight="1"/>
    <row r="367" ht="9" hidden="1" customHeight="1"/>
    <row r="368" ht="9" hidden="1" customHeight="1"/>
    <row r="369" ht="9" hidden="1" customHeight="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t="43.5" hidden="1" customHeight="1"/>
  </sheetData>
  <sheetProtection algorithmName="SHA-512" hashValue="2DEBSxQCTUXXaKzZwlXdXDd95LJMUMjrbVgA6QllAK8FM1sX4sSTds1jS7DDv6xxxrHQ1o0wYsYpKDguN2LiXA==" saltValue="Y7ikpESQJY7TbSKgli16Pw==" spinCount="100000" sheet="1" objects="1" scenarios="1"/>
  <mergeCells count="73">
    <mergeCell ref="AU81:BE82"/>
    <mergeCell ref="B84:C85"/>
    <mergeCell ref="E84:AS85"/>
    <mergeCell ref="AU84:BE85"/>
    <mergeCell ref="AU87:BE88"/>
    <mergeCell ref="B87:C88"/>
    <mergeCell ref="E87:AS88"/>
    <mergeCell ref="AU75:BE76"/>
    <mergeCell ref="B78:C79"/>
    <mergeCell ref="E78:AS79"/>
    <mergeCell ref="AU78:BE79"/>
    <mergeCell ref="B72:C73"/>
    <mergeCell ref="E72:AS73"/>
    <mergeCell ref="AU72:BE73"/>
    <mergeCell ref="B75:C76"/>
    <mergeCell ref="E75:AS76"/>
    <mergeCell ref="B69:AE70"/>
    <mergeCell ref="B63:C64"/>
    <mergeCell ref="E63:AS64"/>
    <mergeCell ref="B81:C82"/>
    <mergeCell ref="E81:AS82"/>
    <mergeCell ref="AU63:BE64"/>
    <mergeCell ref="B66:C67"/>
    <mergeCell ref="E66:AS67"/>
    <mergeCell ref="AU66:BE67"/>
    <mergeCell ref="B60:C61"/>
    <mergeCell ref="E60:AS61"/>
    <mergeCell ref="AU60:BE61"/>
    <mergeCell ref="B57:C58"/>
    <mergeCell ref="E57:AS58"/>
    <mergeCell ref="AU57:BE58"/>
    <mergeCell ref="B51:AA52"/>
    <mergeCell ref="B54:C55"/>
    <mergeCell ref="E54:AS55"/>
    <mergeCell ref="AU54:BE55"/>
    <mergeCell ref="B48:C49"/>
    <mergeCell ref="E48:AS49"/>
    <mergeCell ref="AU48:BE49"/>
    <mergeCell ref="B45:C46"/>
    <mergeCell ref="E45:AS46"/>
    <mergeCell ref="AU45:BE46"/>
    <mergeCell ref="B42:C43"/>
    <mergeCell ref="E42:AS43"/>
    <mergeCell ref="AU42:BE43"/>
    <mergeCell ref="B39:C40"/>
    <mergeCell ref="E39:AS40"/>
    <mergeCell ref="AU39:BE40"/>
    <mergeCell ref="B33:AA34"/>
    <mergeCell ref="B36:C37"/>
    <mergeCell ref="E36:AS37"/>
    <mergeCell ref="AU36:BE37"/>
    <mergeCell ref="B30:C31"/>
    <mergeCell ref="E30:AS31"/>
    <mergeCell ref="AU30:BE31"/>
    <mergeCell ref="B27:C28"/>
    <mergeCell ref="E27:AS28"/>
    <mergeCell ref="AU27:BE28"/>
    <mergeCell ref="B24:C25"/>
    <mergeCell ref="E24:AS25"/>
    <mergeCell ref="AU24:BE25"/>
    <mergeCell ref="B18:C19"/>
    <mergeCell ref="E18:AS19"/>
    <mergeCell ref="AU18:BE19"/>
    <mergeCell ref="B21:C22"/>
    <mergeCell ref="E21:AS22"/>
    <mergeCell ref="AU21:BE22"/>
    <mergeCell ref="B2:BE4"/>
    <mergeCell ref="B15:C16"/>
    <mergeCell ref="AU15:BE16"/>
    <mergeCell ref="E15:AS16"/>
    <mergeCell ref="B12:AA13"/>
    <mergeCell ref="AG7:BE9"/>
    <mergeCell ref="P7:AF9"/>
  </mergeCells>
  <conditionalFormatting sqref="AU60:BE61 AU57:BE58 AU54:BE55 AU48:BE49 AU45:BE46 AU42:BE43 AU39:BE40 AU36:BE37 AU30:BE31 AU27:BE28 AU24:BE25 AU21:BE22 AU18:BE19 AU15:BE16">
    <cfRule type="cellIs" dxfId="30" priority="67" operator="equal">
      <formula>"Incompleto"</formula>
    </cfRule>
    <cfRule type="cellIs" dxfId="29" priority="68" operator="equal">
      <formula>"Não Preenchido"</formula>
    </cfRule>
    <cfRule type="cellIs" dxfId="28" priority="69" operator="equal">
      <formula>"OK"</formula>
    </cfRule>
  </conditionalFormatting>
  <conditionalFormatting sqref="AU75:BE76">
    <cfRule type="cellIs" dxfId="27" priority="57" operator="equal">
      <formula>"Não Preenchido"</formula>
    </cfRule>
    <cfRule type="cellIs" dxfId="26" priority="58" operator="equal">
      <formula>"Inconsistência"</formula>
    </cfRule>
    <cfRule type="cellIs" dxfId="25" priority="59" operator="equal">
      <formula>"OK"</formula>
    </cfRule>
  </conditionalFormatting>
  <conditionalFormatting sqref="AU72:BE73">
    <cfRule type="cellIs" dxfId="24" priority="54" operator="equal">
      <formula>"Incompleto"</formula>
    </cfRule>
    <cfRule type="cellIs" dxfId="23" priority="55" operator="equal">
      <formula>"Não Preenchido"</formula>
    </cfRule>
    <cfRule type="cellIs" dxfId="22" priority="56" operator="equal">
      <formula>"OK"</formula>
    </cfRule>
  </conditionalFormatting>
  <conditionalFormatting sqref="AU78:BE79">
    <cfRule type="cellIs" dxfId="21" priority="51" operator="equal">
      <formula>"Não Preenchido"</formula>
    </cfRule>
    <cfRule type="cellIs" dxfId="20" priority="52" operator="equal">
      <formula>"Inconsistência"</formula>
    </cfRule>
    <cfRule type="cellIs" dxfId="19" priority="53" operator="equal">
      <formula>"OK"</formula>
    </cfRule>
  </conditionalFormatting>
  <conditionalFormatting sqref="AU99:BE100">
    <cfRule type="cellIs" dxfId="18" priority="36" operator="equal">
      <formula>"Não Preenchido"</formula>
    </cfRule>
    <cfRule type="cellIs" dxfId="17" priority="37" operator="equal">
      <formula>"Inconsistência"</formula>
    </cfRule>
    <cfRule type="cellIs" dxfId="16" priority="38" operator="equal">
      <formula>"OK"</formula>
    </cfRule>
  </conditionalFormatting>
  <conditionalFormatting sqref="AG7:BE9">
    <cfRule type="cellIs" dxfId="15" priority="31" operator="equal">
      <formula>"Projeto pronto para ser enviado!!"</formula>
    </cfRule>
    <cfRule type="cellIs" dxfId="14" priority="32" operator="equal">
      <formula>"O projeto NÃO está pronto para ser enviado!!"</formula>
    </cfRule>
  </conditionalFormatting>
  <conditionalFormatting sqref="AU63">
    <cfRule type="cellIs" dxfId="13" priority="29" operator="equal">
      <formula>"Inconsistência"</formula>
    </cfRule>
    <cfRule type="cellIs" dxfId="12" priority="30" operator="equal">
      <formula>"OK"</formula>
    </cfRule>
  </conditionalFormatting>
  <conditionalFormatting sqref="AU66">
    <cfRule type="cellIs" dxfId="11" priority="25" operator="equal">
      <formula>"Incompleto"</formula>
    </cfRule>
    <cfRule type="cellIs" dxfId="10" priority="26" operator="equal">
      <formula>"Não Preenchido"</formula>
    </cfRule>
    <cfRule type="cellIs" dxfId="9" priority="27" operator="equal">
      <formula>"OK"</formula>
    </cfRule>
  </conditionalFormatting>
  <conditionalFormatting sqref="AU81:BE82">
    <cfRule type="cellIs" dxfId="8" priority="10" operator="equal">
      <formula>"Não Preenchido"</formula>
    </cfRule>
    <cfRule type="cellIs" dxfId="7" priority="11" operator="equal">
      <formula>"Inconsistência"</formula>
    </cfRule>
    <cfRule type="cellIs" dxfId="6" priority="12" operator="equal">
      <formula>"OK"</formula>
    </cfRule>
  </conditionalFormatting>
  <conditionalFormatting sqref="AU84:BE85">
    <cfRule type="cellIs" dxfId="5" priority="7" operator="equal">
      <formula>"Não Preenchido"</formula>
    </cfRule>
    <cfRule type="cellIs" dxfId="4" priority="8" operator="equal">
      <formula>"Inconsistência"</formula>
    </cfRule>
    <cfRule type="cellIs" dxfId="3" priority="9" operator="equal">
      <formula>"OK"</formula>
    </cfRule>
  </conditionalFormatting>
  <conditionalFormatting sqref="AU87:BE88">
    <cfRule type="cellIs" dxfId="2" priority="1" operator="equal">
      <formula>"Incompleto"</formula>
    </cfRule>
    <cfRule type="cellIs" dxfId="1" priority="2" operator="equal">
      <formula>"Não Preenchido"</formula>
    </cfRule>
    <cfRule type="cellIs" dxfId="0" priority="3" operator="equal">
      <formula>"OK"</formula>
    </cfRule>
  </conditionalFormatting>
  <hyperlinks>
    <hyperlink ref="B2:BE4" location="MENU!A1" display="ANEXO II - PLANO DE TRABALHO - FORMULÁRIO ORÇAMENTÁRIO" xr:uid="{8F77C68D-AC2D-4213-8F37-19A9AFDDDCA0}"/>
  </hyperlinks>
  <pageMargins left="0.51181102362204722" right="0.51181102362204722" top="0.78740157480314965" bottom="0.78740157480314965"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D221"/>
  <sheetViews>
    <sheetView showGridLines="0" showRowColHeaders="0" workbookViewId="0">
      <pane ySplit="3" topLeftCell="A40" activePane="bottomLeft" state="frozen"/>
      <selection pane="bottomLeft" activeCell="C63" sqref="C63"/>
    </sheetView>
  </sheetViews>
  <sheetFormatPr defaultColWidth="0" defaultRowHeight="12.75" zeroHeight="1"/>
  <cols>
    <col min="1" max="1" width="1.7109375" customWidth="1"/>
    <col min="2" max="2" width="7.7109375" customWidth="1"/>
    <col min="3" max="3" width="108.7109375" customWidth="1"/>
    <col min="4" max="4" width="1.7109375" customWidth="1"/>
    <col min="5" max="256" width="9.140625" hidden="1" customWidth="1"/>
    <col min="257" max="16384" width="9.140625" hidden="1"/>
  </cols>
  <sheetData>
    <row r="1" spans="2:3" ht="9" customHeight="1"/>
    <row r="2" spans="2:3" ht="60" customHeight="1">
      <c r="B2" s="590" t="s">
        <v>300</v>
      </c>
      <c r="C2" s="591"/>
    </row>
    <row r="3" spans="2:3" ht="4.5" customHeight="1"/>
    <row r="4" spans="2:3">
      <c r="B4" s="75" t="s">
        <v>96</v>
      </c>
      <c r="C4" s="76" t="s">
        <v>179</v>
      </c>
    </row>
    <row r="5" spans="2:3">
      <c r="B5" s="75" t="s">
        <v>97</v>
      </c>
      <c r="C5" s="76" t="s">
        <v>180</v>
      </c>
    </row>
    <row r="6" spans="2:3">
      <c r="B6" s="75" t="s">
        <v>98</v>
      </c>
      <c r="C6" s="76" t="s">
        <v>181</v>
      </c>
    </row>
    <row r="7" spans="2:3">
      <c r="B7" s="75" t="s">
        <v>99</v>
      </c>
      <c r="C7" s="76" t="s">
        <v>182</v>
      </c>
    </row>
    <row r="8" spans="2:3">
      <c r="B8" s="75" t="s">
        <v>100</v>
      </c>
      <c r="C8" s="76" t="s">
        <v>183</v>
      </c>
    </row>
    <row r="9" spans="2:3">
      <c r="B9" s="75" t="s">
        <v>101</v>
      </c>
      <c r="C9" s="76" t="s">
        <v>184</v>
      </c>
    </row>
    <row r="10" spans="2:3">
      <c r="B10" s="75" t="s">
        <v>102</v>
      </c>
      <c r="C10" s="76" t="s">
        <v>185</v>
      </c>
    </row>
    <row r="11" spans="2:3">
      <c r="B11" s="75" t="s">
        <v>103</v>
      </c>
      <c r="C11" s="76" t="s">
        <v>186</v>
      </c>
    </row>
    <row r="12" spans="2:3">
      <c r="B12" s="75" t="s">
        <v>104</v>
      </c>
      <c r="C12" s="76" t="s">
        <v>187</v>
      </c>
    </row>
    <row r="13" spans="2:3">
      <c r="B13" s="75" t="s">
        <v>105</v>
      </c>
      <c r="C13" s="76" t="s">
        <v>188</v>
      </c>
    </row>
    <row r="14" spans="2:3">
      <c r="B14" s="75" t="s">
        <v>106</v>
      </c>
      <c r="C14" s="76" t="s">
        <v>189</v>
      </c>
    </row>
    <row r="15" spans="2:3">
      <c r="B15" s="75" t="s">
        <v>107</v>
      </c>
      <c r="C15" s="76" t="s">
        <v>190</v>
      </c>
    </row>
    <row r="16" spans="2:3">
      <c r="B16" s="75" t="s">
        <v>108</v>
      </c>
      <c r="C16" s="76" t="s">
        <v>191</v>
      </c>
    </row>
    <row r="17" spans="2:3">
      <c r="B17" s="75" t="s">
        <v>109</v>
      </c>
      <c r="C17" s="76" t="s">
        <v>192</v>
      </c>
    </row>
    <row r="18" spans="2:3">
      <c r="B18" s="75" t="s">
        <v>110</v>
      </c>
      <c r="C18" s="76" t="s">
        <v>193</v>
      </c>
    </row>
    <row r="19" spans="2:3">
      <c r="B19" s="75" t="s">
        <v>111</v>
      </c>
      <c r="C19" s="76" t="s">
        <v>194</v>
      </c>
    </row>
    <row r="20" spans="2:3">
      <c r="B20" s="75" t="s">
        <v>112</v>
      </c>
      <c r="C20" s="76" t="s">
        <v>195</v>
      </c>
    </row>
    <row r="21" spans="2:3">
      <c r="B21" s="75" t="s">
        <v>113</v>
      </c>
      <c r="C21" s="76" t="s">
        <v>196</v>
      </c>
    </row>
    <row r="22" spans="2:3">
      <c r="B22" s="75" t="s">
        <v>114</v>
      </c>
      <c r="C22" s="76" t="s">
        <v>197</v>
      </c>
    </row>
    <row r="23" spans="2:3">
      <c r="B23" s="75" t="s">
        <v>115</v>
      </c>
      <c r="C23" s="76" t="s">
        <v>198</v>
      </c>
    </row>
    <row r="24" spans="2:3">
      <c r="B24" s="75" t="s">
        <v>116</v>
      </c>
      <c r="C24" s="76" t="s">
        <v>199</v>
      </c>
    </row>
    <row r="25" spans="2:3">
      <c r="B25" s="75" t="s">
        <v>117</v>
      </c>
      <c r="C25" s="76" t="s">
        <v>200</v>
      </c>
    </row>
    <row r="26" spans="2:3">
      <c r="B26" s="75" t="s">
        <v>118</v>
      </c>
      <c r="C26" s="76" t="s">
        <v>201</v>
      </c>
    </row>
    <row r="27" spans="2:3">
      <c r="B27" s="75" t="s">
        <v>119</v>
      </c>
      <c r="C27" s="76" t="s">
        <v>202</v>
      </c>
    </row>
    <row r="28" spans="2:3">
      <c r="B28" s="75" t="s">
        <v>120</v>
      </c>
      <c r="C28" s="76" t="s">
        <v>203</v>
      </c>
    </row>
    <row r="29" spans="2:3">
      <c r="B29" s="75" t="s">
        <v>121</v>
      </c>
      <c r="C29" s="76" t="s">
        <v>204</v>
      </c>
    </row>
    <row r="30" spans="2:3">
      <c r="B30" s="75" t="s">
        <v>122</v>
      </c>
      <c r="C30" s="76" t="s">
        <v>205</v>
      </c>
    </row>
    <row r="31" spans="2:3">
      <c r="B31" s="75" t="s">
        <v>123</v>
      </c>
      <c r="C31" s="76" t="s">
        <v>206</v>
      </c>
    </row>
    <row r="32" spans="2:3">
      <c r="B32" s="75" t="s">
        <v>124</v>
      </c>
      <c r="C32" s="76" t="s">
        <v>207</v>
      </c>
    </row>
    <row r="33" spans="2:3">
      <c r="B33" s="75" t="s">
        <v>125</v>
      </c>
      <c r="C33" s="76" t="s">
        <v>208</v>
      </c>
    </row>
    <row r="34" spans="2:3">
      <c r="B34" s="75" t="s">
        <v>126</v>
      </c>
      <c r="C34" s="76" t="s">
        <v>209</v>
      </c>
    </row>
    <row r="35" spans="2:3">
      <c r="B35" s="75" t="s">
        <v>127</v>
      </c>
      <c r="C35" s="76" t="s">
        <v>210</v>
      </c>
    </row>
    <row r="36" spans="2:3">
      <c r="B36" s="75" t="s">
        <v>128</v>
      </c>
      <c r="C36" s="76" t="s">
        <v>211</v>
      </c>
    </row>
    <row r="37" spans="2:3">
      <c r="B37" s="75" t="s">
        <v>129</v>
      </c>
      <c r="C37" s="76" t="s">
        <v>212</v>
      </c>
    </row>
    <row r="38" spans="2:3">
      <c r="B38" s="75" t="s">
        <v>130</v>
      </c>
      <c r="C38" s="76" t="s">
        <v>213</v>
      </c>
    </row>
    <row r="39" spans="2:3">
      <c r="B39" s="75" t="s">
        <v>131</v>
      </c>
      <c r="C39" s="76" t="s">
        <v>214</v>
      </c>
    </row>
    <row r="40" spans="2:3">
      <c r="B40" s="75" t="s">
        <v>132</v>
      </c>
      <c r="C40" s="76" t="s">
        <v>215</v>
      </c>
    </row>
    <row r="41" spans="2:3">
      <c r="B41" s="75" t="s">
        <v>133</v>
      </c>
      <c r="C41" s="76" t="s">
        <v>216</v>
      </c>
    </row>
    <row r="42" spans="2:3">
      <c r="B42" s="75" t="s">
        <v>134</v>
      </c>
      <c r="C42" s="76" t="s">
        <v>217</v>
      </c>
    </row>
    <row r="43" spans="2:3">
      <c r="B43" s="75" t="s">
        <v>135</v>
      </c>
      <c r="C43" s="76" t="s">
        <v>218</v>
      </c>
    </row>
    <row r="44" spans="2:3">
      <c r="B44" s="75" t="s">
        <v>136</v>
      </c>
      <c r="C44" s="76" t="s">
        <v>219</v>
      </c>
    </row>
    <row r="45" spans="2:3">
      <c r="B45" s="75" t="s">
        <v>137</v>
      </c>
      <c r="C45" s="76" t="s">
        <v>220</v>
      </c>
    </row>
    <row r="46" spans="2:3">
      <c r="B46" s="75" t="s">
        <v>138</v>
      </c>
      <c r="C46" s="76" t="s">
        <v>221</v>
      </c>
    </row>
    <row r="47" spans="2:3">
      <c r="B47" s="75" t="s">
        <v>139</v>
      </c>
      <c r="C47" s="76" t="s">
        <v>222</v>
      </c>
    </row>
    <row r="48" spans="2:3">
      <c r="B48" s="75" t="s">
        <v>140</v>
      </c>
      <c r="C48" s="76" t="s">
        <v>223</v>
      </c>
    </row>
    <row r="49" spans="2:3">
      <c r="B49" s="75" t="s">
        <v>141</v>
      </c>
      <c r="C49" s="76" t="s">
        <v>224</v>
      </c>
    </row>
    <row r="50" spans="2:3">
      <c r="B50" s="75" t="s">
        <v>142</v>
      </c>
      <c r="C50" s="76" t="s">
        <v>225</v>
      </c>
    </row>
    <row r="51" spans="2:3">
      <c r="B51" s="75" t="s">
        <v>143</v>
      </c>
      <c r="C51" s="76" t="s">
        <v>226</v>
      </c>
    </row>
    <row r="52" spans="2:3">
      <c r="B52" s="75" t="s">
        <v>144</v>
      </c>
      <c r="C52" s="76" t="s">
        <v>227</v>
      </c>
    </row>
    <row r="53" spans="2:3">
      <c r="B53" s="75" t="s">
        <v>145</v>
      </c>
      <c r="C53" s="76" t="s">
        <v>228</v>
      </c>
    </row>
    <row r="54" spans="2:3">
      <c r="B54" s="75" t="s">
        <v>146</v>
      </c>
      <c r="C54" s="76" t="s">
        <v>229</v>
      </c>
    </row>
    <row r="55" spans="2:3">
      <c r="B55" s="75" t="s">
        <v>147</v>
      </c>
      <c r="C55" s="76" t="s">
        <v>230</v>
      </c>
    </row>
    <row r="56" spans="2:3">
      <c r="B56" s="75" t="s">
        <v>148</v>
      </c>
      <c r="C56" s="76" t="s">
        <v>231</v>
      </c>
    </row>
    <row r="57" spans="2:3">
      <c r="B57" s="75" t="s">
        <v>149</v>
      </c>
      <c r="C57" s="76" t="s">
        <v>232</v>
      </c>
    </row>
    <row r="58" spans="2:3">
      <c r="B58" s="75" t="s">
        <v>150</v>
      </c>
      <c r="C58" s="76" t="s">
        <v>233</v>
      </c>
    </row>
    <row r="59" spans="2:3">
      <c r="B59" s="75" t="s">
        <v>151</v>
      </c>
      <c r="C59" s="76" t="s">
        <v>234</v>
      </c>
    </row>
    <row r="60" spans="2:3">
      <c r="B60" s="75" t="s">
        <v>152</v>
      </c>
      <c r="C60" s="76" t="s">
        <v>235</v>
      </c>
    </row>
    <row r="61" spans="2:3">
      <c r="B61" s="75" t="s">
        <v>153</v>
      </c>
      <c r="C61" s="76" t="s">
        <v>236</v>
      </c>
    </row>
    <row r="62" spans="2:3">
      <c r="B62" s="75" t="s">
        <v>154</v>
      </c>
      <c r="C62" s="76" t="s">
        <v>237</v>
      </c>
    </row>
    <row r="63" spans="2:3">
      <c r="B63" s="75" t="s">
        <v>155</v>
      </c>
      <c r="C63" s="76" t="s">
        <v>238</v>
      </c>
    </row>
    <row r="64" spans="2:3">
      <c r="B64" s="75" t="s">
        <v>156</v>
      </c>
      <c r="C64" s="76" t="s">
        <v>239</v>
      </c>
    </row>
    <row r="65" spans="2:3">
      <c r="B65" s="75" t="s">
        <v>157</v>
      </c>
      <c r="C65" s="76" t="s">
        <v>240</v>
      </c>
    </row>
    <row r="66" spans="2:3">
      <c r="B66" s="75" t="s">
        <v>158</v>
      </c>
      <c r="C66" s="76" t="s">
        <v>241</v>
      </c>
    </row>
    <row r="67" spans="2:3">
      <c r="B67" s="75" t="s">
        <v>159</v>
      </c>
      <c r="C67" s="76" t="s">
        <v>242</v>
      </c>
    </row>
    <row r="68" spans="2:3">
      <c r="B68" s="75" t="s">
        <v>160</v>
      </c>
      <c r="C68" s="76" t="s">
        <v>243</v>
      </c>
    </row>
    <row r="69" spans="2:3">
      <c r="B69" s="75" t="s">
        <v>161</v>
      </c>
      <c r="C69" s="76" t="s">
        <v>244</v>
      </c>
    </row>
    <row r="70" spans="2:3">
      <c r="B70" s="75" t="s">
        <v>162</v>
      </c>
      <c r="C70" s="76" t="s">
        <v>245</v>
      </c>
    </row>
    <row r="71" spans="2:3">
      <c r="B71" s="75" t="s">
        <v>163</v>
      </c>
      <c r="C71" s="76" t="s">
        <v>246</v>
      </c>
    </row>
    <row r="72" spans="2:3">
      <c r="B72" s="75" t="s">
        <v>164</v>
      </c>
      <c r="C72" s="76" t="s">
        <v>247</v>
      </c>
    </row>
    <row r="73" spans="2:3">
      <c r="B73" s="75" t="s">
        <v>165</v>
      </c>
      <c r="C73" s="76" t="s">
        <v>248</v>
      </c>
    </row>
    <row r="74" spans="2:3">
      <c r="B74" s="75" t="s">
        <v>166</v>
      </c>
      <c r="C74" s="76" t="s">
        <v>249</v>
      </c>
    </row>
    <row r="75" spans="2:3">
      <c r="B75" s="75" t="s">
        <v>167</v>
      </c>
      <c r="C75" s="76" t="s">
        <v>250</v>
      </c>
    </row>
    <row r="76" spans="2:3">
      <c r="B76" s="75" t="s">
        <v>168</v>
      </c>
      <c r="C76" s="76" t="s">
        <v>251</v>
      </c>
    </row>
    <row r="77" spans="2:3">
      <c r="B77" s="75" t="s">
        <v>169</v>
      </c>
      <c r="C77" s="76" t="s">
        <v>252</v>
      </c>
    </row>
    <row r="78" spans="2:3">
      <c r="B78" s="75" t="s">
        <v>170</v>
      </c>
      <c r="C78" s="76" t="s">
        <v>253</v>
      </c>
    </row>
    <row r="79" spans="2:3">
      <c r="B79" s="75" t="s">
        <v>171</v>
      </c>
      <c r="C79" s="76" t="s">
        <v>254</v>
      </c>
    </row>
    <row r="80" spans="2:3">
      <c r="B80" s="75" t="s">
        <v>172</v>
      </c>
      <c r="C80" s="76" t="s">
        <v>255</v>
      </c>
    </row>
    <row r="81" spans="2:3">
      <c r="B81" s="75" t="s">
        <v>173</v>
      </c>
      <c r="C81" s="76" t="s">
        <v>256</v>
      </c>
    </row>
    <row r="82" spans="2:3">
      <c r="B82" s="75" t="s">
        <v>174</v>
      </c>
      <c r="C82" s="76" t="s">
        <v>257</v>
      </c>
    </row>
    <row r="83" spans="2:3">
      <c r="B83" s="75" t="s">
        <v>175</v>
      </c>
      <c r="C83" s="76" t="s">
        <v>258</v>
      </c>
    </row>
    <row r="84" spans="2:3">
      <c r="B84" s="75" t="s">
        <v>176</v>
      </c>
      <c r="C84" s="76" t="s">
        <v>259</v>
      </c>
    </row>
    <row r="85" spans="2:3">
      <c r="B85" s="75" t="s">
        <v>177</v>
      </c>
      <c r="C85" s="76" t="s">
        <v>260</v>
      </c>
    </row>
    <row r="86" spans="2:3">
      <c r="B86" s="75" t="s">
        <v>178</v>
      </c>
      <c r="C86" s="76" t="s">
        <v>261</v>
      </c>
    </row>
    <row r="87" spans="2:3" ht="9" customHeight="1">
      <c r="B87" s="27"/>
    </row>
    <row r="88" spans="2:3" hidden="1">
      <c r="B88" s="27"/>
    </row>
    <row r="89" spans="2:3" hidden="1">
      <c r="B89" s="27"/>
    </row>
    <row r="90" spans="2:3" hidden="1">
      <c r="B90" s="27"/>
    </row>
    <row r="91" spans="2:3" hidden="1">
      <c r="B91" s="27"/>
    </row>
    <row r="92" spans="2:3" hidden="1">
      <c r="B92" s="27"/>
    </row>
    <row r="93" spans="2:3" hidden="1">
      <c r="B93" s="27"/>
    </row>
    <row r="94" spans="2:3" hidden="1">
      <c r="B94" s="27"/>
    </row>
    <row r="95" spans="2:3" hidden="1">
      <c r="B95" s="27"/>
    </row>
    <row r="96" spans="2:3" hidden="1">
      <c r="B96" s="27"/>
    </row>
    <row r="97" spans="2:2" hidden="1">
      <c r="B97" s="27"/>
    </row>
    <row r="98" spans="2:2" hidden="1">
      <c r="B98" s="27"/>
    </row>
    <row r="99" spans="2:2" hidden="1">
      <c r="B99" s="27"/>
    </row>
    <row r="100" spans="2:2" hidden="1">
      <c r="B100" s="27"/>
    </row>
    <row r="101" spans="2:2" hidden="1">
      <c r="B101" s="27"/>
    </row>
    <row r="102" spans="2:2" hidden="1">
      <c r="B102" s="27"/>
    </row>
    <row r="103" spans="2:2" hidden="1">
      <c r="B103" s="27"/>
    </row>
    <row r="104" spans="2:2" hidden="1">
      <c r="B104" s="27"/>
    </row>
    <row r="105" spans="2:2" hidden="1">
      <c r="B105" s="27"/>
    </row>
    <row r="106" spans="2:2" hidden="1">
      <c r="B106" s="27"/>
    </row>
    <row r="107" spans="2:2" hidden="1">
      <c r="B107" s="27"/>
    </row>
    <row r="108" spans="2:2" hidden="1">
      <c r="B108" s="27"/>
    </row>
    <row r="109" spans="2:2" hidden="1">
      <c r="B109" s="27"/>
    </row>
    <row r="110" spans="2:2" hidden="1">
      <c r="B110" s="27"/>
    </row>
    <row r="111" spans="2:2" hidden="1">
      <c r="B111" s="27"/>
    </row>
    <row r="112" spans="2:2" hidden="1">
      <c r="B112" s="27"/>
    </row>
    <row r="113" spans="2:2" hidden="1">
      <c r="B113" s="27"/>
    </row>
    <row r="114" spans="2:2" hidden="1">
      <c r="B114" s="27"/>
    </row>
    <row r="115" spans="2:2" hidden="1">
      <c r="B115" s="27"/>
    </row>
    <row r="116" spans="2:2" hidden="1">
      <c r="B116" s="27"/>
    </row>
    <row r="117" spans="2:2" hidden="1">
      <c r="B117" s="27"/>
    </row>
    <row r="118" spans="2:2" hidden="1">
      <c r="B118" s="27"/>
    </row>
    <row r="119" spans="2:2" hidden="1">
      <c r="B119" s="27"/>
    </row>
    <row r="120" spans="2:2" hidden="1">
      <c r="B120" s="27"/>
    </row>
    <row r="121" spans="2:2" hidden="1">
      <c r="B121" s="27"/>
    </row>
    <row r="122" spans="2:2" hidden="1">
      <c r="B122" s="27"/>
    </row>
    <row r="123" spans="2:2" hidden="1">
      <c r="B123" s="27"/>
    </row>
    <row r="124" spans="2:2" hidden="1">
      <c r="B124" s="27"/>
    </row>
    <row r="125" spans="2:2" hidden="1">
      <c r="B125" s="27"/>
    </row>
    <row r="126" spans="2:2" hidden="1">
      <c r="B126" s="27"/>
    </row>
    <row r="127" spans="2:2" hidden="1">
      <c r="B127" s="27"/>
    </row>
    <row r="128" spans="2:2" hidden="1">
      <c r="B128" s="27"/>
    </row>
    <row r="129" spans="2:2" hidden="1">
      <c r="B129" s="27"/>
    </row>
    <row r="130" spans="2:2" hidden="1">
      <c r="B130" s="27"/>
    </row>
    <row r="131" spans="2:2" hidden="1">
      <c r="B131" s="27"/>
    </row>
    <row r="132" spans="2:2" hidden="1">
      <c r="B132" s="27"/>
    </row>
    <row r="133" spans="2:2" hidden="1">
      <c r="B133" s="27"/>
    </row>
    <row r="134" spans="2:2" hidden="1">
      <c r="B134" s="27"/>
    </row>
    <row r="135" spans="2:2" hidden="1">
      <c r="B135" s="27"/>
    </row>
    <row r="136" spans="2:2" hidden="1">
      <c r="B136" s="27"/>
    </row>
    <row r="137" spans="2:2" hidden="1">
      <c r="B137" s="27"/>
    </row>
    <row r="138" spans="2:2" hidden="1">
      <c r="B138" s="27"/>
    </row>
    <row r="139" spans="2:2" hidden="1">
      <c r="B139" s="27"/>
    </row>
    <row r="140" spans="2:2" hidden="1">
      <c r="B140" s="27"/>
    </row>
    <row r="141" spans="2:2" hidden="1">
      <c r="B141" s="27"/>
    </row>
    <row r="142" spans="2:2" hidden="1">
      <c r="B142" s="27"/>
    </row>
    <row r="143" spans="2:2" hidden="1">
      <c r="B143" s="27"/>
    </row>
    <row r="144" spans="2:2" hidden="1">
      <c r="B144" s="27"/>
    </row>
    <row r="145" spans="2:2" hidden="1">
      <c r="B145" s="27"/>
    </row>
    <row r="146" spans="2:2" hidden="1">
      <c r="B146" s="27"/>
    </row>
    <row r="147" spans="2:2" hidden="1">
      <c r="B147" s="27"/>
    </row>
    <row r="148" spans="2:2" hidden="1">
      <c r="B148" s="27"/>
    </row>
    <row r="149" spans="2:2" hidden="1">
      <c r="B149" s="27"/>
    </row>
    <row r="150" spans="2:2" hidden="1">
      <c r="B150" s="27"/>
    </row>
    <row r="151" spans="2:2" hidden="1">
      <c r="B151" s="27"/>
    </row>
    <row r="152" spans="2:2" hidden="1">
      <c r="B152" s="27"/>
    </row>
    <row r="153" spans="2:2" hidden="1">
      <c r="B153" s="27"/>
    </row>
    <row r="154" spans="2:2" hidden="1">
      <c r="B154" s="27"/>
    </row>
    <row r="155" spans="2:2" hidden="1">
      <c r="B155" s="27"/>
    </row>
    <row r="156" spans="2:2" hidden="1">
      <c r="B156" s="27"/>
    </row>
    <row r="157" spans="2:2" hidden="1">
      <c r="B157" s="27"/>
    </row>
    <row r="158" spans="2:2" hidden="1">
      <c r="B158" s="27"/>
    </row>
    <row r="159" spans="2:2" hidden="1">
      <c r="B159" s="27"/>
    </row>
    <row r="160" spans="2:2" hidden="1">
      <c r="B160" s="27"/>
    </row>
    <row r="161" spans="2:2" hidden="1">
      <c r="B161" s="27"/>
    </row>
    <row r="162" spans="2:2" hidden="1">
      <c r="B162" s="27"/>
    </row>
    <row r="163" spans="2:2" hidden="1">
      <c r="B163" s="27"/>
    </row>
    <row r="164" spans="2:2" hidden="1">
      <c r="B164" s="27"/>
    </row>
    <row r="165" spans="2:2" hidden="1">
      <c r="B165" s="27"/>
    </row>
    <row r="166" spans="2:2" hidden="1">
      <c r="B166" s="27"/>
    </row>
    <row r="167" spans="2:2" hidden="1">
      <c r="B167" s="27"/>
    </row>
    <row r="168" spans="2:2" hidden="1">
      <c r="B168" s="27"/>
    </row>
    <row r="169" spans="2:2" hidden="1">
      <c r="B169" s="27"/>
    </row>
    <row r="170" spans="2:2" hidden="1">
      <c r="B170" s="27"/>
    </row>
    <row r="171" spans="2:2" hidden="1">
      <c r="B171" s="27"/>
    </row>
    <row r="172" spans="2:2" hidden="1">
      <c r="B172" s="27"/>
    </row>
    <row r="173" spans="2:2" hidden="1">
      <c r="B173" s="27"/>
    </row>
    <row r="174" spans="2:2" hidden="1">
      <c r="B174" s="27"/>
    </row>
    <row r="175" spans="2:2" hidden="1">
      <c r="B175" s="27"/>
    </row>
    <row r="176" spans="2:2" hidden="1">
      <c r="B176" s="27"/>
    </row>
    <row r="177" spans="2:2" hidden="1">
      <c r="B177" s="27"/>
    </row>
    <row r="178" spans="2:2" hidden="1">
      <c r="B178" s="27"/>
    </row>
    <row r="179" spans="2:2" hidden="1">
      <c r="B179" s="27"/>
    </row>
    <row r="180" spans="2:2" hidden="1">
      <c r="B180" s="27"/>
    </row>
    <row r="181" spans="2:2" hidden="1">
      <c r="B181" s="27"/>
    </row>
    <row r="182" spans="2:2" hidden="1">
      <c r="B182" s="27"/>
    </row>
    <row r="183" spans="2:2" hidden="1">
      <c r="B183" s="27"/>
    </row>
    <row r="184" spans="2:2" hidden="1">
      <c r="B184" s="27"/>
    </row>
    <row r="185" spans="2:2" hidden="1">
      <c r="B185" s="27"/>
    </row>
    <row r="186" spans="2:2" hidden="1">
      <c r="B186" s="27"/>
    </row>
    <row r="187" spans="2:2" hidden="1">
      <c r="B187" s="27"/>
    </row>
    <row r="188" spans="2:2" hidden="1">
      <c r="B188" s="27"/>
    </row>
    <row r="189" spans="2:2" hidden="1">
      <c r="B189" s="27"/>
    </row>
    <row r="190" spans="2:2" hidden="1">
      <c r="B190" s="27"/>
    </row>
    <row r="191" spans="2:2" hidden="1">
      <c r="B191" s="27"/>
    </row>
    <row r="192" spans="2:2" hidden="1">
      <c r="B192" s="27"/>
    </row>
    <row r="193" spans="2:2" hidden="1">
      <c r="B193" s="27"/>
    </row>
    <row r="194" spans="2:2" hidden="1">
      <c r="B194" s="27"/>
    </row>
    <row r="195" spans="2:2" hidden="1">
      <c r="B195" s="27"/>
    </row>
    <row r="196" spans="2:2" hidden="1">
      <c r="B196" s="27"/>
    </row>
    <row r="197" spans="2:2" hidden="1">
      <c r="B197" s="27"/>
    </row>
    <row r="198" spans="2:2" hidden="1">
      <c r="B198" s="27"/>
    </row>
    <row r="199" spans="2:2" hidden="1">
      <c r="B199" s="27"/>
    </row>
    <row r="200" spans="2:2" hidden="1">
      <c r="B200" s="27"/>
    </row>
    <row r="201" spans="2:2" hidden="1"/>
    <row r="202" spans="2:2" hidden="1"/>
    <row r="203" spans="2:2" hidden="1"/>
    <row r="204" spans="2:2" hidden="1"/>
    <row r="205" spans="2:2" hidden="1"/>
    <row r="206" spans="2:2" hidden="1"/>
    <row r="207" spans="2:2" hidden="1"/>
    <row r="208" spans="2:2" hidden="1"/>
    <row r="209" hidden="1"/>
    <row r="210" hidden="1"/>
    <row r="211" hidden="1"/>
    <row r="212" hidden="1"/>
    <row r="213" hidden="1"/>
    <row r="214" hidden="1"/>
    <row r="215" hidden="1"/>
    <row r="216" hidden="1"/>
    <row r="217" hidden="1"/>
    <row r="218" hidden="1"/>
    <row r="219" hidden="1"/>
    <row r="220" hidden="1"/>
    <row r="221"/>
  </sheetData>
  <sheetProtection algorithmName="SHA-512" hashValue="mlfPkdFy7q/YP57XrFYAlJ99hCKZERl+7QwGQd4qcRNXF6ZLPFVCJ7xz51r2AqNUmftaas1S5AonOqGWQX5hzg==" saltValue="3ju7tlly5wqtCl2CUtymOA==" spinCount="100000" sheet="1" objects="1" scenarios="1"/>
  <mergeCells count="1">
    <mergeCell ref="B2:C2"/>
  </mergeCells>
  <hyperlinks>
    <hyperlink ref="B2:C2" location="MENU!A1" display="ELEMENTOS DE DESPESA (TABELA PARA CONSULTA)" xr:uid="{61C2AC8D-7222-4535-82D2-9F5C618E5A45}"/>
  </hyperlinks>
  <pageMargins left="0.511811024" right="0.511811024" top="0.78740157499999996" bottom="0.78740157499999996" header="0.31496062000000002" footer="0.31496062000000002"/>
  <ignoredErrors>
    <ignoredError sqref="B5:B10 B4 B78:B86 B74:B77 B66:B73 B59:B65 B50:B58 B45:B49 B11:B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00861-455C-4E37-A7A0-6C65FDFEDF12}">
  <dimension ref="A1:CG3012"/>
  <sheetViews>
    <sheetView view="pageBreakPreview" topLeftCell="A277" zoomScaleNormal="100" zoomScaleSheetLayoutView="100" workbookViewId="0"/>
  </sheetViews>
  <sheetFormatPr defaultColWidth="0" defaultRowHeight="12.75"/>
  <cols>
    <col min="1" max="13" width="1.7109375" customWidth="1"/>
    <col min="14" max="14" width="0.85546875" customWidth="1"/>
    <col min="15" max="55" width="1.7109375" customWidth="1"/>
    <col min="56" max="85" width="1.7109375" hidden="1" customWidth="1"/>
    <col min="86" max="16384" width="9.140625" hidden="1"/>
  </cols>
  <sheetData>
    <row r="1" spans="2:54" ht="9" customHeight="1" thickBot="1"/>
    <row r="2" spans="2:54" ht="9" customHeight="1">
      <c r="B2" s="596" t="s">
        <v>466</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row>
    <row r="3" spans="2:54" ht="9" customHeight="1">
      <c r="B3" s="597"/>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c r="AT3" s="597"/>
      <c r="AU3" s="597"/>
      <c r="AV3" s="597"/>
      <c r="AW3" s="597"/>
      <c r="AX3" s="597"/>
      <c r="AY3" s="597"/>
      <c r="AZ3" s="597"/>
      <c r="BA3" s="597"/>
      <c r="BB3" s="597"/>
    </row>
    <row r="4" spans="2:54" ht="9" customHeight="1"/>
    <row r="5" spans="2:54" ht="9" customHeight="1">
      <c r="B5" s="592">
        <v>1</v>
      </c>
      <c r="C5" s="592"/>
      <c r="D5" s="598" t="s">
        <v>470</v>
      </c>
      <c r="E5" s="598"/>
      <c r="F5" s="598"/>
      <c r="G5" s="598"/>
      <c r="H5" s="598"/>
      <c r="I5" s="598"/>
      <c r="J5" s="598"/>
      <c r="K5" s="598"/>
      <c r="L5" s="598"/>
      <c r="M5" s="598"/>
      <c r="N5" s="606"/>
      <c r="O5" s="608" t="str">
        <f>IF('(I) Plano de Trabalho'!O189="","",'(I) Plano de Trabalho'!O189)</f>
        <v>Aperfeiçoamento do controle das atividades de comércio exterior da biodiversidade por meio do desenvolvimento de plataforma digital única</v>
      </c>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row>
    <row r="6" spans="2:54" ht="9" customHeight="1">
      <c r="B6" s="593"/>
      <c r="C6" s="593"/>
      <c r="D6" s="599"/>
      <c r="E6" s="599"/>
      <c r="F6" s="599"/>
      <c r="G6" s="599"/>
      <c r="H6" s="599"/>
      <c r="I6" s="599"/>
      <c r="J6" s="599"/>
      <c r="K6" s="599"/>
      <c r="L6" s="599"/>
      <c r="M6" s="599"/>
      <c r="N6" s="607"/>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09"/>
      <c r="AY6" s="609"/>
      <c r="AZ6" s="609"/>
      <c r="BA6" s="609"/>
      <c r="BB6" s="609"/>
    </row>
    <row r="7" spans="2:54" ht="9" customHeight="1">
      <c r="B7" s="195"/>
      <c r="C7" s="195"/>
      <c r="D7" s="196"/>
      <c r="E7" s="196"/>
      <c r="F7" s="196"/>
      <c r="G7" s="196"/>
      <c r="H7" s="196"/>
      <c r="I7" s="196"/>
      <c r="J7" s="196"/>
      <c r="K7" s="196"/>
      <c r="L7" s="196"/>
      <c r="M7" s="196"/>
      <c r="N7" s="191"/>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row>
    <row r="8" spans="2:54" ht="9" customHeight="1">
      <c r="B8" s="197"/>
      <c r="C8" s="197"/>
      <c r="D8" s="198"/>
      <c r="E8" s="198"/>
      <c r="F8" s="198"/>
      <c r="G8" s="198"/>
      <c r="H8" s="198"/>
      <c r="I8" s="198"/>
      <c r="J8" s="198"/>
      <c r="K8" s="198"/>
      <c r="L8" s="198"/>
      <c r="M8" s="198"/>
      <c r="N8" s="192"/>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09"/>
      <c r="AQ8" s="609"/>
      <c r="AR8" s="609"/>
      <c r="AS8" s="609"/>
      <c r="AT8" s="609"/>
      <c r="AU8" s="609"/>
      <c r="AV8" s="609"/>
      <c r="AW8" s="609"/>
      <c r="AX8" s="609"/>
      <c r="AY8" s="609"/>
      <c r="AZ8" s="609"/>
      <c r="BA8" s="609"/>
      <c r="BB8" s="609"/>
    </row>
    <row r="9" spans="2:54" ht="9" customHeight="1">
      <c r="B9" s="592">
        <v>2</v>
      </c>
      <c r="C9" s="592"/>
      <c r="D9" s="598" t="s">
        <v>7</v>
      </c>
      <c r="E9" s="598"/>
      <c r="F9" s="598"/>
      <c r="G9" s="598"/>
      <c r="H9" s="598"/>
      <c r="I9" s="598"/>
      <c r="J9" s="598"/>
      <c r="K9" s="598"/>
      <c r="L9" s="598"/>
      <c r="M9" s="598"/>
      <c r="N9" s="606"/>
      <c r="O9" s="608" t="str">
        <f>IF('(I) Plano de Trabalho'!$O$194="","",'(I) Plano de Trabalho'!$O$194)</f>
        <v>Aprimoramento da capacidade de controle dos órgãos ambientais sobre a cadeia de produtos da biodiversidade destinados ao comércio exterior.</v>
      </c>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row>
    <row r="10" spans="2:54" ht="9" customHeight="1">
      <c r="B10" s="593"/>
      <c r="C10" s="593"/>
      <c r="D10" s="599"/>
      <c r="E10" s="599"/>
      <c r="F10" s="599"/>
      <c r="G10" s="599"/>
      <c r="H10" s="599"/>
      <c r="I10" s="599"/>
      <c r="J10" s="599"/>
      <c r="K10" s="599"/>
      <c r="L10" s="599"/>
      <c r="M10" s="599"/>
      <c r="N10" s="607"/>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09"/>
      <c r="AY10" s="609"/>
      <c r="AZ10" s="609"/>
      <c r="BA10" s="609"/>
      <c r="BB10" s="609"/>
    </row>
    <row r="11" spans="2:54" ht="9" customHeight="1">
      <c r="B11" s="195"/>
      <c r="C11" s="195"/>
      <c r="D11" s="196"/>
      <c r="E11" s="196"/>
      <c r="F11" s="196"/>
      <c r="G11" s="196"/>
      <c r="H11" s="196"/>
      <c r="I11" s="196"/>
      <c r="J11" s="196"/>
      <c r="K11" s="196"/>
      <c r="L11" s="196"/>
      <c r="M11" s="196"/>
      <c r="N11" s="191"/>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row>
    <row r="12" spans="2:54" ht="9" customHeight="1">
      <c r="B12" s="195"/>
      <c r="C12" s="195"/>
      <c r="D12" s="196"/>
      <c r="E12" s="196"/>
      <c r="F12" s="196"/>
      <c r="G12" s="196"/>
      <c r="H12" s="196"/>
      <c r="I12" s="196"/>
      <c r="J12" s="196"/>
      <c r="K12" s="196"/>
      <c r="L12" s="196"/>
      <c r="M12" s="196"/>
      <c r="N12" s="191"/>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row>
    <row r="13" spans="2:54" ht="9" customHeight="1">
      <c r="B13" s="195"/>
      <c r="C13" s="195"/>
      <c r="D13" s="196"/>
      <c r="E13" s="196"/>
      <c r="F13" s="196"/>
      <c r="G13" s="196"/>
      <c r="H13" s="196"/>
      <c r="I13" s="196"/>
      <c r="J13" s="196"/>
      <c r="K13" s="196"/>
      <c r="L13" s="196"/>
      <c r="M13" s="196"/>
      <c r="N13" s="191"/>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row>
    <row r="14" spans="2:54" ht="9" customHeight="1">
      <c r="B14" s="195"/>
      <c r="C14" s="195"/>
      <c r="D14" s="196"/>
      <c r="E14" s="196"/>
      <c r="F14" s="196"/>
      <c r="G14" s="196"/>
      <c r="H14" s="196"/>
      <c r="I14" s="196"/>
      <c r="J14" s="196"/>
      <c r="K14" s="196"/>
      <c r="L14" s="196"/>
      <c r="M14" s="196"/>
      <c r="N14" s="191"/>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row>
    <row r="15" spans="2:54" ht="9" customHeight="1">
      <c r="B15" s="197"/>
      <c r="C15" s="197"/>
      <c r="D15" s="198"/>
      <c r="E15" s="198"/>
      <c r="F15" s="198"/>
      <c r="G15" s="198"/>
      <c r="H15" s="198"/>
      <c r="I15" s="198"/>
      <c r="J15" s="198"/>
      <c r="K15" s="198"/>
      <c r="L15" s="198"/>
      <c r="M15" s="198"/>
      <c r="N15" s="192"/>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row>
    <row r="16" spans="2:54" ht="9" customHeight="1">
      <c r="B16" s="610">
        <v>3</v>
      </c>
      <c r="C16" s="610"/>
      <c r="D16" s="612" t="s">
        <v>31</v>
      </c>
      <c r="E16" s="612"/>
      <c r="F16" s="612"/>
      <c r="G16" s="612"/>
      <c r="H16" s="612"/>
      <c r="I16" s="612"/>
      <c r="J16" s="612"/>
      <c r="K16" s="612"/>
      <c r="L16" s="612"/>
      <c r="M16" s="612"/>
      <c r="N16" s="622"/>
      <c r="O16" s="614" t="str">
        <f>IF('(I) Plano de Trabalho'!$O$201="x","Federal",IF('(I) Plano de Trabalho'!$Y$201="x","Estadual / Distrital",IF('(I) Plano de Trabalho'!$AI$201="x","Municipal",IF('(I) Plano de Trabalho'!AS201="x","OSC",""))))</f>
        <v>Federal</v>
      </c>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4"/>
    </row>
    <row r="17" spans="2:54" ht="9" customHeight="1">
      <c r="B17" s="611"/>
      <c r="C17" s="611"/>
      <c r="D17" s="613"/>
      <c r="E17" s="613"/>
      <c r="F17" s="613"/>
      <c r="G17" s="613"/>
      <c r="H17" s="613"/>
      <c r="I17" s="613"/>
      <c r="J17" s="613"/>
      <c r="K17" s="613"/>
      <c r="L17" s="613"/>
      <c r="M17" s="613"/>
      <c r="N17" s="623"/>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5"/>
      <c r="AX17" s="615"/>
      <c r="AY17" s="615"/>
      <c r="AZ17" s="615"/>
      <c r="BA17" s="615"/>
      <c r="BB17" s="615"/>
    </row>
    <row r="18" spans="2:54" ht="9" customHeight="1">
      <c r="B18" s="594">
        <v>4</v>
      </c>
      <c r="C18" s="594"/>
      <c r="D18" s="600" t="s">
        <v>85</v>
      </c>
      <c r="E18" s="600"/>
      <c r="F18" s="600"/>
      <c r="G18" s="600"/>
      <c r="H18" s="600"/>
      <c r="I18" s="600"/>
      <c r="J18" s="600"/>
      <c r="K18" s="600"/>
      <c r="L18" s="600"/>
      <c r="M18" s="600"/>
      <c r="N18" s="193"/>
      <c r="O18" s="602" t="str">
        <f>IF('(I) Plano de Trabalho'!$O$205="","",CONCATENATE('(I) Plano de Trabalho'!$O$205," meses"))</f>
        <v>36 meses</v>
      </c>
      <c r="P18" s="602"/>
      <c r="Q18" s="602"/>
      <c r="R18" s="602"/>
      <c r="S18" s="602"/>
      <c r="T18" s="602"/>
      <c r="U18" s="602"/>
      <c r="V18" s="602"/>
      <c r="W18" s="190"/>
      <c r="X18" s="632" t="s">
        <v>471</v>
      </c>
      <c r="Y18" s="632"/>
      <c r="Z18" s="632"/>
      <c r="AA18" s="632"/>
      <c r="AB18" s="632"/>
      <c r="AC18" s="632"/>
      <c r="AD18" s="632"/>
      <c r="AE18" s="628">
        <f>IF('(I) Plano de Trabalho'!$O$208="","",'(I) Plano de Trabalho'!$O$208)</f>
        <v>43800</v>
      </c>
      <c r="AF18" s="628"/>
      <c r="AG18" s="628"/>
      <c r="AH18" s="628"/>
      <c r="AI18" s="628"/>
      <c r="AJ18" s="628"/>
      <c r="AK18" s="628"/>
      <c r="AL18" s="628"/>
      <c r="AM18" s="193"/>
      <c r="AN18" s="632" t="s">
        <v>472</v>
      </c>
      <c r="AO18" s="632"/>
      <c r="AP18" s="632"/>
      <c r="AQ18" s="632"/>
      <c r="AR18" s="632"/>
      <c r="AS18" s="632"/>
      <c r="AT18" s="632"/>
      <c r="AU18" s="628">
        <f>'(I) Plano de Trabalho'!$AJ$208</f>
        <v>44880</v>
      </c>
      <c r="AV18" s="628"/>
      <c r="AW18" s="628"/>
      <c r="AX18" s="628"/>
      <c r="AY18" s="628"/>
      <c r="AZ18" s="628"/>
      <c r="BA18" s="628"/>
      <c r="BB18" s="628"/>
    </row>
    <row r="19" spans="2:54" ht="9" customHeight="1">
      <c r="B19" s="616"/>
      <c r="C19" s="616"/>
      <c r="D19" s="625"/>
      <c r="E19" s="625"/>
      <c r="F19" s="625"/>
      <c r="G19" s="625"/>
      <c r="H19" s="625"/>
      <c r="I19" s="625"/>
      <c r="J19" s="625"/>
      <c r="K19" s="625"/>
      <c r="L19" s="625"/>
      <c r="M19" s="625"/>
      <c r="N19" s="194"/>
      <c r="O19" s="624"/>
      <c r="P19" s="624"/>
      <c r="Q19" s="624"/>
      <c r="R19" s="624"/>
      <c r="S19" s="624"/>
      <c r="T19" s="624"/>
      <c r="U19" s="624"/>
      <c r="V19" s="624"/>
      <c r="W19" s="189"/>
      <c r="X19" s="633"/>
      <c r="Y19" s="633"/>
      <c r="Z19" s="633"/>
      <c r="AA19" s="633"/>
      <c r="AB19" s="633"/>
      <c r="AC19" s="633"/>
      <c r="AD19" s="633"/>
      <c r="AE19" s="629"/>
      <c r="AF19" s="629"/>
      <c r="AG19" s="629"/>
      <c r="AH19" s="629"/>
      <c r="AI19" s="629"/>
      <c r="AJ19" s="629"/>
      <c r="AK19" s="629"/>
      <c r="AL19" s="629"/>
      <c r="AM19" s="194"/>
      <c r="AN19" s="633"/>
      <c r="AO19" s="633"/>
      <c r="AP19" s="633"/>
      <c r="AQ19" s="633"/>
      <c r="AR19" s="633"/>
      <c r="AS19" s="633"/>
      <c r="AT19" s="633"/>
      <c r="AU19" s="629"/>
      <c r="AV19" s="629"/>
      <c r="AW19" s="629"/>
      <c r="AX19" s="629"/>
      <c r="AY19" s="629"/>
      <c r="AZ19" s="629"/>
      <c r="BA19" s="629"/>
      <c r="BB19" s="629"/>
    </row>
    <row r="20" spans="2:54" ht="9" customHeight="1">
      <c r="B20" s="594">
        <v>5</v>
      </c>
      <c r="C20" s="594"/>
      <c r="D20" s="600" t="s">
        <v>475</v>
      </c>
      <c r="E20" s="600"/>
      <c r="F20" s="600"/>
      <c r="G20" s="600"/>
      <c r="H20" s="600"/>
      <c r="I20" s="600"/>
      <c r="J20" s="600"/>
      <c r="K20" s="600"/>
      <c r="L20" s="600"/>
      <c r="M20" s="600"/>
      <c r="N20" s="193"/>
      <c r="O20" s="630">
        <f>IF('(I) Plano de Trabalho'!$O$218="","",'(I) Plano de Trabalho'!$O$218)</f>
        <v>2540648.14</v>
      </c>
      <c r="P20" s="630"/>
      <c r="Q20" s="630"/>
      <c r="R20" s="630"/>
      <c r="S20" s="630"/>
      <c r="T20" s="630"/>
      <c r="U20" s="630"/>
      <c r="V20" s="630"/>
      <c r="W20" s="190"/>
      <c r="X20" s="632" t="s">
        <v>473</v>
      </c>
      <c r="Y20" s="632"/>
      <c r="Z20" s="632"/>
      <c r="AA20" s="632"/>
      <c r="AB20" s="632"/>
      <c r="AC20" s="632"/>
      <c r="AD20" s="632"/>
      <c r="AE20" s="630">
        <f>IF('(I) Plano de Trabalho'!$O$212="","",'(I) Plano de Trabalho'!$O$212)</f>
        <v>2540648.14</v>
      </c>
      <c r="AF20" s="630"/>
      <c r="AG20" s="630"/>
      <c r="AH20" s="630"/>
      <c r="AI20" s="630"/>
      <c r="AJ20" s="630"/>
      <c r="AK20" s="630"/>
      <c r="AL20" s="630"/>
      <c r="AM20" s="193"/>
      <c r="AN20" s="634" t="s">
        <v>474</v>
      </c>
      <c r="AO20" s="634"/>
      <c r="AP20" s="634"/>
      <c r="AQ20" s="634"/>
      <c r="AR20" s="634"/>
      <c r="AS20" s="634"/>
      <c r="AT20" s="634"/>
      <c r="AU20" s="630" t="str">
        <f>IF('(I) Plano de Trabalho'!$O$215="","",'(I) Plano de Trabalho'!$O$215)</f>
        <v/>
      </c>
      <c r="AV20" s="630"/>
      <c r="AW20" s="630"/>
      <c r="AX20" s="630"/>
      <c r="AY20" s="630"/>
      <c r="AZ20" s="630"/>
      <c r="BA20" s="630"/>
      <c r="BB20" s="630"/>
    </row>
    <row r="21" spans="2:54" ht="9" customHeight="1">
      <c r="B21" s="616"/>
      <c r="C21" s="616"/>
      <c r="D21" s="625"/>
      <c r="E21" s="625"/>
      <c r="F21" s="625"/>
      <c r="G21" s="625"/>
      <c r="H21" s="625"/>
      <c r="I21" s="625"/>
      <c r="J21" s="625"/>
      <c r="K21" s="625"/>
      <c r="L21" s="625"/>
      <c r="M21" s="625"/>
      <c r="N21" s="194"/>
      <c r="O21" s="631"/>
      <c r="P21" s="631"/>
      <c r="Q21" s="631"/>
      <c r="R21" s="631"/>
      <c r="S21" s="631"/>
      <c r="T21" s="631"/>
      <c r="U21" s="631"/>
      <c r="V21" s="631"/>
      <c r="W21" s="189"/>
      <c r="X21" s="633"/>
      <c r="Y21" s="633"/>
      <c r="Z21" s="633"/>
      <c r="AA21" s="633"/>
      <c r="AB21" s="633"/>
      <c r="AC21" s="633"/>
      <c r="AD21" s="633"/>
      <c r="AE21" s="631"/>
      <c r="AF21" s="631"/>
      <c r="AG21" s="631"/>
      <c r="AH21" s="631"/>
      <c r="AI21" s="631"/>
      <c r="AJ21" s="631"/>
      <c r="AK21" s="631"/>
      <c r="AL21" s="631"/>
      <c r="AM21" s="194"/>
      <c r="AN21" s="635"/>
      <c r="AO21" s="635"/>
      <c r="AP21" s="635"/>
      <c r="AQ21" s="635"/>
      <c r="AR21" s="635"/>
      <c r="AS21" s="635"/>
      <c r="AT21" s="635"/>
      <c r="AU21" s="631"/>
      <c r="AV21" s="631"/>
      <c r="AW21" s="631"/>
      <c r="AX21" s="631"/>
      <c r="AY21" s="631"/>
      <c r="AZ21" s="631"/>
      <c r="BA21" s="631"/>
      <c r="BB21" s="631"/>
    </row>
    <row r="22" spans="2:54" ht="9" customHeight="1">
      <c r="B22" s="594">
        <v>6</v>
      </c>
      <c r="C22" s="594"/>
      <c r="D22" s="600" t="s">
        <v>476</v>
      </c>
      <c r="E22" s="600"/>
      <c r="F22" s="600"/>
      <c r="G22" s="600"/>
      <c r="H22" s="600"/>
      <c r="I22" s="600"/>
      <c r="J22" s="600"/>
      <c r="K22" s="600"/>
      <c r="L22" s="600"/>
      <c r="M22" s="600"/>
      <c r="N22" s="193"/>
      <c r="O22" s="602" t="str">
        <f>IF('(I) Plano de Trabalho'!$O$269="","",'(I) Plano de Trabalho'!$O$269)</f>
        <v>I - Promoção da recuperação, conservação e preservação do meio ambiente</v>
      </c>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row>
    <row r="23" spans="2:54" ht="9" customHeight="1">
      <c r="B23" s="595"/>
      <c r="C23" s="595"/>
      <c r="D23" s="601"/>
      <c r="E23" s="601"/>
      <c r="F23" s="601"/>
      <c r="G23" s="601"/>
      <c r="H23" s="601"/>
      <c r="I23" s="601"/>
      <c r="J23" s="601"/>
      <c r="K23" s="601"/>
      <c r="L23" s="601"/>
      <c r="M23" s="601"/>
      <c r="N23" s="200"/>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row>
    <row r="24" spans="2:54" ht="4.5" customHeight="1"/>
    <row r="25" spans="2:54" ht="9" customHeight="1">
      <c r="B25" s="594">
        <v>7</v>
      </c>
      <c r="C25" s="594"/>
      <c r="D25" s="600" t="s">
        <v>468</v>
      </c>
      <c r="E25" s="600"/>
      <c r="F25" s="600"/>
      <c r="G25" s="600"/>
      <c r="H25" s="600"/>
      <c r="I25" s="600"/>
      <c r="J25" s="600"/>
      <c r="K25" s="600"/>
      <c r="L25" s="600"/>
      <c r="M25" s="600"/>
      <c r="N25" s="604"/>
      <c r="O25" s="602" t="str">
        <f>IF('(I) Plano de Trabalho'!$O$12="","",'(I) Plano de Trabalho'!$O$12)</f>
        <v>Instituto Brasileiro do Meio Ambiente e dos Recursos Naturais Renováveis - IBAMA</v>
      </c>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row>
    <row r="26" spans="2:54" ht="9" customHeight="1">
      <c r="B26" s="595"/>
      <c r="C26" s="595"/>
      <c r="D26" s="601"/>
      <c r="E26" s="601"/>
      <c r="F26" s="601"/>
      <c r="G26" s="601"/>
      <c r="H26" s="601"/>
      <c r="I26" s="601"/>
      <c r="J26" s="601"/>
      <c r="K26" s="601"/>
      <c r="L26" s="601"/>
      <c r="M26" s="601"/>
      <c r="N26" s="605"/>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row>
    <row r="27" spans="2:54" ht="9" customHeight="1">
      <c r="B27" s="594">
        <v>8</v>
      </c>
      <c r="C27" s="594"/>
      <c r="D27" s="600" t="s">
        <v>9</v>
      </c>
      <c r="E27" s="600"/>
      <c r="F27" s="600"/>
      <c r="G27" s="600"/>
      <c r="H27" s="600"/>
      <c r="I27" s="600"/>
      <c r="J27" s="600"/>
      <c r="K27" s="600"/>
      <c r="L27" s="600"/>
      <c r="M27" s="600"/>
      <c r="N27" s="605"/>
      <c r="O27" s="618" t="str">
        <f>IF('(I) Plano de Trabalho'!$O$28="","",'(I) Plano de Trabalho'!$O$28)</f>
        <v>Brasília</v>
      </c>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05"/>
      <c r="AV27" s="617" t="s">
        <v>10</v>
      </c>
      <c r="AW27" s="617"/>
      <c r="AX27" s="617"/>
      <c r="AY27" s="605"/>
      <c r="AZ27" s="626" t="str">
        <f>IF('(I) Plano de Trabalho'!$AH$28="","",'(I) Plano de Trabalho'!$AH$28)</f>
        <v>DF</v>
      </c>
      <c r="BA27" s="626"/>
      <c r="BB27" s="626"/>
    </row>
    <row r="28" spans="2:54" ht="9" customHeight="1">
      <c r="B28" s="595"/>
      <c r="C28" s="595"/>
      <c r="D28" s="601"/>
      <c r="E28" s="601"/>
      <c r="F28" s="601"/>
      <c r="G28" s="601"/>
      <c r="H28" s="601"/>
      <c r="I28" s="601"/>
      <c r="J28" s="601"/>
      <c r="K28" s="601"/>
      <c r="L28" s="601"/>
      <c r="M28" s="601"/>
      <c r="N28" s="605"/>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05"/>
      <c r="AV28" s="617"/>
      <c r="AW28" s="617"/>
      <c r="AX28" s="617"/>
      <c r="AY28" s="605"/>
      <c r="AZ28" s="627"/>
      <c r="BA28" s="627"/>
      <c r="BB28" s="627"/>
    </row>
    <row r="29" spans="2:54" ht="9" customHeight="1">
      <c r="B29" s="594">
        <v>9</v>
      </c>
      <c r="C29" s="594"/>
      <c r="D29" s="600" t="s">
        <v>467</v>
      </c>
      <c r="E29" s="600"/>
      <c r="F29" s="600"/>
      <c r="G29" s="600"/>
      <c r="H29" s="600"/>
      <c r="I29" s="600"/>
      <c r="J29" s="600"/>
      <c r="K29" s="600"/>
      <c r="L29" s="600"/>
      <c r="M29" s="600"/>
      <c r="N29" s="605"/>
      <c r="O29" s="615" t="str">
        <f>IF('(I) Plano de Trabalho'!$W$37="x","Sim","Não")</f>
        <v>Sim</v>
      </c>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5"/>
      <c r="AY29" s="615"/>
      <c r="AZ29" s="615"/>
      <c r="BA29" s="615"/>
      <c r="BB29" s="615"/>
    </row>
    <row r="30" spans="2:54" ht="9" customHeight="1">
      <c r="B30" s="595"/>
      <c r="C30" s="595"/>
      <c r="D30" s="601"/>
      <c r="E30" s="601"/>
      <c r="F30" s="601"/>
      <c r="G30" s="601"/>
      <c r="H30" s="601"/>
      <c r="I30" s="601"/>
      <c r="J30" s="601"/>
      <c r="K30" s="601"/>
      <c r="L30" s="601"/>
      <c r="M30" s="601"/>
      <c r="N30" s="605"/>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row>
    <row r="31" spans="2:54" ht="4.5" customHeight="1"/>
    <row r="32" spans="2:54" ht="9" customHeight="1">
      <c r="B32" s="594">
        <v>10</v>
      </c>
      <c r="C32" s="594"/>
      <c r="D32" s="600" t="s">
        <v>469</v>
      </c>
      <c r="E32" s="600"/>
      <c r="F32" s="600"/>
      <c r="G32" s="600"/>
      <c r="H32" s="600"/>
      <c r="I32" s="600"/>
      <c r="J32" s="600"/>
      <c r="K32" s="600"/>
      <c r="L32" s="600"/>
      <c r="M32" s="600"/>
      <c r="N32" s="193"/>
      <c r="O32" s="619" t="str">
        <f>IF('(I) Plano de Trabalho'!$O$102="","",'(I) Plano de Trabalho'!$O$102)</f>
        <v>O Instituto Brasileiro do Meio Ambiente e dos Recursos Naturais Renováveis - IBAMA, autarquia federal vinculada ao Ministério do Meio Ambiente - MMA, foi criado em 1989 pelo art. 2º da Lei Federal nº 7.735 e possui estrutura regimental estabelecida pelo Decreto nº 6.099, de 26 de abril de 2007. O órgão tem poder de polícia conferido pelo Decreto nº 6.938, de 31 de agosto de 1981 e, além de outras atribuições, atua como órgão anuente nas importações e exportações de substâncias e produtos de seu âmbito de controle, em consonância com o Decreto nº 6.759, de 5 de fevereiro de 2009, que regulamenta a administração das atividades aduaneiras, a fiscalização, o controle e a tributação das operações de comércio exterior, tendo como fundamento acordos internacionais multilaterais, leis e decretos. O controle exercido pelo Ibama nas importações e exportações de espécies, produtos e subprodutos da biodiversidade nativa e exótica, respaldado nas ações de competência da União estabelecidas pela Lei  Complementar 140, de 8 de dezembro de 2011, constitui atuação de grande relevância para a manutenção de um meio ambiente equilibrado, por meio da garantia da origem legal dos produtos exportados e da prevenção à invasão de espécies exóticas capazes de causar danos às espécies nativas e ecossistemas naturais. Embora o Ibama atue em portos desde a sua criação, e em aeroportos há cerca de 2 décadas, seu recente estabelecimento formal nos aeroportos de Viracopos-SP e Guarulhos-SP, em 2012 e 2013, respectivamente, representou importante passo para o aprimoramento das atividades do Ibama em comércio exterior. Aliado a isso, em 2017, foi criada uma coordenação destinada exclusivamente ao tratamento de assuntos de comércio exterior da biodiversidade (Portaria nº 14, de 29 de junho de 2017), abrindo caminho para o desenvolvimento com foco nesta atribuição precípua do órgão e ampliando seus efeitos a todos os locais onde há necessidade de controle ambiental do comércio internacional.</v>
      </c>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19"/>
      <c r="AQ32" s="619"/>
      <c r="AR32" s="619"/>
      <c r="AS32" s="619"/>
      <c r="AT32" s="619"/>
      <c r="AU32" s="619"/>
      <c r="AV32" s="619"/>
      <c r="AW32" s="619"/>
      <c r="AX32" s="619"/>
      <c r="AY32" s="619"/>
      <c r="AZ32" s="619"/>
      <c r="BA32" s="619"/>
      <c r="BB32" s="619"/>
    </row>
    <row r="33" spans="2:54" ht="9" customHeight="1">
      <c r="B33" s="611"/>
      <c r="C33" s="611"/>
      <c r="D33" s="613"/>
      <c r="E33" s="613"/>
      <c r="F33" s="613"/>
      <c r="G33" s="613"/>
      <c r="H33" s="613"/>
      <c r="I33" s="613"/>
      <c r="J33" s="613"/>
      <c r="K33" s="613"/>
      <c r="L33" s="613"/>
      <c r="M33" s="613"/>
      <c r="N33" s="199"/>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0"/>
      <c r="AP33" s="620"/>
      <c r="AQ33" s="620"/>
      <c r="AR33" s="620"/>
      <c r="AS33" s="620"/>
      <c r="AT33" s="620"/>
      <c r="AU33" s="620"/>
      <c r="AV33" s="620"/>
      <c r="AW33" s="620"/>
      <c r="AX33" s="620"/>
      <c r="AY33" s="620"/>
      <c r="AZ33" s="620"/>
      <c r="BA33" s="620"/>
      <c r="BB33" s="620"/>
    </row>
    <row r="34" spans="2:54" ht="9" customHeight="1">
      <c r="B34" s="201"/>
      <c r="C34" s="201"/>
      <c r="D34" s="201"/>
      <c r="E34" s="201"/>
      <c r="F34" s="201"/>
      <c r="G34" s="201"/>
      <c r="H34" s="201"/>
      <c r="I34" s="201"/>
      <c r="J34" s="201"/>
      <c r="K34" s="201"/>
      <c r="L34" s="201"/>
      <c r="M34" s="201"/>
      <c r="N34" s="199"/>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0"/>
      <c r="AP34" s="620"/>
      <c r="AQ34" s="620"/>
      <c r="AR34" s="620"/>
      <c r="AS34" s="620"/>
      <c r="AT34" s="620"/>
      <c r="AU34" s="620"/>
      <c r="AV34" s="620"/>
      <c r="AW34" s="620"/>
      <c r="AX34" s="620"/>
      <c r="AY34" s="620"/>
      <c r="AZ34" s="620"/>
      <c r="BA34" s="620"/>
      <c r="BB34" s="620"/>
    </row>
    <row r="35" spans="2:54" ht="9" customHeight="1">
      <c r="B35" s="201"/>
      <c r="C35" s="201"/>
      <c r="D35" s="201"/>
      <c r="E35" s="201"/>
      <c r="F35" s="201"/>
      <c r="G35" s="201"/>
      <c r="H35" s="201"/>
      <c r="I35" s="201"/>
      <c r="J35" s="201"/>
      <c r="K35" s="201"/>
      <c r="L35" s="201"/>
      <c r="M35" s="201"/>
      <c r="N35" s="199"/>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row>
    <row r="36" spans="2:54" ht="9" customHeight="1">
      <c r="B36" s="201"/>
      <c r="C36" s="201"/>
      <c r="D36" s="201"/>
      <c r="E36" s="201"/>
      <c r="F36" s="201"/>
      <c r="G36" s="201"/>
      <c r="H36" s="201"/>
      <c r="I36" s="201"/>
      <c r="J36" s="201"/>
      <c r="K36" s="201"/>
      <c r="L36" s="201"/>
      <c r="M36" s="201"/>
      <c r="N36" s="199"/>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0"/>
      <c r="AP36" s="620"/>
      <c r="AQ36" s="620"/>
      <c r="AR36" s="620"/>
      <c r="AS36" s="620"/>
      <c r="AT36" s="620"/>
      <c r="AU36" s="620"/>
      <c r="AV36" s="620"/>
      <c r="AW36" s="620"/>
      <c r="AX36" s="620"/>
      <c r="AY36" s="620"/>
      <c r="AZ36" s="620"/>
      <c r="BA36" s="620"/>
      <c r="BB36" s="620"/>
    </row>
    <row r="37" spans="2:54" ht="9" customHeight="1">
      <c r="B37" s="201"/>
      <c r="C37" s="201"/>
      <c r="D37" s="201"/>
      <c r="E37" s="201"/>
      <c r="F37" s="201"/>
      <c r="G37" s="201"/>
      <c r="H37" s="201"/>
      <c r="I37" s="201"/>
      <c r="J37" s="201"/>
      <c r="K37" s="201"/>
      <c r="L37" s="201"/>
      <c r="M37" s="201"/>
      <c r="N37" s="199"/>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c r="AP37" s="620"/>
      <c r="AQ37" s="620"/>
      <c r="AR37" s="620"/>
      <c r="AS37" s="620"/>
      <c r="AT37" s="620"/>
      <c r="AU37" s="620"/>
      <c r="AV37" s="620"/>
      <c r="AW37" s="620"/>
      <c r="AX37" s="620"/>
      <c r="AY37" s="620"/>
      <c r="AZ37" s="620"/>
      <c r="BA37" s="620"/>
      <c r="BB37" s="620"/>
    </row>
    <row r="38" spans="2:54" ht="9" customHeight="1">
      <c r="B38" s="201"/>
      <c r="C38" s="201"/>
      <c r="D38" s="201"/>
      <c r="E38" s="201"/>
      <c r="F38" s="201"/>
      <c r="G38" s="201"/>
      <c r="H38" s="201"/>
      <c r="I38" s="201"/>
      <c r="J38" s="201"/>
      <c r="K38" s="201"/>
      <c r="L38" s="201"/>
      <c r="M38" s="201"/>
      <c r="N38" s="199"/>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c r="AP38" s="620"/>
      <c r="AQ38" s="620"/>
      <c r="AR38" s="620"/>
      <c r="AS38" s="620"/>
      <c r="AT38" s="620"/>
      <c r="AU38" s="620"/>
      <c r="AV38" s="620"/>
      <c r="AW38" s="620"/>
      <c r="AX38" s="620"/>
      <c r="AY38" s="620"/>
      <c r="AZ38" s="620"/>
      <c r="BA38" s="620"/>
      <c r="BB38" s="620"/>
    </row>
    <row r="39" spans="2:54" ht="9" customHeight="1">
      <c r="B39" s="201"/>
      <c r="C39" s="201"/>
      <c r="D39" s="201"/>
      <c r="E39" s="201"/>
      <c r="F39" s="201"/>
      <c r="G39" s="201"/>
      <c r="H39" s="201"/>
      <c r="I39" s="201"/>
      <c r="J39" s="201"/>
      <c r="K39" s="201"/>
      <c r="L39" s="201"/>
      <c r="M39" s="201"/>
      <c r="N39" s="199"/>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row>
    <row r="40" spans="2:54" ht="9" customHeight="1">
      <c r="B40" s="201"/>
      <c r="C40" s="201"/>
      <c r="D40" s="201"/>
      <c r="E40" s="201"/>
      <c r="F40" s="201"/>
      <c r="G40" s="201"/>
      <c r="H40" s="201"/>
      <c r="I40" s="201"/>
      <c r="J40" s="201"/>
      <c r="K40" s="201"/>
      <c r="L40" s="201"/>
      <c r="M40" s="201"/>
      <c r="N40" s="199"/>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row>
    <row r="41" spans="2:54" ht="9" customHeight="1">
      <c r="B41" s="201"/>
      <c r="C41" s="201"/>
      <c r="D41" s="201"/>
      <c r="E41" s="201"/>
      <c r="F41" s="201"/>
      <c r="G41" s="201"/>
      <c r="H41" s="201"/>
      <c r="I41" s="201"/>
      <c r="J41" s="201"/>
      <c r="K41" s="201"/>
      <c r="L41" s="201"/>
      <c r="M41" s="201"/>
      <c r="N41" s="199"/>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row>
    <row r="42" spans="2:54" ht="9" customHeight="1">
      <c r="B42" s="201"/>
      <c r="C42" s="201"/>
      <c r="D42" s="201"/>
      <c r="E42" s="201"/>
      <c r="F42" s="201"/>
      <c r="G42" s="201"/>
      <c r="H42" s="201"/>
      <c r="I42" s="201"/>
      <c r="J42" s="201"/>
      <c r="K42" s="201"/>
      <c r="L42" s="201"/>
      <c r="M42" s="201"/>
      <c r="N42" s="199"/>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row>
    <row r="43" spans="2:54" ht="9" customHeight="1">
      <c r="B43" s="201"/>
      <c r="C43" s="201"/>
      <c r="D43" s="201"/>
      <c r="E43" s="201"/>
      <c r="F43" s="201"/>
      <c r="G43" s="201"/>
      <c r="H43" s="201"/>
      <c r="I43" s="201"/>
      <c r="J43" s="201"/>
      <c r="K43" s="201"/>
      <c r="L43" s="201"/>
      <c r="M43" s="201"/>
      <c r="N43" s="199"/>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row>
    <row r="44" spans="2:54" ht="9" customHeight="1">
      <c r="B44" s="201"/>
      <c r="C44" s="201"/>
      <c r="D44" s="201"/>
      <c r="E44" s="201"/>
      <c r="F44" s="201"/>
      <c r="G44" s="201"/>
      <c r="H44" s="201"/>
      <c r="I44" s="201"/>
      <c r="J44" s="201"/>
      <c r="K44" s="201"/>
      <c r="L44" s="201"/>
      <c r="M44" s="201"/>
      <c r="N44" s="199"/>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row>
    <row r="45" spans="2:54" ht="9" customHeight="1">
      <c r="B45" s="201"/>
      <c r="C45" s="201"/>
      <c r="D45" s="201"/>
      <c r="E45" s="201"/>
      <c r="F45" s="201"/>
      <c r="G45" s="201"/>
      <c r="H45" s="201"/>
      <c r="I45" s="201"/>
      <c r="J45" s="201"/>
      <c r="K45" s="201"/>
      <c r="L45" s="201"/>
      <c r="M45" s="201"/>
      <c r="N45" s="199"/>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row>
    <row r="46" spans="2:54" ht="9" customHeight="1">
      <c r="B46" s="201"/>
      <c r="C46" s="201"/>
      <c r="D46" s="201"/>
      <c r="E46" s="201"/>
      <c r="F46" s="201"/>
      <c r="G46" s="201"/>
      <c r="H46" s="201"/>
      <c r="I46" s="201"/>
      <c r="J46" s="201"/>
      <c r="K46" s="201"/>
      <c r="L46" s="201"/>
      <c r="M46" s="201"/>
      <c r="N46" s="199"/>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0"/>
      <c r="AP46" s="620"/>
      <c r="AQ46" s="620"/>
      <c r="AR46" s="620"/>
      <c r="AS46" s="620"/>
      <c r="AT46" s="620"/>
      <c r="AU46" s="620"/>
      <c r="AV46" s="620"/>
      <c r="AW46" s="620"/>
      <c r="AX46" s="620"/>
      <c r="AY46" s="620"/>
      <c r="AZ46" s="620"/>
      <c r="BA46" s="620"/>
      <c r="BB46" s="620"/>
    </row>
    <row r="47" spans="2:54" ht="9" customHeight="1">
      <c r="B47" s="201"/>
      <c r="C47" s="201"/>
      <c r="D47" s="201"/>
      <c r="E47" s="201"/>
      <c r="F47" s="201"/>
      <c r="G47" s="201"/>
      <c r="H47" s="201"/>
      <c r="I47" s="201"/>
      <c r="J47" s="201"/>
      <c r="K47" s="201"/>
      <c r="L47" s="201"/>
      <c r="M47" s="201"/>
      <c r="N47" s="199"/>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row>
    <row r="48" spans="2:54" ht="9" customHeight="1">
      <c r="B48" s="201"/>
      <c r="C48" s="201"/>
      <c r="D48" s="201"/>
      <c r="E48" s="201"/>
      <c r="F48" s="201"/>
      <c r="G48" s="201"/>
      <c r="H48" s="201"/>
      <c r="I48" s="201"/>
      <c r="J48" s="201"/>
      <c r="K48" s="201"/>
      <c r="L48" s="201"/>
      <c r="M48" s="201"/>
      <c r="N48" s="199"/>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row>
    <row r="49" spans="2:54" ht="9" customHeight="1">
      <c r="B49" s="201"/>
      <c r="C49" s="201"/>
      <c r="D49" s="201"/>
      <c r="E49" s="201"/>
      <c r="F49" s="201"/>
      <c r="G49" s="201"/>
      <c r="H49" s="201"/>
      <c r="I49" s="201"/>
      <c r="J49" s="201"/>
      <c r="K49" s="201"/>
      <c r="L49" s="201"/>
      <c r="M49" s="201"/>
      <c r="N49" s="199"/>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0"/>
      <c r="AY49" s="620"/>
      <c r="AZ49" s="620"/>
      <c r="BA49" s="620"/>
      <c r="BB49" s="620"/>
    </row>
    <row r="50" spans="2:54" ht="9" customHeight="1">
      <c r="B50" s="201"/>
      <c r="C50" s="201"/>
      <c r="D50" s="201"/>
      <c r="E50" s="201"/>
      <c r="F50" s="201"/>
      <c r="G50" s="201"/>
      <c r="H50" s="201"/>
      <c r="I50" s="201"/>
      <c r="J50" s="201"/>
      <c r="K50" s="201"/>
      <c r="L50" s="201"/>
      <c r="M50" s="201"/>
      <c r="N50" s="199"/>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row>
    <row r="51" spans="2:54" ht="9" customHeight="1">
      <c r="B51" s="201"/>
      <c r="C51" s="201"/>
      <c r="D51" s="201"/>
      <c r="E51" s="201"/>
      <c r="F51" s="201"/>
      <c r="G51" s="201"/>
      <c r="H51" s="201"/>
      <c r="I51" s="201"/>
      <c r="J51" s="201"/>
      <c r="K51" s="201"/>
      <c r="L51" s="201"/>
      <c r="M51" s="201"/>
      <c r="N51" s="199"/>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0"/>
      <c r="AY51" s="620"/>
      <c r="AZ51" s="620"/>
      <c r="BA51" s="620"/>
      <c r="BB51" s="620"/>
    </row>
    <row r="52" spans="2:54" ht="9" customHeight="1">
      <c r="B52" s="201"/>
      <c r="C52" s="201"/>
      <c r="D52" s="201"/>
      <c r="E52" s="201"/>
      <c r="F52" s="201"/>
      <c r="G52" s="201"/>
      <c r="H52" s="201"/>
      <c r="I52" s="201"/>
      <c r="J52" s="201"/>
      <c r="K52" s="201"/>
      <c r="L52" s="201"/>
      <c r="M52" s="201"/>
      <c r="N52" s="199"/>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0"/>
      <c r="BB52" s="620"/>
    </row>
    <row r="53" spans="2:54" ht="9" customHeight="1">
      <c r="B53" s="201"/>
      <c r="C53" s="201"/>
      <c r="D53" s="201"/>
      <c r="E53" s="201"/>
      <c r="F53" s="201"/>
      <c r="G53" s="201"/>
      <c r="H53" s="201"/>
      <c r="I53" s="201"/>
      <c r="J53" s="201"/>
      <c r="K53" s="201"/>
      <c r="L53" s="201"/>
      <c r="M53" s="201"/>
      <c r="N53" s="199"/>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row>
    <row r="54" spans="2:54" ht="9" customHeight="1">
      <c r="B54" s="201"/>
      <c r="C54" s="201"/>
      <c r="D54" s="201"/>
      <c r="E54" s="201"/>
      <c r="F54" s="201"/>
      <c r="G54" s="201"/>
      <c r="H54" s="201"/>
      <c r="I54" s="201"/>
      <c r="J54" s="201"/>
      <c r="K54" s="201"/>
      <c r="L54" s="201"/>
      <c r="M54" s="201"/>
      <c r="N54" s="199"/>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row>
    <row r="55" spans="2:54" ht="9" customHeight="1">
      <c r="B55" s="201"/>
      <c r="C55" s="201"/>
      <c r="D55" s="201"/>
      <c r="E55" s="201"/>
      <c r="F55" s="201"/>
      <c r="G55" s="201"/>
      <c r="H55" s="201"/>
      <c r="I55" s="201"/>
      <c r="J55" s="201"/>
      <c r="K55" s="201"/>
      <c r="L55" s="201"/>
      <c r="M55" s="201"/>
      <c r="N55" s="199"/>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row>
    <row r="56" spans="2:54" ht="9" customHeight="1">
      <c r="B56" s="201"/>
      <c r="C56" s="201"/>
      <c r="D56" s="201"/>
      <c r="E56" s="201"/>
      <c r="F56" s="201"/>
      <c r="G56" s="201"/>
      <c r="H56" s="201"/>
      <c r="I56" s="201"/>
      <c r="J56" s="201"/>
      <c r="K56" s="201"/>
      <c r="L56" s="201"/>
      <c r="M56" s="201"/>
      <c r="N56" s="199"/>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row>
    <row r="57" spans="2:54" ht="9" customHeight="1">
      <c r="B57" s="201"/>
      <c r="C57" s="201"/>
      <c r="D57" s="201"/>
      <c r="E57" s="201"/>
      <c r="F57" s="201"/>
      <c r="G57" s="201"/>
      <c r="H57" s="201"/>
      <c r="I57" s="201"/>
      <c r="J57" s="201"/>
      <c r="K57" s="201"/>
      <c r="L57" s="201"/>
      <c r="M57" s="201"/>
      <c r="N57" s="199"/>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0"/>
      <c r="AZ57" s="620"/>
      <c r="BA57" s="620"/>
      <c r="BB57" s="620"/>
    </row>
    <row r="58" spans="2:54" ht="9" customHeight="1">
      <c r="B58" s="201"/>
      <c r="C58" s="201"/>
      <c r="D58" s="201"/>
      <c r="E58" s="201"/>
      <c r="F58" s="201"/>
      <c r="G58" s="201"/>
      <c r="H58" s="201"/>
      <c r="I58" s="201"/>
      <c r="J58" s="201"/>
      <c r="K58" s="201"/>
      <c r="L58" s="201"/>
      <c r="M58" s="201"/>
      <c r="N58" s="199"/>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0"/>
      <c r="AP58" s="620"/>
      <c r="AQ58" s="620"/>
      <c r="AR58" s="620"/>
      <c r="AS58" s="620"/>
      <c r="AT58" s="620"/>
      <c r="AU58" s="620"/>
      <c r="AV58" s="620"/>
      <c r="AW58" s="620"/>
      <c r="AX58" s="620"/>
      <c r="AY58" s="620"/>
      <c r="AZ58" s="620"/>
      <c r="BA58" s="620"/>
      <c r="BB58" s="620"/>
    </row>
    <row r="59" spans="2:54" ht="9" customHeight="1">
      <c r="B59" s="201"/>
      <c r="C59" s="201"/>
      <c r="D59" s="201"/>
      <c r="E59" s="201"/>
      <c r="F59" s="201"/>
      <c r="G59" s="201"/>
      <c r="H59" s="201"/>
      <c r="I59" s="201"/>
      <c r="J59" s="201"/>
      <c r="K59" s="201"/>
      <c r="L59" s="201"/>
      <c r="M59" s="201"/>
      <c r="N59" s="199"/>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0"/>
      <c r="AP59" s="620"/>
      <c r="AQ59" s="620"/>
      <c r="AR59" s="620"/>
      <c r="AS59" s="620"/>
      <c r="AT59" s="620"/>
      <c r="AU59" s="620"/>
      <c r="AV59" s="620"/>
      <c r="AW59" s="620"/>
      <c r="AX59" s="620"/>
      <c r="AY59" s="620"/>
      <c r="AZ59" s="620"/>
      <c r="BA59" s="620"/>
      <c r="BB59" s="620"/>
    </row>
    <row r="60" spans="2:54" ht="9" customHeight="1">
      <c r="B60" s="201"/>
      <c r="C60" s="201"/>
      <c r="D60" s="201"/>
      <c r="E60" s="201"/>
      <c r="F60" s="201"/>
      <c r="G60" s="201"/>
      <c r="H60" s="201"/>
      <c r="I60" s="201"/>
      <c r="J60" s="201"/>
      <c r="K60" s="201"/>
      <c r="L60" s="201"/>
      <c r="M60" s="201"/>
      <c r="N60" s="199"/>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0"/>
      <c r="AX60" s="620"/>
      <c r="AY60" s="620"/>
      <c r="AZ60" s="620"/>
      <c r="BA60" s="620"/>
      <c r="BB60" s="620"/>
    </row>
    <row r="61" spans="2:54" ht="9" customHeight="1">
      <c r="B61" s="201"/>
      <c r="C61" s="201"/>
      <c r="D61" s="201"/>
      <c r="E61" s="201"/>
      <c r="F61" s="201"/>
      <c r="G61" s="201"/>
      <c r="H61" s="201"/>
      <c r="I61" s="201"/>
      <c r="J61" s="201"/>
      <c r="K61" s="201"/>
      <c r="L61" s="201"/>
      <c r="M61" s="201"/>
      <c r="N61" s="199"/>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0"/>
      <c r="AP61" s="620"/>
      <c r="AQ61" s="620"/>
      <c r="AR61" s="620"/>
      <c r="AS61" s="620"/>
      <c r="AT61" s="620"/>
      <c r="AU61" s="620"/>
      <c r="AV61" s="620"/>
      <c r="AW61" s="620"/>
      <c r="AX61" s="620"/>
      <c r="AY61" s="620"/>
      <c r="AZ61" s="620"/>
      <c r="BA61" s="620"/>
      <c r="BB61" s="620"/>
    </row>
    <row r="62" spans="2:54" ht="9" customHeight="1">
      <c r="B62" s="201"/>
      <c r="C62" s="201"/>
      <c r="D62" s="201"/>
      <c r="E62" s="201"/>
      <c r="F62" s="201"/>
      <c r="G62" s="201"/>
      <c r="H62" s="201"/>
      <c r="I62" s="201"/>
      <c r="J62" s="201"/>
      <c r="K62" s="201"/>
      <c r="L62" s="201"/>
      <c r="M62" s="201"/>
      <c r="N62" s="199"/>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0"/>
      <c r="AP62" s="620"/>
      <c r="AQ62" s="620"/>
      <c r="AR62" s="620"/>
      <c r="AS62" s="620"/>
      <c r="AT62" s="620"/>
      <c r="AU62" s="620"/>
      <c r="AV62" s="620"/>
      <c r="AW62" s="620"/>
      <c r="AX62" s="620"/>
      <c r="AY62" s="620"/>
      <c r="AZ62" s="620"/>
      <c r="BA62" s="620"/>
      <c r="BB62" s="620"/>
    </row>
    <row r="63" spans="2:54" ht="9" customHeight="1">
      <c r="B63" s="201"/>
      <c r="C63" s="201"/>
      <c r="D63" s="201"/>
      <c r="E63" s="201"/>
      <c r="F63" s="201"/>
      <c r="G63" s="201"/>
      <c r="H63" s="201"/>
      <c r="I63" s="201"/>
      <c r="J63" s="201"/>
      <c r="K63" s="201"/>
      <c r="L63" s="201"/>
      <c r="M63" s="201"/>
      <c r="N63" s="199"/>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c r="BA63" s="620"/>
      <c r="BB63" s="620"/>
    </row>
    <row r="64" spans="2:54" ht="9" customHeight="1">
      <c r="B64" s="201"/>
      <c r="C64" s="201"/>
      <c r="D64" s="201"/>
      <c r="E64" s="201"/>
      <c r="F64" s="201"/>
      <c r="G64" s="201"/>
      <c r="H64" s="201"/>
      <c r="I64" s="201"/>
      <c r="J64" s="201"/>
      <c r="K64" s="201"/>
      <c r="L64" s="201"/>
      <c r="M64" s="201"/>
      <c r="N64" s="199"/>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0"/>
      <c r="AP64" s="620"/>
      <c r="AQ64" s="620"/>
      <c r="AR64" s="620"/>
      <c r="AS64" s="620"/>
      <c r="AT64" s="620"/>
      <c r="AU64" s="620"/>
      <c r="AV64" s="620"/>
      <c r="AW64" s="620"/>
      <c r="AX64" s="620"/>
      <c r="AY64" s="620"/>
      <c r="AZ64" s="620"/>
      <c r="BA64" s="620"/>
      <c r="BB64" s="620"/>
    </row>
    <row r="65" spans="2:54" ht="9" customHeight="1">
      <c r="B65" s="201"/>
      <c r="C65" s="201"/>
      <c r="D65" s="201"/>
      <c r="E65" s="201"/>
      <c r="F65" s="201"/>
      <c r="G65" s="201"/>
      <c r="H65" s="201"/>
      <c r="I65" s="201"/>
      <c r="J65" s="201"/>
      <c r="K65" s="201"/>
      <c r="L65" s="201"/>
      <c r="M65" s="201"/>
      <c r="N65" s="199"/>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0"/>
      <c r="AZ65" s="620"/>
      <c r="BA65" s="620"/>
      <c r="BB65" s="620"/>
    </row>
    <row r="66" spans="2:54" ht="9" customHeight="1">
      <c r="B66" s="201"/>
      <c r="C66" s="201"/>
      <c r="D66" s="201"/>
      <c r="E66" s="201"/>
      <c r="F66" s="201"/>
      <c r="G66" s="201"/>
      <c r="H66" s="201"/>
      <c r="I66" s="201"/>
      <c r="J66" s="201"/>
      <c r="K66" s="201"/>
      <c r="L66" s="201"/>
      <c r="M66" s="201"/>
      <c r="N66" s="199"/>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c r="BA66" s="620"/>
      <c r="BB66" s="620"/>
    </row>
    <row r="67" spans="2:54" ht="9" customHeight="1">
      <c r="B67" s="201"/>
      <c r="C67" s="201"/>
      <c r="D67" s="201"/>
      <c r="E67" s="201"/>
      <c r="F67" s="201"/>
      <c r="G67" s="201"/>
      <c r="H67" s="201"/>
      <c r="I67" s="201"/>
      <c r="J67" s="201"/>
      <c r="K67" s="201"/>
      <c r="L67" s="201"/>
      <c r="M67" s="201"/>
      <c r="N67" s="199"/>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c r="BB67" s="620"/>
    </row>
    <row r="68" spans="2:54" ht="9" customHeight="1">
      <c r="B68" s="201"/>
      <c r="C68" s="201"/>
      <c r="D68" s="201"/>
      <c r="E68" s="201"/>
      <c r="F68" s="201"/>
      <c r="G68" s="201"/>
      <c r="H68" s="201"/>
      <c r="I68" s="201"/>
      <c r="J68" s="201"/>
      <c r="K68" s="201"/>
      <c r="L68" s="201"/>
      <c r="M68" s="201"/>
      <c r="N68" s="199"/>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0"/>
      <c r="AP68" s="620"/>
      <c r="AQ68" s="620"/>
      <c r="AR68" s="620"/>
      <c r="AS68" s="620"/>
      <c r="AT68" s="620"/>
      <c r="AU68" s="620"/>
      <c r="AV68" s="620"/>
      <c r="AW68" s="620"/>
      <c r="AX68" s="620"/>
      <c r="AY68" s="620"/>
      <c r="AZ68" s="620"/>
      <c r="BA68" s="620"/>
      <c r="BB68" s="620"/>
    </row>
    <row r="69" spans="2:54" ht="9" customHeight="1">
      <c r="B69" s="201"/>
      <c r="C69" s="201"/>
      <c r="D69" s="201"/>
      <c r="E69" s="201"/>
      <c r="F69" s="201"/>
      <c r="G69" s="201"/>
      <c r="H69" s="201"/>
      <c r="I69" s="201"/>
      <c r="J69" s="201"/>
      <c r="K69" s="201"/>
      <c r="L69" s="201"/>
      <c r="M69" s="201"/>
      <c r="N69" s="199"/>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0"/>
      <c r="AP69" s="620"/>
      <c r="AQ69" s="620"/>
      <c r="AR69" s="620"/>
      <c r="AS69" s="620"/>
      <c r="AT69" s="620"/>
      <c r="AU69" s="620"/>
      <c r="AV69" s="620"/>
      <c r="AW69" s="620"/>
      <c r="AX69" s="620"/>
      <c r="AY69" s="620"/>
      <c r="AZ69" s="620"/>
      <c r="BA69" s="620"/>
      <c r="BB69" s="620"/>
    </row>
    <row r="70" spans="2:54" ht="9" customHeight="1">
      <c r="B70" s="201"/>
      <c r="C70" s="201"/>
      <c r="D70" s="201"/>
      <c r="E70" s="201"/>
      <c r="F70" s="201"/>
      <c r="G70" s="201"/>
      <c r="H70" s="201"/>
      <c r="I70" s="201"/>
      <c r="J70" s="201"/>
      <c r="K70" s="201"/>
      <c r="L70" s="201"/>
      <c r="M70" s="201"/>
      <c r="N70" s="199"/>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0"/>
      <c r="AY70" s="620"/>
      <c r="AZ70" s="620"/>
      <c r="BA70" s="620"/>
      <c r="BB70" s="620"/>
    </row>
    <row r="71" spans="2:54" ht="9" customHeight="1">
      <c r="B71" s="201"/>
      <c r="C71" s="201"/>
      <c r="D71" s="201"/>
      <c r="E71" s="201"/>
      <c r="F71" s="201"/>
      <c r="G71" s="201"/>
      <c r="H71" s="201"/>
      <c r="I71" s="201"/>
      <c r="J71" s="201"/>
      <c r="K71" s="201"/>
      <c r="L71" s="201"/>
      <c r="M71" s="201"/>
      <c r="N71" s="199"/>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0"/>
      <c r="AP71" s="620"/>
      <c r="AQ71" s="620"/>
      <c r="AR71" s="620"/>
      <c r="AS71" s="620"/>
      <c r="AT71" s="620"/>
      <c r="AU71" s="620"/>
      <c r="AV71" s="620"/>
      <c r="AW71" s="620"/>
      <c r="AX71" s="620"/>
      <c r="AY71" s="620"/>
      <c r="AZ71" s="620"/>
      <c r="BA71" s="620"/>
      <c r="BB71" s="620"/>
    </row>
    <row r="72" spans="2:54" ht="9" customHeight="1">
      <c r="B72" s="201"/>
      <c r="C72" s="201"/>
      <c r="D72" s="201"/>
      <c r="E72" s="201"/>
      <c r="F72" s="201"/>
      <c r="G72" s="201"/>
      <c r="H72" s="201"/>
      <c r="I72" s="201"/>
      <c r="J72" s="201"/>
      <c r="K72" s="201"/>
      <c r="L72" s="201"/>
      <c r="M72" s="201"/>
      <c r="N72" s="199"/>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0"/>
      <c r="AZ72" s="620"/>
      <c r="BA72" s="620"/>
      <c r="BB72" s="620"/>
    </row>
    <row r="73" spans="2:54" ht="9" customHeight="1">
      <c r="B73" s="201"/>
      <c r="C73" s="201"/>
      <c r="D73" s="201"/>
      <c r="E73" s="201"/>
      <c r="F73" s="201"/>
      <c r="G73" s="201"/>
      <c r="H73" s="201"/>
      <c r="I73" s="201"/>
      <c r="J73" s="201"/>
      <c r="K73" s="201"/>
      <c r="L73" s="201"/>
      <c r="M73" s="201"/>
      <c r="N73" s="199"/>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0"/>
      <c r="BA73" s="620"/>
      <c r="BB73" s="620"/>
    </row>
    <row r="74" spans="2:54" ht="9" customHeight="1">
      <c r="B74" s="201"/>
      <c r="C74" s="201"/>
      <c r="D74" s="201"/>
      <c r="E74" s="201"/>
      <c r="F74" s="201"/>
      <c r="G74" s="201"/>
      <c r="H74" s="201"/>
      <c r="I74" s="201"/>
      <c r="J74" s="201"/>
      <c r="K74" s="201"/>
      <c r="L74" s="201"/>
      <c r="M74" s="201"/>
      <c r="N74" s="199"/>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c r="BA74" s="620"/>
      <c r="BB74" s="620"/>
    </row>
    <row r="75" spans="2:54" ht="9" customHeight="1">
      <c r="B75" s="201"/>
      <c r="C75" s="201"/>
      <c r="D75" s="201"/>
      <c r="E75" s="201"/>
      <c r="F75" s="201"/>
      <c r="G75" s="201"/>
      <c r="H75" s="201"/>
      <c r="I75" s="201"/>
      <c r="J75" s="201"/>
      <c r="K75" s="201"/>
      <c r="L75" s="201"/>
      <c r="M75" s="201"/>
      <c r="N75" s="199"/>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0"/>
      <c r="AL75" s="620"/>
      <c r="AM75" s="620"/>
      <c r="AN75" s="620"/>
      <c r="AO75" s="620"/>
      <c r="AP75" s="620"/>
      <c r="AQ75" s="620"/>
      <c r="AR75" s="620"/>
      <c r="AS75" s="620"/>
      <c r="AT75" s="620"/>
      <c r="AU75" s="620"/>
      <c r="AV75" s="620"/>
      <c r="AW75" s="620"/>
      <c r="AX75" s="620"/>
      <c r="AY75" s="620"/>
      <c r="AZ75" s="620"/>
      <c r="BA75" s="620"/>
      <c r="BB75" s="620"/>
    </row>
    <row r="76" spans="2:54" ht="9" customHeight="1">
      <c r="B76" s="201"/>
      <c r="C76" s="201"/>
      <c r="D76" s="201"/>
      <c r="E76" s="201"/>
      <c r="F76" s="201"/>
      <c r="G76" s="201"/>
      <c r="H76" s="201"/>
      <c r="I76" s="201"/>
      <c r="J76" s="201"/>
      <c r="K76" s="201"/>
      <c r="L76" s="201"/>
      <c r="M76" s="201"/>
      <c r="N76" s="199"/>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0"/>
      <c r="AP76" s="620"/>
      <c r="AQ76" s="620"/>
      <c r="AR76" s="620"/>
      <c r="AS76" s="620"/>
      <c r="AT76" s="620"/>
      <c r="AU76" s="620"/>
      <c r="AV76" s="620"/>
      <c r="AW76" s="620"/>
      <c r="AX76" s="620"/>
      <c r="AY76" s="620"/>
      <c r="AZ76" s="620"/>
      <c r="BA76" s="620"/>
      <c r="BB76" s="620"/>
    </row>
    <row r="77" spans="2:54" ht="9" customHeight="1">
      <c r="B77" s="201"/>
      <c r="C77" s="201"/>
      <c r="D77" s="201"/>
      <c r="E77" s="201"/>
      <c r="F77" s="201"/>
      <c r="G77" s="201"/>
      <c r="H77" s="201"/>
      <c r="I77" s="201"/>
      <c r="J77" s="201"/>
      <c r="K77" s="201"/>
      <c r="L77" s="201"/>
      <c r="M77" s="201"/>
      <c r="N77" s="199"/>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0"/>
      <c r="AY77" s="620"/>
      <c r="AZ77" s="620"/>
      <c r="BA77" s="620"/>
      <c r="BB77" s="620"/>
    </row>
    <row r="78" spans="2:54" ht="9" customHeight="1">
      <c r="B78" s="201"/>
      <c r="C78" s="201"/>
      <c r="D78" s="201"/>
      <c r="E78" s="201"/>
      <c r="F78" s="201"/>
      <c r="G78" s="201"/>
      <c r="H78" s="201"/>
      <c r="I78" s="201"/>
      <c r="J78" s="201"/>
      <c r="K78" s="201"/>
      <c r="L78" s="201"/>
      <c r="M78" s="201"/>
      <c r="N78" s="199"/>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0"/>
      <c r="BA78" s="620"/>
      <c r="BB78" s="620"/>
    </row>
    <row r="79" spans="2:54" ht="9" customHeight="1">
      <c r="B79" s="201"/>
      <c r="C79" s="201"/>
      <c r="D79" s="201"/>
      <c r="E79" s="201"/>
      <c r="F79" s="201"/>
      <c r="G79" s="201"/>
      <c r="H79" s="201"/>
      <c r="I79" s="201"/>
      <c r="J79" s="201"/>
      <c r="K79" s="201"/>
      <c r="L79" s="201"/>
      <c r="M79" s="201"/>
      <c r="N79" s="199"/>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0"/>
      <c r="BA79" s="620"/>
      <c r="BB79" s="620"/>
    </row>
    <row r="80" spans="2:54" ht="9" customHeight="1">
      <c r="B80" s="201"/>
      <c r="C80" s="201"/>
      <c r="D80" s="201"/>
      <c r="E80" s="201"/>
      <c r="F80" s="201"/>
      <c r="G80" s="201"/>
      <c r="H80" s="201"/>
      <c r="I80" s="201"/>
      <c r="J80" s="201"/>
      <c r="K80" s="201"/>
      <c r="L80" s="201"/>
      <c r="M80" s="201"/>
      <c r="N80" s="199"/>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0"/>
      <c r="AY80" s="620"/>
      <c r="AZ80" s="620"/>
      <c r="BA80" s="620"/>
      <c r="BB80" s="620"/>
    </row>
    <row r="81" spans="2:54" ht="9" customHeight="1">
      <c r="B81" s="201"/>
      <c r="C81" s="201"/>
      <c r="D81" s="201"/>
      <c r="E81" s="201"/>
      <c r="F81" s="201"/>
      <c r="G81" s="201"/>
      <c r="H81" s="201"/>
      <c r="I81" s="201"/>
      <c r="J81" s="201"/>
      <c r="K81" s="201"/>
      <c r="L81" s="201"/>
      <c r="M81" s="201"/>
      <c r="N81" s="199"/>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0"/>
      <c r="BA81" s="620"/>
      <c r="BB81" s="620"/>
    </row>
    <row r="82" spans="2:54" ht="9" customHeight="1">
      <c r="B82" s="201"/>
      <c r="C82" s="201"/>
      <c r="D82" s="201"/>
      <c r="E82" s="201"/>
      <c r="F82" s="201"/>
      <c r="G82" s="201"/>
      <c r="H82" s="201"/>
      <c r="I82" s="201"/>
      <c r="J82" s="201"/>
      <c r="K82" s="201"/>
      <c r="L82" s="201"/>
      <c r="M82" s="201"/>
      <c r="N82" s="199"/>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0"/>
      <c r="BA82" s="620"/>
      <c r="BB82" s="620"/>
    </row>
    <row r="83" spans="2:54" ht="9" customHeight="1">
      <c r="B83" s="201"/>
      <c r="C83" s="201"/>
      <c r="D83" s="201"/>
      <c r="E83" s="201"/>
      <c r="F83" s="201"/>
      <c r="G83" s="201"/>
      <c r="H83" s="201"/>
      <c r="I83" s="201"/>
      <c r="J83" s="201"/>
      <c r="K83" s="201"/>
      <c r="L83" s="201"/>
      <c r="M83" s="201"/>
      <c r="N83" s="199"/>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0"/>
      <c r="AZ83" s="620"/>
      <c r="BA83" s="620"/>
      <c r="BB83" s="620"/>
    </row>
    <row r="84" spans="2:54" ht="9" customHeight="1">
      <c r="B84" s="202"/>
      <c r="C84" s="202"/>
      <c r="D84" s="202"/>
      <c r="E84" s="202"/>
      <c r="F84" s="202"/>
      <c r="G84" s="202"/>
      <c r="H84" s="202"/>
      <c r="I84" s="202"/>
      <c r="J84" s="202"/>
      <c r="K84" s="202"/>
      <c r="L84" s="202"/>
      <c r="M84" s="202"/>
      <c r="N84" s="194"/>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621"/>
      <c r="AO84" s="621"/>
      <c r="AP84" s="621"/>
      <c r="AQ84" s="621"/>
      <c r="AR84" s="621"/>
      <c r="AS84" s="621"/>
      <c r="AT84" s="621"/>
      <c r="AU84" s="621"/>
      <c r="AV84" s="621"/>
      <c r="AW84" s="621"/>
      <c r="AX84" s="621"/>
      <c r="AY84" s="621"/>
      <c r="AZ84" s="621"/>
      <c r="BA84" s="621"/>
      <c r="BB84" s="621"/>
    </row>
    <row r="85" spans="2:54" ht="9" customHeight="1"/>
    <row r="86" spans="2:54" ht="9" customHeight="1"/>
    <row r="87" spans="2:54" ht="9" customHeight="1">
      <c r="B87" s="636">
        <v>11</v>
      </c>
      <c r="C87" s="636"/>
      <c r="D87" s="637" t="s">
        <v>28</v>
      </c>
      <c r="E87" s="637"/>
      <c r="F87" s="637"/>
      <c r="G87" s="637"/>
      <c r="H87" s="637"/>
      <c r="I87" s="637"/>
      <c r="J87" s="637"/>
      <c r="K87" s="637"/>
      <c r="L87" s="637"/>
      <c r="M87" s="637"/>
      <c r="N87" s="626"/>
      <c r="O87" s="638" t="str">
        <f>IF('(I) Plano de Trabalho'!$O$360="","",'(I) Plano de Trabalho'!$O$360)</f>
        <v>Otimizar o fluxo das operações de comércio exterior (importação e exportação) dos produtos da biodiversidade que possuem origem legal, sob a responsabilidade de usuários que demonstrem atendimento aos níveis de conformidade e confiabilidade pré-estabelecidos e cumprimento de critérios ambientais de segurança.</v>
      </c>
      <c r="P87" s="638"/>
      <c r="Q87" s="638"/>
      <c r="R87" s="638"/>
      <c r="S87" s="638"/>
      <c r="T87" s="638"/>
      <c r="U87" s="638"/>
      <c r="V87" s="638"/>
      <c r="W87" s="638"/>
      <c r="X87" s="638"/>
      <c r="Y87" s="638"/>
      <c r="Z87" s="638"/>
      <c r="AA87" s="638"/>
      <c r="AB87" s="638"/>
      <c r="AC87" s="638"/>
      <c r="AD87" s="638"/>
      <c r="AE87" s="638"/>
      <c r="AF87" s="638"/>
      <c r="AG87" s="638"/>
      <c r="AH87" s="638"/>
      <c r="AI87" s="638"/>
      <c r="AJ87" s="638"/>
      <c r="AK87" s="638"/>
      <c r="AL87" s="638"/>
      <c r="AM87" s="638"/>
      <c r="AN87" s="638"/>
      <c r="AO87" s="638"/>
      <c r="AP87" s="638"/>
      <c r="AQ87" s="638"/>
      <c r="AR87" s="638"/>
      <c r="AS87" s="638"/>
      <c r="AT87" s="638"/>
      <c r="AU87" s="638"/>
      <c r="AV87" s="638"/>
      <c r="AW87" s="638"/>
      <c r="AX87" s="638"/>
      <c r="AY87" s="638"/>
      <c r="AZ87" s="638"/>
      <c r="BA87" s="638"/>
      <c r="BB87" s="638"/>
    </row>
    <row r="88" spans="2:54" ht="9" customHeight="1">
      <c r="B88" s="611"/>
      <c r="C88" s="611"/>
      <c r="D88" s="613"/>
      <c r="E88" s="613"/>
      <c r="F88" s="613"/>
      <c r="G88" s="613"/>
      <c r="H88" s="613"/>
      <c r="I88" s="613"/>
      <c r="J88" s="613"/>
      <c r="K88" s="613"/>
      <c r="L88" s="613"/>
      <c r="M88" s="613"/>
      <c r="N88" s="623"/>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c r="BA88" s="620"/>
      <c r="BB88" s="620"/>
    </row>
    <row r="89" spans="2:54" ht="9" customHeight="1">
      <c r="B89" s="201"/>
      <c r="C89" s="201"/>
      <c r="D89" s="201"/>
      <c r="E89" s="201"/>
      <c r="F89" s="201"/>
      <c r="G89" s="201"/>
      <c r="H89" s="201"/>
      <c r="I89" s="201"/>
      <c r="J89" s="201"/>
      <c r="K89" s="201"/>
      <c r="L89" s="201"/>
      <c r="M89" s="201"/>
      <c r="N89" s="199"/>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0"/>
      <c r="AP89" s="620"/>
      <c r="AQ89" s="620"/>
      <c r="AR89" s="620"/>
      <c r="AS89" s="620"/>
      <c r="AT89" s="620"/>
      <c r="AU89" s="620"/>
      <c r="AV89" s="620"/>
      <c r="AW89" s="620"/>
      <c r="AX89" s="620"/>
      <c r="AY89" s="620"/>
      <c r="AZ89" s="620"/>
      <c r="BA89" s="620"/>
      <c r="BB89" s="620"/>
    </row>
    <row r="90" spans="2:54" ht="9" customHeight="1">
      <c r="B90" s="201"/>
      <c r="C90" s="201"/>
      <c r="D90" s="201"/>
      <c r="E90" s="201"/>
      <c r="F90" s="201"/>
      <c r="G90" s="201"/>
      <c r="H90" s="201"/>
      <c r="I90" s="201"/>
      <c r="J90" s="201"/>
      <c r="K90" s="201"/>
      <c r="L90" s="201"/>
      <c r="M90" s="201"/>
      <c r="N90" s="199"/>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0"/>
      <c r="AR90" s="620"/>
      <c r="AS90" s="620"/>
      <c r="AT90" s="620"/>
      <c r="AU90" s="620"/>
      <c r="AV90" s="620"/>
      <c r="AW90" s="620"/>
      <c r="AX90" s="620"/>
      <c r="AY90" s="620"/>
      <c r="AZ90" s="620"/>
      <c r="BA90" s="620"/>
      <c r="BB90" s="620"/>
    </row>
    <row r="91" spans="2:54" ht="9" customHeight="1">
      <c r="B91" s="201"/>
      <c r="C91" s="201"/>
      <c r="D91" s="201"/>
      <c r="E91" s="201"/>
      <c r="F91" s="201"/>
      <c r="G91" s="201"/>
      <c r="H91" s="201"/>
      <c r="I91" s="201"/>
      <c r="J91" s="201"/>
      <c r="K91" s="201"/>
      <c r="L91" s="201"/>
      <c r="M91" s="201"/>
      <c r="N91" s="199"/>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c r="BA91" s="620"/>
      <c r="BB91" s="620"/>
    </row>
    <row r="92" spans="2:54" ht="9" customHeight="1">
      <c r="B92" s="201"/>
      <c r="C92" s="201"/>
      <c r="D92" s="201"/>
      <c r="E92" s="201"/>
      <c r="F92" s="201"/>
      <c r="G92" s="201"/>
      <c r="H92" s="201"/>
      <c r="I92" s="201"/>
      <c r="J92" s="201"/>
      <c r="K92" s="201"/>
      <c r="L92" s="201"/>
      <c r="M92" s="201"/>
      <c r="N92" s="199"/>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0"/>
      <c r="AP92" s="620"/>
      <c r="AQ92" s="620"/>
      <c r="AR92" s="620"/>
      <c r="AS92" s="620"/>
      <c r="AT92" s="620"/>
      <c r="AU92" s="620"/>
      <c r="AV92" s="620"/>
      <c r="AW92" s="620"/>
      <c r="AX92" s="620"/>
      <c r="AY92" s="620"/>
      <c r="AZ92" s="620"/>
      <c r="BA92" s="620"/>
      <c r="BB92" s="620"/>
    </row>
    <row r="93" spans="2:54" ht="9" customHeight="1">
      <c r="B93" s="201"/>
      <c r="C93" s="201"/>
      <c r="D93" s="201"/>
      <c r="E93" s="201"/>
      <c r="F93" s="201"/>
      <c r="G93" s="201"/>
      <c r="H93" s="201"/>
      <c r="I93" s="201"/>
      <c r="J93" s="201"/>
      <c r="K93" s="201"/>
      <c r="L93" s="201"/>
      <c r="M93" s="201"/>
      <c r="N93" s="199"/>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0"/>
      <c r="AP93" s="620"/>
      <c r="AQ93" s="620"/>
      <c r="AR93" s="620"/>
      <c r="AS93" s="620"/>
      <c r="AT93" s="620"/>
      <c r="AU93" s="620"/>
      <c r="AV93" s="620"/>
      <c r="AW93" s="620"/>
      <c r="AX93" s="620"/>
      <c r="AY93" s="620"/>
      <c r="AZ93" s="620"/>
      <c r="BA93" s="620"/>
      <c r="BB93" s="620"/>
    </row>
    <row r="94" spans="2:54" ht="9" customHeight="1">
      <c r="B94" s="201"/>
      <c r="C94" s="201"/>
      <c r="D94" s="201"/>
      <c r="E94" s="201"/>
      <c r="F94" s="201"/>
      <c r="G94" s="201"/>
      <c r="H94" s="201"/>
      <c r="I94" s="201"/>
      <c r="J94" s="201"/>
      <c r="K94" s="201"/>
      <c r="L94" s="201"/>
      <c r="M94" s="201"/>
      <c r="N94" s="199"/>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0"/>
      <c r="AZ94" s="620"/>
      <c r="BA94" s="620"/>
      <c r="BB94" s="620"/>
    </row>
    <row r="95" spans="2:54" ht="9" customHeight="1">
      <c r="B95" s="201"/>
      <c r="C95" s="201"/>
      <c r="D95" s="201"/>
      <c r="E95" s="201"/>
      <c r="F95" s="201"/>
      <c r="G95" s="201"/>
      <c r="H95" s="201"/>
      <c r="I95" s="201"/>
      <c r="J95" s="201"/>
      <c r="K95" s="201"/>
      <c r="L95" s="201"/>
      <c r="M95" s="201"/>
      <c r="N95" s="199"/>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620"/>
      <c r="AU95" s="620"/>
      <c r="AV95" s="620"/>
      <c r="AW95" s="620"/>
      <c r="AX95" s="620"/>
      <c r="AY95" s="620"/>
      <c r="AZ95" s="620"/>
      <c r="BA95" s="620"/>
      <c r="BB95" s="620"/>
    </row>
    <row r="96" spans="2:54" ht="9" customHeight="1">
      <c r="B96" s="201"/>
      <c r="C96" s="201"/>
      <c r="D96" s="201"/>
      <c r="E96" s="201"/>
      <c r="F96" s="201"/>
      <c r="G96" s="201"/>
      <c r="H96" s="201"/>
      <c r="I96" s="201"/>
      <c r="J96" s="201"/>
      <c r="K96" s="201"/>
      <c r="L96" s="201"/>
      <c r="M96" s="201"/>
      <c r="N96" s="199"/>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0"/>
      <c r="AZ96" s="620"/>
      <c r="BA96" s="620"/>
      <c r="BB96" s="620"/>
    </row>
    <row r="97" spans="2:54" ht="9" customHeight="1">
      <c r="B97" s="201"/>
      <c r="C97" s="201"/>
      <c r="D97" s="201"/>
      <c r="E97" s="201"/>
      <c r="F97" s="201"/>
      <c r="G97" s="201"/>
      <c r="H97" s="201"/>
      <c r="I97" s="201"/>
      <c r="J97" s="201"/>
      <c r="K97" s="201"/>
      <c r="L97" s="201"/>
      <c r="M97" s="201"/>
      <c r="N97" s="199"/>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0"/>
      <c r="AP97" s="620"/>
      <c r="AQ97" s="620"/>
      <c r="AR97" s="620"/>
      <c r="AS97" s="620"/>
      <c r="AT97" s="620"/>
      <c r="AU97" s="620"/>
      <c r="AV97" s="620"/>
      <c r="AW97" s="620"/>
      <c r="AX97" s="620"/>
      <c r="AY97" s="620"/>
      <c r="AZ97" s="620"/>
      <c r="BA97" s="620"/>
      <c r="BB97" s="620"/>
    </row>
    <row r="98" spans="2:54" ht="9" customHeight="1">
      <c r="B98" s="201"/>
      <c r="C98" s="201"/>
      <c r="D98" s="201"/>
      <c r="E98" s="201"/>
      <c r="F98" s="201"/>
      <c r="G98" s="201"/>
      <c r="H98" s="201"/>
      <c r="I98" s="201"/>
      <c r="J98" s="201"/>
      <c r="K98" s="201"/>
      <c r="L98" s="201"/>
      <c r="M98" s="201"/>
      <c r="N98" s="199"/>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620"/>
      <c r="AY98" s="620"/>
      <c r="AZ98" s="620"/>
      <c r="BA98" s="620"/>
      <c r="BB98" s="620"/>
    </row>
    <row r="99" spans="2:54" ht="9" customHeight="1">
      <c r="B99" s="201"/>
      <c r="C99" s="201"/>
      <c r="D99" s="201"/>
      <c r="E99" s="201"/>
      <c r="F99" s="201"/>
      <c r="G99" s="201"/>
      <c r="H99" s="201"/>
      <c r="I99" s="201"/>
      <c r="J99" s="201"/>
      <c r="K99" s="201"/>
      <c r="L99" s="201"/>
      <c r="M99" s="201"/>
      <c r="N99" s="199"/>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0"/>
      <c r="AP99" s="620"/>
      <c r="AQ99" s="620"/>
      <c r="AR99" s="620"/>
      <c r="AS99" s="620"/>
      <c r="AT99" s="620"/>
      <c r="AU99" s="620"/>
      <c r="AV99" s="620"/>
      <c r="AW99" s="620"/>
      <c r="AX99" s="620"/>
      <c r="AY99" s="620"/>
      <c r="AZ99" s="620"/>
      <c r="BA99" s="620"/>
      <c r="BB99" s="620"/>
    </row>
    <row r="100" spans="2:54" ht="9" customHeight="1">
      <c r="B100" s="201"/>
      <c r="C100" s="201"/>
      <c r="D100" s="201"/>
      <c r="E100" s="201"/>
      <c r="F100" s="201"/>
      <c r="G100" s="201"/>
      <c r="H100" s="201"/>
      <c r="I100" s="201"/>
      <c r="J100" s="201"/>
      <c r="K100" s="201"/>
      <c r="L100" s="201"/>
      <c r="M100" s="201"/>
      <c r="N100" s="199"/>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0"/>
      <c r="AP100" s="620"/>
      <c r="AQ100" s="620"/>
      <c r="AR100" s="620"/>
      <c r="AS100" s="620"/>
      <c r="AT100" s="620"/>
      <c r="AU100" s="620"/>
      <c r="AV100" s="620"/>
      <c r="AW100" s="620"/>
      <c r="AX100" s="620"/>
      <c r="AY100" s="620"/>
      <c r="AZ100" s="620"/>
      <c r="BA100" s="620"/>
      <c r="BB100" s="620"/>
    </row>
    <row r="101" spans="2:54" ht="9" customHeight="1">
      <c r="B101" s="201"/>
      <c r="C101" s="201"/>
      <c r="D101" s="201"/>
      <c r="E101" s="201"/>
      <c r="F101" s="201"/>
      <c r="G101" s="201"/>
      <c r="H101" s="201"/>
      <c r="I101" s="201"/>
      <c r="J101" s="201"/>
      <c r="K101" s="201"/>
      <c r="L101" s="201"/>
      <c r="M101" s="201"/>
      <c r="N101" s="199"/>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0"/>
      <c r="AP101" s="620"/>
      <c r="AQ101" s="620"/>
      <c r="AR101" s="620"/>
      <c r="AS101" s="620"/>
      <c r="AT101" s="620"/>
      <c r="AU101" s="620"/>
      <c r="AV101" s="620"/>
      <c r="AW101" s="620"/>
      <c r="AX101" s="620"/>
      <c r="AY101" s="620"/>
      <c r="AZ101" s="620"/>
      <c r="BA101" s="620"/>
      <c r="BB101" s="620"/>
    </row>
    <row r="102" spans="2:54" ht="9" customHeight="1">
      <c r="B102" s="201"/>
      <c r="C102" s="201"/>
      <c r="D102" s="201"/>
      <c r="E102" s="201"/>
      <c r="F102" s="201"/>
      <c r="G102" s="201"/>
      <c r="H102" s="201"/>
      <c r="I102" s="201"/>
      <c r="J102" s="201"/>
      <c r="K102" s="201"/>
      <c r="L102" s="201"/>
      <c r="M102" s="201"/>
      <c r="N102" s="199"/>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0"/>
      <c r="AP102" s="620"/>
      <c r="AQ102" s="620"/>
      <c r="AR102" s="620"/>
      <c r="AS102" s="620"/>
      <c r="AT102" s="620"/>
      <c r="AU102" s="620"/>
      <c r="AV102" s="620"/>
      <c r="AW102" s="620"/>
      <c r="AX102" s="620"/>
      <c r="AY102" s="620"/>
      <c r="AZ102" s="620"/>
      <c r="BA102" s="620"/>
      <c r="BB102" s="620"/>
    </row>
    <row r="103" spans="2:54" ht="9" customHeight="1">
      <c r="B103" s="201"/>
      <c r="C103" s="201"/>
      <c r="D103" s="201"/>
      <c r="E103" s="201"/>
      <c r="F103" s="201"/>
      <c r="G103" s="201"/>
      <c r="H103" s="201"/>
      <c r="I103" s="201"/>
      <c r="J103" s="201"/>
      <c r="K103" s="201"/>
      <c r="L103" s="201"/>
      <c r="M103" s="201"/>
      <c r="N103" s="199"/>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0"/>
      <c r="AP103" s="620"/>
      <c r="AQ103" s="620"/>
      <c r="AR103" s="620"/>
      <c r="AS103" s="620"/>
      <c r="AT103" s="620"/>
      <c r="AU103" s="620"/>
      <c r="AV103" s="620"/>
      <c r="AW103" s="620"/>
      <c r="AX103" s="620"/>
      <c r="AY103" s="620"/>
      <c r="AZ103" s="620"/>
      <c r="BA103" s="620"/>
      <c r="BB103" s="620"/>
    </row>
    <row r="104" spans="2:54" ht="9" customHeight="1">
      <c r="B104" s="201"/>
      <c r="C104" s="201"/>
      <c r="D104" s="201"/>
      <c r="E104" s="201"/>
      <c r="F104" s="201"/>
      <c r="G104" s="201"/>
      <c r="H104" s="201"/>
      <c r="I104" s="201"/>
      <c r="J104" s="201"/>
      <c r="K104" s="201"/>
      <c r="L104" s="201"/>
      <c r="M104" s="201"/>
      <c r="N104" s="199"/>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0"/>
      <c r="AP104" s="620"/>
      <c r="AQ104" s="620"/>
      <c r="AR104" s="620"/>
      <c r="AS104" s="620"/>
      <c r="AT104" s="620"/>
      <c r="AU104" s="620"/>
      <c r="AV104" s="620"/>
      <c r="AW104" s="620"/>
      <c r="AX104" s="620"/>
      <c r="AY104" s="620"/>
      <c r="AZ104" s="620"/>
      <c r="BA104" s="620"/>
      <c r="BB104" s="620"/>
    </row>
    <row r="105" spans="2:54" ht="9" customHeight="1">
      <c r="B105" s="201"/>
      <c r="C105" s="201"/>
      <c r="D105" s="201"/>
      <c r="E105" s="201"/>
      <c r="F105" s="201"/>
      <c r="G105" s="201"/>
      <c r="H105" s="201"/>
      <c r="I105" s="201"/>
      <c r="J105" s="201"/>
      <c r="K105" s="201"/>
      <c r="L105" s="201"/>
      <c r="M105" s="201"/>
      <c r="N105" s="199"/>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0"/>
      <c r="AP105" s="620"/>
      <c r="AQ105" s="620"/>
      <c r="AR105" s="620"/>
      <c r="AS105" s="620"/>
      <c r="AT105" s="620"/>
      <c r="AU105" s="620"/>
      <c r="AV105" s="620"/>
      <c r="AW105" s="620"/>
      <c r="AX105" s="620"/>
      <c r="AY105" s="620"/>
      <c r="AZ105" s="620"/>
      <c r="BA105" s="620"/>
      <c r="BB105" s="620"/>
    </row>
    <row r="106" spans="2:54" ht="9" customHeight="1">
      <c r="B106" s="201"/>
      <c r="C106" s="201"/>
      <c r="D106" s="201"/>
      <c r="E106" s="201"/>
      <c r="F106" s="201"/>
      <c r="G106" s="201"/>
      <c r="H106" s="201"/>
      <c r="I106" s="201"/>
      <c r="J106" s="201"/>
      <c r="K106" s="201"/>
      <c r="L106" s="201"/>
      <c r="M106" s="201"/>
      <c r="N106" s="199"/>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0"/>
      <c r="AP106" s="620"/>
      <c r="AQ106" s="620"/>
      <c r="AR106" s="620"/>
      <c r="AS106" s="620"/>
      <c r="AT106" s="620"/>
      <c r="AU106" s="620"/>
      <c r="AV106" s="620"/>
      <c r="AW106" s="620"/>
      <c r="AX106" s="620"/>
      <c r="AY106" s="620"/>
      <c r="AZ106" s="620"/>
      <c r="BA106" s="620"/>
      <c r="BB106" s="620"/>
    </row>
    <row r="107" spans="2:54" ht="9" customHeight="1">
      <c r="B107" s="201"/>
      <c r="C107" s="201"/>
      <c r="D107" s="201"/>
      <c r="E107" s="201"/>
      <c r="F107" s="201"/>
      <c r="G107" s="201"/>
      <c r="H107" s="201"/>
      <c r="I107" s="201"/>
      <c r="J107" s="201"/>
      <c r="K107" s="201"/>
      <c r="L107" s="201"/>
      <c r="M107" s="201"/>
      <c r="N107" s="199"/>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row>
    <row r="108" spans="2:54" ht="9" customHeight="1">
      <c r="B108" s="201"/>
      <c r="C108" s="201"/>
      <c r="D108" s="201"/>
      <c r="E108" s="201"/>
      <c r="F108" s="201"/>
      <c r="G108" s="201"/>
      <c r="H108" s="201"/>
      <c r="I108" s="201"/>
      <c r="J108" s="201"/>
      <c r="K108" s="201"/>
      <c r="L108" s="201"/>
      <c r="M108" s="201"/>
      <c r="N108" s="199"/>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row>
    <row r="109" spans="2:54" ht="9" customHeight="1">
      <c r="B109" s="201"/>
      <c r="C109" s="201"/>
      <c r="D109" s="201"/>
      <c r="E109" s="201"/>
      <c r="F109" s="201"/>
      <c r="G109" s="201"/>
      <c r="H109" s="201"/>
      <c r="I109" s="201"/>
      <c r="J109" s="201"/>
      <c r="K109" s="201"/>
      <c r="L109" s="201"/>
      <c r="M109" s="201"/>
      <c r="N109" s="199"/>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row>
    <row r="110" spans="2:54" ht="9" customHeight="1">
      <c r="B110" s="201"/>
      <c r="C110" s="201"/>
      <c r="D110" s="201"/>
      <c r="E110" s="201"/>
      <c r="F110" s="201"/>
      <c r="G110" s="201"/>
      <c r="H110" s="201"/>
      <c r="I110" s="201"/>
      <c r="J110" s="201"/>
      <c r="K110" s="201"/>
      <c r="L110" s="201"/>
      <c r="M110" s="201"/>
      <c r="N110" s="199"/>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0"/>
      <c r="AP110" s="620"/>
      <c r="AQ110" s="620"/>
      <c r="AR110" s="620"/>
      <c r="AS110" s="620"/>
      <c r="AT110" s="620"/>
      <c r="AU110" s="620"/>
      <c r="AV110" s="620"/>
      <c r="AW110" s="620"/>
      <c r="AX110" s="620"/>
      <c r="AY110" s="620"/>
      <c r="AZ110" s="620"/>
      <c r="BA110" s="620"/>
      <c r="BB110" s="620"/>
    </row>
    <row r="111" spans="2:54" ht="9" customHeight="1">
      <c r="B111" s="201"/>
      <c r="C111" s="201"/>
      <c r="D111" s="201"/>
      <c r="E111" s="201"/>
      <c r="F111" s="201"/>
      <c r="G111" s="201"/>
      <c r="H111" s="201"/>
      <c r="I111" s="201"/>
      <c r="J111" s="201"/>
      <c r="K111" s="201"/>
      <c r="L111" s="201"/>
      <c r="M111" s="201"/>
      <c r="N111" s="199"/>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row>
    <row r="112" spans="2:54" ht="9" customHeight="1">
      <c r="B112" s="201"/>
      <c r="C112" s="201"/>
      <c r="D112" s="201"/>
      <c r="E112" s="201"/>
      <c r="F112" s="201"/>
      <c r="G112" s="201"/>
      <c r="H112" s="201"/>
      <c r="I112" s="201"/>
      <c r="J112" s="201"/>
      <c r="K112" s="201"/>
      <c r="L112" s="201"/>
      <c r="M112" s="201"/>
      <c r="N112" s="199"/>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0"/>
      <c r="AY112" s="620"/>
      <c r="AZ112" s="620"/>
      <c r="BA112" s="620"/>
      <c r="BB112" s="620"/>
    </row>
    <row r="113" spans="2:54" ht="9" customHeight="1">
      <c r="B113" s="203"/>
      <c r="C113" s="203"/>
      <c r="D113" s="203"/>
      <c r="E113" s="203"/>
      <c r="F113" s="203"/>
      <c r="G113" s="203"/>
      <c r="H113" s="203"/>
      <c r="I113" s="203"/>
      <c r="J113" s="203"/>
      <c r="K113" s="203"/>
      <c r="L113" s="203"/>
      <c r="M113" s="203"/>
      <c r="N113" s="200"/>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39"/>
      <c r="AY113" s="639"/>
      <c r="AZ113" s="639"/>
      <c r="BA113" s="639"/>
      <c r="BB113" s="639"/>
    </row>
    <row r="114" spans="2:54" ht="9" customHeight="1">
      <c r="B114" s="636">
        <v>12</v>
      </c>
      <c r="C114" s="636"/>
      <c r="D114" s="637" t="s">
        <v>30</v>
      </c>
      <c r="E114" s="637"/>
      <c r="F114" s="637"/>
      <c r="G114" s="637"/>
      <c r="H114" s="637"/>
      <c r="I114" s="637"/>
      <c r="J114" s="637"/>
      <c r="K114" s="637"/>
      <c r="L114" s="637"/>
      <c r="M114" s="637"/>
      <c r="N114" s="626"/>
      <c r="O114" s="638" t="str">
        <f>IF('(I) Plano de Trabalho'!$O$388="","",'(I) Plano de Trabalho'!$O$388)</f>
        <v>1) Desenvolver uma plataforma única de comércio exterior da biodiversidade, integrada com os sistemas pertinentes do Ibama que controlam a origem dos produtos da biodiversidade, como o Sistema Nacional de Controle da Origem dos Produtos Florestais - Sinaflor, o Sistema Nacional de Gestão do Uso da Fauna - Sisfauna e outros que contêm informações relevantes a respeito dos usuários, como o Sistema de Cadastro, Arrecadação e Fiscalização - Sicafi, o Cadastro Técnico Federal - CTF, ou em cumprimento de acordos internacionais e outras normas, como o Sistema de Emissão de Licenças CITES e não CITES - Siscites e o Sistema Nacional de Gestão do Patrimônio Genético e do Conhecimento Tradicional Associado - Sisgen, sob a gestão do Ministério do Meio Ambiente. Além desses, a plataforma será integrada ao Siscomex Remessa, sistema informatizado da Receita Federal do Brasil destinado ao controle das remessas internacionais porta a porta, transportadas por empresas de courier, e ao Portal Único de Comércio Exterior - Siscomex, sistema governamental gerido pelo Ministério da Economia que concentra as informações relacionadas ao comércio exterior e ambiente de anuência dos órgãos federais aos produtos sob seu controle. Por meio da plataforma, o usuário somente acessará um portal para proceder sua exportação/importação, pois nele estarão concentradas todas as informações ambientais necessárias à anuência da transação, além daquelas exigidas pelo Siscomex. A integração dos sistemas permitirá a simplificação dos processos de verificação e a automatização de procedimentos específicos, reduzindo custos e tempo de transação para os usuários e otimizando recursos humanos do Ibama. 2) Desenvolver aplicação de compilação e análise de dados (Busisness Intelligence) e aplicação de gerenciamento de risco a partir dos dados da plataforma, permitindo a facilitação do comércio exterior para os usuários que demonstrem cumprimento das normas ambientais. Neste processo será possível identificar, analisar, avaliar e graduar os riscos existentes para tomada de decisão quanto à necessidade de vistoriar fisicamente as cargas. Uma vez não identificados fatores de vulnerabilidade ambiental nas operações, associado à criação de um relacionamento de confiança e credibilidade, poderá ser aplicada a anuência automática, dando o dinamismo necessário ao comércio exterior. 3) Fornecer uma ferramenta de gestão na plataforma aos ógãos do Sisnama para a tomada de decisão nos processos que estão sob sua competência. A partir de informações integradas de toda a cadeia produtiva, desde a origem até o destino final, qual seja, o comércio exterior, estados e municípios terão informações para subsidiar as ações e decisões locais. 4) Fortalecimento da atuação do controle e fiscalização ambiental nos portos e aeroportos por meio de: i) capacitação de Agentes Ambientais Federais e intervenientes do processo utilizando plataforma de Ensino à Distância – EAD; ii) melhoria no acesso à informação e utilização de tecnologias atuais nas vistorias e inspeções de comércio exterior, tornando o processo 100% digital; iii) implantação de uma sala situação que permitirá o monitoramento de toda a cadeia produtiva.  5) Desenvolvimento de um plano de comunicação e capacitação para usuários internos e externos do sistema, dos órgãos do Sisnama e  dos órgãos de controle, como o Ministério Público, por  meio da implantação de plataforma de Ensino à Distância - EAD e de realização de 3 (três) seminários regionais com stakeholders (partes interessadas) do setor, com o objetivo de apresentar a plataforma e suas funcionalidades, os parâmetros de cumprimento das normas ambientais e estimular a participação dos entes federativos no processo de fortalecimento da cadeia do comércio exterior da biodiversidade.</v>
      </c>
      <c r="P114" s="638"/>
      <c r="Q114" s="638"/>
      <c r="R114" s="638"/>
      <c r="S114" s="638"/>
      <c r="T114" s="638"/>
      <c r="U114" s="638"/>
      <c r="V114" s="638"/>
      <c r="W114" s="638"/>
      <c r="X114" s="638"/>
      <c r="Y114" s="638"/>
      <c r="Z114" s="638"/>
      <c r="AA114" s="638"/>
      <c r="AB114" s="638"/>
      <c r="AC114" s="638"/>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row>
    <row r="115" spans="2:54" ht="9" customHeight="1">
      <c r="B115" s="611"/>
      <c r="C115" s="611"/>
      <c r="D115" s="613"/>
      <c r="E115" s="613"/>
      <c r="F115" s="613"/>
      <c r="G115" s="613"/>
      <c r="H115" s="613"/>
      <c r="I115" s="613"/>
      <c r="J115" s="613"/>
      <c r="K115" s="613"/>
      <c r="L115" s="613"/>
      <c r="M115" s="613"/>
      <c r="N115" s="623"/>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0"/>
      <c r="AP115" s="620"/>
      <c r="AQ115" s="620"/>
      <c r="AR115" s="620"/>
      <c r="AS115" s="620"/>
      <c r="AT115" s="620"/>
      <c r="AU115" s="620"/>
      <c r="AV115" s="620"/>
      <c r="AW115" s="620"/>
      <c r="AX115" s="620"/>
      <c r="AY115" s="620"/>
      <c r="AZ115" s="620"/>
      <c r="BA115" s="620"/>
      <c r="BB115" s="620"/>
    </row>
    <row r="116" spans="2:54" ht="9" customHeight="1">
      <c r="B116" s="201"/>
      <c r="C116" s="201"/>
      <c r="D116" s="201"/>
      <c r="E116" s="201"/>
      <c r="F116" s="201"/>
      <c r="G116" s="201"/>
      <c r="H116" s="201"/>
      <c r="I116" s="201"/>
      <c r="J116" s="201"/>
      <c r="K116" s="201"/>
      <c r="L116" s="201"/>
      <c r="M116" s="201"/>
      <c r="N116" s="199"/>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0"/>
      <c r="AY116" s="620"/>
      <c r="AZ116" s="620"/>
      <c r="BA116" s="620"/>
      <c r="BB116" s="620"/>
    </row>
    <row r="117" spans="2:54" ht="9" customHeight="1">
      <c r="B117" s="201"/>
      <c r="C117" s="201"/>
      <c r="D117" s="201"/>
      <c r="E117" s="201"/>
      <c r="F117" s="201"/>
      <c r="G117" s="201"/>
      <c r="H117" s="201"/>
      <c r="I117" s="201"/>
      <c r="J117" s="201"/>
      <c r="K117" s="201"/>
      <c r="L117" s="201"/>
      <c r="M117" s="201"/>
      <c r="N117" s="199"/>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0"/>
      <c r="AP117" s="620"/>
      <c r="AQ117" s="620"/>
      <c r="AR117" s="620"/>
      <c r="AS117" s="620"/>
      <c r="AT117" s="620"/>
      <c r="AU117" s="620"/>
      <c r="AV117" s="620"/>
      <c r="AW117" s="620"/>
      <c r="AX117" s="620"/>
      <c r="AY117" s="620"/>
      <c r="AZ117" s="620"/>
      <c r="BA117" s="620"/>
      <c r="BB117" s="620"/>
    </row>
    <row r="118" spans="2:54" ht="9" customHeight="1">
      <c r="B118" s="201"/>
      <c r="C118" s="201"/>
      <c r="D118" s="201"/>
      <c r="E118" s="201"/>
      <c r="F118" s="201"/>
      <c r="G118" s="201"/>
      <c r="H118" s="201"/>
      <c r="I118" s="201"/>
      <c r="J118" s="201"/>
      <c r="K118" s="201"/>
      <c r="L118" s="201"/>
      <c r="M118" s="201"/>
      <c r="N118" s="199"/>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0"/>
      <c r="AU118" s="620"/>
      <c r="AV118" s="620"/>
      <c r="AW118" s="620"/>
      <c r="AX118" s="620"/>
      <c r="AY118" s="620"/>
      <c r="AZ118" s="620"/>
      <c r="BA118" s="620"/>
      <c r="BB118" s="620"/>
    </row>
    <row r="119" spans="2:54" ht="9" customHeight="1">
      <c r="B119" s="201"/>
      <c r="C119" s="201"/>
      <c r="D119" s="201"/>
      <c r="E119" s="201"/>
      <c r="F119" s="201"/>
      <c r="G119" s="201"/>
      <c r="H119" s="201"/>
      <c r="I119" s="201"/>
      <c r="J119" s="201"/>
      <c r="K119" s="201"/>
      <c r="L119" s="201"/>
      <c r="M119" s="201"/>
      <c r="N119" s="199"/>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row>
    <row r="120" spans="2:54" ht="9" customHeight="1">
      <c r="B120" s="201"/>
      <c r="C120" s="201"/>
      <c r="D120" s="201"/>
      <c r="E120" s="201"/>
      <c r="F120" s="201"/>
      <c r="G120" s="201"/>
      <c r="H120" s="201"/>
      <c r="I120" s="201"/>
      <c r="J120" s="201"/>
      <c r="K120" s="201"/>
      <c r="L120" s="201"/>
      <c r="M120" s="201"/>
      <c r="N120" s="199"/>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row>
    <row r="121" spans="2:54" ht="9" customHeight="1">
      <c r="B121" s="201"/>
      <c r="C121" s="201"/>
      <c r="D121" s="201"/>
      <c r="E121" s="201"/>
      <c r="F121" s="201"/>
      <c r="G121" s="201"/>
      <c r="H121" s="201"/>
      <c r="I121" s="201"/>
      <c r="J121" s="201"/>
      <c r="K121" s="201"/>
      <c r="L121" s="201"/>
      <c r="M121" s="201"/>
      <c r="N121" s="199"/>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row>
    <row r="122" spans="2:54" ht="9" customHeight="1">
      <c r="B122" s="201"/>
      <c r="C122" s="201"/>
      <c r="D122" s="201"/>
      <c r="E122" s="201"/>
      <c r="F122" s="201"/>
      <c r="G122" s="201"/>
      <c r="H122" s="201"/>
      <c r="I122" s="201"/>
      <c r="J122" s="201"/>
      <c r="K122" s="201"/>
      <c r="L122" s="201"/>
      <c r="M122" s="201"/>
      <c r="N122" s="199"/>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c r="AK122" s="620"/>
      <c r="AL122" s="620"/>
      <c r="AM122" s="620"/>
      <c r="AN122" s="620"/>
      <c r="AO122" s="620"/>
      <c r="AP122" s="620"/>
      <c r="AQ122" s="620"/>
      <c r="AR122" s="620"/>
      <c r="AS122" s="620"/>
      <c r="AT122" s="620"/>
      <c r="AU122" s="620"/>
      <c r="AV122" s="620"/>
      <c r="AW122" s="620"/>
      <c r="AX122" s="620"/>
      <c r="AY122" s="620"/>
      <c r="AZ122" s="620"/>
      <c r="BA122" s="620"/>
      <c r="BB122" s="620"/>
    </row>
    <row r="123" spans="2:54" ht="9" customHeight="1">
      <c r="B123" s="201"/>
      <c r="C123" s="201"/>
      <c r="D123" s="201"/>
      <c r="E123" s="201"/>
      <c r="F123" s="201"/>
      <c r="G123" s="201"/>
      <c r="H123" s="201"/>
      <c r="I123" s="201"/>
      <c r="J123" s="201"/>
      <c r="K123" s="201"/>
      <c r="L123" s="201"/>
      <c r="M123" s="201"/>
      <c r="N123" s="199"/>
      <c r="O123" s="620"/>
      <c r="P123" s="620"/>
      <c r="Q123" s="620"/>
      <c r="R123" s="620"/>
      <c r="S123" s="620"/>
      <c r="T123" s="620"/>
      <c r="U123" s="620"/>
      <c r="V123" s="620"/>
      <c r="W123" s="620"/>
      <c r="X123" s="620"/>
      <c r="Y123" s="620"/>
      <c r="Z123" s="620"/>
      <c r="AA123" s="620"/>
      <c r="AB123" s="620"/>
      <c r="AC123" s="620"/>
      <c r="AD123" s="62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0"/>
      <c r="AY123" s="620"/>
      <c r="AZ123" s="620"/>
      <c r="BA123" s="620"/>
      <c r="BB123" s="620"/>
    </row>
    <row r="124" spans="2:54" ht="9" customHeight="1">
      <c r="B124" s="201"/>
      <c r="C124" s="201"/>
      <c r="D124" s="201"/>
      <c r="E124" s="201"/>
      <c r="F124" s="201"/>
      <c r="G124" s="201"/>
      <c r="H124" s="201"/>
      <c r="I124" s="201"/>
      <c r="J124" s="201"/>
      <c r="K124" s="201"/>
      <c r="L124" s="201"/>
      <c r="M124" s="201"/>
      <c r="N124" s="199"/>
      <c r="O124" s="620"/>
      <c r="P124" s="620"/>
      <c r="Q124" s="620"/>
      <c r="R124" s="620"/>
      <c r="S124" s="620"/>
      <c r="T124" s="620"/>
      <c r="U124" s="620"/>
      <c r="V124" s="620"/>
      <c r="W124" s="620"/>
      <c r="X124" s="620"/>
      <c r="Y124" s="620"/>
      <c r="Z124" s="620"/>
      <c r="AA124" s="620"/>
      <c r="AB124" s="620"/>
      <c r="AC124" s="620"/>
      <c r="AD124" s="620"/>
      <c r="AE124" s="620"/>
      <c r="AF124" s="620"/>
      <c r="AG124" s="620"/>
      <c r="AH124" s="620"/>
      <c r="AI124" s="620"/>
      <c r="AJ124" s="620"/>
      <c r="AK124" s="620"/>
      <c r="AL124" s="620"/>
      <c r="AM124" s="620"/>
      <c r="AN124" s="620"/>
      <c r="AO124" s="620"/>
      <c r="AP124" s="620"/>
      <c r="AQ124" s="620"/>
      <c r="AR124" s="620"/>
      <c r="AS124" s="620"/>
      <c r="AT124" s="620"/>
      <c r="AU124" s="620"/>
      <c r="AV124" s="620"/>
      <c r="AW124" s="620"/>
      <c r="AX124" s="620"/>
      <c r="AY124" s="620"/>
      <c r="AZ124" s="620"/>
      <c r="BA124" s="620"/>
      <c r="BB124" s="620"/>
    </row>
    <row r="125" spans="2:54" ht="9" customHeight="1">
      <c r="B125" s="201"/>
      <c r="C125" s="201"/>
      <c r="D125" s="201"/>
      <c r="E125" s="201"/>
      <c r="F125" s="201"/>
      <c r="G125" s="201"/>
      <c r="H125" s="201"/>
      <c r="I125" s="201"/>
      <c r="J125" s="201"/>
      <c r="K125" s="201"/>
      <c r="L125" s="201"/>
      <c r="M125" s="201"/>
      <c r="N125" s="199"/>
      <c r="O125" s="620"/>
      <c r="P125" s="620"/>
      <c r="Q125" s="620"/>
      <c r="R125" s="620"/>
      <c r="S125" s="620"/>
      <c r="T125" s="620"/>
      <c r="U125" s="620"/>
      <c r="V125" s="620"/>
      <c r="W125" s="620"/>
      <c r="X125" s="620"/>
      <c r="Y125" s="620"/>
      <c r="Z125" s="620"/>
      <c r="AA125" s="620"/>
      <c r="AB125" s="620"/>
      <c r="AC125" s="620"/>
      <c r="AD125" s="620"/>
      <c r="AE125" s="620"/>
      <c r="AF125" s="620"/>
      <c r="AG125" s="620"/>
      <c r="AH125" s="620"/>
      <c r="AI125" s="620"/>
      <c r="AJ125" s="620"/>
      <c r="AK125" s="620"/>
      <c r="AL125" s="620"/>
      <c r="AM125" s="620"/>
      <c r="AN125" s="620"/>
      <c r="AO125" s="620"/>
      <c r="AP125" s="620"/>
      <c r="AQ125" s="620"/>
      <c r="AR125" s="620"/>
      <c r="AS125" s="620"/>
      <c r="AT125" s="620"/>
      <c r="AU125" s="620"/>
      <c r="AV125" s="620"/>
      <c r="AW125" s="620"/>
      <c r="AX125" s="620"/>
      <c r="AY125" s="620"/>
      <c r="AZ125" s="620"/>
      <c r="BA125" s="620"/>
      <c r="BB125" s="620"/>
    </row>
    <row r="126" spans="2:54" ht="9" customHeight="1">
      <c r="B126" s="201"/>
      <c r="C126" s="201"/>
      <c r="D126" s="201"/>
      <c r="E126" s="201"/>
      <c r="F126" s="201"/>
      <c r="G126" s="201"/>
      <c r="H126" s="201"/>
      <c r="I126" s="201"/>
      <c r="J126" s="201"/>
      <c r="K126" s="201"/>
      <c r="L126" s="201"/>
      <c r="M126" s="201"/>
      <c r="N126" s="199"/>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0"/>
      <c r="AY126" s="620"/>
      <c r="AZ126" s="620"/>
      <c r="BA126" s="620"/>
      <c r="BB126" s="620"/>
    </row>
    <row r="127" spans="2:54" ht="9" customHeight="1">
      <c r="B127" s="201"/>
      <c r="C127" s="201"/>
      <c r="D127" s="201"/>
      <c r="E127" s="201"/>
      <c r="F127" s="201"/>
      <c r="G127" s="201"/>
      <c r="H127" s="201"/>
      <c r="I127" s="201"/>
      <c r="J127" s="201"/>
      <c r="K127" s="201"/>
      <c r="L127" s="201"/>
      <c r="M127" s="201"/>
      <c r="N127" s="199"/>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0"/>
      <c r="AZ127" s="620"/>
      <c r="BA127" s="620"/>
      <c r="BB127" s="620"/>
    </row>
    <row r="128" spans="2:54" ht="9" customHeight="1">
      <c r="B128" s="201"/>
      <c r="C128" s="201"/>
      <c r="D128" s="201"/>
      <c r="E128" s="201"/>
      <c r="F128" s="201"/>
      <c r="G128" s="201"/>
      <c r="H128" s="201"/>
      <c r="I128" s="201"/>
      <c r="J128" s="201"/>
      <c r="K128" s="201"/>
      <c r="L128" s="201"/>
      <c r="M128" s="201"/>
      <c r="N128" s="199"/>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0"/>
      <c r="AY128" s="620"/>
      <c r="AZ128" s="620"/>
      <c r="BA128" s="620"/>
      <c r="BB128" s="620"/>
    </row>
    <row r="129" spans="2:54" ht="9" customHeight="1">
      <c r="B129" s="201"/>
      <c r="C129" s="201"/>
      <c r="D129" s="201"/>
      <c r="E129" s="201"/>
      <c r="F129" s="201"/>
      <c r="G129" s="201"/>
      <c r="H129" s="201"/>
      <c r="I129" s="201"/>
      <c r="J129" s="201"/>
      <c r="K129" s="201"/>
      <c r="L129" s="201"/>
      <c r="M129" s="201"/>
      <c r="N129" s="199"/>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0"/>
      <c r="AZ129" s="620"/>
      <c r="BA129" s="620"/>
      <c r="BB129" s="620"/>
    </row>
    <row r="130" spans="2:54" ht="9" customHeight="1">
      <c r="B130" s="201"/>
      <c r="C130" s="201"/>
      <c r="D130" s="201"/>
      <c r="E130" s="201"/>
      <c r="F130" s="201"/>
      <c r="G130" s="201"/>
      <c r="H130" s="201"/>
      <c r="I130" s="201"/>
      <c r="J130" s="201"/>
      <c r="K130" s="201"/>
      <c r="L130" s="201"/>
      <c r="M130" s="201"/>
      <c r="N130" s="199"/>
      <c r="O130" s="620"/>
      <c r="P130" s="620"/>
      <c r="Q130" s="620"/>
      <c r="R130" s="620"/>
      <c r="S130" s="620"/>
      <c r="T130" s="620"/>
      <c r="U130" s="620"/>
      <c r="V130" s="620"/>
      <c r="W130" s="620"/>
      <c r="X130" s="620"/>
      <c r="Y130" s="620"/>
      <c r="Z130" s="620"/>
      <c r="AA130" s="620"/>
      <c r="AB130" s="620"/>
      <c r="AC130" s="620"/>
      <c r="AD130" s="620"/>
      <c r="AE130" s="620"/>
      <c r="AF130" s="620"/>
      <c r="AG130" s="620"/>
      <c r="AH130" s="620"/>
      <c r="AI130" s="620"/>
      <c r="AJ130" s="620"/>
      <c r="AK130" s="620"/>
      <c r="AL130" s="620"/>
      <c r="AM130" s="620"/>
      <c r="AN130" s="620"/>
      <c r="AO130" s="620"/>
      <c r="AP130" s="620"/>
      <c r="AQ130" s="620"/>
      <c r="AR130" s="620"/>
      <c r="AS130" s="620"/>
      <c r="AT130" s="620"/>
      <c r="AU130" s="620"/>
      <c r="AV130" s="620"/>
      <c r="AW130" s="620"/>
      <c r="AX130" s="620"/>
      <c r="AY130" s="620"/>
      <c r="AZ130" s="620"/>
      <c r="BA130" s="620"/>
      <c r="BB130" s="620"/>
    </row>
    <row r="131" spans="2:54" ht="9" customHeight="1">
      <c r="B131" s="201"/>
      <c r="C131" s="201"/>
      <c r="D131" s="201"/>
      <c r="E131" s="201"/>
      <c r="F131" s="201"/>
      <c r="G131" s="201"/>
      <c r="H131" s="201"/>
      <c r="I131" s="201"/>
      <c r="J131" s="201"/>
      <c r="K131" s="201"/>
      <c r="L131" s="201"/>
      <c r="M131" s="201"/>
      <c r="N131" s="199"/>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0"/>
      <c r="AZ131" s="620"/>
      <c r="BA131" s="620"/>
      <c r="BB131" s="620"/>
    </row>
    <row r="132" spans="2:54" ht="9" customHeight="1">
      <c r="B132" s="201"/>
      <c r="C132" s="201"/>
      <c r="D132" s="201"/>
      <c r="E132" s="201"/>
      <c r="F132" s="201"/>
      <c r="G132" s="201"/>
      <c r="H132" s="201"/>
      <c r="I132" s="201"/>
      <c r="J132" s="201"/>
      <c r="K132" s="201"/>
      <c r="L132" s="201"/>
      <c r="M132" s="201"/>
      <c r="N132" s="199"/>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0"/>
      <c r="AY132" s="620"/>
      <c r="AZ132" s="620"/>
      <c r="BA132" s="620"/>
      <c r="BB132" s="620"/>
    </row>
    <row r="133" spans="2:54" ht="9" customHeight="1">
      <c r="B133" s="201"/>
      <c r="C133" s="201"/>
      <c r="D133" s="201"/>
      <c r="E133" s="201"/>
      <c r="F133" s="201"/>
      <c r="G133" s="201"/>
      <c r="H133" s="201"/>
      <c r="I133" s="201"/>
      <c r="J133" s="201"/>
      <c r="K133" s="201"/>
      <c r="L133" s="201"/>
      <c r="M133" s="201"/>
      <c r="N133" s="199"/>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0"/>
      <c r="AY133" s="620"/>
      <c r="AZ133" s="620"/>
      <c r="BA133" s="620"/>
      <c r="BB133" s="620"/>
    </row>
    <row r="134" spans="2:54" ht="9" customHeight="1">
      <c r="B134" s="201"/>
      <c r="C134" s="201"/>
      <c r="D134" s="201"/>
      <c r="E134" s="201"/>
      <c r="F134" s="201"/>
      <c r="G134" s="201"/>
      <c r="H134" s="201"/>
      <c r="I134" s="201"/>
      <c r="J134" s="201"/>
      <c r="K134" s="201"/>
      <c r="L134" s="201"/>
      <c r="M134" s="201"/>
      <c r="N134" s="199"/>
      <c r="O134" s="620"/>
      <c r="P134" s="620"/>
      <c r="Q134" s="620"/>
      <c r="R134" s="620"/>
      <c r="S134" s="620"/>
      <c r="T134" s="620"/>
      <c r="U134" s="620"/>
      <c r="V134" s="620"/>
      <c r="W134" s="620"/>
      <c r="X134" s="620"/>
      <c r="Y134" s="620"/>
      <c r="Z134" s="620"/>
      <c r="AA134" s="620"/>
      <c r="AB134" s="620"/>
      <c r="AC134" s="620"/>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0"/>
      <c r="AY134" s="620"/>
      <c r="AZ134" s="620"/>
      <c r="BA134" s="620"/>
      <c r="BB134" s="620"/>
    </row>
    <row r="135" spans="2:54" ht="9" customHeight="1">
      <c r="B135" s="201"/>
      <c r="C135" s="201"/>
      <c r="D135" s="201"/>
      <c r="E135" s="201"/>
      <c r="F135" s="201"/>
      <c r="G135" s="201"/>
      <c r="H135" s="201"/>
      <c r="I135" s="201"/>
      <c r="J135" s="201"/>
      <c r="K135" s="201"/>
      <c r="L135" s="201"/>
      <c r="M135" s="201"/>
      <c r="N135" s="199"/>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c r="BB135" s="620"/>
    </row>
    <row r="136" spans="2:54" ht="9" customHeight="1">
      <c r="B136" s="201"/>
      <c r="C136" s="201"/>
      <c r="D136" s="201"/>
      <c r="E136" s="201"/>
      <c r="F136" s="201"/>
      <c r="G136" s="201"/>
      <c r="H136" s="201"/>
      <c r="I136" s="201"/>
      <c r="J136" s="201"/>
      <c r="K136" s="201"/>
      <c r="L136" s="201"/>
      <c r="M136" s="201"/>
      <c r="N136" s="199"/>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c r="BB136" s="620"/>
    </row>
    <row r="137" spans="2:54" ht="9" customHeight="1">
      <c r="B137" s="201"/>
      <c r="C137" s="201"/>
      <c r="D137" s="201"/>
      <c r="E137" s="201"/>
      <c r="F137" s="201"/>
      <c r="G137" s="201"/>
      <c r="H137" s="201"/>
      <c r="I137" s="201"/>
      <c r="J137" s="201"/>
      <c r="K137" s="201"/>
      <c r="L137" s="201"/>
      <c r="M137" s="201"/>
      <c r="N137" s="199"/>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c r="AL137" s="620"/>
      <c r="AM137" s="620"/>
      <c r="AN137" s="620"/>
      <c r="AO137" s="620"/>
      <c r="AP137" s="620"/>
      <c r="AQ137" s="620"/>
      <c r="AR137" s="620"/>
      <c r="AS137" s="620"/>
      <c r="AT137" s="620"/>
      <c r="AU137" s="620"/>
      <c r="AV137" s="620"/>
      <c r="AW137" s="620"/>
      <c r="AX137" s="620"/>
      <c r="AY137" s="620"/>
      <c r="AZ137" s="620"/>
      <c r="BA137" s="620"/>
      <c r="BB137" s="620"/>
    </row>
    <row r="138" spans="2:54" ht="9" customHeight="1">
      <c r="B138" s="201"/>
      <c r="C138" s="201"/>
      <c r="D138" s="201"/>
      <c r="E138" s="201"/>
      <c r="F138" s="201"/>
      <c r="G138" s="201"/>
      <c r="H138" s="201"/>
      <c r="I138" s="201"/>
      <c r="J138" s="201"/>
      <c r="K138" s="201"/>
      <c r="L138" s="201"/>
      <c r="M138" s="201"/>
      <c r="N138" s="199"/>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620"/>
      <c r="AL138" s="620"/>
      <c r="AM138" s="620"/>
      <c r="AN138" s="620"/>
      <c r="AO138" s="620"/>
      <c r="AP138" s="620"/>
      <c r="AQ138" s="620"/>
      <c r="AR138" s="620"/>
      <c r="AS138" s="620"/>
      <c r="AT138" s="620"/>
      <c r="AU138" s="620"/>
      <c r="AV138" s="620"/>
      <c r="AW138" s="620"/>
      <c r="AX138" s="620"/>
      <c r="AY138" s="620"/>
      <c r="AZ138" s="620"/>
      <c r="BA138" s="620"/>
      <c r="BB138" s="620"/>
    </row>
    <row r="139" spans="2:54" ht="9" customHeight="1">
      <c r="B139" s="201"/>
      <c r="C139" s="201"/>
      <c r="D139" s="201"/>
      <c r="E139" s="201"/>
      <c r="F139" s="201"/>
      <c r="G139" s="201"/>
      <c r="H139" s="201"/>
      <c r="I139" s="201"/>
      <c r="J139" s="201"/>
      <c r="K139" s="201"/>
      <c r="L139" s="201"/>
      <c r="M139" s="201"/>
      <c r="N139" s="199"/>
      <c r="O139" s="620"/>
      <c r="P139" s="620"/>
      <c r="Q139" s="620"/>
      <c r="R139" s="620"/>
      <c r="S139" s="620"/>
      <c r="T139" s="620"/>
      <c r="U139" s="620"/>
      <c r="V139" s="620"/>
      <c r="W139" s="620"/>
      <c r="X139" s="620"/>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620"/>
      <c r="AX139" s="620"/>
      <c r="AY139" s="620"/>
      <c r="AZ139" s="620"/>
      <c r="BA139" s="620"/>
      <c r="BB139" s="620"/>
    </row>
    <row r="140" spans="2:54" ht="9" customHeight="1">
      <c r="B140" s="201"/>
      <c r="C140" s="201"/>
      <c r="D140" s="201"/>
      <c r="E140" s="201"/>
      <c r="F140" s="201"/>
      <c r="G140" s="201"/>
      <c r="H140" s="201"/>
      <c r="I140" s="201"/>
      <c r="J140" s="201"/>
      <c r="K140" s="201"/>
      <c r="L140" s="201"/>
      <c r="M140" s="201"/>
      <c r="N140" s="199"/>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20"/>
      <c r="AN140" s="620"/>
      <c r="AO140" s="620"/>
      <c r="AP140" s="620"/>
      <c r="AQ140" s="620"/>
      <c r="AR140" s="620"/>
      <c r="AS140" s="620"/>
      <c r="AT140" s="620"/>
      <c r="AU140" s="620"/>
      <c r="AV140" s="620"/>
      <c r="AW140" s="620"/>
      <c r="AX140" s="620"/>
      <c r="AY140" s="620"/>
      <c r="AZ140" s="620"/>
      <c r="BA140" s="620"/>
      <c r="BB140" s="620"/>
    </row>
    <row r="141" spans="2:54" ht="9" customHeight="1">
      <c r="B141" s="201"/>
      <c r="C141" s="201"/>
      <c r="D141" s="201"/>
      <c r="E141" s="201"/>
      <c r="F141" s="201"/>
      <c r="G141" s="201"/>
      <c r="H141" s="201"/>
      <c r="I141" s="201"/>
      <c r="J141" s="201"/>
      <c r="K141" s="201"/>
      <c r="L141" s="201"/>
      <c r="M141" s="201"/>
      <c r="N141" s="199"/>
      <c r="O141" s="620"/>
      <c r="P141" s="620"/>
      <c r="Q141" s="620"/>
      <c r="R141" s="620"/>
      <c r="S141" s="620"/>
      <c r="T141" s="620"/>
      <c r="U141" s="620"/>
      <c r="V141" s="620"/>
      <c r="W141" s="620"/>
      <c r="X141" s="620"/>
      <c r="Y141" s="620"/>
      <c r="Z141" s="620"/>
      <c r="AA141" s="620"/>
      <c r="AB141" s="620"/>
      <c r="AC141" s="620"/>
      <c r="AD141" s="620"/>
      <c r="AE141" s="620"/>
      <c r="AF141" s="620"/>
      <c r="AG141" s="620"/>
      <c r="AH141" s="620"/>
      <c r="AI141" s="620"/>
      <c r="AJ141" s="620"/>
      <c r="AK141" s="620"/>
      <c r="AL141" s="620"/>
      <c r="AM141" s="620"/>
      <c r="AN141" s="620"/>
      <c r="AO141" s="620"/>
      <c r="AP141" s="620"/>
      <c r="AQ141" s="620"/>
      <c r="AR141" s="620"/>
      <c r="AS141" s="620"/>
      <c r="AT141" s="620"/>
      <c r="AU141" s="620"/>
      <c r="AV141" s="620"/>
      <c r="AW141" s="620"/>
      <c r="AX141" s="620"/>
      <c r="AY141" s="620"/>
      <c r="AZ141" s="620"/>
      <c r="BA141" s="620"/>
      <c r="BB141" s="620"/>
    </row>
    <row r="142" spans="2:54" ht="9" customHeight="1">
      <c r="B142" s="201"/>
      <c r="C142" s="201"/>
      <c r="D142" s="201"/>
      <c r="E142" s="201"/>
      <c r="F142" s="201"/>
      <c r="G142" s="201"/>
      <c r="H142" s="201"/>
      <c r="I142" s="201"/>
      <c r="J142" s="201"/>
      <c r="K142" s="201"/>
      <c r="L142" s="201"/>
      <c r="M142" s="201"/>
      <c r="N142" s="199"/>
      <c r="O142" s="620"/>
      <c r="P142" s="620"/>
      <c r="Q142" s="620"/>
      <c r="R142" s="620"/>
      <c r="S142" s="620"/>
      <c r="T142" s="620"/>
      <c r="U142" s="620"/>
      <c r="V142" s="620"/>
      <c r="W142" s="620"/>
      <c r="X142" s="620"/>
      <c r="Y142" s="620"/>
      <c r="Z142" s="620"/>
      <c r="AA142" s="620"/>
      <c r="AB142" s="620"/>
      <c r="AC142" s="620"/>
      <c r="AD142" s="620"/>
      <c r="AE142" s="620"/>
      <c r="AF142" s="620"/>
      <c r="AG142" s="620"/>
      <c r="AH142" s="620"/>
      <c r="AI142" s="620"/>
      <c r="AJ142" s="620"/>
      <c r="AK142" s="620"/>
      <c r="AL142" s="620"/>
      <c r="AM142" s="620"/>
      <c r="AN142" s="620"/>
      <c r="AO142" s="620"/>
      <c r="AP142" s="620"/>
      <c r="AQ142" s="620"/>
      <c r="AR142" s="620"/>
      <c r="AS142" s="620"/>
      <c r="AT142" s="620"/>
      <c r="AU142" s="620"/>
      <c r="AV142" s="620"/>
      <c r="AW142" s="620"/>
      <c r="AX142" s="620"/>
      <c r="AY142" s="620"/>
      <c r="AZ142" s="620"/>
      <c r="BA142" s="620"/>
      <c r="BB142" s="620"/>
    </row>
    <row r="143" spans="2:54" ht="9" customHeight="1">
      <c r="B143" s="201"/>
      <c r="C143" s="201"/>
      <c r="D143" s="201"/>
      <c r="E143" s="201"/>
      <c r="F143" s="201"/>
      <c r="G143" s="201"/>
      <c r="H143" s="201"/>
      <c r="I143" s="201"/>
      <c r="J143" s="201"/>
      <c r="K143" s="201"/>
      <c r="L143" s="201"/>
      <c r="M143" s="201"/>
      <c r="N143" s="199"/>
      <c r="O143" s="620"/>
      <c r="P143" s="620"/>
      <c r="Q143" s="620"/>
      <c r="R143" s="620"/>
      <c r="S143" s="620"/>
      <c r="T143" s="620"/>
      <c r="U143" s="620"/>
      <c r="V143" s="620"/>
      <c r="W143" s="620"/>
      <c r="X143" s="620"/>
      <c r="Y143" s="620"/>
      <c r="Z143" s="620"/>
      <c r="AA143" s="620"/>
      <c r="AB143" s="620"/>
      <c r="AC143" s="620"/>
      <c r="AD143" s="620"/>
      <c r="AE143" s="620"/>
      <c r="AF143" s="620"/>
      <c r="AG143" s="620"/>
      <c r="AH143" s="620"/>
      <c r="AI143" s="620"/>
      <c r="AJ143" s="620"/>
      <c r="AK143" s="620"/>
      <c r="AL143" s="620"/>
      <c r="AM143" s="620"/>
      <c r="AN143" s="620"/>
      <c r="AO143" s="620"/>
      <c r="AP143" s="620"/>
      <c r="AQ143" s="620"/>
      <c r="AR143" s="620"/>
      <c r="AS143" s="620"/>
      <c r="AT143" s="620"/>
      <c r="AU143" s="620"/>
      <c r="AV143" s="620"/>
      <c r="AW143" s="620"/>
      <c r="AX143" s="620"/>
      <c r="AY143" s="620"/>
      <c r="AZ143" s="620"/>
      <c r="BA143" s="620"/>
      <c r="BB143" s="620"/>
    </row>
    <row r="144" spans="2:54" ht="9" customHeight="1">
      <c r="B144" s="201"/>
      <c r="C144" s="201"/>
      <c r="D144" s="201"/>
      <c r="E144" s="201"/>
      <c r="F144" s="201"/>
      <c r="G144" s="201"/>
      <c r="H144" s="201"/>
      <c r="I144" s="201"/>
      <c r="J144" s="201"/>
      <c r="K144" s="201"/>
      <c r="L144" s="201"/>
      <c r="M144" s="201"/>
      <c r="N144" s="199"/>
      <c r="O144" s="620"/>
      <c r="P144" s="620"/>
      <c r="Q144" s="620"/>
      <c r="R144" s="620"/>
      <c r="S144" s="620"/>
      <c r="T144" s="620"/>
      <c r="U144" s="620"/>
      <c r="V144" s="620"/>
      <c r="W144" s="620"/>
      <c r="X144" s="620"/>
      <c r="Y144" s="620"/>
      <c r="Z144" s="620"/>
      <c r="AA144" s="620"/>
      <c r="AB144" s="620"/>
      <c r="AC144" s="620"/>
      <c r="AD144" s="620"/>
      <c r="AE144" s="620"/>
      <c r="AF144" s="620"/>
      <c r="AG144" s="620"/>
      <c r="AH144" s="620"/>
      <c r="AI144" s="620"/>
      <c r="AJ144" s="620"/>
      <c r="AK144" s="620"/>
      <c r="AL144" s="620"/>
      <c r="AM144" s="620"/>
      <c r="AN144" s="620"/>
      <c r="AO144" s="620"/>
      <c r="AP144" s="620"/>
      <c r="AQ144" s="620"/>
      <c r="AR144" s="620"/>
      <c r="AS144" s="620"/>
      <c r="AT144" s="620"/>
      <c r="AU144" s="620"/>
      <c r="AV144" s="620"/>
      <c r="AW144" s="620"/>
      <c r="AX144" s="620"/>
      <c r="AY144" s="620"/>
      <c r="AZ144" s="620"/>
      <c r="BA144" s="620"/>
      <c r="BB144" s="620"/>
    </row>
    <row r="145" spans="2:54" ht="9" customHeight="1">
      <c r="B145" s="201"/>
      <c r="C145" s="201"/>
      <c r="D145" s="201"/>
      <c r="E145" s="201"/>
      <c r="F145" s="201"/>
      <c r="G145" s="201"/>
      <c r="H145" s="201"/>
      <c r="I145" s="201"/>
      <c r="J145" s="201"/>
      <c r="K145" s="201"/>
      <c r="L145" s="201"/>
      <c r="M145" s="201"/>
      <c r="N145" s="199"/>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0"/>
      <c r="AY145" s="620"/>
      <c r="AZ145" s="620"/>
      <c r="BA145" s="620"/>
      <c r="BB145" s="620"/>
    </row>
    <row r="146" spans="2:54" ht="9" customHeight="1">
      <c r="B146" s="201"/>
      <c r="C146" s="201"/>
      <c r="D146" s="201"/>
      <c r="E146" s="201"/>
      <c r="F146" s="201"/>
      <c r="G146" s="201"/>
      <c r="H146" s="201"/>
      <c r="I146" s="201"/>
      <c r="J146" s="201"/>
      <c r="K146" s="201"/>
      <c r="L146" s="201"/>
      <c r="M146" s="201"/>
      <c r="N146" s="199"/>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0"/>
      <c r="AY146" s="620"/>
      <c r="AZ146" s="620"/>
      <c r="BA146" s="620"/>
      <c r="BB146" s="620"/>
    </row>
    <row r="147" spans="2:54" ht="9" customHeight="1">
      <c r="B147" s="201"/>
      <c r="C147" s="201"/>
      <c r="D147" s="201"/>
      <c r="E147" s="201"/>
      <c r="F147" s="201"/>
      <c r="G147" s="201"/>
      <c r="H147" s="201"/>
      <c r="I147" s="201"/>
      <c r="J147" s="201"/>
      <c r="K147" s="201"/>
      <c r="L147" s="201"/>
      <c r="M147" s="201"/>
      <c r="N147" s="199"/>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0"/>
      <c r="AY147" s="620"/>
      <c r="AZ147" s="620"/>
      <c r="BA147" s="620"/>
      <c r="BB147" s="620"/>
    </row>
    <row r="148" spans="2:54" ht="9" customHeight="1">
      <c r="B148" s="201"/>
      <c r="C148" s="201"/>
      <c r="D148" s="201"/>
      <c r="E148" s="201"/>
      <c r="F148" s="201"/>
      <c r="G148" s="201"/>
      <c r="H148" s="201"/>
      <c r="I148" s="201"/>
      <c r="J148" s="201"/>
      <c r="K148" s="201"/>
      <c r="L148" s="201"/>
      <c r="M148" s="201"/>
      <c r="N148" s="199"/>
      <c r="O148" s="620"/>
      <c r="P148" s="620"/>
      <c r="Q148" s="620"/>
      <c r="R148" s="620"/>
      <c r="S148" s="620"/>
      <c r="T148" s="620"/>
      <c r="U148" s="620"/>
      <c r="V148" s="620"/>
      <c r="W148" s="620"/>
      <c r="X148" s="620"/>
      <c r="Y148" s="620"/>
      <c r="Z148" s="620"/>
      <c r="AA148" s="620"/>
      <c r="AB148" s="620"/>
      <c r="AC148" s="620"/>
      <c r="AD148" s="620"/>
      <c r="AE148" s="620"/>
      <c r="AF148" s="620"/>
      <c r="AG148" s="620"/>
      <c r="AH148" s="620"/>
      <c r="AI148" s="620"/>
      <c r="AJ148" s="620"/>
      <c r="AK148" s="620"/>
      <c r="AL148" s="620"/>
      <c r="AM148" s="620"/>
      <c r="AN148" s="620"/>
      <c r="AO148" s="620"/>
      <c r="AP148" s="620"/>
      <c r="AQ148" s="620"/>
      <c r="AR148" s="620"/>
      <c r="AS148" s="620"/>
      <c r="AT148" s="620"/>
      <c r="AU148" s="620"/>
      <c r="AV148" s="620"/>
      <c r="AW148" s="620"/>
      <c r="AX148" s="620"/>
      <c r="AY148" s="620"/>
      <c r="AZ148" s="620"/>
      <c r="BA148" s="620"/>
      <c r="BB148" s="620"/>
    </row>
    <row r="149" spans="2:54" ht="9" customHeight="1">
      <c r="B149" s="201"/>
      <c r="C149" s="201"/>
      <c r="D149" s="201"/>
      <c r="E149" s="201"/>
      <c r="F149" s="201"/>
      <c r="G149" s="201"/>
      <c r="H149" s="201"/>
      <c r="I149" s="201"/>
      <c r="J149" s="201"/>
      <c r="K149" s="201"/>
      <c r="L149" s="201"/>
      <c r="M149" s="201"/>
      <c r="N149" s="199"/>
      <c r="O149" s="620"/>
      <c r="P149" s="620"/>
      <c r="Q149" s="620"/>
      <c r="R149" s="620"/>
      <c r="S149" s="620"/>
      <c r="T149" s="620"/>
      <c r="U149" s="620"/>
      <c r="V149" s="620"/>
      <c r="W149" s="620"/>
      <c r="X149" s="620"/>
      <c r="Y149" s="620"/>
      <c r="Z149" s="620"/>
      <c r="AA149" s="620"/>
      <c r="AB149" s="620"/>
      <c r="AC149" s="620"/>
      <c r="AD149" s="620"/>
      <c r="AE149" s="620"/>
      <c r="AF149" s="620"/>
      <c r="AG149" s="620"/>
      <c r="AH149" s="620"/>
      <c r="AI149" s="620"/>
      <c r="AJ149" s="620"/>
      <c r="AK149" s="620"/>
      <c r="AL149" s="620"/>
      <c r="AM149" s="620"/>
      <c r="AN149" s="620"/>
      <c r="AO149" s="620"/>
      <c r="AP149" s="620"/>
      <c r="AQ149" s="620"/>
      <c r="AR149" s="620"/>
      <c r="AS149" s="620"/>
      <c r="AT149" s="620"/>
      <c r="AU149" s="620"/>
      <c r="AV149" s="620"/>
      <c r="AW149" s="620"/>
      <c r="AX149" s="620"/>
      <c r="AY149" s="620"/>
      <c r="AZ149" s="620"/>
      <c r="BA149" s="620"/>
      <c r="BB149" s="620"/>
    </row>
    <row r="150" spans="2:54" ht="9" customHeight="1">
      <c r="B150" s="201"/>
      <c r="C150" s="201"/>
      <c r="D150" s="201"/>
      <c r="E150" s="201"/>
      <c r="F150" s="201"/>
      <c r="G150" s="201"/>
      <c r="H150" s="201"/>
      <c r="I150" s="201"/>
      <c r="J150" s="201"/>
      <c r="K150" s="201"/>
      <c r="L150" s="201"/>
      <c r="M150" s="201"/>
      <c r="N150" s="199"/>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0"/>
      <c r="AY150" s="620"/>
      <c r="AZ150" s="620"/>
      <c r="BA150" s="620"/>
      <c r="BB150" s="620"/>
    </row>
    <row r="151" spans="2:54" ht="9" customHeight="1">
      <c r="B151" s="201"/>
      <c r="C151" s="201"/>
      <c r="D151" s="201"/>
      <c r="E151" s="201"/>
      <c r="F151" s="201"/>
      <c r="G151" s="201"/>
      <c r="H151" s="201"/>
      <c r="I151" s="201"/>
      <c r="J151" s="201"/>
      <c r="K151" s="201"/>
      <c r="L151" s="201"/>
      <c r="M151" s="201"/>
      <c r="N151" s="199"/>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620"/>
      <c r="AL151" s="620"/>
      <c r="AM151" s="620"/>
      <c r="AN151" s="620"/>
      <c r="AO151" s="620"/>
      <c r="AP151" s="620"/>
      <c r="AQ151" s="620"/>
      <c r="AR151" s="620"/>
      <c r="AS151" s="620"/>
      <c r="AT151" s="620"/>
      <c r="AU151" s="620"/>
      <c r="AV151" s="620"/>
      <c r="AW151" s="620"/>
      <c r="AX151" s="620"/>
      <c r="AY151" s="620"/>
      <c r="AZ151" s="620"/>
      <c r="BA151" s="620"/>
      <c r="BB151" s="620"/>
    </row>
    <row r="152" spans="2:54" ht="9" customHeight="1">
      <c r="B152" s="201"/>
      <c r="C152" s="201"/>
      <c r="D152" s="201"/>
      <c r="E152" s="201"/>
      <c r="F152" s="201"/>
      <c r="G152" s="201"/>
      <c r="H152" s="201"/>
      <c r="I152" s="201"/>
      <c r="J152" s="201"/>
      <c r="K152" s="201"/>
      <c r="L152" s="201"/>
      <c r="M152" s="201"/>
      <c r="N152" s="199"/>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0"/>
      <c r="AZ152" s="620"/>
      <c r="BA152" s="620"/>
      <c r="BB152" s="620"/>
    </row>
    <row r="153" spans="2:54" ht="9" customHeight="1">
      <c r="B153" s="201"/>
      <c r="C153" s="201"/>
      <c r="D153" s="201"/>
      <c r="E153" s="201"/>
      <c r="F153" s="201"/>
      <c r="G153" s="201"/>
      <c r="H153" s="201"/>
      <c r="I153" s="201"/>
      <c r="J153" s="201"/>
      <c r="K153" s="201"/>
      <c r="L153" s="201"/>
      <c r="M153" s="201"/>
      <c r="N153" s="199"/>
      <c r="O153" s="620"/>
      <c r="P153" s="620"/>
      <c r="Q153" s="620"/>
      <c r="R153" s="620"/>
      <c r="S153" s="620"/>
      <c r="T153" s="620"/>
      <c r="U153" s="620"/>
      <c r="V153" s="620"/>
      <c r="W153" s="620"/>
      <c r="X153" s="620"/>
      <c r="Y153" s="620"/>
      <c r="Z153" s="620"/>
      <c r="AA153" s="620"/>
      <c r="AB153" s="620"/>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row>
    <row r="154" spans="2:54" ht="9" customHeight="1">
      <c r="B154" s="201"/>
      <c r="C154" s="201"/>
      <c r="D154" s="201"/>
      <c r="E154" s="201"/>
      <c r="F154" s="201"/>
      <c r="G154" s="201"/>
      <c r="H154" s="201"/>
      <c r="I154" s="201"/>
      <c r="J154" s="201"/>
      <c r="K154" s="201"/>
      <c r="L154" s="201"/>
      <c r="M154" s="201"/>
      <c r="N154" s="199"/>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0"/>
      <c r="AZ154" s="620"/>
      <c r="BA154" s="620"/>
      <c r="BB154" s="620"/>
    </row>
    <row r="155" spans="2:54" ht="9" customHeight="1">
      <c r="B155" s="201"/>
      <c r="C155" s="201"/>
      <c r="D155" s="201"/>
      <c r="E155" s="201"/>
      <c r="F155" s="201"/>
      <c r="G155" s="201"/>
      <c r="H155" s="201"/>
      <c r="I155" s="201"/>
      <c r="J155" s="201"/>
      <c r="K155" s="201"/>
      <c r="L155" s="201"/>
      <c r="M155" s="201"/>
      <c r="N155" s="199"/>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c r="BA155" s="620"/>
      <c r="BB155" s="620"/>
    </row>
    <row r="156" spans="2:54" ht="9" customHeight="1">
      <c r="B156" s="201"/>
      <c r="C156" s="201"/>
      <c r="D156" s="201"/>
      <c r="E156" s="201"/>
      <c r="F156" s="201"/>
      <c r="G156" s="201"/>
      <c r="H156" s="201"/>
      <c r="I156" s="201"/>
      <c r="J156" s="201"/>
      <c r="K156" s="201"/>
      <c r="L156" s="201"/>
      <c r="M156" s="201"/>
      <c r="N156" s="199"/>
      <c r="O156" s="620"/>
      <c r="P156" s="620"/>
      <c r="Q156" s="620"/>
      <c r="R156" s="620"/>
      <c r="S156" s="620"/>
      <c r="T156" s="620"/>
      <c r="U156" s="620"/>
      <c r="V156" s="620"/>
      <c r="W156" s="620"/>
      <c r="X156" s="620"/>
      <c r="Y156" s="620"/>
      <c r="Z156" s="620"/>
      <c r="AA156" s="620"/>
      <c r="AB156" s="620"/>
      <c r="AC156" s="620"/>
      <c r="AD156" s="620"/>
      <c r="AE156" s="620"/>
      <c r="AF156" s="620"/>
      <c r="AG156" s="620"/>
      <c r="AH156" s="620"/>
      <c r="AI156" s="620"/>
      <c r="AJ156" s="620"/>
      <c r="AK156" s="620"/>
      <c r="AL156" s="620"/>
      <c r="AM156" s="620"/>
      <c r="AN156" s="620"/>
      <c r="AO156" s="620"/>
      <c r="AP156" s="620"/>
      <c r="AQ156" s="620"/>
      <c r="AR156" s="620"/>
      <c r="AS156" s="620"/>
      <c r="AT156" s="620"/>
      <c r="AU156" s="620"/>
      <c r="AV156" s="620"/>
      <c r="AW156" s="620"/>
      <c r="AX156" s="620"/>
      <c r="AY156" s="620"/>
      <c r="AZ156" s="620"/>
      <c r="BA156" s="620"/>
      <c r="BB156" s="620"/>
    </row>
    <row r="157" spans="2:54" ht="9" customHeight="1">
      <c r="B157" s="201"/>
      <c r="C157" s="201"/>
      <c r="D157" s="201"/>
      <c r="E157" s="201"/>
      <c r="F157" s="201"/>
      <c r="G157" s="201"/>
      <c r="H157" s="201"/>
      <c r="I157" s="201"/>
      <c r="J157" s="201"/>
      <c r="K157" s="201"/>
      <c r="L157" s="201"/>
      <c r="M157" s="201"/>
      <c r="N157" s="199"/>
      <c r="O157" s="620"/>
      <c r="P157" s="620"/>
      <c r="Q157" s="620"/>
      <c r="R157" s="620"/>
      <c r="S157" s="620"/>
      <c r="T157" s="620"/>
      <c r="U157" s="620"/>
      <c r="V157" s="620"/>
      <c r="W157" s="620"/>
      <c r="X157" s="620"/>
      <c r="Y157" s="620"/>
      <c r="Z157" s="620"/>
      <c r="AA157" s="620"/>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c r="BA157" s="620"/>
      <c r="BB157" s="620"/>
    </row>
    <row r="158" spans="2:54" ht="9" customHeight="1">
      <c r="B158" s="201"/>
      <c r="C158" s="201"/>
      <c r="D158" s="201"/>
      <c r="E158" s="201"/>
      <c r="F158" s="201"/>
      <c r="G158" s="201"/>
      <c r="H158" s="201"/>
      <c r="I158" s="201"/>
      <c r="J158" s="201"/>
      <c r="K158" s="201"/>
      <c r="L158" s="201"/>
      <c r="M158" s="201"/>
      <c r="N158" s="199"/>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620"/>
      <c r="AL158" s="620"/>
      <c r="AM158" s="620"/>
      <c r="AN158" s="620"/>
      <c r="AO158" s="620"/>
      <c r="AP158" s="620"/>
      <c r="AQ158" s="620"/>
      <c r="AR158" s="620"/>
      <c r="AS158" s="620"/>
      <c r="AT158" s="620"/>
      <c r="AU158" s="620"/>
      <c r="AV158" s="620"/>
      <c r="AW158" s="620"/>
      <c r="AX158" s="620"/>
      <c r="AY158" s="620"/>
      <c r="AZ158" s="620"/>
      <c r="BA158" s="620"/>
      <c r="BB158" s="620"/>
    </row>
    <row r="159" spans="2:54" ht="9" customHeight="1">
      <c r="B159" s="201"/>
      <c r="C159" s="201"/>
      <c r="D159" s="201"/>
      <c r="E159" s="201"/>
      <c r="F159" s="201"/>
      <c r="G159" s="201"/>
      <c r="H159" s="201"/>
      <c r="I159" s="201"/>
      <c r="J159" s="201"/>
      <c r="K159" s="201"/>
      <c r="L159" s="201"/>
      <c r="M159" s="201"/>
      <c r="N159" s="199"/>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c r="BA159" s="620"/>
      <c r="BB159" s="620"/>
    </row>
    <row r="160" spans="2:54" ht="9" customHeight="1">
      <c r="B160" s="203"/>
      <c r="C160" s="203"/>
      <c r="D160" s="203"/>
      <c r="E160" s="203"/>
      <c r="F160" s="203"/>
      <c r="G160" s="203"/>
      <c r="H160" s="203"/>
      <c r="I160" s="203"/>
      <c r="J160" s="203"/>
      <c r="K160" s="203"/>
      <c r="L160" s="203"/>
      <c r="M160" s="203"/>
      <c r="N160" s="200"/>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39"/>
      <c r="AL160" s="639"/>
      <c r="AM160" s="639"/>
      <c r="AN160" s="639"/>
      <c r="AO160" s="639"/>
      <c r="AP160" s="639"/>
      <c r="AQ160" s="639"/>
      <c r="AR160" s="639"/>
      <c r="AS160" s="639"/>
      <c r="AT160" s="639"/>
      <c r="AU160" s="639"/>
      <c r="AV160" s="639"/>
      <c r="AW160" s="639"/>
      <c r="AX160" s="639"/>
      <c r="AY160" s="639"/>
      <c r="AZ160" s="639"/>
      <c r="BA160" s="639"/>
      <c r="BB160" s="639"/>
    </row>
    <row r="161" spans="2:54" ht="9" customHeight="1"/>
    <row r="162" spans="2:54" ht="9" customHeight="1"/>
    <row r="163" spans="2:54" ht="9" customHeight="1">
      <c r="B163" s="636">
        <v>13</v>
      </c>
      <c r="C163" s="636"/>
      <c r="D163" s="637" t="s">
        <v>480</v>
      </c>
      <c r="E163" s="637"/>
      <c r="F163" s="637"/>
      <c r="G163" s="637"/>
      <c r="H163" s="637"/>
      <c r="I163" s="637"/>
      <c r="J163" s="637"/>
      <c r="K163" s="637"/>
      <c r="L163" s="637"/>
      <c r="M163" s="637"/>
      <c r="N163" s="626"/>
      <c r="O163" s="638" t="str">
        <f>IF('(I) Plano de Trabalho'!$O$442="","",'(I) Plano de Trabalho'!$O$442)</f>
        <v>Atualmente, os exportadores e importadores de produtos e subprodutos da biodiversidade se deparam com dificuldades relacionadas à dispersão de informações ambientais e à necessidade de cumprimento de exigências do Ibama e de outros órgãos intervenientes. Ao Ibama cabe controlar a importação e exportação de espécimes, produtos e subprodutos da fauna, bem como de espécies constantes nos anexos da Convenção Internacional sobre o Comércio de Espécies da Fauna e da Flora Silvestres em Perigo de Extinção – CITES. Além disso, o Instituto anui a importação e exportação de recursos pesqueiros com a finalidade ornamental e de aquariofilia. Para a emissão das licenças do Ibama, o usuário necessita acessar o Siscites e, posteriormente, no caso de importações, o Siscomex. Quando se trata de exportação, o registro das licenças no Siscomex é feito de ofício pelo Ibama a partir de informações fornecidas por e-mail pelo usuário que já possui licença emitida pelo Siscites. A submissão dos documentos necessários à anuência da importação ou exportação por parte do Ibama, a depender do tipo de material a ser transacionado, se dá por meio dos correios, por meio eletrônico ou dentro do próprio Siscomex. Essa diferença procedimental dentro do órgão se deve ao fato de que, antes da publicação do Decreto nº 8.973, de 24 de janeiro de 2017, e da Portaria Ibama nº 14, de 29 de junho de 2017, esta última aprovando o Regimento Interno do Ibama, não havia no órgão uma coordenação voltada exclusivamente às atividades de comércio exterior da biodiversidade. Antes da criação da Coordenação de Comércio Exterior dentro da estrutura da Diretoria de Uso Sustentável da Biodiversidade e Florestas - DBFLO o tema estava disperso por diversas coordenações, dificultando a padronização e eficiência dos processos. Embora administrativamente o Ibama avalie as solicitações de importação ou exportação por meio de documentação encaminhada, o controle ambiental é realizado fora do Siscites, por meio do acesso a outros sistemas, como o próprio Siscomex, o Sinaflor, o CTF e mesmo planilhas, por meio das quais, por exemplo, é feito o controle das cotas de captura de peixes ornamentais, dos lacres de couro de jacaré e pirarucu, e do cronograma de cultivo de orquídeas. Essas etapas de análise são realizadas de forma avulsa e sujeita a erros. Outra problemática relacionada à situação atual de diversidade de procedimentos é a falta de informações sobre a efetivação das transações comerciais (exportação e importação), impedindo a atualização dos sistemas ambientais e a consolidação de dados necessários à gestão ambiental e à análise de risco. O desenvolvimento e implementação de uma plataforma única para as atividades de comércio exterior envolvendo produtos e subprodutos da biodiversidade permitirá ao usuário, com um login único, cumprir todas as exigências ambientais e aquelas relacionadas ao Siscomex para a exportação e importação de produtos e subprodutos da biodiversidade brasileira e exótica, nos casos em que a lei determina, já que estarão plenamente integrados. A unificação das informações na plataforma possibilitará o estabelecimento de critérios de acreditação de usuários (pessoas físicas, empresas e despachantes), os quais terão o fluxo de comércio exterior facilitado a partir do cumprimento de critérios pré-estabelecidos, reduzindo seus custos de transação. A plataforma também permitirá a otimização de recursos para o Ibama, a padronização de procedimentos, a agilidade nos processos, o gerenciamento de risco, o monitoramento da cadeia produtiva e, em consequência disso, o aumento da credibilidade internacional dos produtos da biodiversidade brasileira com origem legal e rastreabilidade. Por fim, a aquisição de equipamentos que permitam o acesso digital offline aos documentos disponíveis na plataforma permitirá que as vistorias sejam feitas sem a necessidade documentos físicos, modernizando a atuação do Ibama e economizando recursos. Aliado a isso, a implantação de sala de situação com os dados atualizados do comércio exterior da biodiversidade constituirá elemento de inovação na gestão dos recursos naturais.</v>
      </c>
      <c r="P163" s="638"/>
      <c r="Q163" s="638"/>
      <c r="R163" s="638"/>
      <c r="S163" s="638"/>
      <c r="T163" s="638"/>
      <c r="U163" s="638"/>
      <c r="V163" s="638"/>
      <c r="W163" s="638"/>
      <c r="X163" s="638"/>
      <c r="Y163" s="638"/>
      <c r="Z163" s="638"/>
      <c r="AA163" s="638"/>
      <c r="AB163" s="638"/>
      <c r="AC163" s="638"/>
      <c r="AD163" s="638"/>
      <c r="AE163" s="638"/>
      <c r="AF163" s="638"/>
      <c r="AG163" s="638"/>
      <c r="AH163" s="638"/>
      <c r="AI163" s="638"/>
      <c r="AJ163" s="638"/>
      <c r="AK163" s="638"/>
      <c r="AL163" s="638"/>
      <c r="AM163" s="638"/>
      <c r="AN163" s="638"/>
      <c r="AO163" s="638"/>
      <c r="AP163" s="638"/>
      <c r="AQ163" s="638"/>
      <c r="AR163" s="638"/>
      <c r="AS163" s="638"/>
      <c r="AT163" s="638"/>
      <c r="AU163" s="638"/>
      <c r="AV163" s="638"/>
      <c r="AW163" s="638"/>
      <c r="AX163" s="638"/>
      <c r="AY163" s="638"/>
      <c r="AZ163" s="638"/>
      <c r="BA163" s="638"/>
      <c r="BB163" s="638"/>
    </row>
    <row r="164" spans="2:54" ht="9" customHeight="1">
      <c r="B164" s="611"/>
      <c r="C164" s="611"/>
      <c r="D164" s="613"/>
      <c r="E164" s="613"/>
      <c r="F164" s="613"/>
      <c r="G164" s="613"/>
      <c r="H164" s="613"/>
      <c r="I164" s="613"/>
      <c r="J164" s="613"/>
      <c r="K164" s="613"/>
      <c r="L164" s="613"/>
      <c r="M164" s="613"/>
      <c r="N164" s="623"/>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620"/>
      <c r="AY164" s="620"/>
      <c r="AZ164" s="620"/>
      <c r="BA164" s="620"/>
      <c r="BB164" s="620"/>
    </row>
    <row r="165" spans="2:54" ht="9" customHeight="1">
      <c r="B165" s="201"/>
      <c r="C165" s="201"/>
      <c r="D165" s="201"/>
      <c r="E165" s="201"/>
      <c r="F165" s="201"/>
      <c r="G165" s="201"/>
      <c r="H165" s="201"/>
      <c r="I165" s="201"/>
      <c r="J165" s="201"/>
      <c r="K165" s="201"/>
      <c r="L165" s="201"/>
      <c r="M165" s="201"/>
      <c r="N165" s="199"/>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0"/>
      <c r="AL165" s="620"/>
      <c r="AM165" s="620"/>
      <c r="AN165" s="620"/>
      <c r="AO165" s="620"/>
      <c r="AP165" s="620"/>
      <c r="AQ165" s="620"/>
      <c r="AR165" s="620"/>
      <c r="AS165" s="620"/>
      <c r="AT165" s="620"/>
      <c r="AU165" s="620"/>
      <c r="AV165" s="620"/>
      <c r="AW165" s="620"/>
      <c r="AX165" s="620"/>
      <c r="AY165" s="620"/>
      <c r="AZ165" s="620"/>
      <c r="BA165" s="620"/>
      <c r="BB165" s="620"/>
    </row>
    <row r="166" spans="2:54" ht="9" customHeight="1">
      <c r="B166" s="201"/>
      <c r="C166" s="201"/>
      <c r="D166" s="201"/>
      <c r="E166" s="201"/>
      <c r="F166" s="201"/>
      <c r="G166" s="201"/>
      <c r="H166" s="201"/>
      <c r="I166" s="201"/>
      <c r="J166" s="201"/>
      <c r="K166" s="201"/>
      <c r="L166" s="201"/>
      <c r="M166" s="201"/>
      <c r="N166" s="199"/>
      <c r="O166" s="620"/>
      <c r="P166" s="620"/>
      <c r="Q166" s="620"/>
      <c r="R166" s="620"/>
      <c r="S166" s="620"/>
      <c r="T166" s="620"/>
      <c r="U166" s="620"/>
      <c r="V166" s="620"/>
      <c r="W166" s="620"/>
      <c r="X166" s="620"/>
      <c r="Y166" s="620"/>
      <c r="Z166" s="620"/>
      <c r="AA166" s="620"/>
      <c r="AB166" s="620"/>
      <c r="AC166" s="620"/>
      <c r="AD166" s="620"/>
      <c r="AE166" s="620"/>
      <c r="AF166" s="620"/>
      <c r="AG166" s="620"/>
      <c r="AH166" s="620"/>
      <c r="AI166" s="620"/>
      <c r="AJ166" s="620"/>
      <c r="AK166" s="620"/>
      <c r="AL166" s="620"/>
      <c r="AM166" s="620"/>
      <c r="AN166" s="620"/>
      <c r="AO166" s="620"/>
      <c r="AP166" s="620"/>
      <c r="AQ166" s="620"/>
      <c r="AR166" s="620"/>
      <c r="AS166" s="620"/>
      <c r="AT166" s="620"/>
      <c r="AU166" s="620"/>
      <c r="AV166" s="620"/>
      <c r="AW166" s="620"/>
      <c r="AX166" s="620"/>
      <c r="AY166" s="620"/>
      <c r="AZ166" s="620"/>
      <c r="BA166" s="620"/>
      <c r="BB166" s="620"/>
    </row>
    <row r="167" spans="2:54" ht="9" customHeight="1">
      <c r="B167" s="201"/>
      <c r="C167" s="201"/>
      <c r="D167" s="201"/>
      <c r="E167" s="201"/>
      <c r="F167" s="201"/>
      <c r="G167" s="201"/>
      <c r="H167" s="201"/>
      <c r="I167" s="201"/>
      <c r="J167" s="201"/>
      <c r="K167" s="201"/>
      <c r="L167" s="201"/>
      <c r="M167" s="201"/>
      <c r="N167" s="199"/>
      <c r="O167" s="620"/>
      <c r="P167" s="620"/>
      <c r="Q167" s="620"/>
      <c r="R167" s="620"/>
      <c r="S167" s="620"/>
      <c r="T167" s="620"/>
      <c r="U167" s="620"/>
      <c r="V167" s="620"/>
      <c r="W167" s="620"/>
      <c r="X167" s="620"/>
      <c r="Y167" s="620"/>
      <c r="Z167" s="620"/>
      <c r="AA167" s="620"/>
      <c r="AB167" s="620"/>
      <c r="AC167" s="620"/>
      <c r="AD167" s="620"/>
      <c r="AE167" s="620"/>
      <c r="AF167" s="620"/>
      <c r="AG167" s="620"/>
      <c r="AH167" s="620"/>
      <c r="AI167" s="620"/>
      <c r="AJ167" s="620"/>
      <c r="AK167" s="620"/>
      <c r="AL167" s="620"/>
      <c r="AM167" s="620"/>
      <c r="AN167" s="620"/>
      <c r="AO167" s="620"/>
      <c r="AP167" s="620"/>
      <c r="AQ167" s="620"/>
      <c r="AR167" s="620"/>
      <c r="AS167" s="620"/>
      <c r="AT167" s="620"/>
      <c r="AU167" s="620"/>
      <c r="AV167" s="620"/>
      <c r="AW167" s="620"/>
      <c r="AX167" s="620"/>
      <c r="AY167" s="620"/>
      <c r="AZ167" s="620"/>
      <c r="BA167" s="620"/>
      <c r="BB167" s="620"/>
    </row>
    <row r="168" spans="2:54" ht="9" customHeight="1">
      <c r="B168" s="201"/>
      <c r="C168" s="201"/>
      <c r="D168" s="201"/>
      <c r="E168" s="201"/>
      <c r="F168" s="201"/>
      <c r="G168" s="201"/>
      <c r="H168" s="201"/>
      <c r="I168" s="201"/>
      <c r="J168" s="201"/>
      <c r="K168" s="201"/>
      <c r="L168" s="201"/>
      <c r="M168" s="201"/>
      <c r="N168" s="199"/>
      <c r="O168" s="620"/>
      <c r="P168" s="620"/>
      <c r="Q168" s="620"/>
      <c r="R168" s="620"/>
      <c r="S168" s="620"/>
      <c r="T168" s="620"/>
      <c r="U168" s="620"/>
      <c r="V168" s="620"/>
      <c r="W168" s="620"/>
      <c r="X168" s="620"/>
      <c r="Y168" s="620"/>
      <c r="Z168" s="620"/>
      <c r="AA168" s="620"/>
      <c r="AB168" s="620"/>
      <c r="AC168" s="620"/>
      <c r="AD168" s="620"/>
      <c r="AE168" s="620"/>
      <c r="AF168" s="620"/>
      <c r="AG168" s="620"/>
      <c r="AH168" s="620"/>
      <c r="AI168" s="620"/>
      <c r="AJ168" s="620"/>
      <c r="AK168" s="620"/>
      <c r="AL168" s="620"/>
      <c r="AM168" s="620"/>
      <c r="AN168" s="620"/>
      <c r="AO168" s="620"/>
      <c r="AP168" s="620"/>
      <c r="AQ168" s="620"/>
      <c r="AR168" s="620"/>
      <c r="AS168" s="620"/>
      <c r="AT168" s="620"/>
      <c r="AU168" s="620"/>
      <c r="AV168" s="620"/>
      <c r="AW168" s="620"/>
      <c r="AX168" s="620"/>
      <c r="AY168" s="620"/>
      <c r="AZ168" s="620"/>
      <c r="BA168" s="620"/>
      <c r="BB168" s="620"/>
    </row>
    <row r="169" spans="2:54" ht="9" customHeight="1">
      <c r="B169" s="201"/>
      <c r="C169" s="201"/>
      <c r="D169" s="201"/>
      <c r="E169" s="201"/>
      <c r="F169" s="201"/>
      <c r="G169" s="201"/>
      <c r="H169" s="201"/>
      <c r="I169" s="201"/>
      <c r="J169" s="201"/>
      <c r="K169" s="201"/>
      <c r="L169" s="201"/>
      <c r="M169" s="201"/>
      <c r="N169" s="199"/>
      <c r="O169" s="620"/>
      <c r="P169" s="620"/>
      <c r="Q169" s="620"/>
      <c r="R169" s="620"/>
      <c r="S169" s="620"/>
      <c r="T169" s="620"/>
      <c r="U169" s="620"/>
      <c r="V169" s="620"/>
      <c r="W169" s="620"/>
      <c r="X169" s="620"/>
      <c r="Y169" s="620"/>
      <c r="Z169" s="620"/>
      <c r="AA169" s="620"/>
      <c r="AB169" s="620"/>
      <c r="AC169" s="620"/>
      <c r="AD169" s="620"/>
      <c r="AE169" s="620"/>
      <c r="AF169" s="620"/>
      <c r="AG169" s="620"/>
      <c r="AH169" s="620"/>
      <c r="AI169" s="620"/>
      <c r="AJ169" s="620"/>
      <c r="AK169" s="620"/>
      <c r="AL169" s="620"/>
      <c r="AM169" s="620"/>
      <c r="AN169" s="620"/>
      <c r="AO169" s="620"/>
      <c r="AP169" s="620"/>
      <c r="AQ169" s="620"/>
      <c r="AR169" s="620"/>
      <c r="AS169" s="620"/>
      <c r="AT169" s="620"/>
      <c r="AU169" s="620"/>
      <c r="AV169" s="620"/>
      <c r="AW169" s="620"/>
      <c r="AX169" s="620"/>
      <c r="AY169" s="620"/>
      <c r="AZ169" s="620"/>
      <c r="BA169" s="620"/>
      <c r="BB169" s="620"/>
    </row>
    <row r="170" spans="2:54" ht="9" customHeight="1">
      <c r="B170" s="201"/>
      <c r="C170" s="201"/>
      <c r="D170" s="201"/>
      <c r="E170" s="201"/>
      <c r="F170" s="201"/>
      <c r="G170" s="201"/>
      <c r="H170" s="201"/>
      <c r="I170" s="201"/>
      <c r="J170" s="201"/>
      <c r="K170" s="201"/>
      <c r="L170" s="201"/>
      <c r="M170" s="201"/>
      <c r="N170" s="199"/>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620"/>
      <c r="AL170" s="620"/>
      <c r="AM170" s="620"/>
      <c r="AN170" s="620"/>
      <c r="AO170" s="620"/>
      <c r="AP170" s="620"/>
      <c r="AQ170" s="620"/>
      <c r="AR170" s="620"/>
      <c r="AS170" s="620"/>
      <c r="AT170" s="620"/>
      <c r="AU170" s="620"/>
      <c r="AV170" s="620"/>
      <c r="AW170" s="620"/>
      <c r="AX170" s="620"/>
      <c r="AY170" s="620"/>
      <c r="AZ170" s="620"/>
      <c r="BA170" s="620"/>
      <c r="BB170" s="620"/>
    </row>
    <row r="171" spans="2:54" ht="9" customHeight="1">
      <c r="B171" s="201"/>
      <c r="C171" s="201"/>
      <c r="D171" s="201"/>
      <c r="E171" s="201"/>
      <c r="F171" s="201"/>
      <c r="G171" s="201"/>
      <c r="H171" s="201"/>
      <c r="I171" s="201"/>
      <c r="J171" s="201"/>
      <c r="K171" s="201"/>
      <c r="L171" s="201"/>
      <c r="M171" s="201"/>
      <c r="N171" s="199"/>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620"/>
      <c r="AL171" s="620"/>
      <c r="AM171" s="620"/>
      <c r="AN171" s="620"/>
      <c r="AO171" s="620"/>
      <c r="AP171" s="620"/>
      <c r="AQ171" s="620"/>
      <c r="AR171" s="620"/>
      <c r="AS171" s="620"/>
      <c r="AT171" s="620"/>
      <c r="AU171" s="620"/>
      <c r="AV171" s="620"/>
      <c r="AW171" s="620"/>
      <c r="AX171" s="620"/>
      <c r="AY171" s="620"/>
      <c r="AZ171" s="620"/>
      <c r="BA171" s="620"/>
      <c r="BB171" s="620"/>
    </row>
    <row r="172" spans="2:54" ht="9" customHeight="1">
      <c r="B172" s="201"/>
      <c r="C172" s="201"/>
      <c r="D172" s="201"/>
      <c r="E172" s="201"/>
      <c r="F172" s="201"/>
      <c r="G172" s="201"/>
      <c r="H172" s="201"/>
      <c r="I172" s="201"/>
      <c r="J172" s="201"/>
      <c r="K172" s="201"/>
      <c r="L172" s="201"/>
      <c r="M172" s="201"/>
      <c r="N172" s="199"/>
      <c r="O172" s="620"/>
      <c r="P172" s="620"/>
      <c r="Q172" s="620"/>
      <c r="R172" s="620"/>
      <c r="S172" s="620"/>
      <c r="T172" s="620"/>
      <c r="U172" s="620"/>
      <c r="V172" s="620"/>
      <c r="W172" s="620"/>
      <c r="X172" s="620"/>
      <c r="Y172" s="620"/>
      <c r="Z172" s="620"/>
      <c r="AA172" s="620"/>
      <c r="AB172" s="620"/>
      <c r="AC172" s="620"/>
      <c r="AD172" s="620"/>
      <c r="AE172" s="620"/>
      <c r="AF172" s="620"/>
      <c r="AG172" s="620"/>
      <c r="AH172" s="620"/>
      <c r="AI172" s="620"/>
      <c r="AJ172" s="620"/>
      <c r="AK172" s="620"/>
      <c r="AL172" s="620"/>
      <c r="AM172" s="620"/>
      <c r="AN172" s="620"/>
      <c r="AO172" s="620"/>
      <c r="AP172" s="620"/>
      <c r="AQ172" s="620"/>
      <c r="AR172" s="620"/>
      <c r="AS172" s="620"/>
      <c r="AT172" s="620"/>
      <c r="AU172" s="620"/>
      <c r="AV172" s="620"/>
      <c r="AW172" s="620"/>
      <c r="AX172" s="620"/>
      <c r="AY172" s="620"/>
      <c r="AZ172" s="620"/>
      <c r="BA172" s="620"/>
      <c r="BB172" s="620"/>
    </row>
    <row r="173" spans="2:54" ht="9" customHeight="1">
      <c r="B173" s="201"/>
      <c r="C173" s="201"/>
      <c r="D173" s="201"/>
      <c r="E173" s="201"/>
      <c r="F173" s="201"/>
      <c r="G173" s="201"/>
      <c r="H173" s="201"/>
      <c r="I173" s="201"/>
      <c r="J173" s="201"/>
      <c r="K173" s="201"/>
      <c r="L173" s="201"/>
      <c r="M173" s="201"/>
      <c r="N173" s="199"/>
      <c r="O173" s="620"/>
      <c r="P173" s="620"/>
      <c r="Q173" s="620"/>
      <c r="R173" s="620"/>
      <c r="S173" s="620"/>
      <c r="T173" s="620"/>
      <c r="U173" s="620"/>
      <c r="V173" s="620"/>
      <c r="W173" s="620"/>
      <c r="X173" s="620"/>
      <c r="Y173" s="620"/>
      <c r="Z173" s="620"/>
      <c r="AA173" s="620"/>
      <c r="AB173" s="620"/>
      <c r="AC173" s="620"/>
      <c r="AD173" s="620"/>
      <c r="AE173" s="620"/>
      <c r="AF173" s="620"/>
      <c r="AG173" s="620"/>
      <c r="AH173" s="620"/>
      <c r="AI173" s="620"/>
      <c r="AJ173" s="620"/>
      <c r="AK173" s="620"/>
      <c r="AL173" s="620"/>
      <c r="AM173" s="620"/>
      <c r="AN173" s="620"/>
      <c r="AO173" s="620"/>
      <c r="AP173" s="620"/>
      <c r="AQ173" s="620"/>
      <c r="AR173" s="620"/>
      <c r="AS173" s="620"/>
      <c r="AT173" s="620"/>
      <c r="AU173" s="620"/>
      <c r="AV173" s="620"/>
      <c r="AW173" s="620"/>
      <c r="AX173" s="620"/>
      <c r="AY173" s="620"/>
      <c r="AZ173" s="620"/>
      <c r="BA173" s="620"/>
      <c r="BB173" s="620"/>
    </row>
    <row r="174" spans="2:54" ht="9" customHeight="1">
      <c r="B174" s="201"/>
      <c r="C174" s="201"/>
      <c r="D174" s="201"/>
      <c r="E174" s="201"/>
      <c r="F174" s="201"/>
      <c r="G174" s="201"/>
      <c r="H174" s="201"/>
      <c r="I174" s="201"/>
      <c r="J174" s="201"/>
      <c r="K174" s="201"/>
      <c r="L174" s="201"/>
      <c r="M174" s="201"/>
      <c r="N174" s="199"/>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0"/>
      <c r="AY174" s="620"/>
      <c r="AZ174" s="620"/>
      <c r="BA174" s="620"/>
      <c r="BB174" s="620"/>
    </row>
    <row r="175" spans="2:54" ht="9" customHeight="1">
      <c r="B175" s="201"/>
      <c r="C175" s="201"/>
      <c r="D175" s="201"/>
      <c r="E175" s="201"/>
      <c r="F175" s="201"/>
      <c r="G175" s="201"/>
      <c r="H175" s="201"/>
      <c r="I175" s="201"/>
      <c r="J175" s="201"/>
      <c r="K175" s="201"/>
      <c r="L175" s="201"/>
      <c r="M175" s="201"/>
      <c r="N175" s="199"/>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620"/>
      <c r="AL175" s="620"/>
      <c r="AM175" s="620"/>
      <c r="AN175" s="620"/>
      <c r="AO175" s="620"/>
      <c r="AP175" s="620"/>
      <c r="AQ175" s="620"/>
      <c r="AR175" s="620"/>
      <c r="AS175" s="620"/>
      <c r="AT175" s="620"/>
      <c r="AU175" s="620"/>
      <c r="AV175" s="620"/>
      <c r="AW175" s="620"/>
      <c r="AX175" s="620"/>
      <c r="AY175" s="620"/>
      <c r="AZ175" s="620"/>
      <c r="BA175" s="620"/>
      <c r="BB175" s="620"/>
    </row>
    <row r="176" spans="2:54" ht="9" customHeight="1">
      <c r="B176" s="201"/>
      <c r="C176" s="201"/>
      <c r="D176" s="201"/>
      <c r="E176" s="201"/>
      <c r="F176" s="201"/>
      <c r="G176" s="201"/>
      <c r="H176" s="201"/>
      <c r="I176" s="201"/>
      <c r="J176" s="201"/>
      <c r="K176" s="201"/>
      <c r="L176" s="201"/>
      <c r="M176" s="201"/>
      <c r="N176" s="199"/>
      <c r="O176" s="620"/>
      <c r="P176" s="620"/>
      <c r="Q176" s="620"/>
      <c r="R176" s="620"/>
      <c r="S176" s="620"/>
      <c r="T176" s="620"/>
      <c r="U176" s="620"/>
      <c r="V176" s="620"/>
      <c r="W176" s="620"/>
      <c r="X176" s="620"/>
      <c r="Y176" s="620"/>
      <c r="Z176" s="620"/>
      <c r="AA176" s="620"/>
      <c r="AB176" s="620"/>
      <c r="AC176" s="620"/>
      <c r="AD176" s="620"/>
      <c r="AE176" s="620"/>
      <c r="AF176" s="620"/>
      <c r="AG176" s="620"/>
      <c r="AH176" s="620"/>
      <c r="AI176" s="620"/>
      <c r="AJ176" s="620"/>
      <c r="AK176" s="620"/>
      <c r="AL176" s="620"/>
      <c r="AM176" s="620"/>
      <c r="AN176" s="620"/>
      <c r="AO176" s="620"/>
      <c r="AP176" s="620"/>
      <c r="AQ176" s="620"/>
      <c r="AR176" s="620"/>
      <c r="AS176" s="620"/>
      <c r="AT176" s="620"/>
      <c r="AU176" s="620"/>
      <c r="AV176" s="620"/>
      <c r="AW176" s="620"/>
      <c r="AX176" s="620"/>
      <c r="AY176" s="620"/>
      <c r="AZ176" s="620"/>
      <c r="BA176" s="620"/>
      <c r="BB176" s="620"/>
    </row>
    <row r="177" spans="2:54" ht="9" customHeight="1">
      <c r="B177" s="201"/>
      <c r="C177" s="201"/>
      <c r="D177" s="201"/>
      <c r="E177" s="201"/>
      <c r="F177" s="201"/>
      <c r="G177" s="201"/>
      <c r="H177" s="201"/>
      <c r="I177" s="201"/>
      <c r="J177" s="201"/>
      <c r="K177" s="201"/>
      <c r="L177" s="201"/>
      <c r="M177" s="201"/>
      <c r="N177" s="199"/>
      <c r="O177" s="620"/>
      <c r="P177" s="620"/>
      <c r="Q177" s="620"/>
      <c r="R177" s="620"/>
      <c r="S177" s="620"/>
      <c r="T177" s="620"/>
      <c r="U177" s="620"/>
      <c r="V177" s="620"/>
      <c r="W177" s="620"/>
      <c r="X177" s="620"/>
      <c r="Y177" s="620"/>
      <c r="Z177" s="620"/>
      <c r="AA177" s="620"/>
      <c r="AB177" s="620"/>
      <c r="AC177" s="620"/>
      <c r="AD177" s="620"/>
      <c r="AE177" s="620"/>
      <c r="AF177" s="620"/>
      <c r="AG177" s="620"/>
      <c r="AH177" s="620"/>
      <c r="AI177" s="620"/>
      <c r="AJ177" s="620"/>
      <c r="AK177" s="620"/>
      <c r="AL177" s="620"/>
      <c r="AM177" s="620"/>
      <c r="AN177" s="620"/>
      <c r="AO177" s="620"/>
      <c r="AP177" s="620"/>
      <c r="AQ177" s="620"/>
      <c r="AR177" s="620"/>
      <c r="AS177" s="620"/>
      <c r="AT177" s="620"/>
      <c r="AU177" s="620"/>
      <c r="AV177" s="620"/>
      <c r="AW177" s="620"/>
      <c r="AX177" s="620"/>
      <c r="AY177" s="620"/>
      <c r="AZ177" s="620"/>
      <c r="BA177" s="620"/>
      <c r="BB177" s="620"/>
    </row>
    <row r="178" spans="2:54" ht="9" customHeight="1">
      <c r="B178" s="201"/>
      <c r="C178" s="201"/>
      <c r="D178" s="201"/>
      <c r="E178" s="201"/>
      <c r="F178" s="201"/>
      <c r="G178" s="201"/>
      <c r="H178" s="201"/>
      <c r="I178" s="201"/>
      <c r="J178" s="201"/>
      <c r="K178" s="201"/>
      <c r="L178" s="201"/>
      <c r="M178" s="201"/>
      <c r="N178" s="199"/>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c r="AL178" s="620"/>
      <c r="AM178" s="620"/>
      <c r="AN178" s="620"/>
      <c r="AO178" s="620"/>
      <c r="AP178" s="620"/>
      <c r="AQ178" s="620"/>
      <c r="AR178" s="620"/>
      <c r="AS178" s="620"/>
      <c r="AT178" s="620"/>
      <c r="AU178" s="620"/>
      <c r="AV178" s="620"/>
      <c r="AW178" s="620"/>
      <c r="AX178" s="620"/>
      <c r="AY178" s="620"/>
      <c r="AZ178" s="620"/>
      <c r="BA178" s="620"/>
      <c r="BB178" s="620"/>
    </row>
    <row r="179" spans="2:54" ht="9" customHeight="1">
      <c r="B179" s="201"/>
      <c r="C179" s="201"/>
      <c r="D179" s="201"/>
      <c r="E179" s="201"/>
      <c r="F179" s="201"/>
      <c r="G179" s="201"/>
      <c r="H179" s="201"/>
      <c r="I179" s="201"/>
      <c r="J179" s="201"/>
      <c r="K179" s="201"/>
      <c r="L179" s="201"/>
      <c r="M179" s="201"/>
      <c r="N179" s="199"/>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c r="AL179" s="620"/>
      <c r="AM179" s="620"/>
      <c r="AN179" s="620"/>
      <c r="AO179" s="620"/>
      <c r="AP179" s="620"/>
      <c r="AQ179" s="620"/>
      <c r="AR179" s="620"/>
      <c r="AS179" s="620"/>
      <c r="AT179" s="620"/>
      <c r="AU179" s="620"/>
      <c r="AV179" s="620"/>
      <c r="AW179" s="620"/>
      <c r="AX179" s="620"/>
      <c r="AY179" s="620"/>
      <c r="AZ179" s="620"/>
      <c r="BA179" s="620"/>
      <c r="BB179" s="620"/>
    </row>
    <row r="180" spans="2:54" ht="9" customHeight="1">
      <c r="B180" s="201"/>
      <c r="C180" s="201"/>
      <c r="D180" s="201"/>
      <c r="E180" s="201"/>
      <c r="F180" s="201"/>
      <c r="G180" s="201"/>
      <c r="H180" s="201"/>
      <c r="I180" s="201"/>
      <c r="J180" s="201"/>
      <c r="K180" s="201"/>
      <c r="L180" s="201"/>
      <c r="M180" s="201"/>
      <c r="N180" s="199"/>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c r="AL180" s="620"/>
      <c r="AM180" s="620"/>
      <c r="AN180" s="620"/>
      <c r="AO180" s="620"/>
      <c r="AP180" s="620"/>
      <c r="AQ180" s="620"/>
      <c r="AR180" s="620"/>
      <c r="AS180" s="620"/>
      <c r="AT180" s="620"/>
      <c r="AU180" s="620"/>
      <c r="AV180" s="620"/>
      <c r="AW180" s="620"/>
      <c r="AX180" s="620"/>
      <c r="AY180" s="620"/>
      <c r="AZ180" s="620"/>
      <c r="BA180" s="620"/>
      <c r="BB180" s="620"/>
    </row>
    <row r="181" spans="2:54" ht="9" customHeight="1">
      <c r="B181" s="201"/>
      <c r="C181" s="201"/>
      <c r="D181" s="201"/>
      <c r="E181" s="201"/>
      <c r="F181" s="201"/>
      <c r="G181" s="201"/>
      <c r="H181" s="201"/>
      <c r="I181" s="201"/>
      <c r="J181" s="201"/>
      <c r="K181" s="201"/>
      <c r="L181" s="201"/>
      <c r="M181" s="201"/>
      <c r="N181" s="199"/>
      <c r="O181" s="620"/>
      <c r="P181" s="620"/>
      <c r="Q181" s="620"/>
      <c r="R181" s="620"/>
      <c r="S181" s="620"/>
      <c r="T181" s="620"/>
      <c r="U181" s="620"/>
      <c r="V181" s="620"/>
      <c r="W181" s="620"/>
      <c r="X181" s="620"/>
      <c r="Y181" s="620"/>
      <c r="Z181" s="620"/>
      <c r="AA181" s="620"/>
      <c r="AB181" s="620"/>
      <c r="AC181" s="620"/>
      <c r="AD181" s="620"/>
      <c r="AE181" s="620"/>
      <c r="AF181" s="620"/>
      <c r="AG181" s="620"/>
      <c r="AH181" s="620"/>
      <c r="AI181" s="620"/>
      <c r="AJ181" s="620"/>
      <c r="AK181" s="620"/>
      <c r="AL181" s="620"/>
      <c r="AM181" s="620"/>
      <c r="AN181" s="620"/>
      <c r="AO181" s="620"/>
      <c r="AP181" s="620"/>
      <c r="AQ181" s="620"/>
      <c r="AR181" s="620"/>
      <c r="AS181" s="620"/>
      <c r="AT181" s="620"/>
      <c r="AU181" s="620"/>
      <c r="AV181" s="620"/>
      <c r="AW181" s="620"/>
      <c r="AX181" s="620"/>
      <c r="AY181" s="620"/>
      <c r="AZ181" s="620"/>
      <c r="BA181" s="620"/>
      <c r="BB181" s="620"/>
    </row>
    <row r="182" spans="2:54" ht="9" customHeight="1">
      <c r="B182" s="201"/>
      <c r="C182" s="201"/>
      <c r="D182" s="201"/>
      <c r="E182" s="201"/>
      <c r="F182" s="201"/>
      <c r="G182" s="201"/>
      <c r="H182" s="201"/>
      <c r="I182" s="201"/>
      <c r="J182" s="201"/>
      <c r="K182" s="201"/>
      <c r="L182" s="201"/>
      <c r="M182" s="201"/>
      <c r="N182" s="199"/>
      <c r="O182" s="620"/>
      <c r="P182" s="620"/>
      <c r="Q182" s="620"/>
      <c r="R182" s="620"/>
      <c r="S182" s="620"/>
      <c r="T182" s="620"/>
      <c r="U182" s="620"/>
      <c r="V182" s="620"/>
      <c r="W182" s="620"/>
      <c r="X182" s="620"/>
      <c r="Y182" s="620"/>
      <c r="Z182" s="620"/>
      <c r="AA182" s="620"/>
      <c r="AB182" s="620"/>
      <c r="AC182" s="620"/>
      <c r="AD182" s="620"/>
      <c r="AE182" s="620"/>
      <c r="AF182" s="620"/>
      <c r="AG182" s="620"/>
      <c r="AH182" s="620"/>
      <c r="AI182" s="620"/>
      <c r="AJ182" s="620"/>
      <c r="AK182" s="620"/>
      <c r="AL182" s="620"/>
      <c r="AM182" s="620"/>
      <c r="AN182" s="620"/>
      <c r="AO182" s="620"/>
      <c r="AP182" s="620"/>
      <c r="AQ182" s="620"/>
      <c r="AR182" s="620"/>
      <c r="AS182" s="620"/>
      <c r="AT182" s="620"/>
      <c r="AU182" s="620"/>
      <c r="AV182" s="620"/>
      <c r="AW182" s="620"/>
      <c r="AX182" s="620"/>
      <c r="AY182" s="620"/>
      <c r="AZ182" s="620"/>
      <c r="BA182" s="620"/>
      <c r="BB182" s="620"/>
    </row>
    <row r="183" spans="2:54" ht="9" customHeight="1">
      <c r="B183" s="201"/>
      <c r="C183" s="201"/>
      <c r="D183" s="201"/>
      <c r="E183" s="201"/>
      <c r="F183" s="201"/>
      <c r="G183" s="201"/>
      <c r="H183" s="201"/>
      <c r="I183" s="201"/>
      <c r="J183" s="201"/>
      <c r="K183" s="201"/>
      <c r="L183" s="201"/>
      <c r="M183" s="201"/>
      <c r="N183" s="199"/>
      <c r="O183" s="620"/>
      <c r="P183" s="620"/>
      <c r="Q183" s="620"/>
      <c r="R183" s="620"/>
      <c r="S183" s="620"/>
      <c r="T183" s="620"/>
      <c r="U183" s="620"/>
      <c r="V183" s="620"/>
      <c r="W183" s="620"/>
      <c r="X183" s="620"/>
      <c r="Y183" s="620"/>
      <c r="Z183" s="620"/>
      <c r="AA183" s="620"/>
      <c r="AB183" s="620"/>
      <c r="AC183" s="620"/>
      <c r="AD183" s="620"/>
      <c r="AE183" s="620"/>
      <c r="AF183" s="620"/>
      <c r="AG183" s="620"/>
      <c r="AH183" s="620"/>
      <c r="AI183" s="620"/>
      <c r="AJ183" s="620"/>
      <c r="AK183" s="620"/>
      <c r="AL183" s="620"/>
      <c r="AM183" s="620"/>
      <c r="AN183" s="620"/>
      <c r="AO183" s="620"/>
      <c r="AP183" s="620"/>
      <c r="AQ183" s="620"/>
      <c r="AR183" s="620"/>
      <c r="AS183" s="620"/>
      <c r="AT183" s="620"/>
      <c r="AU183" s="620"/>
      <c r="AV183" s="620"/>
      <c r="AW183" s="620"/>
      <c r="AX183" s="620"/>
      <c r="AY183" s="620"/>
      <c r="AZ183" s="620"/>
      <c r="BA183" s="620"/>
      <c r="BB183" s="620"/>
    </row>
    <row r="184" spans="2:54" ht="9" customHeight="1">
      <c r="B184" s="201"/>
      <c r="C184" s="201"/>
      <c r="D184" s="201"/>
      <c r="E184" s="201"/>
      <c r="F184" s="201"/>
      <c r="G184" s="201"/>
      <c r="H184" s="201"/>
      <c r="I184" s="201"/>
      <c r="J184" s="201"/>
      <c r="K184" s="201"/>
      <c r="L184" s="201"/>
      <c r="M184" s="201"/>
      <c r="N184" s="199"/>
      <c r="O184" s="620"/>
      <c r="P184" s="620"/>
      <c r="Q184" s="620"/>
      <c r="R184" s="620"/>
      <c r="S184" s="620"/>
      <c r="T184" s="620"/>
      <c r="U184" s="620"/>
      <c r="V184" s="620"/>
      <c r="W184" s="620"/>
      <c r="X184" s="620"/>
      <c r="Y184" s="620"/>
      <c r="Z184" s="620"/>
      <c r="AA184" s="620"/>
      <c r="AB184" s="620"/>
      <c r="AC184" s="620"/>
      <c r="AD184" s="620"/>
      <c r="AE184" s="620"/>
      <c r="AF184" s="620"/>
      <c r="AG184" s="620"/>
      <c r="AH184" s="620"/>
      <c r="AI184" s="620"/>
      <c r="AJ184" s="620"/>
      <c r="AK184" s="620"/>
      <c r="AL184" s="620"/>
      <c r="AM184" s="620"/>
      <c r="AN184" s="620"/>
      <c r="AO184" s="620"/>
      <c r="AP184" s="620"/>
      <c r="AQ184" s="620"/>
      <c r="AR184" s="620"/>
      <c r="AS184" s="620"/>
      <c r="AT184" s="620"/>
      <c r="AU184" s="620"/>
      <c r="AV184" s="620"/>
      <c r="AW184" s="620"/>
      <c r="AX184" s="620"/>
      <c r="AY184" s="620"/>
      <c r="AZ184" s="620"/>
      <c r="BA184" s="620"/>
      <c r="BB184" s="620"/>
    </row>
    <row r="185" spans="2:54" ht="9" customHeight="1">
      <c r="B185" s="201"/>
      <c r="C185" s="201"/>
      <c r="D185" s="201"/>
      <c r="E185" s="201"/>
      <c r="F185" s="201"/>
      <c r="G185" s="201"/>
      <c r="H185" s="201"/>
      <c r="I185" s="201"/>
      <c r="J185" s="201"/>
      <c r="K185" s="201"/>
      <c r="L185" s="201"/>
      <c r="M185" s="201"/>
      <c r="N185" s="199"/>
      <c r="O185" s="620"/>
      <c r="P185" s="620"/>
      <c r="Q185" s="620"/>
      <c r="R185" s="620"/>
      <c r="S185" s="620"/>
      <c r="T185" s="620"/>
      <c r="U185" s="620"/>
      <c r="V185" s="620"/>
      <c r="W185" s="620"/>
      <c r="X185" s="620"/>
      <c r="Y185" s="620"/>
      <c r="Z185" s="620"/>
      <c r="AA185" s="620"/>
      <c r="AB185" s="620"/>
      <c r="AC185" s="620"/>
      <c r="AD185" s="620"/>
      <c r="AE185" s="620"/>
      <c r="AF185" s="620"/>
      <c r="AG185" s="620"/>
      <c r="AH185" s="620"/>
      <c r="AI185" s="620"/>
      <c r="AJ185" s="620"/>
      <c r="AK185" s="620"/>
      <c r="AL185" s="620"/>
      <c r="AM185" s="620"/>
      <c r="AN185" s="620"/>
      <c r="AO185" s="620"/>
      <c r="AP185" s="620"/>
      <c r="AQ185" s="620"/>
      <c r="AR185" s="620"/>
      <c r="AS185" s="620"/>
      <c r="AT185" s="620"/>
      <c r="AU185" s="620"/>
      <c r="AV185" s="620"/>
      <c r="AW185" s="620"/>
      <c r="AX185" s="620"/>
      <c r="AY185" s="620"/>
      <c r="AZ185" s="620"/>
      <c r="BA185" s="620"/>
      <c r="BB185" s="620"/>
    </row>
    <row r="186" spans="2:54" ht="9" customHeight="1">
      <c r="B186" s="201"/>
      <c r="C186" s="201"/>
      <c r="D186" s="201"/>
      <c r="E186" s="201"/>
      <c r="F186" s="201"/>
      <c r="G186" s="201"/>
      <c r="H186" s="201"/>
      <c r="I186" s="201"/>
      <c r="J186" s="201"/>
      <c r="K186" s="201"/>
      <c r="L186" s="201"/>
      <c r="M186" s="201"/>
      <c r="N186" s="199"/>
      <c r="O186" s="620"/>
      <c r="P186" s="620"/>
      <c r="Q186" s="620"/>
      <c r="R186" s="620"/>
      <c r="S186" s="620"/>
      <c r="T186" s="620"/>
      <c r="U186" s="620"/>
      <c r="V186" s="620"/>
      <c r="W186" s="620"/>
      <c r="X186" s="620"/>
      <c r="Y186" s="620"/>
      <c r="Z186" s="620"/>
      <c r="AA186" s="620"/>
      <c r="AB186" s="620"/>
      <c r="AC186" s="620"/>
      <c r="AD186" s="620"/>
      <c r="AE186" s="620"/>
      <c r="AF186" s="620"/>
      <c r="AG186" s="620"/>
      <c r="AH186" s="620"/>
      <c r="AI186" s="620"/>
      <c r="AJ186" s="620"/>
      <c r="AK186" s="620"/>
      <c r="AL186" s="620"/>
      <c r="AM186" s="620"/>
      <c r="AN186" s="620"/>
      <c r="AO186" s="620"/>
      <c r="AP186" s="620"/>
      <c r="AQ186" s="620"/>
      <c r="AR186" s="620"/>
      <c r="AS186" s="620"/>
      <c r="AT186" s="620"/>
      <c r="AU186" s="620"/>
      <c r="AV186" s="620"/>
      <c r="AW186" s="620"/>
      <c r="AX186" s="620"/>
      <c r="AY186" s="620"/>
      <c r="AZ186" s="620"/>
      <c r="BA186" s="620"/>
      <c r="BB186" s="620"/>
    </row>
    <row r="187" spans="2:54" ht="9" customHeight="1">
      <c r="B187" s="201"/>
      <c r="C187" s="201"/>
      <c r="D187" s="201"/>
      <c r="E187" s="201"/>
      <c r="F187" s="201"/>
      <c r="G187" s="201"/>
      <c r="H187" s="201"/>
      <c r="I187" s="201"/>
      <c r="J187" s="201"/>
      <c r="K187" s="201"/>
      <c r="L187" s="201"/>
      <c r="M187" s="201"/>
      <c r="N187" s="199"/>
      <c r="O187" s="620"/>
      <c r="P187" s="620"/>
      <c r="Q187" s="620"/>
      <c r="R187" s="620"/>
      <c r="S187" s="620"/>
      <c r="T187" s="620"/>
      <c r="U187" s="620"/>
      <c r="V187" s="620"/>
      <c r="W187" s="620"/>
      <c r="X187" s="620"/>
      <c r="Y187" s="620"/>
      <c r="Z187" s="620"/>
      <c r="AA187" s="620"/>
      <c r="AB187" s="620"/>
      <c r="AC187" s="620"/>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0"/>
      <c r="AY187" s="620"/>
      <c r="AZ187" s="620"/>
      <c r="BA187" s="620"/>
      <c r="BB187" s="620"/>
    </row>
    <row r="188" spans="2:54" ht="9" customHeight="1">
      <c r="B188" s="201"/>
      <c r="C188" s="201"/>
      <c r="D188" s="201"/>
      <c r="E188" s="201"/>
      <c r="F188" s="201"/>
      <c r="G188" s="201"/>
      <c r="H188" s="201"/>
      <c r="I188" s="201"/>
      <c r="J188" s="201"/>
      <c r="K188" s="201"/>
      <c r="L188" s="201"/>
      <c r="M188" s="201"/>
      <c r="N188" s="199"/>
      <c r="O188" s="620"/>
      <c r="P188" s="620"/>
      <c r="Q188" s="620"/>
      <c r="R188" s="620"/>
      <c r="S188" s="620"/>
      <c r="T188" s="620"/>
      <c r="U188" s="620"/>
      <c r="V188" s="620"/>
      <c r="W188" s="620"/>
      <c r="X188" s="620"/>
      <c r="Y188" s="620"/>
      <c r="Z188" s="620"/>
      <c r="AA188" s="620"/>
      <c r="AB188" s="620"/>
      <c r="AC188" s="620"/>
      <c r="AD188" s="620"/>
      <c r="AE188" s="620"/>
      <c r="AF188" s="620"/>
      <c r="AG188" s="620"/>
      <c r="AH188" s="620"/>
      <c r="AI188" s="620"/>
      <c r="AJ188" s="620"/>
      <c r="AK188" s="620"/>
      <c r="AL188" s="620"/>
      <c r="AM188" s="620"/>
      <c r="AN188" s="620"/>
      <c r="AO188" s="620"/>
      <c r="AP188" s="620"/>
      <c r="AQ188" s="620"/>
      <c r="AR188" s="620"/>
      <c r="AS188" s="620"/>
      <c r="AT188" s="620"/>
      <c r="AU188" s="620"/>
      <c r="AV188" s="620"/>
      <c r="AW188" s="620"/>
      <c r="AX188" s="620"/>
      <c r="AY188" s="620"/>
      <c r="AZ188" s="620"/>
      <c r="BA188" s="620"/>
      <c r="BB188" s="620"/>
    </row>
    <row r="189" spans="2:54" ht="9" customHeight="1">
      <c r="B189" s="201"/>
      <c r="C189" s="201"/>
      <c r="D189" s="201"/>
      <c r="E189" s="201"/>
      <c r="F189" s="201"/>
      <c r="G189" s="201"/>
      <c r="H189" s="201"/>
      <c r="I189" s="201"/>
      <c r="J189" s="201"/>
      <c r="K189" s="201"/>
      <c r="L189" s="201"/>
      <c r="M189" s="201"/>
      <c r="N189" s="199"/>
      <c r="O189" s="620"/>
      <c r="P189" s="620"/>
      <c r="Q189" s="620"/>
      <c r="R189" s="620"/>
      <c r="S189" s="620"/>
      <c r="T189" s="620"/>
      <c r="U189" s="620"/>
      <c r="V189" s="620"/>
      <c r="W189" s="620"/>
      <c r="X189" s="620"/>
      <c r="Y189" s="620"/>
      <c r="Z189" s="620"/>
      <c r="AA189" s="620"/>
      <c r="AB189" s="620"/>
      <c r="AC189" s="620"/>
      <c r="AD189" s="620"/>
      <c r="AE189" s="620"/>
      <c r="AF189" s="620"/>
      <c r="AG189" s="620"/>
      <c r="AH189" s="620"/>
      <c r="AI189" s="620"/>
      <c r="AJ189" s="620"/>
      <c r="AK189" s="620"/>
      <c r="AL189" s="620"/>
      <c r="AM189" s="620"/>
      <c r="AN189" s="620"/>
      <c r="AO189" s="620"/>
      <c r="AP189" s="620"/>
      <c r="AQ189" s="620"/>
      <c r="AR189" s="620"/>
      <c r="AS189" s="620"/>
      <c r="AT189" s="620"/>
      <c r="AU189" s="620"/>
      <c r="AV189" s="620"/>
      <c r="AW189" s="620"/>
      <c r="AX189" s="620"/>
      <c r="AY189" s="620"/>
      <c r="AZ189" s="620"/>
      <c r="BA189" s="620"/>
      <c r="BB189" s="620"/>
    </row>
    <row r="190" spans="2:54" ht="9" customHeight="1">
      <c r="B190" s="201"/>
      <c r="C190" s="201"/>
      <c r="D190" s="201"/>
      <c r="E190" s="201"/>
      <c r="F190" s="201"/>
      <c r="G190" s="201"/>
      <c r="H190" s="201"/>
      <c r="I190" s="201"/>
      <c r="J190" s="201"/>
      <c r="K190" s="201"/>
      <c r="L190" s="201"/>
      <c r="M190" s="201"/>
      <c r="N190" s="199"/>
      <c r="O190" s="620"/>
      <c r="P190" s="620"/>
      <c r="Q190" s="620"/>
      <c r="R190" s="620"/>
      <c r="S190" s="620"/>
      <c r="T190" s="620"/>
      <c r="U190" s="620"/>
      <c r="V190" s="620"/>
      <c r="W190" s="620"/>
      <c r="X190" s="620"/>
      <c r="Y190" s="620"/>
      <c r="Z190" s="620"/>
      <c r="AA190" s="620"/>
      <c r="AB190" s="620"/>
      <c r="AC190" s="620"/>
      <c r="AD190" s="620"/>
      <c r="AE190" s="620"/>
      <c r="AF190" s="620"/>
      <c r="AG190" s="620"/>
      <c r="AH190" s="620"/>
      <c r="AI190" s="620"/>
      <c r="AJ190" s="620"/>
      <c r="AK190" s="620"/>
      <c r="AL190" s="620"/>
      <c r="AM190" s="620"/>
      <c r="AN190" s="620"/>
      <c r="AO190" s="620"/>
      <c r="AP190" s="620"/>
      <c r="AQ190" s="620"/>
      <c r="AR190" s="620"/>
      <c r="AS190" s="620"/>
      <c r="AT190" s="620"/>
      <c r="AU190" s="620"/>
      <c r="AV190" s="620"/>
      <c r="AW190" s="620"/>
      <c r="AX190" s="620"/>
      <c r="AY190" s="620"/>
      <c r="AZ190" s="620"/>
      <c r="BA190" s="620"/>
      <c r="BB190" s="620"/>
    </row>
    <row r="191" spans="2:54" ht="9" customHeight="1">
      <c r="B191" s="201"/>
      <c r="C191" s="201"/>
      <c r="D191" s="201"/>
      <c r="E191" s="201"/>
      <c r="F191" s="201"/>
      <c r="G191" s="201"/>
      <c r="H191" s="201"/>
      <c r="I191" s="201"/>
      <c r="J191" s="201"/>
      <c r="K191" s="201"/>
      <c r="L191" s="201"/>
      <c r="M191" s="201"/>
      <c r="N191" s="199"/>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0"/>
      <c r="AY191" s="620"/>
      <c r="AZ191" s="620"/>
      <c r="BA191" s="620"/>
      <c r="BB191" s="620"/>
    </row>
    <row r="192" spans="2:54" ht="9" customHeight="1">
      <c r="B192" s="201"/>
      <c r="C192" s="201"/>
      <c r="D192" s="201"/>
      <c r="E192" s="201"/>
      <c r="F192" s="201"/>
      <c r="G192" s="201"/>
      <c r="H192" s="201"/>
      <c r="I192" s="201"/>
      <c r="J192" s="201"/>
      <c r="K192" s="201"/>
      <c r="L192" s="201"/>
      <c r="M192" s="201"/>
      <c r="N192" s="199"/>
      <c r="O192" s="620"/>
      <c r="P192" s="620"/>
      <c r="Q192" s="620"/>
      <c r="R192" s="620"/>
      <c r="S192" s="620"/>
      <c r="T192" s="620"/>
      <c r="U192" s="620"/>
      <c r="V192" s="620"/>
      <c r="W192" s="620"/>
      <c r="X192" s="620"/>
      <c r="Y192" s="620"/>
      <c r="Z192" s="620"/>
      <c r="AA192" s="620"/>
      <c r="AB192" s="620"/>
      <c r="AC192" s="620"/>
      <c r="AD192" s="620"/>
      <c r="AE192" s="620"/>
      <c r="AF192" s="620"/>
      <c r="AG192" s="620"/>
      <c r="AH192" s="620"/>
      <c r="AI192" s="620"/>
      <c r="AJ192" s="620"/>
      <c r="AK192" s="620"/>
      <c r="AL192" s="620"/>
      <c r="AM192" s="620"/>
      <c r="AN192" s="620"/>
      <c r="AO192" s="620"/>
      <c r="AP192" s="620"/>
      <c r="AQ192" s="620"/>
      <c r="AR192" s="620"/>
      <c r="AS192" s="620"/>
      <c r="AT192" s="620"/>
      <c r="AU192" s="620"/>
      <c r="AV192" s="620"/>
      <c r="AW192" s="620"/>
      <c r="AX192" s="620"/>
      <c r="AY192" s="620"/>
      <c r="AZ192" s="620"/>
      <c r="BA192" s="620"/>
      <c r="BB192" s="620"/>
    </row>
    <row r="193" spans="2:54" ht="9" customHeight="1">
      <c r="B193" s="201"/>
      <c r="C193" s="201"/>
      <c r="D193" s="201"/>
      <c r="E193" s="201"/>
      <c r="F193" s="201"/>
      <c r="G193" s="201"/>
      <c r="H193" s="201"/>
      <c r="I193" s="201"/>
      <c r="J193" s="201"/>
      <c r="K193" s="201"/>
      <c r="L193" s="201"/>
      <c r="M193" s="201"/>
      <c r="N193" s="199"/>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c r="AK193" s="620"/>
      <c r="AL193" s="620"/>
      <c r="AM193" s="620"/>
      <c r="AN193" s="620"/>
      <c r="AO193" s="620"/>
      <c r="AP193" s="620"/>
      <c r="AQ193" s="620"/>
      <c r="AR193" s="620"/>
      <c r="AS193" s="620"/>
      <c r="AT193" s="620"/>
      <c r="AU193" s="620"/>
      <c r="AV193" s="620"/>
      <c r="AW193" s="620"/>
      <c r="AX193" s="620"/>
      <c r="AY193" s="620"/>
      <c r="AZ193" s="620"/>
      <c r="BA193" s="620"/>
      <c r="BB193" s="620"/>
    </row>
    <row r="194" spans="2:54" ht="9" customHeight="1">
      <c r="B194" s="201"/>
      <c r="C194" s="201"/>
      <c r="D194" s="201"/>
      <c r="E194" s="201"/>
      <c r="F194" s="201"/>
      <c r="G194" s="201"/>
      <c r="H194" s="201"/>
      <c r="I194" s="201"/>
      <c r="J194" s="201"/>
      <c r="K194" s="201"/>
      <c r="L194" s="201"/>
      <c r="M194" s="201"/>
      <c r="N194" s="199"/>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20"/>
      <c r="AL194" s="620"/>
      <c r="AM194" s="620"/>
      <c r="AN194" s="620"/>
      <c r="AO194" s="620"/>
      <c r="AP194" s="620"/>
      <c r="AQ194" s="620"/>
      <c r="AR194" s="620"/>
      <c r="AS194" s="620"/>
      <c r="AT194" s="620"/>
      <c r="AU194" s="620"/>
      <c r="AV194" s="620"/>
      <c r="AW194" s="620"/>
      <c r="AX194" s="620"/>
      <c r="AY194" s="620"/>
      <c r="AZ194" s="620"/>
      <c r="BA194" s="620"/>
      <c r="BB194" s="620"/>
    </row>
    <row r="195" spans="2:54" ht="9" customHeight="1">
      <c r="B195" s="201"/>
      <c r="C195" s="201"/>
      <c r="D195" s="201"/>
      <c r="E195" s="201"/>
      <c r="F195" s="201"/>
      <c r="G195" s="201"/>
      <c r="H195" s="201"/>
      <c r="I195" s="201"/>
      <c r="J195" s="201"/>
      <c r="K195" s="201"/>
      <c r="L195" s="201"/>
      <c r="M195" s="201"/>
      <c r="N195" s="199"/>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c r="BB195" s="620"/>
    </row>
    <row r="196" spans="2:54" ht="9" customHeight="1">
      <c r="B196" s="201"/>
      <c r="C196" s="201"/>
      <c r="D196" s="201"/>
      <c r="E196" s="201"/>
      <c r="F196" s="201"/>
      <c r="G196" s="201"/>
      <c r="H196" s="201"/>
      <c r="I196" s="201"/>
      <c r="J196" s="201"/>
      <c r="K196" s="201"/>
      <c r="L196" s="201"/>
      <c r="M196" s="201"/>
      <c r="N196" s="199"/>
      <c r="O196" s="620"/>
      <c r="P196" s="620"/>
      <c r="Q196" s="620"/>
      <c r="R196" s="620"/>
      <c r="S196" s="620"/>
      <c r="T196" s="620"/>
      <c r="U196" s="620"/>
      <c r="V196" s="620"/>
      <c r="W196" s="620"/>
      <c r="X196" s="620"/>
      <c r="Y196" s="620"/>
      <c r="Z196" s="620"/>
      <c r="AA196" s="620"/>
      <c r="AB196" s="620"/>
      <c r="AC196" s="620"/>
      <c r="AD196" s="620"/>
      <c r="AE196" s="620"/>
      <c r="AF196" s="620"/>
      <c r="AG196" s="620"/>
      <c r="AH196" s="620"/>
      <c r="AI196" s="620"/>
      <c r="AJ196" s="620"/>
      <c r="AK196" s="620"/>
      <c r="AL196" s="620"/>
      <c r="AM196" s="620"/>
      <c r="AN196" s="620"/>
      <c r="AO196" s="620"/>
      <c r="AP196" s="620"/>
      <c r="AQ196" s="620"/>
      <c r="AR196" s="620"/>
      <c r="AS196" s="620"/>
      <c r="AT196" s="620"/>
      <c r="AU196" s="620"/>
      <c r="AV196" s="620"/>
      <c r="AW196" s="620"/>
      <c r="AX196" s="620"/>
      <c r="AY196" s="620"/>
      <c r="AZ196" s="620"/>
      <c r="BA196" s="620"/>
      <c r="BB196" s="620"/>
    </row>
    <row r="197" spans="2:54" ht="9" customHeight="1">
      <c r="B197" s="201"/>
      <c r="C197" s="201"/>
      <c r="D197" s="201"/>
      <c r="E197" s="201"/>
      <c r="F197" s="201"/>
      <c r="G197" s="201"/>
      <c r="H197" s="201"/>
      <c r="I197" s="201"/>
      <c r="J197" s="201"/>
      <c r="K197" s="201"/>
      <c r="L197" s="201"/>
      <c r="M197" s="201"/>
      <c r="N197" s="199"/>
      <c r="O197" s="620"/>
      <c r="P197" s="620"/>
      <c r="Q197" s="620"/>
      <c r="R197" s="620"/>
      <c r="S197" s="620"/>
      <c r="T197" s="620"/>
      <c r="U197" s="620"/>
      <c r="V197" s="620"/>
      <c r="W197" s="620"/>
      <c r="X197" s="620"/>
      <c r="Y197" s="620"/>
      <c r="Z197" s="620"/>
      <c r="AA197" s="620"/>
      <c r="AB197" s="620"/>
      <c r="AC197" s="620"/>
      <c r="AD197" s="620"/>
      <c r="AE197" s="620"/>
      <c r="AF197" s="620"/>
      <c r="AG197" s="620"/>
      <c r="AH197" s="620"/>
      <c r="AI197" s="620"/>
      <c r="AJ197" s="620"/>
      <c r="AK197" s="620"/>
      <c r="AL197" s="620"/>
      <c r="AM197" s="620"/>
      <c r="AN197" s="620"/>
      <c r="AO197" s="620"/>
      <c r="AP197" s="620"/>
      <c r="AQ197" s="620"/>
      <c r="AR197" s="620"/>
      <c r="AS197" s="620"/>
      <c r="AT197" s="620"/>
      <c r="AU197" s="620"/>
      <c r="AV197" s="620"/>
      <c r="AW197" s="620"/>
      <c r="AX197" s="620"/>
      <c r="AY197" s="620"/>
      <c r="AZ197" s="620"/>
      <c r="BA197" s="620"/>
      <c r="BB197" s="620"/>
    </row>
    <row r="198" spans="2:54" ht="9" customHeight="1">
      <c r="B198" s="201"/>
      <c r="C198" s="201"/>
      <c r="D198" s="201"/>
      <c r="E198" s="201"/>
      <c r="F198" s="201"/>
      <c r="G198" s="201"/>
      <c r="H198" s="201"/>
      <c r="I198" s="201"/>
      <c r="J198" s="201"/>
      <c r="K198" s="201"/>
      <c r="L198" s="201"/>
      <c r="M198" s="201"/>
      <c r="N198" s="199"/>
      <c r="O198" s="620"/>
      <c r="P198" s="620"/>
      <c r="Q198" s="620"/>
      <c r="R198" s="620"/>
      <c r="S198" s="620"/>
      <c r="T198" s="620"/>
      <c r="U198" s="620"/>
      <c r="V198" s="620"/>
      <c r="W198" s="620"/>
      <c r="X198" s="620"/>
      <c r="Y198" s="620"/>
      <c r="Z198" s="620"/>
      <c r="AA198" s="620"/>
      <c r="AB198" s="620"/>
      <c r="AC198" s="620"/>
      <c r="AD198" s="620"/>
      <c r="AE198" s="620"/>
      <c r="AF198" s="620"/>
      <c r="AG198" s="620"/>
      <c r="AH198" s="620"/>
      <c r="AI198" s="620"/>
      <c r="AJ198" s="620"/>
      <c r="AK198" s="620"/>
      <c r="AL198" s="620"/>
      <c r="AM198" s="620"/>
      <c r="AN198" s="620"/>
      <c r="AO198" s="620"/>
      <c r="AP198" s="620"/>
      <c r="AQ198" s="620"/>
      <c r="AR198" s="620"/>
      <c r="AS198" s="620"/>
      <c r="AT198" s="620"/>
      <c r="AU198" s="620"/>
      <c r="AV198" s="620"/>
      <c r="AW198" s="620"/>
      <c r="AX198" s="620"/>
      <c r="AY198" s="620"/>
      <c r="AZ198" s="620"/>
      <c r="BA198" s="620"/>
      <c r="BB198" s="620"/>
    </row>
    <row r="199" spans="2:54" ht="9" customHeight="1">
      <c r="B199" s="201"/>
      <c r="C199" s="201"/>
      <c r="D199" s="201"/>
      <c r="E199" s="201"/>
      <c r="F199" s="201"/>
      <c r="G199" s="201"/>
      <c r="H199" s="201"/>
      <c r="I199" s="201"/>
      <c r="J199" s="201"/>
      <c r="K199" s="201"/>
      <c r="L199" s="201"/>
      <c r="M199" s="201"/>
      <c r="N199" s="199"/>
      <c r="O199" s="620"/>
      <c r="P199" s="620"/>
      <c r="Q199" s="620"/>
      <c r="R199" s="620"/>
      <c r="S199" s="620"/>
      <c r="T199" s="620"/>
      <c r="U199" s="620"/>
      <c r="V199" s="620"/>
      <c r="W199" s="620"/>
      <c r="X199" s="620"/>
      <c r="Y199" s="620"/>
      <c r="Z199" s="620"/>
      <c r="AA199" s="620"/>
      <c r="AB199" s="620"/>
      <c r="AC199" s="620"/>
      <c r="AD199" s="620"/>
      <c r="AE199" s="620"/>
      <c r="AF199" s="620"/>
      <c r="AG199" s="620"/>
      <c r="AH199" s="620"/>
      <c r="AI199" s="620"/>
      <c r="AJ199" s="620"/>
      <c r="AK199" s="620"/>
      <c r="AL199" s="620"/>
      <c r="AM199" s="620"/>
      <c r="AN199" s="620"/>
      <c r="AO199" s="620"/>
      <c r="AP199" s="620"/>
      <c r="AQ199" s="620"/>
      <c r="AR199" s="620"/>
      <c r="AS199" s="620"/>
      <c r="AT199" s="620"/>
      <c r="AU199" s="620"/>
      <c r="AV199" s="620"/>
      <c r="AW199" s="620"/>
      <c r="AX199" s="620"/>
      <c r="AY199" s="620"/>
      <c r="AZ199" s="620"/>
      <c r="BA199" s="620"/>
      <c r="BB199" s="620"/>
    </row>
    <row r="200" spans="2:54" ht="9" customHeight="1">
      <c r="B200" s="201"/>
      <c r="C200" s="201"/>
      <c r="D200" s="201"/>
      <c r="E200" s="201"/>
      <c r="F200" s="201"/>
      <c r="G200" s="201"/>
      <c r="H200" s="201"/>
      <c r="I200" s="201"/>
      <c r="J200" s="201"/>
      <c r="K200" s="201"/>
      <c r="L200" s="201"/>
      <c r="M200" s="201"/>
      <c r="N200" s="199"/>
      <c r="O200" s="620"/>
      <c r="P200" s="620"/>
      <c r="Q200" s="620"/>
      <c r="R200" s="620"/>
      <c r="S200" s="620"/>
      <c r="T200" s="620"/>
      <c r="U200" s="620"/>
      <c r="V200" s="620"/>
      <c r="W200" s="620"/>
      <c r="X200" s="620"/>
      <c r="Y200" s="620"/>
      <c r="Z200" s="620"/>
      <c r="AA200" s="620"/>
      <c r="AB200" s="620"/>
      <c r="AC200" s="620"/>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0"/>
      <c r="AY200" s="620"/>
      <c r="AZ200" s="620"/>
      <c r="BA200" s="620"/>
      <c r="BB200" s="620"/>
    </row>
    <row r="201" spans="2:54" ht="9" customHeight="1">
      <c r="B201" s="201"/>
      <c r="C201" s="201"/>
      <c r="D201" s="201"/>
      <c r="E201" s="201"/>
      <c r="F201" s="201"/>
      <c r="G201" s="201"/>
      <c r="H201" s="201"/>
      <c r="I201" s="201"/>
      <c r="J201" s="201"/>
      <c r="K201" s="201"/>
      <c r="L201" s="201"/>
      <c r="M201" s="201"/>
      <c r="N201" s="199"/>
      <c r="O201" s="620"/>
      <c r="P201" s="620"/>
      <c r="Q201" s="620"/>
      <c r="R201" s="620"/>
      <c r="S201" s="620"/>
      <c r="T201" s="620"/>
      <c r="U201" s="620"/>
      <c r="V201" s="620"/>
      <c r="W201" s="620"/>
      <c r="X201" s="620"/>
      <c r="Y201" s="620"/>
      <c r="Z201" s="620"/>
      <c r="AA201" s="620"/>
      <c r="AB201" s="620"/>
      <c r="AC201" s="620"/>
      <c r="AD201" s="620"/>
      <c r="AE201" s="620"/>
      <c r="AF201" s="620"/>
      <c r="AG201" s="620"/>
      <c r="AH201" s="620"/>
      <c r="AI201" s="620"/>
      <c r="AJ201" s="620"/>
      <c r="AK201" s="620"/>
      <c r="AL201" s="620"/>
      <c r="AM201" s="620"/>
      <c r="AN201" s="620"/>
      <c r="AO201" s="620"/>
      <c r="AP201" s="620"/>
      <c r="AQ201" s="620"/>
      <c r="AR201" s="620"/>
      <c r="AS201" s="620"/>
      <c r="AT201" s="620"/>
      <c r="AU201" s="620"/>
      <c r="AV201" s="620"/>
      <c r="AW201" s="620"/>
      <c r="AX201" s="620"/>
      <c r="AY201" s="620"/>
      <c r="AZ201" s="620"/>
      <c r="BA201" s="620"/>
      <c r="BB201" s="620"/>
    </row>
    <row r="202" spans="2:54" ht="9" customHeight="1">
      <c r="B202" s="201"/>
      <c r="C202" s="201"/>
      <c r="D202" s="201"/>
      <c r="E202" s="201"/>
      <c r="F202" s="201"/>
      <c r="G202" s="201"/>
      <c r="H202" s="201"/>
      <c r="I202" s="201"/>
      <c r="J202" s="201"/>
      <c r="K202" s="201"/>
      <c r="L202" s="201"/>
      <c r="M202" s="201"/>
      <c r="N202" s="199"/>
      <c r="O202" s="620"/>
      <c r="P202" s="620"/>
      <c r="Q202" s="620"/>
      <c r="R202" s="620"/>
      <c r="S202" s="620"/>
      <c r="T202" s="620"/>
      <c r="U202" s="620"/>
      <c r="V202" s="620"/>
      <c r="W202" s="620"/>
      <c r="X202" s="620"/>
      <c r="Y202" s="620"/>
      <c r="Z202" s="620"/>
      <c r="AA202" s="620"/>
      <c r="AB202" s="620"/>
      <c r="AC202" s="620"/>
      <c r="AD202" s="620"/>
      <c r="AE202" s="620"/>
      <c r="AF202" s="620"/>
      <c r="AG202" s="620"/>
      <c r="AH202" s="620"/>
      <c r="AI202" s="620"/>
      <c r="AJ202" s="620"/>
      <c r="AK202" s="620"/>
      <c r="AL202" s="620"/>
      <c r="AM202" s="620"/>
      <c r="AN202" s="620"/>
      <c r="AO202" s="620"/>
      <c r="AP202" s="620"/>
      <c r="AQ202" s="620"/>
      <c r="AR202" s="620"/>
      <c r="AS202" s="620"/>
      <c r="AT202" s="620"/>
      <c r="AU202" s="620"/>
      <c r="AV202" s="620"/>
      <c r="AW202" s="620"/>
      <c r="AX202" s="620"/>
      <c r="AY202" s="620"/>
      <c r="AZ202" s="620"/>
      <c r="BA202" s="620"/>
      <c r="BB202" s="620"/>
    </row>
    <row r="203" spans="2:54" ht="9" customHeight="1">
      <c r="B203" s="201"/>
      <c r="C203" s="201"/>
      <c r="D203" s="201"/>
      <c r="E203" s="201"/>
      <c r="F203" s="201"/>
      <c r="G203" s="201"/>
      <c r="H203" s="201"/>
      <c r="I203" s="201"/>
      <c r="J203" s="201"/>
      <c r="K203" s="201"/>
      <c r="L203" s="201"/>
      <c r="M203" s="201"/>
      <c r="N203" s="199"/>
      <c r="O203" s="620"/>
      <c r="P203" s="620"/>
      <c r="Q203" s="620"/>
      <c r="R203" s="620"/>
      <c r="S203" s="620"/>
      <c r="T203" s="620"/>
      <c r="U203" s="620"/>
      <c r="V203" s="620"/>
      <c r="W203" s="620"/>
      <c r="X203" s="620"/>
      <c r="Y203" s="620"/>
      <c r="Z203" s="620"/>
      <c r="AA203" s="620"/>
      <c r="AB203" s="620"/>
      <c r="AC203" s="620"/>
      <c r="AD203" s="620"/>
      <c r="AE203" s="620"/>
      <c r="AF203" s="620"/>
      <c r="AG203" s="620"/>
      <c r="AH203" s="620"/>
      <c r="AI203" s="620"/>
      <c r="AJ203" s="620"/>
      <c r="AK203" s="620"/>
      <c r="AL203" s="620"/>
      <c r="AM203" s="620"/>
      <c r="AN203" s="620"/>
      <c r="AO203" s="620"/>
      <c r="AP203" s="620"/>
      <c r="AQ203" s="620"/>
      <c r="AR203" s="620"/>
      <c r="AS203" s="620"/>
      <c r="AT203" s="620"/>
      <c r="AU203" s="620"/>
      <c r="AV203" s="620"/>
      <c r="AW203" s="620"/>
      <c r="AX203" s="620"/>
      <c r="AY203" s="620"/>
      <c r="AZ203" s="620"/>
      <c r="BA203" s="620"/>
      <c r="BB203" s="620"/>
    </row>
    <row r="204" spans="2:54" ht="9" customHeight="1">
      <c r="B204" s="201"/>
      <c r="C204" s="201"/>
      <c r="D204" s="201"/>
      <c r="E204" s="201"/>
      <c r="F204" s="201"/>
      <c r="G204" s="201"/>
      <c r="H204" s="201"/>
      <c r="I204" s="201"/>
      <c r="J204" s="201"/>
      <c r="K204" s="201"/>
      <c r="L204" s="201"/>
      <c r="M204" s="201"/>
      <c r="N204" s="199"/>
      <c r="O204" s="620"/>
      <c r="P204" s="620"/>
      <c r="Q204" s="620"/>
      <c r="R204" s="620"/>
      <c r="S204" s="620"/>
      <c r="T204" s="620"/>
      <c r="U204" s="620"/>
      <c r="V204" s="620"/>
      <c r="W204" s="620"/>
      <c r="X204" s="620"/>
      <c r="Y204" s="620"/>
      <c r="Z204" s="620"/>
      <c r="AA204" s="620"/>
      <c r="AB204" s="620"/>
      <c r="AC204" s="620"/>
      <c r="AD204" s="620"/>
      <c r="AE204" s="620"/>
      <c r="AF204" s="620"/>
      <c r="AG204" s="620"/>
      <c r="AH204" s="620"/>
      <c r="AI204" s="620"/>
      <c r="AJ204" s="620"/>
      <c r="AK204" s="620"/>
      <c r="AL204" s="620"/>
      <c r="AM204" s="620"/>
      <c r="AN204" s="620"/>
      <c r="AO204" s="620"/>
      <c r="AP204" s="620"/>
      <c r="AQ204" s="620"/>
      <c r="AR204" s="620"/>
      <c r="AS204" s="620"/>
      <c r="AT204" s="620"/>
      <c r="AU204" s="620"/>
      <c r="AV204" s="620"/>
      <c r="AW204" s="620"/>
      <c r="AX204" s="620"/>
      <c r="AY204" s="620"/>
      <c r="AZ204" s="620"/>
      <c r="BA204" s="620"/>
      <c r="BB204" s="620"/>
    </row>
    <row r="205" spans="2:54" ht="9" customHeight="1">
      <c r="B205" s="201"/>
      <c r="C205" s="201"/>
      <c r="D205" s="201"/>
      <c r="E205" s="201"/>
      <c r="F205" s="201"/>
      <c r="G205" s="201"/>
      <c r="H205" s="201"/>
      <c r="I205" s="201"/>
      <c r="J205" s="201"/>
      <c r="K205" s="201"/>
      <c r="L205" s="201"/>
      <c r="M205" s="201"/>
      <c r="N205" s="199"/>
      <c r="O205" s="620"/>
      <c r="P205" s="620"/>
      <c r="Q205" s="620"/>
      <c r="R205" s="620"/>
      <c r="S205" s="620"/>
      <c r="T205" s="620"/>
      <c r="U205" s="620"/>
      <c r="V205" s="620"/>
      <c r="W205" s="620"/>
      <c r="X205" s="620"/>
      <c r="Y205" s="620"/>
      <c r="Z205" s="620"/>
      <c r="AA205" s="620"/>
      <c r="AB205" s="620"/>
      <c r="AC205" s="620"/>
      <c r="AD205" s="620"/>
      <c r="AE205" s="620"/>
      <c r="AF205" s="620"/>
      <c r="AG205" s="620"/>
      <c r="AH205" s="620"/>
      <c r="AI205" s="620"/>
      <c r="AJ205" s="620"/>
      <c r="AK205" s="620"/>
      <c r="AL205" s="620"/>
      <c r="AM205" s="620"/>
      <c r="AN205" s="620"/>
      <c r="AO205" s="620"/>
      <c r="AP205" s="620"/>
      <c r="AQ205" s="620"/>
      <c r="AR205" s="620"/>
      <c r="AS205" s="620"/>
      <c r="AT205" s="620"/>
      <c r="AU205" s="620"/>
      <c r="AV205" s="620"/>
      <c r="AW205" s="620"/>
      <c r="AX205" s="620"/>
      <c r="AY205" s="620"/>
      <c r="AZ205" s="620"/>
      <c r="BA205" s="620"/>
      <c r="BB205" s="620"/>
    </row>
    <row r="206" spans="2:54" ht="9" customHeight="1">
      <c r="B206" s="201"/>
      <c r="C206" s="201"/>
      <c r="D206" s="201"/>
      <c r="E206" s="201"/>
      <c r="F206" s="201"/>
      <c r="G206" s="201"/>
      <c r="H206" s="201"/>
      <c r="I206" s="201"/>
      <c r="J206" s="201"/>
      <c r="K206" s="201"/>
      <c r="L206" s="201"/>
      <c r="M206" s="201"/>
      <c r="N206" s="199"/>
      <c r="O206" s="620"/>
      <c r="P206" s="620"/>
      <c r="Q206" s="620"/>
      <c r="R206" s="620"/>
      <c r="S206" s="620"/>
      <c r="T206" s="620"/>
      <c r="U206" s="620"/>
      <c r="V206" s="620"/>
      <c r="W206" s="620"/>
      <c r="X206" s="620"/>
      <c r="Y206" s="620"/>
      <c r="Z206" s="620"/>
      <c r="AA206" s="620"/>
      <c r="AB206" s="620"/>
      <c r="AC206" s="620"/>
      <c r="AD206" s="620"/>
      <c r="AE206" s="620"/>
      <c r="AF206" s="620"/>
      <c r="AG206" s="620"/>
      <c r="AH206" s="620"/>
      <c r="AI206" s="620"/>
      <c r="AJ206" s="620"/>
      <c r="AK206" s="620"/>
      <c r="AL206" s="620"/>
      <c r="AM206" s="620"/>
      <c r="AN206" s="620"/>
      <c r="AO206" s="620"/>
      <c r="AP206" s="620"/>
      <c r="AQ206" s="620"/>
      <c r="AR206" s="620"/>
      <c r="AS206" s="620"/>
      <c r="AT206" s="620"/>
      <c r="AU206" s="620"/>
      <c r="AV206" s="620"/>
      <c r="AW206" s="620"/>
      <c r="AX206" s="620"/>
      <c r="AY206" s="620"/>
      <c r="AZ206" s="620"/>
      <c r="BA206" s="620"/>
      <c r="BB206" s="620"/>
    </row>
    <row r="207" spans="2:54" ht="9" customHeight="1">
      <c r="B207" s="201"/>
      <c r="C207" s="201"/>
      <c r="D207" s="201"/>
      <c r="E207" s="201"/>
      <c r="F207" s="201"/>
      <c r="G207" s="201"/>
      <c r="H207" s="201"/>
      <c r="I207" s="201"/>
      <c r="J207" s="201"/>
      <c r="K207" s="201"/>
      <c r="L207" s="201"/>
      <c r="M207" s="201"/>
      <c r="N207" s="199"/>
      <c r="O207" s="620"/>
      <c r="P207" s="620"/>
      <c r="Q207" s="620"/>
      <c r="R207" s="620"/>
      <c r="S207" s="620"/>
      <c r="T207" s="620"/>
      <c r="U207" s="620"/>
      <c r="V207" s="620"/>
      <c r="W207" s="620"/>
      <c r="X207" s="620"/>
      <c r="Y207" s="620"/>
      <c r="Z207" s="620"/>
      <c r="AA207" s="620"/>
      <c r="AB207" s="620"/>
      <c r="AC207" s="620"/>
      <c r="AD207" s="620"/>
      <c r="AE207" s="620"/>
      <c r="AF207" s="620"/>
      <c r="AG207" s="620"/>
      <c r="AH207" s="620"/>
      <c r="AI207" s="620"/>
      <c r="AJ207" s="620"/>
      <c r="AK207" s="620"/>
      <c r="AL207" s="620"/>
      <c r="AM207" s="620"/>
      <c r="AN207" s="620"/>
      <c r="AO207" s="620"/>
      <c r="AP207" s="620"/>
      <c r="AQ207" s="620"/>
      <c r="AR207" s="620"/>
      <c r="AS207" s="620"/>
      <c r="AT207" s="620"/>
      <c r="AU207" s="620"/>
      <c r="AV207" s="620"/>
      <c r="AW207" s="620"/>
      <c r="AX207" s="620"/>
      <c r="AY207" s="620"/>
      <c r="AZ207" s="620"/>
      <c r="BA207" s="620"/>
      <c r="BB207" s="620"/>
    </row>
    <row r="208" spans="2:54" ht="9" customHeight="1">
      <c r="B208" s="201"/>
      <c r="C208" s="201"/>
      <c r="D208" s="201"/>
      <c r="E208" s="201"/>
      <c r="F208" s="201"/>
      <c r="G208" s="201"/>
      <c r="H208" s="201"/>
      <c r="I208" s="201"/>
      <c r="J208" s="201"/>
      <c r="K208" s="201"/>
      <c r="L208" s="201"/>
      <c r="M208" s="201"/>
      <c r="N208" s="199"/>
      <c r="O208" s="620"/>
      <c r="P208" s="620"/>
      <c r="Q208" s="620"/>
      <c r="R208" s="620"/>
      <c r="S208" s="620"/>
      <c r="T208" s="620"/>
      <c r="U208" s="620"/>
      <c r="V208" s="620"/>
      <c r="W208" s="620"/>
      <c r="X208" s="620"/>
      <c r="Y208" s="620"/>
      <c r="Z208" s="620"/>
      <c r="AA208" s="620"/>
      <c r="AB208" s="620"/>
      <c r="AC208" s="620"/>
      <c r="AD208" s="620"/>
      <c r="AE208" s="620"/>
      <c r="AF208" s="620"/>
      <c r="AG208" s="620"/>
      <c r="AH208" s="620"/>
      <c r="AI208" s="620"/>
      <c r="AJ208" s="620"/>
      <c r="AK208" s="620"/>
      <c r="AL208" s="620"/>
      <c r="AM208" s="620"/>
      <c r="AN208" s="620"/>
      <c r="AO208" s="620"/>
      <c r="AP208" s="620"/>
      <c r="AQ208" s="620"/>
      <c r="AR208" s="620"/>
      <c r="AS208" s="620"/>
      <c r="AT208" s="620"/>
      <c r="AU208" s="620"/>
      <c r="AV208" s="620"/>
      <c r="AW208" s="620"/>
      <c r="AX208" s="620"/>
      <c r="AY208" s="620"/>
      <c r="AZ208" s="620"/>
      <c r="BA208" s="620"/>
      <c r="BB208" s="620"/>
    </row>
    <row r="209" spans="2:54" ht="9" customHeight="1">
      <c r="B209" s="201"/>
      <c r="C209" s="201"/>
      <c r="D209" s="201"/>
      <c r="E209" s="201"/>
      <c r="F209" s="201"/>
      <c r="G209" s="201"/>
      <c r="H209" s="201"/>
      <c r="I209" s="201"/>
      <c r="J209" s="201"/>
      <c r="K209" s="201"/>
      <c r="L209" s="201"/>
      <c r="M209" s="201"/>
      <c r="N209" s="199"/>
      <c r="O209" s="620"/>
      <c r="P209" s="620"/>
      <c r="Q209" s="620"/>
      <c r="R209" s="620"/>
      <c r="S209" s="620"/>
      <c r="T209" s="620"/>
      <c r="U209" s="620"/>
      <c r="V209" s="620"/>
      <c r="W209" s="620"/>
      <c r="X209" s="620"/>
      <c r="Y209" s="620"/>
      <c r="Z209" s="620"/>
      <c r="AA209" s="620"/>
      <c r="AB209" s="620"/>
      <c r="AC209" s="620"/>
      <c r="AD209" s="620"/>
      <c r="AE209" s="620"/>
      <c r="AF209" s="620"/>
      <c r="AG209" s="620"/>
      <c r="AH209" s="620"/>
      <c r="AI209" s="620"/>
      <c r="AJ209" s="620"/>
      <c r="AK209" s="620"/>
      <c r="AL209" s="620"/>
      <c r="AM209" s="620"/>
      <c r="AN209" s="620"/>
      <c r="AO209" s="620"/>
      <c r="AP209" s="620"/>
      <c r="AQ209" s="620"/>
      <c r="AR209" s="620"/>
      <c r="AS209" s="620"/>
      <c r="AT209" s="620"/>
      <c r="AU209" s="620"/>
      <c r="AV209" s="620"/>
      <c r="AW209" s="620"/>
      <c r="AX209" s="620"/>
      <c r="AY209" s="620"/>
      <c r="AZ209" s="620"/>
      <c r="BA209" s="620"/>
      <c r="BB209" s="620"/>
    </row>
    <row r="210" spans="2:54" ht="9" customHeight="1">
      <c r="B210" s="201"/>
      <c r="C210" s="201"/>
      <c r="D210" s="201"/>
      <c r="E210" s="201"/>
      <c r="F210" s="201"/>
      <c r="G210" s="201"/>
      <c r="H210" s="201"/>
      <c r="I210" s="201"/>
      <c r="J210" s="201"/>
      <c r="K210" s="201"/>
      <c r="L210" s="201"/>
      <c r="M210" s="201"/>
      <c r="N210" s="199"/>
      <c r="O210" s="620"/>
      <c r="P210" s="620"/>
      <c r="Q210" s="620"/>
      <c r="R210" s="620"/>
      <c r="S210" s="620"/>
      <c r="T210" s="620"/>
      <c r="U210" s="620"/>
      <c r="V210" s="620"/>
      <c r="W210" s="620"/>
      <c r="X210" s="620"/>
      <c r="Y210" s="620"/>
      <c r="Z210" s="620"/>
      <c r="AA210" s="620"/>
      <c r="AB210" s="620"/>
      <c r="AC210" s="620"/>
      <c r="AD210" s="620"/>
      <c r="AE210" s="620"/>
      <c r="AF210" s="620"/>
      <c r="AG210" s="620"/>
      <c r="AH210" s="620"/>
      <c r="AI210" s="620"/>
      <c r="AJ210" s="620"/>
      <c r="AK210" s="620"/>
      <c r="AL210" s="620"/>
      <c r="AM210" s="620"/>
      <c r="AN210" s="620"/>
      <c r="AO210" s="620"/>
      <c r="AP210" s="620"/>
      <c r="AQ210" s="620"/>
      <c r="AR210" s="620"/>
      <c r="AS210" s="620"/>
      <c r="AT210" s="620"/>
      <c r="AU210" s="620"/>
      <c r="AV210" s="620"/>
      <c r="AW210" s="620"/>
      <c r="AX210" s="620"/>
      <c r="AY210" s="620"/>
      <c r="AZ210" s="620"/>
      <c r="BA210" s="620"/>
      <c r="BB210" s="620"/>
    </row>
    <row r="211" spans="2:54" ht="9" customHeight="1">
      <c r="B211" s="201"/>
      <c r="C211" s="201"/>
      <c r="D211" s="201"/>
      <c r="E211" s="201"/>
      <c r="F211" s="201"/>
      <c r="G211" s="201"/>
      <c r="H211" s="201"/>
      <c r="I211" s="201"/>
      <c r="J211" s="201"/>
      <c r="K211" s="201"/>
      <c r="L211" s="201"/>
      <c r="M211" s="201"/>
      <c r="N211" s="199"/>
      <c r="O211" s="620"/>
      <c r="P211" s="620"/>
      <c r="Q211" s="620"/>
      <c r="R211" s="620"/>
      <c r="S211" s="620"/>
      <c r="T211" s="620"/>
      <c r="U211" s="620"/>
      <c r="V211" s="620"/>
      <c r="W211" s="620"/>
      <c r="X211" s="620"/>
      <c r="Y211" s="620"/>
      <c r="Z211" s="620"/>
      <c r="AA211" s="620"/>
      <c r="AB211" s="620"/>
      <c r="AC211" s="620"/>
      <c r="AD211" s="620"/>
      <c r="AE211" s="620"/>
      <c r="AF211" s="620"/>
      <c r="AG211" s="620"/>
      <c r="AH211" s="620"/>
      <c r="AI211" s="620"/>
      <c r="AJ211" s="620"/>
      <c r="AK211" s="620"/>
      <c r="AL211" s="620"/>
      <c r="AM211" s="620"/>
      <c r="AN211" s="620"/>
      <c r="AO211" s="620"/>
      <c r="AP211" s="620"/>
      <c r="AQ211" s="620"/>
      <c r="AR211" s="620"/>
      <c r="AS211" s="620"/>
      <c r="AT211" s="620"/>
      <c r="AU211" s="620"/>
      <c r="AV211" s="620"/>
      <c r="AW211" s="620"/>
      <c r="AX211" s="620"/>
      <c r="AY211" s="620"/>
      <c r="AZ211" s="620"/>
      <c r="BA211" s="620"/>
      <c r="BB211" s="620"/>
    </row>
    <row r="212" spans="2:54" ht="9" customHeight="1">
      <c r="B212" s="201"/>
      <c r="C212" s="201"/>
      <c r="D212" s="201"/>
      <c r="E212" s="201"/>
      <c r="F212" s="201"/>
      <c r="G212" s="201"/>
      <c r="H212" s="201"/>
      <c r="I212" s="201"/>
      <c r="J212" s="201"/>
      <c r="K212" s="201"/>
      <c r="L212" s="201"/>
      <c r="M212" s="201"/>
      <c r="N212" s="199"/>
      <c r="O212" s="620"/>
      <c r="P212" s="620"/>
      <c r="Q212" s="620"/>
      <c r="R212" s="620"/>
      <c r="S212" s="620"/>
      <c r="T212" s="620"/>
      <c r="U212" s="620"/>
      <c r="V212" s="620"/>
      <c r="W212" s="620"/>
      <c r="X212" s="620"/>
      <c r="Y212" s="620"/>
      <c r="Z212" s="620"/>
      <c r="AA212" s="620"/>
      <c r="AB212" s="620"/>
      <c r="AC212" s="620"/>
      <c r="AD212" s="620"/>
      <c r="AE212" s="620"/>
      <c r="AF212" s="620"/>
      <c r="AG212" s="620"/>
      <c r="AH212" s="620"/>
      <c r="AI212" s="620"/>
      <c r="AJ212" s="620"/>
      <c r="AK212" s="620"/>
      <c r="AL212" s="620"/>
      <c r="AM212" s="620"/>
      <c r="AN212" s="620"/>
      <c r="AO212" s="620"/>
      <c r="AP212" s="620"/>
      <c r="AQ212" s="620"/>
      <c r="AR212" s="620"/>
      <c r="AS212" s="620"/>
      <c r="AT212" s="620"/>
      <c r="AU212" s="620"/>
      <c r="AV212" s="620"/>
      <c r="AW212" s="620"/>
      <c r="AX212" s="620"/>
      <c r="AY212" s="620"/>
      <c r="AZ212" s="620"/>
      <c r="BA212" s="620"/>
      <c r="BB212" s="620"/>
    </row>
    <row r="213" spans="2:54" ht="9" customHeight="1">
      <c r="B213" s="201"/>
      <c r="C213" s="201"/>
      <c r="D213" s="201"/>
      <c r="E213" s="201"/>
      <c r="F213" s="201"/>
      <c r="G213" s="201"/>
      <c r="H213" s="201"/>
      <c r="I213" s="201"/>
      <c r="J213" s="201"/>
      <c r="K213" s="201"/>
      <c r="L213" s="201"/>
      <c r="M213" s="201"/>
      <c r="N213" s="199"/>
      <c r="O213" s="620"/>
      <c r="P213" s="620"/>
      <c r="Q213" s="620"/>
      <c r="R213" s="620"/>
      <c r="S213" s="620"/>
      <c r="T213" s="620"/>
      <c r="U213" s="620"/>
      <c r="V213" s="620"/>
      <c r="W213" s="620"/>
      <c r="X213" s="620"/>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0"/>
      <c r="AY213" s="620"/>
      <c r="AZ213" s="620"/>
      <c r="BA213" s="620"/>
      <c r="BB213" s="620"/>
    </row>
    <row r="214" spans="2:54" ht="9" customHeight="1">
      <c r="B214" s="201"/>
      <c r="C214" s="201"/>
      <c r="D214" s="201"/>
      <c r="E214" s="201"/>
      <c r="F214" s="201"/>
      <c r="G214" s="201"/>
      <c r="H214" s="201"/>
      <c r="I214" s="201"/>
      <c r="J214" s="201"/>
      <c r="K214" s="201"/>
      <c r="L214" s="201"/>
      <c r="M214" s="201"/>
      <c r="N214" s="199"/>
      <c r="O214" s="620"/>
      <c r="P214" s="620"/>
      <c r="Q214" s="620"/>
      <c r="R214" s="620"/>
      <c r="S214" s="620"/>
      <c r="T214" s="620"/>
      <c r="U214" s="620"/>
      <c r="V214" s="620"/>
      <c r="W214" s="620"/>
      <c r="X214" s="620"/>
      <c r="Y214" s="620"/>
      <c r="Z214" s="620"/>
      <c r="AA214" s="620"/>
      <c r="AB214" s="620"/>
      <c r="AC214" s="620"/>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0"/>
      <c r="AY214" s="620"/>
      <c r="AZ214" s="620"/>
      <c r="BA214" s="620"/>
      <c r="BB214" s="620"/>
    </row>
    <row r="215" spans="2:54" ht="9" customHeight="1">
      <c r="B215" s="201"/>
      <c r="C215" s="201"/>
      <c r="D215" s="201"/>
      <c r="E215" s="201"/>
      <c r="F215" s="201"/>
      <c r="G215" s="201"/>
      <c r="H215" s="201"/>
      <c r="I215" s="201"/>
      <c r="J215" s="201"/>
      <c r="K215" s="201"/>
      <c r="L215" s="201"/>
      <c r="M215" s="201"/>
      <c r="N215" s="199"/>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0"/>
      <c r="AY215" s="620"/>
      <c r="AZ215" s="620"/>
      <c r="BA215" s="620"/>
      <c r="BB215" s="620"/>
    </row>
    <row r="216" spans="2:54" ht="9" customHeight="1">
      <c r="B216" s="201"/>
      <c r="C216" s="201"/>
      <c r="D216" s="201"/>
      <c r="E216" s="201"/>
      <c r="F216" s="201"/>
      <c r="G216" s="201"/>
      <c r="H216" s="201"/>
      <c r="I216" s="201"/>
      <c r="J216" s="201"/>
      <c r="K216" s="201"/>
      <c r="L216" s="201"/>
      <c r="M216" s="201"/>
      <c r="N216" s="199"/>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c r="AY216" s="620"/>
      <c r="AZ216" s="620"/>
      <c r="BA216" s="620"/>
      <c r="BB216" s="620"/>
    </row>
    <row r="217" spans="2:54" ht="9" customHeight="1">
      <c r="B217" s="201"/>
      <c r="C217" s="201"/>
      <c r="D217" s="201"/>
      <c r="E217" s="201"/>
      <c r="F217" s="201"/>
      <c r="G217" s="201"/>
      <c r="H217" s="201"/>
      <c r="I217" s="201"/>
      <c r="J217" s="201"/>
      <c r="K217" s="201"/>
      <c r="L217" s="201"/>
      <c r="M217" s="201"/>
      <c r="N217" s="199"/>
      <c r="O217" s="620"/>
      <c r="P217" s="620"/>
      <c r="Q217" s="620"/>
      <c r="R217" s="620"/>
      <c r="S217" s="620"/>
      <c r="T217" s="620"/>
      <c r="U217" s="620"/>
      <c r="V217" s="620"/>
      <c r="W217" s="620"/>
      <c r="X217" s="620"/>
      <c r="Y217" s="620"/>
      <c r="Z217" s="620"/>
      <c r="AA217" s="620"/>
      <c r="AB217" s="620"/>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0"/>
      <c r="AY217" s="620"/>
      <c r="AZ217" s="620"/>
      <c r="BA217" s="620"/>
      <c r="BB217" s="620"/>
    </row>
    <row r="218" spans="2:54" ht="9" customHeight="1">
      <c r="B218" s="201"/>
      <c r="C218" s="201"/>
      <c r="D218" s="201"/>
      <c r="E218" s="201"/>
      <c r="F218" s="201"/>
      <c r="G218" s="201"/>
      <c r="H218" s="201"/>
      <c r="I218" s="201"/>
      <c r="J218" s="201"/>
      <c r="K218" s="201"/>
      <c r="L218" s="201"/>
      <c r="M218" s="201"/>
      <c r="N218" s="199"/>
      <c r="O218" s="620"/>
      <c r="P218" s="620"/>
      <c r="Q218" s="620"/>
      <c r="R218" s="620"/>
      <c r="S218" s="620"/>
      <c r="T218" s="620"/>
      <c r="U218" s="620"/>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0"/>
      <c r="AY218" s="620"/>
      <c r="AZ218" s="620"/>
      <c r="BA218" s="620"/>
      <c r="BB218" s="620"/>
    </row>
    <row r="219" spans="2:54" ht="9" customHeight="1">
      <c r="B219" s="201"/>
      <c r="C219" s="201"/>
      <c r="D219" s="201"/>
      <c r="E219" s="201"/>
      <c r="F219" s="201"/>
      <c r="G219" s="201"/>
      <c r="H219" s="201"/>
      <c r="I219" s="201"/>
      <c r="J219" s="201"/>
      <c r="K219" s="201"/>
      <c r="L219" s="201"/>
      <c r="M219" s="201"/>
      <c r="N219" s="199"/>
      <c r="O219" s="620"/>
      <c r="P219" s="620"/>
      <c r="Q219" s="620"/>
      <c r="R219" s="620"/>
      <c r="S219" s="620"/>
      <c r="T219" s="620"/>
      <c r="U219" s="620"/>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0"/>
      <c r="AY219" s="620"/>
      <c r="AZ219" s="620"/>
      <c r="BA219" s="620"/>
      <c r="BB219" s="620"/>
    </row>
    <row r="220" spans="2:54" ht="9" customHeight="1">
      <c r="B220" s="201"/>
      <c r="C220" s="201"/>
      <c r="D220" s="201"/>
      <c r="E220" s="201"/>
      <c r="F220" s="201"/>
      <c r="G220" s="201"/>
      <c r="H220" s="201"/>
      <c r="I220" s="201"/>
      <c r="J220" s="201"/>
      <c r="K220" s="201"/>
      <c r="L220" s="201"/>
      <c r="M220" s="201"/>
      <c r="N220" s="199"/>
      <c r="O220" s="620"/>
      <c r="P220" s="620"/>
      <c r="Q220" s="620"/>
      <c r="R220" s="620"/>
      <c r="S220" s="620"/>
      <c r="T220" s="620"/>
      <c r="U220" s="620"/>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0"/>
      <c r="AY220" s="620"/>
      <c r="AZ220" s="620"/>
      <c r="BA220" s="620"/>
      <c r="BB220" s="620"/>
    </row>
    <row r="221" spans="2:54" ht="9" customHeight="1">
      <c r="B221" s="201"/>
      <c r="C221" s="201"/>
      <c r="D221" s="201"/>
      <c r="E221" s="201"/>
      <c r="F221" s="201"/>
      <c r="G221" s="201"/>
      <c r="H221" s="201"/>
      <c r="I221" s="201"/>
      <c r="J221" s="201"/>
      <c r="K221" s="201"/>
      <c r="L221" s="201"/>
      <c r="M221" s="201"/>
      <c r="N221" s="199"/>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0"/>
      <c r="AY221" s="620"/>
      <c r="AZ221" s="620"/>
      <c r="BA221" s="620"/>
      <c r="BB221" s="620"/>
    </row>
    <row r="222" spans="2:54" ht="9" customHeight="1">
      <c r="B222" s="201"/>
      <c r="C222" s="201"/>
      <c r="D222" s="201"/>
      <c r="E222" s="201"/>
      <c r="F222" s="201"/>
      <c r="G222" s="201"/>
      <c r="H222" s="201"/>
      <c r="I222" s="201"/>
      <c r="J222" s="201"/>
      <c r="K222" s="201"/>
      <c r="L222" s="201"/>
      <c r="M222" s="201"/>
      <c r="N222" s="199"/>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c r="BB222" s="620"/>
    </row>
    <row r="223" spans="2:54" ht="9" customHeight="1">
      <c r="B223" s="201"/>
      <c r="C223" s="201"/>
      <c r="D223" s="201"/>
      <c r="E223" s="201"/>
      <c r="F223" s="201"/>
      <c r="G223" s="201"/>
      <c r="H223" s="201"/>
      <c r="I223" s="201"/>
      <c r="J223" s="201"/>
      <c r="K223" s="201"/>
      <c r="L223" s="201"/>
      <c r="M223" s="201"/>
      <c r="N223" s="199"/>
      <c r="O223" s="620"/>
      <c r="P223" s="620"/>
      <c r="Q223" s="620"/>
      <c r="R223" s="620"/>
      <c r="S223" s="620"/>
      <c r="T223" s="620"/>
      <c r="U223" s="620"/>
      <c r="V223" s="620"/>
      <c r="W223" s="620"/>
      <c r="X223" s="620"/>
      <c r="Y223" s="620"/>
      <c r="Z223" s="620"/>
      <c r="AA223" s="620"/>
      <c r="AB223" s="620"/>
      <c r="AC223" s="620"/>
      <c r="AD223" s="620"/>
      <c r="AE223" s="620"/>
      <c r="AF223" s="620"/>
      <c r="AG223" s="620"/>
      <c r="AH223" s="620"/>
      <c r="AI223" s="620"/>
      <c r="AJ223" s="620"/>
      <c r="AK223" s="620"/>
      <c r="AL223" s="620"/>
      <c r="AM223" s="620"/>
      <c r="AN223" s="620"/>
      <c r="AO223" s="620"/>
      <c r="AP223" s="620"/>
      <c r="AQ223" s="620"/>
      <c r="AR223" s="620"/>
      <c r="AS223" s="620"/>
      <c r="AT223" s="620"/>
      <c r="AU223" s="620"/>
      <c r="AV223" s="620"/>
      <c r="AW223" s="620"/>
      <c r="AX223" s="620"/>
      <c r="AY223" s="620"/>
      <c r="AZ223" s="620"/>
      <c r="BA223" s="620"/>
      <c r="BB223" s="620"/>
    </row>
    <row r="224" spans="2:54" ht="9" customHeight="1">
      <c r="B224" s="201"/>
      <c r="C224" s="201"/>
      <c r="D224" s="201"/>
      <c r="E224" s="201"/>
      <c r="F224" s="201"/>
      <c r="G224" s="201"/>
      <c r="H224" s="201"/>
      <c r="I224" s="201"/>
      <c r="J224" s="201"/>
      <c r="K224" s="201"/>
      <c r="L224" s="201"/>
      <c r="M224" s="201"/>
      <c r="N224" s="199"/>
      <c r="O224" s="620"/>
      <c r="P224" s="620"/>
      <c r="Q224" s="620"/>
      <c r="R224" s="620"/>
      <c r="S224" s="620"/>
      <c r="T224" s="620"/>
      <c r="U224" s="620"/>
      <c r="V224" s="620"/>
      <c r="W224" s="620"/>
      <c r="X224" s="620"/>
      <c r="Y224" s="620"/>
      <c r="Z224" s="620"/>
      <c r="AA224" s="620"/>
      <c r="AB224" s="620"/>
      <c r="AC224" s="620"/>
      <c r="AD224" s="620"/>
      <c r="AE224" s="620"/>
      <c r="AF224" s="620"/>
      <c r="AG224" s="620"/>
      <c r="AH224" s="620"/>
      <c r="AI224" s="620"/>
      <c r="AJ224" s="620"/>
      <c r="AK224" s="620"/>
      <c r="AL224" s="620"/>
      <c r="AM224" s="620"/>
      <c r="AN224" s="620"/>
      <c r="AO224" s="620"/>
      <c r="AP224" s="620"/>
      <c r="AQ224" s="620"/>
      <c r="AR224" s="620"/>
      <c r="AS224" s="620"/>
      <c r="AT224" s="620"/>
      <c r="AU224" s="620"/>
      <c r="AV224" s="620"/>
      <c r="AW224" s="620"/>
      <c r="AX224" s="620"/>
      <c r="AY224" s="620"/>
      <c r="AZ224" s="620"/>
      <c r="BA224" s="620"/>
      <c r="BB224" s="620"/>
    </row>
    <row r="225" spans="2:54" ht="9" customHeight="1">
      <c r="B225" s="201"/>
      <c r="C225" s="201"/>
      <c r="D225" s="201"/>
      <c r="E225" s="201"/>
      <c r="F225" s="201"/>
      <c r="G225" s="201"/>
      <c r="H225" s="201"/>
      <c r="I225" s="201"/>
      <c r="J225" s="201"/>
      <c r="K225" s="201"/>
      <c r="L225" s="201"/>
      <c r="M225" s="201"/>
      <c r="N225" s="199"/>
      <c r="O225" s="620"/>
      <c r="P225" s="620"/>
      <c r="Q225" s="620"/>
      <c r="R225" s="620"/>
      <c r="S225" s="620"/>
      <c r="T225" s="620"/>
      <c r="U225" s="620"/>
      <c r="V225" s="620"/>
      <c r="W225" s="620"/>
      <c r="X225" s="620"/>
      <c r="Y225" s="620"/>
      <c r="Z225" s="620"/>
      <c r="AA225" s="620"/>
      <c r="AB225" s="620"/>
      <c r="AC225" s="620"/>
      <c r="AD225" s="620"/>
      <c r="AE225" s="620"/>
      <c r="AF225" s="620"/>
      <c r="AG225" s="620"/>
      <c r="AH225" s="620"/>
      <c r="AI225" s="620"/>
      <c r="AJ225" s="620"/>
      <c r="AK225" s="620"/>
      <c r="AL225" s="620"/>
      <c r="AM225" s="620"/>
      <c r="AN225" s="620"/>
      <c r="AO225" s="620"/>
      <c r="AP225" s="620"/>
      <c r="AQ225" s="620"/>
      <c r="AR225" s="620"/>
      <c r="AS225" s="620"/>
      <c r="AT225" s="620"/>
      <c r="AU225" s="620"/>
      <c r="AV225" s="620"/>
      <c r="AW225" s="620"/>
      <c r="AX225" s="620"/>
      <c r="AY225" s="620"/>
      <c r="AZ225" s="620"/>
      <c r="BA225" s="620"/>
      <c r="BB225" s="620"/>
    </row>
    <row r="226" spans="2:54" ht="9" customHeight="1">
      <c r="B226" s="201"/>
      <c r="C226" s="201"/>
      <c r="D226" s="201"/>
      <c r="E226" s="201"/>
      <c r="F226" s="201"/>
      <c r="G226" s="201"/>
      <c r="H226" s="201"/>
      <c r="I226" s="201"/>
      <c r="J226" s="201"/>
      <c r="K226" s="201"/>
      <c r="L226" s="201"/>
      <c r="M226" s="201"/>
      <c r="N226" s="199"/>
      <c r="O226" s="620"/>
      <c r="P226" s="620"/>
      <c r="Q226" s="620"/>
      <c r="R226" s="620"/>
      <c r="S226" s="620"/>
      <c r="T226" s="620"/>
      <c r="U226" s="620"/>
      <c r="V226" s="620"/>
      <c r="W226" s="620"/>
      <c r="X226" s="620"/>
      <c r="Y226" s="620"/>
      <c r="Z226" s="620"/>
      <c r="AA226" s="620"/>
      <c r="AB226" s="620"/>
      <c r="AC226" s="620"/>
      <c r="AD226" s="620"/>
      <c r="AE226" s="620"/>
      <c r="AF226" s="620"/>
      <c r="AG226" s="620"/>
      <c r="AH226" s="620"/>
      <c r="AI226" s="620"/>
      <c r="AJ226" s="620"/>
      <c r="AK226" s="620"/>
      <c r="AL226" s="620"/>
      <c r="AM226" s="620"/>
      <c r="AN226" s="620"/>
      <c r="AO226" s="620"/>
      <c r="AP226" s="620"/>
      <c r="AQ226" s="620"/>
      <c r="AR226" s="620"/>
      <c r="AS226" s="620"/>
      <c r="AT226" s="620"/>
      <c r="AU226" s="620"/>
      <c r="AV226" s="620"/>
      <c r="AW226" s="620"/>
      <c r="AX226" s="620"/>
      <c r="AY226" s="620"/>
      <c r="AZ226" s="620"/>
      <c r="BA226" s="620"/>
      <c r="BB226" s="620"/>
    </row>
    <row r="227" spans="2:54" ht="9" customHeight="1">
      <c r="B227" s="201"/>
      <c r="C227" s="201"/>
      <c r="D227" s="201"/>
      <c r="E227" s="201"/>
      <c r="F227" s="201"/>
      <c r="G227" s="201"/>
      <c r="H227" s="201"/>
      <c r="I227" s="201"/>
      <c r="J227" s="201"/>
      <c r="K227" s="201"/>
      <c r="L227" s="201"/>
      <c r="M227" s="201"/>
      <c r="N227" s="199"/>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0"/>
      <c r="AY227" s="620"/>
      <c r="AZ227" s="620"/>
      <c r="BA227" s="620"/>
      <c r="BB227" s="620"/>
    </row>
    <row r="228" spans="2:54" ht="9" customHeight="1">
      <c r="B228" s="201"/>
      <c r="C228" s="201"/>
      <c r="D228" s="201"/>
      <c r="E228" s="201"/>
      <c r="F228" s="201"/>
      <c r="G228" s="201"/>
      <c r="H228" s="201"/>
      <c r="I228" s="201"/>
      <c r="J228" s="201"/>
      <c r="K228" s="201"/>
      <c r="L228" s="201"/>
      <c r="M228" s="201"/>
      <c r="N228" s="199"/>
      <c r="O228" s="620"/>
      <c r="P228" s="620"/>
      <c r="Q228" s="620"/>
      <c r="R228" s="620"/>
      <c r="S228" s="620"/>
      <c r="T228" s="620"/>
      <c r="U228" s="620"/>
      <c r="V228" s="620"/>
      <c r="W228" s="620"/>
      <c r="X228" s="620"/>
      <c r="Y228" s="620"/>
      <c r="Z228" s="620"/>
      <c r="AA228" s="620"/>
      <c r="AB228" s="620"/>
      <c r="AC228" s="620"/>
      <c r="AD228" s="620"/>
      <c r="AE228" s="620"/>
      <c r="AF228" s="620"/>
      <c r="AG228" s="620"/>
      <c r="AH228" s="620"/>
      <c r="AI228" s="620"/>
      <c r="AJ228" s="620"/>
      <c r="AK228" s="620"/>
      <c r="AL228" s="620"/>
      <c r="AM228" s="620"/>
      <c r="AN228" s="620"/>
      <c r="AO228" s="620"/>
      <c r="AP228" s="620"/>
      <c r="AQ228" s="620"/>
      <c r="AR228" s="620"/>
      <c r="AS228" s="620"/>
      <c r="AT228" s="620"/>
      <c r="AU228" s="620"/>
      <c r="AV228" s="620"/>
      <c r="AW228" s="620"/>
      <c r="AX228" s="620"/>
      <c r="AY228" s="620"/>
      <c r="AZ228" s="620"/>
      <c r="BA228" s="620"/>
      <c r="BB228" s="620"/>
    </row>
    <row r="229" spans="2:54" ht="9" customHeight="1">
      <c r="B229" s="201"/>
      <c r="C229" s="201"/>
      <c r="D229" s="201"/>
      <c r="E229" s="201"/>
      <c r="F229" s="201"/>
      <c r="G229" s="201"/>
      <c r="H229" s="201"/>
      <c r="I229" s="201"/>
      <c r="J229" s="201"/>
      <c r="K229" s="201"/>
      <c r="L229" s="201"/>
      <c r="M229" s="201"/>
      <c r="N229" s="199"/>
      <c r="O229" s="620"/>
      <c r="P229" s="620"/>
      <c r="Q229" s="620"/>
      <c r="R229" s="620"/>
      <c r="S229" s="620"/>
      <c r="T229" s="620"/>
      <c r="U229" s="620"/>
      <c r="V229" s="620"/>
      <c r="W229" s="620"/>
      <c r="X229" s="620"/>
      <c r="Y229" s="620"/>
      <c r="Z229" s="620"/>
      <c r="AA229" s="620"/>
      <c r="AB229" s="620"/>
      <c r="AC229" s="620"/>
      <c r="AD229" s="620"/>
      <c r="AE229" s="620"/>
      <c r="AF229" s="620"/>
      <c r="AG229" s="620"/>
      <c r="AH229" s="620"/>
      <c r="AI229" s="620"/>
      <c r="AJ229" s="620"/>
      <c r="AK229" s="620"/>
      <c r="AL229" s="620"/>
      <c r="AM229" s="620"/>
      <c r="AN229" s="620"/>
      <c r="AO229" s="620"/>
      <c r="AP229" s="620"/>
      <c r="AQ229" s="620"/>
      <c r="AR229" s="620"/>
      <c r="AS229" s="620"/>
      <c r="AT229" s="620"/>
      <c r="AU229" s="620"/>
      <c r="AV229" s="620"/>
      <c r="AW229" s="620"/>
      <c r="AX229" s="620"/>
      <c r="AY229" s="620"/>
      <c r="AZ229" s="620"/>
      <c r="BA229" s="620"/>
      <c r="BB229" s="620"/>
    </row>
    <row r="230" spans="2:54" ht="9" customHeight="1">
      <c r="B230" s="201"/>
      <c r="C230" s="201"/>
      <c r="D230" s="201"/>
      <c r="E230" s="201"/>
      <c r="F230" s="201"/>
      <c r="G230" s="201"/>
      <c r="H230" s="201"/>
      <c r="I230" s="201"/>
      <c r="J230" s="201"/>
      <c r="K230" s="201"/>
      <c r="L230" s="201"/>
      <c r="M230" s="201"/>
      <c r="N230" s="199"/>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0"/>
      <c r="AL230" s="620"/>
      <c r="AM230" s="620"/>
      <c r="AN230" s="620"/>
      <c r="AO230" s="620"/>
      <c r="AP230" s="620"/>
      <c r="AQ230" s="620"/>
      <c r="AR230" s="620"/>
      <c r="AS230" s="620"/>
      <c r="AT230" s="620"/>
      <c r="AU230" s="620"/>
      <c r="AV230" s="620"/>
      <c r="AW230" s="620"/>
      <c r="AX230" s="620"/>
      <c r="AY230" s="620"/>
      <c r="AZ230" s="620"/>
      <c r="BA230" s="620"/>
      <c r="BB230" s="620"/>
    </row>
    <row r="231" spans="2:54" ht="9" customHeight="1">
      <c r="B231" s="201"/>
      <c r="C231" s="201"/>
      <c r="D231" s="201"/>
      <c r="E231" s="201"/>
      <c r="F231" s="201"/>
      <c r="G231" s="201"/>
      <c r="H231" s="201"/>
      <c r="I231" s="201"/>
      <c r="J231" s="201"/>
      <c r="K231" s="201"/>
      <c r="L231" s="201"/>
      <c r="M231" s="201"/>
      <c r="N231" s="199"/>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620"/>
      <c r="AT231" s="620"/>
      <c r="AU231" s="620"/>
      <c r="AV231" s="620"/>
      <c r="AW231" s="620"/>
      <c r="AX231" s="620"/>
      <c r="AY231" s="620"/>
      <c r="AZ231" s="620"/>
      <c r="BA231" s="620"/>
      <c r="BB231" s="620"/>
    </row>
    <row r="232" spans="2:54" ht="9" customHeight="1">
      <c r="B232" s="201"/>
      <c r="C232" s="201"/>
      <c r="D232" s="201"/>
      <c r="E232" s="201"/>
      <c r="F232" s="201"/>
      <c r="G232" s="201"/>
      <c r="H232" s="201"/>
      <c r="I232" s="201"/>
      <c r="J232" s="201"/>
      <c r="K232" s="201"/>
      <c r="L232" s="201"/>
      <c r="M232" s="201"/>
      <c r="N232" s="199"/>
      <c r="O232" s="620"/>
      <c r="P232" s="620"/>
      <c r="Q232" s="620"/>
      <c r="R232" s="620"/>
      <c r="S232" s="620"/>
      <c r="T232" s="620"/>
      <c r="U232" s="620"/>
      <c r="V232" s="620"/>
      <c r="W232" s="620"/>
      <c r="X232" s="620"/>
      <c r="Y232" s="620"/>
      <c r="Z232" s="620"/>
      <c r="AA232" s="620"/>
      <c r="AB232" s="620"/>
      <c r="AC232" s="620"/>
      <c r="AD232" s="620"/>
      <c r="AE232" s="620"/>
      <c r="AF232" s="620"/>
      <c r="AG232" s="620"/>
      <c r="AH232" s="620"/>
      <c r="AI232" s="620"/>
      <c r="AJ232" s="620"/>
      <c r="AK232" s="620"/>
      <c r="AL232" s="620"/>
      <c r="AM232" s="620"/>
      <c r="AN232" s="620"/>
      <c r="AO232" s="620"/>
      <c r="AP232" s="620"/>
      <c r="AQ232" s="620"/>
      <c r="AR232" s="620"/>
      <c r="AS232" s="620"/>
      <c r="AT232" s="620"/>
      <c r="AU232" s="620"/>
      <c r="AV232" s="620"/>
      <c r="AW232" s="620"/>
      <c r="AX232" s="620"/>
      <c r="AY232" s="620"/>
      <c r="AZ232" s="620"/>
      <c r="BA232" s="620"/>
      <c r="BB232" s="620"/>
    </row>
    <row r="233" spans="2:54" ht="9" customHeight="1">
      <c r="B233" s="201"/>
      <c r="C233" s="201"/>
      <c r="D233" s="201"/>
      <c r="E233" s="201"/>
      <c r="F233" s="201"/>
      <c r="G233" s="201"/>
      <c r="H233" s="201"/>
      <c r="I233" s="201"/>
      <c r="J233" s="201"/>
      <c r="K233" s="201"/>
      <c r="L233" s="201"/>
      <c r="M233" s="201"/>
      <c r="N233" s="199"/>
      <c r="O233" s="620"/>
      <c r="P233" s="620"/>
      <c r="Q233" s="620"/>
      <c r="R233" s="620"/>
      <c r="S233" s="620"/>
      <c r="T233" s="620"/>
      <c r="U233" s="620"/>
      <c r="V233" s="620"/>
      <c r="W233" s="620"/>
      <c r="X233" s="620"/>
      <c r="Y233" s="620"/>
      <c r="Z233" s="620"/>
      <c r="AA233" s="620"/>
      <c r="AB233" s="620"/>
      <c r="AC233" s="620"/>
      <c r="AD233" s="620"/>
      <c r="AE233" s="620"/>
      <c r="AF233" s="620"/>
      <c r="AG233" s="620"/>
      <c r="AH233" s="620"/>
      <c r="AI233" s="620"/>
      <c r="AJ233" s="620"/>
      <c r="AK233" s="620"/>
      <c r="AL233" s="620"/>
      <c r="AM233" s="620"/>
      <c r="AN233" s="620"/>
      <c r="AO233" s="620"/>
      <c r="AP233" s="620"/>
      <c r="AQ233" s="620"/>
      <c r="AR233" s="620"/>
      <c r="AS233" s="620"/>
      <c r="AT233" s="620"/>
      <c r="AU233" s="620"/>
      <c r="AV233" s="620"/>
      <c r="AW233" s="620"/>
      <c r="AX233" s="620"/>
      <c r="AY233" s="620"/>
      <c r="AZ233" s="620"/>
      <c r="BA233" s="620"/>
      <c r="BB233" s="620"/>
    </row>
    <row r="234" spans="2:54" ht="9" customHeight="1">
      <c r="B234" s="201"/>
      <c r="C234" s="201"/>
      <c r="D234" s="201"/>
      <c r="E234" s="201"/>
      <c r="F234" s="201"/>
      <c r="G234" s="201"/>
      <c r="H234" s="201"/>
      <c r="I234" s="201"/>
      <c r="J234" s="201"/>
      <c r="K234" s="201"/>
      <c r="L234" s="201"/>
      <c r="M234" s="201"/>
      <c r="N234" s="199"/>
      <c r="O234" s="620"/>
      <c r="P234" s="620"/>
      <c r="Q234" s="620"/>
      <c r="R234" s="620"/>
      <c r="S234" s="620"/>
      <c r="T234" s="620"/>
      <c r="U234" s="620"/>
      <c r="V234" s="620"/>
      <c r="W234" s="620"/>
      <c r="X234" s="620"/>
      <c r="Y234" s="620"/>
      <c r="Z234" s="620"/>
      <c r="AA234" s="620"/>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0"/>
      <c r="AY234" s="620"/>
      <c r="AZ234" s="620"/>
      <c r="BA234" s="620"/>
      <c r="BB234" s="620"/>
    </row>
    <row r="235" spans="2:54" ht="9" customHeight="1">
      <c r="B235" s="201"/>
      <c r="C235" s="201"/>
      <c r="D235" s="201"/>
      <c r="E235" s="201"/>
      <c r="F235" s="201"/>
      <c r="G235" s="201"/>
      <c r="H235" s="201"/>
      <c r="I235" s="201"/>
      <c r="J235" s="201"/>
      <c r="K235" s="201"/>
      <c r="L235" s="201"/>
      <c r="M235" s="201"/>
      <c r="N235" s="199"/>
      <c r="O235" s="620"/>
      <c r="P235" s="620"/>
      <c r="Q235" s="620"/>
      <c r="R235" s="620"/>
      <c r="S235" s="620"/>
      <c r="T235" s="620"/>
      <c r="U235" s="620"/>
      <c r="V235" s="620"/>
      <c r="W235" s="620"/>
      <c r="X235" s="620"/>
      <c r="Y235" s="620"/>
      <c r="Z235" s="620"/>
      <c r="AA235" s="620"/>
      <c r="AB235" s="620"/>
      <c r="AC235" s="620"/>
      <c r="AD235" s="620"/>
      <c r="AE235" s="620"/>
      <c r="AF235" s="620"/>
      <c r="AG235" s="620"/>
      <c r="AH235" s="620"/>
      <c r="AI235" s="620"/>
      <c r="AJ235" s="620"/>
      <c r="AK235" s="620"/>
      <c r="AL235" s="620"/>
      <c r="AM235" s="620"/>
      <c r="AN235" s="620"/>
      <c r="AO235" s="620"/>
      <c r="AP235" s="620"/>
      <c r="AQ235" s="620"/>
      <c r="AR235" s="620"/>
      <c r="AS235" s="620"/>
      <c r="AT235" s="620"/>
      <c r="AU235" s="620"/>
      <c r="AV235" s="620"/>
      <c r="AW235" s="620"/>
      <c r="AX235" s="620"/>
      <c r="AY235" s="620"/>
      <c r="AZ235" s="620"/>
      <c r="BA235" s="620"/>
      <c r="BB235" s="620"/>
    </row>
    <row r="236" spans="2:54" ht="9" customHeight="1">
      <c r="B236" s="201"/>
      <c r="C236" s="201"/>
      <c r="D236" s="201"/>
      <c r="E236" s="201"/>
      <c r="F236" s="201"/>
      <c r="G236" s="201"/>
      <c r="H236" s="201"/>
      <c r="I236" s="201"/>
      <c r="J236" s="201"/>
      <c r="K236" s="201"/>
      <c r="L236" s="201"/>
      <c r="M236" s="201"/>
      <c r="N236" s="199"/>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0"/>
      <c r="AL236" s="620"/>
      <c r="AM236" s="620"/>
      <c r="AN236" s="620"/>
      <c r="AO236" s="620"/>
      <c r="AP236" s="620"/>
      <c r="AQ236" s="620"/>
      <c r="AR236" s="620"/>
      <c r="AS236" s="620"/>
      <c r="AT236" s="620"/>
      <c r="AU236" s="620"/>
      <c r="AV236" s="620"/>
      <c r="AW236" s="620"/>
      <c r="AX236" s="620"/>
      <c r="AY236" s="620"/>
      <c r="AZ236" s="620"/>
      <c r="BA236" s="620"/>
      <c r="BB236" s="620"/>
    </row>
    <row r="237" spans="2:54" ht="9" customHeight="1">
      <c r="B237" s="201"/>
      <c r="C237" s="201"/>
      <c r="D237" s="201"/>
      <c r="E237" s="201"/>
      <c r="F237" s="201"/>
      <c r="G237" s="201"/>
      <c r="H237" s="201"/>
      <c r="I237" s="201"/>
      <c r="J237" s="201"/>
      <c r="K237" s="201"/>
      <c r="L237" s="201"/>
      <c r="M237" s="201"/>
      <c r="N237" s="199"/>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0"/>
      <c r="AL237" s="620"/>
      <c r="AM237" s="620"/>
      <c r="AN237" s="620"/>
      <c r="AO237" s="620"/>
      <c r="AP237" s="620"/>
      <c r="AQ237" s="620"/>
      <c r="AR237" s="620"/>
      <c r="AS237" s="620"/>
      <c r="AT237" s="620"/>
      <c r="AU237" s="620"/>
      <c r="AV237" s="620"/>
      <c r="AW237" s="620"/>
      <c r="AX237" s="620"/>
      <c r="AY237" s="620"/>
      <c r="AZ237" s="620"/>
      <c r="BA237" s="620"/>
      <c r="BB237" s="620"/>
    </row>
    <row r="238" spans="2:54" ht="9" customHeight="1">
      <c r="B238" s="201"/>
      <c r="C238" s="201"/>
      <c r="D238" s="201"/>
      <c r="E238" s="201"/>
      <c r="F238" s="201"/>
      <c r="G238" s="201"/>
      <c r="H238" s="201"/>
      <c r="I238" s="201"/>
      <c r="J238" s="201"/>
      <c r="K238" s="201"/>
      <c r="L238" s="201"/>
      <c r="M238" s="201"/>
      <c r="N238" s="199"/>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0"/>
      <c r="AL238" s="620"/>
      <c r="AM238" s="620"/>
      <c r="AN238" s="620"/>
      <c r="AO238" s="620"/>
      <c r="AP238" s="620"/>
      <c r="AQ238" s="620"/>
      <c r="AR238" s="620"/>
      <c r="AS238" s="620"/>
      <c r="AT238" s="620"/>
      <c r="AU238" s="620"/>
      <c r="AV238" s="620"/>
      <c r="AW238" s="620"/>
      <c r="AX238" s="620"/>
      <c r="AY238" s="620"/>
      <c r="AZ238" s="620"/>
      <c r="BA238" s="620"/>
      <c r="BB238" s="620"/>
    </row>
    <row r="239" spans="2:54" ht="9" customHeight="1">
      <c r="B239" s="203"/>
      <c r="C239" s="203"/>
      <c r="D239" s="203"/>
      <c r="E239" s="203"/>
      <c r="F239" s="203"/>
      <c r="G239" s="203"/>
      <c r="H239" s="203"/>
      <c r="I239" s="203"/>
      <c r="J239" s="203"/>
      <c r="K239" s="203"/>
      <c r="L239" s="203"/>
      <c r="M239" s="203"/>
      <c r="N239" s="200"/>
      <c r="O239" s="639"/>
      <c r="P239" s="639"/>
      <c r="Q239" s="639"/>
      <c r="R239" s="639"/>
      <c r="S239" s="639"/>
      <c r="T239" s="639"/>
      <c r="U239" s="639"/>
      <c r="V239" s="639"/>
      <c r="W239" s="639"/>
      <c r="X239" s="639"/>
      <c r="Y239" s="639"/>
      <c r="Z239" s="639"/>
      <c r="AA239" s="639"/>
      <c r="AB239" s="639"/>
      <c r="AC239" s="639"/>
      <c r="AD239" s="639"/>
      <c r="AE239" s="639"/>
      <c r="AF239" s="639"/>
      <c r="AG239" s="639"/>
      <c r="AH239" s="639"/>
      <c r="AI239" s="639"/>
      <c r="AJ239" s="639"/>
      <c r="AK239" s="639"/>
      <c r="AL239" s="639"/>
      <c r="AM239" s="639"/>
      <c r="AN239" s="639"/>
      <c r="AO239" s="639"/>
      <c r="AP239" s="639"/>
      <c r="AQ239" s="639"/>
      <c r="AR239" s="639"/>
      <c r="AS239" s="639"/>
      <c r="AT239" s="639"/>
      <c r="AU239" s="639"/>
      <c r="AV239" s="639"/>
      <c r="AW239" s="639"/>
      <c r="AX239" s="639"/>
      <c r="AY239" s="639"/>
      <c r="AZ239" s="639"/>
      <c r="BA239" s="639"/>
      <c r="BB239" s="639"/>
    </row>
    <row r="240" spans="2:54" ht="9" customHeight="1"/>
    <row r="241" spans="2:54" ht="9" customHeight="1"/>
    <row r="242" spans="2:54" ht="9" customHeight="1">
      <c r="B242" s="592">
        <v>14</v>
      </c>
      <c r="C242" s="592"/>
      <c r="D242" s="642" t="s">
        <v>263</v>
      </c>
      <c r="E242" s="642"/>
      <c r="F242" s="642"/>
      <c r="G242" s="642"/>
      <c r="H242" s="642"/>
      <c r="I242" s="642"/>
      <c r="J242" s="642"/>
      <c r="K242" s="642"/>
      <c r="L242" s="642"/>
      <c r="M242" s="642"/>
      <c r="N242" s="606"/>
      <c r="O242" s="608" t="str">
        <f>IF('(I) Plano de Trabalho'!$O$526="","",'(I) Plano de Trabalho'!$O$526)</f>
        <v>A plataforma a ser desenvolvida constitui uma ferramenta para garantir um meio ambiente equilibrado à sociedade, por meio do controle desde a origem dos produtos da biodiversidade brasileira e do controle à introdução de espécies exóticas. Tal ferramenta, além de representar economia aos cofres públicos devido à otimização de gastos e investimento em inteligência e eficiência, incentivará o cumprimento das normas ambientais pelos exportadores brasileiros, tendo reflexos positivos para o meio ambiente ao longo de toda a cadeia produtiva.</v>
      </c>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8"/>
      <c r="AL242" s="608"/>
      <c r="AM242" s="608"/>
      <c r="AN242" s="608"/>
      <c r="AO242" s="608"/>
      <c r="AP242" s="608"/>
      <c r="AQ242" s="608"/>
      <c r="AR242" s="608"/>
      <c r="AS242" s="608"/>
      <c r="AT242" s="608"/>
      <c r="AU242" s="608"/>
      <c r="AV242" s="608"/>
      <c r="AW242" s="608"/>
      <c r="AX242" s="608"/>
      <c r="AY242" s="608"/>
      <c r="AZ242" s="608"/>
      <c r="BA242" s="608"/>
      <c r="BB242" s="608"/>
    </row>
    <row r="243" spans="2:54" ht="9" customHeight="1">
      <c r="B243" s="593"/>
      <c r="C243" s="593"/>
      <c r="D243" s="641"/>
      <c r="E243" s="641"/>
      <c r="F243" s="641"/>
      <c r="G243" s="641"/>
      <c r="H243" s="641"/>
      <c r="I243" s="641"/>
      <c r="J243" s="641"/>
      <c r="K243" s="641"/>
      <c r="L243" s="641"/>
      <c r="M243" s="641"/>
      <c r="N243" s="607"/>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09"/>
      <c r="AL243" s="609"/>
      <c r="AM243" s="609"/>
      <c r="AN243" s="609"/>
      <c r="AO243" s="609"/>
      <c r="AP243" s="609"/>
      <c r="AQ243" s="609"/>
      <c r="AR243" s="609"/>
      <c r="AS243" s="609"/>
      <c r="AT243" s="609"/>
      <c r="AU243" s="609"/>
      <c r="AV243" s="609"/>
      <c r="AW243" s="609"/>
      <c r="AX243" s="609"/>
      <c r="AY243" s="609"/>
      <c r="AZ243" s="609"/>
      <c r="BA243" s="609"/>
      <c r="BB243" s="609"/>
    </row>
    <row r="244" spans="2:54" ht="9" customHeight="1">
      <c r="B244" s="195"/>
      <c r="C244" s="195"/>
      <c r="D244" s="641"/>
      <c r="E244" s="641"/>
      <c r="F244" s="641"/>
      <c r="G244" s="641"/>
      <c r="H244" s="641"/>
      <c r="I244" s="641"/>
      <c r="J244" s="641"/>
      <c r="K244" s="641"/>
      <c r="L244" s="641"/>
      <c r="M244" s="641"/>
      <c r="N244" s="191"/>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09"/>
      <c r="AL244" s="609"/>
      <c r="AM244" s="609"/>
      <c r="AN244" s="609"/>
      <c r="AO244" s="609"/>
      <c r="AP244" s="609"/>
      <c r="AQ244" s="609"/>
      <c r="AR244" s="609"/>
      <c r="AS244" s="609"/>
      <c r="AT244" s="609"/>
      <c r="AU244" s="609"/>
      <c r="AV244" s="609"/>
      <c r="AW244" s="609"/>
      <c r="AX244" s="609"/>
      <c r="AY244" s="609"/>
      <c r="AZ244" s="609"/>
      <c r="BA244" s="609"/>
      <c r="BB244" s="609"/>
    </row>
    <row r="245" spans="2:54" ht="9" customHeight="1">
      <c r="B245" s="195"/>
      <c r="C245" s="195"/>
      <c r="D245" s="196"/>
      <c r="E245" s="196"/>
      <c r="F245" s="196"/>
      <c r="G245" s="196"/>
      <c r="H245" s="196"/>
      <c r="I245" s="196"/>
      <c r="J245" s="196"/>
      <c r="K245" s="196"/>
      <c r="L245" s="196"/>
      <c r="M245" s="196"/>
      <c r="N245" s="191"/>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09"/>
      <c r="AL245" s="609"/>
      <c r="AM245" s="609"/>
      <c r="AN245" s="609"/>
      <c r="AO245" s="609"/>
      <c r="AP245" s="609"/>
      <c r="AQ245" s="609"/>
      <c r="AR245" s="609"/>
      <c r="AS245" s="609"/>
      <c r="AT245" s="609"/>
      <c r="AU245" s="609"/>
      <c r="AV245" s="609"/>
      <c r="AW245" s="609"/>
      <c r="AX245" s="609"/>
      <c r="AY245" s="609"/>
      <c r="AZ245" s="609"/>
      <c r="BA245" s="609"/>
      <c r="BB245" s="609"/>
    </row>
    <row r="246" spans="2:54" ht="9" customHeight="1">
      <c r="B246" s="195"/>
      <c r="C246" s="195"/>
      <c r="D246" s="196"/>
      <c r="E246" s="196"/>
      <c r="F246" s="196"/>
      <c r="G246" s="196"/>
      <c r="H246" s="196"/>
      <c r="I246" s="196"/>
      <c r="J246" s="196"/>
      <c r="K246" s="196"/>
      <c r="L246" s="196"/>
      <c r="M246" s="196"/>
      <c r="N246" s="191"/>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09"/>
      <c r="AL246" s="609"/>
      <c r="AM246" s="609"/>
      <c r="AN246" s="609"/>
      <c r="AO246" s="609"/>
      <c r="AP246" s="609"/>
      <c r="AQ246" s="609"/>
      <c r="AR246" s="609"/>
      <c r="AS246" s="609"/>
      <c r="AT246" s="609"/>
      <c r="AU246" s="609"/>
      <c r="AV246" s="609"/>
      <c r="AW246" s="609"/>
      <c r="AX246" s="609"/>
      <c r="AY246" s="609"/>
      <c r="AZ246" s="609"/>
      <c r="BA246" s="609"/>
      <c r="BB246" s="609"/>
    </row>
    <row r="247" spans="2:54" ht="9" customHeight="1">
      <c r="B247" s="195"/>
      <c r="C247" s="195"/>
      <c r="D247" s="196"/>
      <c r="E247" s="196"/>
      <c r="F247" s="196"/>
      <c r="G247" s="196"/>
      <c r="H247" s="196"/>
      <c r="I247" s="196"/>
      <c r="J247" s="196"/>
      <c r="K247" s="196"/>
      <c r="L247" s="196"/>
      <c r="M247" s="196"/>
      <c r="N247" s="191"/>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09"/>
      <c r="AL247" s="609"/>
      <c r="AM247" s="609"/>
      <c r="AN247" s="609"/>
      <c r="AO247" s="609"/>
      <c r="AP247" s="609"/>
      <c r="AQ247" s="609"/>
      <c r="AR247" s="609"/>
      <c r="AS247" s="609"/>
      <c r="AT247" s="609"/>
      <c r="AU247" s="609"/>
      <c r="AV247" s="609"/>
      <c r="AW247" s="609"/>
      <c r="AX247" s="609"/>
      <c r="AY247" s="609"/>
      <c r="AZ247" s="609"/>
      <c r="BA247" s="609"/>
      <c r="BB247" s="609"/>
    </row>
    <row r="248" spans="2:54" ht="9" customHeight="1">
      <c r="B248" s="195"/>
      <c r="C248" s="195"/>
      <c r="D248" s="196"/>
      <c r="E248" s="196"/>
      <c r="F248" s="196"/>
      <c r="G248" s="196"/>
      <c r="H248" s="196"/>
      <c r="I248" s="196"/>
      <c r="J248" s="196"/>
      <c r="K248" s="196"/>
      <c r="L248" s="196"/>
      <c r="M248" s="196"/>
      <c r="N248" s="191"/>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09"/>
      <c r="AL248" s="609"/>
      <c r="AM248" s="609"/>
      <c r="AN248" s="609"/>
      <c r="AO248" s="609"/>
      <c r="AP248" s="609"/>
      <c r="AQ248" s="609"/>
      <c r="AR248" s="609"/>
      <c r="AS248" s="609"/>
      <c r="AT248" s="609"/>
      <c r="AU248" s="609"/>
      <c r="AV248" s="609"/>
      <c r="AW248" s="609"/>
      <c r="AX248" s="609"/>
      <c r="AY248" s="609"/>
      <c r="AZ248" s="609"/>
      <c r="BA248" s="609"/>
      <c r="BB248" s="609"/>
    </row>
    <row r="249" spans="2:54" ht="9" customHeight="1">
      <c r="B249" s="197"/>
      <c r="C249" s="197"/>
      <c r="D249" s="198"/>
      <c r="E249" s="198"/>
      <c r="F249" s="198"/>
      <c r="G249" s="198"/>
      <c r="H249" s="198"/>
      <c r="I249" s="198"/>
      <c r="J249" s="198"/>
      <c r="K249" s="198"/>
      <c r="L249" s="198"/>
      <c r="M249" s="198"/>
      <c r="N249" s="192"/>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09"/>
      <c r="AY249" s="609"/>
      <c r="AZ249" s="609"/>
      <c r="BA249" s="609"/>
      <c r="BB249" s="609"/>
    </row>
    <row r="250" spans="2:54" ht="9" customHeight="1">
      <c r="B250" s="592">
        <v>15</v>
      </c>
      <c r="C250" s="592"/>
      <c r="D250" s="640" t="s">
        <v>264</v>
      </c>
      <c r="E250" s="640"/>
      <c r="F250" s="640"/>
      <c r="G250" s="640"/>
      <c r="H250" s="640"/>
      <c r="I250" s="640"/>
      <c r="J250" s="640"/>
      <c r="K250" s="640"/>
      <c r="L250" s="640"/>
      <c r="M250" s="640"/>
      <c r="N250" s="606"/>
      <c r="O250" s="608" t="str">
        <f>IF('(I) Plano de Trabalho'!$O$535="","",'(I) Plano de Trabalho'!$O$535)</f>
        <v>Existência de diversos sistemas, procedimentos e requisitos ambientais a serem atendidos, por parte dos usuários, para o desempenho de atividades de comércio exterior. Para o Estado, dispersão de informações acerca dos produtos e usuários da cadeia de comércio exterior, dificultando a rastreabilidade dos produtos e, consequentemente, impactando negativamente a gestão e o gerenciamento de risco.</v>
      </c>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08"/>
      <c r="AL250" s="608"/>
      <c r="AM250" s="608"/>
      <c r="AN250" s="608"/>
      <c r="AO250" s="608"/>
      <c r="AP250" s="608"/>
      <c r="AQ250" s="608"/>
      <c r="AR250" s="608"/>
      <c r="AS250" s="608"/>
      <c r="AT250" s="608"/>
      <c r="AU250" s="608"/>
      <c r="AV250" s="608"/>
      <c r="AW250" s="608"/>
      <c r="AX250" s="608"/>
      <c r="AY250" s="608"/>
      <c r="AZ250" s="608"/>
      <c r="BA250" s="608"/>
      <c r="BB250" s="608"/>
    </row>
    <row r="251" spans="2:54" ht="9" customHeight="1">
      <c r="B251" s="593"/>
      <c r="C251" s="593"/>
      <c r="D251" s="641"/>
      <c r="E251" s="641"/>
      <c r="F251" s="641"/>
      <c r="G251" s="641"/>
      <c r="H251" s="641"/>
      <c r="I251" s="641"/>
      <c r="J251" s="641"/>
      <c r="K251" s="641"/>
      <c r="L251" s="641"/>
      <c r="M251" s="641"/>
      <c r="N251" s="607"/>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09"/>
      <c r="AL251" s="609"/>
      <c r="AM251" s="609"/>
      <c r="AN251" s="609"/>
      <c r="AO251" s="609"/>
      <c r="AP251" s="609"/>
      <c r="AQ251" s="609"/>
      <c r="AR251" s="609"/>
      <c r="AS251" s="609"/>
      <c r="AT251" s="609"/>
      <c r="AU251" s="609"/>
      <c r="AV251" s="609"/>
      <c r="AW251" s="609"/>
      <c r="AX251" s="609"/>
      <c r="AY251" s="609"/>
      <c r="AZ251" s="609"/>
      <c r="BA251" s="609"/>
      <c r="BB251" s="609"/>
    </row>
    <row r="252" spans="2:54" ht="9" customHeight="1">
      <c r="B252" s="195"/>
      <c r="C252" s="195"/>
      <c r="D252" s="641"/>
      <c r="E252" s="641"/>
      <c r="F252" s="641"/>
      <c r="G252" s="641"/>
      <c r="H252" s="641"/>
      <c r="I252" s="641"/>
      <c r="J252" s="641"/>
      <c r="K252" s="641"/>
      <c r="L252" s="641"/>
      <c r="M252" s="641"/>
      <c r="N252" s="191"/>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09"/>
      <c r="AL252" s="609"/>
      <c r="AM252" s="609"/>
      <c r="AN252" s="609"/>
      <c r="AO252" s="609"/>
      <c r="AP252" s="609"/>
      <c r="AQ252" s="609"/>
      <c r="AR252" s="609"/>
      <c r="AS252" s="609"/>
      <c r="AT252" s="609"/>
      <c r="AU252" s="609"/>
      <c r="AV252" s="609"/>
      <c r="AW252" s="609"/>
      <c r="AX252" s="609"/>
      <c r="AY252" s="609"/>
      <c r="AZ252" s="609"/>
      <c r="BA252" s="609"/>
      <c r="BB252" s="609"/>
    </row>
    <row r="253" spans="2:54" ht="9" customHeight="1">
      <c r="B253" s="195"/>
      <c r="C253" s="195"/>
      <c r="D253" s="196"/>
      <c r="E253" s="196"/>
      <c r="F253" s="196"/>
      <c r="G253" s="196"/>
      <c r="H253" s="196"/>
      <c r="I253" s="196"/>
      <c r="J253" s="196"/>
      <c r="K253" s="196"/>
      <c r="L253" s="196"/>
      <c r="M253" s="196"/>
      <c r="N253" s="191"/>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609"/>
      <c r="AY253" s="609"/>
      <c r="AZ253" s="609"/>
      <c r="BA253" s="609"/>
      <c r="BB253" s="609"/>
    </row>
    <row r="254" spans="2:54" ht="9" customHeight="1">
      <c r="B254" s="195"/>
      <c r="C254" s="195"/>
      <c r="D254" s="196"/>
      <c r="E254" s="196"/>
      <c r="F254" s="196"/>
      <c r="G254" s="196"/>
      <c r="H254" s="196"/>
      <c r="I254" s="196"/>
      <c r="J254" s="196"/>
      <c r="K254" s="196"/>
      <c r="L254" s="196"/>
      <c r="M254" s="196"/>
      <c r="N254" s="191"/>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09"/>
      <c r="AL254" s="609"/>
      <c r="AM254" s="609"/>
      <c r="AN254" s="609"/>
      <c r="AO254" s="609"/>
      <c r="AP254" s="609"/>
      <c r="AQ254" s="609"/>
      <c r="AR254" s="609"/>
      <c r="AS254" s="609"/>
      <c r="AT254" s="609"/>
      <c r="AU254" s="609"/>
      <c r="AV254" s="609"/>
      <c r="AW254" s="609"/>
      <c r="AX254" s="609"/>
      <c r="AY254" s="609"/>
      <c r="AZ254" s="609"/>
      <c r="BA254" s="609"/>
      <c r="BB254" s="609"/>
    </row>
    <row r="255" spans="2:54" ht="9" customHeight="1">
      <c r="B255" s="195"/>
      <c r="C255" s="195"/>
      <c r="D255" s="196"/>
      <c r="E255" s="196"/>
      <c r="F255" s="196"/>
      <c r="G255" s="196"/>
      <c r="H255" s="196"/>
      <c r="I255" s="196"/>
      <c r="J255" s="196"/>
      <c r="K255" s="196"/>
      <c r="L255" s="196"/>
      <c r="M255" s="196"/>
      <c r="N255" s="191"/>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09"/>
      <c r="AL255" s="609"/>
      <c r="AM255" s="609"/>
      <c r="AN255" s="609"/>
      <c r="AO255" s="609"/>
      <c r="AP255" s="609"/>
      <c r="AQ255" s="609"/>
      <c r="AR255" s="609"/>
      <c r="AS255" s="609"/>
      <c r="AT255" s="609"/>
      <c r="AU255" s="609"/>
      <c r="AV255" s="609"/>
      <c r="AW255" s="609"/>
      <c r="AX255" s="609"/>
      <c r="AY255" s="609"/>
      <c r="AZ255" s="609"/>
      <c r="BA255" s="609"/>
      <c r="BB255" s="609"/>
    </row>
    <row r="256" spans="2:54" ht="9" customHeight="1">
      <c r="B256" s="195"/>
      <c r="C256" s="195"/>
      <c r="D256" s="196"/>
      <c r="E256" s="196"/>
      <c r="F256" s="196"/>
      <c r="G256" s="196"/>
      <c r="H256" s="196"/>
      <c r="I256" s="196"/>
      <c r="J256" s="196"/>
      <c r="K256" s="196"/>
      <c r="L256" s="196"/>
      <c r="M256" s="196"/>
      <c r="N256" s="191"/>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09"/>
      <c r="AL256" s="609"/>
      <c r="AM256" s="609"/>
      <c r="AN256" s="609"/>
      <c r="AO256" s="609"/>
      <c r="AP256" s="609"/>
      <c r="AQ256" s="609"/>
      <c r="AR256" s="609"/>
      <c r="AS256" s="609"/>
      <c r="AT256" s="609"/>
      <c r="AU256" s="609"/>
      <c r="AV256" s="609"/>
      <c r="AW256" s="609"/>
      <c r="AX256" s="609"/>
      <c r="AY256" s="609"/>
      <c r="AZ256" s="609"/>
      <c r="BA256" s="609"/>
      <c r="BB256" s="609"/>
    </row>
    <row r="257" spans="2:54" ht="9" customHeight="1">
      <c r="B257" s="197"/>
      <c r="C257" s="197"/>
      <c r="D257" s="198"/>
      <c r="E257" s="198"/>
      <c r="F257" s="198"/>
      <c r="G257" s="198"/>
      <c r="H257" s="198"/>
      <c r="I257" s="198"/>
      <c r="J257" s="198"/>
      <c r="K257" s="198"/>
      <c r="L257" s="198"/>
      <c r="M257" s="198"/>
      <c r="N257" s="192"/>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09"/>
      <c r="AL257" s="609"/>
      <c r="AM257" s="609"/>
      <c r="AN257" s="609"/>
      <c r="AO257" s="609"/>
      <c r="AP257" s="609"/>
      <c r="AQ257" s="609"/>
      <c r="AR257" s="609"/>
      <c r="AS257" s="609"/>
      <c r="AT257" s="609"/>
      <c r="AU257" s="609"/>
      <c r="AV257" s="609"/>
      <c r="AW257" s="609"/>
      <c r="AX257" s="609"/>
      <c r="AY257" s="609"/>
      <c r="AZ257" s="609"/>
      <c r="BA257" s="609"/>
      <c r="BB257" s="609"/>
    </row>
    <row r="258" spans="2:54" ht="9" customHeight="1">
      <c r="B258" s="592">
        <v>16</v>
      </c>
      <c r="C258" s="592"/>
      <c r="D258" s="640" t="s">
        <v>477</v>
      </c>
      <c r="E258" s="640"/>
      <c r="F258" s="640"/>
      <c r="G258" s="640"/>
      <c r="H258" s="640"/>
      <c r="I258" s="640"/>
      <c r="J258" s="640"/>
      <c r="K258" s="640"/>
      <c r="L258" s="640"/>
      <c r="M258" s="640"/>
      <c r="N258" s="606"/>
      <c r="O258" s="608" t="str">
        <f>IF('(I) Plano de Trabalho'!$O$544="","",'(I) Plano de Trabalho'!$O$544)</f>
        <v>Exportadores e importadores de produtos e subprodutos da biodiversidade sujeitos à anuência do Ibama, e o próprio Ibama.</v>
      </c>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08"/>
      <c r="AL258" s="608"/>
      <c r="AM258" s="608"/>
      <c r="AN258" s="608"/>
      <c r="AO258" s="608"/>
      <c r="AP258" s="608"/>
      <c r="AQ258" s="608"/>
      <c r="AR258" s="608"/>
      <c r="AS258" s="608"/>
      <c r="AT258" s="608"/>
      <c r="AU258" s="608"/>
      <c r="AV258" s="608"/>
      <c r="AW258" s="608"/>
      <c r="AX258" s="608"/>
      <c r="AY258" s="608"/>
      <c r="AZ258" s="608"/>
      <c r="BA258" s="608"/>
      <c r="BB258" s="608"/>
    </row>
    <row r="259" spans="2:54" ht="9" customHeight="1">
      <c r="B259" s="593"/>
      <c r="C259" s="593"/>
      <c r="D259" s="641"/>
      <c r="E259" s="641"/>
      <c r="F259" s="641"/>
      <c r="G259" s="641"/>
      <c r="H259" s="641"/>
      <c r="I259" s="641"/>
      <c r="J259" s="641"/>
      <c r="K259" s="641"/>
      <c r="L259" s="641"/>
      <c r="M259" s="641"/>
      <c r="N259" s="607"/>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09"/>
      <c r="AL259" s="609"/>
      <c r="AM259" s="609"/>
      <c r="AN259" s="609"/>
      <c r="AO259" s="609"/>
      <c r="AP259" s="609"/>
      <c r="AQ259" s="609"/>
      <c r="AR259" s="609"/>
      <c r="AS259" s="609"/>
      <c r="AT259" s="609"/>
      <c r="AU259" s="609"/>
      <c r="AV259" s="609"/>
      <c r="AW259" s="609"/>
      <c r="AX259" s="609"/>
      <c r="AY259" s="609"/>
      <c r="AZ259" s="609"/>
      <c r="BA259" s="609"/>
      <c r="BB259" s="609"/>
    </row>
    <row r="260" spans="2:54" ht="9" customHeight="1">
      <c r="B260" s="195"/>
      <c r="C260" s="195"/>
      <c r="D260" s="641"/>
      <c r="E260" s="641"/>
      <c r="F260" s="641"/>
      <c r="G260" s="641"/>
      <c r="H260" s="641"/>
      <c r="I260" s="641"/>
      <c r="J260" s="641"/>
      <c r="K260" s="641"/>
      <c r="L260" s="641"/>
      <c r="M260" s="641"/>
      <c r="N260" s="191"/>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09"/>
      <c r="AL260" s="609"/>
      <c r="AM260" s="609"/>
      <c r="AN260" s="609"/>
      <c r="AO260" s="609"/>
      <c r="AP260" s="609"/>
      <c r="AQ260" s="609"/>
      <c r="AR260" s="609"/>
      <c r="AS260" s="609"/>
      <c r="AT260" s="609"/>
      <c r="AU260" s="609"/>
      <c r="AV260" s="609"/>
      <c r="AW260" s="609"/>
      <c r="AX260" s="609"/>
      <c r="AY260" s="609"/>
      <c r="AZ260" s="609"/>
      <c r="BA260" s="609"/>
      <c r="BB260" s="609"/>
    </row>
    <row r="261" spans="2:54" ht="9" customHeight="1">
      <c r="B261" s="195"/>
      <c r="C261" s="195"/>
      <c r="D261" s="196"/>
      <c r="E261" s="196"/>
      <c r="F261" s="196"/>
      <c r="G261" s="196"/>
      <c r="H261" s="196"/>
      <c r="I261" s="196"/>
      <c r="J261" s="196"/>
      <c r="K261" s="196"/>
      <c r="L261" s="196"/>
      <c r="M261" s="196"/>
      <c r="N261" s="191"/>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09"/>
      <c r="AL261" s="609"/>
      <c r="AM261" s="609"/>
      <c r="AN261" s="609"/>
      <c r="AO261" s="609"/>
      <c r="AP261" s="609"/>
      <c r="AQ261" s="609"/>
      <c r="AR261" s="609"/>
      <c r="AS261" s="609"/>
      <c r="AT261" s="609"/>
      <c r="AU261" s="609"/>
      <c r="AV261" s="609"/>
      <c r="AW261" s="609"/>
      <c r="AX261" s="609"/>
      <c r="AY261" s="609"/>
      <c r="AZ261" s="609"/>
      <c r="BA261" s="609"/>
      <c r="BB261" s="609"/>
    </row>
    <row r="262" spans="2:54" ht="9" customHeight="1">
      <c r="B262" s="195"/>
      <c r="C262" s="195"/>
      <c r="D262" s="196"/>
      <c r="E262" s="196"/>
      <c r="F262" s="196"/>
      <c r="G262" s="196"/>
      <c r="H262" s="196"/>
      <c r="I262" s="196"/>
      <c r="J262" s="196"/>
      <c r="K262" s="196"/>
      <c r="L262" s="196"/>
      <c r="M262" s="196"/>
      <c r="N262" s="191"/>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09"/>
      <c r="AL262" s="609"/>
      <c r="AM262" s="609"/>
      <c r="AN262" s="609"/>
      <c r="AO262" s="609"/>
      <c r="AP262" s="609"/>
      <c r="AQ262" s="609"/>
      <c r="AR262" s="609"/>
      <c r="AS262" s="609"/>
      <c r="AT262" s="609"/>
      <c r="AU262" s="609"/>
      <c r="AV262" s="609"/>
      <c r="AW262" s="609"/>
      <c r="AX262" s="609"/>
      <c r="AY262" s="609"/>
      <c r="AZ262" s="609"/>
      <c r="BA262" s="609"/>
      <c r="BB262" s="609"/>
    </row>
    <row r="263" spans="2:54" ht="9" customHeight="1">
      <c r="B263" s="195"/>
      <c r="C263" s="195"/>
      <c r="D263" s="196"/>
      <c r="E263" s="196"/>
      <c r="F263" s="196"/>
      <c r="G263" s="196"/>
      <c r="H263" s="196"/>
      <c r="I263" s="196"/>
      <c r="J263" s="196"/>
      <c r="K263" s="196"/>
      <c r="L263" s="196"/>
      <c r="M263" s="196"/>
      <c r="N263" s="191"/>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09"/>
      <c r="AL263" s="609"/>
      <c r="AM263" s="609"/>
      <c r="AN263" s="609"/>
      <c r="AO263" s="609"/>
      <c r="AP263" s="609"/>
      <c r="AQ263" s="609"/>
      <c r="AR263" s="609"/>
      <c r="AS263" s="609"/>
      <c r="AT263" s="609"/>
      <c r="AU263" s="609"/>
      <c r="AV263" s="609"/>
      <c r="AW263" s="609"/>
      <c r="AX263" s="609"/>
      <c r="AY263" s="609"/>
      <c r="AZ263" s="609"/>
      <c r="BA263" s="609"/>
      <c r="BB263" s="609"/>
    </row>
    <row r="264" spans="2:54" ht="9" customHeight="1">
      <c r="B264" s="195"/>
      <c r="C264" s="195"/>
      <c r="D264" s="196"/>
      <c r="E264" s="196"/>
      <c r="F264" s="196"/>
      <c r="G264" s="196"/>
      <c r="H264" s="196"/>
      <c r="I264" s="196"/>
      <c r="J264" s="196"/>
      <c r="K264" s="196"/>
      <c r="L264" s="196"/>
      <c r="M264" s="196"/>
      <c r="N264" s="191"/>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09"/>
      <c r="AL264" s="609"/>
      <c r="AM264" s="609"/>
      <c r="AN264" s="609"/>
      <c r="AO264" s="609"/>
      <c r="AP264" s="609"/>
      <c r="AQ264" s="609"/>
      <c r="AR264" s="609"/>
      <c r="AS264" s="609"/>
      <c r="AT264" s="609"/>
      <c r="AU264" s="609"/>
      <c r="AV264" s="609"/>
      <c r="AW264" s="609"/>
      <c r="AX264" s="609"/>
      <c r="AY264" s="609"/>
      <c r="AZ264" s="609"/>
      <c r="BA264" s="609"/>
      <c r="BB264" s="609"/>
    </row>
    <row r="265" spans="2:54" ht="9" customHeight="1">
      <c r="B265" s="197"/>
      <c r="C265" s="197"/>
      <c r="D265" s="198"/>
      <c r="E265" s="198"/>
      <c r="F265" s="198"/>
      <c r="G265" s="198"/>
      <c r="H265" s="198"/>
      <c r="I265" s="198"/>
      <c r="J265" s="198"/>
      <c r="K265" s="198"/>
      <c r="L265" s="198"/>
      <c r="M265" s="198"/>
      <c r="N265" s="192"/>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09"/>
      <c r="AL265" s="609"/>
      <c r="AM265" s="609"/>
      <c r="AN265" s="609"/>
      <c r="AO265" s="609"/>
      <c r="AP265" s="609"/>
      <c r="AQ265" s="609"/>
      <c r="AR265" s="609"/>
      <c r="AS265" s="609"/>
      <c r="AT265" s="609"/>
      <c r="AU265" s="609"/>
      <c r="AV265" s="609"/>
      <c r="AW265" s="609"/>
      <c r="AX265" s="609"/>
      <c r="AY265" s="609"/>
      <c r="AZ265" s="609"/>
      <c r="BA265" s="609"/>
      <c r="BB265" s="609"/>
    </row>
    <row r="266" spans="2:54" ht="9" customHeight="1">
      <c r="B266" s="592">
        <v>17</v>
      </c>
      <c r="C266" s="592"/>
      <c r="D266" s="640" t="s">
        <v>478</v>
      </c>
      <c r="E266" s="640"/>
      <c r="F266" s="640"/>
      <c r="G266" s="640"/>
      <c r="H266" s="640"/>
      <c r="I266" s="640"/>
      <c r="J266" s="640"/>
      <c r="K266" s="640"/>
      <c r="L266" s="640"/>
      <c r="M266" s="640"/>
      <c r="N266" s="606"/>
      <c r="O266" s="608" t="str">
        <f>IF('(I) Plano de Trabalho'!$O$553="","",'(I) Plano de Trabalho'!$O$553)</f>
        <v>Órgãos do Sisnama, intervenientes do processo e a sociedade brasileira.</v>
      </c>
      <c r="P266" s="608"/>
      <c r="Q266" s="608"/>
      <c r="R266" s="608"/>
      <c r="S266" s="608"/>
      <c r="T266" s="608"/>
      <c r="U266" s="608"/>
      <c r="V266" s="608"/>
      <c r="W266" s="608"/>
      <c r="X266" s="608"/>
      <c r="Y266" s="608"/>
      <c r="Z266" s="608"/>
      <c r="AA266" s="608"/>
      <c r="AB266" s="608"/>
      <c r="AC266" s="608"/>
      <c r="AD266" s="608"/>
      <c r="AE266" s="608"/>
      <c r="AF266" s="608"/>
      <c r="AG266" s="608"/>
      <c r="AH266" s="608"/>
      <c r="AI266" s="608"/>
      <c r="AJ266" s="608"/>
      <c r="AK266" s="608"/>
      <c r="AL266" s="608"/>
      <c r="AM266" s="608"/>
      <c r="AN266" s="608"/>
      <c r="AO266" s="608"/>
      <c r="AP266" s="608"/>
      <c r="AQ266" s="608"/>
      <c r="AR266" s="608"/>
      <c r="AS266" s="608"/>
      <c r="AT266" s="608"/>
      <c r="AU266" s="608"/>
      <c r="AV266" s="608"/>
      <c r="AW266" s="608"/>
      <c r="AX266" s="608"/>
      <c r="AY266" s="608"/>
      <c r="AZ266" s="608"/>
      <c r="BA266" s="608"/>
      <c r="BB266" s="608"/>
    </row>
    <row r="267" spans="2:54" ht="9" customHeight="1">
      <c r="B267" s="593"/>
      <c r="C267" s="593"/>
      <c r="D267" s="641"/>
      <c r="E267" s="641"/>
      <c r="F267" s="641"/>
      <c r="G267" s="641"/>
      <c r="H267" s="641"/>
      <c r="I267" s="641"/>
      <c r="J267" s="641"/>
      <c r="K267" s="641"/>
      <c r="L267" s="641"/>
      <c r="M267" s="641"/>
      <c r="N267" s="607"/>
      <c r="O267" s="609"/>
      <c r="P267" s="609"/>
      <c r="Q267" s="609"/>
      <c r="R267" s="609"/>
      <c r="S267" s="609"/>
      <c r="T267" s="609"/>
      <c r="U267" s="609"/>
      <c r="V267" s="609"/>
      <c r="W267" s="609"/>
      <c r="X267" s="609"/>
      <c r="Y267" s="609"/>
      <c r="Z267" s="609"/>
      <c r="AA267" s="609"/>
      <c r="AB267" s="609"/>
      <c r="AC267" s="609"/>
      <c r="AD267" s="609"/>
      <c r="AE267" s="609"/>
      <c r="AF267" s="609"/>
      <c r="AG267" s="609"/>
      <c r="AH267" s="609"/>
      <c r="AI267" s="609"/>
      <c r="AJ267" s="609"/>
      <c r="AK267" s="609"/>
      <c r="AL267" s="609"/>
      <c r="AM267" s="609"/>
      <c r="AN267" s="609"/>
      <c r="AO267" s="609"/>
      <c r="AP267" s="609"/>
      <c r="AQ267" s="609"/>
      <c r="AR267" s="609"/>
      <c r="AS267" s="609"/>
      <c r="AT267" s="609"/>
      <c r="AU267" s="609"/>
      <c r="AV267" s="609"/>
      <c r="AW267" s="609"/>
      <c r="AX267" s="609"/>
      <c r="AY267" s="609"/>
      <c r="AZ267" s="609"/>
      <c r="BA267" s="609"/>
      <c r="BB267" s="609"/>
    </row>
    <row r="268" spans="2:54" ht="9" customHeight="1">
      <c r="B268" s="195"/>
      <c r="C268" s="195"/>
      <c r="D268" s="641"/>
      <c r="E268" s="641"/>
      <c r="F268" s="641"/>
      <c r="G268" s="641"/>
      <c r="H268" s="641"/>
      <c r="I268" s="641"/>
      <c r="J268" s="641"/>
      <c r="K268" s="641"/>
      <c r="L268" s="641"/>
      <c r="M268" s="641"/>
      <c r="N268" s="191"/>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09"/>
      <c r="AL268" s="609"/>
      <c r="AM268" s="609"/>
      <c r="AN268" s="609"/>
      <c r="AO268" s="609"/>
      <c r="AP268" s="609"/>
      <c r="AQ268" s="609"/>
      <c r="AR268" s="609"/>
      <c r="AS268" s="609"/>
      <c r="AT268" s="609"/>
      <c r="AU268" s="609"/>
      <c r="AV268" s="609"/>
      <c r="AW268" s="609"/>
      <c r="AX268" s="609"/>
      <c r="AY268" s="609"/>
      <c r="AZ268" s="609"/>
      <c r="BA268" s="609"/>
      <c r="BB268" s="609"/>
    </row>
    <row r="269" spans="2:54" ht="9" customHeight="1">
      <c r="B269" s="195"/>
      <c r="C269" s="195"/>
      <c r="D269" s="196"/>
      <c r="E269" s="196"/>
      <c r="F269" s="196"/>
      <c r="G269" s="196"/>
      <c r="H269" s="196"/>
      <c r="I269" s="196"/>
      <c r="J269" s="196"/>
      <c r="K269" s="196"/>
      <c r="L269" s="196"/>
      <c r="M269" s="196"/>
      <c r="N269" s="191"/>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09"/>
      <c r="AL269" s="609"/>
      <c r="AM269" s="609"/>
      <c r="AN269" s="609"/>
      <c r="AO269" s="609"/>
      <c r="AP269" s="609"/>
      <c r="AQ269" s="609"/>
      <c r="AR269" s="609"/>
      <c r="AS269" s="609"/>
      <c r="AT269" s="609"/>
      <c r="AU269" s="609"/>
      <c r="AV269" s="609"/>
      <c r="AW269" s="609"/>
      <c r="AX269" s="609"/>
      <c r="AY269" s="609"/>
      <c r="AZ269" s="609"/>
      <c r="BA269" s="609"/>
      <c r="BB269" s="609"/>
    </row>
    <row r="270" spans="2:54" ht="9" customHeight="1">
      <c r="B270" s="195"/>
      <c r="C270" s="195"/>
      <c r="D270" s="196"/>
      <c r="E270" s="196"/>
      <c r="F270" s="196"/>
      <c r="G270" s="196"/>
      <c r="H270" s="196"/>
      <c r="I270" s="196"/>
      <c r="J270" s="196"/>
      <c r="K270" s="196"/>
      <c r="L270" s="196"/>
      <c r="M270" s="196"/>
      <c r="N270" s="191"/>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09"/>
      <c r="AL270" s="609"/>
      <c r="AM270" s="609"/>
      <c r="AN270" s="609"/>
      <c r="AO270" s="609"/>
      <c r="AP270" s="609"/>
      <c r="AQ270" s="609"/>
      <c r="AR270" s="609"/>
      <c r="AS270" s="609"/>
      <c r="AT270" s="609"/>
      <c r="AU270" s="609"/>
      <c r="AV270" s="609"/>
      <c r="AW270" s="609"/>
      <c r="AX270" s="609"/>
      <c r="AY270" s="609"/>
      <c r="AZ270" s="609"/>
      <c r="BA270" s="609"/>
      <c r="BB270" s="609"/>
    </row>
    <row r="271" spans="2:54" ht="9" customHeight="1">
      <c r="B271" s="195"/>
      <c r="C271" s="195"/>
      <c r="D271" s="196"/>
      <c r="E271" s="196"/>
      <c r="F271" s="196"/>
      <c r="G271" s="196"/>
      <c r="H271" s="196"/>
      <c r="I271" s="196"/>
      <c r="J271" s="196"/>
      <c r="K271" s="196"/>
      <c r="L271" s="196"/>
      <c r="M271" s="196"/>
      <c r="N271" s="191"/>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09"/>
      <c r="AL271" s="609"/>
      <c r="AM271" s="609"/>
      <c r="AN271" s="609"/>
      <c r="AO271" s="609"/>
      <c r="AP271" s="609"/>
      <c r="AQ271" s="609"/>
      <c r="AR271" s="609"/>
      <c r="AS271" s="609"/>
      <c r="AT271" s="609"/>
      <c r="AU271" s="609"/>
      <c r="AV271" s="609"/>
      <c r="AW271" s="609"/>
      <c r="AX271" s="609"/>
      <c r="AY271" s="609"/>
      <c r="AZ271" s="609"/>
      <c r="BA271" s="609"/>
      <c r="BB271" s="609"/>
    </row>
    <row r="272" spans="2:54" ht="9" customHeight="1">
      <c r="B272" s="195"/>
      <c r="C272" s="195"/>
      <c r="D272" s="196"/>
      <c r="E272" s="196"/>
      <c r="F272" s="196"/>
      <c r="G272" s="196"/>
      <c r="H272" s="196"/>
      <c r="I272" s="196"/>
      <c r="J272" s="196"/>
      <c r="K272" s="196"/>
      <c r="L272" s="196"/>
      <c r="M272" s="196"/>
      <c r="N272" s="191"/>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09"/>
      <c r="AL272" s="609"/>
      <c r="AM272" s="609"/>
      <c r="AN272" s="609"/>
      <c r="AO272" s="609"/>
      <c r="AP272" s="609"/>
      <c r="AQ272" s="609"/>
      <c r="AR272" s="609"/>
      <c r="AS272" s="609"/>
      <c r="AT272" s="609"/>
      <c r="AU272" s="609"/>
      <c r="AV272" s="609"/>
      <c r="AW272" s="609"/>
      <c r="AX272" s="609"/>
      <c r="AY272" s="609"/>
      <c r="AZ272" s="609"/>
      <c r="BA272" s="609"/>
      <c r="BB272" s="609"/>
    </row>
    <row r="273" spans="2:54" ht="9" customHeight="1">
      <c r="B273" s="197"/>
      <c r="C273" s="197"/>
      <c r="D273" s="198"/>
      <c r="E273" s="198"/>
      <c r="F273" s="198"/>
      <c r="G273" s="198"/>
      <c r="H273" s="198"/>
      <c r="I273" s="198"/>
      <c r="J273" s="198"/>
      <c r="K273" s="198"/>
      <c r="L273" s="198"/>
      <c r="M273" s="198"/>
      <c r="N273" s="192"/>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row>
    <row r="274" spans="2:54" ht="9" customHeight="1">
      <c r="B274" s="592">
        <v>18</v>
      </c>
      <c r="C274" s="592"/>
      <c r="D274" s="643" t="s">
        <v>265</v>
      </c>
      <c r="E274" s="643"/>
      <c r="F274" s="643"/>
      <c r="G274" s="643"/>
      <c r="H274" s="643"/>
      <c r="I274" s="643"/>
      <c r="J274" s="643"/>
      <c r="K274" s="643"/>
      <c r="L274" s="643"/>
      <c r="M274" s="643"/>
      <c r="N274" s="606"/>
      <c r="O274" s="608" t="str">
        <f>IF('(I) Plano de Trabalho'!$O$562="","",'(I) Plano de Trabalho'!$O$562)</f>
        <v>Estabelecimento de um canal único de comunicação entre Ibama e os usuários - desenvolvimento de uma plataforma digital integrada -, permitindo maior agilidade no fluxo de comércio exterior de produtos e subprodutos da biodiversidade brasileira com origem legal e que cumprem critérios de conformidade e qualidade ambiental. Simplificação dos trâmites burocráticos relacionados à geração de licenças e às anuências no SISCOMEX. Modernização das vistorias e maior acesso às informações das atividades de comércio exterior para o Ibama e para os demais órgãos do Sisnama.</v>
      </c>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08"/>
      <c r="AL274" s="608"/>
      <c r="AM274" s="608"/>
      <c r="AN274" s="608"/>
      <c r="AO274" s="608"/>
      <c r="AP274" s="608"/>
      <c r="AQ274" s="608"/>
      <c r="AR274" s="608"/>
      <c r="AS274" s="608"/>
      <c r="AT274" s="608"/>
      <c r="AU274" s="608"/>
      <c r="AV274" s="608"/>
      <c r="AW274" s="608"/>
      <c r="AX274" s="608"/>
      <c r="AY274" s="608"/>
      <c r="AZ274" s="608"/>
      <c r="BA274" s="608"/>
      <c r="BB274" s="608"/>
    </row>
    <row r="275" spans="2:54" ht="9" customHeight="1">
      <c r="B275" s="593"/>
      <c r="C275" s="593"/>
      <c r="D275" s="644"/>
      <c r="E275" s="644"/>
      <c r="F275" s="644"/>
      <c r="G275" s="644"/>
      <c r="H275" s="644"/>
      <c r="I275" s="644"/>
      <c r="J275" s="644"/>
      <c r="K275" s="644"/>
      <c r="L275" s="644"/>
      <c r="M275" s="644"/>
      <c r="N275" s="607"/>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09"/>
      <c r="AL275" s="609"/>
      <c r="AM275" s="609"/>
      <c r="AN275" s="609"/>
      <c r="AO275" s="609"/>
      <c r="AP275" s="609"/>
      <c r="AQ275" s="609"/>
      <c r="AR275" s="609"/>
      <c r="AS275" s="609"/>
      <c r="AT275" s="609"/>
      <c r="AU275" s="609"/>
      <c r="AV275" s="609"/>
      <c r="AW275" s="609"/>
      <c r="AX275" s="609"/>
      <c r="AY275" s="609"/>
      <c r="AZ275" s="609"/>
      <c r="BA275" s="609"/>
      <c r="BB275" s="609"/>
    </row>
    <row r="276" spans="2:54" ht="9" customHeight="1">
      <c r="B276" s="195"/>
      <c r="C276" s="195"/>
      <c r="D276" s="204"/>
      <c r="E276" s="204"/>
      <c r="F276" s="204"/>
      <c r="G276" s="204"/>
      <c r="H276" s="204"/>
      <c r="I276" s="204"/>
      <c r="J276" s="204"/>
      <c r="K276" s="204"/>
      <c r="L276" s="204"/>
      <c r="M276" s="204"/>
      <c r="N276" s="191"/>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09"/>
      <c r="AL276" s="609"/>
      <c r="AM276" s="609"/>
      <c r="AN276" s="609"/>
      <c r="AO276" s="609"/>
      <c r="AP276" s="609"/>
      <c r="AQ276" s="609"/>
      <c r="AR276" s="609"/>
      <c r="AS276" s="609"/>
      <c r="AT276" s="609"/>
      <c r="AU276" s="609"/>
      <c r="AV276" s="609"/>
      <c r="AW276" s="609"/>
      <c r="AX276" s="609"/>
      <c r="AY276" s="609"/>
      <c r="AZ276" s="609"/>
      <c r="BA276" s="609"/>
      <c r="BB276" s="609"/>
    </row>
    <row r="277" spans="2:54" ht="9" customHeight="1">
      <c r="B277" s="195"/>
      <c r="C277" s="195"/>
      <c r="D277" s="204"/>
      <c r="E277" s="204"/>
      <c r="F277" s="204"/>
      <c r="G277" s="204"/>
      <c r="H277" s="204"/>
      <c r="I277" s="204"/>
      <c r="J277" s="204"/>
      <c r="K277" s="204"/>
      <c r="L277" s="204"/>
      <c r="M277" s="204"/>
      <c r="N277" s="191"/>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09"/>
      <c r="AL277" s="609"/>
      <c r="AM277" s="609"/>
      <c r="AN277" s="609"/>
      <c r="AO277" s="609"/>
      <c r="AP277" s="609"/>
      <c r="AQ277" s="609"/>
      <c r="AR277" s="609"/>
      <c r="AS277" s="609"/>
      <c r="AT277" s="609"/>
      <c r="AU277" s="609"/>
      <c r="AV277" s="609"/>
      <c r="AW277" s="609"/>
      <c r="AX277" s="609"/>
      <c r="AY277" s="609"/>
      <c r="AZ277" s="609"/>
      <c r="BA277" s="609"/>
      <c r="BB277" s="609"/>
    </row>
    <row r="278" spans="2:54" ht="9" customHeight="1">
      <c r="B278" s="195"/>
      <c r="C278" s="195"/>
      <c r="D278" s="204"/>
      <c r="E278" s="204"/>
      <c r="F278" s="204"/>
      <c r="G278" s="204"/>
      <c r="H278" s="204"/>
      <c r="I278" s="204"/>
      <c r="J278" s="204"/>
      <c r="K278" s="204"/>
      <c r="L278" s="204"/>
      <c r="M278" s="204"/>
      <c r="N278" s="191"/>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09"/>
      <c r="AL278" s="609"/>
      <c r="AM278" s="609"/>
      <c r="AN278" s="609"/>
      <c r="AO278" s="609"/>
      <c r="AP278" s="609"/>
      <c r="AQ278" s="609"/>
      <c r="AR278" s="609"/>
      <c r="AS278" s="609"/>
      <c r="AT278" s="609"/>
      <c r="AU278" s="609"/>
      <c r="AV278" s="609"/>
      <c r="AW278" s="609"/>
      <c r="AX278" s="609"/>
      <c r="AY278" s="609"/>
      <c r="AZ278" s="609"/>
      <c r="BA278" s="609"/>
      <c r="BB278" s="609"/>
    </row>
    <row r="279" spans="2:54" ht="9" customHeight="1">
      <c r="B279" s="195"/>
      <c r="C279" s="195"/>
      <c r="D279" s="204"/>
      <c r="E279" s="204"/>
      <c r="F279" s="204"/>
      <c r="G279" s="204"/>
      <c r="H279" s="204"/>
      <c r="I279" s="204"/>
      <c r="J279" s="204"/>
      <c r="K279" s="204"/>
      <c r="L279" s="204"/>
      <c r="M279" s="204"/>
      <c r="N279" s="191"/>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9"/>
      <c r="AL279" s="609"/>
      <c r="AM279" s="609"/>
      <c r="AN279" s="609"/>
      <c r="AO279" s="609"/>
      <c r="AP279" s="609"/>
      <c r="AQ279" s="609"/>
      <c r="AR279" s="609"/>
      <c r="AS279" s="609"/>
      <c r="AT279" s="609"/>
      <c r="AU279" s="609"/>
      <c r="AV279" s="609"/>
      <c r="AW279" s="609"/>
      <c r="AX279" s="609"/>
      <c r="AY279" s="609"/>
      <c r="AZ279" s="609"/>
      <c r="BA279" s="609"/>
      <c r="BB279" s="609"/>
    </row>
    <row r="280" spans="2:54" ht="9" customHeight="1">
      <c r="B280" s="195"/>
      <c r="C280" s="195"/>
      <c r="D280" s="204"/>
      <c r="E280" s="204"/>
      <c r="F280" s="204"/>
      <c r="G280" s="204"/>
      <c r="H280" s="204"/>
      <c r="I280" s="204"/>
      <c r="J280" s="204"/>
      <c r="K280" s="204"/>
      <c r="L280" s="204"/>
      <c r="M280" s="204"/>
      <c r="N280" s="191"/>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09"/>
      <c r="AY280" s="609"/>
      <c r="AZ280" s="609"/>
      <c r="BA280" s="609"/>
      <c r="BB280" s="609"/>
    </row>
    <row r="281" spans="2:54" ht="9" customHeight="1">
      <c r="B281" s="195"/>
      <c r="C281" s="195"/>
      <c r="D281" s="204"/>
      <c r="E281" s="204"/>
      <c r="F281" s="204"/>
      <c r="G281" s="204"/>
      <c r="H281" s="204"/>
      <c r="I281" s="204"/>
      <c r="J281" s="204"/>
      <c r="K281" s="204"/>
      <c r="L281" s="204"/>
      <c r="M281" s="204"/>
      <c r="N281" s="191"/>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09"/>
      <c r="AL281" s="609"/>
      <c r="AM281" s="609"/>
      <c r="AN281" s="609"/>
      <c r="AO281" s="609"/>
      <c r="AP281" s="609"/>
      <c r="AQ281" s="609"/>
      <c r="AR281" s="609"/>
      <c r="AS281" s="609"/>
      <c r="AT281" s="609"/>
      <c r="AU281" s="609"/>
      <c r="AV281" s="609"/>
      <c r="AW281" s="609"/>
      <c r="AX281" s="609"/>
      <c r="AY281" s="609"/>
      <c r="AZ281" s="609"/>
      <c r="BA281" s="609"/>
      <c r="BB281" s="609"/>
    </row>
    <row r="282" spans="2:54" ht="9" customHeight="1">
      <c r="B282" s="195"/>
      <c r="C282" s="195"/>
      <c r="D282" s="204"/>
      <c r="E282" s="204"/>
      <c r="F282" s="204"/>
      <c r="G282" s="204"/>
      <c r="H282" s="204"/>
      <c r="I282" s="204"/>
      <c r="J282" s="204"/>
      <c r="K282" s="204"/>
      <c r="L282" s="204"/>
      <c r="M282" s="204"/>
      <c r="N282" s="191"/>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09"/>
      <c r="AL282" s="609"/>
      <c r="AM282" s="609"/>
      <c r="AN282" s="609"/>
      <c r="AO282" s="609"/>
      <c r="AP282" s="609"/>
      <c r="AQ282" s="609"/>
      <c r="AR282" s="609"/>
      <c r="AS282" s="609"/>
      <c r="AT282" s="609"/>
      <c r="AU282" s="609"/>
      <c r="AV282" s="609"/>
      <c r="AW282" s="609"/>
      <c r="AX282" s="609"/>
      <c r="AY282" s="609"/>
      <c r="AZ282" s="609"/>
      <c r="BA282" s="609"/>
      <c r="BB282" s="609"/>
    </row>
    <row r="283" spans="2:54" ht="9" customHeight="1">
      <c r="B283" s="195"/>
      <c r="C283" s="195"/>
      <c r="D283" s="204"/>
      <c r="E283" s="204"/>
      <c r="F283" s="204"/>
      <c r="G283" s="204"/>
      <c r="H283" s="204"/>
      <c r="I283" s="204"/>
      <c r="J283" s="204"/>
      <c r="K283" s="204"/>
      <c r="L283" s="204"/>
      <c r="M283" s="204"/>
      <c r="N283" s="191"/>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09"/>
      <c r="AL283" s="609"/>
      <c r="AM283" s="609"/>
      <c r="AN283" s="609"/>
      <c r="AO283" s="609"/>
      <c r="AP283" s="609"/>
      <c r="AQ283" s="609"/>
      <c r="AR283" s="609"/>
      <c r="AS283" s="609"/>
      <c r="AT283" s="609"/>
      <c r="AU283" s="609"/>
      <c r="AV283" s="609"/>
      <c r="AW283" s="609"/>
      <c r="AX283" s="609"/>
      <c r="AY283" s="609"/>
      <c r="AZ283" s="609"/>
      <c r="BA283" s="609"/>
      <c r="BB283" s="609"/>
    </row>
    <row r="284" spans="2:54" ht="9" customHeight="1">
      <c r="B284" s="195"/>
      <c r="C284" s="195"/>
      <c r="D284" s="204"/>
      <c r="E284" s="204"/>
      <c r="F284" s="204"/>
      <c r="G284" s="204"/>
      <c r="H284" s="204"/>
      <c r="I284" s="204"/>
      <c r="J284" s="204"/>
      <c r="K284" s="204"/>
      <c r="L284" s="204"/>
      <c r="M284" s="204"/>
      <c r="N284" s="191"/>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09"/>
      <c r="AL284" s="609"/>
      <c r="AM284" s="609"/>
      <c r="AN284" s="609"/>
      <c r="AO284" s="609"/>
      <c r="AP284" s="609"/>
      <c r="AQ284" s="609"/>
      <c r="AR284" s="609"/>
      <c r="AS284" s="609"/>
      <c r="AT284" s="609"/>
      <c r="AU284" s="609"/>
      <c r="AV284" s="609"/>
      <c r="AW284" s="609"/>
      <c r="AX284" s="609"/>
      <c r="AY284" s="609"/>
      <c r="AZ284" s="609"/>
      <c r="BA284" s="609"/>
      <c r="BB284" s="609"/>
    </row>
    <row r="285" spans="2:54" ht="9" customHeight="1">
      <c r="B285" s="195"/>
      <c r="C285" s="195"/>
      <c r="D285" s="204"/>
      <c r="E285" s="204"/>
      <c r="F285" s="204"/>
      <c r="G285" s="204"/>
      <c r="H285" s="204"/>
      <c r="I285" s="204"/>
      <c r="J285" s="204"/>
      <c r="K285" s="204"/>
      <c r="L285" s="204"/>
      <c r="M285" s="204"/>
      <c r="N285" s="191"/>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09"/>
      <c r="AL285" s="609"/>
      <c r="AM285" s="609"/>
      <c r="AN285" s="609"/>
      <c r="AO285" s="609"/>
      <c r="AP285" s="609"/>
      <c r="AQ285" s="609"/>
      <c r="AR285" s="609"/>
      <c r="AS285" s="609"/>
      <c r="AT285" s="609"/>
      <c r="AU285" s="609"/>
      <c r="AV285" s="609"/>
      <c r="AW285" s="609"/>
      <c r="AX285" s="609"/>
      <c r="AY285" s="609"/>
      <c r="AZ285" s="609"/>
      <c r="BA285" s="609"/>
      <c r="BB285" s="609"/>
    </row>
    <row r="286" spans="2:54" ht="9" customHeight="1">
      <c r="B286" s="195"/>
      <c r="C286" s="195"/>
      <c r="D286" s="196"/>
      <c r="E286" s="196"/>
      <c r="F286" s="196"/>
      <c r="G286" s="196"/>
      <c r="H286" s="196"/>
      <c r="I286" s="196"/>
      <c r="J286" s="196"/>
      <c r="K286" s="196"/>
      <c r="L286" s="196"/>
      <c r="M286" s="196"/>
      <c r="N286" s="191"/>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9"/>
      <c r="AL286" s="609"/>
      <c r="AM286" s="609"/>
      <c r="AN286" s="609"/>
      <c r="AO286" s="609"/>
      <c r="AP286" s="609"/>
      <c r="AQ286" s="609"/>
      <c r="AR286" s="609"/>
      <c r="AS286" s="609"/>
      <c r="AT286" s="609"/>
      <c r="AU286" s="609"/>
      <c r="AV286" s="609"/>
      <c r="AW286" s="609"/>
      <c r="AX286" s="609"/>
      <c r="AY286" s="609"/>
      <c r="AZ286" s="609"/>
      <c r="BA286" s="609"/>
      <c r="BB286" s="609"/>
    </row>
    <row r="287" spans="2:54" ht="9" customHeight="1">
      <c r="B287" s="195"/>
      <c r="C287" s="195"/>
      <c r="D287" s="196"/>
      <c r="E287" s="196"/>
      <c r="F287" s="196"/>
      <c r="G287" s="196"/>
      <c r="H287" s="196"/>
      <c r="I287" s="196"/>
      <c r="J287" s="196"/>
      <c r="K287" s="196"/>
      <c r="L287" s="196"/>
      <c r="M287" s="196"/>
      <c r="N287" s="191"/>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09"/>
      <c r="AL287" s="609"/>
      <c r="AM287" s="609"/>
      <c r="AN287" s="609"/>
      <c r="AO287" s="609"/>
      <c r="AP287" s="609"/>
      <c r="AQ287" s="609"/>
      <c r="AR287" s="609"/>
      <c r="AS287" s="609"/>
      <c r="AT287" s="609"/>
      <c r="AU287" s="609"/>
      <c r="AV287" s="609"/>
      <c r="AW287" s="609"/>
      <c r="AX287" s="609"/>
      <c r="AY287" s="609"/>
      <c r="AZ287" s="609"/>
      <c r="BA287" s="609"/>
      <c r="BB287" s="609"/>
    </row>
    <row r="288" spans="2:54" ht="9" customHeight="1">
      <c r="B288" s="195"/>
      <c r="C288" s="195"/>
      <c r="D288" s="196"/>
      <c r="E288" s="196"/>
      <c r="F288" s="196"/>
      <c r="G288" s="196"/>
      <c r="H288" s="196"/>
      <c r="I288" s="196"/>
      <c r="J288" s="196"/>
      <c r="K288" s="196"/>
      <c r="L288" s="196"/>
      <c r="M288" s="196"/>
      <c r="N288" s="191"/>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9"/>
      <c r="AL288" s="609"/>
      <c r="AM288" s="609"/>
      <c r="AN288" s="609"/>
      <c r="AO288" s="609"/>
      <c r="AP288" s="609"/>
      <c r="AQ288" s="609"/>
      <c r="AR288" s="609"/>
      <c r="AS288" s="609"/>
      <c r="AT288" s="609"/>
      <c r="AU288" s="609"/>
      <c r="AV288" s="609"/>
      <c r="AW288" s="609"/>
      <c r="AX288" s="609"/>
      <c r="AY288" s="609"/>
      <c r="AZ288" s="609"/>
      <c r="BA288" s="609"/>
      <c r="BB288" s="609"/>
    </row>
    <row r="289" spans="2:54" ht="9" customHeight="1">
      <c r="B289" s="197"/>
      <c r="C289" s="197"/>
      <c r="D289" s="198"/>
      <c r="E289" s="198"/>
      <c r="F289" s="198"/>
      <c r="G289" s="198"/>
      <c r="H289" s="198"/>
      <c r="I289" s="198"/>
      <c r="J289" s="198"/>
      <c r="K289" s="198"/>
      <c r="L289" s="198"/>
      <c r="M289" s="198"/>
      <c r="N289" s="192"/>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09"/>
      <c r="AL289" s="609"/>
      <c r="AM289" s="609"/>
      <c r="AN289" s="609"/>
      <c r="AO289" s="609"/>
      <c r="AP289" s="609"/>
      <c r="AQ289" s="609"/>
      <c r="AR289" s="609"/>
      <c r="AS289" s="609"/>
      <c r="AT289" s="609"/>
      <c r="AU289" s="609"/>
      <c r="AV289" s="609"/>
      <c r="AW289" s="609"/>
      <c r="AX289" s="609"/>
      <c r="AY289" s="609"/>
      <c r="AZ289" s="609"/>
      <c r="BA289" s="609"/>
      <c r="BB289" s="609"/>
    </row>
    <row r="290" spans="2:54" ht="9" customHeight="1">
      <c r="B290" s="592">
        <v>19</v>
      </c>
      <c r="C290" s="592"/>
      <c r="D290" s="640" t="s">
        <v>479</v>
      </c>
      <c r="E290" s="640"/>
      <c r="F290" s="640"/>
      <c r="G290" s="640"/>
      <c r="H290" s="640"/>
      <c r="I290" s="640"/>
      <c r="J290" s="640"/>
      <c r="K290" s="640"/>
      <c r="L290" s="640"/>
      <c r="M290" s="640"/>
      <c r="N290" s="606"/>
      <c r="O290" s="608" t="str">
        <f>IF('(I) Plano de Trabalho'!$O$578="","",'(I) Plano de Trabalho'!$O$578)</f>
        <v>Os aprimoramentos nas atividades de comércio exterior do Ibama advindos da implementação do projeto permitirão ao órgão exercer efetivo controle sobre as importações e exportações que passam por sua anuência, buscando informações em fontes de dados governamentais (do próprio Ibama e de outros órgãos) e direcionando o esforço de fiscalização para as transações de risco e para os pontos de fragilidade ao longo das cadeias produtivas, sem que isso represente atrasos ou custos ao comércio internacional.</v>
      </c>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08"/>
      <c r="AL290" s="608"/>
      <c r="AM290" s="608"/>
      <c r="AN290" s="608"/>
      <c r="AO290" s="608"/>
      <c r="AP290" s="608"/>
      <c r="AQ290" s="608"/>
      <c r="AR290" s="608"/>
      <c r="AS290" s="608"/>
      <c r="AT290" s="608"/>
      <c r="AU290" s="608"/>
      <c r="AV290" s="608"/>
      <c r="AW290" s="608"/>
      <c r="AX290" s="608"/>
      <c r="AY290" s="608"/>
      <c r="AZ290" s="608"/>
      <c r="BA290" s="608"/>
      <c r="BB290" s="608"/>
    </row>
    <row r="291" spans="2:54" ht="9" customHeight="1">
      <c r="B291" s="593"/>
      <c r="C291" s="593"/>
      <c r="D291" s="641"/>
      <c r="E291" s="641"/>
      <c r="F291" s="641"/>
      <c r="G291" s="641"/>
      <c r="H291" s="641"/>
      <c r="I291" s="641"/>
      <c r="J291" s="641"/>
      <c r="K291" s="641"/>
      <c r="L291" s="641"/>
      <c r="M291" s="641"/>
      <c r="N291" s="607"/>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09"/>
      <c r="AL291" s="609"/>
      <c r="AM291" s="609"/>
      <c r="AN291" s="609"/>
      <c r="AO291" s="609"/>
      <c r="AP291" s="609"/>
      <c r="AQ291" s="609"/>
      <c r="AR291" s="609"/>
      <c r="AS291" s="609"/>
      <c r="AT291" s="609"/>
      <c r="AU291" s="609"/>
      <c r="AV291" s="609"/>
      <c r="AW291" s="609"/>
      <c r="AX291" s="609"/>
      <c r="AY291" s="609"/>
      <c r="AZ291" s="609"/>
      <c r="BA291" s="609"/>
      <c r="BB291" s="609"/>
    </row>
    <row r="292" spans="2:54" ht="9" customHeight="1">
      <c r="B292" s="195"/>
      <c r="C292" s="195"/>
      <c r="D292" s="641"/>
      <c r="E292" s="641"/>
      <c r="F292" s="641"/>
      <c r="G292" s="641"/>
      <c r="H292" s="641"/>
      <c r="I292" s="641"/>
      <c r="J292" s="641"/>
      <c r="K292" s="641"/>
      <c r="L292" s="641"/>
      <c r="M292" s="641"/>
      <c r="N292" s="191"/>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09"/>
      <c r="AL292" s="609"/>
      <c r="AM292" s="609"/>
      <c r="AN292" s="609"/>
      <c r="AO292" s="609"/>
      <c r="AP292" s="609"/>
      <c r="AQ292" s="609"/>
      <c r="AR292" s="609"/>
      <c r="AS292" s="609"/>
      <c r="AT292" s="609"/>
      <c r="AU292" s="609"/>
      <c r="AV292" s="609"/>
      <c r="AW292" s="609"/>
      <c r="AX292" s="609"/>
      <c r="AY292" s="609"/>
      <c r="AZ292" s="609"/>
      <c r="BA292" s="609"/>
      <c r="BB292" s="609"/>
    </row>
    <row r="293" spans="2:54" ht="9" customHeight="1">
      <c r="B293" s="195"/>
      <c r="C293" s="195"/>
      <c r="D293" s="641"/>
      <c r="E293" s="641"/>
      <c r="F293" s="641"/>
      <c r="G293" s="641"/>
      <c r="H293" s="641"/>
      <c r="I293" s="641"/>
      <c r="J293" s="641"/>
      <c r="K293" s="641"/>
      <c r="L293" s="641"/>
      <c r="M293" s="641"/>
      <c r="N293" s="191"/>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09"/>
      <c r="AY293" s="609"/>
      <c r="AZ293" s="609"/>
      <c r="BA293" s="609"/>
      <c r="BB293" s="609"/>
    </row>
    <row r="294" spans="2:54" ht="9" customHeight="1">
      <c r="B294" s="195"/>
      <c r="C294" s="195"/>
      <c r="D294" s="641"/>
      <c r="E294" s="641"/>
      <c r="F294" s="641"/>
      <c r="G294" s="641"/>
      <c r="H294" s="641"/>
      <c r="I294" s="641"/>
      <c r="J294" s="641"/>
      <c r="K294" s="641"/>
      <c r="L294" s="641"/>
      <c r="M294" s="641"/>
      <c r="N294" s="191"/>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09"/>
      <c r="AL294" s="609"/>
      <c r="AM294" s="609"/>
      <c r="AN294" s="609"/>
      <c r="AO294" s="609"/>
      <c r="AP294" s="609"/>
      <c r="AQ294" s="609"/>
      <c r="AR294" s="609"/>
      <c r="AS294" s="609"/>
      <c r="AT294" s="609"/>
      <c r="AU294" s="609"/>
      <c r="AV294" s="609"/>
      <c r="AW294" s="609"/>
      <c r="AX294" s="609"/>
      <c r="AY294" s="609"/>
      <c r="AZ294" s="609"/>
      <c r="BA294" s="609"/>
      <c r="BB294" s="609"/>
    </row>
    <row r="295" spans="2:54" ht="9" customHeight="1">
      <c r="B295" s="195"/>
      <c r="C295" s="195"/>
      <c r="D295" s="204"/>
      <c r="E295" s="204"/>
      <c r="F295" s="204"/>
      <c r="G295" s="204"/>
      <c r="H295" s="204"/>
      <c r="I295" s="204"/>
      <c r="J295" s="204"/>
      <c r="K295" s="204"/>
      <c r="L295" s="204"/>
      <c r="M295" s="204"/>
      <c r="N295" s="191"/>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09"/>
      <c r="AL295" s="609"/>
      <c r="AM295" s="609"/>
      <c r="AN295" s="609"/>
      <c r="AO295" s="609"/>
      <c r="AP295" s="609"/>
      <c r="AQ295" s="609"/>
      <c r="AR295" s="609"/>
      <c r="AS295" s="609"/>
      <c r="AT295" s="609"/>
      <c r="AU295" s="609"/>
      <c r="AV295" s="609"/>
      <c r="AW295" s="609"/>
      <c r="AX295" s="609"/>
      <c r="AY295" s="609"/>
      <c r="AZ295" s="609"/>
      <c r="BA295" s="609"/>
      <c r="BB295" s="609"/>
    </row>
    <row r="296" spans="2:54" ht="9" customHeight="1">
      <c r="B296" s="195"/>
      <c r="C296" s="195"/>
      <c r="D296" s="196"/>
      <c r="E296" s="196"/>
      <c r="F296" s="196"/>
      <c r="G296" s="196"/>
      <c r="H296" s="196"/>
      <c r="I296" s="196"/>
      <c r="J296" s="196"/>
      <c r="K296" s="196"/>
      <c r="L296" s="196"/>
      <c r="M296" s="196"/>
      <c r="N296" s="191"/>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09"/>
      <c r="AL296" s="609"/>
      <c r="AM296" s="609"/>
      <c r="AN296" s="609"/>
      <c r="AO296" s="609"/>
      <c r="AP296" s="609"/>
      <c r="AQ296" s="609"/>
      <c r="AR296" s="609"/>
      <c r="AS296" s="609"/>
      <c r="AT296" s="609"/>
      <c r="AU296" s="609"/>
      <c r="AV296" s="609"/>
      <c r="AW296" s="609"/>
      <c r="AX296" s="609"/>
      <c r="AY296" s="609"/>
      <c r="AZ296" s="609"/>
      <c r="BA296" s="609"/>
      <c r="BB296" s="609"/>
    </row>
    <row r="297" spans="2:54" ht="9" customHeight="1">
      <c r="B297" s="197"/>
      <c r="C297" s="197"/>
      <c r="D297" s="198"/>
      <c r="E297" s="198"/>
      <c r="F297" s="198"/>
      <c r="G297" s="198"/>
      <c r="H297" s="198"/>
      <c r="I297" s="198"/>
      <c r="J297" s="198"/>
      <c r="K297" s="198"/>
      <c r="L297" s="198"/>
      <c r="M297" s="198"/>
      <c r="N297" s="192"/>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09"/>
      <c r="AL297" s="609"/>
      <c r="AM297" s="609"/>
      <c r="AN297" s="609"/>
      <c r="AO297" s="609"/>
      <c r="AP297" s="609"/>
      <c r="AQ297" s="609"/>
      <c r="AR297" s="609"/>
      <c r="AS297" s="609"/>
      <c r="AT297" s="609"/>
      <c r="AU297" s="609"/>
      <c r="AV297" s="609"/>
      <c r="AW297" s="609"/>
      <c r="AX297" s="609"/>
      <c r="AY297" s="609"/>
      <c r="AZ297" s="609"/>
      <c r="BA297" s="609"/>
      <c r="BB297" s="609"/>
    </row>
    <row r="298" spans="2:54" ht="9" customHeight="1">
      <c r="B298" s="592">
        <v>20</v>
      </c>
      <c r="C298" s="592"/>
      <c r="D298" s="640" t="s">
        <v>354</v>
      </c>
      <c r="E298" s="640"/>
      <c r="F298" s="640"/>
      <c r="G298" s="640"/>
      <c r="H298" s="640"/>
      <c r="I298" s="640"/>
      <c r="J298" s="640"/>
      <c r="K298" s="640"/>
      <c r="L298" s="640"/>
      <c r="M298" s="640"/>
      <c r="N298" s="606"/>
      <c r="O298" s="608" t="str">
        <f>IF('(I) Plano de Trabalho'!$O$587="","",'(I) Plano de Trabalho'!$O$587)</f>
        <v>A plataforma que será desenvolvida com recursos do projeto terá a continuidade de seu funcionamento garantido por meio da fábrica de software contratada pelo Ibama, cujo custeio se dará com recursos orçamentários do órgão.</v>
      </c>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08"/>
      <c r="AL298" s="608"/>
      <c r="AM298" s="608"/>
      <c r="AN298" s="608"/>
      <c r="AO298" s="608"/>
      <c r="AP298" s="608"/>
      <c r="AQ298" s="608"/>
      <c r="AR298" s="608"/>
      <c r="AS298" s="608"/>
      <c r="AT298" s="608"/>
      <c r="AU298" s="608"/>
      <c r="AV298" s="608"/>
      <c r="AW298" s="608"/>
      <c r="AX298" s="608"/>
      <c r="AY298" s="608"/>
      <c r="AZ298" s="608"/>
      <c r="BA298" s="608"/>
      <c r="BB298" s="608"/>
    </row>
    <row r="299" spans="2:54" ht="9" customHeight="1">
      <c r="B299" s="593"/>
      <c r="C299" s="593"/>
      <c r="D299" s="641"/>
      <c r="E299" s="641"/>
      <c r="F299" s="641"/>
      <c r="G299" s="641"/>
      <c r="H299" s="641"/>
      <c r="I299" s="641"/>
      <c r="J299" s="641"/>
      <c r="K299" s="641"/>
      <c r="L299" s="641"/>
      <c r="M299" s="641"/>
      <c r="N299" s="607"/>
      <c r="O299" s="609"/>
      <c r="P299" s="609"/>
      <c r="Q299" s="609"/>
      <c r="R299" s="609"/>
      <c r="S299" s="609"/>
      <c r="T299" s="609"/>
      <c r="U299" s="609"/>
      <c r="V299" s="609"/>
      <c r="W299" s="609"/>
      <c r="X299" s="609"/>
      <c r="Y299" s="609"/>
      <c r="Z299" s="609"/>
      <c r="AA299" s="609"/>
      <c r="AB299" s="609"/>
      <c r="AC299" s="609"/>
      <c r="AD299" s="609"/>
      <c r="AE299" s="609"/>
      <c r="AF299" s="609"/>
      <c r="AG299" s="609"/>
      <c r="AH299" s="609"/>
      <c r="AI299" s="609"/>
      <c r="AJ299" s="609"/>
      <c r="AK299" s="609"/>
      <c r="AL299" s="609"/>
      <c r="AM299" s="609"/>
      <c r="AN299" s="609"/>
      <c r="AO299" s="609"/>
      <c r="AP299" s="609"/>
      <c r="AQ299" s="609"/>
      <c r="AR299" s="609"/>
      <c r="AS299" s="609"/>
      <c r="AT299" s="609"/>
      <c r="AU299" s="609"/>
      <c r="AV299" s="609"/>
      <c r="AW299" s="609"/>
      <c r="AX299" s="609"/>
      <c r="AY299" s="609"/>
      <c r="AZ299" s="609"/>
      <c r="BA299" s="609"/>
      <c r="BB299" s="609"/>
    </row>
    <row r="300" spans="2:54" ht="9" customHeight="1">
      <c r="B300" s="195"/>
      <c r="C300" s="195"/>
      <c r="D300" s="641"/>
      <c r="E300" s="641"/>
      <c r="F300" s="641"/>
      <c r="G300" s="641"/>
      <c r="H300" s="641"/>
      <c r="I300" s="641"/>
      <c r="J300" s="641"/>
      <c r="K300" s="641"/>
      <c r="L300" s="641"/>
      <c r="M300" s="641"/>
      <c r="N300" s="191"/>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c r="AY300" s="609"/>
      <c r="AZ300" s="609"/>
      <c r="BA300" s="609"/>
      <c r="BB300" s="609"/>
    </row>
    <row r="301" spans="2:54" ht="9" customHeight="1">
      <c r="B301" s="195"/>
      <c r="C301" s="195"/>
      <c r="D301" s="204"/>
      <c r="E301" s="204"/>
      <c r="F301" s="204"/>
      <c r="G301" s="204"/>
      <c r="H301" s="204"/>
      <c r="I301" s="204"/>
      <c r="J301" s="204"/>
      <c r="K301" s="204"/>
      <c r="L301" s="204"/>
      <c r="M301" s="204"/>
      <c r="N301" s="191"/>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09"/>
      <c r="AL301" s="609"/>
      <c r="AM301" s="609"/>
      <c r="AN301" s="609"/>
      <c r="AO301" s="609"/>
      <c r="AP301" s="609"/>
      <c r="AQ301" s="609"/>
      <c r="AR301" s="609"/>
      <c r="AS301" s="609"/>
      <c r="AT301" s="609"/>
      <c r="AU301" s="609"/>
      <c r="AV301" s="609"/>
      <c r="AW301" s="609"/>
      <c r="AX301" s="609"/>
      <c r="AY301" s="609"/>
      <c r="AZ301" s="609"/>
      <c r="BA301" s="609"/>
      <c r="BB301" s="609"/>
    </row>
    <row r="302" spans="2:54" ht="9" customHeight="1">
      <c r="B302" s="195"/>
      <c r="C302" s="195"/>
      <c r="D302" s="204"/>
      <c r="E302" s="204"/>
      <c r="F302" s="204"/>
      <c r="G302" s="204"/>
      <c r="H302" s="204"/>
      <c r="I302" s="204"/>
      <c r="J302" s="204"/>
      <c r="K302" s="204"/>
      <c r="L302" s="204"/>
      <c r="M302" s="204"/>
      <c r="N302" s="191"/>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09"/>
      <c r="AL302" s="609"/>
      <c r="AM302" s="609"/>
      <c r="AN302" s="609"/>
      <c r="AO302" s="609"/>
      <c r="AP302" s="609"/>
      <c r="AQ302" s="609"/>
      <c r="AR302" s="609"/>
      <c r="AS302" s="609"/>
      <c r="AT302" s="609"/>
      <c r="AU302" s="609"/>
      <c r="AV302" s="609"/>
      <c r="AW302" s="609"/>
      <c r="AX302" s="609"/>
      <c r="AY302" s="609"/>
      <c r="AZ302" s="609"/>
      <c r="BA302" s="609"/>
      <c r="BB302" s="609"/>
    </row>
    <row r="303" spans="2:54" ht="9" customHeight="1">
      <c r="B303" s="195"/>
      <c r="C303" s="195"/>
      <c r="D303" s="204"/>
      <c r="E303" s="204"/>
      <c r="F303" s="204"/>
      <c r="G303" s="204"/>
      <c r="H303" s="204"/>
      <c r="I303" s="204"/>
      <c r="J303" s="204"/>
      <c r="K303" s="204"/>
      <c r="L303" s="204"/>
      <c r="M303" s="204"/>
      <c r="N303" s="191"/>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09"/>
      <c r="AL303" s="609"/>
      <c r="AM303" s="609"/>
      <c r="AN303" s="609"/>
      <c r="AO303" s="609"/>
      <c r="AP303" s="609"/>
      <c r="AQ303" s="609"/>
      <c r="AR303" s="609"/>
      <c r="AS303" s="609"/>
      <c r="AT303" s="609"/>
      <c r="AU303" s="609"/>
      <c r="AV303" s="609"/>
      <c r="AW303" s="609"/>
      <c r="AX303" s="609"/>
      <c r="AY303" s="609"/>
      <c r="AZ303" s="609"/>
      <c r="BA303" s="609"/>
      <c r="BB303" s="609"/>
    </row>
    <row r="304" spans="2:54" ht="9" customHeight="1">
      <c r="B304" s="195"/>
      <c r="C304" s="195"/>
      <c r="D304" s="204"/>
      <c r="E304" s="204"/>
      <c r="F304" s="204"/>
      <c r="G304" s="204"/>
      <c r="H304" s="204"/>
      <c r="I304" s="204"/>
      <c r="J304" s="204"/>
      <c r="K304" s="204"/>
      <c r="L304" s="204"/>
      <c r="M304" s="204"/>
      <c r="N304" s="191"/>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09"/>
      <c r="AL304" s="609"/>
      <c r="AM304" s="609"/>
      <c r="AN304" s="609"/>
      <c r="AO304" s="609"/>
      <c r="AP304" s="609"/>
      <c r="AQ304" s="609"/>
      <c r="AR304" s="609"/>
      <c r="AS304" s="609"/>
      <c r="AT304" s="609"/>
      <c r="AU304" s="609"/>
      <c r="AV304" s="609"/>
      <c r="AW304" s="609"/>
      <c r="AX304" s="609"/>
      <c r="AY304" s="609"/>
      <c r="AZ304" s="609"/>
      <c r="BA304" s="609"/>
      <c r="BB304" s="609"/>
    </row>
    <row r="305" spans="2:54" ht="9" customHeight="1">
      <c r="B305" s="195"/>
      <c r="C305" s="195"/>
      <c r="D305" s="204"/>
      <c r="E305" s="204"/>
      <c r="F305" s="204"/>
      <c r="G305" s="204"/>
      <c r="H305" s="204"/>
      <c r="I305" s="204"/>
      <c r="J305" s="204"/>
      <c r="K305" s="204"/>
      <c r="L305" s="204"/>
      <c r="M305" s="204"/>
      <c r="N305" s="191"/>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09"/>
      <c r="AL305" s="609"/>
      <c r="AM305" s="609"/>
      <c r="AN305" s="609"/>
      <c r="AO305" s="609"/>
      <c r="AP305" s="609"/>
      <c r="AQ305" s="609"/>
      <c r="AR305" s="609"/>
      <c r="AS305" s="609"/>
      <c r="AT305" s="609"/>
      <c r="AU305" s="609"/>
      <c r="AV305" s="609"/>
      <c r="AW305" s="609"/>
      <c r="AX305" s="609"/>
      <c r="AY305" s="609"/>
      <c r="AZ305" s="609"/>
      <c r="BA305" s="609"/>
      <c r="BB305" s="609"/>
    </row>
    <row r="306" spans="2:54" ht="9" customHeight="1">
      <c r="B306" s="195"/>
      <c r="C306" s="195"/>
      <c r="D306" s="204"/>
      <c r="E306" s="204"/>
      <c r="F306" s="204"/>
      <c r="G306" s="204"/>
      <c r="H306" s="204"/>
      <c r="I306" s="204"/>
      <c r="J306" s="204"/>
      <c r="K306" s="204"/>
      <c r="L306" s="204"/>
      <c r="M306" s="204"/>
      <c r="N306" s="191"/>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09"/>
      <c r="AY306" s="609"/>
      <c r="AZ306" s="609"/>
      <c r="BA306" s="609"/>
      <c r="BB306" s="609"/>
    </row>
    <row r="307" spans="2:54" ht="9" customHeight="1">
      <c r="B307" s="195"/>
      <c r="C307" s="195"/>
      <c r="D307" s="204"/>
      <c r="E307" s="204"/>
      <c r="F307" s="204"/>
      <c r="G307" s="204"/>
      <c r="H307" s="204"/>
      <c r="I307" s="204"/>
      <c r="J307" s="204"/>
      <c r="K307" s="204"/>
      <c r="L307" s="204"/>
      <c r="M307" s="204"/>
      <c r="N307" s="191"/>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09"/>
      <c r="AY307" s="609"/>
      <c r="AZ307" s="609"/>
      <c r="BA307" s="609"/>
      <c r="BB307" s="609"/>
    </row>
    <row r="308" spans="2:54" ht="9" customHeight="1">
      <c r="B308" s="195"/>
      <c r="C308" s="195"/>
      <c r="D308" s="196"/>
      <c r="E308" s="196"/>
      <c r="F308" s="196"/>
      <c r="G308" s="196"/>
      <c r="H308" s="196"/>
      <c r="I308" s="196"/>
      <c r="J308" s="196"/>
      <c r="K308" s="196"/>
      <c r="L308" s="196"/>
      <c r="M308" s="196"/>
      <c r="N308" s="191"/>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09"/>
      <c r="AL308" s="609"/>
      <c r="AM308" s="609"/>
      <c r="AN308" s="609"/>
      <c r="AO308" s="609"/>
      <c r="AP308" s="609"/>
      <c r="AQ308" s="609"/>
      <c r="AR308" s="609"/>
      <c r="AS308" s="609"/>
      <c r="AT308" s="609"/>
      <c r="AU308" s="609"/>
      <c r="AV308" s="609"/>
      <c r="AW308" s="609"/>
      <c r="AX308" s="609"/>
      <c r="AY308" s="609"/>
      <c r="AZ308" s="609"/>
      <c r="BA308" s="609"/>
      <c r="BB308" s="609"/>
    </row>
    <row r="309" spans="2:54" ht="9" customHeight="1">
      <c r="B309" s="197"/>
      <c r="C309" s="197"/>
      <c r="D309" s="198"/>
      <c r="E309" s="198"/>
      <c r="F309" s="198"/>
      <c r="G309" s="198"/>
      <c r="H309" s="198"/>
      <c r="I309" s="198"/>
      <c r="J309" s="198"/>
      <c r="K309" s="198"/>
      <c r="L309" s="198"/>
      <c r="M309" s="198"/>
      <c r="N309" s="192"/>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09"/>
      <c r="AL309" s="609"/>
      <c r="AM309" s="609"/>
      <c r="AN309" s="609"/>
      <c r="AO309" s="609"/>
      <c r="AP309" s="609"/>
      <c r="AQ309" s="609"/>
      <c r="AR309" s="609"/>
      <c r="AS309" s="609"/>
      <c r="AT309" s="609"/>
      <c r="AU309" s="609"/>
      <c r="AV309" s="609"/>
      <c r="AW309" s="609"/>
      <c r="AX309" s="609"/>
      <c r="AY309" s="609"/>
      <c r="AZ309" s="609"/>
      <c r="BA309" s="609"/>
      <c r="BB309" s="609"/>
    </row>
    <row r="310" spans="2:54" ht="9" customHeight="1"/>
    <row r="311" spans="2:54" ht="9" customHeight="1" thickBot="1"/>
    <row r="312" spans="2:54" ht="9" customHeight="1">
      <c r="B312" s="596" t="s">
        <v>481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596"/>
      <c r="AL312" s="596"/>
      <c r="AM312" s="596"/>
      <c r="AN312" s="596"/>
      <c r="AO312" s="596"/>
      <c r="AP312" s="596"/>
      <c r="AQ312" s="596"/>
      <c r="AR312" s="596"/>
      <c r="AS312" s="596"/>
      <c r="AT312" s="596"/>
      <c r="AU312" s="596"/>
      <c r="AV312" s="596"/>
      <c r="AW312" s="596"/>
      <c r="AX312" s="596"/>
      <c r="AY312" s="596"/>
      <c r="AZ312" s="596"/>
      <c r="BA312" s="596"/>
      <c r="BB312" s="596"/>
    </row>
    <row r="313" spans="2:54" ht="9" customHeight="1">
      <c r="B313" s="597"/>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7"/>
      <c r="AL313" s="597"/>
      <c r="AM313" s="597"/>
      <c r="AN313" s="597"/>
      <c r="AO313" s="597"/>
      <c r="AP313" s="597"/>
      <c r="AQ313" s="597"/>
      <c r="AR313" s="597"/>
      <c r="AS313" s="597"/>
      <c r="AT313" s="597"/>
      <c r="AU313" s="597"/>
      <c r="AV313" s="597"/>
      <c r="AW313" s="597"/>
      <c r="AX313" s="597"/>
      <c r="AY313" s="597"/>
      <c r="AZ313" s="597"/>
      <c r="BA313" s="597"/>
      <c r="BB313" s="597"/>
    </row>
    <row r="314" spans="2:54" ht="9" customHeight="1"/>
    <row r="315" spans="2:54" ht="9" customHeight="1"/>
    <row r="316" spans="2:54" ht="9" customHeight="1"/>
    <row r="317" spans="2:54" ht="9" customHeight="1"/>
    <row r="318" spans="2:54" ht="9" customHeight="1"/>
    <row r="319" spans="2:54" ht="9" customHeight="1"/>
    <row r="320" spans="2:54"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sheetData>
  <mergeCells count="90">
    <mergeCell ref="B312:BB313"/>
    <mergeCell ref="D242:M244"/>
    <mergeCell ref="D250:M252"/>
    <mergeCell ref="D266:M268"/>
    <mergeCell ref="D298:M300"/>
    <mergeCell ref="B274:C275"/>
    <mergeCell ref="D274:M275"/>
    <mergeCell ref="N274:N275"/>
    <mergeCell ref="O274:BB289"/>
    <mergeCell ref="B290:C291"/>
    <mergeCell ref="N290:N291"/>
    <mergeCell ref="O290:BB297"/>
    <mergeCell ref="D290:M294"/>
    <mergeCell ref="B266:C267"/>
    <mergeCell ref="N266:N267"/>
    <mergeCell ref="O266:BB273"/>
    <mergeCell ref="D258:M260"/>
    <mergeCell ref="B298:C299"/>
    <mergeCell ref="N298:N299"/>
    <mergeCell ref="O298:BB309"/>
    <mergeCell ref="B250:C251"/>
    <mergeCell ref="N250:N251"/>
    <mergeCell ref="O250:BB257"/>
    <mergeCell ref="B258:C259"/>
    <mergeCell ref="N258:N259"/>
    <mergeCell ref="O258:BB265"/>
    <mergeCell ref="B163:C164"/>
    <mergeCell ref="D163:M164"/>
    <mergeCell ref="N163:N164"/>
    <mergeCell ref="O163:BB239"/>
    <mergeCell ref="B242:C243"/>
    <mergeCell ref="N242:N243"/>
    <mergeCell ref="O242:BB249"/>
    <mergeCell ref="B87:C88"/>
    <mergeCell ref="D87:M88"/>
    <mergeCell ref="N87:N88"/>
    <mergeCell ref="O87:BB113"/>
    <mergeCell ref="B114:C115"/>
    <mergeCell ref="D114:M115"/>
    <mergeCell ref="N114:N115"/>
    <mergeCell ref="O114:BB160"/>
    <mergeCell ref="D9:M10"/>
    <mergeCell ref="N9:N10"/>
    <mergeCell ref="AE18:AL19"/>
    <mergeCell ref="AU18:BB19"/>
    <mergeCell ref="O20:V21"/>
    <mergeCell ref="X20:AD21"/>
    <mergeCell ref="AE20:AL21"/>
    <mergeCell ref="AN20:AT21"/>
    <mergeCell ref="AU20:BB21"/>
    <mergeCell ref="AN18:AT19"/>
    <mergeCell ref="X18:AD19"/>
    <mergeCell ref="D18:M19"/>
    <mergeCell ref="B32:C33"/>
    <mergeCell ref="D32:M33"/>
    <mergeCell ref="O32:BB84"/>
    <mergeCell ref="D27:M28"/>
    <mergeCell ref="N16:N17"/>
    <mergeCell ref="AY27:AY28"/>
    <mergeCell ref="O18:V19"/>
    <mergeCell ref="B20:C21"/>
    <mergeCell ref="D20:M21"/>
    <mergeCell ref="B22:C23"/>
    <mergeCell ref="D22:M23"/>
    <mergeCell ref="O22:BB23"/>
    <mergeCell ref="B29:C30"/>
    <mergeCell ref="D29:M30"/>
    <mergeCell ref="O29:BB30"/>
    <mergeCell ref="AZ27:BB28"/>
    <mergeCell ref="AV27:AX28"/>
    <mergeCell ref="O27:AT28"/>
    <mergeCell ref="N27:N28"/>
    <mergeCell ref="N29:N30"/>
    <mergeCell ref="AU27:AU28"/>
    <mergeCell ref="B9:C10"/>
    <mergeCell ref="B27:C28"/>
    <mergeCell ref="B2:BB3"/>
    <mergeCell ref="B25:C26"/>
    <mergeCell ref="D5:M6"/>
    <mergeCell ref="D25:M26"/>
    <mergeCell ref="O25:BB26"/>
    <mergeCell ref="N25:N26"/>
    <mergeCell ref="B5:C6"/>
    <mergeCell ref="N5:N6"/>
    <mergeCell ref="O5:BB8"/>
    <mergeCell ref="B16:C17"/>
    <mergeCell ref="D16:M17"/>
    <mergeCell ref="O16:BB17"/>
    <mergeCell ref="O9:BB15"/>
    <mergeCell ref="B18:C19"/>
  </mergeCells>
  <pageMargins left="0.511811024" right="0.511811024" top="0.78740157499999996" bottom="0.78740157499999996" header="0.31496062000000002" footer="0.31496062000000002"/>
  <pageSetup paperSize="9" orientation="portrait" verticalDpi="0" r:id="rId1"/>
  <rowBreaks count="3" manualBreakCount="3">
    <brk id="161" max="54" man="1"/>
    <brk id="240" max="54" man="1"/>
    <brk id="310" max="5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2:C151"/>
  <sheetViews>
    <sheetView showGridLines="0" zoomScaleNormal="100" zoomScaleSheetLayoutView="100" workbookViewId="0">
      <selection activeCell="B6" sqref="B6"/>
    </sheetView>
  </sheetViews>
  <sheetFormatPr defaultColWidth="0" defaultRowHeight="15"/>
  <cols>
    <col min="1" max="1" width="1.7109375" style="1" customWidth="1"/>
    <col min="2" max="2" width="135.140625" style="2" customWidth="1"/>
    <col min="3" max="3" width="1.7109375" style="1" customWidth="1"/>
    <col min="4" max="255" width="9.140625" style="1" hidden="1" customWidth="1"/>
    <col min="256" max="16384" width="9.140625" style="1" hidden="1"/>
  </cols>
  <sheetData>
    <row r="2" spans="2:2">
      <c r="B2" s="24" t="s">
        <v>39</v>
      </c>
    </row>
    <row r="3" spans="2:2">
      <c r="B3" s="12" t="str">
        <f>'(I) Plano de Trabalho'!$O$269</f>
        <v>I - Promoção da recuperação, conservação e preservação do meio ambiente</v>
      </c>
    </row>
    <row r="5" spans="2:2">
      <c r="B5" s="24" t="s">
        <v>40</v>
      </c>
    </row>
    <row r="6" spans="2:2">
      <c r="B6" s="13" t="str">
        <f t="shared" ref="B6:B14" si="0">IF($B$3=$B$23,B24,IF($B$3=$B$34,B35,IF($B$3=$B$45,B46,IF($B$3=$B$56,B57,IF($B$3=$B$67,B68," ")))))</f>
        <v>(A) - Implementação de espaços territoriais especialmente protegidos relacionados à conectividade: projetos que contribuam para a conectividade de diferentes espécies de espaços ambientais protegidos e fragmentos de vegetação nativa.</v>
      </c>
    </row>
    <row r="7" spans="2:2">
      <c r="B7" s="13" t="str">
        <f t="shared" si="0"/>
        <v>(B) - Conservação da água e das florestas: projetos que contribuam para conservação, restauração, recuperação e uso sustentável dos recursos florestais e hídricos; que promovam a conservação e recuperação de nascentes e áreas de preservação permanente, além da recuperação de áreas degradadas.</v>
      </c>
    </row>
    <row r="8" spans="2:2">
      <c r="B8" s="13" t="str">
        <f t="shared" si="0"/>
        <v>(C) - Promoção do consumo sustentável e da educação ambiental voltada para sustentabilidade: Projetos que promovam a educação ambiental e o consumo consciente e que valorizem a produção sustentável e o uso ambientalmente adequado dos recursos naturais. Os recursos solicitados poderão contemplar a elaboração de material pedagógico de apoio ao projeto de educação ambiental a ser empreendido.</v>
      </c>
    </row>
    <row r="9" spans="2:2">
      <c r="B9" s="13" t="str">
        <f t="shared" si="0"/>
        <v>(D) Ações de manejo e gestão de resíduos sólidos: Projetos que incentivem o gerenciamento dos resíduos sólidos em áreas urbanas e rurais, contribuam para a implantação de políticas municipais ambientalmente corretas ou que promovam ações de redução, reutilização e reciclagem do lixo. Somente poderão ser beneficiados, pelo projeto apresentado por órgãos e pessoas jurídicas de direito público federais, municípios que tiverem seu Plano Municipal de Gestão Integrada de Resíduos Sólidos, conforme determina o art. 18 da Lei 12.305/10.</v>
      </c>
    </row>
    <row r="10" spans="2:2">
      <c r="B10" s="13" t="str">
        <f t="shared" si="0"/>
        <v>(E) Conhecimentos tradicionais: projetos que promovam o resgate, a valorização e a manutenção de práticas tradicionais de produção com base no uso sustentável dos recursos naturais, por meio de levantamentos, estudos, disseminação ou fortalecimento de tais práticas produtivas.</v>
      </c>
    </row>
    <row r="11" spans="2:2">
      <c r="B11" s="13" t="str">
        <f t="shared" si="0"/>
        <v>(F) Fauna: projetos que promovam a proteção do patrimônio da biodiversidade e a conservação das espécies da fauna brasileira, em especial das ameaçadas de extinção.</v>
      </c>
    </row>
    <row r="12" spans="2:2">
      <c r="B12" s="13" t="str">
        <f t="shared" si="0"/>
        <v>(G) Fortalecimento da Gestão Ambiental Local: projetos que promovam a implementação de mecanismos de gestão ambiental local, tais como: apoio à implementação do fundo municipal de meio ambiente, do Conselho Municipal de Meio Ambiente, sistema de licenciamento ambiental local, elaboração de legislação ambiental local, estruturação do setor de meio ambiente de municípios, a partir da compra de equipamentos e material permanente, capacitação para a equipe técnica da prefeitura responsável pela área ambiental, dentre outras ações.</v>
      </c>
    </row>
    <row r="13" spans="2:2">
      <c r="B13" s="13" t="str">
        <f t="shared" si="0"/>
        <v>(H) Fortalecimento das Instituições Públicas envolvidas na fiscalização e controle ambiental: projetos que promovam a qualificação administrativa e operacional de órgãos governamentais ligados à fiscalização e controle de práticas lesivas ao meio ambiente, por meio do fomento a capacitações de equipes, criação e implementação de salas de situação, aquisição de equipamentos e material permanente, promoção de estratégias de articulação entre as instituições públicas envolvidas nessa missão (Ministério Público, Polícia Militar Ambiental, Polícia Civil, Ibama, Oemas e Poder Judiciário) por meio da realização de seminários, reuniões de intercâmbio de agendas e organização de operações integradas.</v>
      </c>
    </row>
    <row r="14" spans="2:2">
      <c r="B14" s="13" t="str">
        <f t="shared" si="0"/>
        <v>-</v>
      </c>
    </row>
    <row r="17" spans="2:2">
      <c r="B17" s="25" t="s">
        <v>34</v>
      </c>
    </row>
    <row r="18" spans="2:2">
      <c r="B18" s="25" t="s">
        <v>35</v>
      </c>
    </row>
    <row r="19" spans="2:2">
      <c r="B19" s="25" t="s">
        <v>36</v>
      </c>
    </row>
    <row r="20" spans="2:2">
      <c r="B20" s="25" t="s">
        <v>37</v>
      </c>
    </row>
    <row r="21" spans="2:2">
      <c r="B21" s="25" t="s">
        <v>38</v>
      </c>
    </row>
    <row r="22" spans="2:2">
      <c r="B22" s="14"/>
    </row>
    <row r="23" spans="2:2" s="3" customFormat="1" ht="15" customHeight="1">
      <c r="B23" s="25" t="s">
        <v>34</v>
      </c>
    </row>
    <row r="24" spans="2:2" s="3" customFormat="1" ht="15" customHeight="1">
      <c r="B24" s="16" t="s">
        <v>42</v>
      </c>
    </row>
    <row r="25" spans="2:2" s="3" customFormat="1" ht="15" customHeight="1">
      <c r="B25" s="16" t="s">
        <v>43</v>
      </c>
    </row>
    <row r="26" spans="2:2" ht="15" customHeight="1">
      <c r="B26" s="16" t="s">
        <v>44</v>
      </c>
    </row>
    <row r="27" spans="2:2" ht="15" customHeight="1">
      <c r="B27" s="16" t="s">
        <v>45</v>
      </c>
    </row>
    <row r="28" spans="2:2" ht="15" customHeight="1">
      <c r="B28" s="16" t="s">
        <v>46</v>
      </c>
    </row>
    <row r="29" spans="2:2" ht="15" customHeight="1">
      <c r="B29" s="16" t="s">
        <v>47</v>
      </c>
    </row>
    <row r="30" spans="2:2" ht="15" customHeight="1">
      <c r="B30" s="16" t="s">
        <v>48</v>
      </c>
    </row>
    <row r="31" spans="2:2" ht="15" customHeight="1">
      <c r="B31" s="16" t="s">
        <v>49</v>
      </c>
    </row>
    <row r="32" spans="2:2" ht="15" customHeight="1">
      <c r="B32" s="16" t="s">
        <v>41</v>
      </c>
    </row>
    <row r="33" spans="2:2" ht="15" customHeight="1">
      <c r="B33" s="15"/>
    </row>
    <row r="34" spans="2:2" s="3" customFormat="1" ht="15" customHeight="1">
      <c r="B34" s="25" t="s">
        <v>35</v>
      </c>
    </row>
    <row r="35" spans="2:2" s="18" customFormat="1" ht="15" customHeight="1">
      <c r="B35" s="17" t="s">
        <v>50</v>
      </c>
    </row>
    <row r="36" spans="2:2" s="18" customFormat="1" ht="15" customHeight="1">
      <c r="B36" s="17" t="s">
        <v>51</v>
      </c>
    </row>
    <row r="37" spans="2:2" s="18" customFormat="1" ht="15" customHeight="1">
      <c r="B37" s="17" t="s">
        <v>52</v>
      </c>
    </row>
    <row r="38" spans="2:2" s="18" customFormat="1" ht="15" customHeight="1">
      <c r="B38" s="17" t="s">
        <v>53</v>
      </c>
    </row>
    <row r="39" spans="2:2" s="18" customFormat="1" ht="15" customHeight="1">
      <c r="B39" s="17" t="s">
        <v>54</v>
      </c>
    </row>
    <row r="40" spans="2:2" s="18" customFormat="1" ht="15" customHeight="1">
      <c r="B40" s="17" t="s">
        <v>55</v>
      </c>
    </row>
    <row r="41" spans="2:2" s="18" customFormat="1" ht="15" customHeight="1">
      <c r="B41" s="17" t="s">
        <v>56</v>
      </c>
    </row>
    <row r="42" spans="2:2" s="18" customFormat="1" ht="15" customHeight="1">
      <c r="B42" s="17" t="s">
        <v>57</v>
      </c>
    </row>
    <row r="43" spans="2:2" s="18" customFormat="1" ht="15" customHeight="1">
      <c r="B43" s="17" t="s">
        <v>58</v>
      </c>
    </row>
    <row r="44" spans="2:2" ht="15" customHeight="1">
      <c r="B44" s="15"/>
    </row>
    <row r="45" spans="2:2" s="3" customFormat="1" ht="15" customHeight="1">
      <c r="B45" s="25" t="s">
        <v>36</v>
      </c>
    </row>
    <row r="46" spans="2:2" s="18" customFormat="1" ht="15" customHeight="1">
      <c r="B46" s="17" t="s">
        <v>59</v>
      </c>
    </row>
    <row r="47" spans="2:2" s="18" customFormat="1" ht="15" customHeight="1">
      <c r="B47" s="17" t="s">
        <v>60</v>
      </c>
    </row>
    <row r="48" spans="2:2" s="18" customFormat="1" ht="15" customHeight="1">
      <c r="B48" s="17" t="s">
        <v>61</v>
      </c>
    </row>
    <row r="49" spans="2:2" s="18" customFormat="1" ht="15" customHeight="1">
      <c r="B49" s="17" t="s">
        <v>62</v>
      </c>
    </row>
    <row r="50" spans="2:2" s="18" customFormat="1" ht="15" customHeight="1">
      <c r="B50" s="17" t="s">
        <v>63</v>
      </c>
    </row>
    <row r="51" spans="2:2" s="18" customFormat="1" ht="15" customHeight="1">
      <c r="B51" s="17" t="s">
        <v>64</v>
      </c>
    </row>
    <row r="52" spans="2:2" s="18" customFormat="1" ht="15" customHeight="1">
      <c r="B52" s="17" t="s">
        <v>65</v>
      </c>
    </row>
    <row r="53" spans="2:2" s="18" customFormat="1" ht="15" customHeight="1">
      <c r="B53" s="17" t="s">
        <v>66</v>
      </c>
    </row>
    <row r="54" spans="2:2" s="18" customFormat="1" ht="15" customHeight="1">
      <c r="B54" s="17" t="s">
        <v>41</v>
      </c>
    </row>
    <row r="55" spans="2:2">
      <c r="B55" s="15"/>
    </row>
    <row r="56" spans="2:2" s="3" customFormat="1" ht="15" customHeight="1">
      <c r="B56" s="25" t="s">
        <v>37</v>
      </c>
    </row>
    <row r="57" spans="2:2" s="18" customFormat="1" ht="15" customHeight="1">
      <c r="B57" s="17" t="s">
        <v>67</v>
      </c>
    </row>
    <row r="58" spans="2:2" s="18" customFormat="1" ht="15" customHeight="1">
      <c r="B58" s="17" t="s">
        <v>68</v>
      </c>
    </row>
    <row r="59" spans="2:2" s="18" customFormat="1" ht="15" customHeight="1">
      <c r="B59" s="17" t="s">
        <v>69</v>
      </c>
    </row>
    <row r="60" spans="2:2" s="18" customFormat="1" ht="15" customHeight="1">
      <c r="B60" s="17" t="s">
        <v>70</v>
      </c>
    </row>
    <row r="61" spans="2:2" s="18" customFormat="1" ht="15" customHeight="1">
      <c r="B61" s="17" t="s">
        <v>71</v>
      </c>
    </row>
    <row r="62" spans="2:2" s="18" customFormat="1" ht="15" customHeight="1">
      <c r="B62" s="17" t="s">
        <v>72</v>
      </c>
    </row>
    <row r="63" spans="2:2" s="18" customFormat="1" ht="15" customHeight="1">
      <c r="B63" s="17" t="s">
        <v>73</v>
      </c>
    </row>
    <row r="64" spans="2:2" s="18" customFormat="1" ht="15" customHeight="1">
      <c r="B64" s="17" t="s">
        <v>41</v>
      </c>
    </row>
    <row r="65" spans="2:2" s="18" customFormat="1" ht="15" customHeight="1">
      <c r="B65" s="17" t="s">
        <v>41</v>
      </c>
    </row>
    <row r="66" spans="2:2">
      <c r="B66" s="15"/>
    </row>
    <row r="67" spans="2:2" s="3" customFormat="1" ht="15" customHeight="1">
      <c r="B67" s="25" t="s">
        <v>38</v>
      </c>
    </row>
    <row r="68" spans="2:2" s="18" customFormat="1" ht="15" customHeight="1">
      <c r="B68" s="17" t="s">
        <v>74</v>
      </c>
    </row>
    <row r="69" spans="2:2" s="18" customFormat="1" ht="15" customHeight="1">
      <c r="B69" s="17" t="s">
        <v>75</v>
      </c>
    </row>
    <row r="70" spans="2:2" s="18" customFormat="1" ht="15" customHeight="1">
      <c r="B70" s="19" t="s">
        <v>76</v>
      </c>
    </row>
    <row r="71" spans="2:2" s="18" customFormat="1" ht="15" customHeight="1">
      <c r="B71" s="17" t="s">
        <v>77</v>
      </c>
    </row>
    <row r="72" spans="2:2" s="18" customFormat="1" ht="15" customHeight="1">
      <c r="B72" s="17" t="s">
        <v>78</v>
      </c>
    </row>
    <row r="73" spans="2:2" s="18" customFormat="1" ht="15" customHeight="1">
      <c r="B73" s="17" t="s">
        <v>79</v>
      </c>
    </row>
    <row r="74" spans="2:2" s="18" customFormat="1" ht="15" customHeight="1">
      <c r="B74" s="17" t="s">
        <v>80</v>
      </c>
    </row>
    <row r="75" spans="2:2" s="18" customFormat="1" ht="15" customHeight="1">
      <c r="B75" s="17" t="s">
        <v>81</v>
      </c>
    </row>
    <row r="76" spans="2:2" s="18" customFormat="1" ht="15" customHeight="1">
      <c r="B76" s="17" t="s">
        <v>41</v>
      </c>
    </row>
    <row r="77" spans="2:2">
      <c r="B77" s="4"/>
    </row>
    <row r="78" spans="2:2">
      <c r="B78" s="4"/>
    </row>
    <row r="79" spans="2:2">
      <c r="B79" s="53"/>
    </row>
    <row r="80" spans="2:2">
      <c r="B80" s="53"/>
    </row>
    <row r="81" spans="2:2">
      <c r="B81" s="53"/>
    </row>
    <row r="82" spans="2:2">
      <c r="B82" s="62"/>
    </row>
    <row r="83" spans="2:2">
      <c r="B83" s="63"/>
    </row>
    <row r="84" spans="2:2">
      <c r="B84" s="63"/>
    </row>
    <row r="85" spans="2:2">
      <c r="B85" s="53"/>
    </row>
    <row r="86" spans="2:2">
      <c r="B86" s="53"/>
    </row>
    <row r="87" spans="2:2">
      <c r="B87" s="53"/>
    </row>
    <row r="88" spans="2:2">
      <c r="B88" s="53"/>
    </row>
    <row r="89" spans="2:2">
      <c r="B89" s="53"/>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sheetData>
  <pageMargins left="0.51181102362204722" right="0.51181102362204722" top="0.78740157480314965" bottom="0.78740157480314965"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03C994E7F20AC47951648091299AA0E" ma:contentTypeVersion="13" ma:contentTypeDescription="Crie um novo documento." ma:contentTypeScope="" ma:versionID="e75cc5998d686bb6cd3b30134d4acf0d">
  <xsd:schema xmlns:xsd="http://www.w3.org/2001/XMLSchema" xmlns:xs="http://www.w3.org/2001/XMLSchema" xmlns:p="http://schemas.microsoft.com/office/2006/metadata/properties" xmlns:ns2="f76ec8ca-0bd7-40fa-8f19-e150e3b95092" xmlns:ns3="cd8ba429-a412-46a4-a80c-a65095de7985" targetNamespace="http://schemas.microsoft.com/office/2006/metadata/properties" ma:root="true" ma:fieldsID="0a31f88caa4c4408b85967e8f289b990" ns2:_="" ns3:_="">
    <xsd:import namespace="f76ec8ca-0bd7-40fa-8f19-e150e3b95092"/>
    <xsd:import namespace="cd8ba429-a412-46a4-a80c-a65095de798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6ec8ca-0bd7-40fa-8f19-e150e3b95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06e40781-f961-4f49-b316-ea54edb15d35"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ba429-a412-46a4-a80c-a65095de798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db210f5-4f98-4df8-b4c1-626009bb6a79}" ma:internalName="TaxCatchAll" ma:showField="CatchAllData" ma:web="cd8ba429-a412-46a4-a80c-a65095de79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17834B-01DA-49FD-9759-B23B19EA310A}"/>
</file>

<file path=customXml/itemProps2.xml><?xml version="1.0" encoding="utf-8"?>
<ds:datastoreItem xmlns:ds="http://schemas.openxmlformats.org/officeDocument/2006/customXml" ds:itemID="{AA9A8598-110D-4AC4-A245-819D509F72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MENU</vt:lpstr>
      <vt:lpstr>(I) Plano de Trabalho</vt:lpstr>
      <vt:lpstr>(II) Cronograma</vt:lpstr>
      <vt:lpstr>(III) Formulário Orçamentário</vt:lpstr>
      <vt:lpstr>(IV) Termo de Referência</vt:lpstr>
      <vt:lpstr>(V) Ações de Educação</vt:lpstr>
      <vt:lpstr>Verificação de Pendências</vt:lpstr>
      <vt:lpstr>Elementos de Despesa</vt:lpstr>
      <vt:lpstr>Nota Técnica</vt:lpstr>
      <vt:lpstr>APOIO</vt:lpstr>
      <vt:lpstr>'(I) Plano de Trabalho'!Area_de_impressao</vt:lpstr>
      <vt:lpstr>'(II) Cronograma'!Area_de_impressao</vt:lpstr>
      <vt:lpstr>'(III) Formulário Orçamentário'!Area_de_impressao</vt:lpstr>
      <vt:lpstr>'(IV) Termo de Referência'!Area_de_impressao</vt:lpstr>
      <vt:lpstr>'(V) Ações de Educação'!Area_de_impressao</vt:lpstr>
      <vt:lpstr>MENU!Area_de_impressao</vt:lpstr>
      <vt:lpstr>'Nota Técnica'!Area_de_impressao</vt:lpstr>
      <vt:lpstr>'Verificação de Pendências'!Area_de_impressao</vt:lpstr>
    </vt:vector>
  </TitlesOfParts>
  <Company>MJ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koerich</dc:creator>
  <cp:lastModifiedBy>Rafael Freire De Macedo</cp:lastModifiedBy>
  <cp:lastPrinted>2019-07-23T22:04:29Z</cp:lastPrinted>
  <dcterms:created xsi:type="dcterms:W3CDTF">2003-04-04T15:32:55Z</dcterms:created>
  <dcterms:modified xsi:type="dcterms:W3CDTF">2019-11-26T19:02:46Z</dcterms:modified>
</cp:coreProperties>
</file>